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6.xml" ContentType="application/vnd.openxmlformats-officedocument.drawing+xml"/>
  <Override PartName="/xl/ctrlProps/ctrlProp65.xml" ContentType="application/vnd.ms-excel.controlproperties+xml"/>
  <Override PartName="/xl/ctrlProps/ctrlProp66.xml" ContentType="application/vnd.ms-excel.controlproperties+xml"/>
  <Override PartName="/xl/drawings/drawing7.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harts/chart10.xml" ContentType="application/vnd.openxmlformats-officedocument.drawingml.chart+xml"/>
  <Override PartName="/xl/charts/chart11.xml" ContentType="application/vnd.openxmlformats-officedocument.drawingml.chart+xml"/>
  <Override PartName="/xl/drawings/drawing8.xml" ContentType="application/vnd.openxmlformats-officedocument.drawing+xml"/>
  <Override PartName="/xl/ctrlProps/ctrlProp70.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showInkAnnotation="0" codeName="ЭтаКнига" autoCompressPictures="0"/>
  <mc:AlternateContent xmlns:mc="http://schemas.openxmlformats.org/markup-compatibility/2006">
    <mc:Choice Requires="x15">
      <x15ac:absPath xmlns:x15ac="http://schemas.microsoft.com/office/spreadsheetml/2010/11/ac" url="C:\Users\Admin\Downloads\"/>
    </mc:Choice>
  </mc:AlternateContent>
  <xr:revisionPtr revIDLastSave="0" documentId="13_ncr:1_{DC3C8FF7-3A02-4EB0-9A0F-5F4CEFD62C80}" xr6:coauthVersionLast="47" xr6:coauthVersionMax="47" xr10:uidLastSave="{00000000-0000-0000-0000-000000000000}"/>
  <bookViews>
    <workbookView xWindow="-108" yWindow="-108" windowWidth="23256" windowHeight="12720" tabRatio="747" xr2:uid="{00000000-000D-0000-FFFF-FFFF00000000}"/>
  </bookViews>
  <sheets>
    <sheet name="Параметры" sheetId="1" r:id="rId1"/>
    <sheet name="Старт" sheetId="10" state="hidden" r:id="rId2"/>
    <sheet name="Проект" sheetId="2" r:id="rId3"/>
    <sheet name="Результаты" sheetId="4" r:id="rId4"/>
    <sheet name="Графики" sheetId="11" r:id="rId5"/>
    <sheet name="Сценарии" sheetId="5" state="hidden" r:id="rId6"/>
    <sheet name="Отчет" sheetId="7" r:id="rId7"/>
    <sheet name="Language" sheetId="8" state="hidden" r:id="rId8"/>
    <sheet name="Options" sheetId="9" state="hidden" r:id="rId9"/>
  </sheets>
  <functionGroups builtInGroupCount="19"/>
  <externalReferences>
    <externalReference r:id="rId10"/>
  </externalReferences>
  <definedNames>
    <definedName name="AI_Version">[1]Options!$B$5</definedName>
    <definedName name="CalcMethod">[1]Проект!$B$77</definedName>
    <definedName name="CurName1">Параметры!$B$42</definedName>
    <definedName name="CurName2">Параметры!$B$52</definedName>
    <definedName name="CurName3">Параметры!$B$58</definedName>
    <definedName name="IS_DEMO">[1]Options!$B$7</definedName>
    <definedName name="IS_ESTATE">[1]Options!$B$11</definedName>
    <definedName name="IS_SUMM">[1]Options!$B$10</definedName>
    <definedName name="IS_TRIAL">[1]Options!$B$8</definedName>
    <definedName name="LanguageID">[1]Language!$A$2</definedName>
    <definedName name="Opt_BuildDate">Options!$B$13</definedName>
    <definedName name="Opt_ChartSheet">Options!$A$26</definedName>
    <definedName name="Opt_Colors">Options!$A$40</definedName>
    <definedName name="Opt_DataSheet">Options!$A$23</definedName>
    <definedName name="Opt_Defaults">Options!$A$42</definedName>
    <definedName name="Opt_DlgPrint">Options!$B$18</definedName>
    <definedName name="Opt_IsBuilt">Options!$B$12</definedName>
    <definedName name="Opt_IsDemo">Options!$B$15</definedName>
    <definedName name="Opt_IsSumm">Options!$B$14</definedName>
    <definedName name="Opt_MainSheet">Options!$A$21</definedName>
    <definedName name="Opt_ReportSheet">Options!$A$27</definedName>
    <definedName name="Opt_ResultSheet">Options!$A$24</definedName>
    <definedName name="Opt_ScenSheet">Options!$A$25</definedName>
    <definedName name="Opt_Sheets">Options!$A$20</definedName>
    <definedName name="Opt_SPInfo" hidden="1">Options!$B$16</definedName>
    <definedName name="Opt_StartSheet">Options!$A$22</definedName>
    <definedName name="Opt_Themes">Options!$A$29</definedName>
    <definedName name="Opt_UniqueID">Options!$B$17</definedName>
    <definedName name="Opt_Version">Options!$B$8</definedName>
    <definedName name="PORT_PrjPeriods">[1]Портфель!$A$27</definedName>
    <definedName name="Prj_Cur1">Параметры!$D$42</definedName>
    <definedName name="Prj_Cur2">Параметры!$D$52</definedName>
    <definedName name="Prj_Cur3">Параметры!$D$58</definedName>
    <definedName name="Prj_CurReport">Параметры!$B$64</definedName>
    <definedName name="Prj_Inflation">Параметры!$B$40</definedName>
    <definedName name="Prj_Invest">Параметры!$D$18</definedName>
    <definedName name="Prj_Language">Параметры!$D$8</definedName>
    <definedName name="Prj_Len">Параметры!$D$17</definedName>
    <definedName name="Prj_Name">Параметры!$A$4</definedName>
    <definedName name="Prj_Period">Параметры!$D$19</definedName>
    <definedName name="Prj_Protect">Параметры!$D$9</definedName>
    <definedName name="Prj_StartDate">Параметры!$B$16</definedName>
    <definedName name="Prj_StartMonth">Параметры!$B$23</definedName>
    <definedName name="Prj_StartYear">Параметры!$B$22</definedName>
    <definedName name="Prj_Step">Параметры!$D$21</definedName>
    <definedName name="Prj_Style">Параметры!$D$10</definedName>
    <definedName name="Prj_Tax1">Параметры!$D$72</definedName>
    <definedName name="Prj_Tax2">Параметры!$D$79</definedName>
    <definedName name="Prj_Tax3">Параметры!$D$86</definedName>
    <definedName name="Prj_Tax4">Параметры!$D$96</definedName>
    <definedName name="Prj_Tax5">Параметры!$D$102</definedName>
    <definedName name="Prj_Tax6">Параметры!$D$107</definedName>
    <definedName name="Prj_VAT">Параметры!$B$74</definedName>
    <definedName name="Sens_Discount">Параметры!$B$129</definedName>
    <definedName name="Sens_Exp1">Проект!$G$526:$BC$538</definedName>
    <definedName name="Sens_Exp2">Проект!$G$552:$BC$564</definedName>
    <definedName name="Sens_Exp3">Проект!$G$539:$BC$551</definedName>
    <definedName name="Sens_Exp4">Проект!$G$526:$BC$566</definedName>
    <definedName name="Sens_Invest">Проект!$G$943:$BC$988</definedName>
    <definedName name="Sens_IRR1">Результаты!$B$291</definedName>
    <definedName name="Sens_IRR2">Результаты!$B$340</definedName>
    <definedName name="Sens_IRR3">Результаты!$B$382</definedName>
    <definedName name="Sens_Item" localSheetId="4">Графики!$D$213</definedName>
    <definedName name="Sens_ItemFrom" localSheetId="4">Графики!$L$213</definedName>
    <definedName name="Sens_ItemStep" localSheetId="4">Графики!$L$214</definedName>
    <definedName name="Sens_Line" localSheetId="4">Графики!$D$219</definedName>
    <definedName name="Sens_Mat">Проект!$G$268:$BC$280</definedName>
    <definedName name="Sens_NPV1">Результаты!$B$289</definedName>
    <definedName name="Sens_NPV2">Результаты!$B$338</definedName>
    <definedName name="Sens_NPV3">Результаты!$B$380</definedName>
    <definedName name="Sens_Param" localSheetId="4">Графики!$D$212</definedName>
    <definedName name="Sens_ParamFrom" localSheetId="4">Графики!$H$213</definedName>
    <definedName name="Sens_Params" localSheetId="4">Графики!$G$252</definedName>
    <definedName name="Sens_ParamStep" localSheetId="4">Графики!$H$214</definedName>
    <definedName name="Sens_PBP1">Результаты!$B$300</definedName>
    <definedName name="Sens_PBP2">Результаты!$B$349</definedName>
    <definedName name="Sens_PBP3">Результаты!$B$391</definedName>
    <definedName name="Sens_Price">Проект!$G$128:$BC$135</definedName>
    <definedName name="Sens_Profit">Результаты!$BD$117</definedName>
    <definedName name="Sens_Result" localSheetId="4">Графики!$D$216</definedName>
    <definedName name="Sens_Results" localSheetId="4">Графики!$G$264</definedName>
    <definedName name="Sens_Sales">Проект!$G$128:$BC$136,Проект!$G$268:$BC$280</definedName>
    <definedName name="Sens_Staff">Проект!$G$386:$BC$419</definedName>
    <definedName name="Sens_Table" localSheetId="4">Графики!$G$219:$N$224</definedName>
  </definedNames>
  <calcPr calcId="191029" calcOnSave="0"/>
  <extLst>
    <ext xmlns:mx="http://schemas.microsoft.com/office/mac/excel/2008/main" uri="{7523E5D3-25F3-A5E0-1632-64F254C22452}">
      <mx:ArchID Flags="2"/>
    </ext>
  </extLst>
</workbook>
</file>

<file path=xl/calcChain.xml><?xml version="1.0" encoding="utf-8"?>
<calcChain xmlns="http://schemas.openxmlformats.org/spreadsheetml/2006/main">
  <c r="A306" i="7" l="1"/>
  <c r="AY305" i="7"/>
  <c r="AX305" i="7"/>
  <c r="AW305" i="7"/>
  <c r="AV305" i="7"/>
  <c r="AU305" i="7"/>
  <c r="AT305" i="7"/>
  <c r="AS305" i="7"/>
  <c r="AR305" i="7"/>
  <c r="AQ305" i="7"/>
  <c r="AP305" i="7"/>
  <c r="AO305" i="7"/>
  <c r="AN305" i="7"/>
  <c r="AM305" i="7"/>
  <c r="AL305" i="7"/>
  <c r="AK305" i="7"/>
  <c r="AJ305" i="7"/>
  <c r="AI305" i="7"/>
  <c r="AH305" i="7"/>
  <c r="AG305" i="7"/>
  <c r="AF305" i="7"/>
  <c r="AE305" i="7"/>
  <c r="AD305" i="7"/>
  <c r="AC305" i="7"/>
  <c r="AB305" i="7"/>
  <c r="AA305" i="7"/>
  <c r="Z305" i="7"/>
  <c r="Y305" i="7"/>
  <c r="X305" i="7"/>
  <c r="W305" i="7"/>
  <c r="V305" i="7"/>
  <c r="U305" i="7"/>
  <c r="T305" i="7"/>
  <c r="S305" i="7"/>
  <c r="R305" i="7"/>
  <c r="Q305" i="7"/>
  <c r="P305" i="7"/>
  <c r="O305" i="7"/>
  <c r="N305" i="7"/>
  <c r="M305" i="7"/>
  <c r="L305" i="7"/>
  <c r="A303" i="7"/>
  <c r="A302" i="7"/>
  <c r="AY301" i="7"/>
  <c r="AX301" i="7"/>
  <c r="AW301" i="7"/>
  <c r="AV301" i="7"/>
  <c r="AU301" i="7"/>
  <c r="AT301" i="7"/>
  <c r="AS301" i="7"/>
  <c r="AR301" i="7"/>
  <c r="AQ301" i="7"/>
  <c r="AP301" i="7"/>
  <c r="AO301" i="7"/>
  <c r="AN301" i="7"/>
  <c r="AM301" i="7"/>
  <c r="AL301" i="7"/>
  <c r="AK301" i="7"/>
  <c r="AJ301" i="7"/>
  <c r="AI301" i="7"/>
  <c r="AH301" i="7"/>
  <c r="AG301" i="7"/>
  <c r="AF301" i="7"/>
  <c r="AE301" i="7"/>
  <c r="AD301" i="7"/>
  <c r="AC301" i="7"/>
  <c r="AB301" i="7"/>
  <c r="AA301" i="7"/>
  <c r="Z301" i="7"/>
  <c r="Y301" i="7"/>
  <c r="X301" i="7"/>
  <c r="W301" i="7"/>
  <c r="V301" i="7"/>
  <c r="U301" i="7"/>
  <c r="T301" i="7"/>
  <c r="S301" i="7"/>
  <c r="R301" i="7"/>
  <c r="Q301" i="7"/>
  <c r="P301" i="7"/>
  <c r="O301" i="7"/>
  <c r="N301" i="7"/>
  <c r="A299" i="7"/>
  <c r="A298" i="7"/>
  <c r="A297" i="7"/>
  <c r="A296" i="7"/>
  <c r="AY295" i="7"/>
  <c r="AX295" i="7"/>
  <c r="AW295" i="7"/>
  <c r="AV295" i="7"/>
  <c r="AU295" i="7"/>
  <c r="AT295" i="7"/>
  <c r="AS295" i="7"/>
  <c r="AR295" i="7"/>
  <c r="AQ295" i="7"/>
  <c r="AP295" i="7"/>
  <c r="AO295" i="7"/>
  <c r="AN295" i="7"/>
  <c r="AM295" i="7"/>
  <c r="AL295" i="7"/>
  <c r="AK295" i="7"/>
  <c r="AJ295" i="7"/>
  <c r="AI295" i="7"/>
  <c r="AH295" i="7"/>
  <c r="AG295" i="7"/>
  <c r="AF295" i="7"/>
  <c r="AE295" i="7"/>
  <c r="AD295" i="7"/>
  <c r="AC295" i="7"/>
  <c r="AB295" i="7"/>
  <c r="AA295" i="7"/>
  <c r="Z295" i="7"/>
  <c r="Y295" i="7"/>
  <c r="X295" i="7"/>
  <c r="W295" i="7"/>
  <c r="V295" i="7"/>
  <c r="U295" i="7"/>
  <c r="T295" i="7"/>
  <c r="S295" i="7"/>
  <c r="R295" i="7"/>
  <c r="Q295" i="7"/>
  <c r="P295" i="7"/>
  <c r="O295" i="7"/>
  <c r="N295" i="7"/>
  <c r="M295" i="7"/>
  <c r="L295" i="7"/>
  <c r="AZ293" i="7"/>
  <c r="AY293" i="7"/>
  <c r="AX293" i="7"/>
  <c r="AW293" i="7"/>
  <c r="AV293" i="7"/>
  <c r="AU293" i="7"/>
  <c r="AT293" i="7"/>
  <c r="AS293" i="7"/>
  <c r="AR293" i="7"/>
  <c r="AQ293" i="7"/>
  <c r="AP293" i="7"/>
  <c r="AO293" i="7"/>
  <c r="AN293" i="7"/>
  <c r="AM293" i="7"/>
  <c r="AL293" i="7"/>
  <c r="AK293" i="7"/>
  <c r="AJ293" i="7"/>
  <c r="AI293" i="7"/>
  <c r="AH293" i="7"/>
  <c r="AG293" i="7"/>
  <c r="AF293" i="7"/>
  <c r="AE293" i="7"/>
  <c r="AD293" i="7"/>
  <c r="AC293" i="7"/>
  <c r="AB293" i="7"/>
  <c r="AA293" i="7"/>
  <c r="Z293" i="7"/>
  <c r="Y293" i="7"/>
  <c r="X293" i="7"/>
  <c r="W293" i="7"/>
  <c r="V293" i="7"/>
  <c r="U293" i="7"/>
  <c r="T293" i="7"/>
  <c r="S293" i="7"/>
  <c r="R293" i="7"/>
  <c r="Q293" i="7"/>
  <c r="P293" i="7"/>
  <c r="O293" i="7"/>
  <c r="N293" i="7"/>
  <c r="M293" i="7"/>
  <c r="L293" i="7"/>
  <c r="K293" i="7"/>
  <c r="J293" i="7"/>
  <c r="I293" i="7"/>
  <c r="H293" i="7"/>
  <c r="G293" i="7"/>
  <c r="F293" i="7"/>
  <c r="E293" i="7"/>
  <c r="D293" i="7"/>
  <c r="B293" i="7"/>
  <c r="A293" i="7"/>
  <c r="AZ292" i="7"/>
  <c r="AY292" i="7"/>
  <c r="AX292" i="7"/>
  <c r="AW292" i="7"/>
  <c r="AV292" i="7"/>
  <c r="AU292" i="7"/>
  <c r="AT292" i="7"/>
  <c r="AS292" i="7"/>
  <c r="AR292" i="7"/>
  <c r="AQ292" i="7"/>
  <c r="AP292" i="7"/>
  <c r="AO292" i="7"/>
  <c r="AN292" i="7"/>
  <c r="AM292" i="7"/>
  <c r="AL292" i="7"/>
  <c r="AK292" i="7"/>
  <c r="AJ292" i="7"/>
  <c r="AI292" i="7"/>
  <c r="AH292" i="7"/>
  <c r="AG292" i="7"/>
  <c r="AF292" i="7"/>
  <c r="AE292" i="7"/>
  <c r="AD292" i="7"/>
  <c r="AC292" i="7"/>
  <c r="AB292" i="7"/>
  <c r="AA292" i="7"/>
  <c r="Z292" i="7"/>
  <c r="Y292" i="7"/>
  <c r="X292" i="7"/>
  <c r="W292" i="7"/>
  <c r="V292" i="7"/>
  <c r="U292" i="7"/>
  <c r="T292" i="7"/>
  <c r="S292" i="7"/>
  <c r="R292" i="7"/>
  <c r="Q292" i="7"/>
  <c r="P292" i="7"/>
  <c r="O292" i="7"/>
  <c r="N292" i="7"/>
  <c r="M292" i="7"/>
  <c r="L292" i="7"/>
  <c r="K292" i="7"/>
  <c r="J292" i="7"/>
  <c r="I292" i="7"/>
  <c r="H292" i="7"/>
  <c r="G292" i="7"/>
  <c r="F292" i="7"/>
  <c r="E292" i="7"/>
  <c r="D292" i="7"/>
  <c r="B292" i="7"/>
  <c r="C216" i="7"/>
  <c r="G212" i="7"/>
  <c r="F212" i="7"/>
  <c r="E212" i="7"/>
  <c r="D212" i="7"/>
  <c r="C211" i="7"/>
  <c r="H203" i="7"/>
  <c r="G203" i="7"/>
  <c r="F203" i="7"/>
  <c r="E203" i="7"/>
  <c r="D203" i="7"/>
  <c r="H202" i="7"/>
  <c r="G202" i="7"/>
  <c r="F202" i="7"/>
  <c r="E202" i="7"/>
  <c r="D202" i="7"/>
  <c r="G193" i="7"/>
  <c r="F193" i="7"/>
  <c r="E193" i="7"/>
  <c r="D193" i="7"/>
  <c r="G192" i="7"/>
  <c r="F192" i="7"/>
  <c r="E192" i="7"/>
  <c r="D192" i="7"/>
  <c r="C192" i="7"/>
  <c r="C191" i="7"/>
  <c r="B191" i="7"/>
  <c r="G189" i="7"/>
  <c r="F189" i="7"/>
  <c r="E189" i="7"/>
  <c r="D189" i="7"/>
  <c r="H184" i="7"/>
  <c r="G184" i="7"/>
  <c r="F184" i="7"/>
  <c r="E184" i="7"/>
  <c r="D184" i="7"/>
  <c r="H179" i="7"/>
  <c r="G179" i="7"/>
  <c r="F179" i="7"/>
  <c r="E179" i="7"/>
  <c r="D179" i="7"/>
  <c r="H178" i="7"/>
  <c r="G178" i="7"/>
  <c r="F178" i="7"/>
  <c r="E178" i="7"/>
  <c r="D178" i="7"/>
  <c r="G176" i="7"/>
  <c r="F176" i="7"/>
  <c r="E176" i="7"/>
  <c r="H171" i="7"/>
  <c r="G171" i="7"/>
  <c r="F171" i="7"/>
  <c r="E171" i="7"/>
  <c r="D171" i="7"/>
  <c r="H166" i="7"/>
  <c r="G166" i="7"/>
  <c r="F166" i="7"/>
  <c r="E166" i="7"/>
  <c r="D166" i="7"/>
  <c r="G156" i="7"/>
  <c r="F156" i="7"/>
  <c r="E156" i="7"/>
  <c r="D156" i="7"/>
  <c r="A150" i="7"/>
  <c r="G149" i="7"/>
  <c r="F149" i="7"/>
  <c r="E149" i="7"/>
  <c r="A147" i="7"/>
  <c r="A146" i="7"/>
  <c r="G145" i="7"/>
  <c r="F145" i="7"/>
  <c r="E145" i="7"/>
  <c r="A143" i="7"/>
  <c r="A142" i="7"/>
  <c r="A141" i="7"/>
  <c r="A140" i="7"/>
  <c r="G139" i="7"/>
  <c r="F139" i="7"/>
  <c r="E139" i="7"/>
  <c r="H137" i="7"/>
  <c r="G137" i="7"/>
  <c r="F137" i="7"/>
  <c r="E137" i="7"/>
  <c r="D137" i="7"/>
  <c r="B137" i="7"/>
  <c r="A137" i="7"/>
  <c r="H136" i="7"/>
  <c r="G136" i="7"/>
  <c r="F136" i="7"/>
  <c r="E136" i="7"/>
  <c r="D136" i="7"/>
  <c r="B136" i="7"/>
  <c r="G134" i="7"/>
  <c r="F134" i="7"/>
  <c r="E134" i="7"/>
  <c r="D134" i="7"/>
  <c r="A126" i="7"/>
  <c r="A123" i="7"/>
  <c r="A122" i="7"/>
  <c r="A121" i="7"/>
  <c r="A120" i="7"/>
  <c r="A119" i="7"/>
  <c r="A118" i="7"/>
  <c r="A113" i="7"/>
  <c r="A110" i="7"/>
  <c r="A109" i="7"/>
  <c r="A106" i="7"/>
  <c r="A105" i="7"/>
  <c r="A104" i="7"/>
  <c r="A103" i="7"/>
  <c r="A102" i="7"/>
  <c r="A97" i="7"/>
  <c r="A96" i="7"/>
  <c r="A95" i="7"/>
  <c r="G92" i="7"/>
  <c r="F92" i="7"/>
  <c r="E92" i="7"/>
  <c r="D92" i="7"/>
  <c r="A88" i="7"/>
  <c r="A87" i="7"/>
  <c r="A86" i="7"/>
  <c r="A85" i="7"/>
  <c r="G82" i="7"/>
  <c r="F82" i="7"/>
  <c r="E82" i="7"/>
  <c r="D82" i="7"/>
  <c r="G78" i="7"/>
  <c r="F78" i="7"/>
  <c r="E78" i="7"/>
  <c r="D78" i="7"/>
  <c r="B71" i="7"/>
  <c r="G70" i="7"/>
  <c r="F70" i="7"/>
  <c r="E70" i="7"/>
  <c r="D70" i="7"/>
  <c r="B70" i="7"/>
  <c r="A69" i="7"/>
  <c r="B64" i="7"/>
  <c r="G63" i="7"/>
  <c r="F63" i="7"/>
  <c r="E63" i="7"/>
  <c r="D63" i="7"/>
  <c r="B63" i="7"/>
  <c r="A62" i="7"/>
  <c r="B60" i="7"/>
  <c r="G59" i="7"/>
  <c r="F59" i="7"/>
  <c r="E59" i="7"/>
  <c r="D59" i="7"/>
  <c r="B59" i="7"/>
  <c r="A58" i="7"/>
  <c r="B53" i="7"/>
  <c r="G52" i="7"/>
  <c r="F52" i="7"/>
  <c r="E52" i="7"/>
  <c r="D52" i="7"/>
  <c r="B52" i="7"/>
  <c r="A51" i="7"/>
  <c r="B49" i="7"/>
  <c r="G48" i="7"/>
  <c r="F48" i="7"/>
  <c r="E48" i="7"/>
  <c r="D48" i="7"/>
  <c r="B48" i="7"/>
  <c r="A47" i="7"/>
  <c r="B45" i="7"/>
  <c r="G44" i="7"/>
  <c r="F44" i="7"/>
  <c r="E44" i="7"/>
  <c r="D44" i="7"/>
  <c r="B44" i="7"/>
  <c r="A43" i="7"/>
  <c r="B41" i="7"/>
  <c r="G40" i="7"/>
  <c r="F40" i="7"/>
  <c r="E40" i="7"/>
  <c r="D40" i="7"/>
  <c r="B40" i="7"/>
  <c r="A39" i="7"/>
  <c r="B37" i="7"/>
  <c r="G36" i="7"/>
  <c r="F36" i="7"/>
  <c r="E36" i="7"/>
  <c r="D36" i="7"/>
  <c r="B36" i="7"/>
  <c r="A35" i="7"/>
  <c r="G31" i="7"/>
  <c r="F31" i="7"/>
  <c r="E31" i="7"/>
  <c r="D31" i="7"/>
  <c r="B23" i="7"/>
  <c r="G22" i="7"/>
  <c r="F22" i="7"/>
  <c r="E22" i="7"/>
  <c r="D22" i="7"/>
  <c r="H21" i="7"/>
  <c r="G21" i="7"/>
  <c r="F21" i="7"/>
  <c r="E21" i="7"/>
  <c r="D21" i="7"/>
  <c r="C21" i="7"/>
  <c r="A20" i="7"/>
  <c r="B18" i="7"/>
  <c r="G17" i="7"/>
  <c r="F17" i="7"/>
  <c r="E17" i="7"/>
  <c r="D17" i="7"/>
  <c r="H16" i="7"/>
  <c r="G16" i="7"/>
  <c r="F16" i="7"/>
  <c r="E16" i="7"/>
  <c r="D16" i="7"/>
  <c r="C16" i="7"/>
  <c r="A15" i="7"/>
  <c r="B13" i="7"/>
  <c r="G12" i="7"/>
  <c r="F12" i="7"/>
  <c r="E12" i="7"/>
  <c r="D12" i="7"/>
  <c r="H11" i="7"/>
  <c r="G11" i="7"/>
  <c r="F11" i="7"/>
  <c r="E11" i="7"/>
  <c r="D11" i="7"/>
  <c r="C11" i="7"/>
  <c r="A10" i="7"/>
  <c r="B8" i="7"/>
  <c r="G7" i="7"/>
  <c r="F7" i="7"/>
  <c r="E7" i="7"/>
  <c r="D7" i="7"/>
  <c r="H6" i="7"/>
  <c r="G6" i="7"/>
  <c r="F6" i="7"/>
  <c r="E6" i="7"/>
  <c r="D6" i="7"/>
  <c r="C6" i="7"/>
  <c r="B6" i="7"/>
  <c r="A5" i="7"/>
  <c r="G3" i="7"/>
  <c r="F3" i="7"/>
  <c r="E3" i="7"/>
  <c r="D3" i="7"/>
  <c r="B47" i="2"/>
  <c r="A56" i="4"/>
  <c r="D508" i="2"/>
  <c r="BB507" i="2"/>
  <c r="BA507" i="2"/>
  <c r="AZ507" i="2"/>
  <c r="AY507" i="2"/>
  <c r="AX507" i="2"/>
  <c r="AW507" i="2"/>
  <c r="AV507" i="2"/>
  <c r="AU507" i="2"/>
  <c r="AT507" i="2"/>
  <c r="AS507" i="2"/>
  <c r="AR507" i="2"/>
  <c r="AQ507" i="2"/>
  <c r="AP507" i="2"/>
  <c r="AO507" i="2"/>
  <c r="AN507" i="2"/>
  <c r="AM507" i="2"/>
  <c r="AL507" i="2"/>
  <c r="AK507" i="2"/>
  <c r="AJ507" i="2"/>
  <c r="AI507" i="2"/>
  <c r="AH507" i="2"/>
  <c r="AG507" i="2"/>
  <c r="AF507" i="2"/>
  <c r="AE507" i="2"/>
  <c r="AD507" i="2"/>
  <c r="AC507" i="2"/>
  <c r="AB507" i="2"/>
  <c r="AA507" i="2"/>
  <c r="Z507" i="2"/>
  <c r="Y507" i="2"/>
  <c r="X507" i="2"/>
  <c r="W507" i="2"/>
  <c r="V507" i="2"/>
  <c r="U507" i="2"/>
  <c r="T507" i="2"/>
  <c r="S507" i="2"/>
  <c r="R507" i="2"/>
  <c r="Q507" i="2"/>
  <c r="P507" i="2"/>
  <c r="O507" i="2"/>
  <c r="N507" i="2"/>
  <c r="M507" i="2"/>
  <c r="L507" i="2"/>
  <c r="K507" i="2"/>
  <c r="J507" i="2"/>
  <c r="I507" i="2"/>
  <c r="H507" i="2"/>
  <c r="G507" i="2"/>
  <c r="BA504" i="2"/>
  <c r="AS504" i="2"/>
  <c r="AK504" i="2"/>
  <c r="AC504" i="2"/>
  <c r="U504" i="2"/>
  <c r="M504" i="2"/>
  <c r="D503" i="2"/>
  <c r="D501" i="2"/>
  <c r="AY504" i="2" s="1"/>
  <c r="B500" i="2"/>
  <c r="A55" i="4"/>
  <c r="D498" i="2"/>
  <c r="BB497" i="2"/>
  <c r="BA497" i="2"/>
  <c r="AZ497" i="2"/>
  <c r="AY497" i="2"/>
  <c r="AX497" i="2"/>
  <c r="AW497" i="2"/>
  <c r="AV497" i="2"/>
  <c r="AU497" i="2"/>
  <c r="AT497" i="2"/>
  <c r="AS497" i="2"/>
  <c r="AR497" i="2"/>
  <c r="AQ497" i="2"/>
  <c r="AP497" i="2"/>
  <c r="AO497" i="2"/>
  <c r="AN497" i="2"/>
  <c r="AM497" i="2"/>
  <c r="AL497" i="2"/>
  <c r="AK497" i="2"/>
  <c r="AJ497" i="2"/>
  <c r="AI497" i="2"/>
  <c r="AH497" i="2"/>
  <c r="AG497" i="2"/>
  <c r="AF497" i="2"/>
  <c r="AE497" i="2"/>
  <c r="AD497" i="2"/>
  <c r="AC497" i="2"/>
  <c r="AB497" i="2"/>
  <c r="AA497" i="2"/>
  <c r="Z497" i="2"/>
  <c r="Y497" i="2"/>
  <c r="X497" i="2"/>
  <c r="W497" i="2"/>
  <c r="V497" i="2"/>
  <c r="U497" i="2"/>
  <c r="T497" i="2"/>
  <c r="S497" i="2"/>
  <c r="R497" i="2"/>
  <c r="Q497" i="2"/>
  <c r="P497" i="2"/>
  <c r="O497" i="2"/>
  <c r="N497" i="2"/>
  <c r="M497" i="2"/>
  <c r="L497" i="2"/>
  <c r="K497" i="2"/>
  <c r="J497" i="2"/>
  <c r="I497" i="2"/>
  <c r="H497" i="2"/>
  <c r="G497" i="2"/>
  <c r="BB494" i="2"/>
  <c r="BA494" i="2"/>
  <c r="AZ494" i="2"/>
  <c r="AS494" i="2"/>
  <c r="AK494" i="2"/>
  <c r="AJ494" i="2"/>
  <c r="AD494" i="2"/>
  <c r="AC494" i="2"/>
  <c r="V494" i="2"/>
  <c r="U494" i="2"/>
  <c r="N494" i="2"/>
  <c r="M494" i="2"/>
  <c r="L494" i="2"/>
  <c r="D493" i="2"/>
  <c r="D491" i="2"/>
  <c r="AY494" i="2" s="1"/>
  <c r="B490" i="2"/>
  <c r="H994" i="2"/>
  <c r="I994" i="2"/>
  <c r="J994" i="2"/>
  <c r="K994" i="2"/>
  <c r="L994" i="2"/>
  <c r="M994" i="2"/>
  <c r="N994" i="2"/>
  <c r="O994" i="2"/>
  <c r="P994" i="2"/>
  <c r="Q994" i="2"/>
  <c r="R994" i="2"/>
  <c r="S994" i="2"/>
  <c r="T994" i="2"/>
  <c r="U994" i="2"/>
  <c r="V994" i="2"/>
  <c r="W994" i="2"/>
  <c r="X994" i="2"/>
  <c r="Y994" i="2"/>
  <c r="Z994" i="2"/>
  <c r="AA994" i="2"/>
  <c r="AB994" i="2"/>
  <c r="AC994" i="2"/>
  <c r="AD994" i="2"/>
  <c r="AE994" i="2"/>
  <c r="AF994" i="2"/>
  <c r="AG994" i="2"/>
  <c r="AH994" i="2"/>
  <c r="AI994" i="2"/>
  <c r="AJ994" i="2"/>
  <c r="AK994" i="2"/>
  <c r="AL994" i="2"/>
  <c r="AM994" i="2"/>
  <c r="AN994" i="2"/>
  <c r="AO994" i="2"/>
  <c r="AP994" i="2"/>
  <c r="AQ994" i="2"/>
  <c r="AR994" i="2"/>
  <c r="AS994" i="2"/>
  <c r="AT994" i="2"/>
  <c r="AU994" i="2"/>
  <c r="AV994" i="2"/>
  <c r="AW994" i="2"/>
  <c r="AX994" i="2"/>
  <c r="AY994" i="2"/>
  <c r="AZ994" i="2"/>
  <c r="BA994" i="2"/>
  <c r="BB994" i="2"/>
  <c r="H993" i="2"/>
  <c r="I993" i="2"/>
  <c r="J993" i="2"/>
  <c r="K993" i="2"/>
  <c r="L993" i="2"/>
  <c r="M993" i="2"/>
  <c r="N993" i="2"/>
  <c r="O993" i="2"/>
  <c r="P993" i="2"/>
  <c r="Q993" i="2"/>
  <c r="R993" i="2"/>
  <c r="S993" i="2"/>
  <c r="T993" i="2"/>
  <c r="U993" i="2"/>
  <c r="V993" i="2"/>
  <c r="W993" i="2"/>
  <c r="X993" i="2"/>
  <c r="Y993" i="2"/>
  <c r="Z993" i="2"/>
  <c r="AA993" i="2"/>
  <c r="AB993" i="2"/>
  <c r="AC993" i="2"/>
  <c r="AD993" i="2"/>
  <c r="AE993" i="2"/>
  <c r="AF993" i="2"/>
  <c r="AG993" i="2"/>
  <c r="AH993" i="2"/>
  <c r="AI993" i="2"/>
  <c r="AJ993" i="2"/>
  <c r="AK993" i="2"/>
  <c r="AL993" i="2"/>
  <c r="AM993" i="2"/>
  <c r="AN993" i="2"/>
  <c r="AO993" i="2"/>
  <c r="AP993" i="2"/>
  <c r="AQ993" i="2"/>
  <c r="AR993" i="2"/>
  <c r="AS993" i="2"/>
  <c r="AT993" i="2"/>
  <c r="AU993" i="2"/>
  <c r="AV993" i="2"/>
  <c r="AW993" i="2"/>
  <c r="AX993" i="2"/>
  <c r="AY993" i="2"/>
  <c r="AZ993" i="2"/>
  <c r="BA993" i="2"/>
  <c r="BB993" i="2"/>
  <c r="G974" i="2"/>
  <c r="H974" i="2"/>
  <c r="I974" i="2"/>
  <c r="J974" i="2"/>
  <c r="K974" i="2"/>
  <c r="L974" i="2"/>
  <c r="M974" i="2"/>
  <c r="N974" i="2"/>
  <c r="O974" i="2"/>
  <c r="P974" i="2"/>
  <c r="Q974" i="2"/>
  <c r="R974" i="2"/>
  <c r="S974" i="2"/>
  <c r="T974" i="2"/>
  <c r="U974" i="2"/>
  <c r="V974" i="2"/>
  <c r="W974" i="2"/>
  <c r="X974" i="2"/>
  <c r="Y974" i="2"/>
  <c r="Z974" i="2"/>
  <c r="AA974" i="2"/>
  <c r="AB974" i="2"/>
  <c r="AC974" i="2"/>
  <c r="AD974" i="2"/>
  <c r="AE974" i="2"/>
  <c r="AF974" i="2"/>
  <c r="AG974" i="2"/>
  <c r="AH974" i="2"/>
  <c r="AI974" i="2"/>
  <c r="AJ974" i="2"/>
  <c r="AK974" i="2"/>
  <c r="AL974" i="2"/>
  <c r="AM974" i="2"/>
  <c r="AN974" i="2"/>
  <c r="AO974" i="2"/>
  <c r="AP974" i="2"/>
  <c r="AQ974" i="2"/>
  <c r="AR974" i="2"/>
  <c r="AS974" i="2"/>
  <c r="AT974" i="2"/>
  <c r="AU974" i="2"/>
  <c r="AV974" i="2"/>
  <c r="AW974" i="2"/>
  <c r="AX974" i="2"/>
  <c r="AY974" i="2"/>
  <c r="AZ974" i="2"/>
  <c r="BA974" i="2"/>
  <c r="BB974" i="2"/>
  <c r="A39" i="4"/>
  <c r="D351" i="2"/>
  <c r="D350" i="2"/>
  <c r="BB349" i="2"/>
  <c r="BA349" i="2"/>
  <c r="AZ349" i="2"/>
  <c r="AY349" i="2"/>
  <c r="AX349" i="2"/>
  <c r="AW349" i="2"/>
  <c r="AV349" i="2"/>
  <c r="AU349" i="2"/>
  <c r="AT349" i="2"/>
  <c r="AS349" i="2"/>
  <c r="AR349" i="2"/>
  <c r="AQ349" i="2"/>
  <c r="AP349" i="2"/>
  <c r="AO349" i="2"/>
  <c r="AN349" i="2"/>
  <c r="AM349" i="2"/>
  <c r="AL349" i="2"/>
  <c r="AK349" i="2"/>
  <c r="AJ349" i="2"/>
  <c r="AI349" i="2"/>
  <c r="AH349" i="2"/>
  <c r="AG349" i="2"/>
  <c r="AF349" i="2"/>
  <c r="AE349" i="2"/>
  <c r="AD349" i="2"/>
  <c r="AC349" i="2"/>
  <c r="AB349" i="2"/>
  <c r="AA349" i="2"/>
  <c r="Z349" i="2"/>
  <c r="Y349" i="2"/>
  <c r="X349" i="2"/>
  <c r="W349" i="2"/>
  <c r="V349" i="2"/>
  <c r="U349" i="2"/>
  <c r="T349" i="2"/>
  <c r="S349" i="2"/>
  <c r="R349" i="2"/>
  <c r="Q349" i="2"/>
  <c r="P349" i="2"/>
  <c r="O349" i="2"/>
  <c r="N349" i="2"/>
  <c r="M349" i="2"/>
  <c r="L349" i="2"/>
  <c r="K349" i="2"/>
  <c r="J349" i="2"/>
  <c r="I349" i="2"/>
  <c r="H349" i="2"/>
  <c r="G349" i="2"/>
  <c r="BB347" i="2"/>
  <c r="BA347" i="2"/>
  <c r="AZ347" i="2"/>
  <c r="AY347" i="2"/>
  <c r="AX347" i="2"/>
  <c r="AW347" i="2"/>
  <c r="AV347" i="2"/>
  <c r="AU347" i="2"/>
  <c r="AT347" i="2"/>
  <c r="AS347" i="2"/>
  <c r="AR347" i="2"/>
  <c r="AQ347" i="2"/>
  <c r="AP347" i="2"/>
  <c r="AO347" i="2"/>
  <c r="AN347" i="2"/>
  <c r="AM347" i="2"/>
  <c r="AL347" i="2"/>
  <c r="AK347" i="2"/>
  <c r="AJ347" i="2"/>
  <c r="AI347" i="2"/>
  <c r="AH347" i="2"/>
  <c r="AG347" i="2"/>
  <c r="AF347" i="2"/>
  <c r="AE347" i="2"/>
  <c r="AD347" i="2"/>
  <c r="AC347" i="2"/>
  <c r="AB347" i="2"/>
  <c r="AA347" i="2"/>
  <c r="Z347" i="2"/>
  <c r="Y347" i="2"/>
  <c r="X347" i="2"/>
  <c r="W347" i="2"/>
  <c r="V347" i="2"/>
  <c r="U347" i="2"/>
  <c r="T347" i="2"/>
  <c r="S347" i="2"/>
  <c r="R347" i="2"/>
  <c r="Q347" i="2"/>
  <c r="P347" i="2"/>
  <c r="O347" i="2"/>
  <c r="N347" i="2"/>
  <c r="M347" i="2"/>
  <c r="L347" i="2"/>
  <c r="K347" i="2"/>
  <c r="J347" i="2"/>
  <c r="I347" i="2"/>
  <c r="H347" i="2"/>
  <c r="G347" i="2"/>
  <c r="D346" i="2"/>
  <c r="A38" i="4"/>
  <c r="D342" i="2"/>
  <c r="D341" i="2"/>
  <c r="BB340" i="2"/>
  <c r="BA340" i="2"/>
  <c r="AZ340" i="2"/>
  <c r="AY340" i="2"/>
  <c r="AX340" i="2"/>
  <c r="AW340" i="2"/>
  <c r="AV340" i="2"/>
  <c r="AU340" i="2"/>
  <c r="AT340" i="2"/>
  <c r="AS340" i="2"/>
  <c r="AR340" i="2"/>
  <c r="AQ340" i="2"/>
  <c r="AP340" i="2"/>
  <c r="AO340" i="2"/>
  <c r="AN340" i="2"/>
  <c r="AM340" i="2"/>
  <c r="AL340" i="2"/>
  <c r="AK340" i="2"/>
  <c r="AJ340" i="2"/>
  <c r="AI340" i="2"/>
  <c r="AH340" i="2"/>
  <c r="AG340" i="2"/>
  <c r="AF340" i="2"/>
  <c r="AE340" i="2"/>
  <c r="AD340" i="2"/>
  <c r="AC340" i="2"/>
  <c r="AB340" i="2"/>
  <c r="AA340" i="2"/>
  <c r="Z340" i="2"/>
  <c r="Y340" i="2"/>
  <c r="X340" i="2"/>
  <c r="W340" i="2"/>
  <c r="V340" i="2"/>
  <c r="U340" i="2"/>
  <c r="T340" i="2"/>
  <c r="S340" i="2"/>
  <c r="R340" i="2"/>
  <c r="Q340" i="2"/>
  <c r="P340" i="2"/>
  <c r="O340" i="2"/>
  <c r="N340" i="2"/>
  <c r="M340" i="2"/>
  <c r="L340" i="2"/>
  <c r="K340" i="2"/>
  <c r="J340" i="2"/>
  <c r="I340" i="2"/>
  <c r="H340" i="2"/>
  <c r="G340" i="2"/>
  <c r="BB338" i="2"/>
  <c r="BA338" i="2"/>
  <c r="AZ338" i="2"/>
  <c r="AY338" i="2"/>
  <c r="AX338" i="2"/>
  <c r="AW338" i="2"/>
  <c r="AV338" i="2"/>
  <c r="AU338" i="2"/>
  <c r="AT338" i="2"/>
  <c r="AS338" i="2"/>
  <c r="AR338" i="2"/>
  <c r="AQ338" i="2"/>
  <c r="AP338" i="2"/>
  <c r="AO338" i="2"/>
  <c r="AN338" i="2"/>
  <c r="AM338" i="2"/>
  <c r="AL338" i="2"/>
  <c r="AK338" i="2"/>
  <c r="AJ338" i="2"/>
  <c r="AI338" i="2"/>
  <c r="AH338" i="2"/>
  <c r="AG338" i="2"/>
  <c r="AF338" i="2"/>
  <c r="AE338" i="2"/>
  <c r="AD338" i="2"/>
  <c r="AC338" i="2"/>
  <c r="AB338" i="2"/>
  <c r="AA338" i="2"/>
  <c r="Z338" i="2"/>
  <c r="Y338" i="2"/>
  <c r="X338" i="2"/>
  <c r="W338" i="2"/>
  <c r="V338" i="2"/>
  <c r="U338" i="2"/>
  <c r="T338" i="2"/>
  <c r="S338" i="2"/>
  <c r="R338" i="2"/>
  <c r="Q338" i="2"/>
  <c r="P338" i="2"/>
  <c r="O338" i="2"/>
  <c r="N338" i="2"/>
  <c r="M338" i="2"/>
  <c r="L338" i="2"/>
  <c r="K338" i="2"/>
  <c r="J338" i="2"/>
  <c r="I338" i="2"/>
  <c r="H338" i="2"/>
  <c r="G338" i="2"/>
  <c r="D337" i="2"/>
  <c r="A37" i="4"/>
  <c r="D333" i="2"/>
  <c r="D332" i="2"/>
  <c r="BB331" i="2"/>
  <c r="BA331" i="2"/>
  <c r="AZ331" i="2"/>
  <c r="AY331" i="2"/>
  <c r="AX331" i="2"/>
  <c r="AW331" i="2"/>
  <c r="AV331" i="2"/>
  <c r="AU331" i="2"/>
  <c r="AT331" i="2"/>
  <c r="AS331" i="2"/>
  <c r="AR331" i="2"/>
  <c r="AQ331" i="2"/>
  <c r="AP331" i="2"/>
  <c r="AO331" i="2"/>
  <c r="AN331" i="2"/>
  <c r="AM331" i="2"/>
  <c r="AL331" i="2"/>
  <c r="AK331" i="2"/>
  <c r="AJ331" i="2"/>
  <c r="AI331" i="2"/>
  <c r="AH331" i="2"/>
  <c r="AG331" i="2"/>
  <c r="AF331" i="2"/>
  <c r="AE331" i="2"/>
  <c r="AD331" i="2"/>
  <c r="AC331" i="2"/>
  <c r="AB331" i="2"/>
  <c r="AA331" i="2"/>
  <c r="Z331" i="2"/>
  <c r="Y331" i="2"/>
  <c r="X331" i="2"/>
  <c r="W331" i="2"/>
  <c r="V331" i="2"/>
  <c r="U331" i="2"/>
  <c r="T331" i="2"/>
  <c r="S331" i="2"/>
  <c r="R331" i="2"/>
  <c r="Q331" i="2"/>
  <c r="P331" i="2"/>
  <c r="O331" i="2"/>
  <c r="N331" i="2"/>
  <c r="M331" i="2"/>
  <c r="L331" i="2"/>
  <c r="K331" i="2"/>
  <c r="J331" i="2"/>
  <c r="I331" i="2"/>
  <c r="H331" i="2"/>
  <c r="G331" i="2"/>
  <c r="BB329" i="2"/>
  <c r="BA329" i="2"/>
  <c r="AZ329" i="2"/>
  <c r="AY329" i="2"/>
  <c r="AX329" i="2"/>
  <c r="AW329" i="2"/>
  <c r="AV329" i="2"/>
  <c r="AU329" i="2"/>
  <c r="AT329" i="2"/>
  <c r="AS329" i="2"/>
  <c r="AR329" i="2"/>
  <c r="AQ329" i="2"/>
  <c r="AP329" i="2"/>
  <c r="AO329" i="2"/>
  <c r="AN329" i="2"/>
  <c r="AM329" i="2"/>
  <c r="AL329" i="2"/>
  <c r="AK329" i="2"/>
  <c r="AJ329" i="2"/>
  <c r="AI329" i="2"/>
  <c r="AH329" i="2"/>
  <c r="AG329" i="2"/>
  <c r="AF329" i="2"/>
  <c r="AE329" i="2"/>
  <c r="AD329" i="2"/>
  <c r="AC329" i="2"/>
  <c r="AB329" i="2"/>
  <c r="AA329" i="2"/>
  <c r="Z329" i="2"/>
  <c r="Y329" i="2"/>
  <c r="X329" i="2"/>
  <c r="W329" i="2"/>
  <c r="V329" i="2"/>
  <c r="U329" i="2"/>
  <c r="T329" i="2"/>
  <c r="S329" i="2"/>
  <c r="R329" i="2"/>
  <c r="Q329" i="2"/>
  <c r="P329" i="2"/>
  <c r="O329" i="2"/>
  <c r="N329" i="2"/>
  <c r="M329" i="2"/>
  <c r="L329" i="2"/>
  <c r="K329" i="2"/>
  <c r="J329" i="2"/>
  <c r="I329" i="2"/>
  <c r="H329" i="2"/>
  <c r="G329" i="2"/>
  <c r="D328" i="2"/>
  <c r="J777" i="2"/>
  <c r="K777" i="2"/>
  <c r="L777" i="2"/>
  <c r="M777" i="2"/>
  <c r="N777" i="2"/>
  <c r="I777" i="2"/>
  <c r="G959" i="2"/>
  <c r="H959" i="2"/>
  <c r="I959" i="2"/>
  <c r="J959" i="2"/>
  <c r="K959" i="2"/>
  <c r="L959" i="2"/>
  <c r="M959" i="2"/>
  <c r="N959" i="2"/>
  <c r="O959" i="2"/>
  <c r="P959" i="2"/>
  <c r="Q959" i="2"/>
  <c r="R959" i="2"/>
  <c r="S959" i="2"/>
  <c r="T959" i="2"/>
  <c r="U959" i="2"/>
  <c r="V959" i="2"/>
  <c r="W959" i="2"/>
  <c r="X959" i="2"/>
  <c r="Y959" i="2"/>
  <c r="Z959" i="2"/>
  <c r="AA959" i="2"/>
  <c r="AB959" i="2"/>
  <c r="AC959" i="2"/>
  <c r="AD959" i="2"/>
  <c r="AE959" i="2"/>
  <c r="AF959" i="2"/>
  <c r="AG959" i="2"/>
  <c r="AH959" i="2"/>
  <c r="AI959" i="2"/>
  <c r="AJ959" i="2"/>
  <c r="AK959" i="2"/>
  <c r="AL959" i="2"/>
  <c r="AM959" i="2"/>
  <c r="AN959" i="2"/>
  <c r="AO959" i="2"/>
  <c r="AP959" i="2"/>
  <c r="AQ959" i="2"/>
  <c r="AR959" i="2"/>
  <c r="AS959" i="2"/>
  <c r="AT959" i="2"/>
  <c r="AU959" i="2"/>
  <c r="AV959" i="2"/>
  <c r="AW959" i="2"/>
  <c r="AX959" i="2"/>
  <c r="AY959" i="2"/>
  <c r="AZ959" i="2"/>
  <c r="BA959" i="2"/>
  <c r="BB959" i="2"/>
  <c r="A78" i="4"/>
  <c r="BB851" i="2"/>
  <c r="BA851" i="2"/>
  <c r="AZ851" i="2"/>
  <c r="AY851" i="2"/>
  <c r="AX851" i="2"/>
  <c r="AW851" i="2"/>
  <c r="AV851" i="2"/>
  <c r="AU851" i="2"/>
  <c r="AT851" i="2"/>
  <c r="AS851" i="2"/>
  <c r="AR851" i="2"/>
  <c r="AQ851" i="2"/>
  <c r="AP851" i="2"/>
  <c r="AO851" i="2"/>
  <c r="AN851" i="2"/>
  <c r="AM851" i="2"/>
  <c r="AL851" i="2"/>
  <c r="AK851" i="2"/>
  <c r="AJ851" i="2"/>
  <c r="AI851" i="2"/>
  <c r="AH851" i="2"/>
  <c r="AG851" i="2"/>
  <c r="AF851" i="2"/>
  <c r="AE851" i="2"/>
  <c r="AD851" i="2"/>
  <c r="AC851" i="2"/>
  <c r="AB851" i="2"/>
  <c r="AA851" i="2"/>
  <c r="Z851" i="2"/>
  <c r="Y851" i="2"/>
  <c r="X851" i="2"/>
  <c r="W851" i="2"/>
  <c r="V851" i="2"/>
  <c r="U851" i="2"/>
  <c r="T851" i="2"/>
  <c r="S851" i="2"/>
  <c r="R851" i="2"/>
  <c r="Q851" i="2"/>
  <c r="P851" i="2"/>
  <c r="O851" i="2"/>
  <c r="N851" i="2"/>
  <c r="M851" i="2"/>
  <c r="L851" i="2"/>
  <c r="K851" i="2"/>
  <c r="J851" i="2"/>
  <c r="I851" i="2"/>
  <c r="H851" i="2"/>
  <c r="G851" i="2"/>
  <c r="BB850" i="2"/>
  <c r="BA850" i="2"/>
  <c r="AZ850" i="2"/>
  <c r="AY850" i="2"/>
  <c r="AX850" i="2"/>
  <c r="AW850" i="2"/>
  <c r="AV850" i="2"/>
  <c r="AU850" i="2"/>
  <c r="AT850" i="2"/>
  <c r="AS850" i="2"/>
  <c r="AR850" i="2"/>
  <c r="AQ850" i="2"/>
  <c r="AP850" i="2"/>
  <c r="AO850" i="2"/>
  <c r="AN850" i="2"/>
  <c r="AM850" i="2"/>
  <c r="AL850" i="2"/>
  <c r="AK850" i="2"/>
  <c r="AJ850" i="2"/>
  <c r="AI850" i="2"/>
  <c r="AH850" i="2"/>
  <c r="AG850" i="2"/>
  <c r="AF850" i="2"/>
  <c r="AE850" i="2"/>
  <c r="AD850" i="2"/>
  <c r="AC850" i="2"/>
  <c r="AB850" i="2"/>
  <c r="AA850" i="2"/>
  <c r="Z850" i="2"/>
  <c r="Y850" i="2"/>
  <c r="X850" i="2"/>
  <c r="W850" i="2"/>
  <c r="V850" i="2"/>
  <c r="U850" i="2"/>
  <c r="T850" i="2"/>
  <c r="S850" i="2"/>
  <c r="R850" i="2"/>
  <c r="Q850" i="2"/>
  <c r="P850" i="2"/>
  <c r="O850" i="2"/>
  <c r="N850" i="2"/>
  <c r="M850" i="2"/>
  <c r="L850" i="2"/>
  <c r="K850" i="2"/>
  <c r="J850" i="2"/>
  <c r="I850" i="2"/>
  <c r="H850" i="2"/>
  <c r="G850" i="2"/>
  <c r="BD835" i="2"/>
  <c r="D831" i="2"/>
  <c r="D830" i="2"/>
  <c r="B838" i="2" s="1"/>
  <c r="BD829" i="2"/>
  <c r="B829" i="2" s="1"/>
  <c r="D829" i="2"/>
  <c r="T836" i="2" s="1"/>
  <c r="A77" i="4"/>
  <c r="BB825" i="2"/>
  <c r="BA825" i="2"/>
  <c r="AZ825" i="2"/>
  <c r="AY825" i="2"/>
  <c r="AX825" i="2"/>
  <c r="AW825" i="2"/>
  <c r="AV825" i="2"/>
  <c r="AU825" i="2"/>
  <c r="AT825" i="2"/>
  <c r="AS825" i="2"/>
  <c r="AR825" i="2"/>
  <c r="AQ825" i="2"/>
  <c r="AP825" i="2"/>
  <c r="AO825" i="2"/>
  <c r="AN825" i="2"/>
  <c r="AM825" i="2"/>
  <c r="AL825" i="2"/>
  <c r="AK825" i="2"/>
  <c r="AJ825" i="2"/>
  <c r="AI825" i="2"/>
  <c r="AH825" i="2"/>
  <c r="AG825" i="2"/>
  <c r="AF825" i="2"/>
  <c r="AE825" i="2"/>
  <c r="AD825" i="2"/>
  <c r="AC825" i="2"/>
  <c r="AB825" i="2"/>
  <c r="AA825" i="2"/>
  <c r="Z825" i="2"/>
  <c r="Y825" i="2"/>
  <c r="X825" i="2"/>
  <c r="W825" i="2"/>
  <c r="V825" i="2"/>
  <c r="U825" i="2"/>
  <c r="T825" i="2"/>
  <c r="S825" i="2"/>
  <c r="R825" i="2"/>
  <c r="Q825" i="2"/>
  <c r="P825" i="2"/>
  <c r="O825" i="2"/>
  <c r="N825" i="2"/>
  <c r="M825" i="2"/>
  <c r="L825" i="2"/>
  <c r="K825" i="2"/>
  <c r="J825" i="2"/>
  <c r="I825" i="2"/>
  <c r="H825" i="2"/>
  <c r="G825" i="2"/>
  <c r="BB824" i="2"/>
  <c r="BA824" i="2"/>
  <c r="AZ824" i="2"/>
  <c r="AY824" i="2"/>
  <c r="AX824" i="2"/>
  <c r="AW824" i="2"/>
  <c r="AV824" i="2"/>
  <c r="AU824" i="2"/>
  <c r="AT824" i="2"/>
  <c r="AS824" i="2"/>
  <c r="AR824" i="2"/>
  <c r="AQ824" i="2"/>
  <c r="AP824" i="2"/>
  <c r="AO824" i="2"/>
  <c r="AN824" i="2"/>
  <c r="AM824" i="2"/>
  <c r="AL824" i="2"/>
  <c r="AK824" i="2"/>
  <c r="AJ824" i="2"/>
  <c r="AI824" i="2"/>
  <c r="AH824" i="2"/>
  <c r="AG824" i="2"/>
  <c r="AF824" i="2"/>
  <c r="AE824" i="2"/>
  <c r="AD824" i="2"/>
  <c r="AC824" i="2"/>
  <c r="AB824" i="2"/>
  <c r="AA824" i="2"/>
  <c r="Z824" i="2"/>
  <c r="Y824" i="2"/>
  <c r="X824" i="2"/>
  <c r="W824" i="2"/>
  <c r="V824" i="2"/>
  <c r="U824" i="2"/>
  <c r="T824" i="2"/>
  <c r="S824" i="2"/>
  <c r="R824" i="2"/>
  <c r="Q824" i="2"/>
  <c r="P824" i="2"/>
  <c r="O824" i="2"/>
  <c r="N824" i="2"/>
  <c r="M824" i="2"/>
  <c r="L824" i="2"/>
  <c r="K824" i="2"/>
  <c r="J824" i="2"/>
  <c r="I824" i="2"/>
  <c r="H824" i="2"/>
  <c r="G824" i="2"/>
  <c r="BD809" i="2"/>
  <c r="D805" i="2"/>
  <c r="D804" i="2"/>
  <c r="B812" i="2" s="1"/>
  <c r="BD803" i="2"/>
  <c r="B803" i="2" s="1"/>
  <c r="D803" i="2"/>
  <c r="A76" i="4"/>
  <c r="BB799" i="2"/>
  <c r="BA799" i="2"/>
  <c r="AZ799" i="2"/>
  <c r="AY799" i="2"/>
  <c r="AX799" i="2"/>
  <c r="AW799" i="2"/>
  <c r="AV799" i="2"/>
  <c r="AU799" i="2"/>
  <c r="AT799" i="2"/>
  <c r="AS799" i="2"/>
  <c r="AR799" i="2"/>
  <c r="AQ799" i="2"/>
  <c r="AP799" i="2"/>
  <c r="AO799" i="2"/>
  <c r="AN799" i="2"/>
  <c r="AM799" i="2"/>
  <c r="AL799" i="2"/>
  <c r="AK799" i="2"/>
  <c r="AJ799" i="2"/>
  <c r="AI799" i="2"/>
  <c r="AH799" i="2"/>
  <c r="AG799" i="2"/>
  <c r="AF799" i="2"/>
  <c r="AE799" i="2"/>
  <c r="AD799" i="2"/>
  <c r="AC799" i="2"/>
  <c r="AB799" i="2"/>
  <c r="AA799" i="2"/>
  <c r="Z799" i="2"/>
  <c r="Y799" i="2"/>
  <c r="X799" i="2"/>
  <c r="W799" i="2"/>
  <c r="V799" i="2"/>
  <c r="U799" i="2"/>
  <c r="T799" i="2"/>
  <c r="S799" i="2"/>
  <c r="R799" i="2"/>
  <c r="Q799" i="2"/>
  <c r="P799" i="2"/>
  <c r="O799" i="2"/>
  <c r="N799" i="2"/>
  <c r="M799" i="2"/>
  <c r="L799" i="2"/>
  <c r="K799" i="2"/>
  <c r="J799" i="2"/>
  <c r="I799" i="2"/>
  <c r="H799" i="2"/>
  <c r="G799" i="2"/>
  <c r="BB798" i="2"/>
  <c r="BA798" i="2"/>
  <c r="AZ798" i="2"/>
  <c r="AY798" i="2"/>
  <c r="AX798" i="2"/>
  <c r="AW798" i="2"/>
  <c r="AV798" i="2"/>
  <c r="AU798" i="2"/>
  <c r="AT798" i="2"/>
  <c r="AS798" i="2"/>
  <c r="AR798" i="2"/>
  <c r="AQ798" i="2"/>
  <c r="AP798" i="2"/>
  <c r="AO798" i="2"/>
  <c r="AN798" i="2"/>
  <c r="AM798" i="2"/>
  <c r="AL798" i="2"/>
  <c r="AK798" i="2"/>
  <c r="AJ798" i="2"/>
  <c r="AI798" i="2"/>
  <c r="AH798" i="2"/>
  <c r="AG798" i="2"/>
  <c r="AF798" i="2"/>
  <c r="AE798" i="2"/>
  <c r="AD798" i="2"/>
  <c r="AC798" i="2"/>
  <c r="AB798" i="2"/>
  <c r="AA798" i="2"/>
  <c r="Z798" i="2"/>
  <c r="Y798" i="2"/>
  <c r="X798" i="2"/>
  <c r="W798" i="2"/>
  <c r="V798" i="2"/>
  <c r="U798" i="2"/>
  <c r="T798" i="2"/>
  <c r="S798" i="2"/>
  <c r="R798" i="2"/>
  <c r="Q798" i="2"/>
  <c r="P798" i="2"/>
  <c r="O798" i="2"/>
  <c r="N798" i="2"/>
  <c r="M798" i="2"/>
  <c r="L798" i="2"/>
  <c r="K798" i="2"/>
  <c r="J798" i="2"/>
  <c r="I798" i="2"/>
  <c r="H798" i="2"/>
  <c r="G798" i="2"/>
  <c r="BD783" i="2"/>
  <c r="D779" i="2"/>
  <c r="D778" i="2"/>
  <c r="B786" i="2" s="1"/>
  <c r="D777" i="2"/>
  <c r="A75" i="4"/>
  <c r="BB773" i="2"/>
  <c r="BA773" i="2"/>
  <c r="AZ773" i="2"/>
  <c r="AY773" i="2"/>
  <c r="AX773" i="2"/>
  <c r="AW773" i="2"/>
  <c r="AV773" i="2"/>
  <c r="AU773" i="2"/>
  <c r="AT773" i="2"/>
  <c r="AS773" i="2"/>
  <c r="AR773" i="2"/>
  <c r="AQ773" i="2"/>
  <c r="AP773" i="2"/>
  <c r="AO773" i="2"/>
  <c r="AN773" i="2"/>
  <c r="AM773" i="2"/>
  <c r="AL773" i="2"/>
  <c r="AK773" i="2"/>
  <c r="AJ773" i="2"/>
  <c r="AI773" i="2"/>
  <c r="AH773" i="2"/>
  <c r="AG773" i="2"/>
  <c r="AF773" i="2"/>
  <c r="AE773" i="2"/>
  <c r="AD773" i="2"/>
  <c r="AC773" i="2"/>
  <c r="AB773" i="2"/>
  <c r="AA773" i="2"/>
  <c r="Z773" i="2"/>
  <c r="Y773" i="2"/>
  <c r="X773" i="2"/>
  <c r="W773" i="2"/>
  <c r="V773" i="2"/>
  <c r="U773" i="2"/>
  <c r="T773" i="2"/>
  <c r="S773" i="2"/>
  <c r="R773" i="2"/>
  <c r="Q773" i="2"/>
  <c r="P773" i="2"/>
  <c r="O773" i="2"/>
  <c r="N773" i="2"/>
  <c r="M773" i="2"/>
  <c r="L773" i="2"/>
  <c r="K773" i="2"/>
  <c r="J773" i="2"/>
  <c r="I773" i="2"/>
  <c r="H773" i="2"/>
  <c r="G773" i="2"/>
  <c r="BB772" i="2"/>
  <c r="BA772" i="2"/>
  <c r="AZ772" i="2"/>
  <c r="AY772" i="2"/>
  <c r="AX772" i="2"/>
  <c r="AW772" i="2"/>
  <c r="AV772" i="2"/>
  <c r="AU772" i="2"/>
  <c r="AT772" i="2"/>
  <c r="AS772" i="2"/>
  <c r="AR772" i="2"/>
  <c r="AQ772" i="2"/>
  <c r="AP772" i="2"/>
  <c r="AO772" i="2"/>
  <c r="AN772" i="2"/>
  <c r="AM772" i="2"/>
  <c r="AL772" i="2"/>
  <c r="AK772" i="2"/>
  <c r="AJ772" i="2"/>
  <c r="AI772" i="2"/>
  <c r="AH772" i="2"/>
  <c r="AG772" i="2"/>
  <c r="AF772" i="2"/>
  <c r="AE772" i="2"/>
  <c r="AD772" i="2"/>
  <c r="AC772" i="2"/>
  <c r="AB772" i="2"/>
  <c r="AA772" i="2"/>
  <c r="Z772" i="2"/>
  <c r="Y772" i="2"/>
  <c r="X772" i="2"/>
  <c r="W772" i="2"/>
  <c r="V772" i="2"/>
  <c r="U772" i="2"/>
  <c r="T772" i="2"/>
  <c r="S772" i="2"/>
  <c r="R772" i="2"/>
  <c r="Q772" i="2"/>
  <c r="P772" i="2"/>
  <c r="O772" i="2"/>
  <c r="N772" i="2"/>
  <c r="M772" i="2"/>
  <c r="L772" i="2"/>
  <c r="K772" i="2"/>
  <c r="J772" i="2"/>
  <c r="I772" i="2"/>
  <c r="H772" i="2"/>
  <c r="G772" i="2"/>
  <c r="BD757" i="2"/>
  <c r="D753" i="2"/>
  <c r="D752" i="2"/>
  <c r="B760" i="2" s="1"/>
  <c r="BD751" i="2"/>
  <c r="B751" i="2" s="1"/>
  <c r="D751" i="2"/>
  <c r="O504" i="2" l="1"/>
  <c r="AM504" i="2"/>
  <c r="AF504" i="2"/>
  <c r="AV504" i="2"/>
  <c r="AB494" i="2"/>
  <c r="AT494" i="2"/>
  <c r="L504" i="2"/>
  <c r="T504" i="2"/>
  <c r="AB504" i="2"/>
  <c r="AJ504" i="2"/>
  <c r="AR504" i="2"/>
  <c r="AZ504" i="2"/>
  <c r="N504" i="2"/>
  <c r="V504" i="2"/>
  <c r="AD504" i="2"/>
  <c r="AL504" i="2"/>
  <c r="AT504" i="2"/>
  <c r="BB504" i="2"/>
  <c r="G504" i="2"/>
  <c r="AE504" i="2"/>
  <c r="H504" i="2"/>
  <c r="X504" i="2"/>
  <c r="T494" i="2"/>
  <c r="AL494" i="2"/>
  <c r="I504" i="2"/>
  <c r="Q504" i="2"/>
  <c r="Y504" i="2"/>
  <c r="AG504" i="2"/>
  <c r="AO504" i="2"/>
  <c r="AW504" i="2"/>
  <c r="W504" i="2"/>
  <c r="AU504" i="2"/>
  <c r="P504" i="2"/>
  <c r="AN504" i="2"/>
  <c r="AR494" i="2"/>
  <c r="J504" i="2"/>
  <c r="R504" i="2"/>
  <c r="Z504" i="2"/>
  <c r="AH504" i="2"/>
  <c r="AP504" i="2"/>
  <c r="AX504" i="2"/>
  <c r="K504" i="2"/>
  <c r="S504" i="2"/>
  <c r="AA504" i="2"/>
  <c r="AI504" i="2"/>
  <c r="AQ504" i="2"/>
  <c r="G494" i="2"/>
  <c r="W494" i="2"/>
  <c r="AE494" i="2"/>
  <c r="AM494" i="2"/>
  <c r="AU494" i="2"/>
  <c r="H494" i="2"/>
  <c r="P494" i="2"/>
  <c r="X494" i="2"/>
  <c r="AF494" i="2"/>
  <c r="AN494" i="2"/>
  <c r="AV494" i="2"/>
  <c r="O494" i="2"/>
  <c r="I494" i="2"/>
  <c r="Q494" i="2"/>
  <c r="Y494" i="2"/>
  <c r="AG494" i="2"/>
  <c r="AO494" i="2"/>
  <c r="AW494" i="2"/>
  <c r="J494" i="2"/>
  <c r="R494" i="2"/>
  <c r="Z494" i="2"/>
  <c r="AH494" i="2"/>
  <c r="AP494" i="2"/>
  <c r="AX494" i="2"/>
  <c r="K494" i="2"/>
  <c r="S494" i="2"/>
  <c r="AA494" i="2"/>
  <c r="AI494" i="2"/>
  <c r="AQ494" i="2"/>
  <c r="BD777" i="2"/>
  <c r="B777" i="2" s="1"/>
  <c r="AV836" i="2"/>
  <c r="J836" i="2"/>
  <c r="AS836" i="2"/>
  <c r="R836" i="2"/>
  <c r="G786" i="2"/>
  <c r="N810" i="2"/>
  <c r="AT810" i="2"/>
  <c r="G960" i="2"/>
  <c r="AH836" i="2"/>
  <c r="H836" i="2"/>
  <c r="AC836" i="2"/>
  <c r="AX836" i="2"/>
  <c r="X836" i="2"/>
  <c r="AJ836" i="2"/>
  <c r="K836" i="2"/>
  <c r="U836" i="2"/>
  <c r="AI836" i="2"/>
  <c r="G961" i="2"/>
  <c r="AQ836" i="2"/>
  <c r="N960" i="2"/>
  <c r="V960" i="2"/>
  <c r="AD960" i="2"/>
  <c r="AL960" i="2"/>
  <c r="AT960" i="2"/>
  <c r="BB960" i="2"/>
  <c r="J961" i="2"/>
  <c r="R961" i="2"/>
  <c r="Z961" i="2"/>
  <c r="AH961" i="2"/>
  <c r="AP961" i="2"/>
  <c r="AX961" i="2"/>
  <c r="BD850" i="2"/>
  <c r="K960" i="2"/>
  <c r="S960" i="2"/>
  <c r="AA960" i="2"/>
  <c r="AI960" i="2"/>
  <c r="AQ960" i="2"/>
  <c r="AY960" i="2"/>
  <c r="O961" i="2"/>
  <c r="W961" i="2"/>
  <c r="AE961" i="2"/>
  <c r="AM961" i="2"/>
  <c r="AU961" i="2"/>
  <c r="M960" i="2"/>
  <c r="U960" i="2"/>
  <c r="AC960" i="2"/>
  <c r="AK960" i="2"/>
  <c r="AS960" i="2"/>
  <c r="BA960" i="2"/>
  <c r="I961" i="2"/>
  <c r="Q961" i="2"/>
  <c r="Y961" i="2"/>
  <c r="AG961" i="2"/>
  <c r="AO961" i="2"/>
  <c r="AW961" i="2"/>
  <c r="J960" i="2"/>
  <c r="R960" i="2"/>
  <c r="Z960" i="2"/>
  <c r="AH960" i="2"/>
  <c r="AP960" i="2"/>
  <c r="AX960" i="2"/>
  <c r="N961" i="2"/>
  <c r="V961" i="2"/>
  <c r="AD961" i="2"/>
  <c r="AL961" i="2"/>
  <c r="AT961" i="2"/>
  <c r="BB961" i="2"/>
  <c r="O960" i="2"/>
  <c r="W960" i="2"/>
  <c r="AE960" i="2"/>
  <c r="AM960" i="2"/>
  <c r="AU960" i="2"/>
  <c r="K961" i="2"/>
  <c r="S961" i="2"/>
  <c r="AA961" i="2"/>
  <c r="AI961" i="2"/>
  <c r="AQ961" i="2"/>
  <c r="AY961" i="2"/>
  <c r="I960" i="2"/>
  <c r="Q960" i="2"/>
  <c r="Y960" i="2"/>
  <c r="AG960" i="2"/>
  <c r="AO960" i="2"/>
  <c r="AW960" i="2"/>
  <c r="M961" i="2"/>
  <c r="U961" i="2"/>
  <c r="AC961" i="2"/>
  <c r="AK961" i="2"/>
  <c r="AS961" i="2"/>
  <c r="BA961" i="2"/>
  <c r="L960" i="2"/>
  <c r="T960" i="2"/>
  <c r="AB960" i="2"/>
  <c r="AJ960" i="2"/>
  <c r="AR960" i="2"/>
  <c r="AZ960" i="2"/>
  <c r="H961" i="2"/>
  <c r="P961" i="2"/>
  <c r="X961" i="2"/>
  <c r="AF961" i="2"/>
  <c r="AN961" i="2"/>
  <c r="AV961" i="2"/>
  <c r="H960" i="2"/>
  <c r="P960" i="2"/>
  <c r="X960" i="2"/>
  <c r="AF960" i="2"/>
  <c r="AN960" i="2"/>
  <c r="AV960" i="2"/>
  <c r="L961" i="2"/>
  <c r="T961" i="2"/>
  <c r="AB961" i="2"/>
  <c r="AJ961" i="2"/>
  <c r="AR961" i="2"/>
  <c r="AZ961" i="2"/>
  <c r="G810" i="2"/>
  <c r="AG810" i="2"/>
  <c r="J810" i="2"/>
  <c r="AM810" i="2"/>
  <c r="AR810" i="2"/>
  <c r="AB810" i="2"/>
  <c r="AP810" i="2"/>
  <c r="U810" i="2"/>
  <c r="AO810" i="2"/>
  <c r="T810" i="2"/>
  <c r="Q810" i="2"/>
  <c r="AY810" i="2"/>
  <c r="G838" i="2"/>
  <c r="S810" i="2"/>
  <c r="BA810" i="2"/>
  <c r="AC810" i="2"/>
  <c r="AD810" i="2"/>
  <c r="AE810" i="2"/>
  <c r="S836" i="2"/>
  <c r="AF836" i="2"/>
  <c r="AR836" i="2"/>
  <c r="L836" i="2"/>
  <c r="Z836" i="2"/>
  <c r="AK836" i="2"/>
  <c r="AY836" i="2"/>
  <c r="M836" i="2"/>
  <c r="AA836" i="2"/>
  <c r="AN836" i="2"/>
  <c r="AZ836" i="2"/>
  <c r="AU836" i="2"/>
  <c r="AM836" i="2"/>
  <c r="AE836" i="2"/>
  <c r="W836" i="2"/>
  <c r="O836" i="2"/>
  <c r="G836" i="2"/>
  <c r="BB836" i="2"/>
  <c r="AT836" i="2"/>
  <c r="AL836" i="2"/>
  <c r="AD836" i="2"/>
  <c r="V836" i="2"/>
  <c r="N836" i="2"/>
  <c r="AW836" i="2"/>
  <c r="AO836" i="2"/>
  <c r="AG836" i="2"/>
  <c r="Y836" i="2"/>
  <c r="Q836" i="2"/>
  <c r="I836" i="2"/>
  <c r="P836" i="2"/>
  <c r="AB836" i="2"/>
  <c r="AP836" i="2"/>
  <c r="BA836" i="2"/>
  <c r="BD851" i="2"/>
  <c r="G812" i="2"/>
  <c r="BD825" i="2"/>
  <c r="AV810" i="2"/>
  <c r="AN810" i="2"/>
  <c r="AF810" i="2"/>
  <c r="X810" i="2"/>
  <c r="P810" i="2"/>
  <c r="H810" i="2"/>
  <c r="BB810" i="2"/>
  <c r="AS810" i="2"/>
  <c r="AJ810" i="2"/>
  <c r="AA810" i="2"/>
  <c r="R810" i="2"/>
  <c r="I810" i="2"/>
  <c r="AZ810" i="2"/>
  <c r="AQ810" i="2"/>
  <c r="AH810" i="2"/>
  <c r="Y810" i="2"/>
  <c r="O810" i="2"/>
  <c r="K810" i="2"/>
  <c r="V810" i="2"/>
  <c r="AI810" i="2"/>
  <c r="AU810" i="2"/>
  <c r="L810" i="2"/>
  <c r="W810" i="2"/>
  <c r="AK810" i="2"/>
  <c r="AW810" i="2"/>
  <c r="M810" i="2"/>
  <c r="Z810" i="2"/>
  <c r="AL810" i="2"/>
  <c r="AX810" i="2"/>
  <c r="BD824" i="2"/>
  <c r="I758" i="2"/>
  <c r="AN758" i="2"/>
  <c r="S784" i="2"/>
  <c r="O758" i="2"/>
  <c r="AU758" i="2"/>
  <c r="AF784" i="2"/>
  <c r="Q758" i="2"/>
  <c r="AZ758" i="2"/>
  <c r="AP784" i="2"/>
  <c r="R758" i="2"/>
  <c r="BB784" i="2"/>
  <c r="T758" i="2"/>
  <c r="AE758" i="2"/>
  <c r="AG758" i="2"/>
  <c r="G758" i="2"/>
  <c r="AM758" i="2"/>
  <c r="N784" i="2"/>
  <c r="P758" i="2"/>
  <c r="AF758" i="2"/>
  <c r="AX758" i="2"/>
  <c r="P784" i="2"/>
  <c r="AG784" i="2"/>
  <c r="Q784" i="2"/>
  <c r="AN784" i="2"/>
  <c r="R784" i="2"/>
  <c r="AO784" i="2"/>
  <c r="BD798" i="2"/>
  <c r="H758" i="2"/>
  <c r="Y758" i="2"/>
  <c r="AO758" i="2"/>
  <c r="Z784" i="2"/>
  <c r="AQ784" i="2"/>
  <c r="Z758" i="2"/>
  <c r="AP758" i="2"/>
  <c r="AA784" i="2"/>
  <c r="AT784" i="2"/>
  <c r="L758" i="2"/>
  <c r="AB758" i="2"/>
  <c r="AR758" i="2"/>
  <c r="H784" i="2"/>
  <c r="AD784" i="2"/>
  <c r="AY784" i="2"/>
  <c r="BD773" i="2"/>
  <c r="BD772" i="2"/>
  <c r="J758" i="2"/>
  <c r="W758" i="2"/>
  <c r="AH758" i="2"/>
  <c r="AV758" i="2"/>
  <c r="K758" i="2"/>
  <c r="X758" i="2"/>
  <c r="AJ758" i="2"/>
  <c r="AW758" i="2"/>
  <c r="I784" i="2"/>
  <c r="V784" i="2"/>
  <c r="AH784" i="2"/>
  <c r="AV784" i="2"/>
  <c r="J784" i="2"/>
  <c r="X784" i="2"/>
  <c r="AI784" i="2"/>
  <c r="AW784" i="2"/>
  <c r="BA784" i="2"/>
  <c r="AS784" i="2"/>
  <c r="AK784" i="2"/>
  <c r="AC784" i="2"/>
  <c r="U784" i="2"/>
  <c r="M784" i="2"/>
  <c r="AZ784" i="2"/>
  <c r="AR784" i="2"/>
  <c r="AJ784" i="2"/>
  <c r="AB784" i="2"/>
  <c r="T784" i="2"/>
  <c r="L784" i="2"/>
  <c r="AU784" i="2"/>
  <c r="AM784" i="2"/>
  <c r="AE784" i="2"/>
  <c r="W784" i="2"/>
  <c r="O784" i="2"/>
  <c r="G784" i="2"/>
  <c r="K784" i="2"/>
  <c r="Y784" i="2"/>
  <c r="AL784" i="2"/>
  <c r="AX784" i="2"/>
  <c r="BD799" i="2"/>
  <c r="G760" i="2"/>
  <c r="N758" i="2"/>
  <c r="V758" i="2"/>
  <c r="AD758" i="2"/>
  <c r="AL758" i="2"/>
  <c r="AT758" i="2"/>
  <c r="BB758" i="2"/>
  <c r="S758" i="2"/>
  <c r="AA758" i="2"/>
  <c r="AI758" i="2"/>
  <c r="AQ758" i="2"/>
  <c r="AY758" i="2"/>
  <c r="M758" i="2"/>
  <c r="U758" i="2"/>
  <c r="AC758" i="2"/>
  <c r="AK758" i="2"/>
  <c r="AS758" i="2"/>
  <c r="BA758" i="2"/>
  <c r="M950" i="2" l="1"/>
  <c r="AI950" i="2"/>
  <c r="N950" i="2"/>
  <c r="J950" i="2"/>
  <c r="AC950" i="2"/>
  <c r="AQ950" i="2"/>
  <c r="AJ950" i="2"/>
  <c r="W950" i="2"/>
  <c r="AM950" i="2"/>
  <c r="Z950" i="2"/>
  <c r="V950" i="2"/>
  <c r="AF950" i="2"/>
  <c r="AG950" i="2"/>
  <c r="U950" i="2"/>
  <c r="AT950" i="2"/>
  <c r="X950" i="2"/>
  <c r="AR950" i="2"/>
  <c r="AP950" i="2"/>
  <c r="AO950" i="2"/>
  <c r="G950" i="2"/>
  <c r="BB950" i="2"/>
  <c r="AA950" i="2"/>
  <c r="AL950" i="2"/>
  <c r="AB950" i="2"/>
  <c r="Y950" i="2"/>
  <c r="AZ950" i="2"/>
  <c r="AN950" i="2"/>
  <c r="S950" i="2"/>
  <c r="AD950" i="2"/>
  <c r="L950" i="2"/>
  <c r="H950" i="2"/>
  <c r="AX950" i="2"/>
  <c r="T950" i="2"/>
  <c r="Q950" i="2"/>
  <c r="I950" i="2"/>
  <c r="BA950" i="2"/>
  <c r="P950" i="2"/>
  <c r="AS950" i="2"/>
  <c r="K950" i="2"/>
  <c r="AV950" i="2"/>
  <c r="AU950" i="2"/>
  <c r="AK950" i="2"/>
  <c r="AY950" i="2"/>
  <c r="AW950" i="2"/>
  <c r="AH950" i="2"/>
  <c r="AE950" i="2"/>
  <c r="R950" i="2"/>
  <c r="O950" i="2"/>
  <c r="BD836" i="2"/>
  <c r="BD810" i="2"/>
  <c r="BD784" i="2"/>
  <c r="BD758" i="2"/>
  <c r="BD17" i="4" l="1"/>
  <c r="B17" i="4" s="1"/>
  <c r="A17" i="4"/>
  <c r="A7" i="4"/>
  <c r="D65" i="2"/>
  <c r="D64" i="2"/>
  <c r="D63" i="2"/>
  <c r="BB62" i="2"/>
  <c r="BA62" i="2"/>
  <c r="AZ62" i="2"/>
  <c r="AY62" i="2"/>
  <c r="AX62" i="2"/>
  <c r="AW62" i="2"/>
  <c r="AV62" i="2"/>
  <c r="AU62" i="2"/>
  <c r="AT62" i="2"/>
  <c r="AS62" i="2"/>
  <c r="AR62" i="2"/>
  <c r="AQ62" i="2"/>
  <c r="AP62" i="2"/>
  <c r="AO62" i="2"/>
  <c r="AN62" i="2"/>
  <c r="AM62" i="2"/>
  <c r="AL62" i="2"/>
  <c r="AK62" i="2"/>
  <c r="AJ62" i="2"/>
  <c r="AI62" i="2"/>
  <c r="AH62" i="2"/>
  <c r="AG62" i="2"/>
  <c r="AF62" i="2"/>
  <c r="AE62" i="2"/>
  <c r="AD62" i="2"/>
  <c r="AC62" i="2"/>
  <c r="AB62" i="2"/>
  <c r="AA62" i="2"/>
  <c r="Z62" i="2"/>
  <c r="Y62" i="2"/>
  <c r="X62" i="2"/>
  <c r="W62" i="2"/>
  <c r="V62" i="2"/>
  <c r="U62" i="2"/>
  <c r="T62" i="2"/>
  <c r="S62" i="2"/>
  <c r="R62" i="2"/>
  <c r="Q62" i="2"/>
  <c r="P62" i="2"/>
  <c r="O62" i="2"/>
  <c r="N62" i="2"/>
  <c r="M62" i="2"/>
  <c r="L62" i="2"/>
  <c r="K62" i="2"/>
  <c r="J62" i="2"/>
  <c r="I62" i="2"/>
  <c r="H62" i="2"/>
  <c r="G62" i="2"/>
  <c r="H60" i="2"/>
  <c r="I60" i="2" s="1"/>
  <c r="J60" i="2" s="1"/>
  <c r="K60" i="2" s="1"/>
  <c r="L60" i="2" s="1"/>
  <c r="M60" i="2" s="1"/>
  <c r="N60" i="2" s="1"/>
  <c r="O60" i="2" s="1"/>
  <c r="P60" i="2" s="1"/>
  <c r="Q60" i="2" s="1"/>
  <c r="R60" i="2" s="1"/>
  <c r="S60" i="2" s="1"/>
  <c r="T60" i="2" s="1"/>
  <c r="U60" i="2" s="1"/>
  <c r="V60" i="2" s="1"/>
  <c r="W60" i="2" s="1"/>
  <c r="X60" i="2" s="1"/>
  <c r="Y60" i="2" s="1"/>
  <c r="Z60" i="2" s="1"/>
  <c r="AA60" i="2" s="1"/>
  <c r="AB60" i="2" s="1"/>
  <c r="AC60" i="2" s="1"/>
  <c r="AD60" i="2" s="1"/>
  <c r="AE60" i="2" s="1"/>
  <c r="AF60" i="2" s="1"/>
  <c r="AG60" i="2" s="1"/>
  <c r="AH60" i="2" s="1"/>
  <c r="AI60" i="2" s="1"/>
  <c r="AJ60" i="2" s="1"/>
  <c r="AK60" i="2" s="1"/>
  <c r="AL60" i="2" s="1"/>
  <c r="AM60" i="2" s="1"/>
  <c r="AN60" i="2" s="1"/>
  <c r="AO60" i="2" s="1"/>
  <c r="AP60" i="2" s="1"/>
  <c r="AQ60" i="2" s="1"/>
  <c r="AR60" i="2" s="1"/>
  <c r="AS60" i="2" s="1"/>
  <c r="AT60" i="2" s="1"/>
  <c r="AU60" i="2" s="1"/>
  <c r="AV60" i="2" s="1"/>
  <c r="AW60" i="2" s="1"/>
  <c r="AX60" i="2" s="1"/>
  <c r="AY60" i="2" s="1"/>
  <c r="AZ60" i="2" s="1"/>
  <c r="BA60" i="2" s="1"/>
  <c r="BB60" i="2" s="1"/>
  <c r="H59" i="2"/>
  <c r="I59" i="2" s="1"/>
  <c r="J59" i="2" s="1"/>
  <c r="K59" i="2" s="1"/>
  <c r="L59" i="2" s="1"/>
  <c r="M59" i="2" s="1"/>
  <c r="N59" i="2" s="1"/>
  <c r="O59" i="2" s="1"/>
  <c r="P59" i="2" s="1"/>
  <c r="Q59" i="2" s="1"/>
  <c r="R59" i="2" s="1"/>
  <c r="S59" i="2" s="1"/>
  <c r="T59" i="2" s="1"/>
  <c r="U59" i="2" s="1"/>
  <c r="V59" i="2" s="1"/>
  <c r="W59" i="2" s="1"/>
  <c r="X59" i="2" s="1"/>
  <c r="Y59" i="2" s="1"/>
  <c r="Z59" i="2" s="1"/>
  <c r="AA59" i="2" s="1"/>
  <c r="AB59" i="2" s="1"/>
  <c r="AC59" i="2" s="1"/>
  <c r="AD59" i="2" s="1"/>
  <c r="AE59" i="2" s="1"/>
  <c r="AF59" i="2" s="1"/>
  <c r="AG59" i="2" s="1"/>
  <c r="AH59" i="2" s="1"/>
  <c r="AI59" i="2" s="1"/>
  <c r="AJ59" i="2" s="1"/>
  <c r="AK59" i="2" s="1"/>
  <c r="AL59" i="2" s="1"/>
  <c r="AM59" i="2" s="1"/>
  <c r="AN59" i="2" s="1"/>
  <c r="AO59" i="2" s="1"/>
  <c r="AP59" i="2" s="1"/>
  <c r="AQ59" i="2" s="1"/>
  <c r="AR59" i="2" s="1"/>
  <c r="AS59" i="2" s="1"/>
  <c r="AT59" i="2" s="1"/>
  <c r="AU59" i="2" s="1"/>
  <c r="AV59" i="2" s="1"/>
  <c r="AW59" i="2" s="1"/>
  <c r="AX59" i="2" s="1"/>
  <c r="AY59" i="2" s="1"/>
  <c r="AZ59" i="2" s="1"/>
  <c r="BA59" i="2" s="1"/>
  <c r="BB59" i="2" s="1"/>
  <c r="D59" i="2"/>
  <c r="D56" i="2"/>
  <c r="D54" i="2"/>
  <c r="B53" i="2"/>
  <c r="D52" i="2"/>
  <c r="D51" i="2"/>
  <c r="D50" i="2"/>
  <c r="D49" i="2"/>
  <c r="G1250" i="2"/>
  <c r="H1250" i="2"/>
  <c r="I1250" i="2"/>
  <c r="J1250" i="2"/>
  <c r="K1250" i="2"/>
  <c r="L1250" i="2"/>
  <c r="M1250" i="2"/>
  <c r="N1250" i="2"/>
  <c r="O1250" i="2"/>
  <c r="P1250" i="2"/>
  <c r="Q1250" i="2"/>
  <c r="R1250" i="2"/>
  <c r="S1250" i="2"/>
  <c r="T1250" i="2"/>
  <c r="U1250" i="2"/>
  <c r="V1250" i="2"/>
  <c r="W1250" i="2"/>
  <c r="X1250" i="2"/>
  <c r="Y1250" i="2"/>
  <c r="Z1250" i="2"/>
  <c r="AA1250" i="2"/>
  <c r="AB1250" i="2"/>
  <c r="AC1250" i="2"/>
  <c r="AD1250" i="2"/>
  <c r="AE1250" i="2"/>
  <c r="AF1250" i="2"/>
  <c r="AG1250" i="2"/>
  <c r="AH1250" i="2"/>
  <c r="AI1250" i="2"/>
  <c r="AJ1250" i="2"/>
  <c r="AK1250" i="2"/>
  <c r="AL1250" i="2"/>
  <c r="AM1250" i="2"/>
  <c r="AN1250" i="2"/>
  <c r="AO1250" i="2"/>
  <c r="AP1250" i="2"/>
  <c r="AQ1250" i="2"/>
  <c r="AR1250" i="2"/>
  <c r="AS1250" i="2"/>
  <c r="AT1250" i="2"/>
  <c r="AU1250" i="2"/>
  <c r="AV1250" i="2"/>
  <c r="AW1250" i="2"/>
  <c r="AX1250" i="2"/>
  <c r="AY1250" i="2"/>
  <c r="AZ1250" i="2"/>
  <c r="BA1250" i="2"/>
  <c r="BB1250" i="2"/>
  <c r="G1249" i="2"/>
  <c r="H1249" i="2"/>
  <c r="I1249" i="2"/>
  <c r="J1249" i="2"/>
  <c r="K1249" i="2"/>
  <c r="L1249" i="2"/>
  <c r="M1249" i="2"/>
  <c r="N1249" i="2"/>
  <c r="O1249" i="2"/>
  <c r="P1249" i="2"/>
  <c r="Q1249" i="2"/>
  <c r="R1249" i="2"/>
  <c r="S1249" i="2"/>
  <c r="T1249" i="2"/>
  <c r="U1249" i="2"/>
  <c r="V1249" i="2"/>
  <c r="W1249" i="2"/>
  <c r="X1249" i="2"/>
  <c r="Y1249" i="2"/>
  <c r="Z1249" i="2"/>
  <c r="AA1249" i="2"/>
  <c r="AB1249" i="2"/>
  <c r="AC1249" i="2"/>
  <c r="AD1249" i="2"/>
  <c r="AE1249" i="2"/>
  <c r="AF1249" i="2"/>
  <c r="AG1249" i="2"/>
  <c r="AH1249" i="2"/>
  <c r="AI1249" i="2"/>
  <c r="AJ1249" i="2"/>
  <c r="AK1249" i="2"/>
  <c r="AL1249" i="2"/>
  <c r="AM1249" i="2"/>
  <c r="AN1249" i="2"/>
  <c r="AO1249" i="2"/>
  <c r="AP1249" i="2"/>
  <c r="AQ1249" i="2"/>
  <c r="AR1249" i="2"/>
  <c r="AS1249" i="2"/>
  <c r="AT1249" i="2"/>
  <c r="AU1249" i="2"/>
  <c r="AV1249" i="2"/>
  <c r="AW1249" i="2"/>
  <c r="AX1249" i="2"/>
  <c r="AY1249" i="2"/>
  <c r="AZ1249" i="2"/>
  <c r="BA1249" i="2"/>
  <c r="BB1249" i="2"/>
  <c r="B1240" i="2"/>
  <c r="BB1239" i="2"/>
  <c r="BA1239" i="2"/>
  <c r="AZ1239" i="2"/>
  <c r="AY1239" i="2"/>
  <c r="AX1239" i="2"/>
  <c r="AW1239" i="2"/>
  <c r="AV1239" i="2"/>
  <c r="AU1239" i="2"/>
  <c r="AT1239" i="2"/>
  <c r="AS1239" i="2"/>
  <c r="AR1239" i="2"/>
  <c r="AQ1239" i="2"/>
  <c r="AP1239" i="2"/>
  <c r="AO1239" i="2"/>
  <c r="AN1239" i="2"/>
  <c r="AM1239" i="2"/>
  <c r="AL1239" i="2"/>
  <c r="AK1239" i="2"/>
  <c r="AJ1239" i="2"/>
  <c r="AI1239" i="2"/>
  <c r="AH1239" i="2"/>
  <c r="AG1239" i="2"/>
  <c r="AF1239" i="2"/>
  <c r="AE1239" i="2"/>
  <c r="AD1239" i="2"/>
  <c r="AC1239" i="2"/>
  <c r="AB1239" i="2"/>
  <c r="AA1239" i="2"/>
  <c r="Z1239" i="2"/>
  <c r="Y1239" i="2"/>
  <c r="X1239" i="2"/>
  <c r="W1239" i="2"/>
  <c r="V1239" i="2"/>
  <c r="U1239" i="2"/>
  <c r="T1239" i="2"/>
  <c r="S1239" i="2"/>
  <c r="R1239" i="2"/>
  <c r="Q1239" i="2"/>
  <c r="P1239" i="2"/>
  <c r="O1239" i="2"/>
  <c r="N1239" i="2"/>
  <c r="M1239" i="2"/>
  <c r="L1239" i="2"/>
  <c r="K1239" i="2"/>
  <c r="J1239" i="2"/>
  <c r="I1239" i="2"/>
  <c r="H1239" i="2"/>
  <c r="G1239" i="2"/>
  <c r="BB1237" i="2"/>
  <c r="BB1255" i="2" s="1"/>
  <c r="BA1237" i="2"/>
  <c r="BA1255" i="2" s="1"/>
  <c r="AZ1237" i="2"/>
  <c r="AZ1255" i="2" s="1"/>
  <c r="AY1237" i="2"/>
  <c r="AY1255" i="2" s="1"/>
  <c r="AX1237" i="2"/>
  <c r="AX1255" i="2" s="1"/>
  <c r="AW1237" i="2"/>
  <c r="AW1255" i="2" s="1"/>
  <c r="AV1237" i="2"/>
  <c r="AV1255" i="2" s="1"/>
  <c r="AU1237" i="2"/>
  <c r="AU1255" i="2" s="1"/>
  <c r="AT1237" i="2"/>
  <c r="AT1255" i="2" s="1"/>
  <c r="AS1237" i="2"/>
  <c r="AS1255" i="2" s="1"/>
  <c r="AR1237" i="2"/>
  <c r="AR1255" i="2" s="1"/>
  <c r="AQ1237" i="2"/>
  <c r="AQ1255" i="2" s="1"/>
  <c r="AP1237" i="2"/>
  <c r="AP1255" i="2" s="1"/>
  <c r="AO1237" i="2"/>
  <c r="AO1255" i="2" s="1"/>
  <c r="AN1237" i="2"/>
  <c r="AN1255" i="2" s="1"/>
  <c r="AM1237" i="2"/>
  <c r="AM1255" i="2" s="1"/>
  <c r="AL1237" i="2"/>
  <c r="AL1255" i="2" s="1"/>
  <c r="AK1237" i="2"/>
  <c r="AK1255" i="2" s="1"/>
  <c r="AJ1237" i="2"/>
  <c r="AJ1255" i="2" s="1"/>
  <c r="AI1237" i="2"/>
  <c r="AI1255" i="2" s="1"/>
  <c r="AH1237" i="2"/>
  <c r="AH1255" i="2" s="1"/>
  <c r="AG1237" i="2"/>
  <c r="AG1255" i="2" s="1"/>
  <c r="AF1237" i="2"/>
  <c r="AF1255" i="2" s="1"/>
  <c r="AE1237" i="2"/>
  <c r="AE1255" i="2" s="1"/>
  <c r="AD1237" i="2"/>
  <c r="AD1255" i="2" s="1"/>
  <c r="AC1237" i="2"/>
  <c r="AC1255" i="2" s="1"/>
  <c r="AB1237" i="2"/>
  <c r="AB1255" i="2" s="1"/>
  <c r="AA1237" i="2"/>
  <c r="AA1255" i="2" s="1"/>
  <c r="Z1237" i="2"/>
  <c r="Z1255" i="2" s="1"/>
  <c r="Y1237" i="2"/>
  <c r="Y1255" i="2" s="1"/>
  <c r="X1237" i="2"/>
  <c r="X1255" i="2" s="1"/>
  <c r="W1237" i="2"/>
  <c r="W1255" i="2" s="1"/>
  <c r="V1237" i="2"/>
  <c r="V1255" i="2" s="1"/>
  <c r="U1237" i="2"/>
  <c r="U1255" i="2" s="1"/>
  <c r="T1237" i="2"/>
  <c r="T1255" i="2" s="1"/>
  <c r="S1237" i="2"/>
  <c r="S1255" i="2" s="1"/>
  <c r="R1237" i="2"/>
  <c r="R1255" i="2" s="1"/>
  <c r="Q1237" i="2"/>
  <c r="Q1255" i="2" s="1"/>
  <c r="P1237" i="2"/>
  <c r="P1255" i="2" s="1"/>
  <c r="O1237" i="2"/>
  <c r="O1255" i="2" s="1"/>
  <c r="N1237" i="2"/>
  <c r="N1255" i="2" s="1"/>
  <c r="M1237" i="2"/>
  <c r="M1255" i="2" s="1"/>
  <c r="L1237" i="2"/>
  <c r="L1255" i="2" s="1"/>
  <c r="K1237" i="2"/>
  <c r="K1255" i="2" s="1"/>
  <c r="J1237" i="2"/>
  <c r="J1255" i="2" s="1"/>
  <c r="I1237" i="2"/>
  <c r="I1255" i="2" s="1"/>
  <c r="H1237" i="2"/>
  <c r="G1237" i="2"/>
  <c r="D1234" i="2"/>
  <c r="D1233" i="2"/>
  <c r="D1232" i="2"/>
  <c r="BD1231" i="2"/>
  <c r="D1231" i="2"/>
  <c r="BD1230" i="2"/>
  <c r="D1230" i="2"/>
  <c r="G1226" i="2"/>
  <c r="H1226" i="2" s="1"/>
  <c r="I1226" i="2" s="1"/>
  <c r="J1226" i="2" s="1"/>
  <c r="K1226" i="2" s="1"/>
  <c r="L1226" i="2" s="1"/>
  <c r="M1226" i="2" s="1"/>
  <c r="N1226" i="2" s="1"/>
  <c r="O1226" i="2" s="1"/>
  <c r="P1226" i="2" s="1"/>
  <c r="Q1226" i="2" s="1"/>
  <c r="R1226" i="2" s="1"/>
  <c r="S1226" i="2" s="1"/>
  <c r="T1226" i="2" s="1"/>
  <c r="U1226" i="2" s="1"/>
  <c r="V1226" i="2" s="1"/>
  <c r="W1226" i="2" s="1"/>
  <c r="X1226" i="2" s="1"/>
  <c r="Y1226" i="2" s="1"/>
  <c r="Z1226" i="2" s="1"/>
  <c r="AA1226" i="2" s="1"/>
  <c r="AB1226" i="2" s="1"/>
  <c r="AC1226" i="2" s="1"/>
  <c r="AD1226" i="2" s="1"/>
  <c r="AE1226" i="2" s="1"/>
  <c r="AF1226" i="2" s="1"/>
  <c r="AG1226" i="2" s="1"/>
  <c r="AH1226" i="2" s="1"/>
  <c r="AI1226" i="2" s="1"/>
  <c r="AJ1226" i="2" s="1"/>
  <c r="AK1226" i="2" s="1"/>
  <c r="AL1226" i="2" s="1"/>
  <c r="AM1226" i="2" s="1"/>
  <c r="AN1226" i="2" s="1"/>
  <c r="AO1226" i="2" s="1"/>
  <c r="AP1226" i="2" s="1"/>
  <c r="AQ1226" i="2" s="1"/>
  <c r="AR1226" i="2" s="1"/>
  <c r="AS1226" i="2" s="1"/>
  <c r="AT1226" i="2" s="1"/>
  <c r="AU1226" i="2" s="1"/>
  <c r="AV1226" i="2" s="1"/>
  <c r="AW1226" i="2" s="1"/>
  <c r="AX1226" i="2" s="1"/>
  <c r="AY1226" i="2" s="1"/>
  <c r="AZ1226" i="2" s="1"/>
  <c r="BA1226" i="2" s="1"/>
  <c r="BB1226" i="2" s="1"/>
  <c r="G947" i="2"/>
  <c r="H947" i="2"/>
  <c r="I947" i="2"/>
  <c r="J947" i="2"/>
  <c r="K947" i="2"/>
  <c r="L947" i="2"/>
  <c r="M947" i="2"/>
  <c r="N947" i="2"/>
  <c r="O947" i="2"/>
  <c r="P947" i="2"/>
  <c r="Q947" i="2"/>
  <c r="R947" i="2"/>
  <c r="S947" i="2"/>
  <c r="T947" i="2"/>
  <c r="U947" i="2"/>
  <c r="V947" i="2"/>
  <c r="W947" i="2"/>
  <c r="X947" i="2"/>
  <c r="Y947" i="2"/>
  <c r="Z947" i="2"/>
  <c r="AA947" i="2"/>
  <c r="AB947" i="2"/>
  <c r="AC947" i="2"/>
  <c r="AD947" i="2"/>
  <c r="AE947" i="2"/>
  <c r="AF947" i="2"/>
  <c r="AG947" i="2"/>
  <c r="AH947" i="2"/>
  <c r="AI947" i="2"/>
  <c r="AJ947" i="2"/>
  <c r="AK947" i="2"/>
  <c r="AL947" i="2"/>
  <c r="AM947" i="2"/>
  <c r="AN947" i="2"/>
  <c r="AO947" i="2"/>
  <c r="AP947" i="2"/>
  <c r="AQ947" i="2"/>
  <c r="AR947" i="2"/>
  <c r="AS947" i="2"/>
  <c r="AT947" i="2"/>
  <c r="AU947" i="2"/>
  <c r="AV947" i="2"/>
  <c r="AW947" i="2"/>
  <c r="AX947" i="2"/>
  <c r="AY947" i="2"/>
  <c r="AZ947" i="2"/>
  <c r="BA947" i="2"/>
  <c r="BB947" i="2"/>
  <c r="A72" i="4"/>
  <c r="BB745" i="2"/>
  <c r="BB948" i="2" s="1"/>
  <c r="BA745" i="2"/>
  <c r="BA948" i="2" s="1"/>
  <c r="AZ745" i="2"/>
  <c r="AZ948" i="2" s="1"/>
  <c r="AY745" i="2"/>
  <c r="AY948" i="2" s="1"/>
  <c r="AX745" i="2"/>
  <c r="AX948" i="2" s="1"/>
  <c r="AW745" i="2"/>
  <c r="AW948" i="2" s="1"/>
  <c r="AV745" i="2"/>
  <c r="AV948" i="2" s="1"/>
  <c r="AU745" i="2"/>
  <c r="AU948" i="2" s="1"/>
  <c r="AT745" i="2"/>
  <c r="AT948" i="2" s="1"/>
  <c r="AS745" i="2"/>
  <c r="AS948" i="2" s="1"/>
  <c r="AR745" i="2"/>
  <c r="AR948" i="2" s="1"/>
  <c r="AQ745" i="2"/>
  <c r="AQ948" i="2" s="1"/>
  <c r="AP745" i="2"/>
  <c r="AP948" i="2" s="1"/>
  <c r="AO745" i="2"/>
  <c r="AO948" i="2" s="1"/>
  <c r="AN745" i="2"/>
  <c r="AN948" i="2" s="1"/>
  <c r="AM745" i="2"/>
  <c r="AM948" i="2" s="1"/>
  <c r="AL745" i="2"/>
  <c r="AL948" i="2" s="1"/>
  <c r="AK745" i="2"/>
  <c r="AK948" i="2" s="1"/>
  <c r="AJ745" i="2"/>
  <c r="AJ948" i="2" s="1"/>
  <c r="AI745" i="2"/>
  <c r="AI948" i="2" s="1"/>
  <c r="AH745" i="2"/>
  <c r="AH948" i="2" s="1"/>
  <c r="AG745" i="2"/>
  <c r="AG948" i="2" s="1"/>
  <c r="AF745" i="2"/>
  <c r="AF948" i="2" s="1"/>
  <c r="AE745" i="2"/>
  <c r="AE948" i="2" s="1"/>
  <c r="AD745" i="2"/>
  <c r="AD948" i="2" s="1"/>
  <c r="AC745" i="2"/>
  <c r="AC948" i="2" s="1"/>
  <c r="AB745" i="2"/>
  <c r="AB948" i="2" s="1"/>
  <c r="AA745" i="2"/>
  <c r="AA948" i="2" s="1"/>
  <c r="Z745" i="2"/>
  <c r="Z948" i="2" s="1"/>
  <c r="Y745" i="2"/>
  <c r="Y948" i="2" s="1"/>
  <c r="X745" i="2"/>
  <c r="X948" i="2" s="1"/>
  <c r="W745" i="2"/>
  <c r="W948" i="2" s="1"/>
  <c r="V745" i="2"/>
  <c r="V948" i="2" s="1"/>
  <c r="U745" i="2"/>
  <c r="U948" i="2" s="1"/>
  <c r="T745" i="2"/>
  <c r="T948" i="2" s="1"/>
  <c r="S745" i="2"/>
  <c r="S948" i="2" s="1"/>
  <c r="R745" i="2"/>
  <c r="R948" i="2" s="1"/>
  <c r="Q745" i="2"/>
  <c r="Q948" i="2" s="1"/>
  <c r="P745" i="2"/>
  <c r="P948" i="2" s="1"/>
  <c r="O745" i="2"/>
  <c r="O948" i="2" s="1"/>
  <c r="N745" i="2"/>
  <c r="N948" i="2" s="1"/>
  <c r="M745" i="2"/>
  <c r="M948" i="2" s="1"/>
  <c r="L745" i="2"/>
  <c r="L948" i="2" s="1"/>
  <c r="K745" i="2"/>
  <c r="K948" i="2" s="1"/>
  <c r="J745" i="2"/>
  <c r="J948" i="2" s="1"/>
  <c r="I745" i="2"/>
  <c r="I948" i="2" s="1"/>
  <c r="H745" i="2"/>
  <c r="H948" i="2" s="1"/>
  <c r="G745" i="2"/>
  <c r="G948" i="2" s="1"/>
  <c r="BD738" i="2"/>
  <c r="D737" i="2"/>
  <c r="D736" i="2"/>
  <c r="B740" i="2" s="1"/>
  <c r="BD735" i="2"/>
  <c r="B735" i="2" s="1"/>
  <c r="D735" i="2"/>
  <c r="A82" i="4"/>
  <c r="BB914" i="2"/>
  <c r="BA914" i="2"/>
  <c r="AZ914" i="2"/>
  <c r="AY914" i="2"/>
  <c r="AX914" i="2"/>
  <c r="AW914" i="2"/>
  <c r="AV914" i="2"/>
  <c r="AU914" i="2"/>
  <c r="AT914" i="2"/>
  <c r="AS914" i="2"/>
  <c r="AR914" i="2"/>
  <c r="AQ914" i="2"/>
  <c r="AP914" i="2"/>
  <c r="AO914" i="2"/>
  <c r="AN914" i="2"/>
  <c r="AM914" i="2"/>
  <c r="AL914" i="2"/>
  <c r="AK914" i="2"/>
  <c r="AJ914" i="2"/>
  <c r="AI914" i="2"/>
  <c r="AH914" i="2"/>
  <c r="AG914" i="2"/>
  <c r="AF914" i="2"/>
  <c r="AE914" i="2"/>
  <c r="AD914" i="2"/>
  <c r="AC914" i="2"/>
  <c r="AB914" i="2"/>
  <c r="AA914" i="2"/>
  <c r="Z914" i="2"/>
  <c r="Y914" i="2"/>
  <c r="X914" i="2"/>
  <c r="W914" i="2"/>
  <c r="V914" i="2"/>
  <c r="U914" i="2"/>
  <c r="T914" i="2"/>
  <c r="S914" i="2"/>
  <c r="R914" i="2"/>
  <c r="Q914" i="2"/>
  <c r="P914" i="2"/>
  <c r="O914" i="2"/>
  <c r="N914" i="2"/>
  <c r="M914" i="2"/>
  <c r="L914" i="2"/>
  <c r="K914" i="2"/>
  <c r="J914" i="2"/>
  <c r="I914" i="2"/>
  <c r="H914" i="2"/>
  <c r="G914" i="2"/>
  <c r="BB913" i="2"/>
  <c r="BA913" i="2"/>
  <c r="AZ913" i="2"/>
  <c r="AY913" i="2"/>
  <c r="AX913" i="2"/>
  <c r="AW913" i="2"/>
  <c r="AV913" i="2"/>
  <c r="AU913" i="2"/>
  <c r="AT913" i="2"/>
  <c r="AS913" i="2"/>
  <c r="AR913" i="2"/>
  <c r="AQ913" i="2"/>
  <c r="AP913" i="2"/>
  <c r="AO913" i="2"/>
  <c r="AN913" i="2"/>
  <c r="AM913" i="2"/>
  <c r="AL913" i="2"/>
  <c r="AK913" i="2"/>
  <c r="AJ913" i="2"/>
  <c r="AI913" i="2"/>
  <c r="AH913" i="2"/>
  <c r="AG913" i="2"/>
  <c r="AF913" i="2"/>
  <c r="AE913" i="2"/>
  <c r="AD913" i="2"/>
  <c r="AC913" i="2"/>
  <c r="AB913" i="2"/>
  <c r="AA913" i="2"/>
  <c r="Z913" i="2"/>
  <c r="Y913" i="2"/>
  <c r="X913" i="2"/>
  <c r="W913" i="2"/>
  <c r="V913" i="2"/>
  <c r="U913" i="2"/>
  <c r="T913" i="2"/>
  <c r="S913" i="2"/>
  <c r="R913" i="2"/>
  <c r="Q913" i="2"/>
  <c r="P913" i="2"/>
  <c r="O913" i="2"/>
  <c r="N913" i="2"/>
  <c r="M913" i="2"/>
  <c r="L913" i="2"/>
  <c r="K913" i="2"/>
  <c r="J913" i="2"/>
  <c r="I913" i="2"/>
  <c r="H913" i="2"/>
  <c r="G913" i="2"/>
  <c r="BD897" i="2"/>
  <c r="BB895" i="2"/>
  <c r="BA895" i="2"/>
  <c r="AZ895" i="2"/>
  <c r="AY895" i="2"/>
  <c r="AX895" i="2"/>
  <c r="AW895" i="2"/>
  <c r="AV895" i="2"/>
  <c r="AU895" i="2"/>
  <c r="AT895" i="2"/>
  <c r="AS895" i="2"/>
  <c r="AR895" i="2"/>
  <c r="AQ895" i="2"/>
  <c r="AP895" i="2"/>
  <c r="AO895" i="2"/>
  <c r="AN895" i="2"/>
  <c r="AM895" i="2"/>
  <c r="AL895" i="2"/>
  <c r="AK895" i="2"/>
  <c r="AJ895" i="2"/>
  <c r="AI895" i="2"/>
  <c r="AH895" i="2"/>
  <c r="AG895" i="2"/>
  <c r="AF895" i="2"/>
  <c r="AE895" i="2"/>
  <c r="AD895" i="2"/>
  <c r="AC895" i="2"/>
  <c r="AB895" i="2"/>
  <c r="AA895" i="2"/>
  <c r="Z895" i="2"/>
  <c r="Y895" i="2"/>
  <c r="X895" i="2"/>
  <c r="W895" i="2"/>
  <c r="V895" i="2"/>
  <c r="U895" i="2"/>
  <c r="T895" i="2"/>
  <c r="S895" i="2"/>
  <c r="R895" i="2"/>
  <c r="Q895" i="2"/>
  <c r="P895" i="2"/>
  <c r="O895" i="2"/>
  <c r="N895" i="2"/>
  <c r="M895" i="2"/>
  <c r="L895" i="2"/>
  <c r="K895" i="2"/>
  <c r="J895" i="2"/>
  <c r="I895" i="2"/>
  <c r="H895" i="2"/>
  <c r="G895" i="2"/>
  <c r="D895" i="2"/>
  <c r="B895" i="2"/>
  <c r="D890" i="2"/>
  <c r="D889" i="2"/>
  <c r="B900" i="2" s="1"/>
  <c r="BD888" i="2"/>
  <c r="B888" i="2" s="1"/>
  <c r="D888" i="2"/>
  <c r="G986" i="2"/>
  <c r="H986" i="2"/>
  <c r="I986" i="2"/>
  <c r="J986" i="2"/>
  <c r="K986" i="2"/>
  <c r="L986" i="2"/>
  <c r="M986" i="2"/>
  <c r="N986" i="2"/>
  <c r="O986" i="2"/>
  <c r="P986" i="2"/>
  <c r="Q986" i="2"/>
  <c r="R986" i="2"/>
  <c r="S986" i="2"/>
  <c r="T986" i="2"/>
  <c r="U986" i="2"/>
  <c r="V986" i="2"/>
  <c r="W986" i="2"/>
  <c r="X986" i="2"/>
  <c r="Y986" i="2"/>
  <c r="Z986" i="2"/>
  <c r="AA986" i="2"/>
  <c r="AB986" i="2"/>
  <c r="AC986" i="2"/>
  <c r="AD986" i="2"/>
  <c r="AE986" i="2"/>
  <c r="AF986" i="2"/>
  <c r="AG986" i="2"/>
  <c r="AH986" i="2"/>
  <c r="AI986" i="2"/>
  <c r="AJ986" i="2"/>
  <c r="AK986" i="2"/>
  <c r="AL986" i="2"/>
  <c r="AM986" i="2"/>
  <c r="AN986" i="2"/>
  <c r="AO986" i="2"/>
  <c r="AP986" i="2"/>
  <c r="AQ986" i="2"/>
  <c r="AR986" i="2"/>
  <c r="AS986" i="2"/>
  <c r="AT986" i="2"/>
  <c r="AU986" i="2"/>
  <c r="AV986" i="2"/>
  <c r="AW986" i="2"/>
  <c r="AX986" i="2"/>
  <c r="AY986" i="2"/>
  <c r="AZ986" i="2"/>
  <c r="BA986" i="2"/>
  <c r="BB986" i="2"/>
  <c r="A85" i="4"/>
  <c r="BB939" i="2"/>
  <c r="BB987" i="2" s="1"/>
  <c r="BA939" i="2"/>
  <c r="BA987" i="2" s="1"/>
  <c r="AZ939" i="2"/>
  <c r="AZ987" i="2" s="1"/>
  <c r="AY939" i="2"/>
  <c r="AY987" i="2" s="1"/>
  <c r="AX939" i="2"/>
  <c r="AX987" i="2" s="1"/>
  <c r="AW939" i="2"/>
  <c r="AW987" i="2" s="1"/>
  <c r="AV939" i="2"/>
  <c r="AV987" i="2" s="1"/>
  <c r="AU939" i="2"/>
  <c r="AU987" i="2" s="1"/>
  <c r="AT939" i="2"/>
  <c r="AT987" i="2" s="1"/>
  <c r="AS939" i="2"/>
  <c r="AS987" i="2" s="1"/>
  <c r="AR939" i="2"/>
  <c r="AR987" i="2" s="1"/>
  <c r="AQ939" i="2"/>
  <c r="AQ987" i="2" s="1"/>
  <c r="AP939" i="2"/>
  <c r="AP987" i="2" s="1"/>
  <c r="AO939" i="2"/>
  <c r="AO987" i="2" s="1"/>
  <c r="AN939" i="2"/>
  <c r="AN987" i="2" s="1"/>
  <c r="AM939" i="2"/>
  <c r="AM987" i="2" s="1"/>
  <c r="AL939" i="2"/>
  <c r="AL987" i="2" s="1"/>
  <c r="AK939" i="2"/>
  <c r="AK987" i="2" s="1"/>
  <c r="AJ939" i="2"/>
  <c r="AJ987" i="2" s="1"/>
  <c r="AI939" i="2"/>
  <c r="AI987" i="2" s="1"/>
  <c r="AH939" i="2"/>
  <c r="AH987" i="2" s="1"/>
  <c r="AG939" i="2"/>
  <c r="AG987" i="2" s="1"/>
  <c r="AF939" i="2"/>
  <c r="AF987" i="2" s="1"/>
  <c r="AE939" i="2"/>
  <c r="AE987" i="2" s="1"/>
  <c r="AD939" i="2"/>
  <c r="AD987" i="2" s="1"/>
  <c r="AC939" i="2"/>
  <c r="AC987" i="2" s="1"/>
  <c r="AB939" i="2"/>
  <c r="AB987" i="2" s="1"/>
  <c r="AA939" i="2"/>
  <c r="AA987" i="2" s="1"/>
  <c r="Z939" i="2"/>
  <c r="Z987" i="2" s="1"/>
  <c r="Y939" i="2"/>
  <c r="Y987" i="2" s="1"/>
  <c r="X939" i="2"/>
  <c r="X987" i="2" s="1"/>
  <c r="W939" i="2"/>
  <c r="W987" i="2" s="1"/>
  <c r="V939" i="2"/>
  <c r="V987" i="2" s="1"/>
  <c r="U939" i="2"/>
  <c r="U987" i="2" s="1"/>
  <c r="T939" i="2"/>
  <c r="T987" i="2" s="1"/>
  <c r="S939" i="2"/>
  <c r="S987" i="2" s="1"/>
  <c r="R939" i="2"/>
  <c r="R987" i="2" s="1"/>
  <c r="Q939" i="2"/>
  <c r="Q987" i="2" s="1"/>
  <c r="P939" i="2"/>
  <c r="P987" i="2" s="1"/>
  <c r="O939" i="2"/>
  <c r="O987" i="2" s="1"/>
  <c r="N939" i="2"/>
  <c r="N987" i="2" s="1"/>
  <c r="M939" i="2"/>
  <c r="M987" i="2" s="1"/>
  <c r="L939" i="2"/>
  <c r="L987" i="2" s="1"/>
  <c r="K939" i="2"/>
  <c r="K987" i="2" s="1"/>
  <c r="J939" i="2"/>
  <c r="J987" i="2" s="1"/>
  <c r="I939" i="2"/>
  <c r="I987" i="2" s="1"/>
  <c r="H939" i="2"/>
  <c r="H987" i="2" s="1"/>
  <c r="G939" i="2"/>
  <c r="G987" i="2" s="1"/>
  <c r="BD926" i="2"/>
  <c r="D923" i="2"/>
  <c r="D922" i="2"/>
  <c r="B929" i="2" s="1"/>
  <c r="BD921" i="2"/>
  <c r="B921" i="2" s="1"/>
  <c r="D921" i="2"/>
  <c r="A81" i="4"/>
  <c r="BB884" i="2"/>
  <c r="BB976" i="2" s="1"/>
  <c r="BA884" i="2"/>
  <c r="BA976" i="2" s="1"/>
  <c r="AZ884" i="2"/>
  <c r="AZ976" i="2" s="1"/>
  <c r="AY884" i="2"/>
  <c r="AX884" i="2"/>
  <c r="AW884" i="2"/>
  <c r="AV884" i="2"/>
  <c r="AU884" i="2"/>
  <c r="AT884" i="2"/>
  <c r="AT976" i="2" s="1"/>
  <c r="AS884" i="2"/>
  <c r="AS976" i="2" s="1"/>
  <c r="AR884" i="2"/>
  <c r="AR976" i="2" s="1"/>
  <c r="AQ884" i="2"/>
  <c r="AP884" i="2"/>
  <c r="AO884" i="2"/>
  <c r="AN884" i="2"/>
  <c r="AM884" i="2"/>
  <c r="AL884" i="2"/>
  <c r="AL976" i="2" s="1"/>
  <c r="AK884" i="2"/>
  <c r="AK976" i="2" s="1"/>
  <c r="AJ884" i="2"/>
  <c r="AJ976" i="2" s="1"/>
  <c r="AI884" i="2"/>
  <c r="AH884" i="2"/>
  <c r="AG884" i="2"/>
  <c r="AF884" i="2"/>
  <c r="AE884" i="2"/>
  <c r="AD884" i="2"/>
  <c r="AD976" i="2" s="1"/>
  <c r="AC884" i="2"/>
  <c r="AC976" i="2" s="1"/>
  <c r="AB884" i="2"/>
  <c r="AB976" i="2" s="1"/>
  <c r="AA884" i="2"/>
  <c r="Z884" i="2"/>
  <c r="Y884" i="2"/>
  <c r="X884" i="2"/>
  <c r="W884" i="2"/>
  <c r="V884" i="2"/>
  <c r="V976" i="2" s="1"/>
  <c r="U884" i="2"/>
  <c r="U976" i="2" s="1"/>
  <c r="T884" i="2"/>
  <c r="T976" i="2" s="1"/>
  <c r="S884" i="2"/>
  <c r="R884" i="2"/>
  <c r="Q884" i="2"/>
  <c r="P884" i="2"/>
  <c r="O884" i="2"/>
  <c r="N884" i="2"/>
  <c r="N976" i="2" s="1"/>
  <c r="M884" i="2"/>
  <c r="M976" i="2" s="1"/>
  <c r="L884" i="2"/>
  <c r="L976" i="2" s="1"/>
  <c r="K884" i="2"/>
  <c r="J884" i="2"/>
  <c r="I884" i="2"/>
  <c r="H884" i="2"/>
  <c r="G884" i="2"/>
  <c r="BB883" i="2"/>
  <c r="BB975" i="2" s="1"/>
  <c r="BA883" i="2"/>
  <c r="BA975" i="2" s="1"/>
  <c r="AZ883" i="2"/>
  <c r="AZ975" i="2" s="1"/>
  <c r="AY883" i="2"/>
  <c r="AX883" i="2"/>
  <c r="AW883" i="2"/>
  <c r="AV883" i="2"/>
  <c r="AU883" i="2"/>
  <c r="AT883" i="2"/>
  <c r="AT975" i="2" s="1"/>
  <c r="AS883" i="2"/>
  <c r="AS975" i="2" s="1"/>
  <c r="AR883" i="2"/>
  <c r="AR975" i="2" s="1"/>
  <c r="AQ883" i="2"/>
  <c r="AP883" i="2"/>
  <c r="AO883" i="2"/>
  <c r="AN883" i="2"/>
  <c r="AM883" i="2"/>
  <c r="AL883" i="2"/>
  <c r="AL975" i="2" s="1"/>
  <c r="AK883" i="2"/>
  <c r="AK975" i="2" s="1"/>
  <c r="AJ883" i="2"/>
  <c r="AJ975" i="2" s="1"/>
  <c r="AI883" i="2"/>
  <c r="AH883" i="2"/>
  <c r="AG883" i="2"/>
  <c r="AF883" i="2"/>
  <c r="AE883" i="2"/>
  <c r="AD883" i="2"/>
  <c r="AD975" i="2" s="1"/>
  <c r="AC883" i="2"/>
  <c r="AC975" i="2" s="1"/>
  <c r="AB883" i="2"/>
  <c r="AB975" i="2" s="1"/>
  <c r="AA883" i="2"/>
  <c r="Z883" i="2"/>
  <c r="Y883" i="2"/>
  <c r="X883" i="2"/>
  <c r="W883" i="2"/>
  <c r="V883" i="2"/>
  <c r="V975" i="2" s="1"/>
  <c r="U883" i="2"/>
  <c r="U975" i="2" s="1"/>
  <c r="T883" i="2"/>
  <c r="T975" i="2" s="1"/>
  <c r="S883" i="2"/>
  <c r="R883" i="2"/>
  <c r="Q883" i="2"/>
  <c r="P883" i="2"/>
  <c r="O883" i="2"/>
  <c r="N883" i="2"/>
  <c r="N975" i="2" s="1"/>
  <c r="M883" i="2"/>
  <c r="M975" i="2" s="1"/>
  <c r="L883" i="2"/>
  <c r="L975" i="2" s="1"/>
  <c r="K883" i="2"/>
  <c r="J883" i="2"/>
  <c r="I883" i="2"/>
  <c r="H883" i="2"/>
  <c r="G883" i="2"/>
  <c r="BD867" i="2"/>
  <c r="BB865" i="2"/>
  <c r="BA865" i="2"/>
  <c r="AZ865" i="2"/>
  <c r="AY865" i="2"/>
  <c r="AX865" i="2"/>
  <c r="AW865" i="2"/>
  <c r="AV865" i="2"/>
  <c r="AU865" i="2"/>
  <c r="AT865" i="2"/>
  <c r="AS865" i="2"/>
  <c r="AR865" i="2"/>
  <c r="AQ865" i="2"/>
  <c r="AP865" i="2"/>
  <c r="AO865" i="2"/>
  <c r="AN865" i="2"/>
  <c r="AM865" i="2"/>
  <c r="AL865" i="2"/>
  <c r="AK865" i="2"/>
  <c r="AJ865" i="2"/>
  <c r="AI865" i="2"/>
  <c r="AH865" i="2"/>
  <c r="AG865" i="2"/>
  <c r="AF865" i="2"/>
  <c r="AE865" i="2"/>
  <c r="AD865" i="2"/>
  <c r="AC865" i="2"/>
  <c r="AB865" i="2"/>
  <c r="AA865" i="2"/>
  <c r="Z865" i="2"/>
  <c r="Y865" i="2"/>
  <c r="X865" i="2"/>
  <c r="W865" i="2"/>
  <c r="V865" i="2"/>
  <c r="U865" i="2"/>
  <c r="T865" i="2"/>
  <c r="S865" i="2"/>
  <c r="R865" i="2"/>
  <c r="Q865" i="2"/>
  <c r="P865" i="2"/>
  <c r="O865" i="2"/>
  <c r="N865" i="2"/>
  <c r="M865" i="2"/>
  <c r="L865" i="2"/>
  <c r="K865" i="2"/>
  <c r="J865" i="2"/>
  <c r="I865" i="2"/>
  <c r="H865" i="2"/>
  <c r="G865" i="2"/>
  <c r="D865" i="2"/>
  <c r="B865" i="2"/>
  <c r="D860" i="2"/>
  <c r="D859" i="2"/>
  <c r="B870" i="2" s="1"/>
  <c r="BD858" i="2"/>
  <c r="B858" i="2" s="1"/>
  <c r="D858" i="2"/>
  <c r="BC219" i="2"/>
  <c r="A30" i="4"/>
  <c r="D265" i="2"/>
  <c r="D264" i="2"/>
  <c r="BB263" i="2"/>
  <c r="BA263" i="2"/>
  <c r="AZ263" i="2"/>
  <c r="AY263" i="2"/>
  <c r="AX263" i="2"/>
  <c r="AW263" i="2"/>
  <c r="AV263" i="2"/>
  <c r="AU263" i="2"/>
  <c r="AT263" i="2"/>
  <c r="AS263" i="2"/>
  <c r="AR263" i="2"/>
  <c r="AQ263" i="2"/>
  <c r="AP263" i="2"/>
  <c r="AO263" i="2"/>
  <c r="AN263" i="2"/>
  <c r="AM263" i="2"/>
  <c r="AL263" i="2"/>
  <c r="AK263" i="2"/>
  <c r="AJ263" i="2"/>
  <c r="AI263" i="2"/>
  <c r="AH263" i="2"/>
  <c r="AG263" i="2"/>
  <c r="AF263" i="2"/>
  <c r="AE263" i="2"/>
  <c r="AD263" i="2"/>
  <c r="AC263" i="2"/>
  <c r="AB263" i="2"/>
  <c r="AA263" i="2"/>
  <c r="Z263" i="2"/>
  <c r="Y263" i="2"/>
  <c r="X263" i="2"/>
  <c r="W263" i="2"/>
  <c r="V263" i="2"/>
  <c r="U263" i="2"/>
  <c r="T263" i="2"/>
  <c r="S263" i="2"/>
  <c r="R263" i="2"/>
  <c r="Q263" i="2"/>
  <c r="P263" i="2"/>
  <c r="O263" i="2"/>
  <c r="N263" i="2"/>
  <c r="M263" i="2"/>
  <c r="L263" i="2"/>
  <c r="K263" i="2"/>
  <c r="J263" i="2"/>
  <c r="I263" i="2"/>
  <c r="H263" i="2"/>
  <c r="G263" i="2"/>
  <c r="H261" i="2"/>
  <c r="I261" i="2" s="1"/>
  <c r="J261" i="2" s="1"/>
  <c r="K261" i="2" s="1"/>
  <c r="L261" i="2" s="1"/>
  <c r="M261" i="2" s="1"/>
  <c r="N261" i="2" s="1"/>
  <c r="O261" i="2" s="1"/>
  <c r="P261" i="2" s="1"/>
  <c r="Q261" i="2" s="1"/>
  <c r="R261" i="2" s="1"/>
  <c r="S261" i="2" s="1"/>
  <c r="T261" i="2" s="1"/>
  <c r="U261" i="2" s="1"/>
  <c r="V261" i="2" s="1"/>
  <c r="W261" i="2" s="1"/>
  <c r="X261" i="2" s="1"/>
  <c r="Y261" i="2" s="1"/>
  <c r="Z261" i="2" s="1"/>
  <c r="AA261" i="2" s="1"/>
  <c r="AB261" i="2" s="1"/>
  <c r="AC261" i="2" s="1"/>
  <c r="AD261" i="2" s="1"/>
  <c r="AE261" i="2" s="1"/>
  <c r="AF261" i="2" s="1"/>
  <c r="AG261" i="2" s="1"/>
  <c r="AH261" i="2" s="1"/>
  <c r="AI261" i="2" s="1"/>
  <c r="AJ261" i="2" s="1"/>
  <c r="AK261" i="2" s="1"/>
  <c r="AL261" i="2" s="1"/>
  <c r="AM261" i="2" s="1"/>
  <c r="AN261" i="2" s="1"/>
  <c r="AO261" i="2" s="1"/>
  <c r="AP261" i="2" s="1"/>
  <c r="AQ261" i="2" s="1"/>
  <c r="AR261" i="2" s="1"/>
  <c r="AS261" i="2" s="1"/>
  <c r="AT261" i="2" s="1"/>
  <c r="AU261" i="2" s="1"/>
  <c r="AV261" i="2" s="1"/>
  <c r="AW261" i="2" s="1"/>
  <c r="AX261" i="2" s="1"/>
  <c r="AY261" i="2" s="1"/>
  <c r="AZ261" i="2" s="1"/>
  <c r="BA261" i="2" s="1"/>
  <c r="BB261" i="2" s="1"/>
  <c r="D258" i="2"/>
  <c r="B257" i="2"/>
  <c r="D256" i="2"/>
  <c r="B255" i="2"/>
  <c r="D254" i="2"/>
  <c r="D253" i="2"/>
  <c r="D252" i="2"/>
  <c r="B251" i="2"/>
  <c r="D250" i="2"/>
  <c r="B249" i="2"/>
  <c r="D248" i="2"/>
  <c r="B247" i="2"/>
  <c r="D246" i="2"/>
  <c r="D245" i="2"/>
  <c r="D243" i="2"/>
  <c r="A29" i="4"/>
  <c r="D241" i="2"/>
  <c r="D240" i="2"/>
  <c r="BB239" i="2"/>
  <c r="BA239" i="2"/>
  <c r="AZ239" i="2"/>
  <c r="AY239" i="2"/>
  <c r="AX239" i="2"/>
  <c r="AW239" i="2"/>
  <c r="AV239" i="2"/>
  <c r="AU239" i="2"/>
  <c r="AT239" i="2"/>
  <c r="AS239" i="2"/>
  <c r="AR239" i="2"/>
  <c r="AQ239" i="2"/>
  <c r="AP239" i="2"/>
  <c r="AO239" i="2"/>
  <c r="AN239" i="2"/>
  <c r="AM239" i="2"/>
  <c r="AL239" i="2"/>
  <c r="AK239" i="2"/>
  <c r="AJ239" i="2"/>
  <c r="AI239" i="2"/>
  <c r="AH239" i="2"/>
  <c r="AG239" i="2"/>
  <c r="AF239" i="2"/>
  <c r="AE239" i="2"/>
  <c r="AD239" i="2"/>
  <c r="AC239" i="2"/>
  <c r="AB239" i="2"/>
  <c r="AA239" i="2"/>
  <c r="Z239" i="2"/>
  <c r="Y239" i="2"/>
  <c r="X239" i="2"/>
  <c r="W239" i="2"/>
  <c r="V239" i="2"/>
  <c r="U239" i="2"/>
  <c r="T239" i="2"/>
  <c r="S239" i="2"/>
  <c r="R239" i="2"/>
  <c r="Q239" i="2"/>
  <c r="P239" i="2"/>
  <c r="O239" i="2"/>
  <c r="N239" i="2"/>
  <c r="M239" i="2"/>
  <c r="L239" i="2"/>
  <c r="K239" i="2"/>
  <c r="J239" i="2"/>
  <c r="I239" i="2"/>
  <c r="H239" i="2"/>
  <c r="G239" i="2"/>
  <c r="H237" i="2"/>
  <c r="I237" i="2" s="1"/>
  <c r="J237" i="2" s="1"/>
  <c r="K237" i="2" s="1"/>
  <c r="L237" i="2" s="1"/>
  <c r="M237" i="2" s="1"/>
  <c r="N237" i="2" s="1"/>
  <c r="O237" i="2" s="1"/>
  <c r="P237" i="2" s="1"/>
  <c r="Q237" i="2" s="1"/>
  <c r="R237" i="2" s="1"/>
  <c r="S237" i="2" s="1"/>
  <c r="T237" i="2" s="1"/>
  <c r="U237" i="2" s="1"/>
  <c r="V237" i="2" s="1"/>
  <c r="W237" i="2" s="1"/>
  <c r="X237" i="2" s="1"/>
  <c r="Y237" i="2" s="1"/>
  <c r="Z237" i="2" s="1"/>
  <c r="AA237" i="2" s="1"/>
  <c r="AB237" i="2" s="1"/>
  <c r="AC237" i="2" s="1"/>
  <c r="AD237" i="2" s="1"/>
  <c r="AE237" i="2" s="1"/>
  <c r="AF237" i="2" s="1"/>
  <c r="AG237" i="2" s="1"/>
  <c r="AH237" i="2" s="1"/>
  <c r="AI237" i="2" s="1"/>
  <c r="AJ237" i="2" s="1"/>
  <c r="AK237" i="2" s="1"/>
  <c r="AL237" i="2" s="1"/>
  <c r="AM237" i="2" s="1"/>
  <c r="AN237" i="2" s="1"/>
  <c r="AO237" i="2" s="1"/>
  <c r="AP237" i="2" s="1"/>
  <c r="AQ237" i="2" s="1"/>
  <c r="AR237" i="2" s="1"/>
  <c r="AS237" i="2" s="1"/>
  <c r="AT237" i="2" s="1"/>
  <c r="AU237" i="2" s="1"/>
  <c r="AV237" i="2" s="1"/>
  <c r="AW237" i="2" s="1"/>
  <c r="AX237" i="2" s="1"/>
  <c r="AY237" i="2" s="1"/>
  <c r="AZ237" i="2" s="1"/>
  <c r="BA237" i="2" s="1"/>
  <c r="BB237" i="2" s="1"/>
  <c r="D234" i="2"/>
  <c r="B233" i="2"/>
  <c r="D232" i="2"/>
  <c r="B231" i="2"/>
  <c r="D230" i="2"/>
  <c r="D229" i="2"/>
  <c r="D228" i="2"/>
  <c r="B227" i="2"/>
  <c r="D226" i="2"/>
  <c r="B225" i="2"/>
  <c r="D224" i="2"/>
  <c r="B223" i="2"/>
  <c r="D222" i="2"/>
  <c r="D221" i="2"/>
  <c r="D219" i="2"/>
  <c r="A54" i="4"/>
  <c r="D488" i="2"/>
  <c r="BB487" i="2"/>
  <c r="BA487" i="2"/>
  <c r="AZ487" i="2"/>
  <c r="AY487" i="2"/>
  <c r="AX487" i="2"/>
  <c r="AW487" i="2"/>
  <c r="AV487" i="2"/>
  <c r="AU487" i="2"/>
  <c r="AT487" i="2"/>
  <c r="AS487" i="2"/>
  <c r="AR487" i="2"/>
  <c r="AQ487" i="2"/>
  <c r="AP487" i="2"/>
  <c r="AO487" i="2"/>
  <c r="AN487" i="2"/>
  <c r="AM487" i="2"/>
  <c r="AL487" i="2"/>
  <c r="AK487" i="2"/>
  <c r="AJ487" i="2"/>
  <c r="AI487" i="2"/>
  <c r="AH487" i="2"/>
  <c r="AG487" i="2"/>
  <c r="AF487" i="2"/>
  <c r="AE487" i="2"/>
  <c r="AD487" i="2"/>
  <c r="AC487" i="2"/>
  <c r="AB487" i="2"/>
  <c r="AA487" i="2"/>
  <c r="Z487" i="2"/>
  <c r="Y487" i="2"/>
  <c r="X487" i="2"/>
  <c r="W487" i="2"/>
  <c r="V487" i="2"/>
  <c r="U487" i="2"/>
  <c r="T487" i="2"/>
  <c r="S487" i="2"/>
  <c r="R487" i="2"/>
  <c r="Q487" i="2"/>
  <c r="P487" i="2"/>
  <c r="O487" i="2"/>
  <c r="N487" i="2"/>
  <c r="M487" i="2"/>
  <c r="L487" i="2"/>
  <c r="K487" i="2"/>
  <c r="J487" i="2"/>
  <c r="I487" i="2"/>
  <c r="H487" i="2"/>
  <c r="G487" i="2"/>
  <c r="D483" i="2"/>
  <c r="D481" i="2"/>
  <c r="B480" i="2"/>
  <c r="A53" i="4"/>
  <c r="D478" i="2"/>
  <c r="BB477" i="2"/>
  <c r="BA477" i="2"/>
  <c r="AZ477" i="2"/>
  <c r="AY477" i="2"/>
  <c r="AX477" i="2"/>
  <c r="AW477" i="2"/>
  <c r="AV477" i="2"/>
  <c r="AU477" i="2"/>
  <c r="AT477" i="2"/>
  <c r="AS477" i="2"/>
  <c r="AR477" i="2"/>
  <c r="AQ477" i="2"/>
  <c r="AP477" i="2"/>
  <c r="AO477" i="2"/>
  <c r="AN477" i="2"/>
  <c r="AM477" i="2"/>
  <c r="AL477" i="2"/>
  <c r="AK477" i="2"/>
  <c r="AJ477" i="2"/>
  <c r="AI477" i="2"/>
  <c r="AH477" i="2"/>
  <c r="AG477" i="2"/>
  <c r="AF477" i="2"/>
  <c r="AE477" i="2"/>
  <c r="AD477" i="2"/>
  <c r="AC477" i="2"/>
  <c r="AB477" i="2"/>
  <c r="AA477" i="2"/>
  <c r="Z477" i="2"/>
  <c r="Y477" i="2"/>
  <c r="X477" i="2"/>
  <c r="W477" i="2"/>
  <c r="V477" i="2"/>
  <c r="U477" i="2"/>
  <c r="T477" i="2"/>
  <c r="S477" i="2"/>
  <c r="R477" i="2"/>
  <c r="Q477" i="2"/>
  <c r="P477" i="2"/>
  <c r="O477" i="2"/>
  <c r="N477" i="2"/>
  <c r="M477" i="2"/>
  <c r="L477" i="2"/>
  <c r="K477" i="2"/>
  <c r="J477" i="2"/>
  <c r="I477" i="2"/>
  <c r="H477" i="2"/>
  <c r="G477" i="2"/>
  <c r="D473" i="2"/>
  <c r="D471" i="2"/>
  <c r="B470" i="2"/>
  <c r="A52" i="4"/>
  <c r="D468" i="2"/>
  <c r="BB467" i="2"/>
  <c r="BA467" i="2"/>
  <c r="AZ467" i="2"/>
  <c r="AY467" i="2"/>
  <c r="AX467" i="2"/>
  <c r="AW467" i="2"/>
  <c r="AV467" i="2"/>
  <c r="AU467" i="2"/>
  <c r="AT467" i="2"/>
  <c r="AS467" i="2"/>
  <c r="AR467" i="2"/>
  <c r="AQ467" i="2"/>
  <c r="AP467" i="2"/>
  <c r="AO467" i="2"/>
  <c r="AN467" i="2"/>
  <c r="AM467" i="2"/>
  <c r="AL467" i="2"/>
  <c r="AK467" i="2"/>
  <c r="AJ467" i="2"/>
  <c r="AI467" i="2"/>
  <c r="AH467" i="2"/>
  <c r="AG467" i="2"/>
  <c r="AF467" i="2"/>
  <c r="AE467" i="2"/>
  <c r="AD467" i="2"/>
  <c r="AC467" i="2"/>
  <c r="AB467" i="2"/>
  <c r="AA467" i="2"/>
  <c r="Z467" i="2"/>
  <c r="Y467" i="2"/>
  <c r="X467" i="2"/>
  <c r="W467" i="2"/>
  <c r="V467" i="2"/>
  <c r="U467" i="2"/>
  <c r="T467" i="2"/>
  <c r="S467" i="2"/>
  <c r="R467" i="2"/>
  <c r="Q467" i="2"/>
  <c r="P467" i="2"/>
  <c r="O467" i="2"/>
  <c r="N467" i="2"/>
  <c r="M467" i="2"/>
  <c r="L467" i="2"/>
  <c r="K467" i="2"/>
  <c r="J467" i="2"/>
  <c r="I467" i="2"/>
  <c r="H467" i="2"/>
  <c r="G467" i="2"/>
  <c r="D463" i="2"/>
  <c r="D461" i="2"/>
  <c r="B460" i="2"/>
  <c r="A61" i="4"/>
  <c r="D524" i="2"/>
  <c r="BB523" i="2"/>
  <c r="BA523" i="2"/>
  <c r="AZ523" i="2"/>
  <c r="AY523" i="2"/>
  <c r="AX523" i="2"/>
  <c r="AW523" i="2"/>
  <c r="AV523" i="2"/>
  <c r="AU523" i="2"/>
  <c r="AT523" i="2"/>
  <c r="AS523" i="2"/>
  <c r="AR523" i="2"/>
  <c r="AQ523" i="2"/>
  <c r="AP523" i="2"/>
  <c r="AO523" i="2"/>
  <c r="AN523" i="2"/>
  <c r="AM523" i="2"/>
  <c r="AL523" i="2"/>
  <c r="AK523" i="2"/>
  <c r="AJ523" i="2"/>
  <c r="AI523" i="2"/>
  <c r="AH523" i="2"/>
  <c r="AG523" i="2"/>
  <c r="AF523" i="2"/>
  <c r="AE523" i="2"/>
  <c r="AD523" i="2"/>
  <c r="AC523" i="2"/>
  <c r="AB523" i="2"/>
  <c r="AA523" i="2"/>
  <c r="Z523" i="2"/>
  <c r="Y523" i="2"/>
  <c r="X523" i="2"/>
  <c r="W523" i="2"/>
  <c r="V523" i="2"/>
  <c r="U523" i="2"/>
  <c r="T523" i="2"/>
  <c r="S523" i="2"/>
  <c r="R523" i="2"/>
  <c r="Q523" i="2"/>
  <c r="P523" i="2"/>
  <c r="O523" i="2"/>
  <c r="N523" i="2"/>
  <c r="M523" i="2"/>
  <c r="L523" i="2"/>
  <c r="K523" i="2"/>
  <c r="J523" i="2"/>
  <c r="I523" i="2"/>
  <c r="H523" i="2"/>
  <c r="G523" i="2"/>
  <c r="D519" i="2"/>
  <c r="D517" i="2"/>
  <c r="B516" i="2"/>
  <c r="A51" i="4"/>
  <c r="D458" i="2"/>
  <c r="BB457" i="2"/>
  <c r="BA457" i="2"/>
  <c r="AZ457" i="2"/>
  <c r="AY457" i="2"/>
  <c r="AX457" i="2"/>
  <c r="AW457" i="2"/>
  <c r="AV457" i="2"/>
  <c r="AU457" i="2"/>
  <c r="AT457" i="2"/>
  <c r="AS457" i="2"/>
  <c r="AR457" i="2"/>
  <c r="AQ457" i="2"/>
  <c r="AP457" i="2"/>
  <c r="AO457" i="2"/>
  <c r="AN457" i="2"/>
  <c r="AM457" i="2"/>
  <c r="AL457" i="2"/>
  <c r="AK457" i="2"/>
  <c r="AJ457" i="2"/>
  <c r="AI457" i="2"/>
  <c r="AH457" i="2"/>
  <c r="AG457" i="2"/>
  <c r="AF457" i="2"/>
  <c r="AE457" i="2"/>
  <c r="AD457" i="2"/>
  <c r="AC457" i="2"/>
  <c r="AB457" i="2"/>
  <c r="AA457" i="2"/>
  <c r="Z457" i="2"/>
  <c r="Y457" i="2"/>
  <c r="X457" i="2"/>
  <c r="W457" i="2"/>
  <c r="V457" i="2"/>
  <c r="U457" i="2"/>
  <c r="T457" i="2"/>
  <c r="S457" i="2"/>
  <c r="R457" i="2"/>
  <c r="Q457" i="2"/>
  <c r="P457" i="2"/>
  <c r="O457" i="2"/>
  <c r="N457" i="2"/>
  <c r="M457" i="2"/>
  <c r="L457" i="2"/>
  <c r="K457" i="2"/>
  <c r="J457" i="2"/>
  <c r="I457" i="2"/>
  <c r="H457" i="2"/>
  <c r="G457" i="2"/>
  <c r="D453" i="2"/>
  <c r="D451" i="2"/>
  <c r="B450" i="2"/>
  <c r="A36" i="4"/>
  <c r="D324" i="2"/>
  <c r="D323" i="2"/>
  <c r="BB322" i="2"/>
  <c r="BA322" i="2"/>
  <c r="AZ322" i="2"/>
  <c r="AY322" i="2"/>
  <c r="AX322" i="2"/>
  <c r="AW322" i="2"/>
  <c r="AV322" i="2"/>
  <c r="AU322" i="2"/>
  <c r="AT322" i="2"/>
  <c r="AS322" i="2"/>
  <c r="AR322" i="2"/>
  <c r="AQ322" i="2"/>
  <c r="AP322" i="2"/>
  <c r="AO322" i="2"/>
  <c r="AN322" i="2"/>
  <c r="AM322" i="2"/>
  <c r="AL322" i="2"/>
  <c r="AK322" i="2"/>
  <c r="AJ322" i="2"/>
  <c r="AI322" i="2"/>
  <c r="AH322" i="2"/>
  <c r="AG322" i="2"/>
  <c r="AF322" i="2"/>
  <c r="AE322" i="2"/>
  <c r="AD322" i="2"/>
  <c r="AC322" i="2"/>
  <c r="AB322" i="2"/>
  <c r="AA322" i="2"/>
  <c r="Z322" i="2"/>
  <c r="Y322" i="2"/>
  <c r="X322" i="2"/>
  <c r="W322" i="2"/>
  <c r="V322" i="2"/>
  <c r="U322" i="2"/>
  <c r="T322" i="2"/>
  <c r="S322" i="2"/>
  <c r="R322" i="2"/>
  <c r="Q322" i="2"/>
  <c r="P322" i="2"/>
  <c r="O322" i="2"/>
  <c r="N322" i="2"/>
  <c r="M322" i="2"/>
  <c r="L322" i="2"/>
  <c r="K322" i="2"/>
  <c r="J322" i="2"/>
  <c r="I322" i="2"/>
  <c r="H322" i="2"/>
  <c r="G322" i="2"/>
  <c r="D319" i="2"/>
  <c r="A35" i="4"/>
  <c r="D315" i="2"/>
  <c r="D314" i="2"/>
  <c r="BB313" i="2"/>
  <c r="BA313" i="2"/>
  <c r="AZ313" i="2"/>
  <c r="AY313" i="2"/>
  <c r="AX313" i="2"/>
  <c r="AW313" i="2"/>
  <c r="AV313" i="2"/>
  <c r="AU313" i="2"/>
  <c r="AT313" i="2"/>
  <c r="AS313" i="2"/>
  <c r="AR313" i="2"/>
  <c r="AQ313" i="2"/>
  <c r="AP313" i="2"/>
  <c r="AO313" i="2"/>
  <c r="AN313" i="2"/>
  <c r="AM313" i="2"/>
  <c r="AL313" i="2"/>
  <c r="AK313" i="2"/>
  <c r="AJ313" i="2"/>
  <c r="AI313" i="2"/>
  <c r="AH313" i="2"/>
  <c r="AG313" i="2"/>
  <c r="AF313" i="2"/>
  <c r="AE313" i="2"/>
  <c r="AD313" i="2"/>
  <c r="AC313" i="2"/>
  <c r="AB313" i="2"/>
  <c r="AA313" i="2"/>
  <c r="Z313" i="2"/>
  <c r="Y313" i="2"/>
  <c r="X313" i="2"/>
  <c r="W313" i="2"/>
  <c r="V313" i="2"/>
  <c r="U313" i="2"/>
  <c r="T313" i="2"/>
  <c r="S313" i="2"/>
  <c r="R313" i="2"/>
  <c r="Q313" i="2"/>
  <c r="P313" i="2"/>
  <c r="O313" i="2"/>
  <c r="N313" i="2"/>
  <c r="M313" i="2"/>
  <c r="L313" i="2"/>
  <c r="K313" i="2"/>
  <c r="J313" i="2"/>
  <c r="I313" i="2"/>
  <c r="H313" i="2"/>
  <c r="G313" i="2"/>
  <c r="D310" i="2"/>
  <c r="A46" i="4"/>
  <c r="D384" i="2"/>
  <c r="D383" i="2"/>
  <c r="BB382" i="2"/>
  <c r="BA382" i="2"/>
  <c r="AZ382" i="2"/>
  <c r="AY382" i="2"/>
  <c r="AX382" i="2"/>
  <c r="AW382" i="2"/>
  <c r="AV382" i="2"/>
  <c r="AU382" i="2"/>
  <c r="AT382" i="2"/>
  <c r="AS382" i="2"/>
  <c r="AR382" i="2"/>
  <c r="AQ382" i="2"/>
  <c r="AP382" i="2"/>
  <c r="AO382" i="2"/>
  <c r="AN382" i="2"/>
  <c r="AM382" i="2"/>
  <c r="AL382" i="2"/>
  <c r="AK382" i="2"/>
  <c r="AJ382" i="2"/>
  <c r="AI382" i="2"/>
  <c r="AH382" i="2"/>
  <c r="AG382" i="2"/>
  <c r="AF382" i="2"/>
  <c r="AE382" i="2"/>
  <c r="AD382" i="2"/>
  <c r="AC382" i="2"/>
  <c r="AB382" i="2"/>
  <c r="AA382" i="2"/>
  <c r="Z382" i="2"/>
  <c r="Y382" i="2"/>
  <c r="X382" i="2"/>
  <c r="W382" i="2"/>
  <c r="V382" i="2"/>
  <c r="U382" i="2"/>
  <c r="T382" i="2"/>
  <c r="S382" i="2"/>
  <c r="R382" i="2"/>
  <c r="Q382" i="2"/>
  <c r="P382" i="2"/>
  <c r="O382" i="2"/>
  <c r="N382" i="2"/>
  <c r="M382" i="2"/>
  <c r="L382" i="2"/>
  <c r="K382" i="2"/>
  <c r="J382" i="2"/>
  <c r="I382" i="2"/>
  <c r="H382" i="2"/>
  <c r="G382" i="2"/>
  <c r="D379" i="2"/>
  <c r="A43" i="4"/>
  <c r="D372" i="2"/>
  <c r="D371" i="2"/>
  <c r="BB370" i="2"/>
  <c r="BA370" i="2"/>
  <c r="AZ370" i="2"/>
  <c r="AY370" i="2"/>
  <c r="AX370" i="2"/>
  <c r="AW370" i="2"/>
  <c r="AV370" i="2"/>
  <c r="AU370" i="2"/>
  <c r="AT370" i="2"/>
  <c r="AS370" i="2"/>
  <c r="AR370" i="2"/>
  <c r="AQ370" i="2"/>
  <c r="AP370" i="2"/>
  <c r="AO370" i="2"/>
  <c r="AN370" i="2"/>
  <c r="AM370" i="2"/>
  <c r="AL370" i="2"/>
  <c r="AK370" i="2"/>
  <c r="AJ370" i="2"/>
  <c r="AI370" i="2"/>
  <c r="AH370" i="2"/>
  <c r="AG370" i="2"/>
  <c r="AF370" i="2"/>
  <c r="AE370" i="2"/>
  <c r="AD370" i="2"/>
  <c r="AC370" i="2"/>
  <c r="AB370" i="2"/>
  <c r="AA370" i="2"/>
  <c r="Z370" i="2"/>
  <c r="Y370" i="2"/>
  <c r="X370" i="2"/>
  <c r="W370" i="2"/>
  <c r="V370" i="2"/>
  <c r="U370" i="2"/>
  <c r="T370" i="2"/>
  <c r="S370" i="2"/>
  <c r="R370" i="2"/>
  <c r="Q370" i="2"/>
  <c r="P370" i="2"/>
  <c r="O370" i="2"/>
  <c r="N370" i="2"/>
  <c r="M370" i="2"/>
  <c r="L370" i="2"/>
  <c r="K370" i="2"/>
  <c r="J370" i="2"/>
  <c r="I370" i="2"/>
  <c r="H370" i="2"/>
  <c r="G370" i="2"/>
  <c r="D367" i="2"/>
  <c r="A42" i="4"/>
  <c r="D363" i="2"/>
  <c r="D362" i="2"/>
  <c r="BB361" i="2"/>
  <c r="BA361" i="2"/>
  <c r="AZ361" i="2"/>
  <c r="AY361" i="2"/>
  <c r="AX361" i="2"/>
  <c r="AW361" i="2"/>
  <c r="AV361" i="2"/>
  <c r="AU361" i="2"/>
  <c r="AT361" i="2"/>
  <c r="AS361" i="2"/>
  <c r="AR361" i="2"/>
  <c r="AQ361" i="2"/>
  <c r="AP361" i="2"/>
  <c r="AO361" i="2"/>
  <c r="AN361" i="2"/>
  <c r="AM361" i="2"/>
  <c r="AL361" i="2"/>
  <c r="AK361" i="2"/>
  <c r="AJ361" i="2"/>
  <c r="AI361" i="2"/>
  <c r="AH361" i="2"/>
  <c r="AG361" i="2"/>
  <c r="AF361" i="2"/>
  <c r="AE361" i="2"/>
  <c r="AD361" i="2"/>
  <c r="AC361" i="2"/>
  <c r="AB361" i="2"/>
  <c r="AA361" i="2"/>
  <c r="Z361" i="2"/>
  <c r="Y361" i="2"/>
  <c r="X361" i="2"/>
  <c r="W361" i="2"/>
  <c r="V361" i="2"/>
  <c r="U361" i="2"/>
  <c r="T361" i="2"/>
  <c r="S361" i="2"/>
  <c r="R361" i="2"/>
  <c r="Q361" i="2"/>
  <c r="P361" i="2"/>
  <c r="O361" i="2"/>
  <c r="N361" i="2"/>
  <c r="M361" i="2"/>
  <c r="L361" i="2"/>
  <c r="K361" i="2"/>
  <c r="J361" i="2"/>
  <c r="I361" i="2"/>
  <c r="H361" i="2"/>
  <c r="G361" i="2"/>
  <c r="D358" i="2"/>
  <c r="BD21" i="4"/>
  <c r="B21" i="4" s="1"/>
  <c r="A21" i="4"/>
  <c r="A10" i="4"/>
  <c r="D125" i="2"/>
  <c r="D124" i="2"/>
  <c r="D123" i="2"/>
  <c r="BB122" i="2"/>
  <c r="BA122" i="2"/>
  <c r="AZ122" i="2"/>
  <c r="AY122" i="2"/>
  <c r="AX122" i="2"/>
  <c r="AW122" i="2"/>
  <c r="AV122" i="2"/>
  <c r="AU122" i="2"/>
  <c r="AT122" i="2"/>
  <c r="AS122" i="2"/>
  <c r="AR122" i="2"/>
  <c r="AQ122" i="2"/>
  <c r="AP122" i="2"/>
  <c r="AO122" i="2"/>
  <c r="AN122" i="2"/>
  <c r="AM122" i="2"/>
  <c r="AL122" i="2"/>
  <c r="AK122" i="2"/>
  <c r="AJ122" i="2"/>
  <c r="AI122" i="2"/>
  <c r="AH122" i="2"/>
  <c r="AG122" i="2"/>
  <c r="AF122" i="2"/>
  <c r="AE122" i="2"/>
  <c r="AD122" i="2"/>
  <c r="AC122" i="2"/>
  <c r="AB122" i="2"/>
  <c r="AA122" i="2"/>
  <c r="Z122" i="2"/>
  <c r="Y122" i="2"/>
  <c r="X122" i="2"/>
  <c r="W122" i="2"/>
  <c r="V122" i="2"/>
  <c r="U122" i="2"/>
  <c r="T122" i="2"/>
  <c r="S122" i="2"/>
  <c r="R122" i="2"/>
  <c r="Q122" i="2"/>
  <c r="P122" i="2"/>
  <c r="O122" i="2"/>
  <c r="N122" i="2"/>
  <c r="M122" i="2"/>
  <c r="L122" i="2"/>
  <c r="K122" i="2"/>
  <c r="J122" i="2"/>
  <c r="I122" i="2"/>
  <c r="H122" i="2"/>
  <c r="G122" i="2"/>
  <c r="H120" i="2"/>
  <c r="I120" i="2" s="1"/>
  <c r="J120" i="2" s="1"/>
  <c r="K120" i="2" s="1"/>
  <c r="L120" i="2" s="1"/>
  <c r="M120" i="2" s="1"/>
  <c r="N120" i="2" s="1"/>
  <c r="O120" i="2" s="1"/>
  <c r="P120" i="2" s="1"/>
  <c r="Q120" i="2" s="1"/>
  <c r="R120" i="2" s="1"/>
  <c r="S120" i="2" s="1"/>
  <c r="T120" i="2" s="1"/>
  <c r="U120" i="2" s="1"/>
  <c r="V120" i="2" s="1"/>
  <c r="W120" i="2" s="1"/>
  <c r="X120" i="2" s="1"/>
  <c r="Y120" i="2" s="1"/>
  <c r="Z120" i="2" s="1"/>
  <c r="AA120" i="2" s="1"/>
  <c r="AB120" i="2" s="1"/>
  <c r="AC120" i="2" s="1"/>
  <c r="AD120" i="2" s="1"/>
  <c r="AE120" i="2" s="1"/>
  <c r="AF120" i="2" s="1"/>
  <c r="AG120" i="2" s="1"/>
  <c r="AH120" i="2" s="1"/>
  <c r="AI120" i="2" s="1"/>
  <c r="AJ120" i="2" s="1"/>
  <c r="AK120" i="2" s="1"/>
  <c r="AL120" i="2" s="1"/>
  <c r="AM120" i="2" s="1"/>
  <c r="AN120" i="2" s="1"/>
  <c r="AO120" i="2" s="1"/>
  <c r="AP120" i="2" s="1"/>
  <c r="AQ120" i="2" s="1"/>
  <c r="AR120" i="2" s="1"/>
  <c r="AS120" i="2" s="1"/>
  <c r="AT120" i="2" s="1"/>
  <c r="AU120" i="2" s="1"/>
  <c r="AV120" i="2" s="1"/>
  <c r="AW120" i="2" s="1"/>
  <c r="AX120" i="2" s="1"/>
  <c r="AY120" i="2" s="1"/>
  <c r="AZ120" i="2" s="1"/>
  <c r="BA120" i="2" s="1"/>
  <c r="BB120" i="2" s="1"/>
  <c r="H119" i="2"/>
  <c r="I119" i="2" s="1"/>
  <c r="J119" i="2" s="1"/>
  <c r="K119" i="2" s="1"/>
  <c r="L119" i="2" s="1"/>
  <c r="M119" i="2" s="1"/>
  <c r="N119" i="2" s="1"/>
  <c r="O119" i="2" s="1"/>
  <c r="P119" i="2" s="1"/>
  <c r="Q119" i="2" s="1"/>
  <c r="R119" i="2" s="1"/>
  <c r="S119" i="2" s="1"/>
  <c r="T119" i="2" s="1"/>
  <c r="U119" i="2" s="1"/>
  <c r="V119" i="2" s="1"/>
  <c r="W119" i="2" s="1"/>
  <c r="X119" i="2" s="1"/>
  <c r="Y119" i="2" s="1"/>
  <c r="Z119" i="2" s="1"/>
  <c r="AA119" i="2" s="1"/>
  <c r="AB119" i="2" s="1"/>
  <c r="AC119" i="2" s="1"/>
  <c r="AD119" i="2" s="1"/>
  <c r="AE119" i="2" s="1"/>
  <c r="AF119" i="2" s="1"/>
  <c r="AG119" i="2" s="1"/>
  <c r="AH119" i="2" s="1"/>
  <c r="AI119" i="2" s="1"/>
  <c r="AJ119" i="2" s="1"/>
  <c r="AK119" i="2" s="1"/>
  <c r="AL119" i="2" s="1"/>
  <c r="AM119" i="2" s="1"/>
  <c r="AN119" i="2" s="1"/>
  <c r="AO119" i="2" s="1"/>
  <c r="AP119" i="2" s="1"/>
  <c r="AQ119" i="2" s="1"/>
  <c r="AR119" i="2" s="1"/>
  <c r="AS119" i="2" s="1"/>
  <c r="AT119" i="2" s="1"/>
  <c r="AU119" i="2" s="1"/>
  <c r="AV119" i="2" s="1"/>
  <c r="AW119" i="2" s="1"/>
  <c r="AX119" i="2" s="1"/>
  <c r="AY119" i="2" s="1"/>
  <c r="AZ119" i="2" s="1"/>
  <c r="BA119" i="2" s="1"/>
  <c r="BB119" i="2" s="1"/>
  <c r="D119" i="2"/>
  <c r="D116" i="2"/>
  <c r="D114" i="2"/>
  <c r="B113" i="2"/>
  <c r="D112" i="2"/>
  <c r="D111" i="2"/>
  <c r="D110" i="2"/>
  <c r="D109" i="2"/>
  <c r="BD20" i="4"/>
  <c r="B20" i="4" s="1"/>
  <c r="A20" i="4"/>
  <c r="A9" i="4"/>
  <c r="D105" i="2"/>
  <c r="D104" i="2"/>
  <c r="D103" i="2"/>
  <c r="BB102" i="2"/>
  <c r="BA102" i="2"/>
  <c r="AZ102" i="2"/>
  <c r="AY102" i="2"/>
  <c r="AX102" i="2"/>
  <c r="AW102" i="2"/>
  <c r="AV102" i="2"/>
  <c r="AU102" i="2"/>
  <c r="AT102" i="2"/>
  <c r="AS102" i="2"/>
  <c r="AR102" i="2"/>
  <c r="AQ102" i="2"/>
  <c r="AP102" i="2"/>
  <c r="AO102" i="2"/>
  <c r="AN102" i="2"/>
  <c r="AM102" i="2"/>
  <c r="AL102" i="2"/>
  <c r="AK102" i="2"/>
  <c r="AJ102" i="2"/>
  <c r="AI102" i="2"/>
  <c r="AH102" i="2"/>
  <c r="AG102" i="2"/>
  <c r="AF102" i="2"/>
  <c r="AE102" i="2"/>
  <c r="AD102" i="2"/>
  <c r="AC102" i="2"/>
  <c r="AB102" i="2"/>
  <c r="AA102" i="2"/>
  <c r="Z102" i="2"/>
  <c r="Y102" i="2"/>
  <c r="X102" i="2"/>
  <c r="W102" i="2"/>
  <c r="V102" i="2"/>
  <c r="U102" i="2"/>
  <c r="T102" i="2"/>
  <c r="S102" i="2"/>
  <c r="R102" i="2"/>
  <c r="Q102" i="2"/>
  <c r="P102" i="2"/>
  <c r="O102" i="2"/>
  <c r="N102" i="2"/>
  <c r="M102" i="2"/>
  <c r="L102" i="2"/>
  <c r="K102" i="2"/>
  <c r="J102" i="2"/>
  <c r="I102" i="2"/>
  <c r="H102" i="2"/>
  <c r="G102" i="2"/>
  <c r="H100" i="2"/>
  <c r="I100" i="2" s="1"/>
  <c r="J100" i="2" s="1"/>
  <c r="K100" i="2" s="1"/>
  <c r="L100" i="2" s="1"/>
  <c r="M100" i="2" s="1"/>
  <c r="N100" i="2" s="1"/>
  <c r="O100" i="2" s="1"/>
  <c r="P100" i="2" s="1"/>
  <c r="Q100" i="2" s="1"/>
  <c r="R100" i="2" s="1"/>
  <c r="S100" i="2" s="1"/>
  <c r="T100" i="2" s="1"/>
  <c r="U100" i="2" s="1"/>
  <c r="V100" i="2" s="1"/>
  <c r="W100" i="2" s="1"/>
  <c r="X100" i="2" s="1"/>
  <c r="Y100" i="2" s="1"/>
  <c r="Z100" i="2" s="1"/>
  <c r="AA100" i="2" s="1"/>
  <c r="AB100" i="2" s="1"/>
  <c r="AC100" i="2" s="1"/>
  <c r="AD100" i="2" s="1"/>
  <c r="AE100" i="2" s="1"/>
  <c r="AF100" i="2" s="1"/>
  <c r="AG100" i="2" s="1"/>
  <c r="AH100" i="2" s="1"/>
  <c r="AI100" i="2" s="1"/>
  <c r="AJ100" i="2" s="1"/>
  <c r="AK100" i="2" s="1"/>
  <c r="AL100" i="2" s="1"/>
  <c r="AM100" i="2" s="1"/>
  <c r="AN100" i="2" s="1"/>
  <c r="AO100" i="2" s="1"/>
  <c r="AP100" i="2" s="1"/>
  <c r="AQ100" i="2" s="1"/>
  <c r="AR100" i="2" s="1"/>
  <c r="AS100" i="2" s="1"/>
  <c r="AT100" i="2" s="1"/>
  <c r="AU100" i="2" s="1"/>
  <c r="AV100" i="2" s="1"/>
  <c r="AW100" i="2" s="1"/>
  <c r="AX100" i="2" s="1"/>
  <c r="AY100" i="2" s="1"/>
  <c r="AZ100" i="2" s="1"/>
  <c r="BA100" i="2" s="1"/>
  <c r="BB100" i="2" s="1"/>
  <c r="H99" i="2"/>
  <c r="I99" i="2" s="1"/>
  <c r="J99" i="2" s="1"/>
  <c r="K99" i="2" s="1"/>
  <c r="L99" i="2" s="1"/>
  <c r="M99" i="2" s="1"/>
  <c r="N99" i="2" s="1"/>
  <c r="O99" i="2" s="1"/>
  <c r="P99" i="2" s="1"/>
  <c r="Q99" i="2" s="1"/>
  <c r="R99" i="2" s="1"/>
  <c r="S99" i="2" s="1"/>
  <c r="T99" i="2" s="1"/>
  <c r="U99" i="2" s="1"/>
  <c r="V99" i="2" s="1"/>
  <c r="W99" i="2" s="1"/>
  <c r="X99" i="2" s="1"/>
  <c r="Y99" i="2" s="1"/>
  <c r="Z99" i="2" s="1"/>
  <c r="AA99" i="2" s="1"/>
  <c r="AB99" i="2" s="1"/>
  <c r="AC99" i="2" s="1"/>
  <c r="AD99" i="2" s="1"/>
  <c r="AE99" i="2" s="1"/>
  <c r="AF99" i="2" s="1"/>
  <c r="AG99" i="2" s="1"/>
  <c r="AH99" i="2" s="1"/>
  <c r="AI99" i="2" s="1"/>
  <c r="AJ99" i="2" s="1"/>
  <c r="AK99" i="2" s="1"/>
  <c r="AL99" i="2" s="1"/>
  <c r="AM99" i="2" s="1"/>
  <c r="AN99" i="2" s="1"/>
  <c r="AO99" i="2" s="1"/>
  <c r="AP99" i="2" s="1"/>
  <c r="AQ99" i="2" s="1"/>
  <c r="AR99" i="2" s="1"/>
  <c r="AS99" i="2" s="1"/>
  <c r="AT99" i="2" s="1"/>
  <c r="AU99" i="2" s="1"/>
  <c r="AV99" i="2" s="1"/>
  <c r="AW99" i="2" s="1"/>
  <c r="AX99" i="2" s="1"/>
  <c r="AY99" i="2" s="1"/>
  <c r="AZ99" i="2" s="1"/>
  <c r="BA99" i="2" s="1"/>
  <c r="BB99" i="2" s="1"/>
  <c r="D99" i="2"/>
  <c r="D96" i="2"/>
  <c r="D94" i="2"/>
  <c r="B93" i="2"/>
  <c r="D92" i="2"/>
  <c r="D91" i="2"/>
  <c r="D90" i="2"/>
  <c r="D89" i="2"/>
  <c r="BB331" i="4"/>
  <c r="BB282" i="4"/>
  <c r="BB84" i="4"/>
  <c r="BB80" i="4"/>
  <c r="BB74" i="4"/>
  <c r="BB71" i="4"/>
  <c r="BB58" i="4"/>
  <c r="BB101" i="4" s="1"/>
  <c r="BA331" i="4"/>
  <c r="BA282" i="4"/>
  <c r="BA84" i="4"/>
  <c r="BA80" i="4"/>
  <c r="BA74" i="4"/>
  <c r="BA71" i="4"/>
  <c r="BA58" i="4"/>
  <c r="BA101" i="4" s="1"/>
  <c r="AZ331" i="4"/>
  <c r="AZ282" i="4"/>
  <c r="AZ84" i="4"/>
  <c r="AZ80" i="4"/>
  <c r="AZ74" i="4"/>
  <c r="AZ71" i="4"/>
  <c r="AZ58" i="4"/>
  <c r="AZ101" i="4" s="1"/>
  <c r="AY331" i="4"/>
  <c r="AY282" i="4"/>
  <c r="AY84" i="4"/>
  <c r="AY80" i="4"/>
  <c r="AY74" i="4"/>
  <c r="AY71" i="4"/>
  <c r="AY58" i="4"/>
  <c r="AY101" i="4" s="1"/>
  <c r="AX331" i="4"/>
  <c r="AX282" i="4"/>
  <c r="AX84" i="4"/>
  <c r="AX80" i="4"/>
  <c r="AX74" i="4"/>
  <c r="AX71" i="4"/>
  <c r="AX58" i="4"/>
  <c r="AX101" i="4" s="1"/>
  <c r="AW331" i="4"/>
  <c r="AW282" i="4"/>
  <c r="AW84" i="4"/>
  <c r="AW80" i="4"/>
  <c r="AW74" i="4"/>
  <c r="AW71" i="4"/>
  <c r="AW58" i="4"/>
  <c r="AW101" i="4" s="1"/>
  <c r="AV331" i="4"/>
  <c r="AV282" i="4"/>
  <c r="AV84" i="4"/>
  <c r="AV80" i="4"/>
  <c r="AV74" i="4"/>
  <c r="AV71" i="4"/>
  <c r="AV58" i="4"/>
  <c r="AV101" i="4" s="1"/>
  <c r="AU331" i="4"/>
  <c r="AU282" i="4"/>
  <c r="AU84" i="4"/>
  <c r="AU80" i="4"/>
  <c r="AU74" i="4"/>
  <c r="AU71" i="4"/>
  <c r="AU58" i="4"/>
  <c r="AU101" i="4" s="1"/>
  <c r="AT331" i="4"/>
  <c r="AT282" i="4"/>
  <c r="AT84" i="4"/>
  <c r="AT80" i="4"/>
  <c r="AT74" i="4"/>
  <c r="AT71" i="4"/>
  <c r="AT58" i="4"/>
  <c r="AT101" i="4" s="1"/>
  <c r="AS331" i="4"/>
  <c r="AS282" i="4"/>
  <c r="AS84" i="4"/>
  <c r="AS80" i="4"/>
  <c r="AS74" i="4"/>
  <c r="AS71" i="4"/>
  <c r="AS58" i="4"/>
  <c r="AR331" i="4"/>
  <c r="AR282" i="4"/>
  <c r="AR84" i="4"/>
  <c r="AR80" i="4"/>
  <c r="AR74" i="4"/>
  <c r="AR71" i="4"/>
  <c r="AR58" i="4"/>
  <c r="AR101" i="4" s="1"/>
  <c r="AQ331" i="4"/>
  <c r="AQ282" i="4"/>
  <c r="AQ84" i="4"/>
  <c r="AQ80" i="4"/>
  <c r="AQ74" i="4"/>
  <c r="AQ71" i="4"/>
  <c r="AQ58" i="4"/>
  <c r="AP331" i="4"/>
  <c r="AP282" i="4"/>
  <c r="AP84" i="4"/>
  <c r="AP80" i="4"/>
  <c r="AP74" i="4"/>
  <c r="AP71" i="4"/>
  <c r="AP58" i="4"/>
  <c r="AP101" i="4" s="1"/>
  <c r="AO331" i="4"/>
  <c r="AO282" i="4"/>
  <c r="AO84" i="4"/>
  <c r="AO80" i="4"/>
  <c r="AO74" i="4"/>
  <c r="AO71" i="4"/>
  <c r="AO58" i="4"/>
  <c r="AO101" i="4" s="1"/>
  <c r="AN331" i="4"/>
  <c r="AN282" i="4"/>
  <c r="AN84" i="4"/>
  <c r="AN80" i="4"/>
  <c r="AN74" i="4"/>
  <c r="AN71" i="4"/>
  <c r="AN58" i="4"/>
  <c r="AN101" i="4" s="1"/>
  <c r="AM331" i="4"/>
  <c r="AM282" i="4"/>
  <c r="AM84" i="4"/>
  <c r="AM80" i="4"/>
  <c r="AM74" i="4"/>
  <c r="AM71" i="4"/>
  <c r="AM58" i="4"/>
  <c r="AM101" i="4" s="1"/>
  <c r="AL331" i="4"/>
  <c r="AL282" i="4"/>
  <c r="AL84" i="4"/>
  <c r="AL80" i="4"/>
  <c r="AL74" i="4"/>
  <c r="AL71" i="4"/>
  <c r="AL58" i="4"/>
  <c r="AL101" i="4" s="1"/>
  <c r="AK331" i="4"/>
  <c r="AK282" i="4"/>
  <c r="AK84" i="4"/>
  <c r="AK80" i="4"/>
  <c r="AK74" i="4"/>
  <c r="AK71" i="4"/>
  <c r="AK58" i="4"/>
  <c r="AJ331" i="4"/>
  <c r="AJ282" i="4"/>
  <c r="AJ84" i="4"/>
  <c r="AJ80" i="4"/>
  <c r="AJ74" i="4"/>
  <c r="AJ71" i="4"/>
  <c r="AJ58" i="4"/>
  <c r="AJ101" i="4" s="1"/>
  <c r="AI331" i="4"/>
  <c r="AI282" i="4"/>
  <c r="AI84" i="4"/>
  <c r="AI80" i="4"/>
  <c r="AI74" i="4"/>
  <c r="AI71" i="4"/>
  <c r="AI58" i="4"/>
  <c r="AI101" i="4" s="1"/>
  <c r="AH331" i="4"/>
  <c r="AH282" i="4"/>
  <c r="AH84" i="4"/>
  <c r="AH80" i="4"/>
  <c r="AH74" i="4"/>
  <c r="AH71" i="4"/>
  <c r="AH58" i="4"/>
  <c r="AH101" i="4" s="1"/>
  <c r="AG331" i="4"/>
  <c r="AG282" i="4"/>
  <c r="AG84" i="4"/>
  <c r="AG80" i="4"/>
  <c r="AG74" i="4"/>
  <c r="AG71" i="4"/>
  <c r="AG58" i="4"/>
  <c r="AG101" i="4" s="1"/>
  <c r="AF331" i="4"/>
  <c r="AF282" i="4"/>
  <c r="AF84" i="4"/>
  <c r="AF80" i="4"/>
  <c r="AF74" i="4"/>
  <c r="AF71" i="4"/>
  <c r="AF58" i="4"/>
  <c r="AF101" i="4" s="1"/>
  <c r="AE331" i="4"/>
  <c r="AE282" i="4"/>
  <c r="AE84" i="4"/>
  <c r="AE80" i="4"/>
  <c r="AE74" i="4"/>
  <c r="AE71" i="4"/>
  <c r="AE58" i="4"/>
  <c r="AE101" i="4" s="1"/>
  <c r="AD331" i="4"/>
  <c r="AD282" i="4"/>
  <c r="AD84" i="4"/>
  <c r="AD80" i="4"/>
  <c r="AD74" i="4"/>
  <c r="AD71" i="4"/>
  <c r="AD58" i="4"/>
  <c r="AC331" i="4"/>
  <c r="AC282" i="4"/>
  <c r="AC84" i="4"/>
  <c r="AC80" i="4"/>
  <c r="AC74" i="4"/>
  <c r="AC71" i="4"/>
  <c r="AC58" i="4"/>
  <c r="AC101" i="4" s="1"/>
  <c r="AB331" i="4"/>
  <c r="AB282" i="4"/>
  <c r="AB84" i="4"/>
  <c r="AB80" i="4"/>
  <c r="AB74" i="4"/>
  <c r="AB71" i="4"/>
  <c r="AB58" i="4"/>
  <c r="AB101" i="4" s="1"/>
  <c r="AA331" i="4"/>
  <c r="AA282" i="4"/>
  <c r="AA84" i="4"/>
  <c r="AA80" i="4"/>
  <c r="AA74" i="4"/>
  <c r="AA71" i="4"/>
  <c r="AA58" i="4"/>
  <c r="AA101" i="4" s="1"/>
  <c r="Z331" i="4"/>
  <c r="Z282" i="4"/>
  <c r="Z84" i="4"/>
  <c r="Z80" i="4"/>
  <c r="Z74" i="4"/>
  <c r="Z71" i="4"/>
  <c r="Z58" i="4"/>
  <c r="Z101" i="4" s="1"/>
  <c r="Y331" i="4"/>
  <c r="Y282" i="4"/>
  <c r="Y84" i="4"/>
  <c r="Y80" i="4"/>
  <c r="Y74" i="4"/>
  <c r="Y71" i="4"/>
  <c r="Y58" i="4"/>
  <c r="Y101" i="4" s="1"/>
  <c r="X331" i="4"/>
  <c r="X282" i="4"/>
  <c r="X84" i="4"/>
  <c r="X80" i="4"/>
  <c r="X74" i="4"/>
  <c r="X71" i="4"/>
  <c r="X58" i="4"/>
  <c r="X101" i="4" s="1"/>
  <c r="W331" i="4"/>
  <c r="W282" i="4"/>
  <c r="W84" i="4"/>
  <c r="W80" i="4"/>
  <c r="W74" i="4"/>
  <c r="W71" i="4"/>
  <c r="W58" i="4"/>
  <c r="W101" i="4" s="1"/>
  <c r="V331" i="4"/>
  <c r="V282" i="4"/>
  <c r="V84" i="4"/>
  <c r="V80" i="4"/>
  <c r="V74" i="4"/>
  <c r="V71" i="4"/>
  <c r="V58" i="4"/>
  <c r="V101" i="4" s="1"/>
  <c r="U331" i="4"/>
  <c r="U282" i="4"/>
  <c r="U84" i="4"/>
  <c r="U80" i="4"/>
  <c r="U74" i="4"/>
  <c r="U71" i="4"/>
  <c r="U58" i="4"/>
  <c r="T331" i="4"/>
  <c r="T282" i="4"/>
  <c r="T84" i="4"/>
  <c r="T80" i="4"/>
  <c r="T74" i="4"/>
  <c r="T71" i="4"/>
  <c r="T58" i="4"/>
  <c r="T101" i="4" s="1"/>
  <c r="S331" i="4"/>
  <c r="S282" i="4"/>
  <c r="S84" i="4"/>
  <c r="S80" i="4"/>
  <c r="S74" i="4"/>
  <c r="S71" i="4"/>
  <c r="S58" i="4"/>
  <c r="S101" i="4" s="1"/>
  <c r="R331" i="4"/>
  <c r="R282" i="4"/>
  <c r="R84" i="4"/>
  <c r="R80" i="4"/>
  <c r="R74" i="4"/>
  <c r="R71" i="4"/>
  <c r="R58" i="4"/>
  <c r="R101" i="4" s="1"/>
  <c r="Q331" i="4"/>
  <c r="Q282" i="4"/>
  <c r="Q84" i="4"/>
  <c r="Q80" i="4"/>
  <c r="Q74" i="4"/>
  <c r="Q71" i="4"/>
  <c r="Q58" i="4"/>
  <c r="Q101" i="4" s="1"/>
  <c r="P331" i="4"/>
  <c r="P282" i="4"/>
  <c r="P84" i="4"/>
  <c r="P74" i="4"/>
  <c r="P71" i="4"/>
  <c r="P58" i="4"/>
  <c r="P101" i="4" s="1"/>
  <c r="O331" i="4"/>
  <c r="O282" i="4"/>
  <c r="O84" i="4"/>
  <c r="O74" i="4"/>
  <c r="O71" i="4"/>
  <c r="O58" i="4"/>
  <c r="O101" i="4" s="1"/>
  <c r="N331" i="4"/>
  <c r="N282" i="4"/>
  <c r="N71" i="4"/>
  <c r="N58" i="4"/>
  <c r="N101" i="4" s="1"/>
  <c r="BB1306" i="2"/>
  <c r="BB1304" i="2"/>
  <c r="BB1303" i="2"/>
  <c r="BB1300" i="2"/>
  <c r="BB1205" i="2"/>
  <c r="BB1203" i="2"/>
  <c r="BB1177" i="2"/>
  <c r="BB1162" i="2"/>
  <c r="BB1159" i="2"/>
  <c r="BB1129" i="2"/>
  <c r="BB1085" i="2"/>
  <c r="BB1077" i="2"/>
  <c r="BB1043" i="2"/>
  <c r="BB728" i="2"/>
  <c r="BB706" i="2"/>
  <c r="BB705" i="2"/>
  <c r="BB687" i="2"/>
  <c r="BB676" i="2"/>
  <c r="BB675" i="2"/>
  <c r="BB651" i="2"/>
  <c r="BB444" i="2"/>
  <c r="BB433" i="2"/>
  <c r="BB301" i="2"/>
  <c r="BB292" i="2"/>
  <c r="BB215" i="2"/>
  <c r="BB188" i="2"/>
  <c r="BB163" i="2"/>
  <c r="BB82" i="2"/>
  <c r="BB40" i="2"/>
  <c r="BB20" i="2"/>
  <c r="BA1306" i="2"/>
  <c r="BA1304" i="2"/>
  <c r="BA1303" i="2"/>
  <c r="BA1300" i="2"/>
  <c r="BA1205" i="2"/>
  <c r="BA1203" i="2"/>
  <c r="BA1177" i="2"/>
  <c r="BA1162" i="2"/>
  <c r="BA1159" i="2"/>
  <c r="BA1129" i="2"/>
  <c r="BA1085" i="2"/>
  <c r="BA1077" i="2"/>
  <c r="BA1043" i="2"/>
  <c r="BA728" i="2"/>
  <c r="BA706" i="2"/>
  <c r="BA705" i="2"/>
  <c r="BA687" i="2"/>
  <c r="BA676" i="2"/>
  <c r="BA675" i="2"/>
  <c r="BA651" i="2"/>
  <c r="BA444" i="2"/>
  <c r="BA433" i="2"/>
  <c r="BA301" i="2"/>
  <c r="BA292" i="2"/>
  <c r="BA215" i="2"/>
  <c r="BA188" i="2"/>
  <c r="BA163" i="2"/>
  <c r="BA82" i="2"/>
  <c r="BA40" i="2"/>
  <c r="BA20" i="2"/>
  <c r="AZ1306" i="2"/>
  <c r="AZ1304" i="2"/>
  <c r="AZ1303" i="2"/>
  <c r="AZ1300" i="2"/>
  <c r="AZ1205" i="2"/>
  <c r="AZ1203" i="2"/>
  <c r="AZ1177" i="2"/>
  <c r="AZ1162" i="2"/>
  <c r="AZ1159" i="2"/>
  <c r="AZ1129" i="2"/>
  <c r="AZ1085" i="2"/>
  <c r="AZ1077" i="2"/>
  <c r="AZ1043" i="2"/>
  <c r="AZ728" i="2"/>
  <c r="AZ706" i="2"/>
  <c r="AZ705" i="2"/>
  <c r="AZ687" i="2"/>
  <c r="AZ676" i="2"/>
  <c r="AZ675" i="2"/>
  <c r="AZ651" i="2"/>
  <c r="AZ444" i="2"/>
  <c r="AZ433" i="2"/>
  <c r="AZ301" i="2"/>
  <c r="AZ292" i="2"/>
  <c r="AZ215" i="2"/>
  <c r="AZ188" i="2"/>
  <c r="AZ163" i="2"/>
  <c r="AZ82" i="2"/>
  <c r="AZ40" i="2"/>
  <c r="AZ20" i="2"/>
  <c r="AY1306" i="2"/>
  <c r="AY1304" i="2"/>
  <c r="AY1303" i="2"/>
  <c r="AY1300" i="2"/>
  <c r="AY1205" i="2"/>
  <c r="AY1203" i="2"/>
  <c r="AY1177" i="2"/>
  <c r="AY1162" i="2"/>
  <c r="AY1159" i="2"/>
  <c r="AY1129" i="2"/>
  <c r="AY1085" i="2"/>
  <c r="AY1077" i="2"/>
  <c r="AY1043" i="2"/>
  <c r="AY728" i="2"/>
  <c r="AY706" i="2"/>
  <c r="AY705" i="2"/>
  <c r="AY687" i="2"/>
  <c r="AY676" i="2"/>
  <c r="AY675" i="2"/>
  <c r="AY651" i="2"/>
  <c r="AY444" i="2"/>
  <c r="AY433" i="2"/>
  <c r="AY301" i="2"/>
  <c r="AY292" i="2"/>
  <c r="AY215" i="2"/>
  <c r="AY188" i="2"/>
  <c r="AY163" i="2"/>
  <c r="AY82" i="2"/>
  <c r="AY40" i="2"/>
  <c r="AY20" i="2"/>
  <c r="AX1306" i="2"/>
  <c r="AX1304" i="2"/>
  <c r="AX1303" i="2"/>
  <c r="AX1300" i="2"/>
  <c r="AX1205" i="2"/>
  <c r="AX1203" i="2"/>
  <c r="AX1177" i="2"/>
  <c r="AX1162" i="2"/>
  <c r="AX1159" i="2"/>
  <c r="AX1129" i="2"/>
  <c r="AX1085" i="2"/>
  <c r="AX1077" i="2"/>
  <c r="AX1043" i="2"/>
  <c r="AX728" i="2"/>
  <c r="AX706" i="2"/>
  <c r="AX705" i="2"/>
  <c r="AX687" i="2"/>
  <c r="AX676" i="2"/>
  <c r="AX675" i="2"/>
  <c r="AX651" i="2"/>
  <c r="AX444" i="2"/>
  <c r="AX433" i="2"/>
  <c r="AX301" i="2"/>
  <c r="AX292" i="2"/>
  <c r="AX215" i="2"/>
  <c r="AX188" i="2"/>
  <c r="AX163" i="2"/>
  <c r="AX82" i="2"/>
  <c r="AX40" i="2"/>
  <c r="AX20" i="2"/>
  <c r="AW1306" i="2"/>
  <c r="AW1304" i="2"/>
  <c r="AW1303" i="2"/>
  <c r="AW1300" i="2"/>
  <c r="AW1205" i="2"/>
  <c r="AW1203" i="2"/>
  <c r="AW1177" i="2"/>
  <c r="AW1162" i="2"/>
  <c r="AW1159" i="2"/>
  <c r="AW1129" i="2"/>
  <c r="AW1085" i="2"/>
  <c r="AW1077" i="2"/>
  <c r="AW1043" i="2"/>
  <c r="AW728" i="2"/>
  <c r="AW706" i="2"/>
  <c r="AW705" i="2"/>
  <c r="AW687" i="2"/>
  <c r="AW676" i="2"/>
  <c r="AW675" i="2"/>
  <c r="AW651" i="2"/>
  <c r="AW444" i="2"/>
  <c r="AW433" i="2"/>
  <c r="AW301" i="2"/>
  <c r="AW292" i="2"/>
  <c r="AW215" i="2"/>
  <c r="AW188" i="2"/>
  <c r="AW163" i="2"/>
  <c r="AW82" i="2"/>
  <c r="AW40" i="2"/>
  <c r="AW20" i="2"/>
  <c r="AV1306" i="2"/>
  <c r="AV1304" i="2"/>
  <c r="AV1303" i="2"/>
  <c r="AV1300" i="2"/>
  <c r="AV1205" i="2"/>
  <c r="AV1203" i="2"/>
  <c r="AV1177" i="2"/>
  <c r="AV1162" i="2"/>
  <c r="AV1159" i="2"/>
  <c r="AV1129" i="2"/>
  <c r="AV1085" i="2"/>
  <c r="AV1077" i="2"/>
  <c r="AV1043" i="2"/>
  <c r="AV728" i="2"/>
  <c r="AV706" i="2"/>
  <c r="AV705" i="2"/>
  <c r="AV687" i="2"/>
  <c r="AV676" i="2"/>
  <c r="AV675" i="2"/>
  <c r="AV651" i="2"/>
  <c r="AV444" i="2"/>
  <c r="AV433" i="2"/>
  <c r="AV301" i="2"/>
  <c r="AV292" i="2"/>
  <c r="AV215" i="2"/>
  <c r="AV188" i="2"/>
  <c r="AV163" i="2"/>
  <c r="AV82" i="2"/>
  <c r="AV40" i="2"/>
  <c r="AV20" i="2"/>
  <c r="AU1306" i="2"/>
  <c r="AU1304" i="2"/>
  <c r="AU1303" i="2"/>
  <c r="AU1300" i="2"/>
  <c r="AU1205" i="2"/>
  <c r="AU1203" i="2"/>
  <c r="AU1177" i="2"/>
  <c r="AU1162" i="2"/>
  <c r="AU1159" i="2"/>
  <c r="AU1129" i="2"/>
  <c r="AU1085" i="2"/>
  <c r="AU1077" i="2"/>
  <c r="AU1043" i="2"/>
  <c r="AU728" i="2"/>
  <c r="AU706" i="2"/>
  <c r="AU705" i="2"/>
  <c r="AU687" i="2"/>
  <c r="AU676" i="2"/>
  <c r="AU675" i="2"/>
  <c r="AU651" i="2"/>
  <c r="AU444" i="2"/>
  <c r="AU433" i="2"/>
  <c r="AU301" i="2"/>
  <c r="AU292" i="2"/>
  <c r="AU215" i="2"/>
  <c r="AU188" i="2"/>
  <c r="AU163" i="2"/>
  <c r="AU82" i="2"/>
  <c r="AU40" i="2"/>
  <c r="AU20" i="2"/>
  <c r="AT1306" i="2"/>
  <c r="AT1304" i="2"/>
  <c r="AT1303" i="2"/>
  <c r="AT1300" i="2"/>
  <c r="AT1205" i="2"/>
  <c r="AT1203" i="2"/>
  <c r="AT1177" i="2"/>
  <c r="AT1162" i="2"/>
  <c r="AT1159" i="2"/>
  <c r="AT1129" i="2"/>
  <c r="AT1085" i="2"/>
  <c r="AT1077" i="2"/>
  <c r="AT1043" i="2"/>
  <c r="AT728" i="2"/>
  <c r="AT706" i="2"/>
  <c r="AT705" i="2"/>
  <c r="AT687" i="2"/>
  <c r="AT676" i="2"/>
  <c r="AT675" i="2"/>
  <c r="AT651" i="2"/>
  <c r="AT444" i="2"/>
  <c r="AT433" i="2"/>
  <c r="AT301" i="2"/>
  <c r="AT292" i="2"/>
  <c r="AT215" i="2"/>
  <c r="AT188" i="2"/>
  <c r="AT163" i="2"/>
  <c r="AT82" i="2"/>
  <c r="AT40" i="2"/>
  <c r="AT20" i="2"/>
  <c r="AS1306" i="2"/>
  <c r="AS1304" i="2"/>
  <c r="AS1303" i="2"/>
  <c r="AS1300" i="2"/>
  <c r="AS1205" i="2"/>
  <c r="AS1203" i="2"/>
  <c r="AS1177" i="2"/>
  <c r="AS1162" i="2"/>
  <c r="AS1159" i="2"/>
  <c r="AS1129" i="2"/>
  <c r="AS1085" i="2"/>
  <c r="AS1077" i="2"/>
  <c r="AS1043" i="2"/>
  <c r="AS728" i="2"/>
  <c r="AS706" i="2"/>
  <c r="AS705" i="2"/>
  <c r="AS687" i="2"/>
  <c r="AS676" i="2"/>
  <c r="AS675" i="2"/>
  <c r="AS651" i="2"/>
  <c r="AS444" i="2"/>
  <c r="AS433" i="2"/>
  <c r="AS301" i="2"/>
  <c r="AS292" i="2"/>
  <c r="AS215" i="2"/>
  <c r="AS188" i="2"/>
  <c r="AS163" i="2"/>
  <c r="AS82" i="2"/>
  <c r="AS40" i="2"/>
  <c r="AS20" i="2"/>
  <c r="AR1306" i="2"/>
  <c r="AR1304" i="2"/>
  <c r="AR1303" i="2"/>
  <c r="AR1300" i="2"/>
  <c r="AR1205" i="2"/>
  <c r="AR1203" i="2"/>
  <c r="AR1177" i="2"/>
  <c r="AR1162" i="2"/>
  <c r="AR1159" i="2"/>
  <c r="AR1129" i="2"/>
  <c r="AR1085" i="2"/>
  <c r="AR1077" i="2"/>
  <c r="AR1043" i="2"/>
  <c r="AR728" i="2"/>
  <c r="AR706" i="2"/>
  <c r="AR705" i="2"/>
  <c r="AR687" i="2"/>
  <c r="AR676" i="2"/>
  <c r="AR675" i="2"/>
  <c r="AR651" i="2"/>
  <c r="AR444" i="2"/>
  <c r="AR433" i="2"/>
  <c r="AR301" i="2"/>
  <c r="AR292" i="2"/>
  <c r="AR215" i="2"/>
  <c r="AR188" i="2"/>
  <c r="AR163" i="2"/>
  <c r="AR82" i="2"/>
  <c r="AR40" i="2"/>
  <c r="AR20" i="2"/>
  <c r="AQ1306" i="2"/>
  <c r="AQ1304" i="2"/>
  <c r="AQ1303" i="2"/>
  <c r="AQ1300" i="2"/>
  <c r="AQ1205" i="2"/>
  <c r="AQ1203" i="2"/>
  <c r="AQ1177" i="2"/>
  <c r="AQ1162" i="2"/>
  <c r="AQ1159" i="2"/>
  <c r="AQ1129" i="2"/>
  <c r="AQ1085" i="2"/>
  <c r="AQ1077" i="2"/>
  <c r="AQ1043" i="2"/>
  <c r="AQ728" i="2"/>
  <c r="AQ706" i="2"/>
  <c r="AQ705" i="2"/>
  <c r="AQ687" i="2"/>
  <c r="AQ676" i="2"/>
  <c r="AQ675" i="2"/>
  <c r="AQ651" i="2"/>
  <c r="AQ444" i="2"/>
  <c r="AQ433" i="2"/>
  <c r="AQ301" i="2"/>
  <c r="AQ292" i="2"/>
  <c r="AQ215" i="2"/>
  <c r="AQ188" i="2"/>
  <c r="AQ163" i="2"/>
  <c r="AQ82" i="2"/>
  <c r="AQ40" i="2"/>
  <c r="AQ20" i="2"/>
  <c r="AP1306" i="2"/>
  <c r="AP1304" i="2"/>
  <c r="AP1303" i="2"/>
  <c r="AP1300" i="2"/>
  <c r="AP1205" i="2"/>
  <c r="AP1203" i="2"/>
  <c r="AP1177" i="2"/>
  <c r="AP1162" i="2"/>
  <c r="AP1159" i="2"/>
  <c r="AP1129" i="2"/>
  <c r="AP1085" i="2"/>
  <c r="AP1077" i="2"/>
  <c r="AP1043" i="2"/>
  <c r="AP728" i="2"/>
  <c r="AP706" i="2"/>
  <c r="AP705" i="2"/>
  <c r="AP687" i="2"/>
  <c r="AP676" i="2"/>
  <c r="AP675" i="2"/>
  <c r="AP651" i="2"/>
  <c r="AP444" i="2"/>
  <c r="AP433" i="2"/>
  <c r="AP301" i="2"/>
  <c r="AP292" i="2"/>
  <c r="AP215" i="2"/>
  <c r="AP188" i="2"/>
  <c r="AP163" i="2"/>
  <c r="AP82" i="2"/>
  <c r="AP40" i="2"/>
  <c r="AP20" i="2"/>
  <c r="AO1306" i="2"/>
  <c r="AO1304" i="2"/>
  <c r="AO1303" i="2"/>
  <c r="AO1300" i="2"/>
  <c r="AO1205" i="2"/>
  <c r="AO1203" i="2"/>
  <c r="AO1177" i="2"/>
  <c r="AO1162" i="2"/>
  <c r="AO1159" i="2"/>
  <c r="AO1129" i="2"/>
  <c r="AO1085" i="2"/>
  <c r="AO1077" i="2"/>
  <c r="AO1043" i="2"/>
  <c r="AO728" i="2"/>
  <c r="AO706" i="2"/>
  <c r="AO705" i="2"/>
  <c r="AO687" i="2"/>
  <c r="AO676" i="2"/>
  <c r="AO675" i="2"/>
  <c r="AO651" i="2"/>
  <c r="AO444" i="2"/>
  <c r="AO433" i="2"/>
  <c r="AO301" i="2"/>
  <c r="AO292" i="2"/>
  <c r="AO215" i="2"/>
  <c r="AO188" i="2"/>
  <c r="AO163" i="2"/>
  <c r="AO82" i="2"/>
  <c r="AO40" i="2"/>
  <c r="AO20" i="2"/>
  <c r="AN1306" i="2"/>
  <c r="AN1304" i="2"/>
  <c r="AN1303" i="2"/>
  <c r="AN1300" i="2"/>
  <c r="AN1205" i="2"/>
  <c r="AN1203" i="2"/>
  <c r="AN1177" i="2"/>
  <c r="AN1162" i="2"/>
  <c r="AN1159" i="2"/>
  <c r="AN1129" i="2"/>
  <c r="AN1085" i="2"/>
  <c r="AN1077" i="2"/>
  <c r="AN1043" i="2"/>
  <c r="AN728" i="2"/>
  <c r="AN706" i="2"/>
  <c r="AN705" i="2"/>
  <c r="AN687" i="2"/>
  <c r="AN676" i="2"/>
  <c r="AN675" i="2"/>
  <c r="AN651" i="2"/>
  <c r="AN444" i="2"/>
  <c r="AN433" i="2"/>
  <c r="AN301" i="2"/>
  <c r="AN292" i="2"/>
  <c r="AN215" i="2"/>
  <c r="AN188" i="2"/>
  <c r="AN163" i="2"/>
  <c r="AN82" i="2"/>
  <c r="AN40" i="2"/>
  <c r="AN20" i="2"/>
  <c r="AM1306" i="2"/>
  <c r="AM1304" i="2"/>
  <c r="AM1303" i="2"/>
  <c r="AM1300" i="2"/>
  <c r="AM1205" i="2"/>
  <c r="AM1203" i="2"/>
  <c r="AM1177" i="2"/>
  <c r="AM1162" i="2"/>
  <c r="AM1159" i="2"/>
  <c r="AM1129" i="2"/>
  <c r="AM1085" i="2"/>
  <c r="AM1077" i="2"/>
  <c r="AM1043" i="2"/>
  <c r="AM728" i="2"/>
  <c r="AM706" i="2"/>
  <c r="AM705" i="2"/>
  <c r="AM687" i="2"/>
  <c r="AM676" i="2"/>
  <c r="AM675" i="2"/>
  <c r="AM651" i="2"/>
  <c r="AM444" i="2"/>
  <c r="AM433" i="2"/>
  <c r="AM301" i="2"/>
  <c r="AM292" i="2"/>
  <c r="AM215" i="2"/>
  <c r="AM188" i="2"/>
  <c r="AM163" i="2"/>
  <c r="AM82" i="2"/>
  <c r="AM40" i="2"/>
  <c r="AM20" i="2"/>
  <c r="AL1306" i="2"/>
  <c r="AL1304" i="2"/>
  <c r="AL1303" i="2"/>
  <c r="AL1300" i="2"/>
  <c r="AL1205" i="2"/>
  <c r="AL1203" i="2"/>
  <c r="AL1177" i="2"/>
  <c r="AL1162" i="2"/>
  <c r="AL1159" i="2"/>
  <c r="AL1129" i="2"/>
  <c r="AL1085" i="2"/>
  <c r="AL1077" i="2"/>
  <c r="AL1043" i="2"/>
  <c r="AL728" i="2"/>
  <c r="AL706" i="2"/>
  <c r="AL705" i="2"/>
  <c r="AL687" i="2"/>
  <c r="AL676" i="2"/>
  <c r="AL675" i="2"/>
  <c r="AL651" i="2"/>
  <c r="AL444" i="2"/>
  <c r="AL433" i="2"/>
  <c r="AL301" i="2"/>
  <c r="AL292" i="2"/>
  <c r="AL215" i="2"/>
  <c r="AL188" i="2"/>
  <c r="AL163" i="2"/>
  <c r="AL82" i="2"/>
  <c r="AL40" i="2"/>
  <c r="AL20" i="2"/>
  <c r="AK1306" i="2"/>
  <c r="AK1304" i="2"/>
  <c r="AK1303" i="2"/>
  <c r="AK1300" i="2"/>
  <c r="AK1205" i="2"/>
  <c r="AK1203" i="2"/>
  <c r="AK1177" i="2"/>
  <c r="AK1162" i="2"/>
  <c r="AK1159" i="2"/>
  <c r="AK1129" i="2"/>
  <c r="AK1085" i="2"/>
  <c r="AK1077" i="2"/>
  <c r="AK1043" i="2"/>
  <c r="AK728" i="2"/>
  <c r="AK706" i="2"/>
  <c r="AK705" i="2"/>
  <c r="AK687" i="2"/>
  <c r="AK676" i="2"/>
  <c r="AK675" i="2"/>
  <c r="AK651" i="2"/>
  <c r="AK444" i="2"/>
  <c r="AK433" i="2"/>
  <c r="AK301" i="2"/>
  <c r="AK292" i="2"/>
  <c r="AK215" i="2"/>
  <c r="AK188" i="2"/>
  <c r="AK163" i="2"/>
  <c r="AK82" i="2"/>
  <c r="AK40" i="2"/>
  <c r="AK20" i="2"/>
  <c r="AJ1306" i="2"/>
  <c r="AJ1304" i="2"/>
  <c r="AJ1303" i="2"/>
  <c r="AJ1300" i="2"/>
  <c r="AJ1205" i="2"/>
  <c r="AJ1203" i="2"/>
  <c r="AJ1177" i="2"/>
  <c r="AJ1162" i="2"/>
  <c r="AJ1159" i="2"/>
  <c r="AJ1129" i="2"/>
  <c r="AJ1085" i="2"/>
  <c r="AJ1077" i="2"/>
  <c r="AJ1043" i="2"/>
  <c r="AJ728" i="2"/>
  <c r="AJ706" i="2"/>
  <c r="AJ705" i="2"/>
  <c r="AJ687" i="2"/>
  <c r="AJ676" i="2"/>
  <c r="AJ675" i="2"/>
  <c r="AJ651" i="2"/>
  <c r="AJ444" i="2"/>
  <c r="AJ433" i="2"/>
  <c r="AJ301" i="2"/>
  <c r="AJ292" i="2"/>
  <c r="AJ215" i="2"/>
  <c r="AJ188" i="2"/>
  <c r="AJ163" i="2"/>
  <c r="AJ82" i="2"/>
  <c r="AJ40" i="2"/>
  <c r="AJ20" i="2"/>
  <c r="AI1306" i="2"/>
  <c r="AI1304" i="2"/>
  <c r="AI1303" i="2"/>
  <c r="AI1300" i="2"/>
  <c r="AI1205" i="2"/>
  <c r="AI1203" i="2"/>
  <c r="AI1177" i="2"/>
  <c r="AI1162" i="2"/>
  <c r="AI1159" i="2"/>
  <c r="AI1129" i="2"/>
  <c r="AI1085" i="2"/>
  <c r="AI1077" i="2"/>
  <c r="AI1043" i="2"/>
  <c r="AI728" i="2"/>
  <c r="AI706" i="2"/>
  <c r="AI705" i="2"/>
  <c r="AI687" i="2"/>
  <c r="AI676" i="2"/>
  <c r="AI675" i="2"/>
  <c r="AI651" i="2"/>
  <c r="AI444" i="2"/>
  <c r="AI433" i="2"/>
  <c r="AI301" i="2"/>
  <c r="AI292" i="2"/>
  <c r="AI215" i="2"/>
  <c r="AI188" i="2"/>
  <c r="AI163" i="2"/>
  <c r="AI82" i="2"/>
  <c r="AI40" i="2"/>
  <c r="AI20" i="2"/>
  <c r="AH1306" i="2"/>
  <c r="AH1304" i="2"/>
  <c r="AH1303" i="2"/>
  <c r="AH1300" i="2"/>
  <c r="AH1205" i="2"/>
  <c r="AH1203" i="2"/>
  <c r="AH1177" i="2"/>
  <c r="AH1162" i="2"/>
  <c r="AH1159" i="2"/>
  <c r="AH1129" i="2"/>
  <c r="AH1085" i="2"/>
  <c r="AH1077" i="2"/>
  <c r="AH1043" i="2"/>
  <c r="AH728" i="2"/>
  <c r="AH706" i="2"/>
  <c r="AH705" i="2"/>
  <c r="AH687" i="2"/>
  <c r="AH676" i="2"/>
  <c r="AH675" i="2"/>
  <c r="AH651" i="2"/>
  <c r="AH444" i="2"/>
  <c r="AH433" i="2"/>
  <c r="AH301" i="2"/>
  <c r="AH292" i="2"/>
  <c r="AH215" i="2"/>
  <c r="AH188" i="2"/>
  <c r="AH163" i="2"/>
  <c r="AH82" i="2"/>
  <c r="AH40" i="2"/>
  <c r="AH20" i="2"/>
  <c r="AG1306" i="2"/>
  <c r="AG1304" i="2"/>
  <c r="AG1303" i="2"/>
  <c r="AG1300" i="2"/>
  <c r="AG1205" i="2"/>
  <c r="AG1203" i="2"/>
  <c r="AG1177" i="2"/>
  <c r="AG1162" i="2"/>
  <c r="AG1159" i="2"/>
  <c r="AG1129" i="2"/>
  <c r="AG1085" i="2"/>
  <c r="AG1077" i="2"/>
  <c r="AG1043" i="2"/>
  <c r="AG728" i="2"/>
  <c r="AG706" i="2"/>
  <c r="AG705" i="2"/>
  <c r="AG687" i="2"/>
  <c r="AG676" i="2"/>
  <c r="AG675" i="2"/>
  <c r="AG651" i="2"/>
  <c r="AG444" i="2"/>
  <c r="AG433" i="2"/>
  <c r="AG301" i="2"/>
  <c r="AG292" i="2"/>
  <c r="AG215" i="2"/>
  <c r="AG188" i="2"/>
  <c r="AG163" i="2"/>
  <c r="AG82" i="2"/>
  <c r="AG40" i="2"/>
  <c r="AG20" i="2"/>
  <c r="AF1306" i="2"/>
  <c r="AF1304" i="2"/>
  <c r="AF1303" i="2"/>
  <c r="AF1300" i="2"/>
  <c r="AF1205" i="2"/>
  <c r="AF1203" i="2"/>
  <c r="AF1177" i="2"/>
  <c r="AF1162" i="2"/>
  <c r="AF1159" i="2"/>
  <c r="AF1129" i="2"/>
  <c r="AF1085" i="2"/>
  <c r="AF1077" i="2"/>
  <c r="AF1043" i="2"/>
  <c r="AF728" i="2"/>
  <c r="AF706" i="2"/>
  <c r="AF705" i="2"/>
  <c r="AF687" i="2"/>
  <c r="AF676" i="2"/>
  <c r="AF675" i="2"/>
  <c r="AF651" i="2"/>
  <c r="AF444" i="2"/>
  <c r="AF433" i="2"/>
  <c r="AF301" i="2"/>
  <c r="AF292" i="2"/>
  <c r="AF215" i="2"/>
  <c r="AF188" i="2"/>
  <c r="AF163" i="2"/>
  <c r="AF82" i="2"/>
  <c r="AF40" i="2"/>
  <c r="AF20" i="2"/>
  <c r="AE1306" i="2"/>
  <c r="AE1304" i="2"/>
  <c r="AE1303" i="2"/>
  <c r="AE1300" i="2"/>
  <c r="AE1205" i="2"/>
  <c r="AE1203" i="2"/>
  <c r="AE1177" i="2"/>
  <c r="AE1162" i="2"/>
  <c r="AE1159" i="2"/>
  <c r="AE1129" i="2"/>
  <c r="AE1085" i="2"/>
  <c r="AE1077" i="2"/>
  <c r="AE1043" i="2"/>
  <c r="AE728" i="2"/>
  <c r="AE706" i="2"/>
  <c r="AE705" i="2"/>
  <c r="AE687" i="2"/>
  <c r="AE676" i="2"/>
  <c r="AE675" i="2"/>
  <c r="AE651" i="2"/>
  <c r="AE444" i="2"/>
  <c r="AE433" i="2"/>
  <c r="AE301" i="2"/>
  <c r="AE292" i="2"/>
  <c r="AE215" i="2"/>
  <c r="AE188" i="2"/>
  <c r="AE163" i="2"/>
  <c r="AE82" i="2"/>
  <c r="AE40" i="2"/>
  <c r="AE20" i="2"/>
  <c r="AD1306" i="2"/>
  <c r="AD1304" i="2"/>
  <c r="AD1303" i="2"/>
  <c r="AD1300" i="2"/>
  <c r="AD1205" i="2"/>
  <c r="AD1203" i="2"/>
  <c r="AD1177" i="2"/>
  <c r="AD1162" i="2"/>
  <c r="AD1159" i="2"/>
  <c r="AD1129" i="2"/>
  <c r="AD1085" i="2"/>
  <c r="AD1077" i="2"/>
  <c r="AD1043" i="2"/>
  <c r="AD728" i="2"/>
  <c r="AD706" i="2"/>
  <c r="AD705" i="2"/>
  <c r="AD687" i="2"/>
  <c r="AD676" i="2"/>
  <c r="AD675" i="2"/>
  <c r="AD651" i="2"/>
  <c r="AD444" i="2"/>
  <c r="AD433" i="2"/>
  <c r="AD301" i="2"/>
  <c r="AD292" i="2"/>
  <c r="AD215" i="2"/>
  <c r="AD188" i="2"/>
  <c r="AD163" i="2"/>
  <c r="AD82" i="2"/>
  <c r="AD40" i="2"/>
  <c r="AD20" i="2"/>
  <c r="AC1306" i="2"/>
  <c r="AC1304" i="2"/>
  <c r="AC1303" i="2"/>
  <c r="AC1300" i="2"/>
  <c r="AC1205" i="2"/>
  <c r="AC1203" i="2"/>
  <c r="AC1177" i="2"/>
  <c r="AC1162" i="2"/>
  <c r="AC1159" i="2"/>
  <c r="AC1129" i="2"/>
  <c r="AC1085" i="2"/>
  <c r="AC1077" i="2"/>
  <c r="AC1043" i="2"/>
  <c r="AC728" i="2"/>
  <c r="AC706" i="2"/>
  <c r="AC705" i="2"/>
  <c r="AC687" i="2"/>
  <c r="AC676" i="2"/>
  <c r="AC675" i="2"/>
  <c r="AC651" i="2"/>
  <c r="AC444" i="2"/>
  <c r="AC433" i="2"/>
  <c r="AC301" i="2"/>
  <c r="AC292" i="2"/>
  <c r="AC215" i="2"/>
  <c r="AC188" i="2"/>
  <c r="AC163" i="2"/>
  <c r="AC82" i="2"/>
  <c r="AC40" i="2"/>
  <c r="AC20" i="2"/>
  <c r="AB1306" i="2"/>
  <c r="AB1304" i="2"/>
  <c r="AB1303" i="2"/>
  <c r="AB1300" i="2"/>
  <c r="AB1205" i="2"/>
  <c r="AB1203" i="2"/>
  <c r="AB1177" i="2"/>
  <c r="AB1162" i="2"/>
  <c r="AB1159" i="2"/>
  <c r="AB1129" i="2"/>
  <c r="AB1085" i="2"/>
  <c r="AB1077" i="2"/>
  <c r="AB1043" i="2"/>
  <c r="AB728" i="2"/>
  <c r="AB706" i="2"/>
  <c r="AB705" i="2"/>
  <c r="AB687" i="2"/>
  <c r="AB676" i="2"/>
  <c r="AB675" i="2"/>
  <c r="AB651" i="2"/>
  <c r="AB444" i="2"/>
  <c r="AB433" i="2"/>
  <c r="AB301" i="2"/>
  <c r="AB292" i="2"/>
  <c r="AB215" i="2"/>
  <c r="AB188" i="2"/>
  <c r="AB163" i="2"/>
  <c r="AB82" i="2"/>
  <c r="AB40" i="2"/>
  <c r="AB20" i="2"/>
  <c r="AA1306" i="2"/>
  <c r="AA1304" i="2"/>
  <c r="AA1303" i="2"/>
  <c r="AA1300" i="2"/>
  <c r="AA1205" i="2"/>
  <c r="AA1203" i="2"/>
  <c r="AA1177" i="2"/>
  <c r="AA1162" i="2"/>
  <c r="AA1159" i="2"/>
  <c r="AA1129" i="2"/>
  <c r="AA1085" i="2"/>
  <c r="AA1077" i="2"/>
  <c r="AA1043" i="2"/>
  <c r="AA728" i="2"/>
  <c r="AA706" i="2"/>
  <c r="AA705" i="2"/>
  <c r="AA687" i="2"/>
  <c r="AA676" i="2"/>
  <c r="AA675" i="2"/>
  <c r="AA651" i="2"/>
  <c r="AA444" i="2"/>
  <c r="AA433" i="2"/>
  <c r="AA301" i="2"/>
  <c r="AA292" i="2"/>
  <c r="AA215" i="2"/>
  <c r="AA188" i="2"/>
  <c r="AA163" i="2"/>
  <c r="AA82" i="2"/>
  <c r="AA40" i="2"/>
  <c r="AA20" i="2"/>
  <c r="Z1306" i="2"/>
  <c r="Z1304" i="2"/>
  <c r="Z1303" i="2"/>
  <c r="Z1300" i="2"/>
  <c r="Z1205" i="2"/>
  <c r="Z1203" i="2"/>
  <c r="Z1177" i="2"/>
  <c r="Z1162" i="2"/>
  <c r="Z1159" i="2"/>
  <c r="Z1129" i="2"/>
  <c r="Z1085" i="2"/>
  <c r="Z1077" i="2"/>
  <c r="Z1043" i="2"/>
  <c r="Z728" i="2"/>
  <c r="Z706" i="2"/>
  <c r="Z705" i="2"/>
  <c r="Z687" i="2"/>
  <c r="Z676" i="2"/>
  <c r="Z675" i="2"/>
  <c r="Z651" i="2"/>
  <c r="Z444" i="2"/>
  <c r="Z433" i="2"/>
  <c r="Z301" i="2"/>
  <c r="Z292" i="2"/>
  <c r="Z215" i="2"/>
  <c r="Z188" i="2"/>
  <c r="Z163" i="2"/>
  <c r="Z82" i="2"/>
  <c r="Z40" i="2"/>
  <c r="Z20" i="2"/>
  <c r="Y1306" i="2"/>
  <c r="Y1304" i="2"/>
  <c r="Y1303" i="2"/>
  <c r="Y1300" i="2"/>
  <c r="Y1205" i="2"/>
  <c r="Y1203" i="2"/>
  <c r="Y1177" i="2"/>
  <c r="Y1162" i="2"/>
  <c r="Y1159" i="2"/>
  <c r="Y1129" i="2"/>
  <c r="Y1085" i="2"/>
  <c r="Y1077" i="2"/>
  <c r="Y1043" i="2"/>
  <c r="Y728" i="2"/>
  <c r="Y706" i="2"/>
  <c r="Y705" i="2"/>
  <c r="Y687" i="2"/>
  <c r="Y676" i="2"/>
  <c r="Y675" i="2"/>
  <c r="Y651" i="2"/>
  <c r="Y444" i="2"/>
  <c r="Y433" i="2"/>
  <c r="Y301" i="2"/>
  <c r="Y292" i="2"/>
  <c r="Y215" i="2"/>
  <c r="Y188" i="2"/>
  <c r="Y163" i="2"/>
  <c r="Y82" i="2"/>
  <c r="Y40" i="2"/>
  <c r="Y20" i="2"/>
  <c r="X1306" i="2"/>
  <c r="X1304" i="2"/>
  <c r="X1303" i="2"/>
  <c r="X1300" i="2"/>
  <c r="X1205" i="2"/>
  <c r="X1203" i="2"/>
  <c r="X1177" i="2"/>
  <c r="X1162" i="2"/>
  <c r="X1159" i="2"/>
  <c r="X1129" i="2"/>
  <c r="X1085" i="2"/>
  <c r="X1077" i="2"/>
  <c r="X1043" i="2"/>
  <c r="X728" i="2"/>
  <c r="X706" i="2"/>
  <c r="X705" i="2"/>
  <c r="X687" i="2"/>
  <c r="X676" i="2"/>
  <c r="X675" i="2"/>
  <c r="X651" i="2"/>
  <c r="X444" i="2"/>
  <c r="X433" i="2"/>
  <c r="X301" i="2"/>
  <c r="X292" i="2"/>
  <c r="X215" i="2"/>
  <c r="X188" i="2"/>
  <c r="X163" i="2"/>
  <c r="X82" i="2"/>
  <c r="X40" i="2"/>
  <c r="X20" i="2"/>
  <c r="W1306" i="2"/>
  <c r="W1304" i="2"/>
  <c r="W1303" i="2"/>
  <c r="W1300" i="2"/>
  <c r="W1205" i="2"/>
  <c r="W1203" i="2"/>
  <c r="W1177" i="2"/>
  <c r="W1162" i="2"/>
  <c r="W1159" i="2"/>
  <c r="W1129" i="2"/>
  <c r="W1085" i="2"/>
  <c r="W1077" i="2"/>
  <c r="W1043" i="2"/>
  <c r="W728" i="2"/>
  <c r="W706" i="2"/>
  <c r="W705" i="2"/>
  <c r="W687" i="2"/>
  <c r="W676" i="2"/>
  <c r="W675" i="2"/>
  <c r="W651" i="2"/>
  <c r="W444" i="2"/>
  <c r="W433" i="2"/>
  <c r="W301" i="2"/>
  <c r="W292" i="2"/>
  <c r="W215" i="2"/>
  <c r="W188" i="2"/>
  <c r="W163" i="2"/>
  <c r="W82" i="2"/>
  <c r="W40" i="2"/>
  <c r="W20" i="2"/>
  <c r="V1306" i="2"/>
  <c r="V1304" i="2"/>
  <c r="V1303" i="2"/>
  <c r="V1300" i="2"/>
  <c r="V1205" i="2"/>
  <c r="V1203" i="2"/>
  <c r="V1177" i="2"/>
  <c r="V1162" i="2"/>
  <c r="V1159" i="2"/>
  <c r="V1129" i="2"/>
  <c r="V1085" i="2"/>
  <c r="V1077" i="2"/>
  <c r="V1043" i="2"/>
  <c r="V728" i="2"/>
  <c r="V706" i="2"/>
  <c r="V705" i="2"/>
  <c r="V687" i="2"/>
  <c r="V676" i="2"/>
  <c r="V675" i="2"/>
  <c r="V651" i="2"/>
  <c r="V444" i="2"/>
  <c r="V433" i="2"/>
  <c r="V301" i="2"/>
  <c r="V292" i="2"/>
  <c r="V215" i="2"/>
  <c r="V188" i="2"/>
  <c r="V163" i="2"/>
  <c r="V82" i="2"/>
  <c r="V40" i="2"/>
  <c r="V20" i="2"/>
  <c r="U1306" i="2"/>
  <c r="U1304" i="2"/>
  <c r="U1303" i="2"/>
  <c r="U1300" i="2"/>
  <c r="U1205" i="2"/>
  <c r="U1203" i="2"/>
  <c r="U1177" i="2"/>
  <c r="U1162" i="2"/>
  <c r="U1159" i="2"/>
  <c r="U1129" i="2"/>
  <c r="U1085" i="2"/>
  <c r="U1077" i="2"/>
  <c r="U1043" i="2"/>
  <c r="U728" i="2"/>
  <c r="U706" i="2"/>
  <c r="U705" i="2"/>
  <c r="U687" i="2"/>
  <c r="U676" i="2"/>
  <c r="U675" i="2"/>
  <c r="U651" i="2"/>
  <c r="U444" i="2"/>
  <c r="U433" i="2"/>
  <c r="U301" i="2"/>
  <c r="U292" i="2"/>
  <c r="U215" i="2"/>
  <c r="U188" i="2"/>
  <c r="U163" i="2"/>
  <c r="U82" i="2"/>
  <c r="U40" i="2"/>
  <c r="U20" i="2"/>
  <c r="T1306" i="2"/>
  <c r="T1304" i="2"/>
  <c r="T1303" i="2"/>
  <c r="T1300" i="2"/>
  <c r="T1205" i="2"/>
  <c r="T1203" i="2"/>
  <c r="T1177" i="2"/>
  <c r="T1162" i="2"/>
  <c r="T1159" i="2"/>
  <c r="T1129" i="2"/>
  <c r="T1085" i="2"/>
  <c r="T1077" i="2"/>
  <c r="T1043" i="2"/>
  <c r="T728" i="2"/>
  <c r="T706" i="2"/>
  <c r="T705" i="2"/>
  <c r="T687" i="2"/>
  <c r="T676" i="2"/>
  <c r="T675" i="2"/>
  <c r="T651" i="2"/>
  <c r="T444" i="2"/>
  <c r="T433" i="2"/>
  <c r="T301" i="2"/>
  <c r="T292" i="2"/>
  <c r="T215" i="2"/>
  <c r="T188" i="2"/>
  <c r="T163" i="2"/>
  <c r="T82" i="2"/>
  <c r="T40" i="2"/>
  <c r="T20" i="2"/>
  <c r="S1306" i="2"/>
  <c r="S1304" i="2"/>
  <c r="S1303" i="2"/>
  <c r="S1300" i="2"/>
  <c r="S1205" i="2"/>
  <c r="S1203" i="2"/>
  <c r="S1177" i="2"/>
  <c r="S1162" i="2"/>
  <c r="S1159" i="2"/>
  <c r="S1129" i="2"/>
  <c r="S1085" i="2"/>
  <c r="S1077" i="2"/>
  <c r="S1043" i="2"/>
  <c r="S728" i="2"/>
  <c r="S706" i="2"/>
  <c r="S705" i="2"/>
  <c r="S687" i="2"/>
  <c r="S676" i="2"/>
  <c r="S675" i="2"/>
  <c r="S651" i="2"/>
  <c r="S444" i="2"/>
  <c r="S433" i="2"/>
  <c r="S301" i="2"/>
  <c r="S292" i="2"/>
  <c r="S215" i="2"/>
  <c r="S188" i="2"/>
  <c r="S163" i="2"/>
  <c r="S82" i="2"/>
  <c r="S40" i="2"/>
  <c r="S20" i="2"/>
  <c r="R1306" i="2"/>
  <c r="R1304" i="2"/>
  <c r="R1303" i="2"/>
  <c r="R1300" i="2"/>
  <c r="R1205" i="2"/>
  <c r="R1203" i="2"/>
  <c r="R1177" i="2"/>
  <c r="R1162" i="2"/>
  <c r="R1159" i="2"/>
  <c r="R1129" i="2"/>
  <c r="R1085" i="2"/>
  <c r="R1077" i="2"/>
  <c r="R1043" i="2"/>
  <c r="R728" i="2"/>
  <c r="R706" i="2"/>
  <c r="R705" i="2"/>
  <c r="R687" i="2"/>
  <c r="R676" i="2"/>
  <c r="R675" i="2"/>
  <c r="R651" i="2"/>
  <c r="R444" i="2"/>
  <c r="R433" i="2"/>
  <c r="R301" i="2"/>
  <c r="R292" i="2"/>
  <c r="R215" i="2"/>
  <c r="R188" i="2"/>
  <c r="R163" i="2"/>
  <c r="R82" i="2"/>
  <c r="R40" i="2"/>
  <c r="R20" i="2"/>
  <c r="Q1306" i="2"/>
  <c r="Q1304" i="2"/>
  <c r="Q1303" i="2"/>
  <c r="Q1300" i="2"/>
  <c r="Q1205" i="2"/>
  <c r="Q1203" i="2"/>
  <c r="Q1177" i="2"/>
  <c r="Q1162" i="2"/>
  <c r="Q1159" i="2"/>
  <c r="Q1129" i="2"/>
  <c r="Q1085" i="2"/>
  <c r="Q1077" i="2"/>
  <c r="Q1043" i="2"/>
  <c r="Q728" i="2"/>
  <c r="Q706" i="2"/>
  <c r="Q705" i="2"/>
  <c r="Q687" i="2"/>
  <c r="Q676" i="2"/>
  <c r="Q675" i="2"/>
  <c r="Q651" i="2"/>
  <c r="Q444" i="2"/>
  <c r="Q433" i="2"/>
  <c r="Q301" i="2"/>
  <c r="Q292" i="2"/>
  <c r="Q215" i="2"/>
  <c r="Q188" i="2"/>
  <c r="Q163" i="2"/>
  <c r="Q82" i="2"/>
  <c r="Q40" i="2"/>
  <c r="Q20" i="2"/>
  <c r="P1306" i="2"/>
  <c r="P1304" i="2"/>
  <c r="P1303" i="2"/>
  <c r="P1300" i="2"/>
  <c r="P1205" i="2"/>
  <c r="P1203" i="2"/>
  <c r="P1177" i="2"/>
  <c r="P1162" i="2"/>
  <c r="P1159" i="2"/>
  <c r="P1129" i="2"/>
  <c r="P1085" i="2"/>
  <c r="P1077" i="2"/>
  <c r="P1043" i="2"/>
  <c r="P728" i="2"/>
  <c r="P706" i="2"/>
  <c r="P705" i="2"/>
  <c r="P687" i="2"/>
  <c r="P676" i="2"/>
  <c r="P675" i="2"/>
  <c r="P651" i="2"/>
  <c r="P444" i="2"/>
  <c r="P433" i="2"/>
  <c r="P301" i="2"/>
  <c r="P292" i="2"/>
  <c r="P215" i="2"/>
  <c r="P188" i="2"/>
  <c r="P163" i="2"/>
  <c r="P82" i="2"/>
  <c r="P40" i="2"/>
  <c r="P20" i="2"/>
  <c r="O1306" i="2"/>
  <c r="O1304" i="2"/>
  <c r="O1303" i="2"/>
  <c r="O1300" i="2"/>
  <c r="O1205" i="2"/>
  <c r="O1203" i="2"/>
  <c r="O1177" i="2"/>
  <c r="O1162" i="2"/>
  <c r="O1159" i="2"/>
  <c r="O1129" i="2"/>
  <c r="O1085" i="2"/>
  <c r="O1077" i="2"/>
  <c r="O1043" i="2"/>
  <c r="O728" i="2"/>
  <c r="O706" i="2"/>
  <c r="O705" i="2"/>
  <c r="O687" i="2"/>
  <c r="O676" i="2"/>
  <c r="O675" i="2"/>
  <c r="O651" i="2"/>
  <c r="O444" i="2"/>
  <c r="O433" i="2"/>
  <c r="O301" i="2"/>
  <c r="O292" i="2"/>
  <c r="O215" i="2"/>
  <c r="O188" i="2"/>
  <c r="O163" i="2"/>
  <c r="O82" i="2"/>
  <c r="O40" i="2"/>
  <c r="O20" i="2"/>
  <c r="N1306" i="2"/>
  <c r="N1304" i="2"/>
  <c r="N1303" i="2"/>
  <c r="N1300" i="2"/>
  <c r="N1205" i="2"/>
  <c r="N1203" i="2"/>
  <c r="N1177" i="2"/>
  <c r="N1162" i="2"/>
  <c r="N1159" i="2"/>
  <c r="N1129" i="2"/>
  <c r="N1085" i="2"/>
  <c r="N1077" i="2"/>
  <c r="N1043" i="2"/>
  <c r="N728" i="2"/>
  <c r="N706" i="2"/>
  <c r="N705" i="2"/>
  <c r="N687" i="2"/>
  <c r="N676" i="2"/>
  <c r="N675" i="2"/>
  <c r="N651" i="2"/>
  <c r="N444" i="2"/>
  <c r="N433" i="2"/>
  <c r="N301" i="2"/>
  <c r="N292" i="2"/>
  <c r="N215" i="2"/>
  <c r="N188" i="2"/>
  <c r="N163" i="2"/>
  <c r="N82" i="2"/>
  <c r="N40" i="2"/>
  <c r="N20" i="2"/>
  <c r="BB125" i="10"/>
  <c r="BA125" i="10"/>
  <c r="AZ125" i="10"/>
  <c r="AY125" i="10"/>
  <c r="AX125" i="10"/>
  <c r="AW125" i="10"/>
  <c r="AV125" i="10"/>
  <c r="AU125" i="10"/>
  <c r="AT125" i="10"/>
  <c r="AS125" i="10"/>
  <c r="AR125" i="10"/>
  <c r="AQ125" i="10"/>
  <c r="AP125" i="10"/>
  <c r="AO125" i="10"/>
  <c r="AN125" i="10"/>
  <c r="AM125" i="10"/>
  <c r="AL125" i="10"/>
  <c r="AK125" i="10"/>
  <c r="AJ125" i="10"/>
  <c r="AI125" i="10"/>
  <c r="AH125" i="10"/>
  <c r="AG125" i="10"/>
  <c r="AF125" i="10"/>
  <c r="AE125" i="10"/>
  <c r="AD125" i="10"/>
  <c r="AC125" i="10"/>
  <c r="AB125" i="10"/>
  <c r="AA125" i="10"/>
  <c r="Z125" i="10"/>
  <c r="Y125" i="10"/>
  <c r="X125" i="10"/>
  <c r="W125" i="10"/>
  <c r="V125" i="10"/>
  <c r="U125" i="10"/>
  <c r="T125" i="10"/>
  <c r="S125" i="10"/>
  <c r="R125" i="10"/>
  <c r="Q125" i="10"/>
  <c r="P125" i="10"/>
  <c r="O125" i="10"/>
  <c r="N125" i="10"/>
  <c r="BB64" i="1"/>
  <c r="BA64" i="1"/>
  <c r="AZ64" i="1"/>
  <c r="AY64" i="1"/>
  <c r="AX64" i="1"/>
  <c r="AW64" i="1"/>
  <c r="AV64" i="1"/>
  <c r="AU64" i="1"/>
  <c r="AT64" i="1"/>
  <c r="AS64" i="1"/>
  <c r="AR64" i="1"/>
  <c r="AQ64" i="1"/>
  <c r="AP64" i="1"/>
  <c r="AO64" i="1"/>
  <c r="AN64" i="1"/>
  <c r="AM64" i="1"/>
  <c r="AL64" i="1"/>
  <c r="AK64" i="1"/>
  <c r="AJ64" i="1"/>
  <c r="AI64" i="1"/>
  <c r="AH64" i="1"/>
  <c r="AG64" i="1"/>
  <c r="AF64" i="1"/>
  <c r="AE64" i="1"/>
  <c r="AD64" i="1"/>
  <c r="AC64" i="1"/>
  <c r="AB64" i="1"/>
  <c r="AA64" i="1"/>
  <c r="Z64" i="1"/>
  <c r="Y64" i="1"/>
  <c r="X64" i="1"/>
  <c r="W64" i="1"/>
  <c r="V64" i="1"/>
  <c r="U64" i="1"/>
  <c r="T64" i="1"/>
  <c r="S64" i="1"/>
  <c r="R64" i="1"/>
  <c r="Q64" i="1"/>
  <c r="P64" i="1"/>
  <c r="O64" i="1"/>
  <c r="N64" i="1"/>
  <c r="G81" i="1"/>
  <c r="G80" i="1" s="1"/>
  <c r="H79" i="1"/>
  <c r="I79" i="1" s="1"/>
  <c r="J79" i="1" s="1"/>
  <c r="K79" i="1" s="1"/>
  <c r="L79" i="1" s="1"/>
  <c r="M79" i="1" s="1"/>
  <c r="N79" i="1" s="1"/>
  <c r="O79" i="1" s="1"/>
  <c r="P79" i="1" s="1"/>
  <c r="Q79" i="1" s="1"/>
  <c r="R79" i="1" s="1"/>
  <c r="S79" i="1" s="1"/>
  <c r="T79" i="1" s="1"/>
  <c r="U79" i="1" s="1"/>
  <c r="V79" i="1" s="1"/>
  <c r="W79" i="1" s="1"/>
  <c r="X79" i="1" s="1"/>
  <c r="Y79" i="1" s="1"/>
  <c r="Z79" i="1" s="1"/>
  <c r="AA79" i="1" s="1"/>
  <c r="AB79" i="1" s="1"/>
  <c r="AC79" i="1" s="1"/>
  <c r="AD79" i="1" s="1"/>
  <c r="AE79" i="1" s="1"/>
  <c r="AF79" i="1" s="1"/>
  <c r="AG79" i="1" s="1"/>
  <c r="AH79" i="1" s="1"/>
  <c r="AI79" i="1" s="1"/>
  <c r="AJ79" i="1" s="1"/>
  <c r="AK79" i="1" s="1"/>
  <c r="AL79" i="1" s="1"/>
  <c r="AM79" i="1" s="1"/>
  <c r="AN79" i="1" s="1"/>
  <c r="AO79" i="1" s="1"/>
  <c r="AP79" i="1" s="1"/>
  <c r="AQ79" i="1" s="1"/>
  <c r="AR79" i="1" s="1"/>
  <c r="AS79" i="1" s="1"/>
  <c r="AT79" i="1" s="1"/>
  <c r="AU79" i="1" s="1"/>
  <c r="AV79" i="1" s="1"/>
  <c r="AW79" i="1" s="1"/>
  <c r="AX79" i="1" s="1"/>
  <c r="AY79" i="1" s="1"/>
  <c r="AZ79" i="1" s="1"/>
  <c r="BA79" i="1" s="1"/>
  <c r="BB79" i="1" s="1"/>
  <c r="G72" i="1"/>
  <c r="H72" i="1" s="1"/>
  <c r="I72" i="1" s="1"/>
  <c r="J72" i="1" s="1"/>
  <c r="K72" i="1" s="1"/>
  <c r="L72" i="1" s="1"/>
  <c r="M72" i="1" s="1"/>
  <c r="N72" i="1" s="1"/>
  <c r="O72" i="1" s="1"/>
  <c r="P72" i="1" s="1"/>
  <c r="Q72" i="1" s="1"/>
  <c r="R72" i="1" s="1"/>
  <c r="S72" i="1" s="1"/>
  <c r="T72" i="1" s="1"/>
  <c r="U72" i="1" s="1"/>
  <c r="V72" i="1" s="1"/>
  <c r="W72" i="1" s="1"/>
  <c r="X72" i="1" s="1"/>
  <c r="Y72" i="1" s="1"/>
  <c r="Z72" i="1" s="1"/>
  <c r="AA72" i="1" s="1"/>
  <c r="AB72" i="1" s="1"/>
  <c r="AC72" i="1" s="1"/>
  <c r="AD72" i="1" s="1"/>
  <c r="AE72" i="1" s="1"/>
  <c r="AF72" i="1" s="1"/>
  <c r="AG72" i="1" s="1"/>
  <c r="AH72" i="1" s="1"/>
  <c r="AI72" i="1" s="1"/>
  <c r="AJ72" i="1" s="1"/>
  <c r="AK72" i="1" s="1"/>
  <c r="AL72" i="1" s="1"/>
  <c r="AM72" i="1" s="1"/>
  <c r="AN72" i="1" s="1"/>
  <c r="AO72" i="1" s="1"/>
  <c r="AP72" i="1" s="1"/>
  <c r="AQ72" i="1" s="1"/>
  <c r="AR72" i="1" s="1"/>
  <c r="AS72" i="1" s="1"/>
  <c r="AT72" i="1" s="1"/>
  <c r="AU72" i="1" s="1"/>
  <c r="AV72" i="1" s="1"/>
  <c r="AW72" i="1" s="1"/>
  <c r="AX72" i="1" s="1"/>
  <c r="AY72" i="1" s="1"/>
  <c r="AZ72" i="1" s="1"/>
  <c r="BA72" i="1" s="1"/>
  <c r="BB72" i="1" s="1"/>
  <c r="D21" i="1"/>
  <c r="B16" i="1"/>
  <c r="G26" i="1" s="1"/>
  <c r="G29" i="1" s="1"/>
  <c r="A19" i="4"/>
  <c r="A197" i="2"/>
  <c r="A195" i="2"/>
  <c r="A28" i="4"/>
  <c r="D217" i="2"/>
  <c r="D216" i="2"/>
  <c r="M215" i="2"/>
  <c r="L215" i="2"/>
  <c r="K215" i="2"/>
  <c r="J215" i="2"/>
  <c r="I215" i="2"/>
  <c r="H215" i="2"/>
  <c r="G215" i="2"/>
  <c r="H213" i="2"/>
  <c r="I213" i="2" s="1"/>
  <c r="J213" i="2" s="1"/>
  <c r="K213" i="2" s="1"/>
  <c r="L213" i="2" s="1"/>
  <c r="M213" i="2" s="1"/>
  <c r="N213" i="2" s="1"/>
  <c r="O213" i="2" s="1"/>
  <c r="P213" i="2" s="1"/>
  <c r="Q213" i="2" s="1"/>
  <c r="R213" i="2" s="1"/>
  <c r="S213" i="2" s="1"/>
  <c r="T213" i="2" s="1"/>
  <c r="U213" i="2" s="1"/>
  <c r="V213" i="2" s="1"/>
  <c r="W213" i="2" s="1"/>
  <c r="X213" i="2" s="1"/>
  <c r="Y213" i="2" s="1"/>
  <c r="Z213" i="2" s="1"/>
  <c r="AA213" i="2" s="1"/>
  <c r="AB213" i="2" s="1"/>
  <c r="AC213" i="2" s="1"/>
  <c r="AD213" i="2" s="1"/>
  <c r="AE213" i="2" s="1"/>
  <c r="AF213" i="2" s="1"/>
  <c r="AG213" i="2" s="1"/>
  <c r="AH213" i="2" s="1"/>
  <c r="AI213" i="2" s="1"/>
  <c r="AJ213" i="2" s="1"/>
  <c r="AK213" i="2" s="1"/>
  <c r="AL213" i="2" s="1"/>
  <c r="AM213" i="2" s="1"/>
  <c r="AN213" i="2" s="1"/>
  <c r="AO213" i="2" s="1"/>
  <c r="AP213" i="2" s="1"/>
  <c r="AQ213" i="2" s="1"/>
  <c r="AR213" i="2" s="1"/>
  <c r="AS213" i="2" s="1"/>
  <c r="AT213" i="2" s="1"/>
  <c r="AU213" i="2" s="1"/>
  <c r="AV213" i="2" s="1"/>
  <c r="AW213" i="2" s="1"/>
  <c r="AX213" i="2" s="1"/>
  <c r="AY213" i="2" s="1"/>
  <c r="AZ213" i="2" s="1"/>
  <c r="BA213" i="2" s="1"/>
  <c r="BB213" i="2" s="1"/>
  <c r="D210" i="2"/>
  <c r="B209" i="2"/>
  <c r="D208" i="2"/>
  <c r="B207" i="2"/>
  <c r="D206" i="2"/>
  <c r="D205" i="2"/>
  <c r="D204" i="2"/>
  <c r="B203" i="2"/>
  <c r="D202" i="2"/>
  <c r="B201" i="2"/>
  <c r="D200" i="2"/>
  <c r="B199" i="2"/>
  <c r="D198" i="2"/>
  <c r="D196" i="2"/>
  <c r="D197" i="2" s="1"/>
  <c r="D194" i="2"/>
  <c r="A18" i="4"/>
  <c r="A8" i="4"/>
  <c r="D85" i="2"/>
  <c r="D84" i="2"/>
  <c r="D83" i="2"/>
  <c r="M82" i="2"/>
  <c r="L82" i="2"/>
  <c r="K82" i="2"/>
  <c r="J82" i="2"/>
  <c r="I82" i="2"/>
  <c r="H82" i="2"/>
  <c r="G82" i="2"/>
  <c r="H80" i="2"/>
  <c r="I80" i="2" s="1"/>
  <c r="J80" i="2" s="1"/>
  <c r="K80" i="2" s="1"/>
  <c r="L80" i="2" s="1"/>
  <c r="M80" i="2" s="1"/>
  <c r="N80" i="2" s="1"/>
  <c r="O80" i="2" s="1"/>
  <c r="P80" i="2" s="1"/>
  <c r="Q80" i="2" s="1"/>
  <c r="R80" i="2" s="1"/>
  <c r="S80" i="2" s="1"/>
  <c r="T80" i="2" s="1"/>
  <c r="U80" i="2" s="1"/>
  <c r="V80" i="2" s="1"/>
  <c r="W80" i="2" s="1"/>
  <c r="X80" i="2" s="1"/>
  <c r="Y80" i="2" s="1"/>
  <c r="Z80" i="2" s="1"/>
  <c r="AA80" i="2" s="1"/>
  <c r="AB80" i="2" s="1"/>
  <c r="AC80" i="2" s="1"/>
  <c r="AD80" i="2" s="1"/>
  <c r="AE80" i="2" s="1"/>
  <c r="AF80" i="2" s="1"/>
  <c r="AG80" i="2" s="1"/>
  <c r="AH80" i="2" s="1"/>
  <c r="AI80" i="2" s="1"/>
  <c r="AJ80" i="2" s="1"/>
  <c r="AK80" i="2" s="1"/>
  <c r="AL80" i="2" s="1"/>
  <c r="AM80" i="2" s="1"/>
  <c r="AN80" i="2" s="1"/>
  <c r="AO80" i="2" s="1"/>
  <c r="AP80" i="2" s="1"/>
  <c r="AQ80" i="2" s="1"/>
  <c r="AR80" i="2" s="1"/>
  <c r="AS80" i="2" s="1"/>
  <c r="AT80" i="2" s="1"/>
  <c r="AU80" i="2" s="1"/>
  <c r="AV80" i="2" s="1"/>
  <c r="AW80" i="2" s="1"/>
  <c r="AX80" i="2" s="1"/>
  <c r="AY80" i="2" s="1"/>
  <c r="AZ80" i="2" s="1"/>
  <c r="BA80" i="2" s="1"/>
  <c r="BB80" i="2" s="1"/>
  <c r="H79" i="2"/>
  <c r="I79" i="2" s="1"/>
  <c r="J79" i="2" s="1"/>
  <c r="K79" i="2" s="1"/>
  <c r="L79" i="2" s="1"/>
  <c r="M79" i="2" s="1"/>
  <c r="N79" i="2" s="1"/>
  <c r="O79" i="2" s="1"/>
  <c r="P79" i="2" s="1"/>
  <c r="Q79" i="2" s="1"/>
  <c r="R79" i="2" s="1"/>
  <c r="S79" i="2" s="1"/>
  <c r="T79" i="2" s="1"/>
  <c r="U79" i="2" s="1"/>
  <c r="V79" i="2" s="1"/>
  <c r="W79" i="2" s="1"/>
  <c r="X79" i="2" s="1"/>
  <c r="Y79" i="2" s="1"/>
  <c r="Z79" i="2" s="1"/>
  <c r="AA79" i="2" s="1"/>
  <c r="AB79" i="2" s="1"/>
  <c r="AC79" i="2" s="1"/>
  <c r="AD79" i="2" s="1"/>
  <c r="AE79" i="2" s="1"/>
  <c r="AF79" i="2" s="1"/>
  <c r="AG79" i="2" s="1"/>
  <c r="AH79" i="2" s="1"/>
  <c r="AI79" i="2" s="1"/>
  <c r="AJ79" i="2" s="1"/>
  <c r="AK79" i="2" s="1"/>
  <c r="AL79" i="2" s="1"/>
  <c r="AM79" i="2" s="1"/>
  <c r="AN79" i="2" s="1"/>
  <c r="AO79" i="2" s="1"/>
  <c r="AP79" i="2" s="1"/>
  <c r="AQ79" i="2" s="1"/>
  <c r="AR79" i="2" s="1"/>
  <c r="AS79" i="2" s="1"/>
  <c r="AT79" i="2" s="1"/>
  <c r="AU79" i="2" s="1"/>
  <c r="AV79" i="2" s="1"/>
  <c r="AW79" i="2" s="1"/>
  <c r="AX79" i="2" s="1"/>
  <c r="AY79" i="2" s="1"/>
  <c r="AZ79" i="2" s="1"/>
  <c r="BA79" i="2" s="1"/>
  <c r="BB79" i="2" s="1"/>
  <c r="D79" i="2"/>
  <c r="D76" i="2"/>
  <c r="D74" i="2"/>
  <c r="B73" i="2"/>
  <c r="D72" i="2"/>
  <c r="D71" i="2"/>
  <c r="D70" i="2"/>
  <c r="D69" i="2"/>
  <c r="G1177" i="2"/>
  <c r="H1177" i="2"/>
  <c r="I1177" i="2"/>
  <c r="J1177" i="2"/>
  <c r="K1177" i="2"/>
  <c r="L1177" i="2"/>
  <c r="M1177" i="2"/>
  <c r="BD1175" i="2"/>
  <c r="D1175" i="2"/>
  <c r="H992" i="2"/>
  <c r="G96" i="1"/>
  <c r="H96" i="1" s="1"/>
  <c r="I96" i="1" s="1"/>
  <c r="J96" i="1" s="1"/>
  <c r="K96" i="1" s="1"/>
  <c r="L96" i="1" s="1"/>
  <c r="M96" i="1" s="1"/>
  <c r="N96" i="1" s="1"/>
  <c r="O96" i="1" s="1"/>
  <c r="P96" i="1" s="1"/>
  <c r="Q96" i="1" s="1"/>
  <c r="R96" i="1" s="1"/>
  <c r="S96" i="1" s="1"/>
  <c r="T96" i="1" s="1"/>
  <c r="U96" i="1" s="1"/>
  <c r="V96" i="1" s="1"/>
  <c r="W96" i="1" s="1"/>
  <c r="X96" i="1" s="1"/>
  <c r="Y96" i="1" s="1"/>
  <c r="Z96" i="1" s="1"/>
  <c r="AA96" i="1" s="1"/>
  <c r="AB96" i="1" s="1"/>
  <c r="AC96" i="1" s="1"/>
  <c r="AD96" i="1" s="1"/>
  <c r="AE96" i="1" s="1"/>
  <c r="AF96" i="1" s="1"/>
  <c r="AG96" i="1" s="1"/>
  <c r="AH96" i="1" s="1"/>
  <c r="AI96" i="1" s="1"/>
  <c r="AJ96" i="1" s="1"/>
  <c r="AK96" i="1" s="1"/>
  <c r="AL96" i="1" s="1"/>
  <c r="AM96" i="1" s="1"/>
  <c r="AN96" i="1" s="1"/>
  <c r="AO96" i="1" s="1"/>
  <c r="AP96" i="1" s="1"/>
  <c r="AQ96" i="1" s="1"/>
  <c r="AR96" i="1" s="1"/>
  <c r="AS96" i="1" s="1"/>
  <c r="AT96" i="1" s="1"/>
  <c r="AU96" i="1" s="1"/>
  <c r="AV96" i="1" s="1"/>
  <c r="AW96" i="1" s="1"/>
  <c r="AX96" i="1" s="1"/>
  <c r="AY96" i="1" s="1"/>
  <c r="AZ96" i="1" s="1"/>
  <c r="BA96" i="1" s="1"/>
  <c r="BB96" i="1" s="1"/>
  <c r="B97" i="1"/>
  <c r="G97" i="1" s="1"/>
  <c r="H97" i="1" s="1"/>
  <c r="I97" i="1" s="1"/>
  <c r="J97" i="1" s="1"/>
  <c r="K97" i="1" s="1"/>
  <c r="L97" i="1" s="1"/>
  <c r="M97" i="1" s="1"/>
  <c r="N97" i="1" s="1"/>
  <c r="O97" i="1" s="1"/>
  <c r="P97" i="1" s="1"/>
  <c r="Q97" i="1" s="1"/>
  <c r="R97" i="1" s="1"/>
  <c r="S97" i="1" s="1"/>
  <c r="T97" i="1" s="1"/>
  <c r="U97" i="1" s="1"/>
  <c r="V97" i="1" s="1"/>
  <c r="W97" i="1" s="1"/>
  <c r="X97" i="1" s="1"/>
  <c r="Y97" i="1" s="1"/>
  <c r="Z97" i="1" s="1"/>
  <c r="AA97" i="1" s="1"/>
  <c r="AB97" i="1" s="1"/>
  <c r="AC97" i="1" s="1"/>
  <c r="AD97" i="1" s="1"/>
  <c r="AE97" i="1" s="1"/>
  <c r="AF97" i="1" s="1"/>
  <c r="AG97" i="1" s="1"/>
  <c r="AH97" i="1" s="1"/>
  <c r="AI97" i="1" s="1"/>
  <c r="AJ97" i="1" s="1"/>
  <c r="AK97" i="1" s="1"/>
  <c r="AL97" i="1" s="1"/>
  <c r="AM97" i="1" s="1"/>
  <c r="AN97" i="1" s="1"/>
  <c r="AO97" i="1" s="1"/>
  <c r="AP97" i="1" s="1"/>
  <c r="AQ97" i="1" s="1"/>
  <c r="AR97" i="1" s="1"/>
  <c r="AS97" i="1" s="1"/>
  <c r="AT97" i="1" s="1"/>
  <c r="AU97" i="1" s="1"/>
  <c r="AV97" i="1" s="1"/>
  <c r="AW97" i="1" s="1"/>
  <c r="AX97" i="1" s="1"/>
  <c r="AY97" i="1" s="1"/>
  <c r="AZ97" i="1" s="1"/>
  <c r="BA97" i="1" s="1"/>
  <c r="BB97" i="1" s="1"/>
  <c r="H282" i="4"/>
  <c r="I282" i="4"/>
  <c r="J282" i="4"/>
  <c r="K282" i="4"/>
  <c r="L282" i="4"/>
  <c r="M282" i="4"/>
  <c r="G282" i="4"/>
  <c r="H331" i="4"/>
  <c r="I331" i="4"/>
  <c r="J331" i="4"/>
  <c r="K331" i="4"/>
  <c r="L331" i="4"/>
  <c r="M331" i="4"/>
  <c r="G331" i="4"/>
  <c r="G383" i="4"/>
  <c r="G341" i="4"/>
  <c r="G292" i="4"/>
  <c r="M1303" i="2"/>
  <c r="M1205" i="2"/>
  <c r="M1203" i="2"/>
  <c r="M1162" i="2"/>
  <c r="M1085" i="2"/>
  <c r="M1077" i="2"/>
  <c r="M728" i="2"/>
  <c r="M706" i="2"/>
  <c r="M705" i="2"/>
  <c r="M687" i="2"/>
  <c r="M676" i="2"/>
  <c r="M675" i="2"/>
  <c r="M651" i="2"/>
  <c r="M444" i="2"/>
  <c r="M433" i="2"/>
  <c r="M301" i="2"/>
  <c r="M292" i="2"/>
  <c r="M188" i="2"/>
  <c r="M163" i="2"/>
  <c r="M40" i="2"/>
  <c r="M20" i="2"/>
  <c r="L1303" i="2"/>
  <c r="L1205" i="2"/>
  <c r="L1203" i="2"/>
  <c r="L1162" i="2"/>
  <c r="L1085" i="2"/>
  <c r="L1077" i="2"/>
  <c r="L728" i="2"/>
  <c r="L706" i="2"/>
  <c r="L705" i="2"/>
  <c r="L687" i="2"/>
  <c r="L676" i="2"/>
  <c r="L675" i="2"/>
  <c r="L651" i="2"/>
  <c r="L444" i="2"/>
  <c r="L433" i="2"/>
  <c r="L301" i="2"/>
  <c r="L292" i="2"/>
  <c r="L188" i="2"/>
  <c r="L163" i="2"/>
  <c r="L40" i="2"/>
  <c r="L20" i="2"/>
  <c r="D169" i="2"/>
  <c r="D27" i="2"/>
  <c r="D7" i="2"/>
  <c r="D143" i="2"/>
  <c r="A1500" i="8"/>
  <c r="A14" i="4" s="1"/>
  <c r="A1151" i="8"/>
  <c r="A1264" i="2" s="1"/>
  <c r="A1152" i="8"/>
  <c r="A1185" i="2" s="1"/>
  <c r="A1150" i="8"/>
  <c r="H444" i="2"/>
  <c r="I444" i="2"/>
  <c r="J444" i="2"/>
  <c r="K444" i="2"/>
  <c r="G444" i="2"/>
  <c r="H433" i="2"/>
  <c r="I433" i="2"/>
  <c r="J433" i="2"/>
  <c r="K433" i="2"/>
  <c r="G433" i="2"/>
  <c r="H301" i="2"/>
  <c r="I301" i="2"/>
  <c r="J301" i="2"/>
  <c r="K301" i="2"/>
  <c r="G301" i="2"/>
  <c r="H292" i="2"/>
  <c r="I292" i="2"/>
  <c r="J292" i="2"/>
  <c r="K292" i="2"/>
  <c r="G292" i="2"/>
  <c r="H188" i="2"/>
  <c r="I188" i="2"/>
  <c r="J188" i="2"/>
  <c r="K188" i="2"/>
  <c r="G188" i="2"/>
  <c r="H163" i="2"/>
  <c r="I163" i="2"/>
  <c r="J163" i="2"/>
  <c r="K163" i="2"/>
  <c r="G163" i="2"/>
  <c r="H40" i="2"/>
  <c r="I40" i="2"/>
  <c r="J40" i="2"/>
  <c r="K40" i="2"/>
  <c r="G40" i="2"/>
  <c r="H20" i="2"/>
  <c r="I20" i="2"/>
  <c r="J20" i="2"/>
  <c r="K20" i="2"/>
  <c r="G20" i="2"/>
  <c r="A1188" i="8"/>
  <c r="A1330" i="2" s="1"/>
  <c r="A1189" i="8"/>
  <c r="A1331" i="2" s="1"/>
  <c r="A1190" i="8"/>
  <c r="A1332" i="2" s="1"/>
  <c r="A1191" i="8"/>
  <c r="A1333" i="2" s="1"/>
  <c r="A1192" i="8"/>
  <c r="A1334" i="2" s="1"/>
  <c r="A1193" i="8"/>
  <c r="A1335" i="2" s="1"/>
  <c r="A1194" i="8"/>
  <c r="A1336" i="2" s="1"/>
  <c r="A1116" i="8"/>
  <c r="A1133" i="2" s="1"/>
  <c r="A1115" i="8"/>
  <c r="A1107" i="2" s="1"/>
  <c r="B417" i="2"/>
  <c r="A1523" i="8"/>
  <c r="A1098" i="2" s="1"/>
  <c r="A1524" i="8"/>
  <c r="A1110" i="2" s="1"/>
  <c r="A1525" i="8"/>
  <c r="A1111" i="2" s="1"/>
  <c r="A1526" i="8"/>
  <c r="A1115" i="2" s="1"/>
  <c r="A1527" i="8"/>
  <c r="A1104" i="2" s="1"/>
  <c r="A1528" i="8"/>
  <c r="A1117" i="2" s="1"/>
  <c r="A1529" i="8"/>
  <c r="A1530" i="8"/>
  <c r="A1123" i="2" s="1"/>
  <c r="A1531" i="8"/>
  <c r="A1126" i="2" s="1"/>
  <c r="A1532" i="8"/>
  <c r="A1130" i="2" s="1"/>
  <c r="A1533" i="8"/>
  <c r="A1131" i="2" s="1"/>
  <c r="A1534" i="8"/>
  <c r="A1134" i="2" s="1"/>
  <c r="A1535" i="8"/>
  <c r="A1135" i="2" s="1"/>
  <c r="A1522" i="8"/>
  <c r="A1096" i="2" s="1"/>
  <c r="D1119" i="2"/>
  <c r="D1118" i="2"/>
  <c r="D1117" i="2"/>
  <c r="BD1116" i="2"/>
  <c r="D1116" i="2"/>
  <c r="BD1115" i="2"/>
  <c r="D1115" i="2"/>
  <c r="G1111" i="2"/>
  <c r="H1111" i="2" s="1"/>
  <c r="I1111" i="2" s="1"/>
  <c r="J1111" i="2" s="1"/>
  <c r="K1111" i="2" s="1"/>
  <c r="L1111" i="2" s="1"/>
  <c r="M1111" i="2" s="1"/>
  <c r="N1111" i="2" s="1"/>
  <c r="O1111" i="2" s="1"/>
  <c r="P1111" i="2" s="1"/>
  <c r="Q1111" i="2" s="1"/>
  <c r="R1111" i="2" s="1"/>
  <c r="S1111" i="2" s="1"/>
  <c r="T1111" i="2" s="1"/>
  <c r="U1111" i="2" s="1"/>
  <c r="V1111" i="2" s="1"/>
  <c r="W1111" i="2" s="1"/>
  <c r="X1111" i="2" s="1"/>
  <c r="Y1111" i="2" s="1"/>
  <c r="Z1111" i="2" s="1"/>
  <c r="AA1111" i="2" s="1"/>
  <c r="AB1111" i="2" s="1"/>
  <c r="AC1111" i="2" s="1"/>
  <c r="AD1111" i="2" s="1"/>
  <c r="AE1111" i="2" s="1"/>
  <c r="AF1111" i="2" s="1"/>
  <c r="AG1111" i="2" s="1"/>
  <c r="AH1111" i="2" s="1"/>
  <c r="AI1111" i="2" s="1"/>
  <c r="AJ1111" i="2" s="1"/>
  <c r="AK1111" i="2" s="1"/>
  <c r="AL1111" i="2" s="1"/>
  <c r="AM1111" i="2" s="1"/>
  <c r="AN1111" i="2" s="1"/>
  <c r="AO1111" i="2" s="1"/>
  <c r="AP1111" i="2" s="1"/>
  <c r="AQ1111" i="2" s="1"/>
  <c r="AR1111" i="2" s="1"/>
  <c r="AS1111" i="2" s="1"/>
  <c r="AT1111" i="2" s="1"/>
  <c r="AU1111" i="2" s="1"/>
  <c r="AV1111" i="2" s="1"/>
  <c r="AW1111" i="2" s="1"/>
  <c r="AX1111" i="2" s="1"/>
  <c r="AY1111" i="2" s="1"/>
  <c r="AZ1111" i="2" s="1"/>
  <c r="BA1111" i="2" s="1"/>
  <c r="BB1111" i="2" s="1"/>
  <c r="D1107" i="2"/>
  <c r="D1106" i="2"/>
  <c r="D1105" i="2"/>
  <c r="BD1104" i="2"/>
  <c r="D1104" i="2"/>
  <c r="BD1103" i="2"/>
  <c r="D1103" i="2"/>
  <c r="G1099" i="2"/>
  <c r="H1099" i="2" s="1"/>
  <c r="I1099" i="2" s="1"/>
  <c r="J1099" i="2" s="1"/>
  <c r="K1099" i="2" s="1"/>
  <c r="L1099" i="2" s="1"/>
  <c r="M1099" i="2" s="1"/>
  <c r="N1099" i="2" s="1"/>
  <c r="O1099" i="2" s="1"/>
  <c r="P1099" i="2" s="1"/>
  <c r="Q1099" i="2" s="1"/>
  <c r="R1099" i="2" s="1"/>
  <c r="S1099" i="2" s="1"/>
  <c r="T1099" i="2" s="1"/>
  <c r="U1099" i="2" s="1"/>
  <c r="V1099" i="2" s="1"/>
  <c r="W1099" i="2" s="1"/>
  <c r="X1099" i="2" s="1"/>
  <c r="Y1099" i="2" s="1"/>
  <c r="Z1099" i="2" s="1"/>
  <c r="AA1099" i="2" s="1"/>
  <c r="AB1099" i="2" s="1"/>
  <c r="AC1099" i="2" s="1"/>
  <c r="AD1099" i="2" s="1"/>
  <c r="AE1099" i="2" s="1"/>
  <c r="AF1099" i="2" s="1"/>
  <c r="AG1099" i="2" s="1"/>
  <c r="AH1099" i="2" s="1"/>
  <c r="AI1099" i="2" s="1"/>
  <c r="AJ1099" i="2" s="1"/>
  <c r="AK1099" i="2" s="1"/>
  <c r="AL1099" i="2" s="1"/>
  <c r="AM1099" i="2" s="1"/>
  <c r="AN1099" i="2" s="1"/>
  <c r="AO1099" i="2" s="1"/>
  <c r="AP1099" i="2" s="1"/>
  <c r="AQ1099" i="2" s="1"/>
  <c r="AR1099" i="2" s="1"/>
  <c r="AS1099" i="2" s="1"/>
  <c r="AT1099" i="2" s="1"/>
  <c r="AU1099" i="2" s="1"/>
  <c r="AV1099" i="2" s="1"/>
  <c r="AW1099" i="2" s="1"/>
  <c r="AX1099" i="2" s="1"/>
  <c r="AY1099" i="2" s="1"/>
  <c r="AZ1099" i="2" s="1"/>
  <c r="BA1099" i="2" s="1"/>
  <c r="BB1099" i="2" s="1"/>
  <c r="A1521" i="8"/>
  <c r="A607" i="2" s="1"/>
  <c r="BD473" i="4"/>
  <c r="BD472" i="4"/>
  <c r="BD471" i="4"/>
  <c r="BD446" i="4"/>
  <c r="BD445" i="4"/>
  <c r="BD444" i="4"/>
  <c r="A1520" i="8"/>
  <c r="A481" i="4" s="1"/>
  <c r="A1519" i="8"/>
  <c r="A454" i="4" s="1"/>
  <c r="A1518" i="8"/>
  <c r="A427" i="4" s="1"/>
  <c r="C416" i="4"/>
  <c r="C417" i="4"/>
  <c r="C418" i="4"/>
  <c r="C419" i="4"/>
  <c r="C420" i="4"/>
  <c r="C421" i="4"/>
  <c r="C422" i="4"/>
  <c r="C423" i="4"/>
  <c r="C424" i="4"/>
  <c r="C425" i="4"/>
  <c r="C415" i="4"/>
  <c r="A1516" i="8"/>
  <c r="B414" i="4" s="1"/>
  <c r="A1517" i="8"/>
  <c r="C414" i="4" s="1"/>
  <c r="A1515" i="8"/>
  <c r="A414" i="4" s="1"/>
  <c r="A1514" i="8"/>
  <c r="A415" i="4" s="1"/>
  <c r="A382" i="8"/>
  <c r="A38" i="9" s="1"/>
  <c r="A381" i="8"/>
  <c r="A37" i="9" s="1"/>
  <c r="A380" i="8"/>
  <c r="A36" i="9" s="1"/>
  <c r="A379" i="8"/>
  <c r="A35" i="9" s="1"/>
  <c r="A378" i="8"/>
  <c r="A34" i="9" s="1"/>
  <c r="A377" i="8"/>
  <c r="A33" i="9" s="1"/>
  <c r="A376" i="8"/>
  <c r="A32" i="9" s="1"/>
  <c r="A375" i="8"/>
  <c r="A31" i="9" s="1"/>
  <c r="A374" i="8"/>
  <c r="A30" i="9" s="1"/>
  <c r="A804" i="8"/>
  <c r="A565" i="2" s="1"/>
  <c r="D303" i="2"/>
  <c r="D294" i="2"/>
  <c r="D293" i="2"/>
  <c r="A1513" i="8"/>
  <c r="A642" i="8"/>
  <c r="A271" i="2" s="1"/>
  <c r="A680" i="8"/>
  <c r="A270" i="2" s="1"/>
  <c r="A644" i="8"/>
  <c r="A272" i="2" s="1"/>
  <c r="D178" i="2"/>
  <c r="D177" i="2"/>
  <c r="D153" i="2"/>
  <c r="D152" i="2"/>
  <c r="A643" i="8"/>
  <c r="A205" i="2" s="1"/>
  <c r="A1512" i="8"/>
  <c r="A591" i="8"/>
  <c r="A131" i="2" s="1"/>
  <c r="D29" i="2"/>
  <c r="D28" i="2"/>
  <c r="A590" i="8"/>
  <c r="A91" i="2" s="1"/>
  <c r="D10" i="2"/>
  <c r="D9" i="2"/>
  <c r="A153" i="2"/>
  <c r="H687" i="2"/>
  <c r="I687" i="2"/>
  <c r="J687" i="2"/>
  <c r="K687" i="2"/>
  <c r="G687" i="2"/>
  <c r="A1511" i="8"/>
  <c r="A843" i="2" s="1"/>
  <c r="A1510" i="8"/>
  <c r="A1509" i="8"/>
  <c r="A837" i="2" s="1"/>
  <c r="A1508" i="8"/>
  <c r="A63" i="4" s="1"/>
  <c r="A1506" i="8"/>
  <c r="A32" i="4" s="1"/>
  <c r="A1507" i="8"/>
  <c r="A48" i="4" s="1"/>
  <c r="A1505" i="8"/>
  <c r="A27" i="4" s="1"/>
  <c r="A1504" i="8"/>
  <c r="A6" i="4" s="1"/>
  <c r="A1503" i="8"/>
  <c r="A69" i="4" s="1"/>
  <c r="A1502" i="8"/>
  <c r="A65" i="4" s="1"/>
  <c r="A1501" i="8"/>
  <c r="A25" i="4" s="1"/>
  <c r="A1499" i="8"/>
  <c r="A4" i="4" s="1"/>
  <c r="D1282" i="2"/>
  <c r="D1281" i="2"/>
  <c r="D1280" i="2"/>
  <c r="D1276" i="2"/>
  <c r="D1275" i="2"/>
  <c r="D1274" i="2"/>
  <c r="A1498" i="8"/>
  <c r="A423" i="2" s="1"/>
  <c r="A1497" i="8"/>
  <c r="A220" i="4" s="1"/>
  <c r="A1496" i="8"/>
  <c r="A221" i="4" s="1"/>
  <c r="B217" i="4"/>
  <c r="A1495" i="8"/>
  <c r="A223" i="4" s="1"/>
  <c r="A1494" i="8"/>
  <c r="A1289" i="2" s="1"/>
  <c r="A1492" i="8"/>
  <c r="A1493" i="8"/>
  <c r="A1288" i="2" s="1"/>
  <c r="A1490" i="8"/>
  <c r="A1491" i="8"/>
  <c r="A1287" i="2" s="1"/>
  <c r="D1279" i="2"/>
  <c r="D1278" i="2"/>
  <c r="A1489" i="8"/>
  <c r="A1488" i="8"/>
  <c r="A467" i="4" s="1"/>
  <c r="A1487" i="8"/>
  <c r="A1271" i="2" s="1"/>
  <c r="D1272" i="2"/>
  <c r="D429" i="2"/>
  <c r="D427" i="2"/>
  <c r="A386" i="8"/>
  <c r="A1368" i="8"/>
  <c r="A305" i="4" s="1"/>
  <c r="A1367" i="8"/>
  <c r="A304" i="4" s="1"/>
  <c r="A1109" i="8"/>
  <c r="A1221" i="2" s="1"/>
  <c r="A1369" i="8"/>
  <c r="A358" i="4" s="1"/>
  <c r="A1370" i="8"/>
  <c r="A401" i="4" s="1"/>
  <c r="A1371" i="8"/>
  <c r="A311" i="4" s="1"/>
  <c r="A1372" i="8"/>
  <c r="A403" i="4" s="1"/>
  <c r="A1373" i="8"/>
  <c r="A362" i="4" s="1"/>
  <c r="A476" i="8"/>
  <c r="A298" i="4" s="1"/>
  <c r="A475" i="8"/>
  <c r="A141" i="1" s="1"/>
  <c r="A1335" i="8"/>
  <c r="A258" i="4" s="1"/>
  <c r="A1330" i="8"/>
  <c r="A251" i="4" s="1"/>
  <c r="A1328" i="8"/>
  <c r="A249" i="4" s="1"/>
  <c r="A1329" i="8"/>
  <c r="A250" i="4" s="1"/>
  <c r="G2" i="2"/>
  <c r="G1303" i="2"/>
  <c r="G68" i="10"/>
  <c r="H68" i="10" s="1"/>
  <c r="I68" i="10" s="1"/>
  <c r="J68" i="10" s="1"/>
  <c r="K68" i="10" s="1"/>
  <c r="L68" i="10" s="1"/>
  <c r="M68" i="10" s="1"/>
  <c r="N68" i="10" s="1"/>
  <c r="G2" i="10"/>
  <c r="G75" i="10"/>
  <c r="H75" i="10" s="1"/>
  <c r="I75" i="10" s="1"/>
  <c r="J75" i="10" s="1"/>
  <c r="K75" i="10" s="1"/>
  <c r="L75" i="10" s="1"/>
  <c r="M75" i="10" s="1"/>
  <c r="N75" i="10" s="1"/>
  <c r="G82" i="10"/>
  <c r="H82" i="10" s="1"/>
  <c r="I82" i="10" s="1"/>
  <c r="J82" i="10" s="1"/>
  <c r="K82" i="10" s="1"/>
  <c r="L82" i="10" s="1"/>
  <c r="M82" i="10" s="1"/>
  <c r="N82" i="10" s="1"/>
  <c r="O82" i="10" s="1"/>
  <c r="G1082" i="2"/>
  <c r="H1083" i="2" s="1"/>
  <c r="H1082" i="2" s="1"/>
  <c r="H1084" i="2" s="1"/>
  <c r="G1090" i="2"/>
  <c r="G1092" i="2" s="1"/>
  <c r="B575" i="2"/>
  <c r="B581" i="2"/>
  <c r="B587" i="2"/>
  <c r="B593" i="2"/>
  <c r="B599" i="2"/>
  <c r="B605" i="2"/>
  <c r="B612" i="2"/>
  <c r="B618" i="2"/>
  <c r="B623" i="2"/>
  <c r="G1162" i="2"/>
  <c r="B628" i="2"/>
  <c r="H25" i="1"/>
  <c r="H2" i="2" s="1"/>
  <c r="H1303" i="2"/>
  <c r="H102" i="1"/>
  <c r="I102" i="1" s="1"/>
  <c r="J102" i="1" s="1"/>
  <c r="K102" i="1" s="1"/>
  <c r="L102" i="1" s="1"/>
  <c r="M102" i="1" s="1"/>
  <c r="N102" i="1" s="1"/>
  <c r="O102" i="1" s="1"/>
  <c r="P102" i="1" s="1"/>
  <c r="Q102" i="1" s="1"/>
  <c r="R102" i="1" s="1"/>
  <c r="S102" i="1" s="1"/>
  <c r="T102" i="1" s="1"/>
  <c r="U102" i="1" s="1"/>
  <c r="V102" i="1" s="1"/>
  <c r="W102" i="1" s="1"/>
  <c r="X102" i="1" s="1"/>
  <c r="Y102" i="1" s="1"/>
  <c r="Z102" i="1" s="1"/>
  <c r="AA102" i="1" s="1"/>
  <c r="AB102" i="1" s="1"/>
  <c r="AC102" i="1" s="1"/>
  <c r="AD102" i="1" s="1"/>
  <c r="AE102" i="1" s="1"/>
  <c r="AF102" i="1" s="1"/>
  <c r="AG102" i="1" s="1"/>
  <c r="AH102" i="1" s="1"/>
  <c r="AI102" i="1" s="1"/>
  <c r="AJ102" i="1" s="1"/>
  <c r="AK102" i="1" s="1"/>
  <c r="AL102" i="1" s="1"/>
  <c r="AM102" i="1" s="1"/>
  <c r="AN102" i="1" s="1"/>
  <c r="AO102" i="1" s="1"/>
  <c r="AP102" i="1" s="1"/>
  <c r="AQ102" i="1" s="1"/>
  <c r="AR102" i="1" s="1"/>
  <c r="AS102" i="1" s="1"/>
  <c r="AT102" i="1" s="1"/>
  <c r="AU102" i="1" s="1"/>
  <c r="AV102" i="1" s="1"/>
  <c r="AW102" i="1" s="1"/>
  <c r="AX102" i="1" s="1"/>
  <c r="AY102" i="1" s="1"/>
  <c r="AZ102" i="1" s="1"/>
  <c r="BA102" i="1" s="1"/>
  <c r="BB102" i="1" s="1"/>
  <c r="H109" i="1"/>
  <c r="I109" i="1" s="1"/>
  <c r="J109" i="1" s="1"/>
  <c r="K109" i="1" s="1"/>
  <c r="L109" i="1" s="1"/>
  <c r="M109" i="1" s="1"/>
  <c r="N109" i="1" s="1"/>
  <c r="O109" i="1" s="1"/>
  <c r="P109" i="1" s="1"/>
  <c r="Q109" i="1" s="1"/>
  <c r="R109" i="1" s="1"/>
  <c r="S109" i="1" s="1"/>
  <c r="T109" i="1" s="1"/>
  <c r="U109" i="1" s="1"/>
  <c r="V109" i="1" s="1"/>
  <c r="W109" i="1" s="1"/>
  <c r="X109" i="1" s="1"/>
  <c r="Y109" i="1" s="1"/>
  <c r="Z109" i="1" s="1"/>
  <c r="AA109" i="1" s="1"/>
  <c r="AB109" i="1" s="1"/>
  <c r="AC109" i="1" s="1"/>
  <c r="AD109" i="1" s="1"/>
  <c r="AE109" i="1" s="1"/>
  <c r="AF109" i="1" s="1"/>
  <c r="AG109" i="1" s="1"/>
  <c r="AH109" i="1" s="1"/>
  <c r="AI109" i="1" s="1"/>
  <c r="AJ109" i="1" s="1"/>
  <c r="AK109" i="1" s="1"/>
  <c r="AL109" i="1" s="1"/>
  <c r="AM109" i="1" s="1"/>
  <c r="AN109" i="1" s="1"/>
  <c r="AO109" i="1" s="1"/>
  <c r="AP109" i="1" s="1"/>
  <c r="AQ109" i="1" s="1"/>
  <c r="AR109" i="1" s="1"/>
  <c r="AS109" i="1" s="1"/>
  <c r="AT109" i="1" s="1"/>
  <c r="AU109" i="1" s="1"/>
  <c r="AV109" i="1" s="1"/>
  <c r="AW109" i="1" s="1"/>
  <c r="AX109" i="1" s="1"/>
  <c r="AY109" i="1" s="1"/>
  <c r="AZ109" i="1" s="1"/>
  <c r="BA109" i="1" s="1"/>
  <c r="BB109" i="1" s="1"/>
  <c r="H107" i="1"/>
  <c r="I107" i="1" s="1"/>
  <c r="J107" i="1" s="1"/>
  <c r="K107" i="1" s="1"/>
  <c r="L107" i="1" s="1"/>
  <c r="M107" i="1" s="1"/>
  <c r="N107" i="1" s="1"/>
  <c r="O107" i="1" s="1"/>
  <c r="P107" i="1" s="1"/>
  <c r="Q107" i="1" s="1"/>
  <c r="R107" i="1" s="1"/>
  <c r="S107" i="1" s="1"/>
  <c r="T107" i="1" s="1"/>
  <c r="U107" i="1" s="1"/>
  <c r="V107" i="1" s="1"/>
  <c r="W107" i="1" s="1"/>
  <c r="X107" i="1" s="1"/>
  <c r="Y107" i="1" s="1"/>
  <c r="Z107" i="1" s="1"/>
  <c r="AA107" i="1" s="1"/>
  <c r="AB107" i="1" s="1"/>
  <c r="AC107" i="1" s="1"/>
  <c r="AD107" i="1" s="1"/>
  <c r="AE107" i="1" s="1"/>
  <c r="AF107" i="1" s="1"/>
  <c r="AG107" i="1" s="1"/>
  <c r="AH107" i="1" s="1"/>
  <c r="AI107" i="1" s="1"/>
  <c r="AJ107" i="1" s="1"/>
  <c r="AK107" i="1" s="1"/>
  <c r="AL107" i="1" s="1"/>
  <c r="AM107" i="1" s="1"/>
  <c r="AN107" i="1" s="1"/>
  <c r="AO107" i="1" s="1"/>
  <c r="AP107" i="1" s="1"/>
  <c r="AQ107" i="1" s="1"/>
  <c r="AR107" i="1" s="1"/>
  <c r="AS107" i="1" s="1"/>
  <c r="AT107" i="1" s="1"/>
  <c r="AU107" i="1" s="1"/>
  <c r="AV107" i="1" s="1"/>
  <c r="AW107" i="1" s="1"/>
  <c r="AX107" i="1" s="1"/>
  <c r="AY107" i="1" s="1"/>
  <c r="AZ107" i="1" s="1"/>
  <c r="BA107" i="1" s="1"/>
  <c r="BB107" i="1" s="1"/>
  <c r="H1162" i="2"/>
  <c r="I1303" i="2"/>
  <c r="I1162" i="2"/>
  <c r="J1303" i="2"/>
  <c r="J1162" i="2"/>
  <c r="K1303" i="2"/>
  <c r="K1162" i="2"/>
  <c r="B368" i="4"/>
  <c r="G2" i="4"/>
  <c r="G283" i="4" s="1"/>
  <c r="B15" i="10"/>
  <c r="B24" i="10"/>
  <c r="B35" i="10"/>
  <c r="B39" i="10"/>
  <c r="D656" i="2"/>
  <c r="BD654" i="2"/>
  <c r="B654" i="2" s="1"/>
  <c r="D682" i="2"/>
  <c r="BD680" i="2"/>
  <c r="B680" i="2" s="1"/>
  <c r="D712" i="2"/>
  <c r="BD710" i="2"/>
  <c r="B710" i="2" s="1"/>
  <c r="A1427" i="8"/>
  <c r="A28" i="11" s="1"/>
  <c r="A1426" i="8"/>
  <c r="A2" i="11" s="1"/>
  <c r="A115" i="8"/>
  <c r="A107" i="8"/>
  <c r="B42" i="1" s="1"/>
  <c r="A1239" i="8"/>
  <c r="A120" i="4" s="1"/>
  <c r="A1238" i="8"/>
  <c r="A119" i="4" s="1"/>
  <c r="A1237" i="8"/>
  <c r="A117" i="4" s="1"/>
  <c r="A1236" i="8"/>
  <c r="A116" i="4" s="1"/>
  <c r="A1235" i="8"/>
  <c r="A115" i="4" s="1"/>
  <c r="A1234" i="8"/>
  <c r="A114" i="4" s="1"/>
  <c r="A1233" i="8"/>
  <c r="A113" i="4" s="1"/>
  <c r="A1232" i="8"/>
  <c r="A112" i="4" s="1"/>
  <c r="A1231" i="8"/>
  <c r="A111" i="4" s="1"/>
  <c r="A1230" i="8"/>
  <c r="A109" i="4" s="1"/>
  <c r="A1229" i="8"/>
  <c r="A108" i="4" s="1"/>
  <c r="A1228" i="8"/>
  <c r="A107" i="4" s="1"/>
  <c r="A1227" i="8"/>
  <c r="A106" i="4" s="1"/>
  <c r="A1226" i="8"/>
  <c r="A104" i="4" s="1"/>
  <c r="A1225" i="8"/>
  <c r="A103" i="4" s="1"/>
  <c r="A1224" i="8"/>
  <c r="A102" i="4" s="1"/>
  <c r="A1223" i="8"/>
  <c r="A101" i="4" s="1"/>
  <c r="A1222" i="8"/>
  <c r="A100" i="4" s="1"/>
  <c r="A1221" i="8"/>
  <c r="A98" i="4" s="1"/>
  <c r="A1219" i="8"/>
  <c r="A97" i="4" s="1"/>
  <c r="A1218" i="8"/>
  <c r="A96" i="4" s="1"/>
  <c r="A1217" i="8"/>
  <c r="A95" i="4" s="1"/>
  <c r="A1216" i="8"/>
  <c r="A94" i="4" s="1"/>
  <c r="A1215" i="8"/>
  <c r="A93" i="4" s="1"/>
  <c r="A1473" i="8"/>
  <c r="BD1142" i="2" s="1"/>
  <c r="A1214" i="8"/>
  <c r="A91" i="4" s="1"/>
  <c r="A1209" i="8"/>
  <c r="A1351" i="2" s="1"/>
  <c r="A46" i="8"/>
  <c r="C1121" i="2" s="1"/>
  <c r="A456" i="8"/>
  <c r="A455" i="8"/>
  <c r="A107" i="1" s="1"/>
  <c r="A454" i="8"/>
  <c r="A105" i="1" s="1"/>
  <c r="A453" i="8"/>
  <c r="A452" i="8"/>
  <c r="A1273" i="2" s="1"/>
  <c r="A451" i="8"/>
  <c r="A100" i="1" s="1"/>
  <c r="A450" i="8"/>
  <c r="A449" i="8"/>
  <c r="A97" i="1" s="1"/>
  <c r="A448" i="8"/>
  <c r="A96" i="1" s="1"/>
  <c r="A447" i="8"/>
  <c r="A94" i="1" s="1"/>
  <c r="A446" i="8"/>
  <c r="A445" i="8"/>
  <c r="A91" i="1" s="1"/>
  <c r="A444" i="8"/>
  <c r="A90" i="1" s="1"/>
  <c r="A443" i="8"/>
  <c r="A89" i="1" s="1"/>
  <c r="A442" i="8"/>
  <c r="A88" i="1" s="1"/>
  <c r="A441" i="8"/>
  <c r="A87" i="1" s="1"/>
  <c r="A440" i="8"/>
  <c r="A86" i="1" s="1"/>
  <c r="A439" i="8"/>
  <c r="A84" i="1" s="1"/>
  <c r="A438" i="8"/>
  <c r="A108" i="1" s="1"/>
  <c r="A437" i="8"/>
  <c r="A81" i="1" s="1"/>
  <c r="A436" i="8"/>
  <c r="A80" i="1" s="1"/>
  <c r="A435" i="8"/>
  <c r="A79" i="1" s="1"/>
  <c r="A434" i="8"/>
  <c r="A77" i="1" s="1"/>
  <c r="A159" i="8"/>
  <c r="C75" i="1" s="1"/>
  <c r="A433" i="8"/>
  <c r="A75" i="1" s="1"/>
  <c r="A384" i="8"/>
  <c r="C74" i="1" s="1"/>
  <c r="A432" i="8"/>
  <c r="A74" i="1" s="1"/>
  <c r="A431" i="8"/>
  <c r="A430" i="8"/>
  <c r="A72" i="1" s="1"/>
  <c r="A429" i="8"/>
  <c r="A70" i="1" s="1"/>
  <c r="A428" i="8"/>
  <c r="A68" i="1" s="1"/>
  <c r="A421" i="8"/>
  <c r="A64" i="1" s="1"/>
  <c r="A480" i="8"/>
  <c r="A426" i="8"/>
  <c r="A43" i="1" s="1"/>
  <c r="A425" i="8"/>
  <c r="A61" i="1" s="1"/>
  <c r="A424" i="8"/>
  <c r="A60" i="1" s="1"/>
  <c r="A423" i="8"/>
  <c r="A99" i="8"/>
  <c r="B58" i="1" s="1"/>
  <c r="A427" i="8"/>
  <c r="A58" i="1" s="1"/>
  <c r="A98" i="8"/>
  <c r="B52" i="1" s="1"/>
  <c r="A422" i="8"/>
  <c r="A52" i="1" s="1"/>
  <c r="A420" i="8"/>
  <c r="A50" i="1" s="1"/>
  <c r="A417" i="8"/>
  <c r="A415" i="8"/>
  <c r="A48" i="1" s="1"/>
  <c r="A414" i="8"/>
  <c r="A47" i="1" s="1"/>
  <c r="A413" i="8"/>
  <c r="A46" i="1" s="1"/>
  <c r="A412" i="8"/>
  <c r="A341" i="4" s="1"/>
  <c r="A411" i="8"/>
  <c r="A42" i="1" s="1"/>
  <c r="A479" i="8"/>
  <c r="C40" i="1" s="1"/>
  <c r="A410" i="8"/>
  <c r="A40" i="1" s="1"/>
  <c r="A409" i="8"/>
  <c r="A38" i="1" s="1"/>
  <c r="A726" i="8"/>
  <c r="A402" i="2" s="1"/>
  <c r="A70" i="8"/>
  <c r="A718" i="8"/>
  <c r="A394" i="2" s="1"/>
  <c r="G1211" i="2"/>
  <c r="H1211" i="2" s="1"/>
  <c r="I1211" i="2" s="1"/>
  <c r="J1211" i="2" s="1"/>
  <c r="K1211" i="2" s="1"/>
  <c r="L1211" i="2" s="1"/>
  <c r="M1211" i="2" s="1"/>
  <c r="N1211" i="2" s="1"/>
  <c r="O1211" i="2" s="1"/>
  <c r="P1211" i="2" s="1"/>
  <c r="Q1211" i="2" s="1"/>
  <c r="R1211" i="2" s="1"/>
  <c r="S1211" i="2" s="1"/>
  <c r="T1211" i="2" s="1"/>
  <c r="U1211" i="2" s="1"/>
  <c r="V1211" i="2" s="1"/>
  <c r="W1211" i="2" s="1"/>
  <c r="X1211" i="2" s="1"/>
  <c r="Y1211" i="2" s="1"/>
  <c r="Z1211" i="2" s="1"/>
  <c r="AA1211" i="2" s="1"/>
  <c r="AB1211" i="2" s="1"/>
  <c r="AC1211" i="2" s="1"/>
  <c r="AD1211" i="2" s="1"/>
  <c r="AE1211" i="2" s="1"/>
  <c r="AF1211" i="2" s="1"/>
  <c r="AG1211" i="2" s="1"/>
  <c r="AH1211" i="2" s="1"/>
  <c r="AI1211" i="2" s="1"/>
  <c r="AJ1211" i="2" s="1"/>
  <c r="AK1211" i="2" s="1"/>
  <c r="AL1211" i="2" s="1"/>
  <c r="AM1211" i="2" s="1"/>
  <c r="AN1211" i="2" s="1"/>
  <c r="AO1211" i="2" s="1"/>
  <c r="AP1211" i="2" s="1"/>
  <c r="AQ1211" i="2" s="1"/>
  <c r="AR1211" i="2" s="1"/>
  <c r="AS1211" i="2" s="1"/>
  <c r="AT1211" i="2" s="1"/>
  <c r="AU1211" i="2" s="1"/>
  <c r="AV1211" i="2" s="1"/>
  <c r="AW1211" i="2" s="1"/>
  <c r="AX1211" i="2" s="1"/>
  <c r="AY1211" i="2" s="1"/>
  <c r="AZ1211" i="2" s="1"/>
  <c r="BA1211" i="2" s="1"/>
  <c r="BB1211" i="2" s="1"/>
  <c r="G1192" i="2"/>
  <c r="H1192" i="2" s="1"/>
  <c r="I1192" i="2" s="1"/>
  <c r="J1192" i="2" s="1"/>
  <c r="K1192" i="2" s="1"/>
  <c r="L1192" i="2" s="1"/>
  <c r="M1192" i="2" s="1"/>
  <c r="N1192" i="2" s="1"/>
  <c r="O1192" i="2" s="1"/>
  <c r="P1192" i="2" s="1"/>
  <c r="Q1192" i="2" s="1"/>
  <c r="R1192" i="2" s="1"/>
  <c r="S1192" i="2" s="1"/>
  <c r="T1192" i="2" s="1"/>
  <c r="U1192" i="2" s="1"/>
  <c r="V1192" i="2" s="1"/>
  <c r="W1192" i="2" s="1"/>
  <c r="X1192" i="2" s="1"/>
  <c r="Y1192" i="2" s="1"/>
  <c r="Z1192" i="2" s="1"/>
  <c r="AA1192" i="2" s="1"/>
  <c r="AB1192" i="2" s="1"/>
  <c r="AC1192" i="2" s="1"/>
  <c r="AD1192" i="2" s="1"/>
  <c r="AE1192" i="2" s="1"/>
  <c r="AF1192" i="2" s="1"/>
  <c r="AG1192" i="2" s="1"/>
  <c r="AH1192" i="2" s="1"/>
  <c r="AI1192" i="2" s="1"/>
  <c r="AJ1192" i="2" s="1"/>
  <c r="AK1192" i="2" s="1"/>
  <c r="AL1192" i="2" s="1"/>
  <c r="AM1192" i="2" s="1"/>
  <c r="AN1192" i="2" s="1"/>
  <c r="AO1192" i="2" s="1"/>
  <c r="AP1192" i="2" s="1"/>
  <c r="AQ1192" i="2" s="1"/>
  <c r="AR1192" i="2" s="1"/>
  <c r="AS1192" i="2" s="1"/>
  <c r="AT1192" i="2" s="1"/>
  <c r="AU1192" i="2" s="1"/>
  <c r="AV1192" i="2" s="1"/>
  <c r="AW1192" i="2" s="1"/>
  <c r="AX1192" i="2" s="1"/>
  <c r="AY1192" i="2" s="1"/>
  <c r="AZ1192" i="2" s="1"/>
  <c r="BA1192" i="2" s="1"/>
  <c r="BB1192" i="2" s="1"/>
  <c r="A585" i="8"/>
  <c r="A4" i="2" s="1"/>
  <c r="A603" i="8"/>
  <c r="A23" i="2" s="1"/>
  <c r="A602" i="8"/>
  <c r="A22" i="2" s="1"/>
  <c r="A601" i="8"/>
  <c r="A21" i="2" s="1"/>
  <c r="A1477" i="8"/>
  <c r="A600" i="8"/>
  <c r="A384" i="4" s="1"/>
  <c r="A599" i="8"/>
  <c r="A18" i="2" s="1"/>
  <c r="A598" i="8"/>
  <c r="A17" i="2" s="1"/>
  <c r="A597" i="8"/>
  <c r="A16" i="2" s="1"/>
  <c r="A596" i="8"/>
  <c r="A15" i="2" s="1"/>
  <c r="A1474" i="8"/>
  <c r="C561" i="2" s="1"/>
  <c r="A595" i="8"/>
  <c r="A14" i="2" s="1"/>
  <c r="A594" i="8"/>
  <c r="A13" i="2" s="1"/>
  <c r="A593" i="8"/>
  <c r="A12" i="2" s="1"/>
  <c r="A592" i="8"/>
  <c r="A11" i="2" s="1"/>
  <c r="A589" i="8"/>
  <c r="A9" i="2" s="1"/>
  <c r="A588" i="8"/>
  <c r="A7" i="2" s="1"/>
  <c r="A587" i="8"/>
  <c r="A586" i="8"/>
  <c r="A6" i="2" s="1"/>
  <c r="A757" i="8"/>
  <c r="A1485" i="8"/>
  <c r="A658" i="8"/>
  <c r="A258" i="8"/>
  <c r="C1278" i="2" s="1"/>
  <c r="A607" i="8"/>
  <c r="G2" i="1"/>
  <c r="G59" i="1" s="1"/>
  <c r="H43" i="1"/>
  <c r="A1124" i="8"/>
  <c r="A1209" i="2" s="1"/>
  <c r="A1123" i="8"/>
  <c r="A1208" i="2" s="1"/>
  <c r="A48" i="8"/>
  <c r="C832" i="2" s="1"/>
  <c r="A1122" i="8"/>
  <c r="A1207" i="2" s="1"/>
  <c r="A1480" i="8"/>
  <c r="C500" i="2" s="1"/>
  <c r="A1121" i="8"/>
  <c r="A1206" i="2" s="1"/>
  <c r="A1120" i="8"/>
  <c r="A1205" i="2" s="1"/>
  <c r="A1119" i="8"/>
  <c r="A1204" i="2" s="1"/>
  <c r="A1476" i="8"/>
  <c r="A1118" i="8"/>
  <c r="A1203" i="2" s="1"/>
  <c r="A1117" i="8"/>
  <c r="A1201" i="2" s="1"/>
  <c r="A1114" i="8"/>
  <c r="A1200" i="2" s="1"/>
  <c r="A1113" i="8"/>
  <c r="A1118" i="2" s="1"/>
  <c r="A1112" i="8"/>
  <c r="A1198" i="2" s="1"/>
  <c r="A1111" i="8"/>
  <c r="A1197" i="2" s="1"/>
  <c r="A1110" i="8"/>
  <c r="A1196" i="2" s="1"/>
  <c r="A1475" i="8"/>
  <c r="C1101" i="2" s="1"/>
  <c r="A1108" i="8"/>
  <c r="A1101" i="2" s="1"/>
  <c r="A1484" i="8"/>
  <c r="C1212" i="2" s="1"/>
  <c r="A1107" i="8"/>
  <c r="A1193" i="2" s="1"/>
  <c r="A1106" i="8"/>
  <c r="A1192" i="2" s="1"/>
  <c r="A655" i="8"/>
  <c r="A217" i="2" s="1"/>
  <c r="A654" i="8"/>
  <c r="A216" i="2" s="1"/>
  <c r="A653" i="8"/>
  <c r="A652" i="8"/>
  <c r="A213" i="2" s="1"/>
  <c r="A651" i="8"/>
  <c r="A212" i="2" s="1"/>
  <c r="A650" i="8"/>
  <c r="A211" i="2" s="1"/>
  <c r="A649" i="8"/>
  <c r="A210" i="2" s="1"/>
  <c r="A648" i="8"/>
  <c r="A209" i="2" s="1"/>
  <c r="A647" i="8"/>
  <c r="A208" i="2" s="1"/>
  <c r="A646" i="8"/>
  <c r="A207" i="2" s="1"/>
  <c r="A645" i="8"/>
  <c r="A206" i="2" s="1"/>
  <c r="A641" i="8"/>
  <c r="A204" i="2" s="1"/>
  <c r="A640" i="8"/>
  <c r="A203" i="2" s="1"/>
  <c r="A639" i="8"/>
  <c r="A202" i="2" s="1"/>
  <c r="A638" i="8"/>
  <c r="A201" i="2" s="1"/>
  <c r="A637" i="8"/>
  <c r="A200" i="2" s="1"/>
  <c r="A636" i="8"/>
  <c r="A199" i="2" s="1"/>
  <c r="A635" i="8"/>
  <c r="A198" i="2" s="1"/>
  <c r="A634" i="8"/>
  <c r="A196" i="2" s="1"/>
  <c r="A633" i="8"/>
  <c r="A194" i="2" s="1"/>
  <c r="A1483" i="8"/>
  <c r="A1482" i="8"/>
  <c r="C863" i="2" s="1"/>
  <c r="A1481" i="8"/>
  <c r="A1486" i="8"/>
  <c r="A1479" i="8"/>
  <c r="A45" i="8"/>
  <c r="C262" i="4" s="1"/>
  <c r="A1478" i="8"/>
  <c r="C264" i="4" s="1"/>
  <c r="A1103" i="8"/>
  <c r="A1180" i="2" s="1"/>
  <c r="A1145" i="8"/>
  <c r="A1256" i="2" s="1"/>
  <c r="A1144" i="8"/>
  <c r="A1255" i="2" s="1"/>
  <c r="A1097" i="8"/>
  <c r="A1164" i="2" s="1"/>
  <c r="A1096" i="8"/>
  <c r="A1163" i="2" s="1"/>
  <c r="A1095" i="8"/>
  <c r="A1162" i="2" s="1"/>
  <c r="A1094" i="8"/>
  <c r="A1161" i="2" s="1"/>
  <c r="A1093" i="8"/>
  <c r="A1160" i="2" s="1"/>
  <c r="A1092" i="8"/>
  <c r="A1159" i="2" s="1"/>
  <c r="A1088" i="8"/>
  <c r="A1150" i="2" s="1"/>
  <c r="A1091" i="8"/>
  <c r="A1156" i="2" s="1"/>
  <c r="A1090" i="8"/>
  <c r="A1153" i="2" s="1"/>
  <c r="A1089" i="8"/>
  <c r="A1151" i="2" s="1"/>
  <c r="A1080" i="8"/>
  <c r="A1092" i="2" s="1"/>
  <c r="A1087" i="8"/>
  <c r="A1149" i="2" s="1"/>
  <c r="A1086" i="8"/>
  <c r="A1148" i="2" s="1"/>
  <c r="A1085" i="8"/>
  <c r="A1147" i="2" s="1"/>
  <c r="A1084" i="8"/>
  <c r="A1146" i="2" s="1"/>
  <c r="A1083" i="8"/>
  <c r="A1145" i="2" s="1"/>
  <c r="A1082" i="8"/>
  <c r="A1144" i="2" s="1"/>
  <c r="A1081" i="8"/>
  <c r="A1142" i="2" s="1"/>
  <c r="A460" i="8"/>
  <c r="A116" i="1" s="1"/>
  <c r="A459" i="8"/>
  <c r="A1174" i="8"/>
  <c r="A1472" i="8"/>
  <c r="A503" i="4" s="1"/>
  <c r="A1186" i="8"/>
  <c r="A492" i="4" s="1"/>
  <c r="A1157" i="8"/>
  <c r="A487" i="4" s="1"/>
  <c r="A1156" i="8"/>
  <c r="A1292" i="2" s="1"/>
  <c r="A1155" i="8"/>
  <c r="A1291" i="2" s="1"/>
  <c r="A1197" i="8"/>
  <c r="A1337" i="2" s="1"/>
  <c r="A1196" i="8"/>
  <c r="A1195" i="8"/>
  <c r="A1187" i="8"/>
  <c r="A1329" i="2" s="1"/>
  <c r="A1361" i="8"/>
  <c r="G382" i="4" s="1"/>
  <c r="A1362" i="8"/>
  <c r="A1451" i="8"/>
  <c r="G256" i="11" s="1"/>
  <c r="A1452" i="8"/>
  <c r="G257" i="11" s="1"/>
  <c r="A1453" i="8"/>
  <c r="G258" i="11" s="1"/>
  <c r="A1454" i="8"/>
  <c r="G259" i="11" s="1"/>
  <c r="A1450" i="8"/>
  <c r="G255" i="11" s="1"/>
  <c r="A1449" i="8"/>
  <c r="G254" i="11" s="1"/>
  <c r="L212" i="11" s="1"/>
  <c r="A1461" i="8"/>
  <c r="G269" i="11" s="1"/>
  <c r="A1462" i="8"/>
  <c r="G270" i="11" s="1"/>
  <c r="A1463" i="8"/>
  <c r="G271" i="11" s="1"/>
  <c r="A1464" i="8"/>
  <c r="G272" i="11" s="1"/>
  <c r="A1465" i="8"/>
  <c r="G273" i="11" s="1"/>
  <c r="A1466" i="8"/>
  <c r="G274" i="11" s="1"/>
  <c r="A1460" i="8"/>
  <c r="G268" i="11" s="1"/>
  <c r="A1407" i="8"/>
  <c r="A479" i="4" s="1"/>
  <c r="A1353" i="8"/>
  <c r="A477" i="4" s="1"/>
  <c r="A1352" i="8"/>
  <c r="A476" i="4" s="1"/>
  <c r="A1351" i="8"/>
  <c r="A285" i="4" s="1"/>
  <c r="A1425" i="8"/>
  <c r="A473" i="4" s="1"/>
  <c r="A1424" i="8"/>
  <c r="A472" i="4" s="1"/>
  <c r="A1423" i="8"/>
  <c r="A471" i="4" s="1"/>
  <c r="A1422" i="8"/>
  <c r="A470" i="4" s="1"/>
  <c r="A1421" i="8"/>
  <c r="A468" i="4" s="1"/>
  <c r="A1420" i="8"/>
  <c r="A439" i="4" s="1"/>
  <c r="A1419" i="8"/>
  <c r="A438" i="4" s="1"/>
  <c r="A1418" i="8"/>
  <c r="A437" i="4" s="1"/>
  <c r="A1417" i="8"/>
  <c r="A494" i="4" s="1"/>
  <c r="A1416" i="8"/>
  <c r="A435" i="4" s="1"/>
  <c r="A1415" i="8"/>
  <c r="A434" i="4" s="1"/>
  <c r="A1414" i="8"/>
  <c r="A456" i="4" s="1"/>
  <c r="A1399" i="8"/>
  <c r="A412" i="4" s="1"/>
  <c r="A1398" i="8"/>
  <c r="A369" i="4" s="1"/>
  <c r="A1397" i="8"/>
  <c r="A410" i="4" s="1"/>
  <c r="A1433" i="8"/>
  <c r="A184" i="11" s="1"/>
  <c r="A1432" i="8"/>
  <c r="A158" i="11" s="1"/>
  <c r="A1431" i="8"/>
  <c r="A132" i="11" s="1"/>
  <c r="A1430" i="8"/>
  <c r="A106" i="11" s="1"/>
  <c r="A1429" i="8"/>
  <c r="A80" i="11" s="1"/>
  <c r="A1428" i="8"/>
  <c r="A54" i="11" s="1"/>
  <c r="B138" i="1"/>
  <c r="A419" i="8"/>
  <c r="A418" i="8"/>
  <c r="A505" i="8"/>
  <c r="A31" i="10" s="1"/>
  <c r="B410" i="4"/>
  <c r="A1448" i="8"/>
  <c r="G253" i="11" s="1"/>
  <c r="BD509" i="4"/>
  <c r="BD508" i="4"/>
  <c r="BD507" i="4"/>
  <c r="A463" i="8"/>
  <c r="A219" i="4" s="1"/>
  <c r="A487" i="8"/>
  <c r="A10" i="10" s="1"/>
  <c r="A477" i="8"/>
  <c r="A144" i="1" s="1"/>
  <c r="A462" i="8"/>
  <c r="A119" i="1" s="1"/>
  <c r="A486" i="8"/>
  <c r="A9" i="10" s="1"/>
  <c r="A485" i="8"/>
  <c r="A8" i="10" s="1"/>
  <c r="A1261" i="8"/>
  <c r="A376" i="4" s="1"/>
  <c r="A1405" i="8"/>
  <c r="A377" i="4" s="1"/>
  <c r="B319" i="4"/>
  <c r="A1387" i="8"/>
  <c r="A332" i="4" s="1"/>
  <c r="A1388" i="8"/>
  <c r="A333" i="4" s="1"/>
  <c r="A1386" i="8"/>
  <c r="A282" i="4" s="1"/>
  <c r="A1394" i="8"/>
  <c r="A1393" i="8"/>
  <c r="A349" i="4" s="1"/>
  <c r="A1392" i="8"/>
  <c r="A345" i="4" s="1"/>
  <c r="A1364" i="8"/>
  <c r="A300" i="4" s="1"/>
  <c r="A1363" i="8"/>
  <c r="A296" i="4" s="1"/>
  <c r="A1389" i="8"/>
  <c r="A1350" i="8"/>
  <c r="A1349" i="8"/>
  <c r="A1348" i="8"/>
  <c r="A277" i="4" s="1"/>
  <c r="A1347" i="8"/>
  <c r="A276" i="4" s="1"/>
  <c r="A1385" i="8"/>
  <c r="A329" i="4" s="1"/>
  <c r="A1325" i="8"/>
  <c r="A243" i="4" s="1"/>
  <c r="A858" i="8"/>
  <c r="A634" i="2" s="1"/>
  <c r="A828" i="8"/>
  <c r="A857" i="8"/>
  <c r="A633" i="2" s="1"/>
  <c r="A856" i="8"/>
  <c r="A632" i="2" s="1"/>
  <c r="A855" i="8"/>
  <c r="A631" i="2" s="1"/>
  <c r="A851" i="8"/>
  <c r="A626" i="2" s="1"/>
  <c r="B1308" i="2"/>
  <c r="G57" i="10"/>
  <c r="B1206" i="2"/>
  <c r="G1205" i="2"/>
  <c r="H1205" i="2"/>
  <c r="I1205" i="2"/>
  <c r="J1205" i="2"/>
  <c r="K1205" i="2"/>
  <c r="G1203" i="2"/>
  <c r="H1203" i="2"/>
  <c r="I1203" i="2"/>
  <c r="J1203" i="2"/>
  <c r="K1203" i="2"/>
  <c r="D1024" i="2"/>
  <c r="D1021" i="2"/>
  <c r="B1027" i="2" s="1"/>
  <c r="D1003" i="2"/>
  <c r="B1010" i="2" s="1"/>
  <c r="D710" i="2"/>
  <c r="D711" i="2"/>
  <c r="B718" i="2" s="1"/>
  <c r="D680" i="2"/>
  <c r="D681" i="2"/>
  <c r="B692" i="2" s="1"/>
  <c r="D687" i="2"/>
  <c r="D654" i="2"/>
  <c r="D655" i="2"/>
  <c r="B663" i="2" s="1"/>
  <c r="D641" i="2"/>
  <c r="D642" i="2"/>
  <c r="B646" i="2" s="1"/>
  <c r="BD641" i="2"/>
  <c r="B641" i="2" s="1"/>
  <c r="D643" i="2"/>
  <c r="B436" i="2"/>
  <c r="D439" i="2"/>
  <c r="G49" i="1"/>
  <c r="B426" i="2"/>
  <c r="H428" i="2" s="1"/>
  <c r="G50" i="1"/>
  <c r="G48" i="1"/>
  <c r="G211" i="2" s="1"/>
  <c r="H186" i="2"/>
  <c r="I186" i="2" s="1"/>
  <c r="J186" i="2" s="1"/>
  <c r="K186" i="2" s="1"/>
  <c r="L186" i="2" s="1"/>
  <c r="M186" i="2" s="1"/>
  <c r="N186" i="2" s="1"/>
  <c r="O186" i="2" s="1"/>
  <c r="P186" i="2" s="1"/>
  <c r="Q186" i="2" s="1"/>
  <c r="R186" i="2" s="1"/>
  <c r="S186" i="2" s="1"/>
  <c r="T186" i="2" s="1"/>
  <c r="U186" i="2" s="1"/>
  <c r="V186" i="2" s="1"/>
  <c r="W186" i="2" s="1"/>
  <c r="X186" i="2" s="1"/>
  <c r="Y186" i="2" s="1"/>
  <c r="Z186" i="2" s="1"/>
  <c r="AA186" i="2" s="1"/>
  <c r="AB186" i="2" s="1"/>
  <c r="AC186" i="2" s="1"/>
  <c r="AD186" i="2" s="1"/>
  <c r="AE186" i="2" s="1"/>
  <c r="AF186" i="2" s="1"/>
  <c r="AG186" i="2" s="1"/>
  <c r="AH186" i="2" s="1"/>
  <c r="AI186" i="2" s="1"/>
  <c r="AJ186" i="2" s="1"/>
  <c r="AK186" i="2" s="1"/>
  <c r="AL186" i="2" s="1"/>
  <c r="AM186" i="2" s="1"/>
  <c r="AN186" i="2" s="1"/>
  <c r="AO186" i="2" s="1"/>
  <c r="AP186" i="2" s="1"/>
  <c r="AQ186" i="2" s="1"/>
  <c r="AR186" i="2" s="1"/>
  <c r="AS186" i="2" s="1"/>
  <c r="AT186" i="2" s="1"/>
  <c r="AU186" i="2" s="1"/>
  <c r="AV186" i="2" s="1"/>
  <c r="AW186" i="2" s="1"/>
  <c r="AX186" i="2" s="1"/>
  <c r="AY186" i="2" s="1"/>
  <c r="AZ186" i="2" s="1"/>
  <c r="BA186" i="2" s="1"/>
  <c r="BB186" i="2" s="1"/>
  <c r="H161" i="2"/>
  <c r="I161" i="2" s="1"/>
  <c r="J161" i="2" s="1"/>
  <c r="K161" i="2" s="1"/>
  <c r="L161" i="2" s="1"/>
  <c r="M161" i="2" s="1"/>
  <c r="N161" i="2" s="1"/>
  <c r="O161" i="2" s="1"/>
  <c r="P161" i="2" s="1"/>
  <c r="Q161" i="2" s="1"/>
  <c r="R161" i="2" s="1"/>
  <c r="S161" i="2" s="1"/>
  <c r="T161" i="2" s="1"/>
  <c r="U161" i="2" s="1"/>
  <c r="V161" i="2" s="1"/>
  <c r="W161" i="2" s="1"/>
  <c r="X161" i="2" s="1"/>
  <c r="Y161" i="2" s="1"/>
  <c r="Z161" i="2" s="1"/>
  <c r="AA161" i="2" s="1"/>
  <c r="AB161" i="2" s="1"/>
  <c r="AC161" i="2" s="1"/>
  <c r="AD161" i="2" s="1"/>
  <c r="AE161" i="2" s="1"/>
  <c r="AF161" i="2" s="1"/>
  <c r="AG161" i="2" s="1"/>
  <c r="AH161" i="2" s="1"/>
  <c r="AI161" i="2" s="1"/>
  <c r="AJ161" i="2" s="1"/>
  <c r="AK161" i="2" s="1"/>
  <c r="AL161" i="2" s="1"/>
  <c r="AM161" i="2" s="1"/>
  <c r="AN161" i="2" s="1"/>
  <c r="AO161" i="2" s="1"/>
  <c r="AP161" i="2" s="1"/>
  <c r="AQ161" i="2" s="1"/>
  <c r="AR161" i="2" s="1"/>
  <c r="AS161" i="2" s="1"/>
  <c r="AT161" i="2" s="1"/>
  <c r="AU161" i="2" s="1"/>
  <c r="AV161" i="2" s="1"/>
  <c r="AW161" i="2" s="1"/>
  <c r="AX161" i="2" s="1"/>
  <c r="AY161" i="2" s="1"/>
  <c r="AZ161" i="2" s="1"/>
  <c r="BA161" i="2" s="1"/>
  <c r="BB161" i="2" s="1"/>
  <c r="G47" i="1"/>
  <c r="G57" i="2" s="1"/>
  <c r="H38" i="2"/>
  <c r="I38" i="2" s="1"/>
  <c r="J38" i="2" s="1"/>
  <c r="K38" i="2" s="1"/>
  <c r="L38" i="2" s="1"/>
  <c r="M38" i="2" s="1"/>
  <c r="N38" i="2" s="1"/>
  <c r="O38" i="2" s="1"/>
  <c r="P38" i="2" s="1"/>
  <c r="Q38" i="2" s="1"/>
  <c r="R38" i="2" s="1"/>
  <c r="S38" i="2" s="1"/>
  <c r="T38" i="2" s="1"/>
  <c r="U38" i="2" s="1"/>
  <c r="V38" i="2" s="1"/>
  <c r="W38" i="2" s="1"/>
  <c r="X38" i="2" s="1"/>
  <c r="Y38" i="2" s="1"/>
  <c r="Z38" i="2" s="1"/>
  <c r="AA38" i="2" s="1"/>
  <c r="AB38" i="2" s="1"/>
  <c r="AC38" i="2" s="1"/>
  <c r="AD38" i="2" s="1"/>
  <c r="AE38" i="2" s="1"/>
  <c r="AF38" i="2" s="1"/>
  <c r="AG38" i="2" s="1"/>
  <c r="AH38" i="2" s="1"/>
  <c r="AI38" i="2" s="1"/>
  <c r="AJ38" i="2" s="1"/>
  <c r="AK38" i="2" s="1"/>
  <c r="AL38" i="2" s="1"/>
  <c r="AM38" i="2" s="1"/>
  <c r="AN38" i="2" s="1"/>
  <c r="AO38" i="2" s="1"/>
  <c r="AP38" i="2" s="1"/>
  <c r="AQ38" i="2" s="1"/>
  <c r="AR38" i="2" s="1"/>
  <c r="AS38" i="2" s="1"/>
  <c r="AT38" i="2" s="1"/>
  <c r="AU38" i="2" s="1"/>
  <c r="AV38" i="2" s="1"/>
  <c r="AW38" i="2" s="1"/>
  <c r="AX38" i="2" s="1"/>
  <c r="AY38" i="2" s="1"/>
  <c r="AZ38" i="2" s="1"/>
  <c r="BA38" i="2" s="1"/>
  <c r="BB38" i="2" s="1"/>
  <c r="H37" i="2"/>
  <c r="I37" i="2" s="1"/>
  <c r="J37" i="2" s="1"/>
  <c r="K37" i="2" s="1"/>
  <c r="L37" i="2" s="1"/>
  <c r="M37" i="2" s="1"/>
  <c r="N37" i="2" s="1"/>
  <c r="O37" i="2" s="1"/>
  <c r="P37" i="2" s="1"/>
  <c r="Q37" i="2" s="1"/>
  <c r="R37" i="2" s="1"/>
  <c r="S37" i="2" s="1"/>
  <c r="T37" i="2" s="1"/>
  <c r="U37" i="2" s="1"/>
  <c r="V37" i="2" s="1"/>
  <c r="W37" i="2" s="1"/>
  <c r="X37" i="2" s="1"/>
  <c r="Y37" i="2" s="1"/>
  <c r="Z37" i="2" s="1"/>
  <c r="AA37" i="2" s="1"/>
  <c r="AB37" i="2" s="1"/>
  <c r="AC37" i="2" s="1"/>
  <c r="AD37" i="2" s="1"/>
  <c r="AE37" i="2" s="1"/>
  <c r="AF37" i="2" s="1"/>
  <c r="AG37" i="2" s="1"/>
  <c r="AH37" i="2" s="1"/>
  <c r="AI37" i="2" s="1"/>
  <c r="AJ37" i="2" s="1"/>
  <c r="AK37" i="2" s="1"/>
  <c r="AL37" i="2" s="1"/>
  <c r="AM37" i="2" s="1"/>
  <c r="AN37" i="2" s="1"/>
  <c r="AO37" i="2" s="1"/>
  <c r="AP37" i="2" s="1"/>
  <c r="AQ37" i="2" s="1"/>
  <c r="AR37" i="2" s="1"/>
  <c r="AS37" i="2" s="1"/>
  <c r="AT37" i="2" s="1"/>
  <c r="AU37" i="2" s="1"/>
  <c r="AV37" i="2" s="1"/>
  <c r="AW37" i="2" s="1"/>
  <c r="AX37" i="2" s="1"/>
  <c r="AY37" i="2" s="1"/>
  <c r="AZ37" i="2" s="1"/>
  <c r="BA37" i="2" s="1"/>
  <c r="BB37" i="2" s="1"/>
  <c r="H18" i="2"/>
  <c r="I18" i="2" s="1"/>
  <c r="J18" i="2" s="1"/>
  <c r="K18" i="2" s="1"/>
  <c r="L18" i="2" s="1"/>
  <c r="M18" i="2" s="1"/>
  <c r="N18" i="2" s="1"/>
  <c r="O18" i="2" s="1"/>
  <c r="P18" i="2" s="1"/>
  <c r="Q18" i="2" s="1"/>
  <c r="R18" i="2" s="1"/>
  <c r="S18" i="2" s="1"/>
  <c r="T18" i="2" s="1"/>
  <c r="U18" i="2" s="1"/>
  <c r="V18" i="2" s="1"/>
  <c r="W18" i="2" s="1"/>
  <c r="X18" i="2" s="1"/>
  <c r="Y18" i="2" s="1"/>
  <c r="Z18" i="2" s="1"/>
  <c r="AA18" i="2" s="1"/>
  <c r="AB18" i="2" s="1"/>
  <c r="AC18" i="2" s="1"/>
  <c r="AD18" i="2" s="1"/>
  <c r="AE18" i="2" s="1"/>
  <c r="AF18" i="2" s="1"/>
  <c r="AG18" i="2" s="1"/>
  <c r="AH18" i="2" s="1"/>
  <c r="AI18" i="2" s="1"/>
  <c r="AJ18" i="2" s="1"/>
  <c r="AK18" i="2" s="1"/>
  <c r="AL18" i="2" s="1"/>
  <c r="AM18" i="2" s="1"/>
  <c r="AN18" i="2" s="1"/>
  <c r="AO18" i="2" s="1"/>
  <c r="AP18" i="2" s="1"/>
  <c r="AQ18" i="2" s="1"/>
  <c r="AR18" i="2" s="1"/>
  <c r="AS18" i="2" s="1"/>
  <c r="AT18" i="2" s="1"/>
  <c r="AU18" i="2" s="1"/>
  <c r="AV18" i="2" s="1"/>
  <c r="AW18" i="2" s="1"/>
  <c r="AX18" i="2" s="1"/>
  <c r="AY18" i="2" s="1"/>
  <c r="AZ18" i="2" s="1"/>
  <c r="BA18" i="2" s="1"/>
  <c r="BB18" i="2" s="1"/>
  <c r="G113" i="10"/>
  <c r="H113" i="10" s="1"/>
  <c r="I113" i="10" s="1"/>
  <c r="J113" i="10" s="1"/>
  <c r="K113" i="10" s="1"/>
  <c r="L113" i="10" s="1"/>
  <c r="M113" i="10" s="1"/>
  <c r="N113" i="10" s="1"/>
  <c r="G106" i="10"/>
  <c r="H106" i="10" s="1"/>
  <c r="I106" i="10" s="1"/>
  <c r="J106" i="10" s="1"/>
  <c r="K106" i="10" s="1"/>
  <c r="L106" i="10" s="1"/>
  <c r="M106" i="10" s="1"/>
  <c r="N106" i="10" s="1"/>
  <c r="H60" i="1"/>
  <c r="I60" i="1" s="1"/>
  <c r="H54" i="1"/>
  <c r="I54" i="1" s="1"/>
  <c r="J54" i="1" s="1"/>
  <c r="K54" i="1" s="1"/>
  <c r="L54" i="1" s="1"/>
  <c r="M54" i="1" s="1"/>
  <c r="G1068" i="2"/>
  <c r="H1069" i="2" s="1"/>
  <c r="H1068" i="2" s="1"/>
  <c r="I1069" i="2" s="1"/>
  <c r="I1068" i="2" s="1"/>
  <c r="J1069" i="2" s="1"/>
  <c r="J1068" i="2" s="1"/>
  <c r="K1069" i="2" s="1"/>
  <c r="K1068" i="2" s="1"/>
  <c r="L1069" i="2" s="1"/>
  <c r="L1068" i="2" s="1"/>
  <c r="G1062" i="2"/>
  <c r="H1063" i="2" s="1"/>
  <c r="H1062" i="2" s="1"/>
  <c r="D1200" i="2"/>
  <c r="A1143" i="8"/>
  <c r="A1254" i="2" s="1"/>
  <c r="A1146" i="8"/>
  <c r="A1257" i="2" s="1"/>
  <c r="A695" i="8"/>
  <c r="A502" i="2" s="1"/>
  <c r="A694" i="8"/>
  <c r="A677" i="8"/>
  <c r="A190" i="2" s="1"/>
  <c r="A676" i="8"/>
  <c r="A189" i="2" s="1"/>
  <c r="A675" i="8"/>
  <c r="A674" i="8"/>
  <c r="A186" i="2" s="1"/>
  <c r="A673" i="8"/>
  <c r="A185" i="2" s="1"/>
  <c r="A672" i="8"/>
  <c r="A184" i="2" s="1"/>
  <c r="A671" i="8"/>
  <c r="A183" i="2" s="1"/>
  <c r="A670" i="8"/>
  <c r="A182" i="2" s="1"/>
  <c r="A669" i="8"/>
  <c r="A181" i="2" s="1"/>
  <c r="A668" i="8"/>
  <c r="A180" i="2" s="1"/>
  <c r="A667" i="8"/>
  <c r="A179" i="2" s="1"/>
  <c r="A666" i="8"/>
  <c r="A177" i="2" s="1"/>
  <c r="A665" i="8"/>
  <c r="A591" i="2" s="1"/>
  <c r="A664" i="8"/>
  <c r="A175" i="2" s="1"/>
  <c r="A663" i="8"/>
  <c r="A174" i="2" s="1"/>
  <c r="A662" i="8"/>
  <c r="A173" i="2" s="1"/>
  <c r="A661" i="8"/>
  <c r="A172" i="2" s="1"/>
  <c r="A660" i="8"/>
  <c r="A171" i="2" s="1"/>
  <c r="A659" i="8"/>
  <c r="A170" i="2" s="1"/>
  <c r="A657" i="8"/>
  <c r="A167" i="2" s="1"/>
  <c r="A621" i="8"/>
  <c r="A620" i="8"/>
  <c r="A619" i="8"/>
  <c r="A41" i="2" s="1"/>
  <c r="A618" i="8"/>
  <c r="A101" i="2" s="1"/>
  <c r="A617" i="8"/>
  <c r="A80" i="2" s="1"/>
  <c r="A616" i="8"/>
  <c r="A615" i="8"/>
  <c r="A614" i="8"/>
  <c r="A613" i="8"/>
  <c r="A612" i="8"/>
  <c r="A33" i="2" s="1"/>
  <c r="A611" i="8"/>
  <c r="A94" i="2" s="1"/>
  <c r="A610" i="8"/>
  <c r="A93" i="2" s="1"/>
  <c r="A609" i="8"/>
  <c r="A30" i="2" s="1"/>
  <c r="A608" i="8"/>
  <c r="A606" i="8"/>
  <c r="A605" i="8"/>
  <c r="A756" i="8"/>
  <c r="A44" i="8"/>
  <c r="A747" i="8"/>
  <c r="A748" i="8"/>
  <c r="A139" i="8"/>
  <c r="A1357" i="8"/>
  <c r="A473" i="8"/>
  <c r="A137" i="1" s="1"/>
  <c r="A346" i="8"/>
  <c r="A4" i="8"/>
  <c r="A5" i="8"/>
  <c r="A47" i="8"/>
  <c r="A1413" i="8"/>
  <c r="A408" i="4" s="1"/>
  <c r="A1412" i="8"/>
  <c r="A393" i="4" s="1"/>
  <c r="A1411" i="8"/>
  <c r="A1410" i="8"/>
  <c r="A391" i="4" s="1"/>
  <c r="A1409" i="8"/>
  <c r="A387" i="4" s="1"/>
  <c r="A1408" i="8"/>
  <c r="A382" i="4" s="1"/>
  <c r="A1406" i="8"/>
  <c r="A378" i="4" s="1"/>
  <c r="A1404" i="8"/>
  <c r="A375" i="4" s="1"/>
  <c r="A1403" i="8"/>
  <c r="A374" i="4" s="1"/>
  <c r="A1402" i="8"/>
  <c r="A373" i="4" s="1"/>
  <c r="A1401" i="8"/>
  <c r="A372" i="4" s="1"/>
  <c r="A1400" i="8"/>
  <c r="A216" i="4" s="1"/>
  <c r="A1396" i="8"/>
  <c r="A366" i="4" s="1"/>
  <c r="A1395" i="8"/>
  <c r="A351" i="4" s="1"/>
  <c r="A1391" i="8"/>
  <c r="A340" i="4" s="1"/>
  <c r="A1390" i="8"/>
  <c r="A338" i="4" s="1"/>
  <c r="A1384" i="8"/>
  <c r="A328" i="4" s="1"/>
  <c r="A1383" i="8"/>
  <c r="A327" i="4" s="1"/>
  <c r="A1382" i="8"/>
  <c r="A326" i="4" s="1"/>
  <c r="A1381" i="8"/>
  <c r="A325" i="4" s="1"/>
  <c r="A1380" i="8"/>
  <c r="A324" i="4" s="1"/>
  <c r="A1379" i="8"/>
  <c r="A323" i="4" s="1"/>
  <c r="A1378" i="8"/>
  <c r="A322" i="4" s="1"/>
  <c r="A1377" i="8"/>
  <c r="A321" i="4" s="1"/>
  <c r="A1376" i="8"/>
  <c r="A320" i="4" s="1"/>
  <c r="A1375" i="8"/>
  <c r="A319" i="4" s="1"/>
  <c r="A1374" i="8"/>
  <c r="A317" i="4" s="1"/>
  <c r="A1366" i="8"/>
  <c r="A398" i="4" s="1"/>
  <c r="A1365" i="8"/>
  <c r="A355" i="4" s="1"/>
  <c r="A1360" i="8"/>
  <c r="A291" i="4" s="1"/>
  <c r="A1359" i="8"/>
  <c r="A289" i="4" s="1"/>
  <c r="A1358" i="8"/>
  <c r="A1356" i="8"/>
  <c r="A1355" i="8"/>
  <c r="A1354" i="8"/>
  <c r="A1346" i="8"/>
  <c r="A275" i="4" s="1"/>
  <c r="A1345" i="8"/>
  <c r="A274" i="4" s="1"/>
  <c r="A1344" i="8"/>
  <c r="A273" i="4" s="1"/>
  <c r="A1343" i="8"/>
  <c r="A272" i="4" s="1"/>
  <c r="A1342" i="8"/>
  <c r="A271" i="4" s="1"/>
  <c r="A1341" i="8"/>
  <c r="A269" i="4" s="1"/>
  <c r="A1340" i="8"/>
  <c r="A265" i="4" s="1"/>
  <c r="A1339" i="8"/>
  <c r="A264" i="4" s="1"/>
  <c r="A1338" i="8"/>
  <c r="A262" i="4" s="1"/>
  <c r="A1337" i="8"/>
  <c r="A261" i="4" s="1"/>
  <c r="A1336" i="8"/>
  <c r="A260" i="4" s="1"/>
  <c r="A1334" i="8"/>
  <c r="A256" i="4" s="1"/>
  <c r="A1333" i="8"/>
  <c r="A255" i="4" s="1"/>
  <c r="A1332" i="8"/>
  <c r="A254" i="4" s="1"/>
  <c r="A1331" i="8"/>
  <c r="A253" i="4" s="1"/>
  <c r="A1327" i="8"/>
  <c r="A247" i="4" s="1"/>
  <c r="A1326" i="8"/>
  <c r="A246" i="4" s="1"/>
  <c r="A1324" i="8"/>
  <c r="A242" i="4" s="1"/>
  <c r="A1323" i="8"/>
  <c r="A241" i="4" s="1"/>
  <c r="A1322" i="8"/>
  <c r="A240" i="4" s="1"/>
  <c r="A1321" i="8"/>
  <c r="A239" i="4" s="1"/>
  <c r="A1320" i="8"/>
  <c r="A49" i="1" s="1"/>
  <c r="A1319" i="8"/>
  <c r="A237" i="4" s="1"/>
  <c r="A1318" i="8"/>
  <c r="A236" i="4" s="1"/>
  <c r="A1317" i="8"/>
  <c r="A235" i="4" s="1"/>
  <c r="A1316" i="8"/>
  <c r="A233" i="4" s="1"/>
  <c r="A1315" i="8"/>
  <c r="A229" i="4" s="1"/>
  <c r="A1314" i="8"/>
  <c r="A228" i="4" s="1"/>
  <c r="A1313" i="8"/>
  <c r="A227" i="4" s="1"/>
  <c r="A1312" i="8"/>
  <c r="A225" i="4" s="1"/>
  <c r="A1311" i="8"/>
  <c r="A214" i="4" s="1"/>
  <c r="A1310" i="8"/>
  <c r="A213" i="4" s="1"/>
  <c r="A1309" i="8"/>
  <c r="A212" i="4" s="1"/>
  <c r="A1308" i="8"/>
  <c r="A211" i="4" s="1"/>
  <c r="A1307" i="8"/>
  <c r="A209" i="4" s="1"/>
  <c r="A1306" i="8"/>
  <c r="A208" i="4" s="1"/>
  <c r="A1305" i="8"/>
  <c r="A207" i="4" s="1"/>
  <c r="A1304" i="8"/>
  <c r="A205" i="4" s="1"/>
  <c r="A1303" i="8"/>
  <c r="A203" i="4" s="1"/>
  <c r="A1241" i="8"/>
  <c r="A126" i="4" s="1"/>
  <c r="A1242" i="8"/>
  <c r="A127" i="4" s="1"/>
  <c r="A1243" i="8"/>
  <c r="A128" i="4" s="1"/>
  <c r="A1244" i="8"/>
  <c r="A1245" i="8"/>
  <c r="A129" i="4" s="1"/>
  <c r="A1246" i="8"/>
  <c r="A130" i="4" s="1"/>
  <c r="A1247" i="8"/>
  <c r="A131" i="4" s="1"/>
  <c r="A1248" i="8"/>
  <c r="A132" i="4" s="1"/>
  <c r="A1249" i="8"/>
  <c r="A133" i="4" s="1"/>
  <c r="A1250" i="8"/>
  <c r="A135" i="4" s="1"/>
  <c r="A1251" i="8"/>
  <c r="A137" i="4" s="1"/>
  <c r="A1252" i="8"/>
  <c r="A138" i="4" s="1"/>
  <c r="A1253" i="8"/>
  <c r="A139" i="4" s="1"/>
  <c r="A1254" i="8"/>
  <c r="A140" i="4" s="1"/>
  <c r="A1255" i="8"/>
  <c r="A141" i="4" s="1"/>
  <c r="A1256" i="8"/>
  <c r="A142" i="4" s="1"/>
  <c r="A1257" i="8"/>
  <c r="A144" i="4" s="1"/>
  <c r="A1258" i="8"/>
  <c r="A146" i="4" s="1"/>
  <c r="A1259" i="8"/>
  <c r="A147" i="4" s="1"/>
  <c r="A1260" i="8"/>
  <c r="A148" i="4" s="1"/>
  <c r="A1262" i="8"/>
  <c r="A151" i="4" s="1"/>
  <c r="A1263" i="8"/>
  <c r="A153" i="4" s="1"/>
  <c r="A1264" i="8"/>
  <c r="A154" i="4" s="1"/>
  <c r="A1265" i="8"/>
  <c r="A155" i="4" s="1"/>
  <c r="A583" i="8"/>
  <c r="A136" i="10" s="1"/>
  <c r="A582" i="8"/>
  <c r="A135" i="10" s="1"/>
  <c r="A581" i="8"/>
  <c r="A133" i="10" s="1"/>
  <c r="A580" i="8"/>
  <c r="A132" i="10" s="1"/>
  <c r="A579" i="8"/>
  <c r="A131" i="10" s="1"/>
  <c r="A578" i="8"/>
  <c r="A130" i="10" s="1"/>
  <c r="A577" i="8"/>
  <c r="A129" i="10" s="1"/>
  <c r="A576" i="8"/>
  <c r="A128" i="10" s="1"/>
  <c r="A575" i="8"/>
  <c r="A127" i="10" s="1"/>
  <c r="A574" i="8"/>
  <c r="A126" i="10" s="1"/>
  <c r="A573" i="8"/>
  <c r="A125" i="10" s="1"/>
  <c r="A572" i="8"/>
  <c r="A122" i="10" s="1"/>
  <c r="A571" i="8"/>
  <c r="A119" i="10" s="1"/>
  <c r="A570" i="8"/>
  <c r="A117" i="10" s="1"/>
  <c r="A569" i="8"/>
  <c r="A116" i="10" s="1"/>
  <c r="A568" i="8"/>
  <c r="A115" i="10" s="1"/>
  <c r="A567" i="8"/>
  <c r="A114" i="10" s="1"/>
  <c r="A566" i="8"/>
  <c r="A113" i="10" s="1"/>
  <c r="A565" i="8"/>
  <c r="A112" i="10" s="1"/>
  <c r="A564" i="8"/>
  <c r="A111" i="10" s="1"/>
  <c r="A563" i="8"/>
  <c r="A110" i="10" s="1"/>
  <c r="A562" i="8"/>
  <c r="A109" i="10" s="1"/>
  <c r="A561" i="8"/>
  <c r="A108" i="10" s="1"/>
  <c r="A560" i="8"/>
  <c r="A107" i="10" s="1"/>
  <c r="A559" i="8"/>
  <c r="A106" i="10" s="1"/>
  <c r="A558" i="8"/>
  <c r="A105" i="10" s="1"/>
  <c r="A557" i="8"/>
  <c r="A104" i="10" s="1"/>
  <c r="A556" i="8"/>
  <c r="A102" i="10" s="1"/>
  <c r="A555" i="8"/>
  <c r="A98" i="10" s="1"/>
  <c r="A554" i="8"/>
  <c r="A97" i="10" s="1"/>
  <c r="A553" i="8"/>
  <c r="A96" i="10" s="1"/>
  <c r="A552" i="8"/>
  <c r="A94" i="10" s="1"/>
  <c r="A551" i="8"/>
  <c r="A93" i="10" s="1"/>
  <c r="A550" i="8"/>
  <c r="A92" i="10" s="1"/>
  <c r="A549" i="8"/>
  <c r="A90" i="10" s="1"/>
  <c r="A548" i="8"/>
  <c r="A86" i="10" s="1"/>
  <c r="A547" i="8"/>
  <c r="A85" i="10" s="1"/>
  <c r="A546" i="8"/>
  <c r="A84" i="10" s="1"/>
  <c r="A545" i="8"/>
  <c r="A83" i="10" s="1"/>
  <c r="A544" i="8"/>
  <c r="A82" i="10" s="1"/>
  <c r="A543" i="8"/>
  <c r="A81" i="10" s="1"/>
  <c r="A542" i="8"/>
  <c r="A79" i="10" s="1"/>
  <c r="A541" i="8"/>
  <c r="A78" i="10" s="1"/>
  <c r="A540" i="8"/>
  <c r="A77" i="10" s="1"/>
  <c r="A539" i="8"/>
  <c r="A76" i="10" s="1"/>
  <c r="A538" i="8"/>
  <c r="A75" i="10" s="1"/>
  <c r="A537" i="8"/>
  <c r="A74" i="10" s="1"/>
  <c r="A536" i="8"/>
  <c r="A72" i="10" s="1"/>
  <c r="A535" i="8"/>
  <c r="A71" i="10" s="1"/>
  <c r="A534" i="8"/>
  <c r="A70" i="10" s="1"/>
  <c r="A533" i="8"/>
  <c r="A69" i="10" s="1"/>
  <c r="A532" i="8"/>
  <c r="A68" i="10" s="1"/>
  <c r="A531" i="8"/>
  <c r="A67" i="10" s="1"/>
  <c r="A530" i="8"/>
  <c r="A65" i="10" s="1"/>
  <c r="A529" i="8"/>
  <c r="A64" i="10" s="1"/>
  <c r="A528" i="8"/>
  <c r="A62" i="10" s="1"/>
  <c r="A527" i="8"/>
  <c r="A61" i="10" s="1"/>
  <c r="A526" i="8"/>
  <c r="A60" i="10" s="1"/>
  <c r="A525" i="8"/>
  <c r="A59" i="10" s="1"/>
  <c r="A524" i="8"/>
  <c r="A58" i="10" s="1"/>
  <c r="A523" i="8"/>
  <c r="A57" i="10" s="1"/>
  <c r="A522" i="8"/>
  <c r="A55" i="10" s="1"/>
  <c r="A521" i="8"/>
  <c r="A51" i="10" s="1"/>
  <c r="A520" i="8"/>
  <c r="A50" i="10" s="1"/>
  <c r="A519" i="8"/>
  <c r="A49" i="10" s="1"/>
  <c r="A518" i="8"/>
  <c r="A47" i="10" s="1"/>
  <c r="A517" i="8"/>
  <c r="A46" i="10" s="1"/>
  <c r="A516" i="8"/>
  <c r="A44" i="10" s="1"/>
  <c r="A515" i="8"/>
  <c r="A43" i="10" s="1"/>
  <c r="A514" i="8"/>
  <c r="A42" i="10" s="1"/>
  <c r="A513" i="8"/>
  <c r="A41" i="10" s="1"/>
  <c r="A512" i="8"/>
  <c r="A39" i="10" s="1"/>
  <c r="A511" i="8"/>
  <c r="A38" i="10" s="1"/>
  <c r="A510" i="8"/>
  <c r="A37" i="10" s="1"/>
  <c r="A509" i="8"/>
  <c r="A35" i="10" s="1"/>
  <c r="A508" i="8"/>
  <c r="A34" i="10" s="1"/>
  <c r="A507" i="8"/>
  <c r="A33" i="10" s="1"/>
  <c r="A506" i="8"/>
  <c r="A32" i="10" s="1"/>
  <c r="A504" i="8"/>
  <c r="A30" i="10" s="1"/>
  <c r="A503" i="8"/>
  <c r="A29" i="10" s="1"/>
  <c r="A502" i="8"/>
  <c r="A28" i="10" s="1"/>
  <c r="A501" i="8"/>
  <c r="A26" i="10" s="1"/>
  <c r="A500" i="8"/>
  <c r="A24" i="10" s="1"/>
  <c r="A499" i="8"/>
  <c r="A23" i="10" s="1"/>
  <c r="A498" i="8"/>
  <c r="A22" i="10" s="1"/>
  <c r="A497" i="8"/>
  <c r="A21" i="10" s="1"/>
  <c r="A496" i="8"/>
  <c r="A20" i="10" s="1"/>
  <c r="A495" i="8"/>
  <c r="A19" i="10" s="1"/>
  <c r="A494" i="8"/>
  <c r="A18" i="10" s="1"/>
  <c r="A493" i="8"/>
  <c r="A17" i="10" s="1"/>
  <c r="A492" i="8"/>
  <c r="A15" i="10" s="1"/>
  <c r="A491" i="8"/>
  <c r="A14" i="10" s="1"/>
  <c r="A490" i="8"/>
  <c r="A13" i="10" s="1"/>
  <c r="A489" i="8"/>
  <c r="A12" i="10" s="1"/>
  <c r="A488" i="8"/>
  <c r="A11" i="10" s="1"/>
  <c r="A484" i="8"/>
  <c r="A7" i="10" s="1"/>
  <c r="A483" i="8"/>
  <c r="A6" i="10" s="1"/>
  <c r="A482" i="8"/>
  <c r="A4" i="10" s="1"/>
  <c r="A481" i="8"/>
  <c r="A1" i="10" s="1"/>
  <c r="A1212" i="8"/>
  <c r="A1355" i="2" s="1"/>
  <c r="A1211" i="8"/>
  <c r="A1354" i="2" s="1"/>
  <c r="A1210" i="8"/>
  <c r="A1353" i="2" s="1"/>
  <c r="A1208" i="8"/>
  <c r="A1272" i="2" s="1"/>
  <c r="A1207" i="8"/>
  <c r="A1349" i="2" s="1"/>
  <c r="A1206" i="8"/>
  <c r="A1348" i="2" s="1"/>
  <c r="A1205" i="8"/>
  <c r="A1347" i="2" s="1"/>
  <c r="A1204" i="8"/>
  <c r="A1346" i="2" s="1"/>
  <c r="A1203" i="8"/>
  <c r="A1345" i="2" s="1"/>
  <c r="A1202" i="8"/>
  <c r="A1344" i="2" s="1"/>
  <c r="A1201" i="8"/>
  <c r="A1342" i="2" s="1"/>
  <c r="A1200" i="8"/>
  <c r="A1341" i="2" s="1"/>
  <c r="A1199" i="8"/>
  <c r="A1340" i="2" s="1"/>
  <c r="A1198" i="8"/>
  <c r="A1339" i="2" s="1"/>
  <c r="A1185" i="8"/>
  <c r="A1327" i="2" s="1"/>
  <c r="A1184" i="8"/>
  <c r="A1326" i="2" s="1"/>
  <c r="A1183" i="8"/>
  <c r="A1325" i="2" s="1"/>
  <c r="A1182" i="8"/>
  <c r="A1323" i="2" s="1"/>
  <c r="A1181" i="8"/>
  <c r="A1322" i="2" s="1"/>
  <c r="A1180" i="8"/>
  <c r="A1321" i="2" s="1"/>
  <c r="A1179" i="8"/>
  <c r="A1319" i="2" s="1"/>
  <c r="A1178" i="8"/>
  <c r="A1318" i="2" s="1"/>
  <c r="A1177" i="8"/>
  <c r="A1317" i="2" s="1"/>
  <c r="A1176" i="8"/>
  <c r="A1316" i="2" s="1"/>
  <c r="A1175" i="8"/>
  <c r="A1315" i="2" s="1"/>
  <c r="A1173" i="8"/>
  <c r="A1313" i="2" s="1"/>
  <c r="A1172" i="8"/>
  <c r="A1311" i="2" s="1"/>
  <c r="A1171" i="8"/>
  <c r="A1310" i="2" s="1"/>
  <c r="A1170" i="8"/>
  <c r="A1309" i="2" s="1"/>
  <c r="A1169" i="8"/>
  <c r="A1308" i="2" s="1"/>
  <c r="A1168" i="8"/>
  <c r="A1307" i="2" s="1"/>
  <c r="A1167" i="8"/>
  <c r="A1306" i="2" s="1"/>
  <c r="A1166" i="8"/>
  <c r="A1305" i="2" s="1"/>
  <c r="A1165" i="8"/>
  <c r="A1304" i="2" s="1"/>
  <c r="A1164" i="8"/>
  <c r="A1302" i="2" s="1"/>
  <c r="A1163" i="8"/>
  <c r="A1301" i="2" s="1"/>
  <c r="A1162" i="8"/>
  <c r="A1299" i="2" s="1"/>
  <c r="A1161" i="8"/>
  <c r="A1298" i="2" s="1"/>
  <c r="A1160" i="8"/>
  <c r="A1297" i="2" s="1"/>
  <c r="A1159" i="8"/>
  <c r="A1296" i="2" s="1"/>
  <c r="A1158" i="8"/>
  <c r="A1295" i="2" s="1"/>
  <c r="A1154" i="8"/>
  <c r="A1269" i="2" s="1"/>
  <c r="A1153" i="8"/>
  <c r="A1262" i="2" s="1"/>
  <c r="A1149" i="8"/>
  <c r="A1182" i="2" s="1"/>
  <c r="A1148" i="8"/>
  <c r="A1259" i="2" s="1"/>
  <c r="A1147" i="8"/>
  <c r="A1258" i="2" s="1"/>
  <c r="A1142" i="8"/>
  <c r="A1253" i="2" s="1"/>
  <c r="A1141" i="8"/>
  <c r="A1252" i="2" s="1"/>
  <c r="A1140" i="8"/>
  <c r="A1251" i="2" s="1"/>
  <c r="A1139" i="8"/>
  <c r="A1250" i="2" s="1"/>
  <c r="A1138" i="8"/>
  <c r="A1249" i="2" s="1"/>
  <c r="A1137" i="8"/>
  <c r="A1248" i="2" s="1"/>
  <c r="A1136" i="8"/>
  <c r="A1245" i="2" s="1"/>
  <c r="A1135" i="8"/>
  <c r="A1223" i="2" s="1"/>
  <c r="A1134" i="8"/>
  <c r="A1220" i="2" s="1"/>
  <c r="A1133" i="8"/>
  <c r="A1219" i="2" s="1"/>
  <c r="A1132" i="8"/>
  <c r="A1218" i="2" s="1"/>
  <c r="A1131" i="8"/>
  <c r="A1217" i="2" s="1"/>
  <c r="A1130" i="8"/>
  <c r="A1216" i="2" s="1"/>
  <c r="A1129" i="8"/>
  <c r="A1215" i="2" s="1"/>
  <c r="A1128" i="8"/>
  <c r="A1213" i="2" s="1"/>
  <c r="A1127" i="8"/>
  <c r="A1212" i="2" s="1"/>
  <c r="A1126" i="8"/>
  <c r="A1211" i="2" s="1"/>
  <c r="A1125" i="8"/>
  <c r="A1210" i="2" s="1"/>
  <c r="A1105" i="8"/>
  <c r="A1191" i="2" s="1"/>
  <c r="A1104" i="8"/>
  <c r="A1189" i="2" s="1"/>
  <c r="A1102" i="8"/>
  <c r="A1178" i="2" s="1"/>
  <c r="A1101" i="8"/>
  <c r="A1177" i="2" s="1"/>
  <c r="A1100" i="8"/>
  <c r="A1175" i="2" s="1"/>
  <c r="A1099" i="8"/>
  <c r="A1170" i="2" s="1"/>
  <c r="A1098" i="8"/>
  <c r="A1168" i="2" s="1"/>
  <c r="A1079" i="8"/>
  <c r="A1091" i="2" s="1"/>
  <c r="A1078" i="8"/>
  <c r="A1090" i="2" s="1"/>
  <c r="A1077" i="8"/>
  <c r="A1089" i="2" s="1"/>
  <c r="A1076" i="8"/>
  <c r="A1088" i="2" s="1"/>
  <c r="A1075" i="8"/>
  <c r="A1087" i="2" s="1"/>
  <c r="A1074" i="8"/>
  <c r="A1086" i="2" s="1"/>
  <c r="A1073" i="8"/>
  <c r="A1085" i="2" s="1"/>
  <c r="A1072" i="8"/>
  <c r="A1084" i="2" s="1"/>
  <c r="A1071" i="8"/>
  <c r="A1083" i="2" s="1"/>
  <c r="A1070" i="8"/>
  <c r="A1082" i="2" s="1"/>
  <c r="A1069" i="8"/>
  <c r="A1081" i="2" s="1"/>
  <c r="A1068" i="8"/>
  <c r="A1080" i="2" s="1"/>
  <c r="A1067" i="8"/>
  <c r="A1079" i="2" s="1"/>
  <c r="A1066" i="8"/>
  <c r="A1078" i="2" s="1"/>
  <c r="A1065" i="8"/>
  <c r="A1077" i="2" s="1"/>
  <c r="A1064" i="8"/>
  <c r="A1074" i="2" s="1"/>
  <c r="A1063" i="8"/>
  <c r="A1071" i="2" s="1"/>
  <c r="A1062" i="8"/>
  <c r="A1069" i="2" s="1"/>
  <c r="A1061" i="8"/>
  <c r="A1068" i="2" s="1"/>
  <c r="A1060" i="8"/>
  <c r="A1067" i="2" s="1"/>
  <c r="A1059" i="8"/>
  <c r="A1066" i="2" s="1"/>
  <c r="A1058" i="8"/>
  <c r="A1065" i="2" s="1"/>
  <c r="A1057" i="8"/>
  <c r="A1064" i="2" s="1"/>
  <c r="A1056" i="8"/>
  <c r="A1063" i="2" s="1"/>
  <c r="A1055" i="8"/>
  <c r="A1062" i="2" s="1"/>
  <c r="A1054" i="8"/>
  <c r="A1061" i="2" s="1"/>
  <c r="A1053" i="8"/>
  <c r="A1060" i="2" s="1"/>
  <c r="A1052" i="8"/>
  <c r="A1059" i="2" s="1"/>
  <c r="A1051" i="8"/>
  <c r="A1058" i="2" s="1"/>
  <c r="A1050" i="8"/>
  <c r="A1056" i="2" s="1"/>
  <c r="A1049" i="8"/>
  <c r="A1052" i="2" s="1"/>
  <c r="A1048" i="8"/>
  <c r="A1051" i="2" s="1"/>
  <c r="A1047" i="8"/>
  <c r="A1050" i="2" s="1"/>
  <c r="A1046" i="8"/>
  <c r="A1049" i="2" s="1"/>
  <c r="A1045" i="8"/>
  <c r="A1048" i="2" s="1"/>
  <c r="A1044" i="8"/>
  <c r="A1047" i="2" s="1"/>
  <c r="A1043" i="8"/>
  <c r="A1046" i="2" s="1"/>
  <c r="A1042" i="8"/>
  <c r="A1045" i="2" s="1"/>
  <c r="A1041" i="8"/>
  <c r="A1044" i="2" s="1"/>
  <c r="A1040" i="8"/>
  <c r="A1043" i="2" s="1"/>
  <c r="A1039" i="8"/>
  <c r="A1039" i="2" s="1"/>
  <c r="A1038" i="8"/>
  <c r="A1038" i="2" s="1"/>
  <c r="A1037" i="8"/>
  <c r="A1037" i="2" s="1"/>
  <c r="A1036" i="8"/>
  <c r="A1036" i="2" s="1"/>
  <c r="A1035" i="8"/>
  <c r="A1035" i="2" s="1"/>
  <c r="A1034" i="8"/>
  <c r="A1034" i="2" s="1"/>
  <c r="A1033" i="8"/>
  <c r="A1033" i="2" s="1"/>
  <c r="A1032" i="8"/>
  <c r="A1032" i="2" s="1"/>
  <c r="A1031" i="8"/>
  <c r="A1031" i="2" s="1"/>
  <c r="A1030" i="8"/>
  <c r="A1030" i="2" s="1"/>
  <c r="A1029" i="8"/>
  <c r="A1029" i="2" s="1"/>
  <c r="A1028" i="8"/>
  <c r="A1028" i="2" s="1"/>
  <c r="A1027" i="8"/>
  <c r="A1027" i="2" s="1"/>
  <c r="A1026" i="8"/>
  <c r="A1026" i="2" s="1"/>
  <c r="A1025" i="8"/>
  <c r="A1025" i="2" s="1"/>
  <c r="A1024" i="8"/>
  <c r="A1024" i="2" s="1"/>
  <c r="A1023" i="8"/>
  <c r="A1023" i="2" s="1"/>
  <c r="A1022" i="8"/>
  <c r="A1022" i="2" s="1"/>
  <c r="A1021" i="8"/>
  <c r="A1021" i="2" s="1"/>
  <c r="A1020" i="8"/>
  <c r="A1020" i="2" s="1"/>
  <c r="A1019" i="8"/>
  <c r="A1019" i="2" s="1"/>
  <c r="A1018" i="8"/>
  <c r="A1018" i="2" s="1"/>
  <c r="A1017" i="8"/>
  <c r="A1017" i="2" s="1"/>
  <c r="A1016" i="8"/>
  <c r="A1016" i="2" s="1"/>
  <c r="A1015" i="8"/>
  <c r="A1015" i="2" s="1"/>
  <c r="A1014" i="8"/>
  <c r="A1014" i="2" s="1"/>
  <c r="A1013" i="8"/>
  <c r="A1013" i="2" s="1"/>
  <c r="A1012" i="8"/>
  <c r="A1012" i="2" s="1"/>
  <c r="A1011" i="8"/>
  <c r="A1011" i="2" s="1"/>
  <c r="A1010" i="8"/>
  <c r="A1010" i="2" s="1"/>
  <c r="A1009" i="8"/>
  <c r="A1009" i="2" s="1"/>
  <c r="A1008" i="8"/>
  <c r="A1008" i="2" s="1"/>
  <c r="A1007" i="8"/>
  <c r="A1007" i="2" s="1"/>
  <c r="A1006" i="8"/>
  <c r="A1006" i="2" s="1"/>
  <c r="A1005" i="8"/>
  <c r="A1005" i="2" s="1"/>
  <c r="A1004" i="8"/>
  <c r="A1004" i="2" s="1"/>
  <c r="A1003" i="8"/>
  <c r="A1003" i="2" s="1"/>
  <c r="A1002" i="8"/>
  <c r="A1002" i="2" s="1"/>
  <c r="A1001" i="8"/>
  <c r="A1000" i="2" s="1"/>
  <c r="A1000" i="8"/>
  <c r="A995" i="2" s="1"/>
  <c r="A999" i="8"/>
  <c r="A994" i="2" s="1"/>
  <c r="A998" i="8"/>
  <c r="A993" i="2" s="1"/>
  <c r="A997" i="8"/>
  <c r="A992" i="2" s="1"/>
  <c r="A996" i="8"/>
  <c r="A991" i="2" s="1"/>
  <c r="A995" i="8"/>
  <c r="A990" i="2" s="1"/>
  <c r="A994" i="8"/>
  <c r="A988" i="2" s="1"/>
  <c r="A993" i="8"/>
  <c r="A987" i="2" s="1"/>
  <c r="A992" i="8"/>
  <c r="A986" i="2" s="1"/>
  <c r="A991" i="8"/>
  <c r="A985" i="2" s="1"/>
  <c r="A990" i="8"/>
  <c r="A984" i="2" s="1"/>
  <c r="A989" i="8"/>
  <c r="A983" i="2" s="1"/>
  <c r="A988" i="8"/>
  <c r="A982" i="2" s="1"/>
  <c r="A987" i="8"/>
  <c r="A981" i="2" s="1"/>
  <c r="A986" i="8"/>
  <c r="A980" i="2" s="1"/>
  <c r="A985" i="8"/>
  <c r="A979" i="2" s="1"/>
  <c r="A984" i="8"/>
  <c r="A978" i="2" s="1"/>
  <c r="A983" i="8"/>
  <c r="A977" i="2" s="1"/>
  <c r="A982" i="8"/>
  <c r="A976" i="2" s="1"/>
  <c r="A981" i="8"/>
  <c r="A975" i="2" s="1"/>
  <c r="A980" i="8"/>
  <c r="A974" i="2" s="1"/>
  <c r="A979" i="8"/>
  <c r="A973" i="2" s="1"/>
  <c r="A978" i="8"/>
  <c r="A972" i="2" s="1"/>
  <c r="A977" i="8"/>
  <c r="A971" i="2" s="1"/>
  <c r="A976" i="8"/>
  <c r="A970" i="2" s="1"/>
  <c r="A975" i="8"/>
  <c r="A969" i="2" s="1"/>
  <c r="A974" i="8"/>
  <c r="A968" i="2" s="1"/>
  <c r="A973" i="8"/>
  <c r="A967" i="2" s="1"/>
  <c r="A972" i="8"/>
  <c r="A966" i="2" s="1"/>
  <c r="A971" i="8"/>
  <c r="A965" i="2" s="1"/>
  <c r="A970" i="8"/>
  <c r="A964" i="2" s="1"/>
  <c r="A969" i="8"/>
  <c r="A963" i="2" s="1"/>
  <c r="A968" i="8"/>
  <c r="A962" i="2" s="1"/>
  <c r="A967" i="8"/>
  <c r="A961" i="2" s="1"/>
  <c r="A966" i="8"/>
  <c r="A960" i="2" s="1"/>
  <c r="A965" i="8"/>
  <c r="A959" i="2" s="1"/>
  <c r="A964" i="8"/>
  <c r="A958" i="2" s="1"/>
  <c r="A963" i="8"/>
  <c r="A957" i="2" s="1"/>
  <c r="A962" i="8"/>
  <c r="A956" i="2" s="1"/>
  <c r="A961" i="8"/>
  <c r="A955" i="2" s="1"/>
  <c r="A960" i="8"/>
  <c r="A954" i="2" s="1"/>
  <c r="A959" i="8"/>
  <c r="A953" i="2" s="1"/>
  <c r="A958" i="8"/>
  <c r="A952" i="2" s="1"/>
  <c r="A957" i="8"/>
  <c r="A951" i="2" s="1"/>
  <c r="A956" i="8"/>
  <c r="A950" i="2" s="1"/>
  <c r="A955" i="8"/>
  <c r="A949" i="2" s="1"/>
  <c r="A954" i="8"/>
  <c r="A948" i="2" s="1"/>
  <c r="A953" i="8"/>
  <c r="A947" i="2" s="1"/>
  <c r="A952" i="8"/>
  <c r="A946" i="2" s="1"/>
  <c r="A951" i="8"/>
  <c r="A945" i="2" s="1"/>
  <c r="A950" i="8"/>
  <c r="A944" i="2" s="1"/>
  <c r="A949" i="8"/>
  <c r="A943" i="2" s="1"/>
  <c r="A948" i="8"/>
  <c r="A918" i="2" s="1"/>
  <c r="A947" i="8"/>
  <c r="A80" i="4" s="1"/>
  <c r="A946" i="8"/>
  <c r="A748" i="2" s="1"/>
  <c r="A945" i="8"/>
  <c r="A732" i="2" s="1"/>
  <c r="A944" i="8"/>
  <c r="A941" i="2" s="1"/>
  <c r="A943" i="8"/>
  <c r="A940" i="2" s="1"/>
  <c r="A942" i="8"/>
  <c r="A939" i="2" s="1"/>
  <c r="A941" i="8"/>
  <c r="A938" i="2" s="1"/>
  <c r="A940" i="8"/>
  <c r="A937" i="2" s="1"/>
  <c r="A939" i="8"/>
  <c r="A936" i="2" s="1"/>
  <c r="A938" i="8"/>
  <c r="A935" i="2" s="1"/>
  <c r="A937" i="8"/>
  <c r="A933" i="2" s="1"/>
  <c r="A936" i="8"/>
  <c r="A932" i="2" s="1"/>
  <c r="A935" i="8"/>
  <c r="A931" i="2" s="1"/>
  <c r="A934" i="8"/>
  <c r="A930" i="2" s="1"/>
  <c r="A933" i="8"/>
  <c r="A929" i="2" s="1"/>
  <c r="A932" i="8"/>
  <c r="A927" i="2" s="1"/>
  <c r="A931" i="8"/>
  <c r="A926" i="2" s="1"/>
  <c r="A930" i="8"/>
  <c r="A925" i="2" s="1"/>
  <c r="A929" i="8"/>
  <c r="A924" i="2" s="1"/>
  <c r="A928" i="8"/>
  <c r="A923" i="2" s="1"/>
  <c r="A927" i="8"/>
  <c r="A922" i="2" s="1"/>
  <c r="A926" i="8"/>
  <c r="A921" i="2" s="1"/>
  <c r="A925" i="8"/>
  <c r="A709" i="2" s="1"/>
  <c r="A924" i="8"/>
  <c r="A886" i="2" s="1"/>
  <c r="A923" i="8"/>
  <c r="A885" i="2" s="1"/>
  <c r="A922" i="8"/>
  <c r="A884" i="2" s="1"/>
  <c r="A921" i="8"/>
  <c r="A883" i="2" s="1"/>
  <c r="A920" i="8"/>
  <c r="A882" i="2" s="1"/>
  <c r="A919" i="8"/>
  <c r="A881" i="2" s="1"/>
  <c r="A918" i="8"/>
  <c r="A880" i="2" s="1"/>
  <c r="A917" i="8"/>
  <c r="A879" i="2" s="1"/>
  <c r="A916" i="8"/>
  <c r="A878" i="2" s="1"/>
  <c r="A915" i="8"/>
  <c r="A877" i="2" s="1"/>
  <c r="A914" i="8"/>
  <c r="A875" i="2" s="1"/>
  <c r="A913" i="8"/>
  <c r="A874" i="2" s="1"/>
  <c r="A912" i="8"/>
  <c r="A873" i="2" s="1"/>
  <c r="A911" i="8"/>
  <c r="A872" i="2" s="1"/>
  <c r="A910" i="8"/>
  <c r="A871" i="2" s="1"/>
  <c r="A909" i="8"/>
  <c r="A870" i="2" s="1"/>
  <c r="A908" i="8"/>
  <c r="A868" i="2" s="1"/>
  <c r="A907" i="8"/>
  <c r="A867" i="2" s="1"/>
  <c r="A906" i="8"/>
  <c r="A866" i="2" s="1"/>
  <c r="A905" i="8"/>
  <c r="A865" i="2" s="1"/>
  <c r="A904" i="8"/>
  <c r="A864" i="2" s="1"/>
  <c r="A903" i="8"/>
  <c r="A863" i="2" s="1"/>
  <c r="A902" i="8"/>
  <c r="A862" i="2" s="1"/>
  <c r="A901" i="8"/>
  <c r="A861" i="2" s="1"/>
  <c r="A900" i="8"/>
  <c r="A860" i="2" s="1"/>
  <c r="A899" i="8"/>
  <c r="A859" i="2" s="1"/>
  <c r="A898" i="8"/>
  <c r="A858" i="2" s="1"/>
  <c r="A897" i="8"/>
  <c r="A679" i="2" s="1"/>
  <c r="A896" i="8"/>
  <c r="A853" i="2" s="1"/>
  <c r="A895" i="8"/>
  <c r="A852" i="2" s="1"/>
  <c r="A894" i="8"/>
  <c r="A851" i="2" s="1"/>
  <c r="A893" i="8"/>
  <c r="A850" i="2" s="1"/>
  <c r="A892" i="8"/>
  <c r="A849" i="2" s="1"/>
  <c r="A891" i="8"/>
  <c r="A848" i="2" s="1"/>
  <c r="A890" i="8"/>
  <c r="A847" i="2" s="1"/>
  <c r="A889" i="8"/>
  <c r="A846" i="2" s="1"/>
  <c r="A888" i="8"/>
  <c r="A845" i="2" s="1"/>
  <c r="A887" i="8"/>
  <c r="A844" i="2" s="1"/>
  <c r="A886" i="8"/>
  <c r="A842" i="2" s="1"/>
  <c r="A885" i="8"/>
  <c r="A841" i="2" s="1"/>
  <c r="A884" i="8"/>
  <c r="A840" i="2" s="1"/>
  <c r="A883" i="8"/>
  <c r="A839" i="2" s="1"/>
  <c r="A882" i="8"/>
  <c r="A838" i="2" s="1"/>
  <c r="A881" i="8"/>
  <c r="A836" i="2" s="1"/>
  <c r="A880" i="8"/>
  <c r="A835" i="2" s="1"/>
  <c r="A879" i="8"/>
  <c r="A834" i="2" s="1"/>
  <c r="A878" i="8"/>
  <c r="A833" i="2" s="1"/>
  <c r="A877" i="8"/>
  <c r="A832" i="2" s="1"/>
  <c r="A876" i="8"/>
  <c r="A831" i="2" s="1"/>
  <c r="A875" i="8"/>
  <c r="A830" i="2" s="1"/>
  <c r="A874" i="8"/>
  <c r="A829" i="2" s="1"/>
  <c r="A873" i="8"/>
  <c r="A653" i="2" s="1"/>
  <c r="A872" i="8"/>
  <c r="A746" i="2" s="1"/>
  <c r="A871" i="8"/>
  <c r="A745" i="2" s="1"/>
  <c r="A870" i="8"/>
  <c r="A744" i="2" s="1"/>
  <c r="A869" i="8"/>
  <c r="A743" i="2" s="1"/>
  <c r="A868" i="8"/>
  <c r="A742" i="2" s="1"/>
  <c r="A867" i="8"/>
  <c r="A741" i="2" s="1"/>
  <c r="A866" i="8"/>
  <c r="A740" i="2" s="1"/>
  <c r="A865" i="8"/>
  <c r="A739" i="2" s="1"/>
  <c r="A864" i="8"/>
  <c r="A738" i="2" s="1"/>
  <c r="A863" i="8"/>
  <c r="A643" i="2" s="1"/>
  <c r="A862" i="8"/>
  <c r="A736" i="2" s="1"/>
  <c r="A861" i="8"/>
  <c r="A735" i="2" s="1"/>
  <c r="A860" i="8"/>
  <c r="A640" i="2" s="1"/>
  <c r="A859" i="8"/>
  <c r="A638" i="2" s="1"/>
  <c r="A854" i="8"/>
  <c r="A629" i="2" s="1"/>
  <c r="A853" i="8"/>
  <c r="A628" i="2" s="1"/>
  <c r="A852" i="8"/>
  <c r="A627" i="2" s="1"/>
  <c r="A850" i="8"/>
  <c r="A624" i="2" s="1"/>
  <c r="A849" i="8"/>
  <c r="A623" i="2" s="1"/>
  <c r="A848" i="8"/>
  <c r="A622" i="2" s="1"/>
  <c r="A847" i="8"/>
  <c r="A621" i="2" s="1"/>
  <c r="A846" i="8"/>
  <c r="A619" i="2" s="1"/>
  <c r="A845" i="8"/>
  <c r="A618" i="2" s="1"/>
  <c r="A844" i="8"/>
  <c r="A617" i="2" s="1"/>
  <c r="A843" i="8"/>
  <c r="A842" i="8"/>
  <c r="A615" i="2" s="1"/>
  <c r="A841" i="8"/>
  <c r="A613" i="2" s="1"/>
  <c r="A840" i="8"/>
  <c r="A612" i="2" s="1"/>
  <c r="A839" i="8"/>
  <c r="A611" i="2" s="1"/>
  <c r="A838" i="8"/>
  <c r="A610" i="2" s="1"/>
  <c r="A837" i="8"/>
  <c r="A609" i="2" s="1"/>
  <c r="A836" i="8"/>
  <c r="A606" i="2" s="1"/>
  <c r="A835" i="8"/>
  <c r="A605" i="2" s="1"/>
  <c r="A834" i="8"/>
  <c r="A604" i="2" s="1"/>
  <c r="A833" i="8"/>
  <c r="A603" i="2" s="1"/>
  <c r="A832" i="8"/>
  <c r="A602" i="2" s="1"/>
  <c r="A831" i="8"/>
  <c r="A600" i="2" s="1"/>
  <c r="A830" i="8"/>
  <c r="A599" i="2" s="1"/>
  <c r="A829" i="8"/>
  <c r="A598" i="2" s="1"/>
  <c r="A827" i="8"/>
  <c r="A596" i="2" s="1"/>
  <c r="A826" i="8"/>
  <c r="A594" i="2" s="1"/>
  <c r="A825" i="8"/>
  <c r="A593" i="2" s="1"/>
  <c r="A824" i="8"/>
  <c r="A592" i="2" s="1"/>
  <c r="A823" i="8"/>
  <c r="A822" i="8"/>
  <c r="A590" i="2" s="1"/>
  <c r="A821" i="8"/>
  <c r="A588" i="2" s="1"/>
  <c r="A820" i="8"/>
  <c r="A587" i="2" s="1"/>
  <c r="A819" i="8"/>
  <c r="A586" i="2" s="1"/>
  <c r="A818" i="8"/>
  <c r="A817" i="8"/>
  <c r="A584" i="2" s="1"/>
  <c r="A816" i="8"/>
  <c r="A582" i="2" s="1"/>
  <c r="A815" i="8"/>
  <c r="A581" i="2" s="1"/>
  <c r="A814" i="8"/>
  <c r="A580" i="2" s="1"/>
  <c r="A813" i="8"/>
  <c r="A579" i="2" s="1"/>
  <c r="A812" i="8"/>
  <c r="A578" i="2" s="1"/>
  <c r="A811" i="8"/>
  <c r="A576" i="2" s="1"/>
  <c r="A810" i="8"/>
  <c r="A575" i="2" s="1"/>
  <c r="A809" i="8"/>
  <c r="A574" i="2" s="1"/>
  <c r="A808" i="8"/>
  <c r="A573" i="2" s="1"/>
  <c r="A807" i="8"/>
  <c r="A572" i="2" s="1"/>
  <c r="A806" i="8"/>
  <c r="A570" i="2" s="1"/>
  <c r="A805" i="8"/>
  <c r="A566" i="2" s="1"/>
  <c r="A790" i="8"/>
  <c r="A551" i="2" s="1"/>
  <c r="A789" i="8"/>
  <c r="A550" i="2" s="1"/>
  <c r="A788" i="8"/>
  <c r="A549" i="2" s="1"/>
  <c r="A787" i="8"/>
  <c r="A548" i="2" s="1"/>
  <c r="A786" i="8"/>
  <c r="A547" i="2" s="1"/>
  <c r="A785" i="8"/>
  <c r="A546" i="2" s="1"/>
  <c r="A784" i="8"/>
  <c r="A545" i="2" s="1"/>
  <c r="A783" i="8"/>
  <c r="A544" i="2" s="1"/>
  <c r="A782" i="8"/>
  <c r="A543" i="2" s="1"/>
  <c r="A781" i="8"/>
  <c r="A542" i="2" s="1"/>
  <c r="A780" i="8"/>
  <c r="A541" i="2" s="1"/>
  <c r="A779" i="8"/>
  <c r="A540" i="2" s="1"/>
  <c r="A778" i="8"/>
  <c r="A539" i="2" s="1"/>
  <c r="A803" i="8"/>
  <c r="A564" i="2" s="1"/>
  <c r="A802" i="8"/>
  <c r="A563" i="2" s="1"/>
  <c r="A801" i="8"/>
  <c r="A562" i="2" s="1"/>
  <c r="A800" i="8"/>
  <c r="A561" i="2" s="1"/>
  <c r="A799" i="8"/>
  <c r="A560" i="2" s="1"/>
  <c r="A798" i="8"/>
  <c r="A559" i="2" s="1"/>
  <c r="A797" i="8"/>
  <c r="A558" i="2" s="1"/>
  <c r="A796" i="8"/>
  <c r="A557" i="2" s="1"/>
  <c r="A795" i="8"/>
  <c r="A556" i="2" s="1"/>
  <c r="A794" i="8"/>
  <c r="A555" i="2" s="1"/>
  <c r="A793" i="8"/>
  <c r="A554" i="2" s="1"/>
  <c r="A792" i="8"/>
  <c r="A553" i="2" s="1"/>
  <c r="A791" i="8"/>
  <c r="A552" i="2" s="1"/>
  <c r="A777" i="8"/>
  <c r="A538" i="2" s="1"/>
  <c r="A776" i="8"/>
  <c r="A537" i="2" s="1"/>
  <c r="A775" i="8"/>
  <c r="A536" i="2" s="1"/>
  <c r="A774" i="8"/>
  <c r="A535" i="2" s="1"/>
  <c r="A773" i="8"/>
  <c r="A534" i="2" s="1"/>
  <c r="A772" i="8"/>
  <c r="A533" i="2" s="1"/>
  <c r="A771" i="8"/>
  <c r="A532" i="2" s="1"/>
  <c r="A770" i="8"/>
  <c r="A531" i="2" s="1"/>
  <c r="A769" i="8"/>
  <c r="A530" i="2" s="1"/>
  <c r="A768" i="8"/>
  <c r="A529" i="2" s="1"/>
  <c r="A767" i="8"/>
  <c r="A528" i="2" s="1"/>
  <c r="A766" i="8"/>
  <c r="A527" i="2" s="1"/>
  <c r="A765" i="8"/>
  <c r="A526" i="2" s="1"/>
  <c r="A763" i="8"/>
  <c r="A510" i="2" s="1"/>
  <c r="A764" i="8"/>
  <c r="A60" i="4" s="1"/>
  <c r="A762" i="8"/>
  <c r="A447" i="2" s="1"/>
  <c r="A761" i="8"/>
  <c r="A445" i="2" s="1"/>
  <c r="A760" i="8"/>
  <c r="A759" i="8"/>
  <c r="A442" i="2" s="1"/>
  <c r="A758" i="8"/>
  <c r="A441" i="2" s="1"/>
  <c r="A755" i="8"/>
  <c r="A436" i="2" s="1"/>
  <c r="A754" i="8"/>
  <c r="A435" i="2" s="1"/>
  <c r="A753" i="8"/>
  <c r="A508" i="2" s="1"/>
  <c r="A752" i="8"/>
  <c r="A503" i="2" s="1"/>
  <c r="A751" i="8"/>
  <c r="A750" i="8"/>
  <c r="A505" i="2" s="1"/>
  <c r="A749" i="8"/>
  <c r="A504" i="2" s="1"/>
  <c r="A746" i="8"/>
  <c r="A500" i="2" s="1"/>
  <c r="A745" i="8"/>
  <c r="A425" i="2" s="1"/>
  <c r="A744" i="8"/>
  <c r="A743" i="8"/>
  <c r="A419" i="2" s="1"/>
  <c r="A742" i="8"/>
  <c r="A418" i="2" s="1"/>
  <c r="A741" i="8"/>
  <c r="A416" i="2" s="1"/>
  <c r="A740" i="8"/>
  <c r="A417" i="2" s="1"/>
  <c r="A739" i="8"/>
  <c r="A414" i="2" s="1"/>
  <c r="A738" i="8"/>
  <c r="A616" i="2" s="1"/>
  <c r="A737" i="8"/>
  <c r="A413" i="2" s="1"/>
  <c r="A736" i="8"/>
  <c r="A412" i="2" s="1"/>
  <c r="A735" i="8"/>
  <c r="A411" i="2" s="1"/>
  <c r="A734" i="8"/>
  <c r="A410" i="2" s="1"/>
  <c r="A733" i="8"/>
  <c r="A409" i="2" s="1"/>
  <c r="A732" i="8"/>
  <c r="A407" i="2" s="1"/>
  <c r="A731" i="8"/>
  <c r="A408" i="2" s="1"/>
  <c r="A730" i="8"/>
  <c r="A405" i="2" s="1"/>
  <c r="A729" i="8"/>
  <c r="A406" i="2" s="1"/>
  <c r="A728" i="8"/>
  <c r="A404" i="2" s="1"/>
  <c r="A727" i="8"/>
  <c r="A403" i="2" s="1"/>
  <c r="A725" i="8"/>
  <c r="A401" i="2" s="1"/>
  <c r="A724" i="8"/>
  <c r="A399" i="2" s="1"/>
  <c r="A723" i="8"/>
  <c r="A400" i="2" s="1"/>
  <c r="A722" i="8"/>
  <c r="A397" i="2" s="1"/>
  <c r="A721" i="8"/>
  <c r="A398" i="2" s="1"/>
  <c r="A720" i="8"/>
  <c r="A396" i="2" s="1"/>
  <c r="A719" i="8"/>
  <c r="A395" i="2" s="1"/>
  <c r="A717" i="8"/>
  <c r="A393" i="2" s="1"/>
  <c r="A716" i="8"/>
  <c r="A391" i="2" s="1"/>
  <c r="A715" i="8"/>
  <c r="A392" i="2" s="1"/>
  <c r="A714" i="8"/>
  <c r="A389" i="2" s="1"/>
  <c r="A713" i="8"/>
  <c r="A390" i="2" s="1"/>
  <c r="A712" i="8"/>
  <c r="A388" i="2" s="1"/>
  <c r="A711" i="8"/>
  <c r="A387" i="2" s="1"/>
  <c r="A710" i="8"/>
  <c r="A386" i="2" s="1"/>
  <c r="A708" i="8"/>
  <c r="A41" i="4" s="1"/>
  <c r="A709" i="8"/>
  <c r="A45" i="4" s="1"/>
  <c r="A707" i="8"/>
  <c r="A305" i="2" s="1"/>
  <c r="A706" i="8"/>
  <c r="A705" i="8"/>
  <c r="A704" i="8"/>
  <c r="A703" i="8"/>
  <c r="A702" i="8"/>
  <c r="A701" i="8"/>
  <c r="A700" i="8"/>
  <c r="A295" i="2" s="1"/>
  <c r="A699" i="8"/>
  <c r="A698" i="8"/>
  <c r="A697" i="8"/>
  <c r="A696" i="8"/>
  <c r="A693" i="8"/>
  <c r="A286" i="2" s="1"/>
  <c r="A692" i="8"/>
  <c r="A284" i="2" s="1"/>
  <c r="A691" i="8"/>
  <c r="A280" i="2" s="1"/>
  <c r="A690" i="8"/>
  <c r="A279" i="2" s="1"/>
  <c r="A689" i="8"/>
  <c r="A278" i="2" s="1"/>
  <c r="A688" i="8"/>
  <c r="A277" i="2" s="1"/>
  <c r="A687" i="8"/>
  <c r="A276" i="2" s="1"/>
  <c r="A686" i="8"/>
  <c r="A275" i="2" s="1"/>
  <c r="A685" i="8"/>
  <c r="A274" i="2" s="1"/>
  <c r="A684" i="8"/>
  <c r="A269" i="2" s="1"/>
  <c r="A683" i="8"/>
  <c r="A682" i="8"/>
  <c r="A681" i="8"/>
  <c r="A273" i="2" s="1"/>
  <c r="A679" i="8"/>
  <c r="A268" i="2" s="1"/>
  <c r="A678" i="8"/>
  <c r="A267" i="2" s="1"/>
  <c r="A656" i="8"/>
  <c r="A166" i="2" s="1"/>
  <c r="A632" i="8"/>
  <c r="A142" i="2" s="1"/>
  <c r="A631" i="8"/>
  <c r="A140" i="2" s="1"/>
  <c r="A630" i="8"/>
  <c r="A136" i="2" s="1"/>
  <c r="A629" i="8"/>
  <c r="A130" i="2" s="1"/>
  <c r="A628" i="8"/>
  <c r="A135" i="2" s="1"/>
  <c r="A627" i="8"/>
  <c r="A134" i="2" s="1"/>
  <c r="A626" i="8"/>
  <c r="A133" i="2" s="1"/>
  <c r="A625" i="8"/>
  <c r="A132" i="2" s="1"/>
  <c r="A624" i="8"/>
  <c r="A129" i="2" s="1"/>
  <c r="A623" i="8"/>
  <c r="A128" i="2" s="1"/>
  <c r="A622" i="8"/>
  <c r="A127" i="2" s="1"/>
  <c r="A604" i="8"/>
  <c r="A24" i="2" s="1"/>
  <c r="A584" i="8"/>
  <c r="A1" i="2" s="1"/>
  <c r="BD1180" i="2"/>
  <c r="D1151" i="2"/>
  <c r="BD1149" i="2"/>
  <c r="D1149" i="2"/>
  <c r="BD1164" i="2"/>
  <c r="BD1163" i="2"/>
  <c r="BD1160" i="2"/>
  <c r="D1147" i="2"/>
  <c r="BD1145" i="2"/>
  <c r="D1145" i="2"/>
  <c r="A1469" i="8"/>
  <c r="A6" i="5" s="1"/>
  <c r="A1470" i="8"/>
  <c r="A7" i="5" s="1"/>
  <c r="A1471" i="8"/>
  <c r="A11" i="5" s="1"/>
  <c r="A1468" i="8"/>
  <c r="A4" i="5" s="1"/>
  <c r="A1467" i="8"/>
  <c r="A1" i="5" s="1"/>
  <c r="A1437" i="8"/>
  <c r="G213" i="11" s="1"/>
  <c r="A1446" i="8"/>
  <c r="L264" i="11" s="1"/>
  <c r="A1444" i="8"/>
  <c r="G264" i="11" s="1"/>
  <c r="A1445" i="8"/>
  <c r="K252" i="11" s="1"/>
  <c r="A1459" i="8"/>
  <c r="G267" i="11" s="1"/>
  <c r="A1458" i="8"/>
  <c r="G266" i="11" s="1"/>
  <c r="H216" i="11" s="1"/>
  <c r="A1457" i="8"/>
  <c r="G265" i="11" s="1"/>
  <c r="A1438" i="8"/>
  <c r="G214" i="11" s="1"/>
  <c r="A1456" i="8"/>
  <c r="G261" i="11" s="1"/>
  <c r="H212" i="11" s="1"/>
  <c r="A1455" i="8"/>
  <c r="G260" i="11" s="1"/>
  <c r="A1447" i="8"/>
  <c r="A137" i="8"/>
  <c r="A1443" i="8"/>
  <c r="G263" i="11" s="1"/>
  <c r="A1442" i="8"/>
  <c r="G251" i="11" s="1"/>
  <c r="A1441" i="8"/>
  <c r="G249" i="11" s="1"/>
  <c r="A1440" i="8"/>
  <c r="G218" i="11" s="1"/>
  <c r="A1439" i="8"/>
  <c r="G216" i="11" s="1"/>
  <c r="A1436" i="8"/>
  <c r="K212" i="11" s="1"/>
  <c r="A1435" i="8"/>
  <c r="G212" i="11" s="1"/>
  <c r="A1434" i="8"/>
  <c r="A210" i="11" s="1"/>
  <c r="A1220" i="8"/>
  <c r="A1240" i="8"/>
  <c r="A124" i="4" s="1"/>
  <c r="A1266" i="8"/>
  <c r="A159" i="4" s="1"/>
  <c r="A1267" i="8"/>
  <c r="A161" i="4" s="1"/>
  <c r="A1268" i="8"/>
  <c r="A162" i="4" s="1"/>
  <c r="A1269" i="8"/>
  <c r="A163" i="4" s="1"/>
  <c r="A1270" i="8"/>
  <c r="A164" i="4" s="1"/>
  <c r="A1271" i="8"/>
  <c r="A165" i="4" s="1"/>
  <c r="A1272" i="8"/>
  <c r="A166" i="4" s="1"/>
  <c r="A1273" i="8"/>
  <c r="A167" i="4" s="1"/>
  <c r="A1274" i="8"/>
  <c r="A168" i="4" s="1"/>
  <c r="A1275" i="8"/>
  <c r="A169" i="4" s="1"/>
  <c r="A1276" i="8"/>
  <c r="A170" i="4" s="1"/>
  <c r="A1277" i="8"/>
  <c r="A172" i="4" s="1"/>
  <c r="A1278" i="8"/>
  <c r="A173" i="4" s="1"/>
  <c r="A1279" i="8"/>
  <c r="A174" i="4" s="1"/>
  <c r="A1280" i="8"/>
  <c r="A175" i="4" s="1"/>
  <c r="A1281" i="8"/>
  <c r="A176" i="4" s="1"/>
  <c r="A1282" i="8"/>
  <c r="A177" i="4" s="1"/>
  <c r="A1283" i="8"/>
  <c r="A178" i="4" s="1"/>
  <c r="A1284" i="8"/>
  <c r="A179" i="4" s="1"/>
  <c r="A1285" i="8"/>
  <c r="A181" i="4" s="1"/>
  <c r="A1286" i="8"/>
  <c r="A183" i="4" s="1"/>
  <c r="A1287" i="8"/>
  <c r="A184" i="4" s="1"/>
  <c r="A1288" i="8"/>
  <c r="A185" i="4" s="1"/>
  <c r="A1289" i="8"/>
  <c r="A186" i="4" s="1"/>
  <c r="A1290" i="8"/>
  <c r="A187" i="4" s="1"/>
  <c r="A1291" i="8"/>
  <c r="A188" i="4" s="1"/>
  <c r="A1292" i="8"/>
  <c r="A189" i="4" s="1"/>
  <c r="A1293" i="8"/>
  <c r="A190" i="4" s="1"/>
  <c r="A1294" i="8"/>
  <c r="A192" i="4" s="1"/>
  <c r="A1295" i="8"/>
  <c r="A193" i="4" s="1"/>
  <c r="A1296" i="8"/>
  <c r="A194" i="4" s="1"/>
  <c r="A1297" i="8"/>
  <c r="A195" i="4" s="1"/>
  <c r="A1298" i="8"/>
  <c r="A197" i="4" s="1"/>
  <c r="A1299" i="8"/>
  <c r="A198" i="4" s="1"/>
  <c r="A1300" i="8"/>
  <c r="A199" i="4" s="1"/>
  <c r="A1301" i="8"/>
  <c r="A200" i="4" s="1"/>
  <c r="A1302" i="8"/>
  <c r="A202" i="4" s="1"/>
  <c r="A1213" i="8"/>
  <c r="A1" i="4" s="1"/>
  <c r="A387" i="8"/>
  <c r="A6" i="1" s="1"/>
  <c r="A471" i="8"/>
  <c r="A135" i="1" s="1"/>
  <c r="A472" i="8"/>
  <c r="A136" i="1" s="1"/>
  <c r="A470" i="8"/>
  <c r="A134" i="1" s="1"/>
  <c r="A383" i="8"/>
  <c r="A478" i="8"/>
  <c r="A408" i="8"/>
  <c r="A34" i="1" s="1"/>
  <c r="A407" i="8"/>
  <c r="A33" i="1" s="1"/>
  <c r="A406" i="8"/>
  <c r="A32" i="1" s="1"/>
  <c r="A405" i="8"/>
  <c r="A31" i="1" s="1"/>
  <c r="A404" i="8"/>
  <c r="A30" i="1" s="1"/>
  <c r="A403" i="8"/>
  <c r="A29" i="1" s="1"/>
  <c r="A402" i="8"/>
  <c r="A28" i="1" s="1"/>
  <c r="A401" i="8"/>
  <c r="A27" i="1" s="1"/>
  <c r="A400" i="8"/>
  <c r="A26" i="1" s="1"/>
  <c r="A399" i="8"/>
  <c r="A25" i="1" s="1"/>
  <c r="A398" i="8"/>
  <c r="A23" i="1" s="1"/>
  <c r="A397" i="8"/>
  <c r="A22" i="1" s="1"/>
  <c r="A396" i="8"/>
  <c r="A21" i="1" s="1"/>
  <c r="A43" i="8"/>
  <c r="A395" i="8"/>
  <c r="A19" i="1" s="1"/>
  <c r="A394" i="8"/>
  <c r="A18" i="1" s="1"/>
  <c r="A393" i="8"/>
  <c r="A17" i="1" s="1"/>
  <c r="A392" i="8"/>
  <c r="A16" i="1" s="1"/>
  <c r="A391" i="8"/>
  <c r="A14" i="1" s="1"/>
  <c r="A135" i="8"/>
  <c r="A138" i="8"/>
  <c r="A131" i="8"/>
  <c r="A390" i="8"/>
  <c r="A10" i="1" s="1"/>
  <c r="A371" i="8"/>
  <c r="B9" i="1" s="1"/>
  <c r="A372" i="8"/>
  <c r="A373" i="8"/>
  <c r="A389" i="8"/>
  <c r="A9" i="1" s="1"/>
  <c r="A6" i="8"/>
  <c r="B8" i="1" s="1"/>
  <c r="A7" i="8"/>
  <c r="A388" i="8"/>
  <c r="A8" i="1" s="1"/>
  <c r="A314" i="8"/>
  <c r="A73" i="9" s="1"/>
  <c r="A315" i="8"/>
  <c r="A74" i="9" s="1"/>
  <c r="A316" i="8"/>
  <c r="A75" i="9" s="1"/>
  <c r="A304" i="8"/>
  <c r="A63" i="9" s="1"/>
  <c r="A305" i="8"/>
  <c r="A64" i="9" s="1"/>
  <c r="A306" i="8"/>
  <c r="A65" i="9" s="1"/>
  <c r="A307" i="8"/>
  <c r="A66" i="9" s="1"/>
  <c r="A308" i="8"/>
  <c r="A67" i="9" s="1"/>
  <c r="A309" i="8"/>
  <c r="A68" i="9" s="1"/>
  <c r="A310" i="8"/>
  <c r="A69" i="9" s="1"/>
  <c r="A311" i="8"/>
  <c r="A70" i="9" s="1"/>
  <c r="A312" i="8"/>
  <c r="A71" i="9" s="1"/>
  <c r="A313" i="8"/>
  <c r="A72" i="9" s="1"/>
  <c r="BD1308" i="2"/>
  <c r="I992" i="2"/>
  <c r="J992" i="2"/>
  <c r="K992" i="2"/>
  <c r="D43" i="2"/>
  <c r="D23" i="2"/>
  <c r="BD126" i="10"/>
  <c r="H56" i="1"/>
  <c r="I56" i="1" s="1"/>
  <c r="J56" i="1" s="1"/>
  <c r="K56" i="1" s="1"/>
  <c r="L56" i="1" s="1"/>
  <c r="M56" i="1" s="1"/>
  <c r="N56" i="1" s="1"/>
  <c r="O56" i="1" s="1"/>
  <c r="P56" i="1" s="1"/>
  <c r="Q56" i="1" s="1"/>
  <c r="R56" i="1" s="1"/>
  <c r="S56" i="1" s="1"/>
  <c r="T56" i="1" s="1"/>
  <c r="U56" i="1" s="1"/>
  <c r="V56" i="1" s="1"/>
  <c r="W56" i="1" s="1"/>
  <c r="X56" i="1" s="1"/>
  <c r="Y56" i="1" s="1"/>
  <c r="Z56" i="1" s="1"/>
  <c r="AA56" i="1" s="1"/>
  <c r="AB56" i="1" s="1"/>
  <c r="AC56" i="1" s="1"/>
  <c r="AD56" i="1" s="1"/>
  <c r="AE56" i="1" s="1"/>
  <c r="AF56" i="1" s="1"/>
  <c r="AG56" i="1" s="1"/>
  <c r="AH56" i="1" s="1"/>
  <c r="AI56" i="1" s="1"/>
  <c r="AJ56" i="1" s="1"/>
  <c r="AK56" i="1" s="1"/>
  <c r="AL56" i="1" s="1"/>
  <c r="AM56" i="1" s="1"/>
  <c r="AN56" i="1" s="1"/>
  <c r="AO56" i="1" s="1"/>
  <c r="AP56" i="1" s="1"/>
  <c r="AQ56" i="1" s="1"/>
  <c r="AR56" i="1" s="1"/>
  <c r="AS56" i="1" s="1"/>
  <c r="AT56" i="1" s="1"/>
  <c r="AU56" i="1" s="1"/>
  <c r="AV56" i="1" s="1"/>
  <c r="AW56" i="1" s="1"/>
  <c r="AX56" i="1" s="1"/>
  <c r="AY56" i="1" s="1"/>
  <c r="AZ56" i="1" s="1"/>
  <c r="BA56" i="1" s="1"/>
  <c r="BB56" i="1" s="1"/>
  <c r="H62" i="1"/>
  <c r="I62" i="1" s="1"/>
  <c r="J62" i="1" s="1"/>
  <c r="K62" i="1" s="1"/>
  <c r="L62" i="1" s="1"/>
  <c r="M62" i="1" s="1"/>
  <c r="N62" i="1" s="1"/>
  <c r="O62" i="1" s="1"/>
  <c r="P62" i="1" s="1"/>
  <c r="Q62" i="1" s="1"/>
  <c r="R62" i="1" s="1"/>
  <c r="S62" i="1" s="1"/>
  <c r="T62" i="1" s="1"/>
  <c r="U62" i="1" s="1"/>
  <c r="V62" i="1" s="1"/>
  <c r="W62" i="1" s="1"/>
  <c r="X62" i="1" s="1"/>
  <c r="Y62" i="1" s="1"/>
  <c r="Z62" i="1" s="1"/>
  <c r="AA62" i="1" s="1"/>
  <c r="AB62" i="1" s="1"/>
  <c r="AC62" i="1" s="1"/>
  <c r="AD62" i="1" s="1"/>
  <c r="AE62" i="1" s="1"/>
  <c r="AF62" i="1" s="1"/>
  <c r="AG62" i="1" s="1"/>
  <c r="AH62" i="1" s="1"/>
  <c r="AI62" i="1" s="1"/>
  <c r="AJ62" i="1" s="1"/>
  <c r="AK62" i="1" s="1"/>
  <c r="AL62" i="1" s="1"/>
  <c r="AM62" i="1" s="1"/>
  <c r="AN62" i="1" s="1"/>
  <c r="AO62" i="1" s="1"/>
  <c r="AP62" i="1" s="1"/>
  <c r="AQ62" i="1" s="1"/>
  <c r="AR62" i="1" s="1"/>
  <c r="AS62" i="1" s="1"/>
  <c r="AT62" i="1" s="1"/>
  <c r="AU62" i="1" s="1"/>
  <c r="AV62" i="1" s="1"/>
  <c r="AW62" i="1" s="1"/>
  <c r="AX62" i="1" s="1"/>
  <c r="AY62" i="1" s="1"/>
  <c r="AZ62" i="1" s="1"/>
  <c r="BA62" i="1" s="1"/>
  <c r="BB62" i="1" s="1"/>
  <c r="BD1329" i="2"/>
  <c r="BD1024" i="2"/>
  <c r="BD1250" i="2"/>
  <c r="K1085" i="2"/>
  <c r="J1085" i="2"/>
  <c r="I1085" i="2"/>
  <c r="H1085" i="2"/>
  <c r="G1085" i="2"/>
  <c r="H1077" i="2"/>
  <c r="I1077" i="2"/>
  <c r="J1077" i="2"/>
  <c r="K1077" i="2"/>
  <c r="G1077" i="2"/>
  <c r="D1069" i="2"/>
  <c r="D1068" i="2"/>
  <c r="D1067" i="2"/>
  <c r="D1066" i="2"/>
  <c r="D1065" i="2"/>
  <c r="D1063" i="2"/>
  <c r="D1062" i="2"/>
  <c r="D1061" i="2"/>
  <c r="D1060" i="2"/>
  <c r="D1059" i="2"/>
  <c r="BD59" i="10"/>
  <c r="BD60" i="10"/>
  <c r="BD61" i="10"/>
  <c r="D117" i="10"/>
  <c r="D116" i="10"/>
  <c r="D115" i="10"/>
  <c r="BD114" i="10"/>
  <c r="D114" i="10"/>
  <c r="D112" i="10"/>
  <c r="D110" i="10"/>
  <c r="D109" i="10"/>
  <c r="D108" i="10"/>
  <c r="BD107" i="10"/>
  <c r="D107" i="10"/>
  <c r="D105" i="10"/>
  <c r="G112" i="10"/>
  <c r="A359" i="8"/>
  <c r="A339" i="8"/>
  <c r="A338" i="8"/>
  <c r="A337" i="8"/>
  <c r="A336" i="8"/>
  <c r="A335" i="8"/>
  <c r="A334" i="8"/>
  <c r="A333" i="8"/>
  <c r="A332" i="8"/>
  <c r="A331" i="8"/>
  <c r="A330" i="8"/>
  <c r="A329" i="8"/>
  <c r="A328" i="8"/>
  <c r="A327" i="8"/>
  <c r="A326" i="8"/>
  <c r="A325" i="8"/>
  <c r="A324" i="8"/>
  <c r="A323" i="8"/>
  <c r="A322" i="8"/>
  <c r="A321" i="8"/>
  <c r="A320" i="8"/>
  <c r="B4" i="9"/>
  <c r="A243" i="8"/>
  <c r="H219" i="11"/>
  <c r="I219" i="11" s="1"/>
  <c r="J219" i="11" s="1"/>
  <c r="K219" i="11" s="1"/>
  <c r="L219" i="11" s="1"/>
  <c r="M219" i="11" s="1"/>
  <c r="N219" i="11" s="1"/>
  <c r="G220" i="11"/>
  <c r="G221" i="11" s="1"/>
  <c r="G222" i="11" s="1"/>
  <c r="G223" i="11" s="1"/>
  <c r="G224" i="11" s="1"/>
  <c r="D190" i="2"/>
  <c r="D189" i="2"/>
  <c r="D183" i="2"/>
  <c r="D181" i="2"/>
  <c r="D179" i="2"/>
  <c r="D175" i="2"/>
  <c r="D173" i="2"/>
  <c r="D171" i="2"/>
  <c r="D170" i="2"/>
  <c r="D165" i="2"/>
  <c r="D164" i="2"/>
  <c r="D158" i="2"/>
  <c r="D156" i="2"/>
  <c r="D154" i="2"/>
  <c r="D150" i="2"/>
  <c r="D148" i="2"/>
  <c r="D146" i="2"/>
  <c r="D145" i="2"/>
  <c r="D42" i="2"/>
  <c r="D41" i="2"/>
  <c r="D37" i="2"/>
  <c r="D34" i="2"/>
  <c r="D32" i="2"/>
  <c r="D30" i="2"/>
  <c r="D22" i="2"/>
  <c r="D21" i="2"/>
  <c r="D15" i="2"/>
  <c r="D13" i="2"/>
  <c r="D11" i="2"/>
  <c r="D445" i="2"/>
  <c r="D440" i="2"/>
  <c r="D434" i="2"/>
  <c r="D302" i="2"/>
  <c r="D298" i="2"/>
  <c r="D289" i="2"/>
  <c r="BD1060" i="2"/>
  <c r="BD1059" i="2"/>
  <c r="BD1066" i="2"/>
  <c r="BD1065" i="2"/>
  <c r="K728" i="2"/>
  <c r="K706" i="2"/>
  <c r="K705" i="2"/>
  <c r="K676" i="2"/>
  <c r="K675" i="2"/>
  <c r="K651" i="2"/>
  <c r="J728" i="2"/>
  <c r="I728" i="2"/>
  <c r="H728" i="2"/>
  <c r="G728" i="2"/>
  <c r="BD715" i="2"/>
  <c r="J706" i="2"/>
  <c r="I706" i="2"/>
  <c r="H706" i="2"/>
  <c r="G706" i="2"/>
  <c r="J705" i="2"/>
  <c r="I705" i="2"/>
  <c r="H705" i="2"/>
  <c r="G705" i="2"/>
  <c r="BD689" i="2"/>
  <c r="B687" i="2"/>
  <c r="J676" i="2"/>
  <c r="I676" i="2"/>
  <c r="H676" i="2"/>
  <c r="G676" i="2"/>
  <c r="J675" i="2"/>
  <c r="I675" i="2"/>
  <c r="H675" i="2"/>
  <c r="G675" i="2"/>
  <c r="BD660" i="2"/>
  <c r="J651" i="2"/>
  <c r="I651" i="2"/>
  <c r="H651" i="2"/>
  <c r="G651" i="2"/>
  <c r="BD644" i="2"/>
  <c r="BD974" i="2"/>
  <c r="BD1171" i="2"/>
  <c r="D1171" i="2"/>
  <c r="D1196" i="2"/>
  <c r="BD1216" i="2"/>
  <c r="BD1215" i="2"/>
  <c r="BD1197" i="2"/>
  <c r="BD1196" i="2"/>
  <c r="D1219" i="2"/>
  <c r="D1218" i="2"/>
  <c r="D1217" i="2"/>
  <c r="D1216" i="2"/>
  <c r="D1215" i="2"/>
  <c r="D1199" i="2"/>
  <c r="D1198" i="2"/>
  <c r="D1197" i="2"/>
  <c r="G2" i="5"/>
  <c r="H90" i="1"/>
  <c r="I90" i="1" s="1"/>
  <c r="J90" i="1" s="1"/>
  <c r="K90" i="1" s="1"/>
  <c r="L90" i="1" s="1"/>
  <c r="M90" i="1" s="1"/>
  <c r="N90" i="1" s="1"/>
  <c r="O90" i="1" s="1"/>
  <c r="P90" i="1" s="1"/>
  <c r="Q90" i="1" s="1"/>
  <c r="R90" i="1" s="1"/>
  <c r="S90" i="1" s="1"/>
  <c r="T90" i="1" s="1"/>
  <c r="U90" i="1" s="1"/>
  <c r="V90" i="1" s="1"/>
  <c r="W90" i="1" s="1"/>
  <c r="X90" i="1" s="1"/>
  <c r="Y90" i="1" s="1"/>
  <c r="Z90" i="1" s="1"/>
  <c r="AA90" i="1" s="1"/>
  <c r="AB90" i="1" s="1"/>
  <c r="AC90" i="1" s="1"/>
  <c r="AD90" i="1" s="1"/>
  <c r="AE90" i="1" s="1"/>
  <c r="AF90" i="1" s="1"/>
  <c r="AG90" i="1" s="1"/>
  <c r="AH90" i="1" s="1"/>
  <c r="AI90" i="1" s="1"/>
  <c r="AJ90" i="1" s="1"/>
  <c r="AK90" i="1" s="1"/>
  <c r="AL90" i="1" s="1"/>
  <c r="AM90" i="1" s="1"/>
  <c r="AN90" i="1" s="1"/>
  <c r="AO90" i="1" s="1"/>
  <c r="AP90" i="1" s="1"/>
  <c r="AQ90" i="1" s="1"/>
  <c r="AR90" i="1" s="1"/>
  <c r="AS90" i="1" s="1"/>
  <c r="AT90" i="1" s="1"/>
  <c r="AU90" i="1" s="1"/>
  <c r="AV90" i="1" s="1"/>
  <c r="AW90" i="1" s="1"/>
  <c r="AX90" i="1" s="1"/>
  <c r="AY90" i="1" s="1"/>
  <c r="AZ90" i="1" s="1"/>
  <c r="BA90" i="1" s="1"/>
  <c r="BB90" i="1" s="1"/>
  <c r="H89" i="1"/>
  <c r="I89" i="1" s="1"/>
  <c r="J89" i="1" s="1"/>
  <c r="K89" i="1" s="1"/>
  <c r="L89" i="1" s="1"/>
  <c r="M89" i="1" s="1"/>
  <c r="N89" i="1" s="1"/>
  <c r="O89" i="1" s="1"/>
  <c r="P89" i="1" s="1"/>
  <c r="Q89" i="1" s="1"/>
  <c r="R89" i="1" s="1"/>
  <c r="S89" i="1" s="1"/>
  <c r="T89" i="1" s="1"/>
  <c r="U89" i="1" s="1"/>
  <c r="V89" i="1" s="1"/>
  <c r="W89" i="1" s="1"/>
  <c r="X89" i="1" s="1"/>
  <c r="Y89" i="1" s="1"/>
  <c r="Z89" i="1" s="1"/>
  <c r="AA89" i="1" s="1"/>
  <c r="AB89" i="1" s="1"/>
  <c r="AC89" i="1" s="1"/>
  <c r="AD89" i="1" s="1"/>
  <c r="AE89" i="1" s="1"/>
  <c r="AF89" i="1" s="1"/>
  <c r="AG89" i="1" s="1"/>
  <c r="AH89" i="1" s="1"/>
  <c r="AI89" i="1" s="1"/>
  <c r="AJ89" i="1" s="1"/>
  <c r="AK89" i="1" s="1"/>
  <c r="AL89" i="1" s="1"/>
  <c r="AM89" i="1" s="1"/>
  <c r="AN89" i="1" s="1"/>
  <c r="AO89" i="1" s="1"/>
  <c r="AP89" i="1" s="1"/>
  <c r="AQ89" i="1" s="1"/>
  <c r="AR89" i="1" s="1"/>
  <c r="AS89" i="1" s="1"/>
  <c r="AT89" i="1" s="1"/>
  <c r="AU89" i="1" s="1"/>
  <c r="AV89" i="1" s="1"/>
  <c r="AW89" i="1" s="1"/>
  <c r="AX89" i="1" s="1"/>
  <c r="AY89" i="1" s="1"/>
  <c r="AZ89" i="1" s="1"/>
  <c r="BA89" i="1" s="1"/>
  <c r="BB89" i="1" s="1"/>
  <c r="H88" i="1"/>
  <c r="I88" i="1" s="1"/>
  <c r="J88" i="1" s="1"/>
  <c r="K88" i="1" s="1"/>
  <c r="L88" i="1" s="1"/>
  <c r="M88" i="1" s="1"/>
  <c r="N88" i="1" s="1"/>
  <c r="O88" i="1" s="1"/>
  <c r="P88" i="1" s="1"/>
  <c r="Q88" i="1" s="1"/>
  <c r="R88" i="1" s="1"/>
  <c r="S88" i="1" s="1"/>
  <c r="T88" i="1" s="1"/>
  <c r="U88" i="1" s="1"/>
  <c r="V88" i="1" s="1"/>
  <c r="W88" i="1" s="1"/>
  <c r="X88" i="1" s="1"/>
  <c r="Y88" i="1" s="1"/>
  <c r="Z88" i="1" s="1"/>
  <c r="AA88" i="1" s="1"/>
  <c r="AB88" i="1" s="1"/>
  <c r="AC88" i="1" s="1"/>
  <c r="AD88" i="1" s="1"/>
  <c r="AE88" i="1" s="1"/>
  <c r="AF88" i="1" s="1"/>
  <c r="AG88" i="1" s="1"/>
  <c r="AH88" i="1" s="1"/>
  <c r="AI88" i="1" s="1"/>
  <c r="AJ88" i="1" s="1"/>
  <c r="AK88" i="1" s="1"/>
  <c r="AL88" i="1" s="1"/>
  <c r="AM88" i="1" s="1"/>
  <c r="AN88" i="1" s="1"/>
  <c r="AO88" i="1" s="1"/>
  <c r="AP88" i="1" s="1"/>
  <c r="AQ88" i="1" s="1"/>
  <c r="AR88" i="1" s="1"/>
  <c r="AS88" i="1" s="1"/>
  <c r="AT88" i="1" s="1"/>
  <c r="AU88" i="1" s="1"/>
  <c r="AV88" i="1" s="1"/>
  <c r="AW88" i="1" s="1"/>
  <c r="AX88" i="1" s="1"/>
  <c r="AY88" i="1" s="1"/>
  <c r="AZ88" i="1" s="1"/>
  <c r="BA88" i="1" s="1"/>
  <c r="BB88" i="1" s="1"/>
  <c r="H87" i="1"/>
  <c r="H91" i="1" s="1"/>
  <c r="H2" i="5"/>
  <c r="BD1249" i="2"/>
  <c r="H86" i="1"/>
  <c r="I86" i="1" s="1"/>
  <c r="J86" i="1" s="1"/>
  <c r="K86" i="1" s="1"/>
  <c r="L86" i="1" s="1"/>
  <c r="M86" i="1" s="1"/>
  <c r="G91" i="1"/>
  <c r="BD1087" i="2"/>
  <c r="BD1079" i="2"/>
  <c r="BD1078" i="2"/>
  <c r="BD1086" i="2"/>
  <c r="A117" i="8"/>
  <c r="A369" i="8"/>
  <c r="A272" i="8"/>
  <c r="A278" i="8"/>
  <c r="A273" i="8"/>
  <c r="A356" i="8"/>
  <c r="A319" i="8"/>
  <c r="A303" i="8"/>
  <c r="A62" i="9" s="1"/>
  <c r="A297" i="8"/>
  <c r="A56" i="9" s="1"/>
  <c r="A288" i="8"/>
  <c r="A47" i="9" s="1"/>
  <c r="A280" i="8"/>
  <c r="A285" i="8"/>
  <c r="A44" i="9" s="1"/>
  <c r="A185" i="8"/>
  <c r="A228" i="8"/>
  <c r="A291" i="8"/>
  <c r="A50" i="9" s="1"/>
  <c r="A237" i="8"/>
  <c r="A263" i="8"/>
  <c r="A317" i="8"/>
  <c r="A301" i="8"/>
  <c r="A60" i="9" s="1"/>
  <c r="A295" i="8"/>
  <c r="A54" i="9" s="1"/>
  <c r="A268" i="8"/>
  <c r="A265" i="8"/>
  <c r="A198" i="8"/>
  <c r="A284" i="8"/>
  <c r="A43" i="9" s="1"/>
  <c r="A300" i="8"/>
  <c r="A59" i="9" s="1"/>
  <c r="A294" i="8"/>
  <c r="A53" i="9" s="1"/>
  <c r="A267" i="8"/>
  <c r="A262" i="8"/>
  <c r="A197" i="8"/>
  <c r="A182" i="8"/>
  <c r="A469" i="8"/>
  <c r="A129" i="1" s="1"/>
  <c r="A233" i="8"/>
  <c r="A179" i="8"/>
  <c r="A194" i="8"/>
  <c r="A236" i="8"/>
  <c r="A167" i="8"/>
  <c r="A35" i="8"/>
  <c r="A232" i="8"/>
  <c r="A110" i="8"/>
  <c r="A9" i="8"/>
  <c r="A33" i="8"/>
  <c r="A202" i="8"/>
  <c r="A252" i="8"/>
  <c r="A92" i="8"/>
  <c r="A204" i="8"/>
  <c r="A53" i="8"/>
  <c r="A32" i="8"/>
  <c r="A62" i="8"/>
  <c r="A30" i="8"/>
  <c r="A162" i="8"/>
  <c r="A14" i="8"/>
  <c r="A141" i="8"/>
  <c r="A474" i="8"/>
  <c r="A138" i="1" s="1"/>
  <c r="A154" i="8"/>
  <c r="A279" i="8"/>
  <c r="A274" i="8"/>
  <c r="A358" i="8"/>
  <c r="A367" i="8"/>
  <c r="A259" i="8"/>
  <c r="A49" i="8"/>
  <c r="A224" i="8"/>
  <c r="A244" i="8"/>
  <c r="A299" i="8"/>
  <c r="A58" i="9" s="1"/>
  <c r="A188" i="8"/>
  <c r="A242" i="8"/>
  <c r="A260" i="8"/>
  <c r="A257" i="8"/>
  <c r="A120" i="8"/>
  <c r="A226" i="8"/>
  <c r="A248" i="8"/>
  <c r="A286" i="8"/>
  <c r="A45" i="9" s="1"/>
  <c r="A253" i="8"/>
  <c r="A181" i="8"/>
  <c r="A112" i="8"/>
  <c r="A18" i="8"/>
  <c r="A164" i="8"/>
  <c r="A122" i="8"/>
  <c r="A160" i="8"/>
  <c r="A163" i="8"/>
  <c r="A145" i="8"/>
  <c r="A207" i="8"/>
  <c r="A209" i="8"/>
  <c r="A140" i="8"/>
  <c r="A255" i="8"/>
  <c r="A192" i="8"/>
  <c r="A361" i="8"/>
  <c r="A121" i="8"/>
  <c r="A134" i="8"/>
  <c r="A68" i="8"/>
  <c r="A155" i="8"/>
  <c r="A143" i="8"/>
  <c r="A106" i="8"/>
  <c r="A208" i="8"/>
  <c r="A173" i="8"/>
  <c r="A89" i="8"/>
  <c r="A368" i="8"/>
  <c r="A275" i="8"/>
  <c r="A270" i="8"/>
  <c r="A354" i="8"/>
  <c r="A355" i="8"/>
  <c r="A229" i="8"/>
  <c r="A293" i="8"/>
  <c r="A52" i="9" s="1"/>
  <c r="A239" i="8"/>
  <c r="A264" i="8"/>
  <c r="A196" i="8"/>
  <c r="A318" i="8"/>
  <c r="A302" i="8"/>
  <c r="A61" i="9" s="1"/>
  <c r="A296" i="8"/>
  <c r="A55" i="9" s="1"/>
  <c r="A287" i="8"/>
  <c r="A46" i="9" s="1"/>
  <c r="A283" i="8"/>
  <c r="A249" i="8"/>
  <c r="A227" i="8"/>
  <c r="A290" i="8"/>
  <c r="A49" i="9" s="1"/>
  <c r="A246" i="8"/>
  <c r="A292" i="8"/>
  <c r="A51" i="9" s="1"/>
  <c r="A187" i="8"/>
  <c r="A118" i="8"/>
  <c r="A298" i="8"/>
  <c r="A57" i="9" s="1"/>
  <c r="A289" i="8"/>
  <c r="A48" i="9" s="1"/>
  <c r="A281" i="8"/>
  <c r="A186" i="8"/>
  <c r="A183" i="8"/>
  <c r="A25" i="8"/>
  <c r="A347" i="8"/>
  <c r="A468" i="8"/>
  <c r="A128" i="1" s="1"/>
  <c r="A466" i="8"/>
  <c r="A126" i="1" s="1"/>
  <c r="A26" i="8"/>
  <c r="A216" i="8"/>
  <c r="A385" i="8"/>
  <c r="A3" i="1" s="1"/>
  <c r="A20" i="8"/>
  <c r="A67" i="8"/>
  <c r="A132" i="8"/>
  <c r="A150" i="8"/>
  <c r="A151" i="8"/>
  <c r="A170" i="8"/>
  <c r="A128" i="8"/>
  <c r="A203" i="8"/>
  <c r="A15" i="8"/>
  <c r="A178" i="8"/>
  <c r="A166" i="8"/>
  <c r="A276" i="8"/>
  <c r="A271" i="8"/>
  <c r="A277" i="8"/>
  <c r="A357" i="8"/>
  <c r="A353" i="8"/>
  <c r="A225" i="8"/>
  <c r="A247" i="8"/>
  <c r="A189" i="8"/>
  <c r="A251" i="8"/>
  <c r="A199" i="8"/>
  <c r="A119" i="8"/>
  <c r="A223" i="8"/>
  <c r="A282" i="8"/>
  <c r="A269" i="8"/>
  <c r="A266" i="8"/>
  <c r="A50" i="8"/>
  <c r="A127" i="8"/>
  <c r="A340" i="8"/>
  <c r="A28" i="8"/>
  <c r="A63" i="8"/>
  <c r="A22" i="8"/>
  <c r="A13" i="8"/>
  <c r="A60" i="8"/>
  <c r="A219" i="8"/>
  <c r="A213" i="8"/>
  <c r="A250" i="8"/>
  <c r="A254" i="8"/>
  <c r="A59" i="8"/>
  <c r="A12" i="8"/>
  <c r="A149" i="8"/>
  <c r="A352" i="8"/>
  <c r="A156" i="8"/>
  <c r="A11" i="8"/>
  <c r="A365" i="8"/>
  <c r="A201" i="8"/>
  <c r="A80" i="8"/>
  <c r="A366" i="8"/>
  <c r="A54" i="8"/>
  <c r="A36" i="8"/>
  <c r="A175" i="8"/>
  <c r="A148" i="8"/>
  <c r="A464" i="8"/>
  <c r="A121" i="1" s="1"/>
  <c r="A465" i="8"/>
  <c r="A125" i="1" s="1"/>
  <c r="A82" i="8"/>
  <c r="A38" i="8"/>
  <c r="A206" i="8"/>
  <c r="A24" i="8"/>
  <c r="A217" i="8"/>
  <c r="A364" i="8"/>
  <c r="A90" i="8"/>
  <c r="A37" i="8"/>
  <c r="A161" i="8"/>
  <c r="A222" i="8"/>
  <c r="A261" i="8"/>
  <c r="A76" i="8"/>
  <c r="A56" i="8"/>
  <c r="A136" i="8"/>
  <c r="A467" i="8"/>
  <c r="A127" i="1" s="1"/>
  <c r="A153" i="8"/>
  <c r="A174" i="8"/>
  <c r="A235" i="8"/>
  <c r="A157" i="8"/>
  <c r="A75" i="8"/>
  <c r="A42" i="8"/>
  <c r="A231" i="8"/>
  <c r="A58" i="8"/>
  <c r="A191" i="8"/>
  <c r="A104" i="8"/>
  <c r="A72" i="8"/>
  <c r="A74" i="8"/>
  <c r="A345" i="8"/>
  <c r="A71" i="8"/>
  <c r="A177" i="8"/>
  <c r="A348" i="8"/>
  <c r="A69" i="8"/>
  <c r="A51" i="8"/>
  <c r="A129" i="8"/>
  <c r="A133" i="8"/>
  <c r="A100" i="8"/>
  <c r="A21" i="8"/>
  <c r="A39" i="8"/>
  <c r="A111" i="8"/>
  <c r="A458" i="8"/>
  <c r="A115" i="1" s="1"/>
  <c r="A88" i="8"/>
  <c r="A95" i="8"/>
  <c r="A31" i="8"/>
  <c r="A16" i="8"/>
  <c r="A238" i="8"/>
  <c r="A214" i="8"/>
  <c r="A342" i="8"/>
  <c r="A19" i="8"/>
  <c r="A200" i="8"/>
  <c r="A142" i="8"/>
  <c r="A169" i="8"/>
  <c r="A41" i="8"/>
  <c r="A109" i="8"/>
  <c r="A146" i="8"/>
  <c r="A210" i="8"/>
  <c r="A211" i="8"/>
  <c r="A152" i="8"/>
  <c r="A461" i="8"/>
  <c r="A118" i="1" s="1"/>
  <c r="A256" i="8"/>
  <c r="A190" i="8"/>
  <c r="A234" i="8"/>
  <c r="A126" i="8"/>
  <c r="A55" i="8"/>
  <c r="A457" i="8"/>
  <c r="A113" i="1" s="1"/>
  <c r="A212" i="8"/>
  <c r="A87" i="8"/>
  <c r="A40" i="8"/>
  <c r="A123" i="8"/>
  <c r="A130" i="8"/>
  <c r="A91" i="8"/>
  <c r="A66" i="8"/>
  <c r="A363" i="8"/>
  <c r="A17" i="8"/>
  <c r="A102" i="8"/>
  <c r="A193" i="8"/>
  <c r="A34" i="8"/>
  <c r="A23" i="8"/>
  <c r="A73" i="8"/>
  <c r="A218" i="8"/>
  <c r="A64" i="8"/>
  <c r="A97" i="8"/>
  <c r="A114" i="8"/>
  <c r="A362" i="8"/>
  <c r="A147" i="8"/>
  <c r="A61" i="8"/>
  <c r="A341" i="8"/>
  <c r="A245" i="8"/>
  <c r="A195" i="8"/>
  <c r="A230" i="8"/>
  <c r="A125" i="8"/>
  <c r="A105" i="8"/>
  <c r="A416" i="8"/>
  <c r="A171" i="8"/>
  <c r="A78" i="8"/>
  <c r="A168" i="8"/>
  <c r="A10" i="8"/>
  <c r="A8" i="8"/>
  <c r="A101" i="8"/>
  <c r="A57" i="8"/>
  <c r="A113" i="8"/>
  <c r="A240" i="8"/>
  <c r="A205" i="8"/>
  <c r="A165" i="8"/>
  <c r="A124" i="8"/>
  <c r="A360" i="8"/>
  <c r="A94" i="8"/>
  <c r="A344" i="8"/>
  <c r="A93" i="8"/>
  <c r="A176" i="8"/>
  <c r="A96" i="8"/>
  <c r="A215" i="8"/>
  <c r="A221" i="8"/>
  <c r="A144" i="8"/>
  <c r="A108" i="8"/>
  <c r="A85" i="8"/>
  <c r="A184" i="8"/>
  <c r="A103" i="8"/>
  <c r="A220" i="8"/>
  <c r="A86" i="8"/>
  <c r="A116" i="8"/>
  <c r="A350" i="8"/>
  <c r="A79" i="8"/>
  <c r="A65" i="8"/>
  <c r="A343" i="8"/>
  <c r="A27" i="8"/>
  <c r="A172" i="8"/>
  <c r="A84" i="8"/>
  <c r="A180" i="8"/>
  <c r="A52" i="8"/>
  <c r="A81" i="8"/>
  <c r="A351" i="8"/>
  <c r="A158" i="8"/>
  <c r="A349" i="8"/>
  <c r="A77" i="8"/>
  <c r="A29" i="8"/>
  <c r="A83" i="8"/>
  <c r="A241" i="8"/>
  <c r="H2" i="1"/>
  <c r="I25" i="1"/>
  <c r="I2" i="1" s="1"/>
  <c r="G120" i="1"/>
  <c r="G159" i="2"/>
  <c r="G332" i="4"/>
  <c r="G62" i="10"/>
  <c r="H57" i="10" s="1"/>
  <c r="H62" i="10" s="1"/>
  <c r="I57" i="10" s="1"/>
  <c r="H383" i="4"/>
  <c r="H341" i="4"/>
  <c r="H292" i="4"/>
  <c r="G412" i="4"/>
  <c r="G370" i="4"/>
  <c r="G342" i="4"/>
  <c r="G273" i="4"/>
  <c r="G321" i="4"/>
  <c r="G93" i="10"/>
  <c r="G65" i="10"/>
  <c r="G136" i="10"/>
  <c r="G133" i="10"/>
  <c r="G105" i="10"/>
  <c r="G97" i="10"/>
  <c r="G135" i="10"/>
  <c r="G184" i="2"/>
  <c r="G430" i="2"/>
  <c r="G35" i="2"/>
  <c r="H1300" i="2"/>
  <c r="K695" i="2"/>
  <c r="B21" i="1"/>
  <c r="G19" i="2"/>
  <c r="G443" i="2"/>
  <c r="G439" i="2" s="1"/>
  <c r="G432" i="2"/>
  <c r="H2" i="10"/>
  <c r="H2" i="4"/>
  <c r="H283" i="4" s="1"/>
  <c r="G143" i="2"/>
  <c r="G427" i="2"/>
  <c r="H427" i="2" s="1"/>
  <c r="H47" i="1"/>
  <c r="H57" i="2" s="1"/>
  <c r="H49" i="1"/>
  <c r="I43" i="1"/>
  <c r="I49" i="1" s="1"/>
  <c r="H50" i="1"/>
  <c r="H48" i="1"/>
  <c r="H211" i="2" s="1"/>
  <c r="G131" i="1"/>
  <c r="G53" i="1"/>
  <c r="G160" i="2"/>
  <c r="G714" i="2"/>
  <c r="G659" i="2"/>
  <c r="G677" i="2" s="1"/>
  <c r="G185" i="2"/>
  <c r="G1146" i="2"/>
  <c r="H1146" i="2" s="1"/>
  <c r="H1147" i="2" s="1"/>
  <c r="B26" i="10"/>
  <c r="B49" i="10" s="1"/>
  <c r="B51" i="10" s="1"/>
  <c r="G1272" i="2"/>
  <c r="H1091" i="2"/>
  <c r="H1090" i="2" s="1"/>
  <c r="J60" i="1"/>
  <c r="K60" i="1" s="1"/>
  <c r="L60" i="1" s="1"/>
  <c r="M60" i="1" s="1"/>
  <c r="N60" i="1" s="1"/>
  <c r="G16" i="2"/>
  <c r="H168" i="2"/>
  <c r="H167" i="2" s="1"/>
  <c r="G623" i="2"/>
  <c r="G1348" i="2"/>
  <c r="G1029" i="2"/>
  <c r="G1201" i="2"/>
  <c r="J690" i="2"/>
  <c r="G8" i="2"/>
  <c r="G44" i="1"/>
  <c r="G140" i="1"/>
  <c r="G146" i="1"/>
  <c r="G45" i="1"/>
  <c r="G123" i="1"/>
  <c r="H8" i="2"/>
  <c r="G28" i="1"/>
  <c r="G290" i="2"/>
  <c r="G299" i="2"/>
  <c r="G64" i="1"/>
  <c r="G154" i="4" s="1"/>
  <c r="H1159" i="2"/>
  <c r="I1159" i="2"/>
  <c r="G1300" i="2"/>
  <c r="G1159" i="2"/>
  <c r="H290" i="2"/>
  <c r="G194" i="4"/>
  <c r="BD1088" i="2"/>
  <c r="G58" i="4"/>
  <c r="G101" i="4" s="1"/>
  <c r="I1300" i="2"/>
  <c r="J1300" i="2"/>
  <c r="G125" i="10"/>
  <c r="H64" i="1"/>
  <c r="H119" i="4" s="1"/>
  <c r="G1129" i="2"/>
  <c r="BD1080" i="2"/>
  <c r="J1159" i="2"/>
  <c r="K1159" i="2"/>
  <c r="G1178" i="2"/>
  <c r="H58" i="4"/>
  <c r="H101" i="4" s="1"/>
  <c r="I64" i="1"/>
  <c r="I141" i="4" s="1"/>
  <c r="K1300" i="2"/>
  <c r="L1300" i="2"/>
  <c r="L1159" i="2"/>
  <c r="J64" i="1"/>
  <c r="J119" i="4" s="1"/>
  <c r="H1129" i="2"/>
  <c r="H1136" i="2"/>
  <c r="M1300" i="2"/>
  <c r="M1159" i="2"/>
  <c r="I125" i="10"/>
  <c r="H125" i="10"/>
  <c r="I58" i="4"/>
  <c r="I101" i="4" s="1"/>
  <c r="K64" i="1"/>
  <c r="J58" i="4"/>
  <c r="L64" i="1"/>
  <c r="L148" i="4" s="1"/>
  <c r="L213" i="4" s="1"/>
  <c r="I1129" i="2"/>
  <c r="J125" i="10"/>
  <c r="K58" i="4"/>
  <c r="K101" i="4" s="1"/>
  <c r="M64" i="1"/>
  <c r="M146" i="4" s="1"/>
  <c r="L71" i="4"/>
  <c r="K125" i="10"/>
  <c r="L58" i="4"/>
  <c r="L101" i="4" s="1"/>
  <c r="J1129" i="2"/>
  <c r="M71" i="4"/>
  <c r="M58" i="4"/>
  <c r="M101" i="4" s="1"/>
  <c r="L125" i="10"/>
  <c r="K1129" i="2"/>
  <c r="M125" i="10"/>
  <c r="M1129" i="2"/>
  <c r="L1129" i="2"/>
  <c r="BD127" i="10"/>
  <c r="B415" i="2"/>
  <c r="BD128" i="10"/>
  <c r="BD1161" i="2"/>
  <c r="B172" i="2"/>
  <c r="B147" i="2"/>
  <c r="B174" i="2"/>
  <c r="B149" i="2"/>
  <c r="B176" i="2"/>
  <c r="B151" i="2"/>
  <c r="B31" i="2"/>
  <c r="B12" i="2"/>
  <c r="BD1131" i="2"/>
  <c r="BD1130" i="2"/>
  <c r="BD1132" i="2"/>
  <c r="BD1133" i="2"/>
  <c r="BD1050" i="2"/>
  <c r="B155" i="2"/>
  <c r="B535" i="2"/>
  <c r="B548" i="2"/>
  <c r="B561" i="2"/>
  <c r="B180" i="2"/>
  <c r="B157" i="2"/>
  <c r="B563" i="2"/>
  <c r="B550" i="2"/>
  <c r="B182" i="2"/>
  <c r="BD1048" i="2"/>
  <c r="BD1049" i="2"/>
  <c r="G1306" i="2"/>
  <c r="G1304" i="2"/>
  <c r="G1043" i="2"/>
  <c r="I1306" i="2"/>
  <c r="H1043" i="2"/>
  <c r="J1306" i="2"/>
  <c r="H1306" i="2"/>
  <c r="H1304" i="2"/>
  <c r="K1306" i="2"/>
  <c r="I1304" i="2"/>
  <c r="L1306" i="2"/>
  <c r="I1043" i="2"/>
  <c r="J1304" i="2"/>
  <c r="M1306" i="2"/>
  <c r="J1043" i="2"/>
  <c r="K1304" i="2"/>
  <c r="K1043" i="2"/>
  <c r="L1304" i="2"/>
  <c r="L1043" i="2"/>
  <c r="M1304" i="2"/>
  <c r="M1043" i="2"/>
  <c r="BD1046" i="2"/>
  <c r="BD1047" i="2"/>
  <c r="BD1051" i="2"/>
  <c r="BD1044" i="2"/>
  <c r="BD1052" i="2"/>
  <c r="BD1045" i="2"/>
  <c r="B42" i="10"/>
  <c r="A301" i="7" l="1"/>
  <c r="A290" i="7"/>
  <c r="E290" i="7"/>
  <c r="AO290" i="7"/>
  <c r="Q290" i="7"/>
  <c r="AC290" i="7"/>
  <c r="AT290" i="7"/>
  <c r="V290" i="7"/>
  <c r="AH290" i="7"/>
  <c r="J290" i="7"/>
  <c r="AE290" i="7"/>
  <c r="G290" i="7"/>
  <c r="AQ290" i="7"/>
  <c r="S290" i="7"/>
  <c r="U290" i="7"/>
  <c r="AS290" i="7"/>
  <c r="AG290" i="7"/>
  <c r="I290" i="7"/>
  <c r="AL290" i="7"/>
  <c r="N290" i="7"/>
  <c r="AX290" i="7"/>
  <c r="Z290" i="7"/>
  <c r="AV290" i="7"/>
  <c r="X290" i="7"/>
  <c r="AJ290" i="7"/>
  <c r="L290" i="7"/>
  <c r="M290" i="7"/>
  <c r="AK290" i="7"/>
  <c r="AW290" i="7"/>
  <c r="Y290" i="7"/>
  <c r="AN290" i="7"/>
  <c r="P290" i="7"/>
  <c r="AB290" i="7"/>
  <c r="D290" i="7"/>
  <c r="AF290" i="7"/>
  <c r="H290" i="7"/>
  <c r="AR290" i="7"/>
  <c r="T290" i="7"/>
  <c r="AD290" i="7"/>
  <c r="F290" i="7"/>
  <c r="AP290" i="7"/>
  <c r="R290" i="7"/>
  <c r="AM290" i="7"/>
  <c r="O290" i="7"/>
  <c r="AY290" i="7"/>
  <c r="AA290" i="7"/>
  <c r="AU290" i="7"/>
  <c r="W290" i="7"/>
  <c r="AI290" i="7"/>
  <c r="K290" i="7"/>
  <c r="A145" i="7"/>
  <c r="A189" i="7"/>
  <c r="A220" i="7"/>
  <c r="A76" i="7"/>
  <c r="A158" i="7"/>
  <c r="A167" i="7"/>
  <c r="A177" i="7"/>
  <c r="A130" i="7"/>
  <c r="A191" i="7"/>
  <c r="A159" i="7"/>
  <c r="A168" i="7"/>
  <c r="A178" i="7"/>
  <c r="A134" i="7"/>
  <c r="A192" i="7"/>
  <c r="A209" i="7"/>
  <c r="A196" i="7"/>
  <c r="A160" i="7"/>
  <c r="A169" i="7"/>
  <c r="A179" i="7"/>
  <c r="A237" i="7"/>
  <c r="A84" i="7"/>
  <c r="A193" i="7"/>
  <c r="A211" i="7"/>
  <c r="A197" i="7"/>
  <c r="A3" i="7"/>
  <c r="A161" i="7"/>
  <c r="A171" i="7"/>
  <c r="A180" i="7"/>
  <c r="A224" i="7"/>
  <c r="A94" i="7"/>
  <c r="A27" i="7"/>
  <c r="A31" i="7"/>
  <c r="A194" i="7"/>
  <c r="A202" i="7"/>
  <c r="A263" i="7"/>
  <c r="A162" i="7"/>
  <c r="A172" i="7"/>
  <c r="A181" i="7"/>
  <c r="A218" i="7"/>
  <c r="A225" i="7"/>
  <c r="A115" i="7"/>
  <c r="A74" i="7"/>
  <c r="A33" i="7"/>
  <c r="A195" i="7"/>
  <c r="A163" i="7"/>
  <c r="A173" i="7"/>
  <c r="A182" i="7"/>
  <c r="A99" i="7"/>
  <c r="A112" i="7"/>
  <c r="A77" i="7"/>
  <c r="A205" i="7"/>
  <c r="A75" i="7"/>
  <c r="A156" i="7"/>
  <c r="A165" i="7"/>
  <c r="A174" i="7"/>
  <c r="A184" i="7"/>
  <c r="A82" i="7"/>
  <c r="A128" i="7"/>
  <c r="A26" i="7"/>
  <c r="A108" i="7"/>
  <c r="A78" i="7"/>
  <c r="A125" i="7"/>
  <c r="A216" i="7"/>
  <c r="A166" i="7"/>
  <c r="A176" i="7"/>
  <c r="A185" i="7"/>
  <c r="A231" i="7"/>
  <c r="A92" i="7"/>
  <c r="A496" i="2"/>
  <c r="A506" i="2"/>
  <c r="A497" i="2"/>
  <c r="A507" i="2"/>
  <c r="C496" i="2"/>
  <c r="C506" i="2"/>
  <c r="C508" i="2"/>
  <c r="C503" i="2"/>
  <c r="C501" i="2"/>
  <c r="C497" i="2"/>
  <c r="C507" i="2"/>
  <c r="C494" i="2"/>
  <c r="C504" i="2"/>
  <c r="G506" i="2"/>
  <c r="G502" i="2"/>
  <c r="G505" i="2"/>
  <c r="G501" i="2"/>
  <c r="K975" i="2"/>
  <c r="S975" i="2"/>
  <c r="AA975" i="2"/>
  <c r="AI975" i="2"/>
  <c r="AQ975" i="2"/>
  <c r="AY975" i="2"/>
  <c r="K976" i="2"/>
  <c r="S976" i="2"/>
  <c r="AA976" i="2"/>
  <c r="AI976" i="2"/>
  <c r="AQ976" i="2"/>
  <c r="AY976" i="2"/>
  <c r="H506" i="2"/>
  <c r="H502" i="2"/>
  <c r="H505" i="2"/>
  <c r="H501" i="2"/>
  <c r="A455" i="2"/>
  <c r="A495" i="2"/>
  <c r="C516" i="2"/>
  <c r="C490" i="2"/>
  <c r="A453" i="2"/>
  <c r="A493" i="2"/>
  <c r="A458" i="2"/>
  <c r="A498" i="2"/>
  <c r="C491" i="2"/>
  <c r="C498" i="2"/>
  <c r="C493" i="2"/>
  <c r="A518" i="2"/>
  <c r="A492" i="2"/>
  <c r="A450" i="2"/>
  <c r="A490" i="2"/>
  <c r="A454" i="2"/>
  <c r="A494" i="2"/>
  <c r="G496" i="2"/>
  <c r="G492" i="2"/>
  <c r="G495" i="2"/>
  <c r="G491" i="2"/>
  <c r="G975" i="2"/>
  <c r="O975" i="2"/>
  <c r="W975" i="2"/>
  <c r="AE975" i="2"/>
  <c r="AM975" i="2"/>
  <c r="AU975" i="2"/>
  <c r="G976" i="2"/>
  <c r="O976" i="2"/>
  <c r="W976" i="2"/>
  <c r="AE976" i="2"/>
  <c r="AM976" i="2"/>
  <c r="AU976" i="2"/>
  <c r="H975" i="2"/>
  <c r="P975" i="2"/>
  <c r="X975" i="2"/>
  <c r="AF975" i="2"/>
  <c r="AN975" i="2"/>
  <c r="AV975" i="2"/>
  <c r="H976" i="2"/>
  <c r="P976" i="2"/>
  <c r="X976" i="2"/>
  <c r="AF976" i="2"/>
  <c r="AN976" i="2"/>
  <c r="AV976" i="2"/>
  <c r="I975" i="2"/>
  <c r="Q975" i="2"/>
  <c r="Y975" i="2"/>
  <c r="AG975" i="2"/>
  <c r="AO975" i="2"/>
  <c r="AW975" i="2"/>
  <c r="I976" i="2"/>
  <c r="Q976" i="2"/>
  <c r="Y976" i="2"/>
  <c r="AG976" i="2"/>
  <c r="AO976" i="2"/>
  <c r="AW976" i="2"/>
  <c r="J975" i="2"/>
  <c r="R975" i="2"/>
  <c r="Z975" i="2"/>
  <c r="AH975" i="2"/>
  <c r="AP975" i="2"/>
  <c r="AX975" i="2"/>
  <c r="J976" i="2"/>
  <c r="R976" i="2"/>
  <c r="Z976" i="2"/>
  <c r="AH976" i="2"/>
  <c r="AP976" i="2"/>
  <c r="AX976" i="2"/>
  <c r="H288" i="2"/>
  <c r="H496" i="2"/>
  <c r="H492" i="2"/>
  <c r="H495" i="2"/>
  <c r="A336" i="2"/>
  <c r="A345" i="2"/>
  <c r="C335" i="2"/>
  <c r="C344" i="2"/>
  <c r="C346" i="2"/>
  <c r="C345" i="2"/>
  <c r="C350" i="2"/>
  <c r="C351" i="2"/>
  <c r="C340" i="2"/>
  <c r="C349" i="2"/>
  <c r="A337" i="2"/>
  <c r="A346" i="2"/>
  <c r="A338" i="2"/>
  <c r="A347" i="2"/>
  <c r="C338" i="2"/>
  <c r="C347" i="2"/>
  <c r="B337" i="2"/>
  <c r="B346" i="2"/>
  <c r="A341" i="2"/>
  <c r="A350" i="2"/>
  <c r="A339" i="2"/>
  <c r="A348" i="2"/>
  <c r="A340" i="2"/>
  <c r="A349" i="2"/>
  <c r="A335" i="2"/>
  <c r="A344" i="2"/>
  <c r="C339" i="2"/>
  <c r="C348" i="2"/>
  <c r="A342" i="2"/>
  <c r="A351" i="2"/>
  <c r="H348" i="2"/>
  <c r="H344" i="2"/>
  <c r="G344" i="2"/>
  <c r="G348" i="2"/>
  <c r="G345" i="2" s="1"/>
  <c r="C341" i="2"/>
  <c r="C337" i="2"/>
  <c r="C342" i="2"/>
  <c r="C336" i="2"/>
  <c r="H339" i="2"/>
  <c r="H335" i="2"/>
  <c r="G335" i="2"/>
  <c r="G339" i="2"/>
  <c r="G336" i="2" s="1"/>
  <c r="A297" i="2"/>
  <c r="A327" i="2"/>
  <c r="C296" i="2"/>
  <c r="C326" i="2"/>
  <c r="C327" i="2"/>
  <c r="C332" i="2"/>
  <c r="C328" i="2"/>
  <c r="C333" i="2"/>
  <c r="C370" i="2"/>
  <c r="C331" i="2"/>
  <c r="A296" i="2"/>
  <c r="A326" i="2"/>
  <c r="A298" i="2"/>
  <c r="A328" i="2"/>
  <c r="G293" i="4"/>
  <c r="A302" i="2"/>
  <c r="A332" i="2"/>
  <c r="A299" i="2"/>
  <c r="A329" i="2"/>
  <c r="C1099" i="2"/>
  <c r="C329" i="2"/>
  <c r="B298" i="2"/>
  <c r="B328" i="2"/>
  <c r="A369" i="2"/>
  <c r="A330" i="2"/>
  <c r="A370" i="2"/>
  <c r="A331" i="2"/>
  <c r="C369" i="2"/>
  <c r="C330" i="2"/>
  <c r="A372" i="2"/>
  <c r="A333" i="2"/>
  <c r="H330" i="2"/>
  <c r="H326" i="2"/>
  <c r="G68" i="2"/>
  <c r="G330" i="2"/>
  <c r="G327" i="2" s="1"/>
  <c r="G326" i="2"/>
  <c r="H299" i="2"/>
  <c r="I2" i="10"/>
  <c r="B126" i="1"/>
  <c r="I147" i="4"/>
  <c r="I227" i="4" s="1"/>
  <c r="I132" i="4"/>
  <c r="I113" i="4"/>
  <c r="I50" i="1"/>
  <c r="I311" i="2" s="1"/>
  <c r="J43" i="1"/>
  <c r="J292" i="4" s="1"/>
  <c r="H81" i="1"/>
  <c r="I383" i="4"/>
  <c r="J716" i="2"/>
  <c r="H359" i="2"/>
  <c r="H368" i="2"/>
  <c r="H311" i="2"/>
  <c r="G235" i="2"/>
  <c r="I193" i="4"/>
  <c r="L645" i="2"/>
  <c r="G31" i="1"/>
  <c r="G1067" i="2" s="1"/>
  <c r="I368" i="2"/>
  <c r="H235" i="2"/>
  <c r="H31" i="1"/>
  <c r="H661" i="2"/>
  <c r="L1025" i="2"/>
  <c r="G380" i="2"/>
  <c r="G320" i="2"/>
  <c r="G259" i="2"/>
  <c r="I48" i="1"/>
  <c r="G77" i="2"/>
  <c r="G441" i="2"/>
  <c r="H380" i="2"/>
  <c r="H320" i="2"/>
  <c r="H259" i="2"/>
  <c r="I380" i="2"/>
  <c r="I320" i="2"/>
  <c r="G740" i="2"/>
  <c r="M131" i="4"/>
  <c r="I292" i="4"/>
  <c r="M690" i="2"/>
  <c r="G718" i="2"/>
  <c r="G359" i="2"/>
  <c r="G368" i="2"/>
  <c r="G311" i="2"/>
  <c r="C847" i="2"/>
  <c r="C843" i="2"/>
  <c r="C839" i="2"/>
  <c r="C836" i="2"/>
  <c r="C850" i="2"/>
  <c r="C846" i="2"/>
  <c r="C842" i="2"/>
  <c r="C838" i="2"/>
  <c r="C853" i="2"/>
  <c r="C851" i="2"/>
  <c r="C849" i="2"/>
  <c r="C845" i="2"/>
  <c r="C841" i="2"/>
  <c r="C837" i="2"/>
  <c r="C835" i="2"/>
  <c r="C852" i="2"/>
  <c r="C848" i="2"/>
  <c r="C844" i="2"/>
  <c r="C840" i="2"/>
  <c r="C831" i="2"/>
  <c r="C830" i="2"/>
  <c r="C829" i="2"/>
  <c r="G834" i="2"/>
  <c r="A792" i="2"/>
  <c r="A818" i="2"/>
  <c r="A783" i="2"/>
  <c r="A809" i="2"/>
  <c r="A793" i="2"/>
  <c r="A819" i="2"/>
  <c r="A801" i="2"/>
  <c r="A827" i="2"/>
  <c r="A785" i="2"/>
  <c r="A811" i="2"/>
  <c r="A784" i="2"/>
  <c r="A810" i="2"/>
  <c r="A794" i="2"/>
  <c r="A820" i="2"/>
  <c r="A777" i="2"/>
  <c r="A803" i="2"/>
  <c r="A786" i="2"/>
  <c r="A812" i="2"/>
  <c r="A795" i="2"/>
  <c r="A821" i="2"/>
  <c r="A791" i="2"/>
  <c r="A817" i="2"/>
  <c r="A778" i="2"/>
  <c r="A804" i="2"/>
  <c r="A787" i="2"/>
  <c r="A813" i="2"/>
  <c r="A796" i="2"/>
  <c r="A822" i="2"/>
  <c r="A779" i="2"/>
  <c r="A805" i="2"/>
  <c r="A788" i="2"/>
  <c r="A814" i="2"/>
  <c r="A797" i="2"/>
  <c r="A823" i="2"/>
  <c r="A780" i="2"/>
  <c r="A806" i="2"/>
  <c r="A789" i="2"/>
  <c r="A815" i="2"/>
  <c r="A798" i="2"/>
  <c r="A824" i="2"/>
  <c r="A781" i="2"/>
  <c r="A807" i="2"/>
  <c r="A790" i="2"/>
  <c r="A816" i="2"/>
  <c r="A799" i="2"/>
  <c r="A825" i="2"/>
  <c r="C780" i="2"/>
  <c r="C806" i="2"/>
  <c r="A782" i="2"/>
  <c r="A808" i="2"/>
  <c r="A800" i="2"/>
  <c r="A826" i="2"/>
  <c r="C821" i="2"/>
  <c r="C817" i="2"/>
  <c r="C813" i="2"/>
  <c r="C810" i="2"/>
  <c r="C803" i="2"/>
  <c r="C824" i="2"/>
  <c r="C820" i="2"/>
  <c r="C816" i="2"/>
  <c r="C812" i="2"/>
  <c r="C809" i="2"/>
  <c r="C827" i="2"/>
  <c r="C825" i="2"/>
  <c r="C823" i="2"/>
  <c r="C819" i="2"/>
  <c r="C815" i="2"/>
  <c r="C811" i="2"/>
  <c r="C804" i="2"/>
  <c r="C826" i="2"/>
  <c r="C822" i="2"/>
  <c r="C818" i="2"/>
  <c r="C814" i="2"/>
  <c r="C805" i="2"/>
  <c r="G808" i="2"/>
  <c r="C795" i="2"/>
  <c r="C791" i="2"/>
  <c r="C787" i="2"/>
  <c r="C779" i="2"/>
  <c r="C783" i="2"/>
  <c r="C798" i="2"/>
  <c r="C794" i="2"/>
  <c r="C790" i="2"/>
  <c r="C786" i="2"/>
  <c r="C801" i="2"/>
  <c r="C799" i="2"/>
  <c r="C797" i="2"/>
  <c r="C793" i="2"/>
  <c r="C789" i="2"/>
  <c r="C785" i="2"/>
  <c r="C800" i="2"/>
  <c r="C796" i="2"/>
  <c r="C792" i="2"/>
  <c r="C788" i="2"/>
  <c r="C784" i="2"/>
  <c r="C777" i="2"/>
  <c r="C778" i="2"/>
  <c r="G782" i="2"/>
  <c r="H782" i="2" s="1"/>
  <c r="A659" i="2"/>
  <c r="A756" i="2"/>
  <c r="A766" i="2"/>
  <c r="A774" i="2"/>
  <c r="C366" i="2"/>
  <c r="C769" i="2"/>
  <c r="C765" i="2"/>
  <c r="C761" i="2"/>
  <c r="C757" i="2"/>
  <c r="C772" i="2"/>
  <c r="C768" i="2"/>
  <c r="C764" i="2"/>
  <c r="C760" i="2"/>
  <c r="C775" i="2"/>
  <c r="C773" i="2"/>
  <c r="C771" i="2"/>
  <c r="C767" i="2"/>
  <c r="C763" i="2"/>
  <c r="C759" i="2"/>
  <c r="C758" i="2"/>
  <c r="C751" i="2"/>
  <c r="C774" i="2"/>
  <c r="C770" i="2"/>
  <c r="C766" i="2"/>
  <c r="C762" i="2"/>
  <c r="C753" i="2"/>
  <c r="C752" i="2"/>
  <c r="A757" i="2"/>
  <c r="A670" i="2"/>
  <c r="A767" i="2"/>
  <c r="A775" i="2"/>
  <c r="A759" i="2"/>
  <c r="A758" i="2"/>
  <c r="A768" i="2"/>
  <c r="A751" i="2"/>
  <c r="A760" i="2"/>
  <c r="A769" i="2"/>
  <c r="A723" i="2"/>
  <c r="A765" i="2"/>
  <c r="A752" i="2"/>
  <c r="A761" i="2"/>
  <c r="A770" i="2"/>
  <c r="A753" i="2"/>
  <c r="A762" i="2"/>
  <c r="A771" i="2"/>
  <c r="A754" i="2"/>
  <c r="A763" i="2"/>
  <c r="A675" i="2"/>
  <c r="A772" i="2"/>
  <c r="A755" i="2"/>
  <c r="A764" i="2"/>
  <c r="A773" i="2"/>
  <c r="C924" i="2"/>
  <c r="C754" i="2"/>
  <c r="H48" i="2"/>
  <c r="H47" i="2" s="1"/>
  <c r="G48" i="2"/>
  <c r="G756" i="2"/>
  <c r="H1209" i="2"/>
  <c r="H296" i="2"/>
  <c r="A49" i="2"/>
  <c r="C50" i="2"/>
  <c r="C56" i="2"/>
  <c r="A58" i="2"/>
  <c r="A60" i="2"/>
  <c r="C65" i="2"/>
  <c r="C53" i="2"/>
  <c r="A59" i="2"/>
  <c r="A47" i="2"/>
  <c r="A51" i="2"/>
  <c r="A54" i="2"/>
  <c r="A57" i="2"/>
  <c r="C59" i="2"/>
  <c r="A48" i="2"/>
  <c r="C51" i="2"/>
  <c r="C54" i="2"/>
  <c r="C57" i="2"/>
  <c r="A61" i="2"/>
  <c r="A63" i="2"/>
  <c r="C61" i="2"/>
  <c r="C63" i="2"/>
  <c r="C49" i="2"/>
  <c r="A52" i="2"/>
  <c r="A55" i="2"/>
  <c r="A62" i="2"/>
  <c r="A64" i="2"/>
  <c r="C52" i="2"/>
  <c r="C55" i="2"/>
  <c r="C62" i="2"/>
  <c r="C64" i="2"/>
  <c r="A50" i="2"/>
  <c r="A53" i="2"/>
  <c r="A56" i="2"/>
  <c r="A65" i="2"/>
  <c r="G1108" i="2"/>
  <c r="G1109" i="2" s="1"/>
  <c r="G61" i="2"/>
  <c r="G49" i="2" s="1"/>
  <c r="G58" i="2"/>
  <c r="H58" i="2" s="1"/>
  <c r="C188" i="2"/>
  <c r="G1255" i="2"/>
  <c r="M1238" i="2"/>
  <c r="M1256" i="2" s="1"/>
  <c r="H1255" i="2"/>
  <c r="AS1238" i="2"/>
  <c r="AS1256" i="2" s="1"/>
  <c r="C579" i="2"/>
  <c r="C155" i="2"/>
  <c r="C1230" i="2"/>
  <c r="C1232" i="2"/>
  <c r="A1236" i="2"/>
  <c r="A1238" i="2"/>
  <c r="A1242" i="2"/>
  <c r="A1227" i="2"/>
  <c r="C1236" i="2"/>
  <c r="C1238" i="2"/>
  <c r="C1242" i="2"/>
  <c r="C1227" i="2"/>
  <c r="A1233" i="2"/>
  <c r="A1237" i="2"/>
  <c r="A1243" i="2"/>
  <c r="A1228" i="2"/>
  <c r="A1231" i="2"/>
  <c r="C1233" i="2"/>
  <c r="C1237" i="2"/>
  <c r="A1240" i="2"/>
  <c r="C1243" i="2"/>
  <c r="C1228" i="2"/>
  <c r="C1231" i="2"/>
  <c r="A1234" i="2"/>
  <c r="C1225" i="2"/>
  <c r="A1229" i="2"/>
  <c r="C1234" i="2"/>
  <c r="A1239" i="2"/>
  <c r="C1240" i="2"/>
  <c r="A1226" i="2"/>
  <c r="C1229" i="2"/>
  <c r="A1235" i="2"/>
  <c r="C1239" i="2"/>
  <c r="A1241" i="2"/>
  <c r="C1226" i="2"/>
  <c r="A1230" i="2"/>
  <c r="A1232" i="2"/>
  <c r="C1235" i="2"/>
  <c r="C1241" i="2"/>
  <c r="AC1238" i="2"/>
  <c r="AC1256" i="2" s="1"/>
  <c r="AQ1238" i="2"/>
  <c r="AQ1256" i="2" s="1"/>
  <c r="AA1238" i="2"/>
  <c r="AA1256" i="2" s="1"/>
  <c r="K1238" i="2"/>
  <c r="K1256" i="2" s="1"/>
  <c r="BB1238" i="2"/>
  <c r="BB1256" i="2" s="1"/>
  <c r="AL1238" i="2"/>
  <c r="AL1256" i="2" s="1"/>
  <c r="V1238" i="2"/>
  <c r="V1256" i="2" s="1"/>
  <c r="AT1238" i="2"/>
  <c r="AT1256" i="2" s="1"/>
  <c r="AD1238" i="2"/>
  <c r="AD1256" i="2" s="1"/>
  <c r="N1238" i="2"/>
  <c r="N1256" i="2" s="1"/>
  <c r="AE1238" i="2"/>
  <c r="AE1256" i="2" s="1"/>
  <c r="AI1238" i="2"/>
  <c r="AI1256" i="2" s="1"/>
  <c r="G36" i="2"/>
  <c r="AK1238" i="2"/>
  <c r="AK1256" i="2" s="1"/>
  <c r="H1238" i="2"/>
  <c r="H1256" i="2" s="1"/>
  <c r="P1238" i="2"/>
  <c r="P1256" i="2" s="1"/>
  <c r="X1238" i="2"/>
  <c r="X1256" i="2" s="1"/>
  <c r="AF1238" i="2"/>
  <c r="AF1256" i="2" s="1"/>
  <c r="AN1238" i="2"/>
  <c r="AN1256" i="2" s="1"/>
  <c r="AV1238" i="2"/>
  <c r="AV1256" i="2" s="1"/>
  <c r="G1243" i="2"/>
  <c r="G1235" i="2"/>
  <c r="I1238" i="2"/>
  <c r="I1256" i="2" s="1"/>
  <c r="Q1238" i="2"/>
  <c r="Q1256" i="2" s="1"/>
  <c r="Y1238" i="2"/>
  <c r="Y1256" i="2" s="1"/>
  <c r="AG1238" i="2"/>
  <c r="AG1256" i="2" s="1"/>
  <c r="AO1238" i="2"/>
  <c r="AO1256" i="2" s="1"/>
  <c r="AW1238" i="2"/>
  <c r="AW1256" i="2" s="1"/>
  <c r="O1238" i="2"/>
  <c r="O1256" i="2" s="1"/>
  <c r="AU1238" i="2"/>
  <c r="AU1256" i="2" s="1"/>
  <c r="S1238" i="2"/>
  <c r="S1256" i="2" s="1"/>
  <c r="AY1238" i="2"/>
  <c r="AY1256" i="2" s="1"/>
  <c r="H1243" i="2"/>
  <c r="H1257" i="2" s="1"/>
  <c r="H927" i="2"/>
  <c r="H979" i="2" s="1"/>
  <c r="U1238" i="2"/>
  <c r="U1256" i="2" s="1"/>
  <c r="BA1238" i="2"/>
  <c r="BA1256" i="2" s="1"/>
  <c r="G1242" i="2"/>
  <c r="G1258" i="2" s="1"/>
  <c r="G1238" i="2"/>
  <c r="G1256" i="2" s="1"/>
  <c r="W1238" i="2"/>
  <c r="W1256" i="2" s="1"/>
  <c r="AM1238" i="2"/>
  <c r="AM1256" i="2" s="1"/>
  <c r="BD1237" i="2"/>
  <c r="L1238" i="2"/>
  <c r="L1256" i="2" s="1"/>
  <c r="T1238" i="2"/>
  <c r="T1256" i="2" s="1"/>
  <c r="AB1238" i="2"/>
  <c r="AB1256" i="2" s="1"/>
  <c r="AJ1238" i="2"/>
  <c r="AJ1256" i="2" s="1"/>
  <c r="AR1238" i="2"/>
  <c r="AR1256" i="2" s="1"/>
  <c r="AZ1238" i="2"/>
  <c r="AZ1256" i="2" s="1"/>
  <c r="J1238" i="2"/>
  <c r="J1256" i="2" s="1"/>
  <c r="R1238" i="2"/>
  <c r="R1256" i="2" s="1"/>
  <c r="Z1238" i="2"/>
  <c r="Z1256" i="2" s="1"/>
  <c r="AH1238" i="2"/>
  <c r="AH1256" i="2" s="1"/>
  <c r="AP1238" i="2"/>
  <c r="AP1256" i="2" s="1"/>
  <c r="AX1238" i="2"/>
  <c r="AX1256" i="2" s="1"/>
  <c r="BD124" i="4"/>
  <c r="A361" i="4"/>
  <c r="J739" i="2"/>
  <c r="AV739" i="2"/>
  <c r="AP739" i="2"/>
  <c r="AE739" i="2"/>
  <c r="Q739" i="2"/>
  <c r="AO739" i="2"/>
  <c r="AA739" i="2"/>
  <c r="P739" i="2"/>
  <c r="AY739" i="2"/>
  <c r="AN739" i="2"/>
  <c r="Z739" i="2"/>
  <c r="O739" i="2"/>
  <c r="AX739" i="2"/>
  <c r="AM739" i="2"/>
  <c r="Y739" i="2"/>
  <c r="K739" i="2"/>
  <c r="AQ739" i="2"/>
  <c r="AF739" i="2"/>
  <c r="R739" i="2"/>
  <c r="G739" i="2"/>
  <c r="S739" i="2"/>
  <c r="AW739" i="2"/>
  <c r="W739" i="2"/>
  <c r="U898" i="2"/>
  <c r="X739" i="2"/>
  <c r="AG739" i="2"/>
  <c r="AH739" i="2"/>
  <c r="H739" i="2"/>
  <c r="AI739" i="2"/>
  <c r="I739" i="2"/>
  <c r="AU739" i="2"/>
  <c r="K111" i="4"/>
  <c r="AZ903" i="2"/>
  <c r="BA903" i="2"/>
  <c r="BD914" i="2"/>
  <c r="BD745" i="2"/>
  <c r="C737" i="2"/>
  <c r="C735" i="2"/>
  <c r="C741" i="2"/>
  <c r="C745" i="2"/>
  <c r="C738" i="2"/>
  <c r="C742" i="2"/>
  <c r="C736" i="2"/>
  <c r="C743" i="2"/>
  <c r="C739" i="2"/>
  <c r="C740" i="2"/>
  <c r="A737" i="2"/>
  <c r="C744" i="2"/>
  <c r="C746" i="2"/>
  <c r="V903" i="2"/>
  <c r="O903" i="2"/>
  <c r="AE903" i="2"/>
  <c r="AM903" i="2"/>
  <c r="AU903" i="2"/>
  <c r="AB898" i="2"/>
  <c r="H903" i="2"/>
  <c r="P903" i="2"/>
  <c r="X903" i="2"/>
  <c r="AF903" i="2"/>
  <c r="AN903" i="2"/>
  <c r="AV903" i="2"/>
  <c r="AK898" i="2"/>
  <c r="T927" i="2"/>
  <c r="T979" i="2" s="1"/>
  <c r="I903" i="2"/>
  <c r="AM898" i="2"/>
  <c r="X873" i="2"/>
  <c r="X965" i="2" s="1"/>
  <c r="Z927" i="2"/>
  <c r="Z979" i="2" s="1"/>
  <c r="AR898" i="2"/>
  <c r="W903" i="2"/>
  <c r="AI927" i="2"/>
  <c r="AI979" i="2" s="1"/>
  <c r="BA898" i="2"/>
  <c r="AS903" i="2"/>
  <c r="AJ927" i="2"/>
  <c r="AJ979" i="2" s="1"/>
  <c r="L903" i="2"/>
  <c r="AJ903" i="2"/>
  <c r="G898" i="2"/>
  <c r="AZ927" i="2"/>
  <c r="AZ979" i="2" s="1"/>
  <c r="L898" i="2"/>
  <c r="L739" i="2"/>
  <c r="T739" i="2"/>
  <c r="AB739" i="2"/>
  <c r="AJ739" i="2"/>
  <c r="AR739" i="2"/>
  <c r="AZ739" i="2"/>
  <c r="M739" i="2"/>
  <c r="U739" i="2"/>
  <c r="AC739" i="2"/>
  <c r="AK739" i="2"/>
  <c r="AS739" i="2"/>
  <c r="BA739" i="2"/>
  <c r="N739" i="2"/>
  <c r="N72" i="4" s="1"/>
  <c r="V739" i="2"/>
  <c r="AD739" i="2"/>
  <c r="AL739" i="2"/>
  <c r="AT739" i="2"/>
  <c r="BB739" i="2"/>
  <c r="A889" i="2"/>
  <c r="A893" i="2"/>
  <c r="C898" i="2"/>
  <c r="A900" i="2"/>
  <c r="C903" i="2"/>
  <c r="A905" i="2"/>
  <c r="A909" i="2"/>
  <c r="A913" i="2"/>
  <c r="C889" i="2"/>
  <c r="C893" i="2"/>
  <c r="C905" i="2"/>
  <c r="C909" i="2"/>
  <c r="C913" i="2"/>
  <c r="A894" i="2"/>
  <c r="C900" i="2"/>
  <c r="A906" i="2"/>
  <c r="A910" i="2"/>
  <c r="A888" i="2"/>
  <c r="A890" i="2"/>
  <c r="C894" i="2"/>
  <c r="A896" i="2"/>
  <c r="A901" i="2"/>
  <c r="C906" i="2"/>
  <c r="C910" i="2"/>
  <c r="C890" i="2"/>
  <c r="A895" i="2"/>
  <c r="A897" i="2"/>
  <c r="C901" i="2"/>
  <c r="A907" i="2"/>
  <c r="A911" i="2"/>
  <c r="A915" i="2"/>
  <c r="C888" i="2"/>
  <c r="A891" i="2"/>
  <c r="C897" i="2"/>
  <c r="A902" i="2"/>
  <c r="C907" i="2"/>
  <c r="C911" i="2"/>
  <c r="C915" i="2"/>
  <c r="C891" i="2"/>
  <c r="A899" i="2"/>
  <c r="C902" i="2"/>
  <c r="A904" i="2"/>
  <c r="A908" i="2"/>
  <c r="A912" i="2"/>
  <c r="A914" i="2"/>
  <c r="A916" i="2"/>
  <c r="A892" i="2"/>
  <c r="A898" i="2"/>
  <c r="C899" i="2"/>
  <c r="A903" i="2"/>
  <c r="C904" i="2"/>
  <c r="C908" i="2"/>
  <c r="C912" i="2"/>
  <c r="C914" i="2"/>
  <c r="C916" i="2"/>
  <c r="G896" i="2"/>
  <c r="H896" i="2" s="1"/>
  <c r="H915" i="2" s="1"/>
  <c r="G26" i="2"/>
  <c r="G25" i="2" s="1"/>
  <c r="G1275" i="2"/>
  <c r="H1275" i="2" s="1"/>
  <c r="G7" i="2"/>
  <c r="H7" i="2" s="1"/>
  <c r="G280" i="2"/>
  <c r="AH927" i="2"/>
  <c r="AH979" i="2" s="1"/>
  <c r="AY898" i="2"/>
  <c r="AQ898" i="2"/>
  <c r="AI898" i="2"/>
  <c r="AA898" i="2"/>
  <c r="S898" i="2"/>
  <c r="K898" i="2"/>
  <c r="AX898" i="2"/>
  <c r="AP898" i="2"/>
  <c r="AH898" i="2"/>
  <c r="Z898" i="2"/>
  <c r="R898" i="2"/>
  <c r="J898" i="2"/>
  <c r="AW898" i="2"/>
  <c r="AO898" i="2"/>
  <c r="AG898" i="2"/>
  <c r="Y898" i="2"/>
  <c r="Q898" i="2"/>
  <c r="I898" i="2"/>
  <c r="BB898" i="2"/>
  <c r="AT898" i="2"/>
  <c r="AL898" i="2"/>
  <c r="AD898" i="2"/>
  <c r="V898" i="2"/>
  <c r="N898" i="2"/>
  <c r="AZ898" i="2"/>
  <c r="AJ898" i="2"/>
  <c r="T898" i="2"/>
  <c r="AV898" i="2"/>
  <c r="AF898" i="2"/>
  <c r="P898" i="2"/>
  <c r="AU898" i="2"/>
  <c r="AE898" i="2"/>
  <c r="O898" i="2"/>
  <c r="AS898" i="2"/>
  <c r="AC898" i="2"/>
  <c r="M898" i="2"/>
  <c r="J903" i="2"/>
  <c r="H898" i="2"/>
  <c r="AN898" i="2"/>
  <c r="C895" i="2"/>
  <c r="M903" i="2"/>
  <c r="U903" i="2"/>
  <c r="AC903" i="2"/>
  <c r="AK903" i="2"/>
  <c r="W898" i="2"/>
  <c r="S903" i="2"/>
  <c r="N903" i="2"/>
  <c r="AD903" i="2"/>
  <c r="AL903" i="2"/>
  <c r="AT903" i="2"/>
  <c r="BB903" i="2"/>
  <c r="X898" i="2"/>
  <c r="G900" i="2"/>
  <c r="T903" i="2"/>
  <c r="BD939" i="2"/>
  <c r="G903" i="2"/>
  <c r="BD895" i="2"/>
  <c r="Q903" i="2"/>
  <c r="Y903" i="2"/>
  <c r="AG903" i="2"/>
  <c r="AO903" i="2"/>
  <c r="AW903" i="2"/>
  <c r="R903" i="2"/>
  <c r="Z903" i="2"/>
  <c r="AH903" i="2"/>
  <c r="AP903" i="2"/>
  <c r="AX903" i="2"/>
  <c r="K903" i="2"/>
  <c r="AA903" i="2"/>
  <c r="AI903" i="2"/>
  <c r="AQ903" i="2"/>
  <c r="AY903" i="2"/>
  <c r="AB903" i="2"/>
  <c r="AR903" i="2"/>
  <c r="BD913" i="2"/>
  <c r="C922" i="2"/>
  <c r="C926" i="2"/>
  <c r="A928" i="2"/>
  <c r="C928" i="2"/>
  <c r="C932" i="2"/>
  <c r="C936" i="2"/>
  <c r="C923" i="2"/>
  <c r="C927" i="2"/>
  <c r="C929" i="2"/>
  <c r="C933" i="2"/>
  <c r="C937" i="2"/>
  <c r="A934" i="2"/>
  <c r="C930" i="2"/>
  <c r="C934" i="2"/>
  <c r="C938" i="2"/>
  <c r="C940" i="2"/>
  <c r="C931" i="2"/>
  <c r="C935" i="2"/>
  <c r="C939" i="2"/>
  <c r="C941" i="2"/>
  <c r="G929" i="2"/>
  <c r="G925" i="2"/>
  <c r="J927" i="2"/>
  <c r="J979" i="2" s="1"/>
  <c r="AP927" i="2"/>
  <c r="AP979" i="2" s="1"/>
  <c r="C921" i="2"/>
  <c r="R927" i="2"/>
  <c r="R979" i="2" s="1"/>
  <c r="AX927" i="2"/>
  <c r="AX979" i="2" s="1"/>
  <c r="AU927" i="2"/>
  <c r="AU979" i="2" s="1"/>
  <c r="AM927" i="2"/>
  <c r="AM979" i="2" s="1"/>
  <c r="AE927" i="2"/>
  <c r="AE979" i="2" s="1"/>
  <c r="W927" i="2"/>
  <c r="W979" i="2" s="1"/>
  <c r="O927" i="2"/>
  <c r="O979" i="2" s="1"/>
  <c r="G927" i="2"/>
  <c r="G979" i="2" s="1"/>
  <c r="BB927" i="2"/>
  <c r="BB979" i="2" s="1"/>
  <c r="AT927" i="2"/>
  <c r="AT979" i="2" s="1"/>
  <c r="AL927" i="2"/>
  <c r="AL979" i="2" s="1"/>
  <c r="AD927" i="2"/>
  <c r="AD979" i="2" s="1"/>
  <c r="V927" i="2"/>
  <c r="V979" i="2" s="1"/>
  <c r="N927" i="2"/>
  <c r="N979" i="2" s="1"/>
  <c r="BA927" i="2"/>
  <c r="BA979" i="2" s="1"/>
  <c r="AS927" i="2"/>
  <c r="AS979" i="2" s="1"/>
  <c r="AK927" i="2"/>
  <c r="AK979" i="2" s="1"/>
  <c r="AC927" i="2"/>
  <c r="AC979" i="2" s="1"/>
  <c r="U927" i="2"/>
  <c r="U979" i="2" s="1"/>
  <c r="M927" i="2"/>
  <c r="M979" i="2" s="1"/>
  <c r="AV927" i="2"/>
  <c r="AV979" i="2" s="1"/>
  <c r="AN927" i="2"/>
  <c r="AN979" i="2" s="1"/>
  <c r="AF927" i="2"/>
  <c r="AF979" i="2" s="1"/>
  <c r="X927" i="2"/>
  <c r="X979" i="2" s="1"/>
  <c r="P927" i="2"/>
  <c r="P979" i="2" s="1"/>
  <c r="AW927" i="2"/>
  <c r="AW979" i="2" s="1"/>
  <c r="AG927" i="2"/>
  <c r="AG979" i="2" s="1"/>
  <c r="Q927" i="2"/>
  <c r="Q979" i="2" s="1"/>
  <c r="AR927" i="2"/>
  <c r="AR979" i="2" s="1"/>
  <c r="AB927" i="2"/>
  <c r="AB979" i="2" s="1"/>
  <c r="L927" i="2"/>
  <c r="L979" i="2" s="1"/>
  <c r="AQ927" i="2"/>
  <c r="AQ979" i="2" s="1"/>
  <c r="AA927" i="2"/>
  <c r="AA979" i="2" s="1"/>
  <c r="K927" i="2"/>
  <c r="K979" i="2" s="1"/>
  <c r="AO927" i="2"/>
  <c r="AO979" i="2" s="1"/>
  <c r="Y927" i="2"/>
  <c r="Y979" i="2" s="1"/>
  <c r="I927" i="2"/>
  <c r="I979" i="2" s="1"/>
  <c r="S927" i="2"/>
  <c r="S979" i="2" s="1"/>
  <c r="AY927" i="2"/>
  <c r="AY979" i="2" s="1"/>
  <c r="L873" i="2"/>
  <c r="T873" i="2"/>
  <c r="AB873" i="2"/>
  <c r="AB965" i="2" s="1"/>
  <c r="AJ873" i="2"/>
  <c r="AR873" i="2"/>
  <c r="AZ873" i="2"/>
  <c r="W873" i="2"/>
  <c r="W965" i="2" s="1"/>
  <c r="G1220" i="2"/>
  <c r="G1221" i="2" s="1"/>
  <c r="G1278" i="2"/>
  <c r="H1278" i="2" s="1"/>
  <c r="G1037" i="2"/>
  <c r="H1037" i="2" s="1"/>
  <c r="G39" i="2"/>
  <c r="G27" i="2" s="1"/>
  <c r="P873" i="2"/>
  <c r="AF873" i="2"/>
  <c r="AV873" i="2"/>
  <c r="Y873" i="2"/>
  <c r="AG873" i="2"/>
  <c r="J873" i="2"/>
  <c r="R873" i="2"/>
  <c r="Z873" i="2"/>
  <c r="AH873" i="2"/>
  <c r="AH965" i="2" s="1"/>
  <c r="AP873" i="2"/>
  <c r="AX873" i="2"/>
  <c r="C1013" i="2"/>
  <c r="A149" i="4"/>
  <c r="U868" i="2"/>
  <c r="U964" i="2" s="1"/>
  <c r="H144" i="2"/>
  <c r="BA868" i="2"/>
  <c r="AT868" i="2"/>
  <c r="AB868" i="2"/>
  <c r="BD884" i="2"/>
  <c r="BD883" i="2"/>
  <c r="C858" i="2"/>
  <c r="C861" i="2"/>
  <c r="C872" i="2"/>
  <c r="A869" i="2"/>
  <c r="C875" i="2"/>
  <c r="C879" i="2"/>
  <c r="C883" i="2"/>
  <c r="C868" i="2"/>
  <c r="C869" i="2"/>
  <c r="C873" i="2"/>
  <c r="A876" i="2"/>
  <c r="C876" i="2"/>
  <c r="C880" i="2"/>
  <c r="C870" i="2"/>
  <c r="C864" i="2"/>
  <c r="C877" i="2"/>
  <c r="C881" i="2"/>
  <c r="C885" i="2"/>
  <c r="C860" i="2"/>
  <c r="C871" i="2"/>
  <c r="C867" i="2"/>
  <c r="C874" i="2"/>
  <c r="C878" i="2"/>
  <c r="C882" i="2"/>
  <c r="C884" i="2"/>
  <c r="C886" i="2"/>
  <c r="N868" i="2"/>
  <c r="AM868" i="2"/>
  <c r="Q873" i="2"/>
  <c r="AW873" i="2"/>
  <c r="S868" i="2"/>
  <c r="AR868" i="2"/>
  <c r="AR964" i="2" s="1"/>
  <c r="AX868" i="2"/>
  <c r="AP868" i="2"/>
  <c r="AH868" i="2"/>
  <c r="AH964" i="2" s="1"/>
  <c r="Z868" i="2"/>
  <c r="R868" i="2"/>
  <c r="J868" i="2"/>
  <c r="AW868" i="2"/>
  <c r="AO868" i="2"/>
  <c r="AG868" i="2"/>
  <c r="Y868" i="2"/>
  <c r="Q868" i="2"/>
  <c r="Q964" i="2" s="1"/>
  <c r="I868" i="2"/>
  <c r="AV868" i="2"/>
  <c r="AN868" i="2"/>
  <c r="AF868" i="2"/>
  <c r="X868" i="2"/>
  <c r="P868" i="2"/>
  <c r="H868" i="2"/>
  <c r="AZ868" i="2"/>
  <c r="AZ964" i="2" s="1"/>
  <c r="AL868" i="2"/>
  <c r="AA868" i="2"/>
  <c r="M868" i="2"/>
  <c r="AY868" i="2"/>
  <c r="AY964" i="2" s="1"/>
  <c r="AK868" i="2"/>
  <c r="AK964" i="2" s="1"/>
  <c r="W868" i="2"/>
  <c r="L868" i="2"/>
  <c r="L964" i="2" s="1"/>
  <c r="AU868" i="2"/>
  <c r="AJ868" i="2"/>
  <c r="V868" i="2"/>
  <c r="V964" i="2" s="1"/>
  <c r="K868" i="2"/>
  <c r="BB868" i="2"/>
  <c r="AQ868" i="2"/>
  <c r="AQ964" i="2" s="1"/>
  <c r="AC868" i="2"/>
  <c r="AC964" i="2" s="1"/>
  <c r="O868" i="2"/>
  <c r="O964" i="2" s="1"/>
  <c r="T868" i="2"/>
  <c r="T964" i="2" s="1"/>
  <c r="AS868" i="2"/>
  <c r="G866" i="2"/>
  <c r="G885" i="2" s="1"/>
  <c r="C859" i="2"/>
  <c r="C865" i="2"/>
  <c r="M873" i="2"/>
  <c r="M965" i="2" s="1"/>
  <c r="U873" i="2"/>
  <c r="AC873" i="2"/>
  <c r="AC965" i="2" s="1"/>
  <c r="AK873" i="2"/>
  <c r="AK965" i="2" s="1"/>
  <c r="AS873" i="2"/>
  <c r="AS965" i="2" s="1"/>
  <c r="BA873" i="2"/>
  <c r="AD868" i="2"/>
  <c r="G873" i="2"/>
  <c r="AM873" i="2"/>
  <c r="AM965" i="2" s="1"/>
  <c r="G870" i="2"/>
  <c r="N873" i="2"/>
  <c r="V873" i="2"/>
  <c r="V965" i="2" s="1"/>
  <c r="AD873" i="2"/>
  <c r="AD965" i="2" s="1"/>
  <c r="AL873" i="2"/>
  <c r="AL965" i="2" s="1"/>
  <c r="AT873" i="2"/>
  <c r="BB873" i="2"/>
  <c r="AE868" i="2"/>
  <c r="AE964" i="2" s="1"/>
  <c r="H873" i="2"/>
  <c r="H965" i="2" s="1"/>
  <c r="AN873" i="2"/>
  <c r="BD865" i="2"/>
  <c r="O873" i="2"/>
  <c r="O965" i="2" s="1"/>
  <c r="AE873" i="2"/>
  <c r="AE965" i="2" s="1"/>
  <c r="AU873" i="2"/>
  <c r="AU965" i="2" s="1"/>
  <c r="G868" i="2"/>
  <c r="AI868" i="2"/>
  <c r="I873" i="2"/>
  <c r="I965" i="2" s="1"/>
  <c r="AO873" i="2"/>
  <c r="K873" i="2"/>
  <c r="K965" i="2" s="1"/>
  <c r="S873" i="2"/>
  <c r="S965" i="2" s="1"/>
  <c r="AA873" i="2"/>
  <c r="AI873" i="2"/>
  <c r="AQ873" i="2"/>
  <c r="AY873" i="2"/>
  <c r="AY965" i="2" s="1"/>
  <c r="K645" i="2"/>
  <c r="G136" i="2"/>
  <c r="G1273" i="2"/>
  <c r="G1274" i="2" s="1"/>
  <c r="G300" i="2"/>
  <c r="G297" i="2" s="1"/>
  <c r="BD1177" i="2"/>
  <c r="C1113" i="2"/>
  <c r="C563" i="2"/>
  <c r="C75" i="2"/>
  <c r="C573" i="2"/>
  <c r="C543" i="2"/>
  <c r="A79" i="2"/>
  <c r="G1199" i="2"/>
  <c r="BD282" i="4"/>
  <c r="G212" i="2"/>
  <c r="C585" i="2"/>
  <c r="BD687" i="2"/>
  <c r="G296" i="2"/>
  <c r="G144" i="2"/>
  <c r="G1281" i="2"/>
  <c r="H1281" i="2" s="1"/>
  <c r="G17" i="2"/>
  <c r="H17" i="2" s="1"/>
  <c r="G1136" i="2"/>
  <c r="A109" i="1"/>
  <c r="G484" i="2"/>
  <c r="G661" i="2"/>
  <c r="G671" i="2" s="1"/>
  <c r="G662" i="2" s="1"/>
  <c r="H484" i="2"/>
  <c r="G438" i="2"/>
  <c r="G437" i="2" s="1"/>
  <c r="G440" i="2" s="1"/>
  <c r="G1017" i="2"/>
  <c r="H1017" i="2" s="1"/>
  <c r="G431" i="2"/>
  <c r="A300" i="2"/>
  <c r="C245" i="2"/>
  <c r="C248" i="2"/>
  <c r="A255" i="2"/>
  <c r="C257" i="2"/>
  <c r="A263" i="2"/>
  <c r="A249" i="2"/>
  <c r="C251" i="2"/>
  <c r="A258" i="2"/>
  <c r="C263" i="2"/>
  <c r="A265" i="2"/>
  <c r="A246" i="2"/>
  <c r="A252" i="2"/>
  <c r="C255" i="2"/>
  <c r="C258" i="2"/>
  <c r="A260" i="2"/>
  <c r="C265" i="2"/>
  <c r="C246" i="2"/>
  <c r="C249" i="2"/>
  <c r="C252" i="2"/>
  <c r="A256" i="2"/>
  <c r="A261" i="2"/>
  <c r="A243" i="2"/>
  <c r="A247" i="2"/>
  <c r="A250" i="2"/>
  <c r="A253" i="2"/>
  <c r="C256" i="2"/>
  <c r="A259" i="2"/>
  <c r="C243" i="2"/>
  <c r="C250" i="2"/>
  <c r="C253" i="2"/>
  <c r="C259" i="2"/>
  <c r="A244" i="2"/>
  <c r="C247" i="2"/>
  <c r="A254" i="2"/>
  <c r="A257" i="2"/>
  <c r="A262" i="2"/>
  <c r="A264" i="2"/>
  <c r="A245" i="2"/>
  <c r="A248" i="2"/>
  <c r="A251" i="2"/>
  <c r="C254" i="2"/>
  <c r="C262" i="2"/>
  <c r="C264" i="2"/>
  <c r="G262" i="2"/>
  <c r="G260" i="2"/>
  <c r="G244" i="2"/>
  <c r="H244" i="2"/>
  <c r="A312" i="4"/>
  <c r="A302" i="4"/>
  <c r="A78" i="2"/>
  <c r="C616" i="2"/>
  <c r="C545" i="2"/>
  <c r="A176" i="2"/>
  <c r="C222" i="2"/>
  <c r="C225" i="2"/>
  <c r="C228" i="2"/>
  <c r="A232" i="2"/>
  <c r="A237" i="2"/>
  <c r="C241" i="2"/>
  <c r="A223" i="2"/>
  <c r="A226" i="2"/>
  <c r="A229" i="2"/>
  <c r="C232" i="2"/>
  <c r="A235" i="2"/>
  <c r="A219" i="2"/>
  <c r="C226" i="2"/>
  <c r="C229" i="2"/>
  <c r="C235" i="2"/>
  <c r="C219" i="2"/>
  <c r="C223" i="2"/>
  <c r="A230" i="2"/>
  <c r="A233" i="2"/>
  <c r="A220" i="2"/>
  <c r="A224" i="2"/>
  <c r="A227" i="2"/>
  <c r="C230" i="2"/>
  <c r="A238" i="2"/>
  <c r="A240" i="2"/>
  <c r="A221" i="2"/>
  <c r="C224" i="2"/>
  <c r="A231" i="2"/>
  <c r="C233" i="2"/>
  <c r="C238" i="2"/>
  <c r="C240" i="2"/>
  <c r="C221" i="2"/>
  <c r="A225" i="2"/>
  <c r="C227" i="2"/>
  <c r="A234" i="2"/>
  <c r="A239" i="2"/>
  <c r="A222" i="2"/>
  <c r="A228" i="2"/>
  <c r="C231" i="2"/>
  <c r="C234" i="2"/>
  <c r="A236" i="2"/>
  <c r="C239" i="2"/>
  <c r="A241" i="2"/>
  <c r="H482" i="2"/>
  <c r="H464" i="2"/>
  <c r="G220" i="2"/>
  <c r="H220" i="2"/>
  <c r="G456" i="2"/>
  <c r="G238" i="2"/>
  <c r="G236" i="2"/>
  <c r="A484" i="2"/>
  <c r="C487" i="2"/>
  <c r="C480" i="2"/>
  <c r="C484" i="2"/>
  <c r="C481" i="2"/>
  <c r="A485" i="2"/>
  <c r="A482" i="2"/>
  <c r="A486" i="2"/>
  <c r="A488" i="2"/>
  <c r="A483" i="2"/>
  <c r="C486" i="2"/>
  <c r="C488" i="2"/>
  <c r="A480" i="2"/>
  <c r="C483" i="2"/>
  <c r="A487" i="2"/>
  <c r="G485" i="2"/>
  <c r="H485" i="2" s="1"/>
  <c r="G474" i="2"/>
  <c r="G482" i="2"/>
  <c r="I484" i="2"/>
  <c r="G486" i="2"/>
  <c r="A70" i="2"/>
  <c r="C473" i="2"/>
  <c r="A477" i="2"/>
  <c r="A470" i="2"/>
  <c r="C477" i="2"/>
  <c r="A474" i="2"/>
  <c r="C470" i="2"/>
  <c r="C474" i="2"/>
  <c r="A475" i="2"/>
  <c r="A472" i="2"/>
  <c r="A476" i="2"/>
  <c r="A478" i="2"/>
  <c r="A473" i="2"/>
  <c r="C476" i="2"/>
  <c r="C478" i="2"/>
  <c r="G475" i="2"/>
  <c r="H475" i="2" s="1"/>
  <c r="H454" i="2"/>
  <c r="H474" i="2"/>
  <c r="G472" i="2"/>
  <c r="I474" i="2"/>
  <c r="C471" i="2"/>
  <c r="H472" i="2"/>
  <c r="G476" i="2"/>
  <c r="J695" i="2"/>
  <c r="C463" i="2"/>
  <c r="A467" i="2"/>
  <c r="A460" i="2"/>
  <c r="C467" i="2"/>
  <c r="A464" i="2"/>
  <c r="C460" i="2"/>
  <c r="C464" i="2"/>
  <c r="A465" i="2"/>
  <c r="A462" i="2"/>
  <c r="A466" i="2"/>
  <c r="A468" i="2"/>
  <c r="A463" i="2"/>
  <c r="C466" i="2"/>
  <c r="C468" i="2"/>
  <c r="G465" i="2"/>
  <c r="H465" i="2" s="1"/>
  <c r="G520" i="2"/>
  <c r="G454" i="2"/>
  <c r="H520" i="2"/>
  <c r="G464" i="2"/>
  <c r="G462" i="2"/>
  <c r="I464" i="2"/>
  <c r="C461" i="2"/>
  <c r="H462" i="2"/>
  <c r="G466" i="2"/>
  <c r="A516" i="2"/>
  <c r="A523" i="2"/>
  <c r="A520" i="2"/>
  <c r="C523" i="2"/>
  <c r="C520" i="2"/>
  <c r="A521" i="2"/>
  <c r="A519" i="2"/>
  <c r="A522" i="2"/>
  <c r="A524" i="2"/>
  <c r="C519" i="2"/>
  <c r="C522" i="2"/>
  <c r="C524" i="2"/>
  <c r="G521" i="2"/>
  <c r="H521" i="2" s="1"/>
  <c r="H645" i="2"/>
  <c r="H160" i="2"/>
  <c r="G518" i="2"/>
  <c r="I520" i="2"/>
  <c r="C517" i="2"/>
  <c r="H518" i="2"/>
  <c r="G522" i="2"/>
  <c r="A385" i="4"/>
  <c r="C457" i="2"/>
  <c r="C454" i="2"/>
  <c r="C450" i="2"/>
  <c r="A452" i="2"/>
  <c r="A456" i="2"/>
  <c r="C456" i="2"/>
  <c r="C458" i="2"/>
  <c r="C453" i="2"/>
  <c r="A457" i="2"/>
  <c r="G451" i="2"/>
  <c r="H451" i="2" s="1"/>
  <c r="G455" i="2"/>
  <c r="H455" i="2" s="1"/>
  <c r="G452" i="2"/>
  <c r="I454" i="2"/>
  <c r="C451" i="2"/>
  <c r="H452" i="2"/>
  <c r="BD959" i="2"/>
  <c r="G1084" i="2"/>
  <c r="M645" i="2"/>
  <c r="G1259" i="2"/>
  <c r="G288" i="2"/>
  <c r="K690" i="2"/>
  <c r="G1150" i="2"/>
  <c r="G1151" i="2" s="1"/>
  <c r="G1279" i="2"/>
  <c r="H1279" i="2" s="1"/>
  <c r="G187" i="2"/>
  <c r="G169" i="2" s="1"/>
  <c r="G214" i="2"/>
  <c r="C537" i="2"/>
  <c r="C182" i="2"/>
  <c r="C163" i="2"/>
  <c r="A28" i="2"/>
  <c r="G695" i="2"/>
  <c r="BD331" i="4"/>
  <c r="A163" i="2"/>
  <c r="A420" i="4"/>
  <c r="C356" i="4"/>
  <c r="C1109" i="2"/>
  <c r="C1221" i="2"/>
  <c r="C255" i="4"/>
  <c r="C302" i="4"/>
  <c r="C341" i="4"/>
  <c r="A155" i="2"/>
  <c r="C351" i="4"/>
  <c r="A1195" i="2"/>
  <c r="A8" i="2"/>
  <c r="C261" i="4"/>
  <c r="C1202" i="2"/>
  <c r="A310" i="4"/>
  <c r="A436" i="4"/>
  <c r="A56" i="1"/>
  <c r="A187" i="2"/>
  <c r="A597" i="2"/>
  <c r="A25" i="2"/>
  <c r="G384" i="4"/>
  <c r="I1204" i="2"/>
  <c r="G1209" i="2"/>
  <c r="H1208" i="2" s="1"/>
  <c r="I1083" i="2"/>
  <c r="I1082" i="2" s="1"/>
  <c r="I1084" i="2" s="1"/>
  <c r="G291" i="2"/>
  <c r="L716" i="2"/>
  <c r="G78" i="2"/>
  <c r="H78" i="2" s="1"/>
  <c r="H1204" i="2"/>
  <c r="A76" i="2"/>
  <c r="C430" i="2"/>
  <c r="C1100" i="2"/>
  <c r="A37" i="2"/>
  <c r="K1204" i="2"/>
  <c r="G1028" i="2"/>
  <c r="A306" i="4"/>
  <c r="B319" i="2"/>
  <c r="A321" i="2"/>
  <c r="A323" i="2"/>
  <c r="C319" i="2"/>
  <c r="C321" i="2"/>
  <c r="C323" i="2"/>
  <c r="A320" i="2"/>
  <c r="A322" i="2"/>
  <c r="A324" i="2"/>
  <c r="A317" i="2"/>
  <c r="C320" i="2"/>
  <c r="C322" i="2"/>
  <c r="C324" i="2"/>
  <c r="C317" i="2"/>
  <c r="A318" i="2"/>
  <c r="C318" i="2"/>
  <c r="A319" i="2"/>
  <c r="G317" i="2"/>
  <c r="H317" i="2"/>
  <c r="G716" i="2"/>
  <c r="G726" i="2" s="1"/>
  <c r="G717" i="2" s="1"/>
  <c r="G321" i="2"/>
  <c r="G318" i="2" s="1"/>
  <c r="A311" i="2"/>
  <c r="A313" i="2"/>
  <c r="A308" i="2"/>
  <c r="C311" i="2"/>
  <c r="C313" i="2"/>
  <c r="A315" i="2"/>
  <c r="C308" i="2"/>
  <c r="C315" i="2"/>
  <c r="A309" i="2"/>
  <c r="C309" i="2"/>
  <c r="A310" i="2"/>
  <c r="B310" i="2"/>
  <c r="A312" i="2"/>
  <c r="A314" i="2"/>
  <c r="C310" i="2"/>
  <c r="C312" i="2"/>
  <c r="C314" i="2"/>
  <c r="G308" i="2"/>
  <c r="G1204" i="2"/>
  <c r="H308" i="2"/>
  <c r="G312" i="2"/>
  <c r="G309" i="2" s="1"/>
  <c r="A36" i="2"/>
  <c r="B379" i="2"/>
  <c r="A381" i="2"/>
  <c r="A383" i="2"/>
  <c r="C379" i="2"/>
  <c r="C381" i="2"/>
  <c r="C383" i="2"/>
  <c r="A380" i="2"/>
  <c r="A382" i="2"/>
  <c r="A384" i="2"/>
  <c r="A377" i="2"/>
  <c r="C380" i="2"/>
  <c r="C382" i="2"/>
  <c r="C384" i="2"/>
  <c r="C377" i="2"/>
  <c r="A378" i="2"/>
  <c r="C378" i="2"/>
  <c r="A379" i="2"/>
  <c r="G377" i="2"/>
  <c r="H377" i="2"/>
  <c r="G381" i="2"/>
  <c r="G378" i="2" s="1"/>
  <c r="B367" i="2"/>
  <c r="A371" i="2"/>
  <c r="C367" i="2"/>
  <c r="C371" i="2"/>
  <c r="A368" i="2"/>
  <c r="A365" i="2"/>
  <c r="C368" i="2"/>
  <c r="C372" i="2"/>
  <c r="C365" i="2"/>
  <c r="A366" i="2"/>
  <c r="A367" i="2"/>
  <c r="G365" i="2"/>
  <c r="H365" i="2"/>
  <c r="K716" i="2"/>
  <c r="M716" i="2"/>
  <c r="G1012" i="2"/>
  <c r="G1011" i="2" s="1"/>
  <c r="H1012" i="2" s="1"/>
  <c r="H1011" i="2" s="1"/>
  <c r="G369" i="2"/>
  <c r="G366" i="2" s="1"/>
  <c r="A289" i="2"/>
  <c r="A290" i="2"/>
  <c r="A214" i="2"/>
  <c r="C89" i="2"/>
  <c r="A294" i="2"/>
  <c r="I716" i="2"/>
  <c r="H716" i="2"/>
  <c r="G428" i="2"/>
  <c r="G429" i="2" s="1"/>
  <c r="G1032" i="2"/>
  <c r="G1031" i="2" s="1"/>
  <c r="H1032" i="2" s="1"/>
  <c r="H1031" i="2" s="1"/>
  <c r="BD947" i="2"/>
  <c r="A359" i="2"/>
  <c r="A361" i="2"/>
  <c r="A458" i="4"/>
  <c r="A356" i="2"/>
  <c r="C359" i="2"/>
  <c r="C361" i="2"/>
  <c r="A363" i="2"/>
  <c r="A463" i="4"/>
  <c r="C356" i="2"/>
  <c r="C363" i="2"/>
  <c r="A357" i="2"/>
  <c r="C357" i="2"/>
  <c r="A188" i="2"/>
  <c r="A1132" i="2"/>
  <c r="A358" i="2"/>
  <c r="B358" i="2"/>
  <c r="A360" i="2"/>
  <c r="A362" i="2"/>
  <c r="C358" i="2"/>
  <c r="C360" i="2"/>
  <c r="C362" i="2"/>
  <c r="G1061" i="2"/>
  <c r="G645" i="2"/>
  <c r="L661" i="2"/>
  <c r="I695" i="2"/>
  <c r="G356" i="2"/>
  <c r="H356" i="2"/>
  <c r="G360" i="2"/>
  <c r="G357" i="2" s="1"/>
  <c r="I1025" i="2"/>
  <c r="M1025" i="2"/>
  <c r="J661" i="2"/>
  <c r="I661" i="2"/>
  <c r="J1025" i="2"/>
  <c r="M695" i="2"/>
  <c r="J645" i="2"/>
  <c r="K661" i="2"/>
  <c r="K1025" i="2"/>
  <c r="G1025" i="2"/>
  <c r="H1025" i="2"/>
  <c r="A154" i="2"/>
  <c r="C530" i="2"/>
  <c r="C1033" i="2"/>
  <c r="A432" i="2"/>
  <c r="BD317" i="4"/>
  <c r="C16" i="2"/>
  <c r="A400" i="4"/>
  <c r="A429" i="4"/>
  <c r="A1114" i="2"/>
  <c r="A77" i="2"/>
  <c r="A506" i="4"/>
  <c r="C393" i="4"/>
  <c r="C426" i="2"/>
  <c r="C106" i="10"/>
  <c r="A309" i="4"/>
  <c r="C159" i="2"/>
  <c r="A483" i="4"/>
  <c r="C398" i="4"/>
  <c r="A359" i="4"/>
  <c r="A292" i="4"/>
  <c r="A433" i="2"/>
  <c r="A1275" i="2"/>
  <c r="A509" i="4"/>
  <c r="A1102" i="2"/>
  <c r="A1314" i="2"/>
  <c r="A507" i="4"/>
  <c r="A26" i="2"/>
  <c r="A156" i="2"/>
  <c r="N54" i="1"/>
  <c r="H122" i="1"/>
  <c r="H218" i="4" s="1"/>
  <c r="H145" i="1"/>
  <c r="H139" i="1"/>
  <c r="H411" i="4"/>
  <c r="H412" i="4" s="1"/>
  <c r="H30" i="1"/>
  <c r="H214" i="2" s="1"/>
  <c r="H369" i="4"/>
  <c r="H370" i="4" s="1"/>
  <c r="H320" i="4"/>
  <c r="H321" i="4" s="1"/>
  <c r="H1067" i="2"/>
  <c r="H119" i="1"/>
  <c r="H193" i="4"/>
  <c r="H159" i="2"/>
  <c r="G646" i="2"/>
  <c r="M114" i="4"/>
  <c r="H441" i="2"/>
  <c r="I645" i="2"/>
  <c r="I62" i="10"/>
  <c r="H430" i="2"/>
  <c r="G663" i="2"/>
  <c r="P661" i="2"/>
  <c r="O1025" i="2"/>
  <c r="H77" i="2"/>
  <c r="H117" i="2"/>
  <c r="H97" i="2"/>
  <c r="G117" i="2"/>
  <c r="G97" i="2"/>
  <c r="H101" i="2" s="1"/>
  <c r="M148" i="4"/>
  <c r="M213" i="4" s="1"/>
  <c r="G692" i="2"/>
  <c r="M31" i="1"/>
  <c r="H147" i="4"/>
  <c r="H227" i="4" s="1"/>
  <c r="H35" i="2"/>
  <c r="I47" i="1"/>
  <c r="I57" i="2" s="1"/>
  <c r="L31" i="1"/>
  <c r="A35" i="2"/>
  <c r="B19" i="1"/>
  <c r="A517" i="2" s="1"/>
  <c r="H19" i="2"/>
  <c r="G169" i="4"/>
  <c r="H169" i="4" s="1"/>
  <c r="L695" i="2"/>
  <c r="G1208" i="2"/>
  <c r="K31" i="1"/>
  <c r="I119" i="4"/>
  <c r="I31" i="1"/>
  <c r="M119" i="4"/>
  <c r="M141" i="4"/>
  <c r="H106" i="4"/>
  <c r="M193" i="4"/>
  <c r="M132" i="4"/>
  <c r="I114" i="4"/>
  <c r="C17" i="1"/>
  <c r="C1023" i="2" s="1"/>
  <c r="C535" i="2"/>
  <c r="C215" i="2"/>
  <c r="C532" i="2"/>
  <c r="C180" i="2"/>
  <c r="C400" i="2"/>
  <c r="C73" i="1"/>
  <c r="A145" i="2"/>
  <c r="A84" i="2"/>
  <c r="C558" i="2"/>
  <c r="A370" i="4"/>
  <c r="C1004" i="2"/>
  <c r="C147" i="2"/>
  <c r="C14" i="2"/>
  <c r="A497" i="4"/>
  <c r="A499" i="4"/>
  <c r="A495" i="4"/>
  <c r="A380" i="4"/>
  <c r="C603" i="2"/>
  <c r="A162" i="2"/>
  <c r="C292" i="2"/>
  <c r="C25" i="2"/>
  <c r="A27" i="2" s="1"/>
  <c r="A446" i="4"/>
  <c r="C436" i="2"/>
  <c r="A1109" i="2"/>
  <c r="C556" i="2"/>
  <c r="A161" i="2"/>
  <c r="C201" i="2"/>
  <c r="C591" i="2"/>
  <c r="C1213" i="2"/>
  <c r="C417" i="2"/>
  <c r="C174" i="2"/>
  <c r="C151" i="2"/>
  <c r="C415" i="2"/>
  <c r="A1202" i="2"/>
  <c r="A280" i="4"/>
  <c r="C49" i="1"/>
  <c r="C149" i="2"/>
  <c r="C33" i="2"/>
  <c r="C548" i="2"/>
  <c r="A383" i="4"/>
  <c r="C406" i="2"/>
  <c r="C172" i="2"/>
  <c r="C550" i="2"/>
  <c r="C408" i="2"/>
  <c r="A291" i="2"/>
  <c r="A1281" i="2"/>
  <c r="A504" i="4"/>
  <c r="A1106" i="2"/>
  <c r="A1121" i="2"/>
  <c r="C82" i="1"/>
  <c r="A148" i="2"/>
  <c r="C77" i="2"/>
  <c r="A67" i="2"/>
  <c r="A151" i="2"/>
  <c r="C610" i="2"/>
  <c r="C1194" i="2"/>
  <c r="A501" i="4"/>
  <c r="A489" i="4"/>
  <c r="C31" i="2"/>
  <c r="C157" i="2"/>
  <c r="C301" i="2"/>
  <c r="A515" i="4"/>
  <c r="A62" i="1"/>
  <c r="C207" i="2"/>
  <c r="A493" i="4"/>
  <c r="C398" i="2"/>
  <c r="C597" i="2"/>
  <c r="C1203" i="2"/>
  <c r="C135" i="1"/>
  <c r="B332" i="4" s="1"/>
  <c r="C92" i="1"/>
  <c r="A1214" i="2"/>
  <c r="C184" i="2"/>
  <c r="C12" i="2"/>
  <c r="C390" i="2"/>
  <c r="C392" i="2"/>
  <c r="C134" i="1"/>
  <c r="B282" i="4" s="1"/>
  <c r="C265" i="4"/>
  <c r="A307" i="4"/>
  <c r="C176" i="2"/>
  <c r="A19" i="2"/>
  <c r="A443" i="4"/>
  <c r="A444" i="4"/>
  <c r="C103" i="1"/>
  <c r="A43" i="2"/>
  <c r="A68" i="2"/>
  <c r="C211" i="2"/>
  <c r="A72" i="2"/>
  <c r="C140" i="1"/>
  <c r="C40" i="2"/>
  <c r="C444" i="2"/>
  <c r="A500" i="4"/>
  <c r="A466" i="4"/>
  <c r="C98" i="1"/>
  <c r="C209" i="2"/>
  <c r="C1193" i="2"/>
  <c r="A424" i="4"/>
  <c r="C20" i="2"/>
  <c r="C433" i="2"/>
  <c r="A152" i="2"/>
  <c r="A513" i="4"/>
  <c r="A441" i="4"/>
  <c r="BD570" i="2"/>
  <c r="A1194" i="2"/>
  <c r="A38" i="2"/>
  <c r="C82" i="2"/>
  <c r="A411" i="4"/>
  <c r="A1136" i="2"/>
  <c r="H690" i="2"/>
  <c r="I690" i="2"/>
  <c r="M1204" i="2"/>
  <c r="L690" i="2"/>
  <c r="M661" i="2"/>
  <c r="A651" i="2"/>
  <c r="A443" i="2"/>
  <c r="A711" i="2"/>
  <c r="A284" i="4"/>
  <c r="A371" i="4"/>
  <c r="A1120" i="2"/>
  <c r="L1204" i="2"/>
  <c r="BD986" i="2"/>
  <c r="G81" i="2"/>
  <c r="G69" i="2" s="1"/>
  <c r="AG992" i="2"/>
  <c r="AK992" i="2"/>
  <c r="G690" i="2"/>
  <c r="AO992" i="2"/>
  <c r="W992" i="2"/>
  <c r="AY992" i="2"/>
  <c r="BD1303" i="2"/>
  <c r="J1204" i="2"/>
  <c r="H695" i="2"/>
  <c r="A684" i="2"/>
  <c r="A669" i="2"/>
  <c r="H389" i="4"/>
  <c r="A109" i="2"/>
  <c r="I1063" i="2"/>
  <c r="I1062" i="2" s="1"/>
  <c r="J1063" i="2" s="1"/>
  <c r="J1062" i="2" s="1"/>
  <c r="H1061" i="2"/>
  <c r="G168" i="2"/>
  <c r="G167" i="2" s="1"/>
  <c r="G628" i="2"/>
  <c r="G629" i="2" s="1"/>
  <c r="G688" i="2"/>
  <c r="G707" i="2" s="1"/>
  <c r="G442" i="2"/>
  <c r="H442" i="2" s="1"/>
  <c r="G1120" i="2"/>
  <c r="G1121" i="2" s="1"/>
  <c r="G287" i="2"/>
  <c r="H287" i="2" s="1"/>
  <c r="G162" i="2"/>
  <c r="G1335" i="2"/>
  <c r="H1335" i="2" s="1"/>
  <c r="AT992" i="2"/>
  <c r="BB992" i="2"/>
  <c r="AQ992" i="2"/>
  <c r="P695" i="2"/>
  <c r="A687" i="2"/>
  <c r="AE87" i="4"/>
  <c r="AA87" i="4"/>
  <c r="AP992" i="2"/>
  <c r="T992" i="2"/>
  <c r="Y992" i="2"/>
  <c r="AD992" i="2"/>
  <c r="AW992" i="2"/>
  <c r="A703" i="2"/>
  <c r="H194" i="4"/>
  <c r="H347" i="4"/>
  <c r="A704" i="2"/>
  <c r="A644" i="2"/>
  <c r="Q87" i="4"/>
  <c r="AC87" i="4"/>
  <c r="C109" i="2"/>
  <c r="C112" i="2"/>
  <c r="C115" i="2"/>
  <c r="A110" i="2"/>
  <c r="A116" i="2"/>
  <c r="C110" i="2"/>
  <c r="A113" i="2"/>
  <c r="C116" i="2"/>
  <c r="A118" i="2"/>
  <c r="A121" i="2"/>
  <c r="A123" i="2"/>
  <c r="AT87" i="4"/>
  <c r="A119" i="2"/>
  <c r="C121" i="2"/>
  <c r="C123" i="2"/>
  <c r="H332" i="4"/>
  <c r="AO87" i="4"/>
  <c r="A111" i="2"/>
  <c r="C113" i="2"/>
  <c r="A117" i="2"/>
  <c r="C119" i="2"/>
  <c r="A122" i="2"/>
  <c r="A124" i="2"/>
  <c r="A107" i="2"/>
  <c r="C111" i="2"/>
  <c r="A114" i="2"/>
  <c r="C117" i="2"/>
  <c r="C122" i="2"/>
  <c r="C124" i="2"/>
  <c r="A660" i="2"/>
  <c r="A730" i="2"/>
  <c r="A108" i="2"/>
  <c r="C114" i="2"/>
  <c r="A120" i="2"/>
  <c r="A125" i="2"/>
  <c r="H298" i="4"/>
  <c r="K213" i="11"/>
  <c r="A652" i="2"/>
  <c r="A112" i="2"/>
  <c r="A115" i="2"/>
  <c r="C125" i="2"/>
  <c r="O992" i="2"/>
  <c r="P992" i="2"/>
  <c r="AA992" i="2"/>
  <c r="G108" i="2"/>
  <c r="G121" i="2"/>
  <c r="G109" i="2" s="1"/>
  <c r="G118" i="2"/>
  <c r="H118" i="2" s="1"/>
  <c r="AJ992" i="2"/>
  <c r="H88" i="2"/>
  <c r="H108" i="2"/>
  <c r="AR992" i="2"/>
  <c r="AL992" i="2"/>
  <c r="BA992" i="2"/>
  <c r="N992" i="2"/>
  <c r="R992" i="2"/>
  <c r="AU992" i="2"/>
  <c r="A89" i="2"/>
  <c r="C97" i="2"/>
  <c r="C96" i="2"/>
  <c r="A98" i="2"/>
  <c r="C101" i="2"/>
  <c r="C103" i="2"/>
  <c r="A90" i="2"/>
  <c r="A99" i="2"/>
  <c r="A102" i="2"/>
  <c r="R87" i="4"/>
  <c r="AB87" i="4"/>
  <c r="C90" i="2"/>
  <c r="C93" i="2"/>
  <c r="A97" i="2"/>
  <c r="C99" i="2"/>
  <c r="C102" i="2"/>
  <c r="A104" i="2"/>
  <c r="A439" i="2"/>
  <c r="C104" i="2"/>
  <c r="A87" i="2"/>
  <c r="C91" i="2"/>
  <c r="C94" i="2"/>
  <c r="A100" i="2"/>
  <c r="W87" i="4"/>
  <c r="A88" i="2"/>
  <c r="A92" i="2"/>
  <c r="A95" i="2"/>
  <c r="A105" i="2"/>
  <c r="AZ87" i="4"/>
  <c r="C92" i="2"/>
  <c r="C95" i="2"/>
  <c r="C105" i="2"/>
  <c r="AS87" i="4"/>
  <c r="A96" i="2"/>
  <c r="A103" i="2"/>
  <c r="H1272" i="2"/>
  <c r="G101" i="2"/>
  <c r="G89" i="2" s="1"/>
  <c r="G98" i="2"/>
  <c r="H98" i="2" s="1"/>
  <c r="AX992" i="2"/>
  <c r="N695" i="2"/>
  <c r="Q992" i="2"/>
  <c r="AH992" i="2"/>
  <c r="BD1203" i="2"/>
  <c r="AB992" i="2"/>
  <c r="AE992" i="2"/>
  <c r="G88" i="2"/>
  <c r="B719" i="2"/>
  <c r="G719" i="2" s="1"/>
  <c r="M992" i="2"/>
  <c r="AC992" i="2"/>
  <c r="A705" i="2"/>
  <c r="A34" i="4"/>
  <c r="A696" i="2"/>
  <c r="A697" i="2"/>
  <c r="A1112" i="2"/>
  <c r="A69" i="2"/>
  <c r="BD91" i="4"/>
  <c r="C214" i="4"/>
  <c r="A288" i="2"/>
  <c r="C291" i="2"/>
  <c r="A1293" i="2"/>
  <c r="A334" i="4"/>
  <c r="BD423" i="2"/>
  <c r="C225" i="4"/>
  <c r="A389" i="4"/>
  <c r="A335" i="4"/>
  <c r="A131" i="1"/>
  <c r="C1214" i="2"/>
  <c r="A396" i="4"/>
  <c r="A146" i="1"/>
  <c r="A491" i="4"/>
  <c r="A512" i="4"/>
  <c r="BD90" i="10"/>
  <c r="A354" i="4"/>
  <c r="BD1168" i="2"/>
  <c r="BD1056" i="2"/>
  <c r="A54" i="1"/>
  <c r="BD69" i="4"/>
  <c r="C108" i="1"/>
  <c r="A34" i="2"/>
  <c r="C199" i="2"/>
  <c r="A347" i="4"/>
  <c r="A120" i="1"/>
  <c r="A353" i="4"/>
  <c r="C162" i="2"/>
  <c r="C395" i="4"/>
  <c r="A452" i="4"/>
  <c r="BD1096" i="2"/>
  <c r="A42" i="2"/>
  <c r="A160" i="2"/>
  <c r="A143" i="2"/>
  <c r="A676" i="2"/>
  <c r="C73" i="2"/>
  <c r="C203" i="2"/>
  <c r="A85" i="2"/>
  <c r="C83" i="10"/>
  <c r="A102" i="1"/>
  <c r="A460" i="4"/>
  <c r="G291" i="4"/>
  <c r="C370" i="4"/>
  <c r="C209" i="4"/>
  <c r="A336" i="4"/>
  <c r="C300" i="4"/>
  <c r="C349" i="4"/>
  <c r="A374" i="2"/>
  <c r="A449" i="4"/>
  <c r="A433" i="4"/>
  <c r="A693" i="2"/>
  <c r="A404" i="4"/>
  <c r="BD366" i="4"/>
  <c r="BD408" i="4"/>
  <c r="A342" i="4"/>
  <c r="A428" i="2"/>
  <c r="A168" i="2"/>
  <c r="A498" i="4"/>
  <c r="A432" i="4"/>
  <c r="C1112" i="2"/>
  <c r="BD14" i="4"/>
  <c r="C685" i="2"/>
  <c r="A71" i="4"/>
  <c r="A722" i="2"/>
  <c r="BD1" i="2"/>
  <c r="BD269" i="4"/>
  <c r="A343" i="4"/>
  <c r="C432" i="2"/>
  <c r="C342" i="4"/>
  <c r="A140" i="1"/>
  <c r="BD1" i="10"/>
  <c r="C657" i="2"/>
  <c r="C309" i="4"/>
  <c r="A278" i="4"/>
  <c r="A418" i="4"/>
  <c r="BD1189" i="2"/>
  <c r="A286" i="4"/>
  <c r="BD55" i="10"/>
  <c r="BD1269" i="2"/>
  <c r="A417" i="4"/>
  <c r="C1114" i="2"/>
  <c r="A149" i="2"/>
  <c r="A159" i="2"/>
  <c r="C214" i="2"/>
  <c r="A313" i="4"/>
  <c r="BD1" i="4"/>
  <c r="BD1000" i="2"/>
  <c r="BD102" i="10"/>
  <c r="G340" i="4"/>
  <c r="C39" i="2"/>
  <c r="C141" i="1"/>
  <c r="C358" i="4"/>
  <c r="A123" i="1"/>
  <c r="C44" i="1"/>
  <c r="C18" i="1"/>
  <c r="C713" i="2"/>
  <c r="C1207" i="2"/>
  <c r="C223" i="4"/>
  <c r="BD25" i="4"/>
  <c r="A486" i="4"/>
  <c r="A459" i="4"/>
  <c r="C1102" i="2"/>
  <c r="A1113" i="2"/>
  <c r="C81" i="2"/>
  <c r="C258" i="4"/>
  <c r="C1262" i="2"/>
  <c r="C187" i="2"/>
  <c r="A1108" i="2"/>
  <c r="A150" i="2"/>
  <c r="C19" i="2"/>
  <c r="C293" i="4"/>
  <c r="BD140" i="2"/>
  <c r="A395" i="4"/>
  <c r="G345" i="4"/>
  <c r="A283" i="4"/>
  <c r="C443" i="2"/>
  <c r="C321" i="4"/>
  <c r="C384" i="4"/>
  <c r="A1328" i="2"/>
  <c r="C400" i="4"/>
  <c r="A356" i="4"/>
  <c r="C683" i="2"/>
  <c r="C304" i="4"/>
  <c r="A368" i="4"/>
  <c r="BD4" i="4"/>
  <c r="A279" i="4"/>
  <c r="A465" i="4"/>
  <c r="A702" i="2"/>
  <c r="A728" i="2"/>
  <c r="BD4" i="2"/>
  <c r="BD638" i="2"/>
  <c r="G387" i="4"/>
  <c r="BD284" i="2"/>
  <c r="C273" i="4"/>
  <c r="C45" i="1"/>
  <c r="C300" i="2"/>
  <c r="C412" i="4"/>
  <c r="C353" i="4"/>
  <c r="C391" i="4"/>
  <c r="C69" i="10"/>
  <c r="C76" i="10"/>
  <c r="C1195" i="2"/>
  <c r="A423" i="4"/>
  <c r="A683" i="2"/>
  <c r="A719" i="2"/>
  <c r="A10" i="2"/>
  <c r="AG87" i="4"/>
  <c r="AI87" i="4"/>
  <c r="J101" i="4"/>
  <c r="A31" i="2"/>
  <c r="A39" i="2"/>
  <c r="X87" i="4"/>
  <c r="AX87" i="4"/>
  <c r="A74" i="2"/>
  <c r="A83" i="2"/>
  <c r="V87" i="4"/>
  <c r="Y87" i="4"/>
  <c r="Z87" i="4"/>
  <c r="A677" i="2"/>
  <c r="U101" i="4"/>
  <c r="AF87" i="4"/>
  <c r="AJ87" i="4"/>
  <c r="AY87" i="4"/>
  <c r="AS101" i="4"/>
  <c r="G729" i="2"/>
  <c r="U992" i="2"/>
  <c r="AV992" i="2"/>
  <c r="BD705" i="2"/>
  <c r="O695" i="2"/>
  <c r="AM992" i="2"/>
  <c r="BD1306" i="2"/>
  <c r="BD1300" i="2"/>
  <c r="L992" i="2"/>
  <c r="B664" i="2"/>
  <c r="G664" i="2" s="1"/>
  <c r="BD987" i="2"/>
  <c r="S992" i="2"/>
  <c r="Z992" i="2"/>
  <c r="AI992" i="2"/>
  <c r="V992" i="2"/>
  <c r="AZ992" i="2"/>
  <c r="A45" i="1"/>
  <c r="A81" i="2"/>
  <c r="A490" i="4"/>
  <c r="A145" i="1"/>
  <c r="C43" i="1"/>
  <c r="C1211" i="2"/>
  <c r="C290" i="2"/>
  <c r="C50" i="1"/>
  <c r="A40" i="2"/>
  <c r="A301" i="2"/>
  <c r="C167" i="2"/>
  <c r="A169" i="2" s="1"/>
  <c r="A238" i="4"/>
  <c r="A431" i="4"/>
  <c r="A1199" i="2"/>
  <c r="A92" i="1"/>
  <c r="C307" i="4"/>
  <c r="A402" i="4"/>
  <c r="A122" i="1"/>
  <c r="A130" i="1"/>
  <c r="A388" i="4"/>
  <c r="A293" i="4"/>
  <c r="C253" i="4"/>
  <c r="C47" i="1"/>
  <c r="C292" i="4"/>
  <c r="C54" i="1"/>
  <c r="C62" i="1"/>
  <c r="A20" i="2"/>
  <c r="A292" i="2"/>
  <c r="A144" i="2"/>
  <c r="A218" i="4"/>
  <c r="A222" i="4"/>
  <c r="A485" i="4"/>
  <c r="A419" i="4"/>
  <c r="A445" i="4"/>
  <c r="A475" i="4"/>
  <c r="A461" i="4"/>
  <c r="A1100" i="2"/>
  <c r="A82" i="1"/>
  <c r="A164" i="2"/>
  <c r="A666" i="2"/>
  <c r="A649" i="2"/>
  <c r="A82" i="2"/>
  <c r="A73" i="2"/>
  <c r="A75" i="2"/>
  <c r="A416" i="4"/>
  <c r="A146" i="2"/>
  <c r="A716" i="2"/>
  <c r="A360" i="4"/>
  <c r="A139" i="1"/>
  <c r="A297" i="4"/>
  <c r="A44" i="1"/>
  <c r="C35" i="2"/>
  <c r="C113" i="10"/>
  <c r="A331" i="4"/>
  <c r="C260" i="4"/>
  <c r="C60" i="1"/>
  <c r="C1192" i="2"/>
  <c r="A438" i="2"/>
  <c r="A422" i="4"/>
  <c r="A488" i="4"/>
  <c r="A508" i="4"/>
  <c r="A448" i="4"/>
  <c r="A585" i="2"/>
  <c r="A103" i="1"/>
  <c r="A73" i="1"/>
  <c r="A32" i="2"/>
  <c r="A165" i="2"/>
  <c r="A215" i="2"/>
  <c r="A346" i="4"/>
  <c r="C56" i="1"/>
  <c r="C441" i="2"/>
  <c r="C1201" i="2"/>
  <c r="A55" i="1"/>
  <c r="C21" i="1"/>
  <c r="C256" i="4"/>
  <c r="C383" i="4"/>
  <c r="C1022" i="2"/>
  <c r="A217" i="4"/>
  <c r="A513" i="2"/>
  <c r="A496" i="4"/>
  <c r="A421" i="4"/>
  <c r="A511" i="4"/>
  <c r="A464" i="4"/>
  <c r="A462" i="4"/>
  <c r="C1111" i="2"/>
  <c r="A147" i="2"/>
  <c r="A98" i="1"/>
  <c r="A287" i="2"/>
  <c r="A294" i="4"/>
  <c r="C299" i="2"/>
  <c r="C254" i="4"/>
  <c r="C686" i="2"/>
  <c r="C48" i="1"/>
  <c r="C1206" i="2"/>
  <c r="A444" i="2"/>
  <c r="C1108" i="2"/>
  <c r="A158" i="2"/>
  <c r="A157" i="2"/>
  <c r="A426" i="2"/>
  <c r="A700" i="2"/>
  <c r="C730" i="2"/>
  <c r="A664" i="2"/>
  <c r="C152" i="2"/>
  <c r="C950" i="2"/>
  <c r="A1138" i="2"/>
  <c r="A1261" i="2"/>
  <c r="C1016" i="2"/>
  <c r="C395" i="2"/>
  <c r="A855" i="2"/>
  <c r="A1129" i="2"/>
  <c r="A658" i="2"/>
  <c r="A685" i="2"/>
  <c r="A729" i="2"/>
  <c r="A650" i="2"/>
  <c r="C690" i="2"/>
  <c r="A715" i="2"/>
  <c r="H714" i="2"/>
  <c r="A397" i="4"/>
  <c r="A301" i="4"/>
  <c r="A350" i="4"/>
  <c r="A353" i="2"/>
  <c r="A450" i="4"/>
  <c r="A654" i="2"/>
  <c r="A701" i="2"/>
  <c r="A1171" i="2"/>
  <c r="A718" i="2"/>
  <c r="A84" i="4"/>
  <c r="A674" i="2"/>
  <c r="A657" i="2"/>
  <c r="A726" i="2"/>
  <c r="A641" i="2"/>
  <c r="A287" i="4"/>
  <c r="A708" i="2"/>
  <c r="A727" i="2"/>
  <c r="A392" i="4"/>
  <c r="G296" i="4"/>
  <c r="C411" i="2"/>
  <c r="C1210" i="2"/>
  <c r="K264" i="11"/>
  <c r="A58" i="4"/>
  <c r="A672" i="2"/>
  <c r="A661" i="2"/>
  <c r="A690" i="2"/>
  <c r="I111" i="4"/>
  <c r="BD948" i="2"/>
  <c r="G147" i="4"/>
  <c r="G227" i="4" s="1"/>
  <c r="A665" i="2"/>
  <c r="K147" i="4"/>
  <c r="K227" i="4" s="1"/>
  <c r="J149" i="4"/>
  <c r="J376" i="4" s="1"/>
  <c r="H148" i="4"/>
  <c r="H326" i="4" s="1"/>
  <c r="K132" i="4"/>
  <c r="G113" i="4"/>
  <c r="C622" i="2"/>
  <c r="C1003" i="2"/>
  <c r="G148" i="4"/>
  <c r="G326" i="4" s="1"/>
  <c r="H146" i="4"/>
  <c r="H375" i="4" s="1"/>
  <c r="J132" i="4"/>
  <c r="C386" i="2"/>
  <c r="C170" i="2"/>
  <c r="H132" i="4"/>
  <c r="G149" i="4"/>
  <c r="G376" i="4" s="1"/>
  <c r="A415" i="2"/>
  <c r="A712" i="2"/>
  <c r="G168" i="4"/>
  <c r="J146" i="4"/>
  <c r="J228" i="4" s="1"/>
  <c r="L131" i="4"/>
  <c r="I131" i="4"/>
  <c r="H131" i="4"/>
  <c r="L106" i="4"/>
  <c r="I148" i="4"/>
  <c r="I213" i="4" s="1"/>
  <c r="H114" i="4"/>
  <c r="G132" i="4"/>
  <c r="G178" i="4"/>
  <c r="H178" i="4" s="1"/>
  <c r="C1301" i="2"/>
  <c r="C1321" i="2"/>
  <c r="L252" i="11"/>
  <c r="A293" i="2"/>
  <c r="A656" i="2"/>
  <c r="A655" i="2"/>
  <c r="L146" i="4"/>
  <c r="L228" i="4" s="1"/>
  <c r="A707" i="2"/>
  <c r="BD651" i="2"/>
  <c r="L132" i="4"/>
  <c r="A699" i="2"/>
  <c r="A1277" i="2"/>
  <c r="C1047" i="2"/>
  <c r="C135" i="2"/>
  <c r="C645" i="2"/>
  <c r="C12" i="10"/>
  <c r="A1116" i="2"/>
  <c r="C580" i="2"/>
  <c r="C647" i="2"/>
  <c r="C992" i="2"/>
  <c r="C440" i="2"/>
  <c r="A74" i="4"/>
  <c r="A706" i="2"/>
  <c r="A682" i="2"/>
  <c r="A692" i="2"/>
  <c r="A714" i="2"/>
  <c r="A648" i="2"/>
  <c r="A1105" i="2"/>
  <c r="C721" i="2"/>
  <c r="C694" i="2"/>
  <c r="C388" i="2"/>
  <c r="C177" i="2"/>
  <c r="C1083" i="2"/>
  <c r="C993" i="2"/>
  <c r="C143" i="2"/>
  <c r="A667" i="2"/>
  <c r="A689" i="2"/>
  <c r="C114" i="10"/>
  <c r="C1145" i="2"/>
  <c r="O106" i="10"/>
  <c r="N86" i="1"/>
  <c r="M1069" i="2"/>
  <c r="M1068" i="2" s="1"/>
  <c r="O54" i="1"/>
  <c r="G133" i="4"/>
  <c r="H97" i="10"/>
  <c r="A50" i="4"/>
  <c r="I2" i="5"/>
  <c r="J25" i="1"/>
  <c r="A724" i="2"/>
  <c r="T132" i="4"/>
  <c r="T111" i="4"/>
  <c r="T149" i="4"/>
  <c r="T376" i="4" s="1"/>
  <c r="T119" i="4"/>
  <c r="T148" i="4"/>
  <c r="T114" i="4"/>
  <c r="T147" i="4"/>
  <c r="T141" i="4"/>
  <c r="T193" i="4"/>
  <c r="T113" i="4"/>
  <c r="T106" i="4"/>
  <c r="AJ132" i="4"/>
  <c r="AJ111" i="4"/>
  <c r="AJ193" i="4"/>
  <c r="AJ141" i="4"/>
  <c r="AJ119" i="4"/>
  <c r="AJ148" i="4"/>
  <c r="AJ114" i="4"/>
  <c r="AJ147" i="4"/>
  <c r="AJ113" i="4"/>
  <c r="AJ149" i="4"/>
  <c r="AJ376" i="4" s="1"/>
  <c r="AJ106" i="4"/>
  <c r="AZ148" i="4"/>
  <c r="AZ106" i="4"/>
  <c r="AZ147" i="4"/>
  <c r="AZ114" i="4"/>
  <c r="AZ113" i="4"/>
  <c r="AZ149" i="4"/>
  <c r="AZ376" i="4" s="1"/>
  <c r="AZ111" i="4"/>
  <c r="AZ193" i="4"/>
  <c r="AZ141" i="4"/>
  <c r="AZ132" i="4"/>
  <c r="AZ119" i="4"/>
  <c r="K193" i="4"/>
  <c r="K133" i="4"/>
  <c r="K131" i="4"/>
  <c r="J111" i="4"/>
  <c r="J114" i="4"/>
  <c r="H55" i="1"/>
  <c r="H53" i="1" s="1"/>
  <c r="J383" i="4"/>
  <c r="G141" i="4"/>
  <c r="BD58" i="4"/>
  <c r="B58" i="4" s="1"/>
  <c r="K148" i="4"/>
  <c r="K213" i="4" s="1"/>
  <c r="J113" i="4"/>
  <c r="J147" i="4"/>
  <c r="J227" i="4" s="1"/>
  <c r="I133" i="4"/>
  <c r="H133" i="4"/>
  <c r="H113" i="4"/>
  <c r="H162" i="2"/>
  <c r="G189" i="4"/>
  <c r="H189" i="4" s="1"/>
  <c r="H342" i="4"/>
  <c r="C275" i="2"/>
  <c r="C613" i="2"/>
  <c r="C612" i="2"/>
  <c r="C711" i="2"/>
  <c r="C951" i="2"/>
  <c r="G119" i="4"/>
  <c r="I341" i="4"/>
  <c r="G1147" i="2"/>
  <c r="I2" i="2"/>
  <c r="I2" i="4"/>
  <c r="A678" i="2"/>
  <c r="A694" i="2"/>
  <c r="A725" i="2"/>
  <c r="A645" i="2"/>
  <c r="BD728" i="2"/>
  <c r="N149" i="4"/>
  <c r="N376" i="4" s="1"/>
  <c r="N148" i="4"/>
  <c r="N106" i="4"/>
  <c r="N113" i="4"/>
  <c r="N132" i="4"/>
  <c r="N114" i="4"/>
  <c r="N111" i="4"/>
  <c r="N147" i="4"/>
  <c r="N193" i="4"/>
  <c r="N141" i="4"/>
  <c r="N119" i="4"/>
  <c r="AD132" i="4"/>
  <c r="AD111" i="4"/>
  <c r="AD193" i="4"/>
  <c r="AD141" i="4"/>
  <c r="AD119" i="4"/>
  <c r="AD106" i="4"/>
  <c r="AD114" i="4"/>
  <c r="AD148" i="4"/>
  <c r="AD147" i="4"/>
  <c r="AD149" i="4"/>
  <c r="AD376" i="4" s="1"/>
  <c r="AD113" i="4"/>
  <c r="AT149" i="4"/>
  <c r="AT376" i="4" s="1"/>
  <c r="AT148" i="4"/>
  <c r="AT106" i="4"/>
  <c r="AT147" i="4"/>
  <c r="AT132" i="4"/>
  <c r="AT113" i="4"/>
  <c r="AT111" i="4"/>
  <c r="AT119" i="4"/>
  <c r="AT141" i="4"/>
  <c r="AT193" i="4"/>
  <c r="AT114" i="4"/>
  <c r="X132" i="4"/>
  <c r="X111" i="4"/>
  <c r="X149" i="4"/>
  <c r="X376" i="4" s="1"/>
  <c r="X119" i="4"/>
  <c r="X148" i="4"/>
  <c r="X114" i="4"/>
  <c r="X147" i="4"/>
  <c r="X113" i="4"/>
  <c r="X106" i="4"/>
  <c r="X141" i="4"/>
  <c r="X193" i="4"/>
  <c r="AN132" i="4"/>
  <c r="AN111" i="4"/>
  <c r="AN193" i="4"/>
  <c r="AN141" i="4"/>
  <c r="AN119" i="4"/>
  <c r="AN106" i="4"/>
  <c r="AN114" i="4"/>
  <c r="AN149" i="4"/>
  <c r="AN376" i="4" s="1"/>
  <c r="AN113" i="4"/>
  <c r="AN147" i="4"/>
  <c r="AN148" i="4"/>
  <c r="P82" i="10"/>
  <c r="AZ690" i="2"/>
  <c r="AV690" i="2"/>
  <c r="AR690" i="2"/>
  <c r="BB690" i="2"/>
  <c r="AX690" i="2"/>
  <c r="AP690" i="2"/>
  <c r="AL690" i="2"/>
  <c r="AS690" i="2"/>
  <c r="AW690" i="2"/>
  <c r="AU690" i="2"/>
  <c r="AO690" i="2"/>
  <c r="AK690" i="2"/>
  <c r="AY690" i="2"/>
  <c r="AH690" i="2"/>
  <c r="AD690" i="2"/>
  <c r="BA690" i="2"/>
  <c r="AG690" i="2"/>
  <c r="AT690" i="2"/>
  <c r="AN690" i="2"/>
  <c r="AF690" i="2"/>
  <c r="AB690" i="2"/>
  <c r="AQ690" i="2"/>
  <c r="AJ690" i="2"/>
  <c r="AI690" i="2"/>
  <c r="AM690" i="2"/>
  <c r="AE690" i="2"/>
  <c r="AC690" i="2"/>
  <c r="Y690" i="2"/>
  <c r="X690" i="2"/>
  <c r="AA690" i="2"/>
  <c r="V690" i="2"/>
  <c r="T690" i="2"/>
  <c r="P690" i="2"/>
  <c r="S690" i="2"/>
  <c r="O690" i="2"/>
  <c r="Z690" i="2"/>
  <c r="W690" i="2"/>
  <c r="U690" i="2"/>
  <c r="Q690" i="2"/>
  <c r="N690" i="2"/>
  <c r="R690" i="2"/>
  <c r="O68" i="10"/>
  <c r="R149" i="4"/>
  <c r="R376" i="4" s="1"/>
  <c r="R148" i="4"/>
  <c r="R106" i="4"/>
  <c r="R147" i="4"/>
  <c r="R114" i="4"/>
  <c r="R113" i="4"/>
  <c r="R111" i="4"/>
  <c r="R132" i="4"/>
  <c r="R141" i="4"/>
  <c r="R119" i="4"/>
  <c r="R193" i="4"/>
  <c r="AH132" i="4"/>
  <c r="AH111" i="4"/>
  <c r="AH193" i="4"/>
  <c r="AH141" i="4"/>
  <c r="AH119" i="4"/>
  <c r="AH149" i="4"/>
  <c r="AH376" i="4" s="1"/>
  <c r="AH147" i="4"/>
  <c r="AH114" i="4"/>
  <c r="AH148" i="4"/>
  <c r="AH113" i="4"/>
  <c r="AH106" i="4"/>
  <c r="AX148" i="4"/>
  <c r="AX106" i="4"/>
  <c r="AX147" i="4"/>
  <c r="AX114" i="4"/>
  <c r="AX113" i="4"/>
  <c r="AX119" i="4"/>
  <c r="AX132" i="4"/>
  <c r="AX193" i="4"/>
  <c r="AX141" i="4"/>
  <c r="AX111" i="4"/>
  <c r="AX149" i="4"/>
  <c r="AX376" i="4" s="1"/>
  <c r="J106" i="4"/>
  <c r="J148" i="4"/>
  <c r="BB645" i="2"/>
  <c r="AX645" i="2"/>
  <c r="AT645" i="2"/>
  <c r="AN645" i="2"/>
  <c r="AJ645" i="2"/>
  <c r="AR645" i="2"/>
  <c r="BA645" i="2"/>
  <c r="AV645" i="2"/>
  <c r="AQ645" i="2"/>
  <c r="AM645" i="2"/>
  <c r="AI645" i="2"/>
  <c r="AU645" i="2"/>
  <c r="AS645" i="2"/>
  <c r="AF645" i="2"/>
  <c r="AW645" i="2"/>
  <c r="AP645" i="2"/>
  <c r="AB645" i="2"/>
  <c r="AZ645" i="2"/>
  <c r="AY645" i="2"/>
  <c r="AO645" i="2"/>
  <c r="AE645" i="2"/>
  <c r="AK645" i="2"/>
  <c r="AH645" i="2"/>
  <c r="AG645" i="2"/>
  <c r="AA645" i="2"/>
  <c r="W645" i="2"/>
  <c r="AD645" i="2"/>
  <c r="Z645" i="2"/>
  <c r="AL645" i="2"/>
  <c r="AC645" i="2"/>
  <c r="Y645" i="2"/>
  <c r="U645" i="2"/>
  <c r="R645" i="2"/>
  <c r="N645" i="2"/>
  <c r="Q645" i="2"/>
  <c r="S645" i="2"/>
  <c r="O645" i="2"/>
  <c r="V645" i="2"/>
  <c r="X645" i="2"/>
  <c r="T645" i="2"/>
  <c r="P645" i="2"/>
  <c r="AB132" i="4"/>
  <c r="AB111" i="4"/>
  <c r="AB149" i="4"/>
  <c r="AB376" i="4" s="1"/>
  <c r="AB147" i="4"/>
  <c r="AB113" i="4"/>
  <c r="AB193" i="4"/>
  <c r="AB141" i="4"/>
  <c r="AB106" i="4"/>
  <c r="AB148" i="4"/>
  <c r="AB114" i="4"/>
  <c r="AB119" i="4"/>
  <c r="AR113" i="4"/>
  <c r="AR132" i="4"/>
  <c r="AR111" i="4"/>
  <c r="AR141" i="4"/>
  <c r="AR119" i="4"/>
  <c r="AR106" i="4"/>
  <c r="AR193" i="4"/>
  <c r="AR114" i="4"/>
  <c r="AR147" i="4"/>
  <c r="AR149" i="4"/>
  <c r="AR376" i="4" s="1"/>
  <c r="AR148" i="4"/>
  <c r="K113" i="4"/>
  <c r="J131" i="4"/>
  <c r="O60" i="1"/>
  <c r="BB716" i="2"/>
  <c r="AX716" i="2"/>
  <c r="AT716" i="2"/>
  <c r="BA716" i="2"/>
  <c r="AW716" i="2"/>
  <c r="AS716" i="2"/>
  <c r="AN716" i="2"/>
  <c r="AJ716" i="2"/>
  <c r="AG716" i="2"/>
  <c r="AC716" i="2"/>
  <c r="AU716" i="2"/>
  <c r="AZ716" i="2"/>
  <c r="AY716" i="2"/>
  <c r="AV716" i="2"/>
  <c r="AM716" i="2"/>
  <c r="AL716" i="2"/>
  <c r="AR716" i="2"/>
  <c r="AQ716" i="2"/>
  <c r="AF716" i="2"/>
  <c r="AE716" i="2"/>
  <c r="AP716" i="2"/>
  <c r="AI716" i="2"/>
  <c r="AD716" i="2"/>
  <c r="AO716" i="2"/>
  <c r="AH716" i="2"/>
  <c r="AB716" i="2"/>
  <c r="AA716" i="2"/>
  <c r="W716" i="2"/>
  <c r="AK716" i="2"/>
  <c r="Y716" i="2"/>
  <c r="R716" i="2"/>
  <c r="Z716" i="2"/>
  <c r="U716" i="2"/>
  <c r="V716" i="2"/>
  <c r="S716" i="2"/>
  <c r="O716" i="2"/>
  <c r="T716" i="2"/>
  <c r="P716" i="2"/>
  <c r="Q716" i="2"/>
  <c r="X716" i="2"/>
  <c r="N716" i="2"/>
  <c r="AS1204" i="2"/>
  <c r="AT1204" i="2"/>
  <c r="AM1204" i="2"/>
  <c r="AG1204" i="2"/>
  <c r="AC1204" i="2"/>
  <c r="BB1204" i="2"/>
  <c r="BA1204" i="2"/>
  <c r="AX1204" i="2"/>
  <c r="AW1204" i="2"/>
  <c r="AV1204" i="2"/>
  <c r="AP1204" i="2"/>
  <c r="AI1204" i="2"/>
  <c r="U1204" i="2"/>
  <c r="AB1204" i="2"/>
  <c r="AD1204" i="2"/>
  <c r="Y1204" i="2"/>
  <c r="Z1204" i="2"/>
  <c r="Q1204" i="2"/>
  <c r="V132" i="4"/>
  <c r="V111" i="4"/>
  <c r="V149" i="4"/>
  <c r="V376" i="4" s="1"/>
  <c r="V147" i="4"/>
  <c r="V113" i="4"/>
  <c r="V193" i="4"/>
  <c r="V141" i="4"/>
  <c r="V106" i="4"/>
  <c r="V119" i="4"/>
  <c r="V114" i="4"/>
  <c r="V148" i="4"/>
  <c r="AL132" i="4"/>
  <c r="AL111" i="4"/>
  <c r="AL193" i="4"/>
  <c r="AL141" i="4"/>
  <c r="AL119" i="4"/>
  <c r="AL148" i="4"/>
  <c r="AL114" i="4"/>
  <c r="AL147" i="4"/>
  <c r="AL113" i="4"/>
  <c r="AL106" i="4"/>
  <c r="AL149" i="4"/>
  <c r="AL376" i="4" s="1"/>
  <c r="BB148" i="4"/>
  <c r="BB106" i="4"/>
  <c r="BB147" i="4"/>
  <c r="BB114" i="4"/>
  <c r="BB113" i="4"/>
  <c r="BB141" i="4"/>
  <c r="BB119" i="4"/>
  <c r="BB132" i="4"/>
  <c r="BB149" i="4"/>
  <c r="BB376" i="4" s="1"/>
  <c r="BB111" i="4"/>
  <c r="BB193" i="4"/>
  <c r="G131" i="4"/>
  <c r="L114" i="4"/>
  <c r="G111" i="4"/>
  <c r="D176" i="7" s="1"/>
  <c r="M113" i="4"/>
  <c r="J133" i="4"/>
  <c r="H133" i="10"/>
  <c r="I133" i="10" s="1"/>
  <c r="I106" i="4"/>
  <c r="H141" i="4"/>
  <c r="J341" i="4"/>
  <c r="C34" i="10"/>
  <c r="C51" i="10"/>
  <c r="C1031" i="2"/>
  <c r="C42" i="10"/>
  <c r="C31" i="10"/>
  <c r="H659" i="2"/>
  <c r="H184" i="2"/>
  <c r="K1067" i="2"/>
  <c r="G106" i="4"/>
  <c r="G188" i="4"/>
  <c r="H93" i="10"/>
  <c r="H168" i="4" s="1"/>
  <c r="K214" i="11"/>
  <c r="A434" i="2"/>
  <c r="A673" i="2"/>
  <c r="A688" i="2"/>
  <c r="A710" i="2"/>
  <c r="O113" i="10"/>
  <c r="P149" i="4"/>
  <c r="P376" i="4" s="1"/>
  <c r="P148" i="4"/>
  <c r="P106" i="4"/>
  <c r="P113" i="4"/>
  <c r="P193" i="4"/>
  <c r="P141" i="4"/>
  <c r="P119" i="4"/>
  <c r="P114" i="4"/>
  <c r="P132" i="4"/>
  <c r="P147" i="4"/>
  <c r="P111" i="4"/>
  <c r="AF132" i="4"/>
  <c r="AF111" i="4"/>
  <c r="AF193" i="4"/>
  <c r="AF141" i="4"/>
  <c r="AF119" i="4"/>
  <c r="AF149" i="4"/>
  <c r="AF376" i="4" s="1"/>
  <c r="AF148" i="4"/>
  <c r="AF114" i="4"/>
  <c r="AF113" i="4"/>
  <c r="AF106" i="4"/>
  <c r="AF147" i="4"/>
  <c r="AV149" i="4"/>
  <c r="AV376" i="4" s="1"/>
  <c r="AV148" i="4"/>
  <c r="AV106" i="4"/>
  <c r="AV141" i="4"/>
  <c r="AV119" i="4"/>
  <c r="AV147" i="4"/>
  <c r="AV114" i="4"/>
  <c r="AV113" i="4"/>
  <c r="AV193" i="4"/>
  <c r="AV111" i="4"/>
  <c r="AV132" i="4"/>
  <c r="K106" i="4"/>
  <c r="J141" i="4"/>
  <c r="H187" i="2"/>
  <c r="J193" i="4"/>
  <c r="H111" i="4"/>
  <c r="I146" i="4"/>
  <c r="G176" i="4"/>
  <c r="G146" i="4"/>
  <c r="L193" i="4"/>
  <c r="M106" i="4"/>
  <c r="M147" i="4"/>
  <c r="G193" i="4"/>
  <c r="I149" i="4"/>
  <c r="I376" i="4" s="1"/>
  <c r="H149" i="4"/>
  <c r="H376" i="4" s="1"/>
  <c r="H45" i="1"/>
  <c r="C70" i="10"/>
  <c r="C71" i="10"/>
  <c r="C582" i="2"/>
  <c r="C660" i="2"/>
  <c r="C82" i="10"/>
  <c r="C273" i="2"/>
  <c r="G114" i="4"/>
  <c r="I87" i="1"/>
  <c r="A429" i="2"/>
  <c r="A663" i="2"/>
  <c r="A671" i="2"/>
  <c r="A686" i="2"/>
  <c r="A681" i="2"/>
  <c r="A721" i="2"/>
  <c r="A713" i="2"/>
  <c r="A646" i="2"/>
  <c r="A647" i="2"/>
  <c r="BD675" i="2"/>
  <c r="BD706" i="2"/>
  <c r="BD676" i="2"/>
  <c r="O75" i="10"/>
  <c r="Z132" i="4"/>
  <c r="Z111" i="4"/>
  <c r="Z149" i="4"/>
  <c r="Z376" i="4" s="1"/>
  <c r="Z193" i="4"/>
  <c r="Z141" i="4"/>
  <c r="Z106" i="4"/>
  <c r="Z119" i="4"/>
  <c r="Z147" i="4"/>
  <c r="Z113" i="4"/>
  <c r="Z114" i="4"/>
  <c r="Z148" i="4"/>
  <c r="AP132" i="4"/>
  <c r="AP111" i="4"/>
  <c r="AP193" i="4"/>
  <c r="AP141" i="4"/>
  <c r="AP119" i="4"/>
  <c r="AP149" i="4"/>
  <c r="AP376" i="4" s="1"/>
  <c r="AP147" i="4"/>
  <c r="AP113" i="4"/>
  <c r="AP148" i="4"/>
  <c r="AP114" i="4"/>
  <c r="AP106" i="4"/>
  <c r="P1204" i="2"/>
  <c r="T661" i="2"/>
  <c r="S695" i="2"/>
  <c r="BA661" i="2"/>
  <c r="AW661" i="2"/>
  <c r="AS661" i="2"/>
  <c r="AZ661" i="2"/>
  <c r="AV661" i="2"/>
  <c r="AR661" i="2"/>
  <c r="BB661" i="2"/>
  <c r="AY661" i="2"/>
  <c r="AU661" i="2"/>
  <c r="AQ661" i="2"/>
  <c r="AM661" i="2"/>
  <c r="AX661" i="2"/>
  <c r="AP661" i="2"/>
  <c r="AF661" i="2"/>
  <c r="AB661" i="2"/>
  <c r="AT661" i="2"/>
  <c r="AL661" i="2"/>
  <c r="AE661" i="2"/>
  <c r="AD661" i="2"/>
  <c r="AC661" i="2"/>
  <c r="AK661" i="2"/>
  <c r="AO661" i="2"/>
  <c r="AN661" i="2"/>
  <c r="Z661" i="2"/>
  <c r="AG661" i="2"/>
  <c r="AJ661" i="2"/>
  <c r="X661" i="2"/>
  <c r="AI661" i="2"/>
  <c r="W661" i="2"/>
  <c r="V661" i="2"/>
  <c r="Q661" i="2"/>
  <c r="AH661" i="2"/>
  <c r="AA661" i="2"/>
  <c r="Y661" i="2"/>
  <c r="U661" i="2"/>
  <c r="N661" i="2"/>
  <c r="S661" i="2"/>
  <c r="R661" i="2"/>
  <c r="O661" i="2"/>
  <c r="A1183" i="2"/>
  <c r="A1263" i="2"/>
  <c r="O1204" i="2"/>
  <c r="BA695" i="2"/>
  <c r="AW695" i="2"/>
  <c r="AZ695" i="2"/>
  <c r="AQ695" i="2"/>
  <c r="AI695" i="2"/>
  <c r="AV695" i="2"/>
  <c r="AY695" i="2"/>
  <c r="AE695" i="2"/>
  <c r="AH695" i="2"/>
  <c r="AR695" i="2"/>
  <c r="AP695" i="2"/>
  <c r="AK695" i="2"/>
  <c r="AD695" i="2"/>
  <c r="AL695" i="2"/>
  <c r="AF695" i="2"/>
  <c r="AJ695" i="2"/>
  <c r="Y695" i="2"/>
  <c r="AM695" i="2"/>
  <c r="Z695" i="2"/>
  <c r="U695" i="2"/>
  <c r="T695" i="2"/>
  <c r="X695" i="2"/>
  <c r="V695" i="2"/>
  <c r="BA1025" i="2"/>
  <c r="AW1025" i="2"/>
  <c r="AS1025" i="2"/>
  <c r="AZ1025" i="2"/>
  <c r="AX1025" i="2"/>
  <c r="BB1025" i="2"/>
  <c r="AV1025" i="2"/>
  <c r="AT1025" i="2"/>
  <c r="AQ1025" i="2"/>
  <c r="AM1025" i="2"/>
  <c r="AI1025" i="2"/>
  <c r="AU1025" i="2"/>
  <c r="AY1025" i="2"/>
  <c r="AP1025" i="2"/>
  <c r="AL1025" i="2"/>
  <c r="AH1025" i="2"/>
  <c r="AO1025" i="2"/>
  <c r="AE1025" i="2"/>
  <c r="AR1025" i="2"/>
  <c r="AN1025" i="2"/>
  <c r="AK1025" i="2"/>
  <c r="AG1025" i="2"/>
  <c r="AC1025" i="2"/>
  <c r="AD1025" i="2"/>
  <c r="Z1025" i="2"/>
  <c r="V1025" i="2"/>
  <c r="Y1025" i="2"/>
  <c r="AF1025" i="2"/>
  <c r="AB1025" i="2"/>
  <c r="AJ1025" i="2"/>
  <c r="W1025" i="2"/>
  <c r="AA1025" i="2"/>
  <c r="X1025" i="2"/>
  <c r="U1025" i="2"/>
  <c r="Q1025" i="2"/>
  <c r="T1025" i="2"/>
  <c r="P1025" i="2"/>
  <c r="R1025" i="2"/>
  <c r="N1025" i="2"/>
  <c r="S1025" i="2"/>
  <c r="O132" i="4"/>
  <c r="O111" i="4"/>
  <c r="O119" i="4"/>
  <c r="O148" i="4"/>
  <c r="O114" i="4"/>
  <c r="O193" i="4"/>
  <c r="O141" i="4"/>
  <c r="O113" i="4"/>
  <c r="O106" i="4"/>
  <c r="O149" i="4"/>
  <c r="O376" i="4" s="1"/>
  <c r="O147" i="4"/>
  <c r="Q132" i="4"/>
  <c r="Q111" i="4"/>
  <c r="Q193" i="4"/>
  <c r="Q141" i="4"/>
  <c r="Q148" i="4"/>
  <c r="Q113" i="4"/>
  <c r="Q147" i="4"/>
  <c r="Q106" i="4"/>
  <c r="Q114" i="4"/>
  <c r="Q149" i="4"/>
  <c r="Q376" i="4" s="1"/>
  <c r="Q119" i="4"/>
  <c r="S148" i="4"/>
  <c r="S106" i="4"/>
  <c r="S113" i="4"/>
  <c r="S119" i="4"/>
  <c r="S132" i="4"/>
  <c r="S141" i="4"/>
  <c r="S147" i="4"/>
  <c r="S111" i="4"/>
  <c r="S149" i="4"/>
  <c r="S376" i="4" s="1"/>
  <c r="S193" i="4"/>
  <c r="S114" i="4"/>
  <c r="U148" i="4"/>
  <c r="U106" i="4"/>
  <c r="U113" i="4"/>
  <c r="U147" i="4"/>
  <c r="U111" i="4"/>
  <c r="U193" i="4"/>
  <c r="U141" i="4"/>
  <c r="U114" i="4"/>
  <c r="U149" i="4"/>
  <c r="U376" i="4" s="1"/>
  <c r="U132" i="4"/>
  <c r="U119" i="4"/>
  <c r="W148" i="4"/>
  <c r="W106" i="4"/>
  <c r="W113" i="4"/>
  <c r="W119" i="4"/>
  <c r="W132" i="4"/>
  <c r="W149" i="4"/>
  <c r="W376" i="4" s="1"/>
  <c r="W114" i="4"/>
  <c r="W141" i="4"/>
  <c r="W193" i="4"/>
  <c r="W147" i="4"/>
  <c r="W111" i="4"/>
  <c r="Y148" i="4"/>
  <c r="Y106" i="4"/>
  <c r="Y113" i="4"/>
  <c r="Y193" i="4"/>
  <c r="Y141" i="4"/>
  <c r="Y119" i="4"/>
  <c r="Y132" i="4"/>
  <c r="Y111" i="4"/>
  <c r="Y149" i="4"/>
  <c r="Y376" i="4" s="1"/>
  <c r="Y147" i="4"/>
  <c r="Y114" i="4"/>
  <c r="AA148" i="4"/>
  <c r="AA106" i="4"/>
  <c r="AA113" i="4"/>
  <c r="AA149" i="4"/>
  <c r="AA376" i="4" s="1"/>
  <c r="AA114" i="4"/>
  <c r="AA147" i="4"/>
  <c r="AA111" i="4"/>
  <c r="AA193" i="4"/>
  <c r="AA141" i="4"/>
  <c r="AA132" i="4"/>
  <c r="AA119" i="4"/>
  <c r="AC148" i="4"/>
  <c r="AC106" i="4"/>
  <c r="AC113" i="4"/>
  <c r="AC132" i="4"/>
  <c r="AC149" i="4"/>
  <c r="AC376" i="4" s="1"/>
  <c r="AC114" i="4"/>
  <c r="AC147" i="4"/>
  <c r="AC111" i="4"/>
  <c r="AC119" i="4"/>
  <c r="AC141" i="4"/>
  <c r="AC193" i="4"/>
  <c r="AE148" i="4"/>
  <c r="AE106" i="4"/>
  <c r="AE147" i="4"/>
  <c r="AE114" i="4"/>
  <c r="AE113" i="4"/>
  <c r="AE149" i="4"/>
  <c r="AE376" i="4" s="1"/>
  <c r="AE141" i="4"/>
  <c r="AE119" i="4"/>
  <c r="AE111" i="4"/>
  <c r="AE193" i="4"/>
  <c r="AE132" i="4"/>
  <c r="AG148" i="4"/>
  <c r="AG106" i="4"/>
  <c r="AG147" i="4"/>
  <c r="AG114" i="4"/>
  <c r="AG113" i="4"/>
  <c r="AG141" i="4"/>
  <c r="AG149" i="4"/>
  <c r="AG376" i="4" s="1"/>
  <c r="AG119" i="4"/>
  <c r="AG132" i="4"/>
  <c r="AG193" i="4"/>
  <c r="AG111" i="4"/>
  <c r="AI148" i="4"/>
  <c r="AI106" i="4"/>
  <c r="AI147" i="4"/>
  <c r="AI114" i="4"/>
  <c r="AI113" i="4"/>
  <c r="AI132" i="4"/>
  <c r="AI111" i="4"/>
  <c r="AI119" i="4"/>
  <c r="AI141" i="4"/>
  <c r="AI193" i="4"/>
  <c r="AI149" i="4"/>
  <c r="AI376" i="4" s="1"/>
  <c r="AK148" i="4"/>
  <c r="AK106" i="4"/>
  <c r="AK147" i="4"/>
  <c r="AK114" i="4"/>
  <c r="AK113" i="4"/>
  <c r="AK111" i="4"/>
  <c r="AK193" i="4"/>
  <c r="AK132" i="4"/>
  <c r="AK119" i="4"/>
  <c r="AK149" i="4"/>
  <c r="AK376" i="4" s="1"/>
  <c r="AK141" i="4"/>
  <c r="AM148" i="4"/>
  <c r="AM106" i="4"/>
  <c r="AM147" i="4"/>
  <c r="AM114" i="4"/>
  <c r="AM113" i="4"/>
  <c r="AM119" i="4"/>
  <c r="AM132" i="4"/>
  <c r="AM111" i="4"/>
  <c r="AM193" i="4"/>
  <c r="AM149" i="4"/>
  <c r="AM376" i="4" s="1"/>
  <c r="AM141" i="4"/>
  <c r="AO148" i="4"/>
  <c r="AO106" i="4"/>
  <c r="AO147" i="4"/>
  <c r="AO114" i="4"/>
  <c r="AO113" i="4"/>
  <c r="AO132" i="4"/>
  <c r="AO149" i="4"/>
  <c r="AO376" i="4" s="1"/>
  <c r="AO193" i="4"/>
  <c r="AO111" i="4"/>
  <c r="AO141" i="4"/>
  <c r="AO119" i="4"/>
  <c r="AQ149" i="4"/>
  <c r="AQ376" i="4" s="1"/>
  <c r="AQ148" i="4"/>
  <c r="AQ106" i="4"/>
  <c r="AQ141" i="4"/>
  <c r="AQ119" i="4"/>
  <c r="AQ114" i="4"/>
  <c r="AQ147" i="4"/>
  <c r="AQ111" i="4"/>
  <c r="AQ193" i="4"/>
  <c r="AQ132" i="4"/>
  <c r="AQ113" i="4"/>
  <c r="AS149" i="4"/>
  <c r="AS376" i="4" s="1"/>
  <c r="AS148" i="4"/>
  <c r="AS106" i="4"/>
  <c r="AS111" i="4"/>
  <c r="AS193" i="4"/>
  <c r="AS132" i="4"/>
  <c r="AS119" i="4"/>
  <c r="AS114" i="4"/>
  <c r="AS147" i="4"/>
  <c r="AS141" i="4"/>
  <c r="AS113" i="4"/>
  <c r="AU113" i="4"/>
  <c r="AU132" i="4"/>
  <c r="AU111" i="4"/>
  <c r="AU149" i="4"/>
  <c r="AU376" i="4" s="1"/>
  <c r="AU148" i="4"/>
  <c r="AU114" i="4"/>
  <c r="AU147" i="4"/>
  <c r="AU119" i="4"/>
  <c r="AU193" i="4"/>
  <c r="AU141" i="4"/>
  <c r="AU106" i="4"/>
  <c r="AW113" i="4"/>
  <c r="AW132" i="4"/>
  <c r="AW111" i="4"/>
  <c r="AW141" i="4"/>
  <c r="AW119" i="4"/>
  <c r="AW106" i="4"/>
  <c r="AW149" i="4"/>
  <c r="AW376" i="4" s="1"/>
  <c r="AW148" i="4"/>
  <c r="AW147" i="4"/>
  <c r="AW193" i="4"/>
  <c r="AW114" i="4"/>
  <c r="AY132" i="4"/>
  <c r="AY111" i="4"/>
  <c r="AY193" i="4"/>
  <c r="AY141" i="4"/>
  <c r="AY119" i="4"/>
  <c r="AY106" i="4"/>
  <c r="AY113" i="4"/>
  <c r="AY149" i="4"/>
  <c r="AY376" i="4" s="1"/>
  <c r="AY148" i="4"/>
  <c r="AY147" i="4"/>
  <c r="AY114" i="4"/>
  <c r="BA132" i="4"/>
  <c r="BA111" i="4"/>
  <c r="BA193" i="4"/>
  <c r="BA141" i="4"/>
  <c r="BA119" i="4"/>
  <c r="BA149" i="4"/>
  <c r="BA376" i="4" s="1"/>
  <c r="BA148" i="4"/>
  <c r="BA114" i="4"/>
  <c r="BA147" i="4"/>
  <c r="BA113" i="4"/>
  <c r="BA106" i="4"/>
  <c r="Q695" i="2"/>
  <c r="T146" i="4"/>
  <c r="J31" i="1"/>
  <c r="N31" i="1"/>
  <c r="N369" i="4" s="1"/>
  <c r="O31" i="1"/>
  <c r="O139" i="1" s="1"/>
  <c r="P31" i="1"/>
  <c r="P411" i="4" s="1"/>
  <c r="Q31" i="1"/>
  <c r="Q320" i="4" s="1"/>
  <c r="R31" i="1"/>
  <c r="R411" i="4" s="1"/>
  <c r="S31" i="1"/>
  <c r="T31" i="1"/>
  <c r="T139" i="1" s="1"/>
  <c r="U31" i="1"/>
  <c r="U320" i="4" s="1"/>
  <c r="V31" i="1"/>
  <c r="V369" i="4" s="1"/>
  <c r="W31" i="1"/>
  <c r="X31" i="1"/>
  <c r="X369" i="4" s="1"/>
  <c r="Y31" i="1"/>
  <c r="Y320" i="4" s="1"/>
  <c r="Z31" i="1"/>
  <c r="Z320" i="4" s="1"/>
  <c r="AA31" i="1"/>
  <c r="AB31" i="1"/>
  <c r="AC31" i="1"/>
  <c r="AC411" i="4" s="1"/>
  <c r="AD31" i="1"/>
  <c r="AD411" i="4" s="1"/>
  <c r="AE31" i="1"/>
  <c r="AF31" i="1"/>
  <c r="AF411" i="4" s="1"/>
  <c r="AG31" i="1"/>
  <c r="AG139" i="1" s="1"/>
  <c r="AH31" i="1"/>
  <c r="AH320" i="4" s="1"/>
  <c r="AI31" i="1"/>
  <c r="AJ31" i="1"/>
  <c r="AJ139" i="1" s="1"/>
  <c r="AK31" i="1"/>
  <c r="AK139" i="1" s="1"/>
  <c r="AL31" i="1"/>
  <c r="AL411" i="4" s="1"/>
  <c r="AM31" i="1"/>
  <c r="AN31" i="1"/>
  <c r="AN139" i="1" s="1"/>
  <c r="AO31" i="1"/>
  <c r="AO411" i="4" s="1"/>
  <c r="AP31" i="1"/>
  <c r="AP411" i="4" s="1"/>
  <c r="AQ31" i="1"/>
  <c r="AR31" i="1"/>
  <c r="AS31" i="1"/>
  <c r="AS411" i="4" s="1"/>
  <c r="AT31" i="1"/>
  <c r="AT369" i="4" s="1"/>
  <c r="AU31" i="1"/>
  <c r="AV31" i="1"/>
  <c r="AV411" i="4" s="1"/>
  <c r="AW31" i="1"/>
  <c r="AW320" i="4" s="1"/>
  <c r="AX31" i="1"/>
  <c r="AX139" i="1" s="1"/>
  <c r="AY31" i="1"/>
  <c r="AY369" i="4" s="1"/>
  <c r="AZ31" i="1"/>
  <c r="AZ139" i="1" s="1"/>
  <c r="BA31" i="1"/>
  <c r="BB31" i="1"/>
  <c r="BB320" i="4" s="1"/>
  <c r="P146" i="4"/>
  <c r="X1204" i="2"/>
  <c r="T131" i="4"/>
  <c r="P131" i="4"/>
  <c r="Q133" i="4"/>
  <c r="R695" i="2"/>
  <c r="S1204" i="2"/>
  <c r="V1204" i="2"/>
  <c r="A457" i="4"/>
  <c r="H80" i="1"/>
  <c r="T1204" i="2"/>
  <c r="O131" i="4"/>
  <c r="O146" i="4"/>
  <c r="P133" i="4"/>
  <c r="S131" i="4"/>
  <c r="S146" i="4"/>
  <c r="T133" i="4"/>
  <c r="Y133" i="4"/>
  <c r="AA695" i="2"/>
  <c r="Z133" i="4"/>
  <c r="N133" i="4"/>
  <c r="N1204" i="2"/>
  <c r="Q131" i="4"/>
  <c r="Q146" i="4"/>
  <c r="R133" i="4"/>
  <c r="R1204" i="2"/>
  <c r="V131" i="4"/>
  <c r="AB695" i="2"/>
  <c r="AE1204" i="2"/>
  <c r="X146" i="4"/>
  <c r="N131" i="4"/>
  <c r="N146" i="4"/>
  <c r="O133" i="4"/>
  <c r="R131" i="4"/>
  <c r="R146" i="4"/>
  <c r="S133" i="4"/>
  <c r="X131" i="4"/>
  <c r="Y131" i="4"/>
  <c r="AC146" i="4"/>
  <c r="V146" i="4"/>
  <c r="X992" i="2"/>
  <c r="AE131" i="4"/>
  <c r="U133" i="4"/>
  <c r="Y146" i="4"/>
  <c r="AH1204" i="2"/>
  <c r="U131" i="4"/>
  <c r="U146" i="4"/>
  <c r="V133" i="4"/>
  <c r="W695" i="2"/>
  <c r="AB133" i="4"/>
  <c r="AE133" i="4"/>
  <c r="AB131" i="4"/>
  <c r="AR133" i="4"/>
  <c r="AE146" i="4"/>
  <c r="AL1204" i="2"/>
  <c r="W133" i="4"/>
  <c r="W1204" i="2"/>
  <c r="Z131" i="4"/>
  <c r="Z146" i="4"/>
  <c r="AA133" i="4"/>
  <c r="AA1204" i="2"/>
  <c r="AD133" i="4"/>
  <c r="AF1204" i="2"/>
  <c r="AG131" i="4"/>
  <c r="AL133" i="4"/>
  <c r="AN992" i="2"/>
  <c r="AB146" i="4"/>
  <c r="AC695" i="2"/>
  <c r="AD146" i="4"/>
  <c r="AM133" i="4"/>
  <c r="W131" i="4"/>
  <c r="W146" i="4"/>
  <c r="X133" i="4"/>
  <c r="AA131" i="4"/>
  <c r="AA146" i="4"/>
  <c r="AQ1204" i="2"/>
  <c r="AC131" i="4"/>
  <c r="AK131" i="4"/>
  <c r="AK146" i="4"/>
  <c r="AG695" i="2"/>
  <c r="AG146" i="4"/>
  <c r="AJ1204" i="2"/>
  <c r="AO1204" i="2"/>
  <c r="AF133" i="4"/>
  <c r="AD131" i="4"/>
  <c r="AF992" i="2"/>
  <c r="AN695" i="2"/>
  <c r="BA133" i="4"/>
  <c r="AO146" i="4"/>
  <c r="AP146" i="4"/>
  <c r="AS133" i="4"/>
  <c r="AL131" i="4"/>
  <c r="AV131" i="4"/>
  <c r="AY131" i="4"/>
  <c r="AO695" i="2"/>
  <c r="AR131" i="4"/>
  <c r="AR1204" i="2"/>
  <c r="AS695" i="2"/>
  <c r="AS131" i="4"/>
  <c r="AR146" i="4"/>
  <c r="AS992" i="2"/>
  <c r="AV133" i="4"/>
  <c r="AH133" i="4"/>
  <c r="AL146" i="4"/>
  <c r="AV146" i="4"/>
  <c r="AW131" i="4"/>
  <c r="AW133" i="4"/>
  <c r="AY1204" i="2"/>
  <c r="AW146" i="4"/>
  <c r="AZ131" i="4"/>
  <c r="AC133" i="4"/>
  <c r="AF131" i="4"/>
  <c r="AF146" i="4"/>
  <c r="AG133" i="4"/>
  <c r="AH146" i="4"/>
  <c r="AI133" i="4"/>
  <c r="AK1204" i="2"/>
  <c r="AO131" i="4"/>
  <c r="AP131" i="4"/>
  <c r="AP133" i="4"/>
  <c r="AT133" i="4"/>
  <c r="AU695" i="2"/>
  <c r="AU1204" i="2"/>
  <c r="AH131" i="4"/>
  <c r="AQ133" i="4"/>
  <c r="AU146" i="4"/>
  <c r="AY146" i="4"/>
  <c r="BB695" i="2"/>
  <c r="AI131" i="4"/>
  <c r="AI146" i="4"/>
  <c r="AJ133" i="4"/>
  <c r="AM131" i="4"/>
  <c r="AM146" i="4"/>
  <c r="AN133" i="4"/>
  <c r="AN1204" i="2"/>
  <c r="AQ131" i="4"/>
  <c r="AQ146" i="4"/>
  <c r="AS146" i="4"/>
  <c r="AX695" i="2"/>
  <c r="AZ133" i="4"/>
  <c r="AZ1204" i="2"/>
  <c r="BA146" i="4"/>
  <c r="AU131" i="4"/>
  <c r="AX133" i="4"/>
  <c r="AZ146" i="4"/>
  <c r="AJ131" i="4"/>
  <c r="AJ146" i="4"/>
  <c r="AK133" i="4"/>
  <c r="AN131" i="4"/>
  <c r="AN146" i="4"/>
  <c r="AO133" i="4"/>
  <c r="AT695" i="2"/>
  <c r="BA131" i="4"/>
  <c r="BB133" i="4"/>
  <c r="AT131" i="4"/>
  <c r="AT146" i="4"/>
  <c r="AU133" i="4"/>
  <c r="AX131" i="4"/>
  <c r="AX146" i="4"/>
  <c r="AY133" i="4"/>
  <c r="BB131" i="4"/>
  <c r="BB146" i="4"/>
  <c r="S87" i="4"/>
  <c r="U87" i="4"/>
  <c r="AD101" i="4"/>
  <c r="AQ101" i="4"/>
  <c r="T87" i="4"/>
  <c r="AM87" i="4"/>
  <c r="AN87" i="4"/>
  <c r="AD87" i="4"/>
  <c r="AK101" i="4"/>
  <c r="AL87" i="4"/>
  <c r="AP87" i="4"/>
  <c r="AQ87" i="4"/>
  <c r="AK87" i="4"/>
  <c r="AR87" i="4"/>
  <c r="AH87" i="4"/>
  <c r="AU87" i="4"/>
  <c r="AW87" i="4"/>
  <c r="AV87" i="4"/>
  <c r="BA87" i="4"/>
  <c r="BB87" i="4"/>
  <c r="C1256" i="2"/>
  <c r="C1299" i="2"/>
  <c r="C546" i="2"/>
  <c r="C586" i="2"/>
  <c r="C1292" i="2"/>
  <c r="C627" i="2"/>
  <c r="C1019" i="2"/>
  <c r="C681" i="2"/>
  <c r="C1087" i="2"/>
  <c r="A29" i="2"/>
  <c r="C1317" i="2"/>
  <c r="C75" i="10"/>
  <c r="C1318" i="2"/>
  <c r="C15" i="2"/>
  <c r="C1027" i="2"/>
  <c r="C1326" i="2"/>
  <c r="C729" i="2"/>
  <c r="C1218" i="2"/>
  <c r="C581" i="2"/>
  <c r="C1066" i="2"/>
  <c r="C1098" i="2"/>
  <c r="A87" i="4"/>
  <c r="A178" i="2"/>
  <c r="A1103" i="2"/>
  <c r="C720" i="2"/>
  <c r="C399" i="2"/>
  <c r="C11" i="2"/>
  <c r="C35" i="10"/>
  <c r="C419" i="2"/>
  <c r="C1051" i="2"/>
  <c r="C538" i="2"/>
  <c r="C988" i="2"/>
  <c r="C1011" i="2"/>
  <c r="G252" i="11"/>
  <c r="A662" i="2"/>
  <c r="A430" i="4"/>
  <c r="A668" i="2"/>
  <c r="C650" i="2"/>
  <c r="C1196" i="2"/>
  <c r="C115" i="10"/>
  <c r="C165" i="2"/>
  <c r="C397" i="2"/>
  <c r="C643" i="2"/>
  <c r="C1151" i="2"/>
  <c r="C26" i="10"/>
  <c r="C633" i="2"/>
  <c r="C1191" i="2"/>
  <c r="C1345" i="2"/>
  <c r="C953" i="2"/>
  <c r="C136" i="10"/>
  <c r="C972" i="2"/>
  <c r="C974" i="2"/>
  <c r="C1052" i="2"/>
  <c r="C1039" i="2"/>
  <c r="C975" i="2"/>
  <c r="C1090" i="2"/>
  <c r="C631" i="2"/>
  <c r="C590" i="2"/>
  <c r="C409" i="2"/>
  <c r="C1062" i="2"/>
  <c r="C112" i="10"/>
  <c r="C79" i="10"/>
  <c r="C1332" i="2"/>
  <c r="C1264" i="2"/>
  <c r="C1282" i="2"/>
  <c r="C955" i="2"/>
  <c r="C566" i="2"/>
  <c r="C982" i="2"/>
  <c r="C1089" i="2"/>
  <c r="C37" i="10"/>
  <c r="C1258" i="2"/>
  <c r="C656" i="2"/>
  <c r="C158" i="2"/>
  <c r="C1351" i="2"/>
  <c r="C1197" i="2"/>
  <c r="C708" i="2"/>
  <c r="C1092" i="2"/>
  <c r="C553" i="2"/>
  <c r="C1010" i="2"/>
  <c r="C978" i="2"/>
  <c r="C189" i="2"/>
  <c r="C943" i="2"/>
  <c r="C410" i="2"/>
  <c r="C726" i="2"/>
  <c r="C678" i="2"/>
  <c r="C671" i="2"/>
  <c r="C21" i="10"/>
  <c r="C1088" i="2"/>
  <c r="C98" i="10"/>
  <c r="C977" i="2"/>
  <c r="C960" i="2"/>
  <c r="C389" i="2"/>
  <c r="C407" i="2"/>
  <c r="C1297" i="2"/>
  <c r="C1348" i="2"/>
  <c r="C1254" i="2"/>
  <c r="C990" i="2"/>
  <c r="C964" i="2"/>
  <c r="C44" i="10"/>
  <c r="C704" i="2"/>
  <c r="C1315" i="2"/>
  <c r="C1164" i="2"/>
  <c r="C986" i="2"/>
  <c r="C53" i="1"/>
  <c r="C947" i="2"/>
  <c r="C1322" i="2"/>
  <c r="C24" i="10"/>
  <c r="C652" i="2"/>
  <c r="C59" i="10"/>
  <c r="C21" i="2"/>
  <c r="C662" i="2"/>
  <c r="C198" i="2"/>
  <c r="A642" i="2"/>
  <c r="C210" i="2"/>
  <c r="C1327" i="2"/>
  <c r="C132" i="2"/>
  <c r="C1215" i="2"/>
  <c r="C190" i="2"/>
  <c r="C1162" i="2"/>
  <c r="C1259" i="2"/>
  <c r="C28" i="2"/>
  <c r="C651" i="2"/>
  <c r="C963" i="2"/>
  <c r="C387" i="2"/>
  <c r="C965" i="2"/>
  <c r="C1340" i="2"/>
  <c r="C971" i="2"/>
  <c r="C20" i="10"/>
  <c r="C32" i="10"/>
  <c r="C1180" i="2"/>
  <c r="C1336" i="2"/>
  <c r="C667" i="2"/>
  <c r="C719" i="2"/>
  <c r="C1253" i="2"/>
  <c r="C104" i="10"/>
  <c r="C1261" i="2"/>
  <c r="C1307" i="2"/>
  <c r="C954" i="2"/>
  <c r="C1257" i="2"/>
  <c r="C1217" i="2"/>
  <c r="C116" i="10"/>
  <c r="C39" i="10"/>
  <c r="C1171" i="2"/>
  <c r="C1068" i="2"/>
  <c r="C598" i="2"/>
  <c r="C85" i="10"/>
  <c r="C1035" i="2"/>
  <c r="C289" i="2"/>
  <c r="C429" i="2"/>
  <c r="C618" i="2"/>
  <c r="A53" i="1"/>
  <c r="C611" i="2"/>
  <c r="C150" i="2"/>
  <c r="C555" i="2"/>
  <c r="C130" i="10"/>
  <c r="C1015" i="2"/>
  <c r="C1309" i="2"/>
  <c r="C32" i="2"/>
  <c r="C1182" i="2"/>
  <c r="C128" i="2"/>
  <c r="C1059" i="2"/>
  <c r="C575" i="2"/>
  <c r="C148" i="2"/>
  <c r="C606" i="2"/>
  <c r="C136" i="2"/>
  <c r="C133" i="2"/>
  <c r="C175" i="2"/>
  <c r="C961" i="2"/>
  <c r="C670" i="2"/>
  <c r="C427" i="2"/>
  <c r="C277" i="2"/>
  <c r="C404" i="2"/>
  <c r="C663" i="2"/>
  <c r="C1091" i="2"/>
  <c r="C1048" i="2"/>
  <c r="C17" i="10"/>
  <c r="C675" i="2"/>
  <c r="C1353" i="2"/>
  <c r="C107" i="10"/>
  <c r="C562" i="2"/>
  <c r="C599" i="2"/>
  <c r="C983" i="2"/>
  <c r="C621" i="2"/>
  <c r="C966" i="2"/>
  <c r="C1077" i="2"/>
  <c r="C957" i="2"/>
  <c r="C987" i="2"/>
  <c r="C1323" i="2"/>
  <c r="C672" i="2"/>
  <c r="C33" i="10"/>
  <c r="C607" i="2"/>
  <c r="A440" i="4"/>
  <c r="A698" i="2"/>
  <c r="A691" i="2"/>
  <c r="A996" i="2"/>
  <c r="B10" i="1"/>
  <c r="A1284" i="2"/>
  <c r="A1280" i="2"/>
  <c r="A425" i="4"/>
  <c r="A1274" i="2"/>
  <c r="A1099" i="2"/>
  <c r="A502" i="4"/>
  <c r="A303" i="2"/>
  <c r="A71" i="2"/>
  <c r="A484" i="4"/>
  <c r="A1265" i="2"/>
  <c r="B44" i="10"/>
  <c r="B46" i="10" s="1"/>
  <c r="B47" i="10" s="1"/>
  <c r="C47" i="10" s="1"/>
  <c r="BD1304" i="2"/>
  <c r="BD1043" i="2"/>
  <c r="M375" i="4"/>
  <c r="M228" i="4"/>
  <c r="L326" i="4"/>
  <c r="L113" i="4"/>
  <c r="L119" i="4"/>
  <c r="L147" i="4"/>
  <c r="L111" i="4"/>
  <c r="L149" i="4"/>
  <c r="L376" i="4" s="1"/>
  <c r="L141" i="4"/>
  <c r="M133" i="4"/>
  <c r="M111" i="4"/>
  <c r="M149" i="4"/>
  <c r="M376" i="4" s="1"/>
  <c r="L133" i="4"/>
  <c r="K149" i="4"/>
  <c r="K146" i="4"/>
  <c r="K119" i="4"/>
  <c r="K114" i="4"/>
  <c r="G197" i="4"/>
  <c r="H1178" i="2"/>
  <c r="K141" i="4"/>
  <c r="I290" i="2"/>
  <c r="I299" i="2"/>
  <c r="I77" i="2"/>
  <c r="I16" i="2"/>
  <c r="I35" i="2"/>
  <c r="J50" i="1"/>
  <c r="J48" i="1"/>
  <c r="J49" i="1"/>
  <c r="J484" i="2" s="1"/>
  <c r="K43" i="1"/>
  <c r="J47" i="1"/>
  <c r="J57" i="2" s="1"/>
  <c r="C206" i="2"/>
  <c r="C196" i="2"/>
  <c r="C197" i="2" s="1"/>
  <c r="C76" i="2"/>
  <c r="C200" i="2"/>
  <c r="C204" i="2"/>
  <c r="C70" i="2"/>
  <c r="C169" i="2"/>
  <c r="C7" i="2"/>
  <c r="C1184" i="2"/>
  <c r="C1119" i="2"/>
  <c r="C1130" i="2"/>
  <c r="C1110" i="2"/>
  <c r="C153" i="2"/>
  <c r="C996" i="2"/>
  <c r="C270" i="2"/>
  <c r="C533" i="2"/>
  <c r="C9" i="10"/>
  <c r="C202" i="2"/>
  <c r="C216" i="2"/>
  <c r="C69" i="2"/>
  <c r="C1265" i="2"/>
  <c r="C1116" i="2"/>
  <c r="C1103" i="2"/>
  <c r="C29" i="2"/>
  <c r="C1281" i="2"/>
  <c r="C1288" i="2"/>
  <c r="C439" i="2"/>
  <c r="C718" i="2"/>
  <c r="C605" i="2"/>
  <c r="C1147" i="2"/>
  <c r="C280" i="2"/>
  <c r="C547" i="2"/>
  <c r="C976" i="2"/>
  <c r="C958" i="2"/>
  <c r="C1009" i="2"/>
  <c r="C593" i="2"/>
  <c r="C544" i="2"/>
  <c r="C1026" i="2"/>
  <c r="C1085" i="2"/>
  <c r="C527" i="2"/>
  <c r="C1354" i="2"/>
  <c r="C15" i="10"/>
  <c r="C1304" i="2"/>
  <c r="C97" i="10"/>
  <c r="C41" i="10"/>
  <c r="C725" i="2"/>
  <c r="C49" i="10"/>
  <c r="C274" i="2"/>
  <c r="C1079" i="2"/>
  <c r="C1038" i="2"/>
  <c r="C14" i="10"/>
  <c r="C1061" i="2"/>
  <c r="C125" i="10"/>
  <c r="C145" i="2"/>
  <c r="C127" i="10"/>
  <c r="C644" i="2"/>
  <c r="C703" i="2"/>
  <c r="C10" i="10"/>
  <c r="C1339" i="2"/>
  <c r="C1178" i="2"/>
  <c r="C61" i="10"/>
  <c r="C666" i="2"/>
  <c r="C208" i="2"/>
  <c r="C71" i="2"/>
  <c r="C1263" i="2"/>
  <c r="C1333" i="2"/>
  <c r="C1136" i="2"/>
  <c r="C1129" i="2"/>
  <c r="C1118" i="2"/>
  <c r="C303" i="2"/>
  <c r="C1275" i="2"/>
  <c r="C1280" i="2"/>
  <c r="C1272" i="2"/>
  <c r="C531" i="2"/>
  <c r="C945" i="2"/>
  <c r="C194" i="2"/>
  <c r="C195" i="2" s="1"/>
  <c r="C1175" i="2"/>
  <c r="C74" i="2"/>
  <c r="C1185" i="2"/>
  <c r="C1330" i="2"/>
  <c r="C1135" i="2"/>
  <c r="C1107" i="2"/>
  <c r="C1117" i="2"/>
  <c r="C272" i="2"/>
  <c r="C698" i="2"/>
  <c r="C691" i="2"/>
  <c r="C131" i="2"/>
  <c r="C1276" i="2"/>
  <c r="C1289" i="2"/>
  <c r="C1274" i="2"/>
  <c r="C1328" i="2"/>
  <c r="C1036" i="2"/>
  <c r="C1045" i="2"/>
  <c r="C944" i="2"/>
  <c r="C23" i="2"/>
  <c r="C697" i="2"/>
  <c r="C1311" i="2"/>
  <c r="C43" i="10"/>
  <c r="C11" i="10"/>
  <c r="C727" i="2"/>
  <c r="C542" i="2"/>
  <c r="C434" i="2"/>
  <c r="C576" i="2"/>
  <c r="C297" i="2"/>
  <c r="C707" i="2"/>
  <c r="C1049" i="2"/>
  <c r="C1251" i="2"/>
  <c r="C551" i="2"/>
  <c r="C129" i="2"/>
  <c r="C984" i="2"/>
  <c r="C674" i="2"/>
  <c r="C135" i="10"/>
  <c r="C79" i="2"/>
  <c r="C83" i="2"/>
  <c r="C1183" i="2"/>
  <c r="C1331" i="2"/>
  <c r="C1132" i="2"/>
  <c r="C1134" i="2"/>
  <c r="C1115" i="2"/>
  <c r="C271" i="2"/>
  <c r="C723" i="2"/>
  <c r="C717" i="2"/>
  <c r="C1287" i="2"/>
  <c r="C1334" i="2"/>
  <c r="C949" i="2"/>
  <c r="C604" i="2"/>
  <c r="C156" i="2"/>
  <c r="C624" i="2"/>
  <c r="C57" i="10"/>
  <c r="C981" i="2"/>
  <c r="C552" i="2"/>
  <c r="C1028" i="2"/>
  <c r="C1316" i="2"/>
  <c r="C302" i="2"/>
  <c r="C1163" i="2"/>
  <c r="C572" i="2"/>
  <c r="C560" i="2"/>
  <c r="C22" i="10"/>
  <c r="C154" i="2"/>
  <c r="C559" i="2"/>
  <c r="C702" i="2"/>
  <c r="C673" i="2"/>
  <c r="C1021" i="2"/>
  <c r="C1080" i="2"/>
  <c r="C994" i="2"/>
  <c r="G624" i="2"/>
  <c r="H623" i="2"/>
  <c r="C1086" i="2"/>
  <c r="C970" i="2"/>
  <c r="C565" i="2"/>
  <c r="C1105" i="2"/>
  <c r="C27" i="2"/>
  <c r="C84" i="2"/>
  <c r="C205" i="2"/>
  <c r="C946" i="2"/>
  <c r="C526" i="2"/>
  <c r="C109" i="10"/>
  <c r="C179" i="2"/>
  <c r="C65" i="10"/>
  <c r="C628" i="2"/>
  <c r="C1349" i="2"/>
  <c r="C1209" i="2"/>
  <c r="C1082" i="2"/>
  <c r="C1050" i="2"/>
  <c r="C129" i="10"/>
  <c r="C1149" i="2"/>
  <c r="C1342" i="2"/>
  <c r="C654" i="2"/>
  <c r="C1063" i="2"/>
  <c r="C626" i="2"/>
  <c r="C578" i="2"/>
  <c r="C991" i="2"/>
  <c r="C1177" i="2"/>
  <c r="C1346" i="2"/>
  <c r="C602" i="2"/>
  <c r="C1216" i="2"/>
  <c r="C1069" i="2"/>
  <c r="C1337" i="2"/>
  <c r="C1199" i="2"/>
  <c r="C43" i="2"/>
  <c r="C1249" i="2"/>
  <c r="C584" i="2"/>
  <c r="C539" i="2"/>
  <c r="C655" i="2"/>
  <c r="C646" i="2"/>
  <c r="C689" i="2"/>
  <c r="C298" i="2"/>
  <c r="C391" i="2"/>
  <c r="C641" i="2"/>
  <c r="C529" i="2"/>
  <c r="C959" i="2"/>
  <c r="C1302" i="2"/>
  <c r="C58" i="10"/>
  <c r="C1293" i="2"/>
  <c r="C962" i="2"/>
  <c r="C676" i="2"/>
  <c r="C401" i="2"/>
  <c r="C587" i="2"/>
  <c r="C629" i="2"/>
  <c r="C649" i="2"/>
  <c r="C110" i="10"/>
  <c r="C1044" i="2"/>
  <c r="C72" i="10"/>
  <c r="C619" i="2"/>
  <c r="C62" i="10"/>
  <c r="C445" i="2"/>
  <c r="C588" i="2"/>
  <c r="C183" i="2"/>
  <c r="C985" i="2"/>
  <c r="C1046" i="2"/>
  <c r="C668" i="2"/>
  <c r="C1106" i="2"/>
  <c r="I430" i="2"/>
  <c r="I441" i="2"/>
  <c r="C72" i="2"/>
  <c r="C1252" i="2"/>
  <c r="C405" i="2"/>
  <c r="C59" i="1"/>
  <c r="C134" i="2"/>
  <c r="C164" i="2"/>
  <c r="C394" i="2"/>
  <c r="C1296" i="2"/>
  <c r="C46" i="10"/>
  <c r="C278" i="2"/>
  <c r="C712" i="2"/>
  <c r="C724" i="2"/>
  <c r="C1350" i="2"/>
  <c r="C269" i="2"/>
  <c r="C173" i="2"/>
  <c r="C279" i="2"/>
  <c r="C1329" i="2"/>
  <c r="C728" i="2"/>
  <c r="C30" i="10"/>
  <c r="C117" i="10"/>
  <c r="C34" i="2"/>
  <c r="C557" i="2"/>
  <c r="C126" i="10"/>
  <c r="C171" i="2"/>
  <c r="C94" i="10"/>
  <c r="C956" i="2"/>
  <c r="A59" i="1"/>
  <c r="C1300" i="2"/>
  <c r="C695" i="2"/>
  <c r="C1043" i="2"/>
  <c r="C680" i="2"/>
  <c r="C111" i="10"/>
  <c r="C1355" i="2"/>
  <c r="C1060" i="2"/>
  <c r="C623" i="2"/>
  <c r="C699" i="2"/>
  <c r="C93" i="10"/>
  <c r="C418" i="2"/>
  <c r="C30" i="2"/>
  <c r="C403" i="2"/>
  <c r="C642" i="2"/>
  <c r="C592" i="2"/>
  <c r="C60" i="10"/>
  <c r="C146" i="2"/>
  <c r="C68" i="10"/>
  <c r="C609" i="2"/>
  <c r="C19" i="10"/>
  <c r="C293" i="2"/>
  <c r="C696" i="2"/>
  <c r="C28" i="10"/>
  <c r="C661" i="2"/>
  <c r="C1303" i="2"/>
  <c r="C38" i="10"/>
  <c r="C1306" i="2"/>
  <c r="C1161" i="2"/>
  <c r="C1133" i="2"/>
  <c r="C85" i="2"/>
  <c r="C10" i="2"/>
  <c r="C1131" i="2"/>
  <c r="G1202" i="2"/>
  <c r="H1201" i="2"/>
  <c r="C130" i="2"/>
  <c r="C42" i="2"/>
  <c r="C1008" i="2"/>
  <c r="C722" i="2"/>
  <c r="C617" i="2"/>
  <c r="C549" i="2"/>
  <c r="C706" i="2"/>
  <c r="C1250" i="2"/>
  <c r="C1159" i="2"/>
  <c r="C132" i="10"/>
  <c r="C9" i="2"/>
  <c r="C13" i="2"/>
  <c r="C133" i="10"/>
  <c r="C980" i="2"/>
  <c r="C402" i="2"/>
  <c r="C710" i="2"/>
  <c r="C648" i="2"/>
  <c r="C413" i="2"/>
  <c r="C22" i="2"/>
  <c r="C396" i="2"/>
  <c r="C979" i="2"/>
  <c r="C1347" i="2"/>
  <c r="C600" i="2"/>
  <c r="C268" i="2"/>
  <c r="C1065" i="2"/>
  <c r="C1248" i="2"/>
  <c r="C1344" i="2"/>
  <c r="C716" i="2"/>
  <c r="C677" i="2"/>
  <c r="C574" i="2"/>
  <c r="C1067" i="2"/>
  <c r="C1198" i="2"/>
  <c r="C1200" i="2"/>
  <c r="C594" i="2"/>
  <c r="C1024" i="2"/>
  <c r="C682" i="2"/>
  <c r="C414" i="2"/>
  <c r="C1025" i="2"/>
  <c r="C23" i="10"/>
  <c r="C78" i="10"/>
  <c r="C664" i="2"/>
  <c r="C705" i="2"/>
  <c r="C1205" i="2"/>
  <c r="C1341" i="2"/>
  <c r="C1305" i="2"/>
  <c r="C6" i="10"/>
  <c r="C692" i="2"/>
  <c r="C969" i="2"/>
  <c r="C973" i="2"/>
  <c r="C108" i="10"/>
  <c r="C700" i="2"/>
  <c r="C693" i="2"/>
  <c r="C18" i="10"/>
  <c r="C1279" i="2"/>
  <c r="A1279" i="2" s="1"/>
  <c r="C178" i="2"/>
  <c r="C1104" i="2"/>
  <c r="C1291" i="2"/>
  <c r="C1160" i="2"/>
  <c r="C669" i="2"/>
  <c r="C615" i="2"/>
  <c r="C1078" i="2"/>
  <c r="C687" i="2"/>
  <c r="C41" i="2"/>
  <c r="C77" i="10"/>
  <c r="C1314" i="2"/>
  <c r="C948" i="2"/>
  <c r="C8" i="10"/>
  <c r="C1319" i="2"/>
  <c r="C1084" i="2"/>
  <c r="C416" i="2"/>
  <c r="C1219" i="2"/>
  <c r="C7" i="10"/>
  <c r="C1298" i="2"/>
  <c r="C534" i="2"/>
  <c r="C393" i="2"/>
  <c r="C50" i="10"/>
  <c r="C181" i="2"/>
  <c r="C967" i="2"/>
  <c r="C29" i="10"/>
  <c r="C536" i="2"/>
  <c r="C84" i="10"/>
  <c r="C86" i="10"/>
  <c r="C13" i="10"/>
  <c r="C1313" i="2"/>
  <c r="C64" i="1"/>
  <c r="C56" i="4" s="1"/>
  <c r="C412" i="2"/>
  <c r="C1255" i="2"/>
  <c r="C1325" i="2"/>
  <c r="C665" i="2"/>
  <c r="C105" i="10"/>
  <c r="C1310" i="2"/>
  <c r="C540" i="2"/>
  <c r="C715" i="2"/>
  <c r="C596" i="2"/>
  <c r="C1208" i="2"/>
  <c r="C701" i="2"/>
  <c r="C1204" i="2"/>
  <c r="C632" i="2"/>
  <c r="C968" i="2"/>
  <c r="C287" i="2"/>
  <c r="C634" i="2"/>
  <c r="C1308" i="2"/>
  <c r="C131" i="10"/>
  <c r="C995" i="2"/>
  <c r="C128" i="10"/>
  <c r="C1295" i="2"/>
  <c r="C276" i="2"/>
  <c r="C1081" i="2"/>
  <c r="C564" i="2"/>
  <c r="C952" i="2"/>
  <c r="C294" i="2"/>
  <c r="C1138" i="2"/>
  <c r="C217" i="2"/>
  <c r="H1092" i="2"/>
  <c r="I1091" i="2"/>
  <c r="I1090" i="2" s="1"/>
  <c r="H16" i="2"/>
  <c r="H136" i="10"/>
  <c r="H65" i="10"/>
  <c r="H135" i="10"/>
  <c r="A1350" i="2"/>
  <c r="A1278" i="2"/>
  <c r="A695" i="2"/>
  <c r="A720" i="2"/>
  <c r="I184" i="2"/>
  <c r="H143" i="2"/>
  <c r="H185" i="2"/>
  <c r="H36" i="2"/>
  <c r="H212" i="2"/>
  <c r="H431" i="2"/>
  <c r="H438" i="2"/>
  <c r="H437" i="2" s="1"/>
  <c r="H26" i="2"/>
  <c r="H25" i="2" s="1"/>
  <c r="A431" i="2"/>
  <c r="A1276" i="2"/>
  <c r="A1282" i="2"/>
  <c r="A430" i="2"/>
  <c r="A680" i="2"/>
  <c r="A1184" i="2"/>
  <c r="A717" i="2"/>
  <c r="I81" i="1"/>
  <c r="A1119" i="2"/>
  <c r="AE308" i="7" l="1"/>
  <c r="AK308" i="7"/>
  <c r="AC308" i="7"/>
  <c r="AU308" i="7"/>
  <c r="AP308" i="7"/>
  <c r="AL308" i="7"/>
  <c r="AO308" i="7"/>
  <c r="AJ308" i="7"/>
  <c r="U308" i="7"/>
  <c r="T308" i="7"/>
  <c r="Z308" i="7"/>
  <c r="N308" i="7"/>
  <c r="AY308" i="7"/>
  <c r="AN308" i="7"/>
  <c r="W308" i="7"/>
  <c r="H293" i="4"/>
  <c r="AH308" i="7"/>
  <c r="A292" i="7"/>
  <c r="AX308" i="7"/>
  <c r="AM308" i="7"/>
  <c r="V308" i="7"/>
  <c r="AZ290" i="7"/>
  <c r="AW308" i="7"/>
  <c r="Q308" i="7"/>
  <c r="A295" i="7"/>
  <c r="A308" i="7"/>
  <c r="AS308" i="7"/>
  <c r="AI308" i="7"/>
  <c r="R308" i="7"/>
  <c r="S308" i="7"/>
  <c r="AF308" i="7"/>
  <c r="AQ308" i="7"/>
  <c r="X308" i="7"/>
  <c r="AT308" i="7"/>
  <c r="P308" i="7"/>
  <c r="A305" i="7"/>
  <c r="AV308" i="7"/>
  <c r="Y308" i="7"/>
  <c r="AB308" i="7"/>
  <c r="AD308" i="7"/>
  <c r="AR308" i="7"/>
  <c r="AA308" i="7"/>
  <c r="AG308" i="7"/>
  <c r="O308" i="7"/>
  <c r="H3" i="7"/>
  <c r="A198" i="7"/>
  <c r="H189" i="7"/>
  <c r="D211" i="7"/>
  <c r="A23" i="7"/>
  <c r="A227" i="7"/>
  <c r="C18" i="7"/>
  <c r="A72" i="7"/>
  <c r="B72" i="7"/>
  <c r="C38" i="7"/>
  <c r="C36" i="7"/>
  <c r="C42" i="7"/>
  <c r="A230" i="7"/>
  <c r="C222" i="7"/>
  <c r="C9" i="7"/>
  <c r="C64" i="7"/>
  <c r="A44" i="7"/>
  <c r="C44" i="7"/>
  <c r="C49" i="7"/>
  <c r="C53" i="7"/>
  <c r="A213" i="7"/>
  <c r="C229" i="7"/>
  <c r="A17" i="7"/>
  <c r="A12" i="7"/>
  <c r="A11" i="7"/>
  <c r="C59" i="7"/>
  <c r="C71" i="7"/>
  <c r="A6" i="7"/>
  <c r="A8" i="7"/>
  <c r="C54" i="7"/>
  <c r="C75" i="7"/>
  <c r="A207" i="7"/>
  <c r="A67" i="7"/>
  <c r="H156" i="7"/>
  <c r="A18" i="7"/>
  <c r="C23" i="7"/>
  <c r="A204" i="7"/>
  <c r="B202" i="7"/>
  <c r="B61" i="7"/>
  <c r="A65" i="7"/>
  <c r="C65" i="7"/>
  <c r="A71" i="7"/>
  <c r="A40" i="7"/>
  <c r="A14" i="7"/>
  <c r="A45" i="7"/>
  <c r="C50" i="7"/>
  <c r="A54" i="7"/>
  <c r="C52" i="7"/>
  <c r="C13" i="7"/>
  <c r="A117" i="7"/>
  <c r="A139" i="7"/>
  <c r="C213" i="7"/>
  <c r="A136" i="7"/>
  <c r="A13" i="7"/>
  <c r="A22" i="7"/>
  <c r="A21" i="7"/>
  <c r="A200" i="7"/>
  <c r="A61" i="7"/>
  <c r="A64" i="7"/>
  <c r="C70" i="7"/>
  <c r="B38" i="7"/>
  <c r="A42" i="7"/>
  <c r="B42" i="7"/>
  <c r="A9" i="7"/>
  <c r="A50" i="7"/>
  <c r="C48" i="7"/>
  <c r="C76" i="7"/>
  <c r="C27" i="7"/>
  <c r="A217" i="7"/>
  <c r="C193" i="7"/>
  <c r="A199" i="7"/>
  <c r="C220" i="7"/>
  <c r="A19" i="7"/>
  <c r="A229" i="7"/>
  <c r="C63" i="7"/>
  <c r="B65" i="7"/>
  <c r="A38" i="7"/>
  <c r="A36" i="7"/>
  <c r="C41" i="7"/>
  <c r="A226" i="7"/>
  <c r="C8" i="7"/>
  <c r="A7" i="7"/>
  <c r="A52" i="7"/>
  <c r="B54" i="7"/>
  <c r="A53" i="7"/>
  <c r="C78" i="7"/>
  <c r="A56" i="7"/>
  <c r="A214" i="7"/>
  <c r="H31" i="7"/>
  <c r="H82" i="7"/>
  <c r="A233" i="7"/>
  <c r="A206" i="7"/>
  <c r="H134" i="7"/>
  <c r="C24" i="7"/>
  <c r="C72" i="7"/>
  <c r="C37" i="7"/>
  <c r="A41" i="7"/>
  <c r="A222" i="7"/>
  <c r="B46" i="7"/>
  <c r="C46" i="7"/>
  <c r="A48" i="7"/>
  <c r="B50" i="7"/>
  <c r="A49" i="7"/>
  <c r="C123" i="7"/>
  <c r="A152" i="7"/>
  <c r="D216" i="7"/>
  <c r="C212" i="7"/>
  <c r="C227" i="7"/>
  <c r="C60" i="7"/>
  <c r="A59" i="7"/>
  <c r="A37" i="7"/>
  <c r="C40" i="7"/>
  <c r="A232" i="7"/>
  <c r="A46" i="7"/>
  <c r="C74" i="7"/>
  <c r="C77" i="7"/>
  <c r="C14" i="7"/>
  <c r="A149" i="7"/>
  <c r="A221" i="7"/>
  <c r="C224" i="7"/>
  <c r="A203" i="7"/>
  <c r="H92" i="7"/>
  <c r="A101" i="7"/>
  <c r="A16" i="7"/>
  <c r="C19" i="7"/>
  <c r="A24" i="7"/>
  <c r="A212" i="7"/>
  <c r="C61" i="7"/>
  <c r="A60" i="7"/>
  <c r="A63" i="7"/>
  <c r="A70" i="7"/>
  <c r="C45" i="7"/>
  <c r="F152" i="7"/>
  <c r="G152" i="7"/>
  <c r="E152" i="7"/>
  <c r="H503" i="2"/>
  <c r="G503" i="2"/>
  <c r="G56" i="4" s="1"/>
  <c r="A501" i="2"/>
  <c r="AL964" i="2"/>
  <c r="AM964" i="2"/>
  <c r="AO965" i="2"/>
  <c r="J965" i="2"/>
  <c r="L965" i="2"/>
  <c r="W964" i="2"/>
  <c r="AG965" i="2"/>
  <c r="H411" i="2"/>
  <c r="AI964" i="2"/>
  <c r="X964" i="2"/>
  <c r="AO964" i="2"/>
  <c r="Y965" i="2"/>
  <c r="I502" i="2"/>
  <c r="I505" i="2"/>
  <c r="I501" i="2"/>
  <c r="I506" i="2"/>
  <c r="BB965" i="2"/>
  <c r="BB964" i="2"/>
  <c r="AF964" i="2"/>
  <c r="AW964" i="2"/>
  <c r="S964" i="2"/>
  <c r="AX965" i="2"/>
  <c r="AZ965" i="2"/>
  <c r="AI965" i="2"/>
  <c r="AD964" i="2"/>
  <c r="K964" i="2"/>
  <c r="M964" i="2"/>
  <c r="J964" i="2"/>
  <c r="AW965" i="2"/>
  <c r="AF965" i="2"/>
  <c r="AA965" i="2"/>
  <c r="BA965" i="2"/>
  <c r="AA964" i="2"/>
  <c r="AV964" i="2"/>
  <c r="R964" i="2"/>
  <c r="AT964" i="2"/>
  <c r="P965" i="2"/>
  <c r="AJ965" i="2"/>
  <c r="G493" i="2"/>
  <c r="G55" i="4" s="1"/>
  <c r="C39" i="4"/>
  <c r="C55" i="4"/>
  <c r="I325" i="4"/>
  <c r="A491" i="2"/>
  <c r="I492" i="2"/>
  <c r="I495" i="2"/>
  <c r="I496" i="2"/>
  <c r="AQ965" i="2"/>
  <c r="G964" i="2"/>
  <c r="G965" i="2"/>
  <c r="AV965" i="2"/>
  <c r="AT965" i="2"/>
  <c r="AN964" i="2"/>
  <c r="AB964" i="2"/>
  <c r="AP965" i="2"/>
  <c r="AR965" i="2"/>
  <c r="G994" i="2"/>
  <c r="Q965" i="2"/>
  <c r="AS964" i="2"/>
  <c r="AJ964" i="2"/>
  <c r="I964" i="2"/>
  <c r="Z964" i="2"/>
  <c r="BA964" i="2"/>
  <c r="Z965" i="2"/>
  <c r="AU964" i="2"/>
  <c r="N964" i="2"/>
  <c r="R965" i="2"/>
  <c r="T965" i="2"/>
  <c r="AN965" i="2"/>
  <c r="N965" i="2"/>
  <c r="H964" i="2"/>
  <c r="Y964" i="2"/>
  <c r="AP964" i="2"/>
  <c r="U965" i="2"/>
  <c r="P964" i="2"/>
  <c r="AG964" i="2"/>
  <c r="AX964" i="2"/>
  <c r="H491" i="2"/>
  <c r="H493" i="2" s="1"/>
  <c r="G411" i="2"/>
  <c r="H345" i="2"/>
  <c r="H346" i="2" s="1"/>
  <c r="G346" i="2"/>
  <c r="I348" i="2"/>
  <c r="I344" i="2"/>
  <c r="H336" i="2"/>
  <c r="H337" i="2" s="1"/>
  <c r="C37" i="4"/>
  <c r="C38" i="4"/>
  <c r="I339" i="2"/>
  <c r="I335" i="2"/>
  <c r="G28" i="2"/>
  <c r="G41" i="2" s="1"/>
  <c r="G337" i="2"/>
  <c r="H327" i="2"/>
  <c r="H328" i="2" s="1"/>
  <c r="I330" i="2"/>
  <c r="I326" i="2"/>
  <c r="G328" i="2"/>
  <c r="H107" i="2"/>
  <c r="H87" i="2"/>
  <c r="H67" i="2"/>
  <c r="H369" i="2"/>
  <c r="H366" i="2" s="1"/>
  <c r="H367" i="2" s="1"/>
  <c r="G369" i="4"/>
  <c r="G1233" i="2"/>
  <c r="G1251" i="2" s="1"/>
  <c r="G108" i="4" s="1"/>
  <c r="G47" i="2"/>
  <c r="BD975" i="2"/>
  <c r="I359" i="2"/>
  <c r="V411" i="4"/>
  <c r="J520" i="2"/>
  <c r="H456" i="2"/>
  <c r="H453" i="2" s="1"/>
  <c r="M943" i="2"/>
  <c r="M72" i="4"/>
  <c r="AB943" i="2"/>
  <c r="AB72" i="4"/>
  <c r="AI943" i="2"/>
  <c r="AI72" i="4"/>
  <c r="X943" i="2"/>
  <c r="X72" i="4"/>
  <c r="AW943" i="2"/>
  <c r="AW72" i="4"/>
  <c r="O943" i="2"/>
  <c r="O72" i="4"/>
  <c r="AA943" i="2"/>
  <c r="AA72" i="4"/>
  <c r="H61" i="2"/>
  <c r="H49" i="2" s="1"/>
  <c r="H50" i="2" s="1"/>
  <c r="AX320" i="4"/>
  <c r="H432" i="2"/>
  <c r="H429" i="2" s="1"/>
  <c r="H434" i="2" s="1"/>
  <c r="H476" i="2"/>
  <c r="BB943" i="2"/>
  <c r="BB72" i="4"/>
  <c r="T943" i="2"/>
  <c r="T137" i="4" s="1"/>
  <c r="T72" i="4"/>
  <c r="S943" i="2"/>
  <c r="S72" i="4"/>
  <c r="K943" i="2"/>
  <c r="K72" i="4"/>
  <c r="Z943" i="2"/>
  <c r="Z72" i="4"/>
  <c r="AO943" i="2"/>
  <c r="AO72" i="4"/>
  <c r="J259" i="2"/>
  <c r="J235" i="2"/>
  <c r="J320" i="2"/>
  <c r="J380" i="2"/>
  <c r="J311" i="2"/>
  <c r="J368" i="2"/>
  <c r="J359" i="2"/>
  <c r="AP369" i="4"/>
  <c r="H44" i="1"/>
  <c r="H300" i="2"/>
  <c r="H297" i="2" s="1"/>
  <c r="H298" i="2" s="1"/>
  <c r="H302" i="2" s="1"/>
  <c r="H321" i="2"/>
  <c r="H318" i="2" s="1"/>
  <c r="H319" i="2" s="1"/>
  <c r="AT943" i="2"/>
  <c r="AT72" i="4"/>
  <c r="L943" i="2"/>
  <c r="L137" i="4" s="1"/>
  <c r="L72" i="4"/>
  <c r="Y943" i="2"/>
  <c r="Y72" i="4"/>
  <c r="AN943" i="2"/>
  <c r="AN72" i="4"/>
  <c r="I211" i="2"/>
  <c r="I259" i="2"/>
  <c r="I235" i="2"/>
  <c r="I159" i="2"/>
  <c r="AS369" i="4"/>
  <c r="H360" i="2"/>
  <c r="H357" i="2" s="1"/>
  <c r="H358" i="2" s="1"/>
  <c r="AL943" i="2"/>
  <c r="AL72" i="4"/>
  <c r="BA943" i="2"/>
  <c r="BA72" i="4"/>
  <c r="AH943" i="2"/>
  <c r="AH72" i="4"/>
  <c r="R943" i="2"/>
  <c r="R72" i="4"/>
  <c r="AM943" i="2"/>
  <c r="AM72" i="4"/>
  <c r="AY943" i="2"/>
  <c r="AY72" i="4"/>
  <c r="AV943" i="2"/>
  <c r="AV72" i="4"/>
  <c r="H443" i="2"/>
  <c r="H439" i="2" s="1"/>
  <c r="H440" i="2" s="1"/>
  <c r="H312" i="2"/>
  <c r="H309" i="2" s="1"/>
  <c r="H310" i="2" s="1"/>
  <c r="H238" i="2"/>
  <c r="AD943" i="2"/>
  <c r="AD72" i="4"/>
  <c r="AS943" i="2"/>
  <c r="AS72" i="4"/>
  <c r="AF943" i="2"/>
  <c r="AF72" i="4"/>
  <c r="AX943" i="2"/>
  <c r="AX72" i="4"/>
  <c r="J943" i="2"/>
  <c r="J137" i="4" s="1"/>
  <c r="J72" i="4"/>
  <c r="H381" i="2"/>
  <c r="H378" i="2" s="1"/>
  <c r="H379" i="2" s="1"/>
  <c r="H403" i="2" s="1"/>
  <c r="J454" i="2"/>
  <c r="H262" i="2"/>
  <c r="V943" i="2"/>
  <c r="V72" i="4"/>
  <c r="AK943" i="2"/>
  <c r="AK72" i="4"/>
  <c r="AZ943" i="2"/>
  <c r="AZ72" i="4"/>
  <c r="AU943" i="2"/>
  <c r="AU72" i="4"/>
  <c r="AQ943" i="2"/>
  <c r="AQ72" i="4"/>
  <c r="Q943" i="2"/>
  <c r="Q72" i="4"/>
  <c r="H61" i="1"/>
  <c r="H59" i="1" s="1"/>
  <c r="H291" i="2"/>
  <c r="H289" i="2" s="1"/>
  <c r="H121" i="2"/>
  <c r="H109" i="2" s="1"/>
  <c r="J464" i="2"/>
  <c r="H522" i="2"/>
  <c r="J474" i="2"/>
  <c r="G1200" i="2"/>
  <c r="H1199" i="2" s="1"/>
  <c r="AC943" i="2"/>
  <c r="AC72" i="4"/>
  <c r="AR943" i="2"/>
  <c r="AR72" i="4"/>
  <c r="AG943" i="2"/>
  <c r="AG72" i="4"/>
  <c r="W943" i="2"/>
  <c r="W72" i="4"/>
  <c r="AE943" i="2"/>
  <c r="AE72" i="4"/>
  <c r="H1150" i="2"/>
  <c r="I1150" i="2" s="1"/>
  <c r="H39" i="2"/>
  <c r="H27" i="2" s="1"/>
  <c r="H28" i="2" s="1"/>
  <c r="H81" i="2"/>
  <c r="H69" i="2" s="1"/>
  <c r="H384" i="4"/>
  <c r="H466" i="2"/>
  <c r="H463" i="2" s="1"/>
  <c r="H52" i="4" s="1"/>
  <c r="H486" i="2"/>
  <c r="U943" i="2"/>
  <c r="U72" i="4"/>
  <c r="AJ943" i="2"/>
  <c r="AJ72" i="4"/>
  <c r="P943" i="2"/>
  <c r="P137" i="4" s="1"/>
  <c r="P72" i="4"/>
  <c r="AP943" i="2"/>
  <c r="AP72" i="4"/>
  <c r="G122" i="1"/>
  <c r="G84" i="10"/>
  <c r="G85" i="10" s="1"/>
  <c r="G86" i="10" s="1"/>
  <c r="H84" i="10" s="1"/>
  <c r="H85" i="10" s="1"/>
  <c r="G145" i="1"/>
  <c r="H146" i="1" s="1"/>
  <c r="I146" i="1" s="1"/>
  <c r="G109" i="10"/>
  <c r="G139" i="1"/>
  <c r="H140" i="1" s="1"/>
  <c r="I140" i="1" s="1"/>
  <c r="G70" i="10"/>
  <c r="G71" i="10" s="1"/>
  <c r="G72" i="10" s="1"/>
  <c r="H70" i="10" s="1"/>
  <c r="H71" i="10" s="1"/>
  <c r="H72" i="10" s="1"/>
  <c r="G77" i="10"/>
  <c r="G78" i="10" s="1"/>
  <c r="G79" i="10" s="1"/>
  <c r="H77" i="10" s="1"/>
  <c r="H78" i="10" s="1"/>
  <c r="H79" i="10" s="1"/>
  <c r="I77" i="10" s="1"/>
  <c r="G1106" i="2"/>
  <c r="G27" i="1"/>
  <c r="G1218" i="2"/>
  <c r="G1118" i="2"/>
  <c r="G1119" i="2" s="1"/>
  <c r="G116" i="10"/>
  <c r="G320" i="4"/>
  <c r="G30" i="1"/>
  <c r="G411" i="4"/>
  <c r="G33" i="1"/>
  <c r="G32" i="1"/>
  <c r="G34" i="1" s="1"/>
  <c r="G205" i="4" s="1"/>
  <c r="G119" i="1"/>
  <c r="H120" i="1" s="1"/>
  <c r="I120" i="1" s="1"/>
  <c r="H26" i="1"/>
  <c r="C77" i="4"/>
  <c r="C78" i="4"/>
  <c r="G852" i="2"/>
  <c r="B839" i="2"/>
  <c r="G839" i="2" s="1"/>
  <c r="G846" i="2"/>
  <c r="H834" i="2"/>
  <c r="G826" i="2"/>
  <c r="G820" i="2"/>
  <c r="B813" i="2"/>
  <c r="G813" i="2" s="1"/>
  <c r="H808" i="2"/>
  <c r="BD976" i="2"/>
  <c r="G298" i="2"/>
  <c r="G302" i="2" s="1"/>
  <c r="G303" i="2" s="1"/>
  <c r="G9" i="2"/>
  <c r="G21" i="2" s="1"/>
  <c r="H1108" i="2"/>
  <c r="H1109" i="2" s="1"/>
  <c r="G1276" i="2"/>
  <c r="C75" i="4"/>
  <c r="C76" i="4"/>
  <c r="I782" i="2"/>
  <c r="H800" i="2"/>
  <c r="H794" i="2"/>
  <c r="H785" i="2" s="1"/>
  <c r="H76" i="4" s="1"/>
  <c r="E297" i="7" s="1"/>
  <c r="G800" i="2"/>
  <c r="B787" i="2"/>
  <c r="G787" i="2" s="1"/>
  <c r="G794" i="2"/>
  <c r="I48" i="2"/>
  <c r="I47" i="2" s="1"/>
  <c r="G774" i="2"/>
  <c r="B761" i="2"/>
  <c r="G761" i="2" s="1"/>
  <c r="G768" i="2"/>
  <c r="H481" i="2"/>
  <c r="H756" i="2"/>
  <c r="G434" i="2"/>
  <c r="G1038" i="2"/>
  <c r="H325" i="4"/>
  <c r="M326" i="4"/>
  <c r="C7" i="4"/>
  <c r="C17" i="4"/>
  <c r="G1280" i="2"/>
  <c r="G1282" i="2" s="1"/>
  <c r="J1293" i="2"/>
  <c r="AB1293" i="2"/>
  <c r="I1293" i="2"/>
  <c r="AH1293" i="2"/>
  <c r="AH433" i="4" s="1"/>
  <c r="I1242" i="2"/>
  <c r="I1258" i="2" s="1"/>
  <c r="I58" i="2"/>
  <c r="BD1255" i="2"/>
  <c r="I943" i="2"/>
  <c r="I72" i="4"/>
  <c r="H943" i="2"/>
  <c r="H72" i="4"/>
  <c r="C350" i="4"/>
  <c r="G943" i="2"/>
  <c r="G72" i="4"/>
  <c r="H1242" i="2"/>
  <c r="H1258" i="2" s="1"/>
  <c r="G1257" i="2"/>
  <c r="H1235" i="2"/>
  <c r="I1235" i="2" s="1"/>
  <c r="AN1293" i="2"/>
  <c r="AN487" i="4" s="1"/>
  <c r="I1243" i="2"/>
  <c r="I1257" i="2" s="1"/>
  <c r="G1234" i="2"/>
  <c r="G1252" i="2" s="1"/>
  <c r="AY1293" i="2"/>
  <c r="AY487" i="4" s="1"/>
  <c r="O1293" i="2"/>
  <c r="O433" i="4" s="1"/>
  <c r="H1273" i="2"/>
  <c r="H1274" i="2" s="1"/>
  <c r="H1276" i="2" s="1"/>
  <c r="AZ1293" i="2"/>
  <c r="AZ487" i="4" s="1"/>
  <c r="R1293" i="2"/>
  <c r="R433" i="4" s="1"/>
  <c r="AG1293" i="2"/>
  <c r="P1293" i="2"/>
  <c r="P487" i="4" s="1"/>
  <c r="AJ1293" i="2"/>
  <c r="Y1293" i="2"/>
  <c r="Y487" i="4" s="1"/>
  <c r="L1293" i="2"/>
  <c r="L460" i="4" s="1"/>
  <c r="AI1293" i="2"/>
  <c r="AC1293" i="2"/>
  <c r="AF1293" i="2"/>
  <c r="AF487" i="4" s="1"/>
  <c r="AA1293" i="2"/>
  <c r="AA460" i="4" s="1"/>
  <c r="AW1293" i="2"/>
  <c r="AW433" i="4" s="1"/>
  <c r="AE1293" i="2"/>
  <c r="AE487" i="4" s="1"/>
  <c r="W1293" i="2"/>
  <c r="W460" i="4" s="1"/>
  <c r="AM1293" i="2"/>
  <c r="AM433" i="4" s="1"/>
  <c r="X1293" i="2"/>
  <c r="BD961" i="2"/>
  <c r="H1293" i="2"/>
  <c r="H433" i="4" s="1"/>
  <c r="BB1293" i="2"/>
  <c r="BB487" i="4" s="1"/>
  <c r="M1293" i="2"/>
  <c r="M487" i="4" s="1"/>
  <c r="T1293" i="2"/>
  <c r="T487" i="4" s="1"/>
  <c r="AT1293" i="2"/>
  <c r="AT460" i="4" s="1"/>
  <c r="BD739" i="2"/>
  <c r="N943" i="2"/>
  <c r="AP1293" i="2"/>
  <c r="AP460" i="4" s="1"/>
  <c r="AV1293" i="2"/>
  <c r="G145" i="2"/>
  <c r="AU1293" i="2"/>
  <c r="N1293" i="2"/>
  <c r="N433" i="4" s="1"/>
  <c r="AK1293" i="2"/>
  <c r="AK460" i="4" s="1"/>
  <c r="C82" i="4"/>
  <c r="C72" i="4"/>
  <c r="AO1293" i="2"/>
  <c r="AO433" i="4" s="1"/>
  <c r="Z1293" i="2"/>
  <c r="Z433" i="4" s="1"/>
  <c r="AR1293" i="2"/>
  <c r="AR487" i="4" s="1"/>
  <c r="U1293" i="2"/>
  <c r="U487" i="4" s="1"/>
  <c r="AQ1293" i="2"/>
  <c r="AQ460" i="4" s="1"/>
  <c r="AL1293" i="2"/>
  <c r="Q1293" i="2"/>
  <c r="Q433" i="4" s="1"/>
  <c r="S1293" i="2"/>
  <c r="AD1293" i="2"/>
  <c r="AD460" i="4" s="1"/>
  <c r="G1293" i="2"/>
  <c r="G487" i="4" s="1"/>
  <c r="BA1293" i="2"/>
  <c r="AX1293" i="2"/>
  <c r="AX460" i="4" s="1"/>
  <c r="V1293" i="2"/>
  <c r="V487" i="4" s="1"/>
  <c r="AS1293" i="2"/>
  <c r="AS487" i="4" s="1"/>
  <c r="BD898" i="2"/>
  <c r="I896" i="2"/>
  <c r="I915" i="2" s="1"/>
  <c r="G909" i="2"/>
  <c r="G899" i="2" s="1"/>
  <c r="G82" i="4" s="1"/>
  <c r="D303" i="7" s="1"/>
  <c r="G915" i="2"/>
  <c r="G977" i="2" s="1"/>
  <c r="B901" i="2"/>
  <c r="G901" i="2" s="1"/>
  <c r="BD903" i="2"/>
  <c r="H909" i="2"/>
  <c r="H899" i="2" s="1"/>
  <c r="H82" i="4" s="1"/>
  <c r="E303" i="7" s="1"/>
  <c r="C85" i="4"/>
  <c r="G937" i="2"/>
  <c r="G984" i="2" s="1"/>
  <c r="BD927" i="2"/>
  <c r="BD960" i="2"/>
  <c r="G940" i="2"/>
  <c r="G988" i="2" s="1"/>
  <c r="H925" i="2"/>
  <c r="B930" i="2"/>
  <c r="G930" i="2" s="1"/>
  <c r="H1220" i="2"/>
  <c r="H1221" i="2" s="1"/>
  <c r="J1083" i="2"/>
  <c r="J1082" i="2" s="1"/>
  <c r="K1083" i="2" s="1"/>
  <c r="K1082" i="2" s="1"/>
  <c r="C81" i="4"/>
  <c r="BD873" i="2"/>
  <c r="G879" i="2"/>
  <c r="BD868" i="2"/>
  <c r="H866" i="2"/>
  <c r="H885" i="2" s="1"/>
  <c r="H977" i="2" s="1"/>
  <c r="B871" i="2"/>
  <c r="G871" i="2" s="1"/>
  <c r="H169" i="2"/>
  <c r="H170" i="2" s="1"/>
  <c r="H171" i="2" s="1"/>
  <c r="I1061" i="2"/>
  <c r="G170" i="2"/>
  <c r="H1280" i="2"/>
  <c r="H1282" i="2" s="1"/>
  <c r="A440" i="2"/>
  <c r="C29" i="4"/>
  <c r="C30" i="4"/>
  <c r="I244" i="2"/>
  <c r="H260" i="2"/>
  <c r="I260" i="2" s="1"/>
  <c r="H236" i="2"/>
  <c r="I236" i="2" s="1"/>
  <c r="I220" i="2"/>
  <c r="A427" i="2"/>
  <c r="A437" i="2"/>
  <c r="C53" i="4"/>
  <c r="C54" i="4"/>
  <c r="A481" i="2"/>
  <c r="I482" i="2"/>
  <c r="I485" i="2"/>
  <c r="A471" i="2"/>
  <c r="I472" i="2"/>
  <c r="I475" i="2"/>
  <c r="C61" i="4"/>
  <c r="C52" i="4"/>
  <c r="A461" i="2"/>
  <c r="G463" i="2"/>
  <c r="G52" i="4" s="1"/>
  <c r="I462" i="2"/>
  <c r="I465" i="2"/>
  <c r="I518" i="2"/>
  <c r="I521" i="2"/>
  <c r="C51" i="4"/>
  <c r="A451" i="2"/>
  <c r="I452" i="2"/>
  <c r="I455" i="2"/>
  <c r="I451" i="2"/>
  <c r="G453" i="2"/>
  <c r="C306" i="4"/>
  <c r="B331" i="4"/>
  <c r="G289" i="2"/>
  <c r="G293" i="2" s="1"/>
  <c r="G294" i="2" s="1"/>
  <c r="C36" i="4"/>
  <c r="I326" i="4"/>
  <c r="I317" i="2"/>
  <c r="G319" i="2"/>
  <c r="C46" i="4"/>
  <c r="C35" i="4"/>
  <c r="I308" i="2"/>
  <c r="G310" i="2"/>
  <c r="C397" i="4"/>
  <c r="C301" i="4"/>
  <c r="C355" i="4"/>
  <c r="I377" i="2"/>
  <c r="G379" i="2"/>
  <c r="I1278" i="2"/>
  <c r="C43" i="4"/>
  <c r="I365" i="2"/>
  <c r="G367" i="2"/>
  <c r="C392" i="4"/>
  <c r="C1005" i="2"/>
  <c r="C42" i="4"/>
  <c r="I36" i="2"/>
  <c r="G701" i="2"/>
  <c r="G691" i="2" s="1"/>
  <c r="I1209" i="2"/>
  <c r="I356" i="2"/>
  <c r="G358" i="2"/>
  <c r="I431" i="2"/>
  <c r="I1032" i="2"/>
  <c r="I1031" i="2" s="1"/>
  <c r="C37" i="2"/>
  <c r="G445" i="2"/>
  <c r="I1208" i="2"/>
  <c r="H195" i="2"/>
  <c r="H1120" i="2"/>
  <c r="H1121" i="2" s="1"/>
  <c r="Z369" i="4"/>
  <c r="L122" i="1"/>
  <c r="L218" i="4" s="1"/>
  <c r="L320" i="4"/>
  <c r="L411" i="4"/>
  <c r="L369" i="4"/>
  <c r="L30" i="1"/>
  <c r="L145" i="1"/>
  <c r="L119" i="1"/>
  <c r="L139" i="1"/>
  <c r="J62" i="10"/>
  <c r="J57" i="10"/>
  <c r="Y369" i="4"/>
  <c r="I117" i="2"/>
  <c r="I97" i="2"/>
  <c r="H628" i="2"/>
  <c r="H629" i="2" s="1"/>
  <c r="L1067" i="2"/>
  <c r="B693" i="2"/>
  <c r="G693" i="2" s="1"/>
  <c r="BB369" i="4"/>
  <c r="M139" i="1"/>
  <c r="M122" i="1"/>
  <c r="M218" i="4" s="1"/>
  <c r="M369" i="4"/>
  <c r="M30" i="1"/>
  <c r="M119" i="1"/>
  <c r="M411" i="4"/>
  <c r="M320" i="4"/>
  <c r="M145" i="1"/>
  <c r="J117" i="2"/>
  <c r="J97" i="2"/>
  <c r="G503" i="4"/>
  <c r="H688" i="2"/>
  <c r="I688" i="2" s="1"/>
  <c r="B283" i="4"/>
  <c r="K122" i="1"/>
  <c r="K218" i="4" s="1"/>
  <c r="K145" i="1"/>
  <c r="K411" i="4"/>
  <c r="K369" i="4"/>
  <c r="K320" i="4"/>
  <c r="K119" i="1"/>
  <c r="K139" i="1"/>
  <c r="K30" i="1"/>
  <c r="AD369" i="4"/>
  <c r="H487" i="4"/>
  <c r="H460" i="4"/>
  <c r="AH369" i="4"/>
  <c r="AL369" i="4"/>
  <c r="J325" i="4"/>
  <c r="I122" i="1"/>
  <c r="I218" i="4" s="1"/>
  <c r="I411" i="4"/>
  <c r="I412" i="4" s="1"/>
  <c r="I145" i="1"/>
  <c r="I139" i="1"/>
  <c r="I30" i="1"/>
  <c r="I61" i="2" s="1"/>
  <c r="I119" i="1"/>
  <c r="I369" i="4"/>
  <c r="I370" i="4" s="1"/>
  <c r="I1067" i="2"/>
  <c r="I320" i="4"/>
  <c r="I321" i="4" s="1"/>
  <c r="I70" i="10"/>
  <c r="I71" i="10" s="1"/>
  <c r="I72" i="10" s="1"/>
  <c r="AZ369" i="4"/>
  <c r="AC369" i="4"/>
  <c r="K325" i="4"/>
  <c r="G1198" i="2"/>
  <c r="G213" i="4"/>
  <c r="L375" i="4"/>
  <c r="H213" i="4"/>
  <c r="H729" i="2"/>
  <c r="H726" i="2"/>
  <c r="H717" i="2" s="1"/>
  <c r="C21" i="4"/>
  <c r="C10" i="4"/>
  <c r="I108" i="2"/>
  <c r="I121" i="2"/>
  <c r="I118" i="2"/>
  <c r="I1272" i="2"/>
  <c r="K326" i="4"/>
  <c r="H228" i="4"/>
  <c r="H229" i="4" s="1"/>
  <c r="J229" i="4"/>
  <c r="C20" i="4"/>
  <c r="C9" i="4"/>
  <c r="M151" i="4"/>
  <c r="H89" i="2"/>
  <c r="J375" i="4"/>
  <c r="I98" i="2"/>
  <c r="I88" i="2"/>
  <c r="B714" i="2"/>
  <c r="M325" i="4"/>
  <c r="M227" i="4"/>
  <c r="M229" i="4" s="1"/>
  <c r="BD101" i="4"/>
  <c r="BD114" i="4"/>
  <c r="I442" i="2"/>
  <c r="I1275" i="2"/>
  <c r="BD141" i="4"/>
  <c r="G325" i="4"/>
  <c r="V151" i="4"/>
  <c r="V375" i="4"/>
  <c r="V228" i="4"/>
  <c r="AO326" i="4"/>
  <c r="AO213" i="4"/>
  <c r="AG326" i="4"/>
  <c r="AG213" i="4"/>
  <c r="S227" i="4"/>
  <c r="S325" i="4"/>
  <c r="AZ433" i="4"/>
  <c r="AS151" i="4"/>
  <c r="AS375" i="4"/>
  <c r="AS228" i="4"/>
  <c r="AI375" i="4"/>
  <c r="AI151" i="4"/>
  <c r="AI228" i="4"/>
  <c r="AW375" i="4"/>
  <c r="AW228" i="4"/>
  <c r="AW151" i="4"/>
  <c r="AO460" i="4"/>
  <c r="AO487" i="4"/>
  <c r="AY122" i="1"/>
  <c r="AY218" i="4" s="1"/>
  <c r="AY145" i="1"/>
  <c r="AY119" i="1"/>
  <c r="AY30" i="1"/>
  <c r="AY411" i="4"/>
  <c r="AY139" i="1"/>
  <c r="AY320" i="4"/>
  <c r="AQ122" i="1"/>
  <c r="AQ218" i="4" s="1"/>
  <c r="AQ145" i="1"/>
  <c r="AQ119" i="1"/>
  <c r="AQ30" i="1"/>
  <c r="AQ411" i="4"/>
  <c r="AQ369" i="4"/>
  <c r="AQ320" i="4"/>
  <c r="AQ139" i="1"/>
  <c r="AI122" i="1"/>
  <c r="AI218" i="4" s="1"/>
  <c r="AI145" i="1"/>
  <c r="AI119" i="1"/>
  <c r="AI30" i="1"/>
  <c r="AI139" i="1"/>
  <c r="AI369" i="4"/>
  <c r="AI320" i="4"/>
  <c r="AI411" i="4"/>
  <c r="AA122" i="1"/>
  <c r="AA218" i="4" s="1"/>
  <c r="AA145" i="1"/>
  <c r="AA119" i="1"/>
  <c r="AA30" i="1"/>
  <c r="AA320" i="4"/>
  <c r="AA411" i="4"/>
  <c r="AA139" i="1"/>
  <c r="AA369" i="4"/>
  <c r="S122" i="1"/>
  <c r="S218" i="4" s="1"/>
  <c r="S145" i="1"/>
  <c r="S119" i="1"/>
  <c r="S30" i="1"/>
  <c r="S369" i="4"/>
  <c r="S139" i="1"/>
  <c r="S411" i="4"/>
  <c r="S320" i="4"/>
  <c r="O213" i="4"/>
  <c r="O326" i="4"/>
  <c r="R487" i="4"/>
  <c r="R460" i="4"/>
  <c r="L151" i="4"/>
  <c r="AQ151" i="4"/>
  <c r="AQ375" i="4"/>
  <c r="AQ228" i="4"/>
  <c r="AH151" i="4"/>
  <c r="AH228" i="4"/>
  <c r="AH375" i="4"/>
  <c r="O227" i="4"/>
  <c r="O325" i="4"/>
  <c r="AD151" i="4"/>
  <c r="AD228" i="4"/>
  <c r="AD375" i="4"/>
  <c r="Z487" i="4"/>
  <c r="H137" i="4"/>
  <c r="AA227" i="4"/>
  <c r="AA325" i="4"/>
  <c r="AE228" i="4"/>
  <c r="AE151" i="4"/>
  <c r="AE375" i="4"/>
  <c r="Y460" i="4"/>
  <c r="Y433" i="4"/>
  <c r="BD695" i="2"/>
  <c r="Y326" i="4"/>
  <c r="Y213" i="4"/>
  <c r="AX375" i="4"/>
  <c r="AX151" i="4"/>
  <c r="AX228" i="4"/>
  <c r="AU228" i="4"/>
  <c r="AU151" i="4"/>
  <c r="AU375" i="4"/>
  <c r="AG228" i="4"/>
  <c r="AG375" i="4"/>
  <c r="AG151" i="4"/>
  <c r="BD113" i="4"/>
  <c r="S228" i="4"/>
  <c r="S375" i="4"/>
  <c r="S151" i="4"/>
  <c r="AU122" i="1"/>
  <c r="AU218" i="4" s="1"/>
  <c r="AU145" i="1"/>
  <c r="AU119" i="1"/>
  <c r="AU30" i="1"/>
  <c r="AU369" i="4"/>
  <c r="AU320" i="4"/>
  <c r="AU411" i="4"/>
  <c r="AU139" i="1"/>
  <c r="AM122" i="1"/>
  <c r="AM218" i="4" s="1"/>
  <c r="AM145" i="1"/>
  <c r="AM119" i="1"/>
  <c r="AM30" i="1"/>
  <c r="AM139" i="1"/>
  <c r="AM369" i="4"/>
  <c r="AM320" i="4"/>
  <c r="AM411" i="4"/>
  <c r="AE122" i="1"/>
  <c r="AE218" i="4" s="1"/>
  <c r="AE145" i="1"/>
  <c r="AE119" i="1"/>
  <c r="AE30" i="1"/>
  <c r="AE411" i="4"/>
  <c r="AE320" i="4"/>
  <c r="AE139" i="1"/>
  <c r="AE369" i="4"/>
  <c r="W122" i="1"/>
  <c r="W218" i="4" s="1"/>
  <c r="W145" i="1"/>
  <c r="W119" i="1"/>
  <c r="W30" i="1"/>
  <c r="W139" i="1"/>
  <c r="W411" i="4"/>
  <c r="W320" i="4"/>
  <c r="O122" i="1"/>
  <c r="O218" i="4" s="1"/>
  <c r="O145" i="1"/>
  <c r="O119" i="1"/>
  <c r="O30" i="1"/>
  <c r="O55" i="1" s="1"/>
  <c r="O320" i="4"/>
  <c r="O411" i="4"/>
  <c r="O369" i="4"/>
  <c r="BA227" i="4"/>
  <c r="BA325" i="4"/>
  <c r="AJ151" i="4"/>
  <c r="AJ375" i="4"/>
  <c r="AJ228" i="4"/>
  <c r="AM375" i="4"/>
  <c r="AM151" i="4"/>
  <c r="AM228" i="4"/>
  <c r="AP487" i="4"/>
  <c r="AS213" i="4"/>
  <c r="AS326" i="4"/>
  <c r="AO227" i="4"/>
  <c r="AO325" i="4"/>
  <c r="AG325" i="4"/>
  <c r="AG227" i="4"/>
  <c r="AO375" i="4"/>
  <c r="AO151" i="4"/>
  <c r="AO228" i="4"/>
  <c r="R375" i="4"/>
  <c r="R151" i="4"/>
  <c r="R228" i="4"/>
  <c r="AT151" i="4"/>
  <c r="AT375" i="4"/>
  <c r="AT228" i="4"/>
  <c r="AL151" i="4"/>
  <c r="AL375" i="4"/>
  <c r="AL228" i="4"/>
  <c r="AK228" i="4"/>
  <c r="AK151" i="4"/>
  <c r="AK375" i="4"/>
  <c r="W228" i="4"/>
  <c r="W375" i="4"/>
  <c r="W151" i="4"/>
  <c r="W369" i="4"/>
  <c r="W325" i="4"/>
  <c r="W227" i="4"/>
  <c r="AP213" i="4"/>
  <c r="AP326" i="4"/>
  <c r="BD132" i="4"/>
  <c r="AV325" i="4"/>
  <c r="AV227" i="4"/>
  <c r="P326" i="4"/>
  <c r="P213" i="4"/>
  <c r="BD106" i="4"/>
  <c r="P60" i="1"/>
  <c r="AG320" i="4"/>
  <c r="J213" i="4"/>
  <c r="J326" i="4"/>
  <c r="AW139" i="1"/>
  <c r="R213" i="4"/>
  <c r="R326" i="4"/>
  <c r="AN326" i="4"/>
  <c r="AN213" i="4"/>
  <c r="H151" i="4"/>
  <c r="P139" i="1"/>
  <c r="AF139" i="1"/>
  <c r="AV139" i="1"/>
  <c r="H86" i="10"/>
  <c r="I84" i="10" s="1"/>
  <c r="I85" i="10" s="1"/>
  <c r="I86" i="10" s="1"/>
  <c r="BB151" i="4"/>
  <c r="BB228" i="4"/>
  <c r="BB375" i="4"/>
  <c r="AA228" i="4"/>
  <c r="AA151" i="4"/>
  <c r="AA375" i="4"/>
  <c r="AK433" i="4"/>
  <c r="Y228" i="4"/>
  <c r="Y375" i="4"/>
  <c r="Y151" i="4"/>
  <c r="AC375" i="4"/>
  <c r="AC151" i="4"/>
  <c r="AC228" i="4"/>
  <c r="BB122" i="1"/>
  <c r="BB218" i="4" s="1"/>
  <c r="BB145" i="1"/>
  <c r="BB119" i="1"/>
  <c r="BB30" i="1"/>
  <c r="AT122" i="1"/>
  <c r="AT218" i="4" s="1"/>
  <c r="AT145" i="1"/>
  <c r="AT119" i="1"/>
  <c r="AT30" i="1"/>
  <c r="AL122" i="1"/>
  <c r="AL218" i="4" s="1"/>
  <c r="AL145" i="1"/>
  <c r="AL119" i="1"/>
  <c r="AL30" i="1"/>
  <c r="AD122" i="1"/>
  <c r="AD218" i="4" s="1"/>
  <c r="AD145" i="1"/>
  <c r="AD119" i="1"/>
  <c r="AD30" i="1"/>
  <c r="V122" i="1"/>
  <c r="V218" i="4" s="1"/>
  <c r="V145" i="1"/>
  <c r="V119" i="1"/>
  <c r="V30" i="1"/>
  <c r="N122" i="1"/>
  <c r="N218" i="4" s="1"/>
  <c r="N145" i="1"/>
  <c r="N119" i="1"/>
  <c r="N30" i="1"/>
  <c r="AO369" i="4"/>
  <c r="AN369" i="4"/>
  <c r="AY227" i="4"/>
  <c r="AY325" i="4"/>
  <c r="AM325" i="4"/>
  <c r="AM227" i="4"/>
  <c r="AE213" i="4"/>
  <c r="AE326" i="4"/>
  <c r="BD1025" i="2"/>
  <c r="AP227" i="4"/>
  <c r="AP325" i="4"/>
  <c r="Z213" i="4"/>
  <c r="Z326" i="4"/>
  <c r="Y139" i="1"/>
  <c r="AV213" i="4"/>
  <c r="AV326" i="4"/>
  <c r="BB213" i="4"/>
  <c r="BB326" i="4"/>
  <c r="AL326" i="4"/>
  <c r="AL213" i="4"/>
  <c r="AR227" i="4"/>
  <c r="AR325" i="4"/>
  <c r="AT411" i="4"/>
  <c r="BB411" i="4"/>
  <c r="AN411" i="4"/>
  <c r="AZ411" i="4"/>
  <c r="R320" i="4"/>
  <c r="T320" i="4"/>
  <c r="AN320" i="4"/>
  <c r="AH326" i="4"/>
  <c r="AH213" i="4"/>
  <c r="AN227" i="4"/>
  <c r="AN325" i="4"/>
  <c r="X227" i="4"/>
  <c r="X325" i="4"/>
  <c r="AT325" i="4"/>
  <c r="AT227" i="4"/>
  <c r="AD326" i="4"/>
  <c r="AD213" i="4"/>
  <c r="I291" i="2"/>
  <c r="J151" i="4"/>
  <c r="AZ213" i="4"/>
  <c r="AZ326" i="4"/>
  <c r="R139" i="1"/>
  <c r="AH139" i="1"/>
  <c r="I97" i="10"/>
  <c r="I176" i="4" s="1"/>
  <c r="H176" i="4"/>
  <c r="G440" i="4"/>
  <c r="G467" i="4"/>
  <c r="G502" i="4"/>
  <c r="P106" i="10"/>
  <c r="BA151" i="4"/>
  <c r="BA375" i="4"/>
  <c r="BA228" i="4"/>
  <c r="AF151" i="4"/>
  <c r="AF375" i="4"/>
  <c r="AF228" i="4"/>
  <c r="AR228" i="4"/>
  <c r="AR375" i="4"/>
  <c r="AR151" i="4"/>
  <c r="AH487" i="4"/>
  <c r="AH460" i="4"/>
  <c r="AD487" i="4"/>
  <c r="U228" i="4"/>
  <c r="U151" i="4"/>
  <c r="U375" i="4"/>
  <c r="N375" i="4"/>
  <c r="N151" i="4"/>
  <c r="N228" i="4"/>
  <c r="T433" i="4"/>
  <c r="P375" i="4"/>
  <c r="P228" i="4"/>
  <c r="P151" i="4"/>
  <c r="BA122" i="1"/>
  <c r="BA218" i="4" s="1"/>
  <c r="BA145" i="1"/>
  <c r="BA119" i="1"/>
  <c r="BA30" i="1"/>
  <c r="AS122" i="1"/>
  <c r="AS218" i="4" s="1"/>
  <c r="AS145" i="1"/>
  <c r="AS119" i="1"/>
  <c r="AS30" i="1"/>
  <c r="AK122" i="1"/>
  <c r="AK218" i="4" s="1"/>
  <c r="AK145" i="1"/>
  <c r="AK119" i="1"/>
  <c r="AK30" i="1"/>
  <c r="AC122" i="1"/>
  <c r="AC218" i="4" s="1"/>
  <c r="AC145" i="1"/>
  <c r="AC119" i="1"/>
  <c r="AC30" i="1"/>
  <c r="U122" i="1"/>
  <c r="U218" i="4" s="1"/>
  <c r="U145" i="1"/>
  <c r="U119" i="1"/>
  <c r="U30" i="1"/>
  <c r="J122" i="1"/>
  <c r="J218" i="4" s="1"/>
  <c r="J411" i="4"/>
  <c r="J30" i="1"/>
  <c r="J369" i="4"/>
  <c r="J145" i="1"/>
  <c r="J320" i="4"/>
  <c r="J139" i="1"/>
  <c r="J1067" i="2"/>
  <c r="J119" i="1"/>
  <c r="K137" i="4"/>
  <c r="U369" i="4"/>
  <c r="AK369" i="4"/>
  <c r="AY326" i="4"/>
  <c r="AY213" i="4"/>
  <c r="AW325" i="4"/>
  <c r="AW227" i="4"/>
  <c r="AU227" i="4"/>
  <c r="AU325" i="4"/>
  <c r="AK227" i="4"/>
  <c r="AK325" i="4"/>
  <c r="AC326" i="4"/>
  <c r="AC213" i="4"/>
  <c r="Q227" i="4"/>
  <c r="Q325" i="4"/>
  <c r="AG460" i="4"/>
  <c r="AG487" i="4"/>
  <c r="AG433" i="4"/>
  <c r="L433" i="4"/>
  <c r="L487" i="4"/>
  <c r="BA139" i="1"/>
  <c r="N320" i="4"/>
  <c r="X320" i="4"/>
  <c r="AZ320" i="4"/>
  <c r="I283" i="4"/>
  <c r="I347" i="4"/>
  <c r="I189" i="4"/>
  <c r="I194" i="4"/>
  <c r="I298" i="4"/>
  <c r="I389" i="4"/>
  <c r="I178" i="4"/>
  <c r="I169" i="4"/>
  <c r="I332" i="4"/>
  <c r="AR460" i="4"/>
  <c r="AZ228" i="4"/>
  <c r="AZ375" i="4"/>
  <c r="AZ151" i="4"/>
  <c r="AB151" i="4"/>
  <c r="AB375" i="4"/>
  <c r="AB228" i="4"/>
  <c r="AI460" i="4"/>
  <c r="AI487" i="4"/>
  <c r="AI433" i="4"/>
  <c r="O228" i="4"/>
  <c r="O151" i="4"/>
  <c r="O375" i="4"/>
  <c r="AZ122" i="1"/>
  <c r="AZ218" i="4" s="1"/>
  <c r="AZ145" i="1"/>
  <c r="AZ119" i="1"/>
  <c r="AZ30" i="1"/>
  <c r="AR122" i="1"/>
  <c r="AR218" i="4" s="1"/>
  <c r="AR145" i="1"/>
  <c r="AR119" i="1"/>
  <c r="AR30" i="1"/>
  <c r="AJ122" i="1"/>
  <c r="AJ218" i="4" s="1"/>
  <c r="AJ145" i="1"/>
  <c r="AJ119" i="1"/>
  <c r="AJ30" i="1"/>
  <c r="AB122" i="1"/>
  <c r="AB218" i="4" s="1"/>
  <c r="AB145" i="1"/>
  <c r="AB119" i="1"/>
  <c r="AB30" i="1"/>
  <c r="T122" i="1"/>
  <c r="T218" i="4" s="1"/>
  <c r="T145" i="1"/>
  <c r="T119" i="1"/>
  <c r="T30" i="1"/>
  <c r="P369" i="4"/>
  <c r="T369" i="4"/>
  <c r="AR369" i="4"/>
  <c r="AW369" i="4"/>
  <c r="BA326" i="4"/>
  <c r="BA213" i="4"/>
  <c r="AW326" i="4"/>
  <c r="AW213" i="4"/>
  <c r="AQ325" i="4"/>
  <c r="AQ227" i="4"/>
  <c r="AI227" i="4"/>
  <c r="AI325" i="4"/>
  <c r="AA213" i="4"/>
  <c r="AA326" i="4"/>
  <c r="AN460" i="4"/>
  <c r="I375" i="4"/>
  <c r="I151" i="4"/>
  <c r="I228" i="4"/>
  <c r="I229" i="4" s="1"/>
  <c r="AF227" i="4"/>
  <c r="AF325" i="4"/>
  <c r="V227" i="4"/>
  <c r="V325" i="4"/>
  <c r="T411" i="4"/>
  <c r="AK411" i="4"/>
  <c r="AW411" i="4"/>
  <c r="AJ320" i="4"/>
  <c r="BA320" i="4"/>
  <c r="AX325" i="4"/>
  <c r="AX227" i="4"/>
  <c r="AH227" i="4"/>
  <c r="AH325" i="4"/>
  <c r="AS139" i="1"/>
  <c r="N213" i="4"/>
  <c r="N326" i="4"/>
  <c r="I296" i="2"/>
  <c r="I1136" i="2"/>
  <c r="I1012" i="2"/>
  <c r="I1011" i="2" s="1"/>
  <c r="I1146" i="2"/>
  <c r="I1147" i="2" s="1"/>
  <c r="I78" i="2"/>
  <c r="I168" i="2"/>
  <c r="I167" i="2" s="1"/>
  <c r="I26" i="2"/>
  <c r="I25" i="2" s="1"/>
  <c r="I7" i="2"/>
  <c r="I438" i="2"/>
  <c r="I437" i="2" s="1"/>
  <c r="I428" i="2"/>
  <c r="I659" i="2"/>
  <c r="I300" i="2"/>
  <c r="I144" i="2"/>
  <c r="I288" i="2"/>
  <c r="I427" i="2"/>
  <c r="I1279" i="2"/>
  <c r="I8" i="2"/>
  <c r="I1335" i="2"/>
  <c r="I160" i="2"/>
  <c r="AJ227" i="4"/>
  <c r="AJ325" i="4"/>
  <c r="V139" i="1"/>
  <c r="AL139" i="1"/>
  <c r="BB139" i="1"/>
  <c r="J2" i="2"/>
  <c r="J2" i="1"/>
  <c r="K25" i="1"/>
  <c r="J2" i="10"/>
  <c r="J2" i="5"/>
  <c r="J2" i="4"/>
  <c r="O86" i="1"/>
  <c r="I17" i="2"/>
  <c r="P113" i="10"/>
  <c r="Q411" i="4"/>
  <c r="AR411" i="4"/>
  <c r="P320" i="4"/>
  <c r="AF320" i="4"/>
  <c r="R227" i="4"/>
  <c r="R325" i="4"/>
  <c r="Q139" i="1"/>
  <c r="P68" i="10"/>
  <c r="X213" i="4"/>
  <c r="X326" i="4"/>
  <c r="AT213" i="4"/>
  <c r="AT326" i="4"/>
  <c r="T227" i="4"/>
  <c r="T325" i="4"/>
  <c r="X139" i="1"/>
  <c r="N1069" i="2"/>
  <c r="N1068" i="2" s="1"/>
  <c r="O1069" i="2" s="1"/>
  <c r="O1068" i="2" s="1"/>
  <c r="P1069" i="2" s="1"/>
  <c r="P1068" i="2" s="1"/>
  <c r="Q1069" i="2" s="1"/>
  <c r="Q1068" i="2" s="1"/>
  <c r="R1069" i="2" s="1"/>
  <c r="R1068" i="2" s="1"/>
  <c r="S1069" i="2" s="1"/>
  <c r="S1068" i="2" s="1"/>
  <c r="T1069" i="2" s="1"/>
  <c r="T1068" i="2" s="1"/>
  <c r="U1069" i="2" s="1"/>
  <c r="U1068" i="2" s="1"/>
  <c r="V1069" i="2" s="1"/>
  <c r="V1068" i="2" s="1"/>
  <c r="W1069" i="2" s="1"/>
  <c r="W1068" i="2" s="1"/>
  <c r="X1069" i="2" s="1"/>
  <c r="X1068" i="2" s="1"/>
  <c r="Y1069" i="2" s="1"/>
  <c r="Y1068" i="2" s="1"/>
  <c r="Z1069" i="2" s="1"/>
  <c r="Z1068" i="2" s="1"/>
  <c r="AA1069" i="2" s="1"/>
  <c r="AA1068" i="2" s="1"/>
  <c r="AB1069" i="2" s="1"/>
  <c r="AB1068" i="2" s="1"/>
  <c r="AC1069" i="2" s="1"/>
  <c r="AC1068" i="2" s="1"/>
  <c r="AD1069" i="2" s="1"/>
  <c r="AD1068" i="2" s="1"/>
  <c r="AE1069" i="2" s="1"/>
  <c r="AE1068" i="2" s="1"/>
  <c r="AF1069" i="2" s="1"/>
  <c r="AF1068" i="2" s="1"/>
  <c r="AG1069" i="2" s="1"/>
  <c r="AG1068" i="2" s="1"/>
  <c r="AH1069" i="2" s="1"/>
  <c r="AH1068" i="2" s="1"/>
  <c r="AI1069" i="2" s="1"/>
  <c r="AI1068" i="2" s="1"/>
  <c r="AJ1069" i="2" s="1"/>
  <c r="AJ1068" i="2" s="1"/>
  <c r="AK1069" i="2" s="1"/>
  <c r="AK1068" i="2" s="1"/>
  <c r="AL1069" i="2" s="1"/>
  <c r="AL1068" i="2" s="1"/>
  <c r="AM1069" i="2" s="1"/>
  <c r="AM1068" i="2" s="1"/>
  <c r="AN1069" i="2" s="1"/>
  <c r="AN1068" i="2" s="1"/>
  <c r="AO1069" i="2" s="1"/>
  <c r="AO1068" i="2" s="1"/>
  <c r="AP1069" i="2" s="1"/>
  <c r="AP1068" i="2" s="1"/>
  <c r="AQ1069" i="2" s="1"/>
  <c r="AQ1068" i="2" s="1"/>
  <c r="AR1069" i="2" s="1"/>
  <c r="AR1068" i="2" s="1"/>
  <c r="AS1069" i="2" s="1"/>
  <c r="AS1068" i="2" s="1"/>
  <c r="AT1069" i="2" s="1"/>
  <c r="AT1068" i="2" s="1"/>
  <c r="AU1069" i="2" s="1"/>
  <c r="AU1068" i="2" s="1"/>
  <c r="AV1069" i="2" s="1"/>
  <c r="AV1068" i="2" s="1"/>
  <c r="AW1069" i="2" s="1"/>
  <c r="AW1068" i="2" s="1"/>
  <c r="AX1069" i="2" s="1"/>
  <c r="AX1068" i="2" s="1"/>
  <c r="AY1069" i="2" s="1"/>
  <c r="AY1068" i="2" s="1"/>
  <c r="AZ1069" i="2" s="1"/>
  <c r="AZ1068" i="2" s="1"/>
  <c r="BA1069" i="2" s="1"/>
  <c r="BA1068" i="2" s="1"/>
  <c r="BB1069" i="2" s="1"/>
  <c r="BB1068" i="2" s="1"/>
  <c r="M1067" i="2"/>
  <c r="AN151" i="4"/>
  <c r="AN228" i="4"/>
  <c r="AN375" i="4"/>
  <c r="AP375" i="4"/>
  <c r="AP151" i="4"/>
  <c r="AP228" i="4"/>
  <c r="X151" i="4"/>
  <c r="X375" i="4"/>
  <c r="X228" i="4"/>
  <c r="AX122" i="1"/>
  <c r="AX218" i="4" s="1"/>
  <c r="AX145" i="1"/>
  <c r="AX119" i="1"/>
  <c r="AX30" i="1"/>
  <c r="AP122" i="1"/>
  <c r="AP218" i="4" s="1"/>
  <c r="AP145" i="1"/>
  <c r="AP119" i="1"/>
  <c r="AP30" i="1"/>
  <c r="AH122" i="1"/>
  <c r="AH218" i="4" s="1"/>
  <c r="AH145" i="1"/>
  <c r="AH119" i="1"/>
  <c r="AH30" i="1"/>
  <c r="Z122" i="1"/>
  <c r="Z218" i="4" s="1"/>
  <c r="Z145" i="1"/>
  <c r="Z119" i="1"/>
  <c r="Z30" i="1"/>
  <c r="R122" i="1"/>
  <c r="R218" i="4" s="1"/>
  <c r="R145" i="1"/>
  <c r="R119" i="1"/>
  <c r="R30" i="1"/>
  <c r="R369" i="4"/>
  <c r="AB369" i="4"/>
  <c r="AF369" i="4"/>
  <c r="AX369" i="4"/>
  <c r="BA369" i="4"/>
  <c r="T151" i="4"/>
  <c r="T375" i="4"/>
  <c r="T228" i="4"/>
  <c r="AS325" i="4"/>
  <c r="AS227" i="4"/>
  <c r="AQ213" i="4"/>
  <c r="AQ326" i="4"/>
  <c r="AM213" i="4"/>
  <c r="AM326" i="4"/>
  <c r="AE227" i="4"/>
  <c r="AE325" i="4"/>
  <c r="AC325" i="4"/>
  <c r="AC227" i="4"/>
  <c r="Y227" i="4"/>
  <c r="Y325" i="4"/>
  <c r="W213" i="4"/>
  <c r="W326" i="4"/>
  <c r="U227" i="4"/>
  <c r="U325" i="4"/>
  <c r="AC487" i="4"/>
  <c r="AC460" i="4"/>
  <c r="AC433" i="4"/>
  <c r="J87" i="1"/>
  <c r="I91" i="1"/>
  <c r="H671" i="2"/>
  <c r="H677" i="2"/>
  <c r="BB325" i="4"/>
  <c r="BB227" i="4"/>
  <c r="H9" i="2"/>
  <c r="H21" i="2" s="1"/>
  <c r="H22" i="2" s="1"/>
  <c r="N411" i="4"/>
  <c r="U411" i="4"/>
  <c r="X411" i="4"/>
  <c r="BA411" i="4"/>
  <c r="V320" i="4"/>
  <c r="AC320" i="4"/>
  <c r="AV320" i="4"/>
  <c r="BD645" i="2"/>
  <c r="Q82" i="10"/>
  <c r="AD227" i="4"/>
  <c r="AD325" i="4"/>
  <c r="AC139" i="1"/>
  <c r="BD661" i="2"/>
  <c r="AZ227" i="4"/>
  <c r="AZ325" i="4"/>
  <c r="Z139" i="1"/>
  <c r="AP139" i="1"/>
  <c r="AV433" i="4"/>
  <c r="AV460" i="4"/>
  <c r="AV487" i="4"/>
  <c r="AY151" i="4"/>
  <c r="AY375" i="4"/>
  <c r="AY228" i="4"/>
  <c r="AV151" i="4"/>
  <c r="AV375" i="4"/>
  <c r="AV228" i="4"/>
  <c r="Z151" i="4"/>
  <c r="Z375" i="4"/>
  <c r="Z228" i="4"/>
  <c r="AB433" i="4"/>
  <c r="AB460" i="4"/>
  <c r="AB487" i="4"/>
  <c r="X433" i="4"/>
  <c r="X487" i="4"/>
  <c r="X460" i="4"/>
  <c r="Q228" i="4"/>
  <c r="Q151" i="4"/>
  <c r="Q375" i="4"/>
  <c r="S460" i="4"/>
  <c r="S487" i="4"/>
  <c r="S433" i="4"/>
  <c r="AW122" i="1"/>
  <c r="AW218" i="4" s="1"/>
  <c r="AW145" i="1"/>
  <c r="AW119" i="1"/>
  <c r="AW30" i="1"/>
  <c r="AO122" i="1"/>
  <c r="AO218" i="4" s="1"/>
  <c r="AO145" i="1"/>
  <c r="AO119" i="1"/>
  <c r="AO30" i="1"/>
  <c r="AG122" i="1"/>
  <c r="AG218" i="4" s="1"/>
  <c r="AG145" i="1"/>
  <c r="AG119" i="1"/>
  <c r="AG30" i="1"/>
  <c r="Y122" i="1"/>
  <c r="Y218" i="4" s="1"/>
  <c r="Y145" i="1"/>
  <c r="Y119" i="1"/>
  <c r="Y30" i="1"/>
  <c r="Q122" i="1"/>
  <c r="Q218" i="4" s="1"/>
  <c r="Q145" i="1"/>
  <c r="Q119" i="1"/>
  <c r="Q30" i="1"/>
  <c r="AG369" i="4"/>
  <c r="AV369" i="4"/>
  <c r="AU213" i="4"/>
  <c r="AU326" i="4"/>
  <c r="AK213" i="4"/>
  <c r="AK326" i="4"/>
  <c r="U213" i="4"/>
  <c r="U326" i="4"/>
  <c r="Q326" i="4"/>
  <c r="Q213" i="4"/>
  <c r="AF433" i="4"/>
  <c r="AM460" i="4"/>
  <c r="AM487" i="4"/>
  <c r="Z227" i="4"/>
  <c r="Z325" i="4"/>
  <c r="P75" i="10"/>
  <c r="G228" i="4"/>
  <c r="G229" i="4" s="1"/>
  <c r="G375" i="4"/>
  <c r="G151" i="4"/>
  <c r="AF326" i="4"/>
  <c r="AF213" i="4"/>
  <c r="P227" i="4"/>
  <c r="P325" i="4"/>
  <c r="AL227" i="4"/>
  <c r="AL325" i="4"/>
  <c r="V213" i="4"/>
  <c r="V326" i="4"/>
  <c r="U139" i="1"/>
  <c r="Y411" i="4"/>
  <c r="Z411" i="4"/>
  <c r="AH411" i="4"/>
  <c r="AB320" i="4"/>
  <c r="AK320" i="4"/>
  <c r="AT320" i="4"/>
  <c r="AP320" i="4"/>
  <c r="I714" i="2"/>
  <c r="AJ326" i="4"/>
  <c r="AJ213" i="4"/>
  <c r="AB139" i="1"/>
  <c r="AR139" i="1"/>
  <c r="I1017" i="2"/>
  <c r="I93" i="10"/>
  <c r="I168" i="4" s="1"/>
  <c r="Q487" i="4"/>
  <c r="AV122" i="1"/>
  <c r="AV218" i="4" s="1"/>
  <c r="AV145" i="1"/>
  <c r="AV119" i="1"/>
  <c r="AV30" i="1"/>
  <c r="AN122" i="1"/>
  <c r="AN218" i="4" s="1"/>
  <c r="AN145" i="1"/>
  <c r="AN119" i="1"/>
  <c r="AN30" i="1"/>
  <c r="AF122" i="1"/>
  <c r="AF218" i="4" s="1"/>
  <c r="AF145" i="1"/>
  <c r="AF119" i="1"/>
  <c r="AF30" i="1"/>
  <c r="X122" i="1"/>
  <c r="X218" i="4" s="1"/>
  <c r="X145" i="1"/>
  <c r="X119" i="1"/>
  <c r="X30" i="1"/>
  <c r="P122" i="1"/>
  <c r="P218" i="4" s="1"/>
  <c r="P145" i="1"/>
  <c r="P119" i="1"/>
  <c r="P30" i="1"/>
  <c r="Q369" i="4"/>
  <c r="AJ369" i="4"/>
  <c r="AI213" i="4"/>
  <c r="AI326" i="4"/>
  <c r="S213" i="4"/>
  <c r="S326" i="4"/>
  <c r="V433" i="4"/>
  <c r="AS433" i="4"/>
  <c r="AS460" i="4"/>
  <c r="BB460" i="4"/>
  <c r="AO139" i="1"/>
  <c r="BD131" i="4"/>
  <c r="AR326" i="4"/>
  <c r="AR213" i="4"/>
  <c r="AB213" i="4"/>
  <c r="AB326" i="4"/>
  <c r="AB227" i="4"/>
  <c r="AB325" i="4"/>
  <c r="AG411" i="4"/>
  <c r="AB411" i="4"/>
  <c r="AJ411" i="4"/>
  <c r="AX411" i="4"/>
  <c r="AS320" i="4"/>
  <c r="AO320" i="4"/>
  <c r="AD320" i="4"/>
  <c r="AL320" i="4"/>
  <c r="AR320" i="4"/>
  <c r="AX213" i="4"/>
  <c r="AX326" i="4"/>
  <c r="BD716" i="2"/>
  <c r="N325" i="4"/>
  <c r="N227" i="4"/>
  <c r="T213" i="4"/>
  <c r="T326" i="4"/>
  <c r="N139" i="1"/>
  <c r="AD139" i="1"/>
  <c r="AT139" i="1"/>
  <c r="BD690" i="2"/>
  <c r="P54" i="1"/>
  <c r="BD148" i="4"/>
  <c r="I80" i="1"/>
  <c r="J81" i="1"/>
  <c r="K50" i="1"/>
  <c r="K47" i="1"/>
  <c r="K57" i="2" s="1"/>
  <c r="L43" i="1"/>
  <c r="K49" i="1"/>
  <c r="K292" i="4"/>
  <c r="K48" i="1"/>
  <c r="K383" i="4"/>
  <c r="K341" i="4"/>
  <c r="I135" i="10"/>
  <c r="J1091" i="2"/>
  <c r="J1090" i="2" s="1"/>
  <c r="I1092" i="2"/>
  <c r="I1037" i="2"/>
  <c r="H1038" i="2"/>
  <c r="K1063" i="2"/>
  <c r="K1062" i="2" s="1"/>
  <c r="J1061" i="2"/>
  <c r="J77" i="2"/>
  <c r="J35" i="2"/>
  <c r="J16" i="2"/>
  <c r="L227" i="4"/>
  <c r="L229" i="4" s="1"/>
  <c r="L325" i="4"/>
  <c r="BD147" i="4"/>
  <c r="B227" i="4" s="1"/>
  <c r="I623" i="2"/>
  <c r="H624" i="2"/>
  <c r="J441" i="2"/>
  <c r="J430" i="2"/>
  <c r="K376" i="4"/>
  <c r="BD376" i="4" s="1"/>
  <c r="BD149" i="4"/>
  <c r="C468" i="4"/>
  <c r="C460" i="4"/>
  <c r="C448" i="4"/>
  <c r="C439" i="4"/>
  <c r="C484" i="4"/>
  <c r="C50" i="4"/>
  <c r="C6" i="4"/>
  <c r="C467" i="4"/>
  <c r="C459" i="4"/>
  <c r="C444" i="4"/>
  <c r="C438" i="4"/>
  <c r="C48" i="4"/>
  <c r="C502" i="4"/>
  <c r="C216" i="4"/>
  <c r="C132" i="4"/>
  <c r="C190" i="4"/>
  <c r="C112" i="4"/>
  <c r="C181" i="4"/>
  <c r="C113" i="4"/>
  <c r="C144" i="4"/>
  <c r="C497" i="4"/>
  <c r="C511" i="4"/>
  <c r="C375" i="4"/>
  <c r="C169" i="4"/>
  <c r="C194" i="4"/>
  <c r="C166" i="4"/>
  <c r="C373" i="4"/>
  <c r="C496" i="4"/>
  <c r="C285" i="4"/>
  <c r="C133" i="4"/>
  <c r="C494" i="4"/>
  <c r="C298" i="4"/>
  <c r="C147" i="4"/>
  <c r="C183" i="4"/>
  <c r="C202" i="4"/>
  <c r="C332" i="4"/>
  <c r="C8" i="4"/>
  <c r="C477" i="4"/>
  <c r="C463" i="4"/>
  <c r="C449" i="4"/>
  <c r="C436" i="4"/>
  <c r="C58" i="4"/>
  <c r="C84" i="4"/>
  <c r="C154" i="4"/>
  <c r="C276" i="4"/>
  <c r="C168" i="4"/>
  <c r="C97" i="4"/>
  <c r="C96" i="4"/>
  <c r="C508" i="4"/>
  <c r="C179" i="4"/>
  <c r="C488" i="4"/>
  <c r="C140" i="4"/>
  <c r="C137" i="4"/>
  <c r="C346" i="4"/>
  <c r="C326" i="4"/>
  <c r="C120" i="4"/>
  <c r="C322" i="4"/>
  <c r="C515" i="4"/>
  <c r="C197" i="4"/>
  <c r="C107" i="4"/>
  <c r="C402" i="4"/>
  <c r="C284" i="4"/>
  <c r="C476" i="4"/>
  <c r="C462" i="4"/>
  <c r="C435" i="4"/>
  <c r="C446" i="4"/>
  <c r="C45" i="4"/>
  <c r="C74" i="4"/>
  <c r="C139" i="4"/>
  <c r="C172" i="4"/>
  <c r="C334" i="4"/>
  <c r="C401" i="4"/>
  <c r="C312" i="4"/>
  <c r="C305" i="4"/>
  <c r="C192" i="4"/>
  <c r="B115" i="1"/>
  <c r="C185" i="4"/>
  <c r="C279" i="4"/>
  <c r="C128" i="4"/>
  <c r="C289" i="4"/>
  <c r="C513" i="4"/>
  <c r="C117" i="4"/>
  <c r="C173" i="4"/>
  <c r="C100" i="4"/>
  <c r="C198" i="4"/>
  <c r="C280" i="4"/>
  <c r="C116" i="4"/>
  <c r="C275" i="4"/>
  <c r="C28" i="4"/>
  <c r="C475" i="4"/>
  <c r="C461" i="4"/>
  <c r="C432" i="4"/>
  <c r="C434" i="4"/>
  <c r="C41" i="4"/>
  <c r="C80" i="4"/>
  <c r="C148" i="4"/>
  <c r="C164" i="4"/>
  <c r="C228" i="4"/>
  <c r="C174" i="4"/>
  <c r="C176" i="4"/>
  <c r="C504" i="4"/>
  <c r="C310" i="4"/>
  <c r="C186" i="4"/>
  <c r="C329" i="4"/>
  <c r="C106" i="4"/>
  <c r="C277" i="4"/>
  <c r="C207" i="4"/>
  <c r="C380" i="4"/>
  <c r="C347" i="4"/>
  <c r="C151" i="4"/>
  <c r="C200" i="4"/>
  <c r="C325" i="4"/>
  <c r="C498" i="4"/>
  <c r="C333" i="4"/>
  <c r="C501" i="4"/>
  <c r="C18" i="4"/>
  <c r="C479" i="4"/>
  <c r="C464" i="4"/>
  <c r="C450" i="4"/>
  <c r="C437" i="4"/>
  <c r="C60" i="4"/>
  <c r="C187" i="4"/>
  <c r="C360" i="4"/>
  <c r="C161" i="4"/>
  <c r="C127" i="4"/>
  <c r="C507" i="4"/>
  <c r="C403" i="4"/>
  <c r="C109" i="4"/>
  <c r="C287" i="4"/>
  <c r="C338" i="4"/>
  <c r="C512" i="4"/>
  <c r="C327" i="4"/>
  <c r="C361" i="4"/>
  <c r="C389" i="4"/>
  <c r="C323" i="4"/>
  <c r="C178" i="4"/>
  <c r="C189" i="4"/>
  <c r="C129" i="4"/>
  <c r="C404" i="4"/>
  <c r="C108" i="4"/>
  <c r="C473" i="4"/>
  <c r="C32" i="4"/>
  <c r="C335" i="4"/>
  <c r="C95" i="4"/>
  <c r="C378" i="4"/>
  <c r="C491" i="4"/>
  <c r="C101" i="4"/>
  <c r="C499" i="4"/>
  <c r="C250" i="4"/>
  <c r="C313" i="4"/>
  <c r="C103" i="4"/>
  <c r="C328" i="4"/>
  <c r="C452" i="4"/>
  <c r="C27" i="4"/>
  <c r="C114" i="4"/>
  <c r="C376" i="4"/>
  <c r="C155" i="4"/>
  <c r="C374" i="4"/>
  <c r="C163" i="4"/>
  <c r="C362" i="4"/>
  <c r="C396" i="4"/>
  <c r="C119" i="4"/>
  <c r="C385" i="4"/>
  <c r="C141" i="4"/>
  <c r="C471" i="4"/>
  <c r="C431" i="4"/>
  <c r="C65" i="4"/>
  <c r="C221" i="4"/>
  <c r="C115" i="4"/>
  <c r="C278" i="4"/>
  <c r="C170" i="4"/>
  <c r="C500" i="4"/>
  <c r="C324" i="4"/>
  <c r="C274" i="4"/>
  <c r="C311" i="4"/>
  <c r="C188" i="4"/>
  <c r="C165" i="4"/>
  <c r="C493" i="4"/>
  <c r="C472" i="4"/>
  <c r="C445" i="4"/>
  <c r="C222" i="4"/>
  <c r="C135" i="4"/>
  <c r="C372" i="4"/>
  <c r="C213" i="4"/>
  <c r="C104" i="4"/>
  <c r="C130" i="4"/>
  <c r="C495" i="4"/>
  <c r="C283" i="4"/>
  <c r="C354" i="4"/>
  <c r="C167" i="4"/>
  <c r="C490" i="4"/>
  <c r="C466" i="4"/>
  <c r="C441" i="4"/>
  <c r="C87" i="4"/>
  <c r="C126" i="4"/>
  <c r="C486" i="4"/>
  <c r="C146" i="4"/>
  <c r="C388" i="4"/>
  <c r="C286" i="4"/>
  <c r="C193" i="4"/>
  <c r="C184" i="4"/>
  <c r="C111" i="4"/>
  <c r="C93" i="4"/>
  <c r="C199" i="4"/>
  <c r="C19" i="4"/>
  <c r="C465" i="4"/>
  <c r="C440" i="4"/>
  <c r="C71" i="4"/>
  <c r="C503" i="4"/>
  <c r="C359" i="4"/>
  <c r="C131" i="4"/>
  <c r="C211" i="4"/>
  <c r="C294" i="4"/>
  <c r="C153" i="4"/>
  <c r="C227" i="4"/>
  <c r="C371" i="4"/>
  <c r="C98" i="4"/>
  <c r="C195" i="4"/>
  <c r="C102" i="4"/>
  <c r="C458" i="4"/>
  <c r="C433" i="4"/>
  <c r="C63" i="4"/>
  <c r="C457" i="4"/>
  <c r="C430" i="4"/>
  <c r="C34" i="4"/>
  <c r="C162" i="4"/>
  <c r="C175" i="4"/>
  <c r="C485" i="4"/>
  <c r="C377" i="4"/>
  <c r="C343" i="4"/>
  <c r="C138" i="4"/>
  <c r="C142" i="4"/>
  <c r="C282" i="4"/>
  <c r="C212" i="4"/>
  <c r="C177" i="4"/>
  <c r="C336" i="4"/>
  <c r="C492" i="4"/>
  <c r="C489" i="4"/>
  <c r="C94" i="4"/>
  <c r="C509" i="4"/>
  <c r="C208" i="4"/>
  <c r="C487" i="4"/>
  <c r="C149" i="4"/>
  <c r="C297" i="4"/>
  <c r="C331" i="4"/>
  <c r="I212" i="2"/>
  <c r="J211" i="2"/>
  <c r="J184" i="2"/>
  <c r="J159" i="2"/>
  <c r="H1202" i="2"/>
  <c r="I1201" i="2"/>
  <c r="H1200" i="2"/>
  <c r="J299" i="2"/>
  <c r="J290" i="2"/>
  <c r="BD133" i="4"/>
  <c r="I78" i="10"/>
  <c r="I143" i="2"/>
  <c r="H145" i="2"/>
  <c r="I136" i="10"/>
  <c r="H188" i="4"/>
  <c r="I1178" i="2"/>
  <c r="H197" i="4"/>
  <c r="BD119" i="4"/>
  <c r="I65" i="10"/>
  <c r="I185" i="2"/>
  <c r="I287" i="2"/>
  <c r="I1281" i="2"/>
  <c r="K151" i="4"/>
  <c r="K228" i="4"/>
  <c r="K229" i="4" s="1"/>
  <c r="BD146" i="4"/>
  <c r="B228" i="4" s="1"/>
  <c r="K375" i="4"/>
  <c r="C301" i="7" l="1"/>
  <c r="C295" i="7"/>
  <c r="C308" i="7"/>
  <c r="C293" i="7"/>
  <c r="C302" i="7"/>
  <c r="C303" i="7"/>
  <c r="C299" i="7"/>
  <c r="C306" i="7"/>
  <c r="C297" i="7"/>
  <c r="C298" i="7"/>
  <c r="C296" i="7"/>
  <c r="C292" i="7"/>
  <c r="C305" i="7"/>
  <c r="C136" i="7"/>
  <c r="C174" i="7"/>
  <c r="C195" i="7"/>
  <c r="B203" i="7"/>
  <c r="C106" i="7"/>
  <c r="C165" i="7"/>
  <c r="C139" i="7"/>
  <c r="C87" i="7"/>
  <c r="C140" i="7"/>
  <c r="C176" i="7"/>
  <c r="C152" i="7"/>
  <c r="C198" i="7"/>
  <c r="C184" i="7"/>
  <c r="C94" i="7"/>
  <c r="C197" i="7"/>
  <c r="C182" i="7"/>
  <c r="C225" i="7"/>
  <c r="C103" i="7"/>
  <c r="C119" i="7"/>
  <c r="C121" i="7"/>
  <c r="C97" i="7"/>
  <c r="C217" i="7"/>
  <c r="C203" i="7"/>
  <c r="C173" i="7"/>
  <c r="C172" i="7"/>
  <c r="C115" i="7"/>
  <c r="C202" i="7"/>
  <c r="C101" i="7"/>
  <c r="C163" i="7"/>
  <c r="C169" i="7"/>
  <c r="C180" i="7"/>
  <c r="C207" i="7"/>
  <c r="C125" i="7"/>
  <c r="C171" i="7"/>
  <c r="C95" i="7"/>
  <c r="C232" i="7"/>
  <c r="C177" i="7"/>
  <c r="C118" i="7"/>
  <c r="C126" i="7"/>
  <c r="C120" i="7"/>
  <c r="C96" i="7"/>
  <c r="C122" i="7"/>
  <c r="C209" i="7"/>
  <c r="C185" i="7"/>
  <c r="C161" i="7"/>
  <c r="C218" i="7"/>
  <c r="C160" i="7"/>
  <c r="C110" i="7"/>
  <c r="C206" i="7"/>
  <c r="C231" i="7"/>
  <c r="C130" i="7"/>
  <c r="C168" i="7"/>
  <c r="C145" i="7"/>
  <c r="C181" i="7"/>
  <c r="C102" i="7"/>
  <c r="C226" i="7"/>
  <c r="C128" i="7"/>
  <c r="C194" i="7"/>
  <c r="C233" i="7"/>
  <c r="C99" i="7"/>
  <c r="C230" i="7"/>
  <c r="C108" i="7"/>
  <c r="C200" i="7"/>
  <c r="C199" i="7"/>
  <c r="C204" i="7"/>
  <c r="C117" i="7"/>
  <c r="C113" i="7"/>
  <c r="C146" i="7"/>
  <c r="C147" i="7"/>
  <c r="C85" i="7"/>
  <c r="C143" i="7"/>
  <c r="C159" i="7"/>
  <c r="C162" i="7"/>
  <c r="C84" i="7"/>
  <c r="C137" i="7"/>
  <c r="C214" i="7"/>
  <c r="C196" i="7"/>
  <c r="C86" i="7"/>
  <c r="C205" i="7"/>
  <c r="C109" i="7"/>
  <c r="C150" i="7"/>
  <c r="C141" i="7"/>
  <c r="C142" i="7"/>
  <c r="C105" i="7"/>
  <c r="C104" i="7"/>
  <c r="C167" i="7"/>
  <c r="C158" i="7"/>
  <c r="C179" i="7"/>
  <c r="C166" i="7"/>
  <c r="C112" i="7"/>
  <c r="C149" i="7"/>
  <c r="C178" i="7"/>
  <c r="C88" i="7"/>
  <c r="C221" i="7"/>
  <c r="G508" i="2"/>
  <c r="G350" i="2"/>
  <c r="G351" i="2" s="1"/>
  <c r="G39" i="4" s="1"/>
  <c r="I345" i="2"/>
  <c r="I346" i="2" s="1"/>
  <c r="G498" i="2"/>
  <c r="H508" i="2"/>
  <c r="H56" i="4"/>
  <c r="J505" i="2"/>
  <c r="J501" i="2"/>
  <c r="J502" i="2"/>
  <c r="J506" i="2"/>
  <c r="I503" i="2"/>
  <c r="I56" i="4" s="1"/>
  <c r="H498" i="2"/>
  <c r="H55" i="4"/>
  <c r="G993" i="2"/>
  <c r="I491" i="2"/>
  <c r="I493" i="2" s="1"/>
  <c r="I55" i="4" s="1"/>
  <c r="G970" i="2"/>
  <c r="J495" i="2"/>
  <c r="J491" i="2"/>
  <c r="J492" i="2"/>
  <c r="J496" i="2"/>
  <c r="G395" i="2"/>
  <c r="AW460" i="4"/>
  <c r="AR433" i="4"/>
  <c r="AX487" i="4"/>
  <c r="Q460" i="4"/>
  <c r="U433" i="4"/>
  <c r="AA487" i="4"/>
  <c r="V460" i="4"/>
  <c r="U460" i="4"/>
  <c r="AY433" i="4"/>
  <c r="AY460" i="4"/>
  <c r="AK487" i="4"/>
  <c r="AF460" i="4"/>
  <c r="AT487" i="4"/>
  <c r="AT433" i="4"/>
  <c r="T460" i="4"/>
  <c r="W433" i="4"/>
  <c r="W487" i="4"/>
  <c r="AD433" i="4"/>
  <c r="I411" i="2"/>
  <c r="I481" i="2" s="1"/>
  <c r="H395" i="2"/>
  <c r="H387" i="2"/>
  <c r="G387" i="2"/>
  <c r="H1151" i="2"/>
  <c r="I336" i="2"/>
  <c r="J348" i="2"/>
  <c r="J344" i="2"/>
  <c r="H350" i="2"/>
  <c r="G42" i="2"/>
  <c r="G29" i="2" s="1"/>
  <c r="H341" i="2"/>
  <c r="H342" i="2" s="1"/>
  <c r="H38" i="4" s="1"/>
  <c r="J339" i="2"/>
  <c r="J335" i="2"/>
  <c r="I1273" i="2"/>
  <c r="J1273" i="2" s="1"/>
  <c r="G341" i="2"/>
  <c r="I71" i="4"/>
  <c r="K71" i="4"/>
  <c r="J71" i="4"/>
  <c r="I327" i="2"/>
  <c r="H71" i="4"/>
  <c r="J330" i="2"/>
  <c r="J326" i="2"/>
  <c r="H332" i="2"/>
  <c r="H333" i="2" s="1"/>
  <c r="H37" i="4" s="1"/>
  <c r="G332" i="2"/>
  <c r="G333" i="2" s="1"/>
  <c r="G37" i="4" s="1"/>
  <c r="I107" i="2"/>
  <c r="I87" i="2"/>
  <c r="G107" i="2"/>
  <c r="G87" i="2"/>
  <c r="G67" i="2"/>
  <c r="I67" i="2"/>
  <c r="I195" i="2" s="1"/>
  <c r="I194" i="2" s="1"/>
  <c r="G50" i="2"/>
  <c r="P433" i="4"/>
  <c r="AE460" i="4"/>
  <c r="J84" i="10"/>
  <c r="J85" i="10" s="1"/>
  <c r="J86" i="10" s="1"/>
  <c r="AP433" i="4"/>
  <c r="G146" i="2"/>
  <c r="BB433" i="4"/>
  <c r="AX433" i="4"/>
  <c r="Z460" i="4"/>
  <c r="AA433" i="4"/>
  <c r="AE433" i="4"/>
  <c r="AZ460" i="4"/>
  <c r="G460" i="4"/>
  <c r="P460" i="4"/>
  <c r="J140" i="1"/>
  <c r="G403" i="2"/>
  <c r="I293" i="4"/>
  <c r="I360" i="2"/>
  <c r="I357" i="2" s="1"/>
  <c r="I312" i="2"/>
  <c r="I309" i="2" s="1"/>
  <c r="I39" i="2"/>
  <c r="I27" i="2" s="1"/>
  <c r="I28" i="2" s="1"/>
  <c r="I41" i="2" s="1"/>
  <c r="I42" i="2" s="1"/>
  <c r="I456" i="2"/>
  <c r="I453" i="2" s="1"/>
  <c r="G175" i="2"/>
  <c r="H175" i="2" s="1"/>
  <c r="I175" i="2" s="1"/>
  <c r="J175" i="2" s="1"/>
  <c r="I187" i="2"/>
  <c r="I169" i="2" s="1"/>
  <c r="I170" i="2" s="1"/>
  <c r="I173" i="2" s="1"/>
  <c r="G1107" i="2"/>
  <c r="G140" i="2"/>
  <c r="G113" i="1"/>
  <c r="G233" i="4"/>
  <c r="G1269" i="2"/>
  <c r="G317" i="4"/>
  <c r="G1142" i="2"/>
  <c r="G1056" i="2"/>
  <c r="G102" i="10"/>
  <c r="G4" i="4"/>
  <c r="G284" i="2"/>
  <c r="G1" i="5"/>
  <c r="G91" i="4"/>
  <c r="G14" i="4"/>
  <c r="G4" i="2"/>
  <c r="G4" i="5"/>
  <c r="G90" i="10"/>
  <c r="G366" i="4"/>
  <c r="G124" i="4"/>
  <c r="G1189" i="2"/>
  <c r="G638" i="2"/>
  <c r="G69" i="4"/>
  <c r="G423" i="2"/>
  <c r="H483" i="2"/>
  <c r="H54" i="4" s="1"/>
  <c r="G55" i="10"/>
  <c r="G1000" i="2"/>
  <c r="G68" i="1"/>
  <c r="G25" i="4"/>
  <c r="G159" i="4"/>
  <c r="G38" i="1"/>
  <c r="G14" i="1"/>
  <c r="G1" i="10"/>
  <c r="G408" i="4"/>
  <c r="G1096" i="2"/>
  <c r="G1" i="2"/>
  <c r="G570" i="2"/>
  <c r="G269" i="4"/>
  <c r="G1" i="4"/>
  <c r="G1168" i="2"/>
  <c r="G1" i="1"/>
  <c r="I321" i="2"/>
  <c r="I318" i="2" s="1"/>
  <c r="I522" i="2"/>
  <c r="I238" i="2"/>
  <c r="BD993" i="2"/>
  <c r="G218" i="4"/>
  <c r="H219" i="4" s="1"/>
  <c r="H123" i="1"/>
  <c r="I123" i="1" s="1"/>
  <c r="J123" i="1" s="1"/>
  <c r="K320" i="2"/>
  <c r="K380" i="2"/>
  <c r="K311" i="2"/>
  <c r="K368" i="2"/>
  <c r="K359" i="2"/>
  <c r="I432" i="2"/>
  <c r="I429" i="2" s="1"/>
  <c r="I434" i="2" s="1"/>
  <c r="AN433" i="4"/>
  <c r="AQ433" i="4"/>
  <c r="I342" i="4"/>
  <c r="J342" i="4" s="1"/>
  <c r="G433" i="4"/>
  <c r="G481" i="2"/>
  <c r="G483" i="2" s="1"/>
  <c r="G54" i="4" s="1"/>
  <c r="G962" i="2"/>
  <c r="G142" i="4" s="1"/>
  <c r="B17" i="1"/>
  <c r="B18" i="1"/>
  <c r="AW487" i="4"/>
  <c r="I381" i="2"/>
  <c r="I378" i="2" s="1"/>
  <c r="I379" i="2" s="1"/>
  <c r="I403" i="2" s="1"/>
  <c r="I466" i="2"/>
  <c r="I463" i="2" s="1"/>
  <c r="I476" i="2"/>
  <c r="G61" i="1"/>
  <c r="G1033" i="2"/>
  <c r="G1013" i="2"/>
  <c r="G55" i="1"/>
  <c r="K259" i="2"/>
  <c r="K235" i="2"/>
  <c r="I369" i="2"/>
  <c r="I366" i="2" s="1"/>
  <c r="I367" i="2" s="1"/>
  <c r="I262" i="2"/>
  <c r="G115" i="10"/>
  <c r="H112" i="10" s="1"/>
  <c r="G117" i="10"/>
  <c r="H116" i="10" s="1"/>
  <c r="G110" i="10"/>
  <c r="K484" i="2"/>
  <c r="K474" i="2"/>
  <c r="K464" i="2"/>
  <c r="K454" i="2"/>
  <c r="K520" i="2"/>
  <c r="G955" i="2"/>
  <c r="G949" i="2" s="1"/>
  <c r="G138" i="4" s="1"/>
  <c r="I26" i="1"/>
  <c r="H29" i="1"/>
  <c r="H28" i="1"/>
  <c r="H27" i="1"/>
  <c r="AQ487" i="4"/>
  <c r="I486" i="2"/>
  <c r="G1219" i="2"/>
  <c r="I1108" i="2"/>
  <c r="I1109" i="2" s="1"/>
  <c r="H852" i="2"/>
  <c r="H846" i="2"/>
  <c r="H837" i="2" s="1"/>
  <c r="H78" i="4" s="1"/>
  <c r="E299" i="7" s="1"/>
  <c r="G837" i="2"/>
  <c r="G78" i="4" s="1"/>
  <c r="D299" i="7" s="1"/>
  <c r="I834" i="2"/>
  <c r="J834" i="2" s="1"/>
  <c r="J831" i="2"/>
  <c r="J805" i="2"/>
  <c r="H826" i="2"/>
  <c r="H820" i="2"/>
  <c r="H811" i="2" s="1"/>
  <c r="H77" i="4" s="1"/>
  <c r="E298" i="7" s="1"/>
  <c r="I808" i="2"/>
  <c r="G811" i="2"/>
  <c r="G77" i="4" s="1"/>
  <c r="D298" i="7" s="1"/>
  <c r="G22" i="2"/>
  <c r="G10" i="2" s="1"/>
  <c r="J782" i="2"/>
  <c r="J779" i="2"/>
  <c r="G785" i="2"/>
  <c r="G76" i="4" s="1"/>
  <c r="D297" i="7" s="1"/>
  <c r="I800" i="2"/>
  <c r="I794" i="2"/>
  <c r="I785" i="2" s="1"/>
  <c r="I76" i="4" s="1"/>
  <c r="F297" i="7" s="1"/>
  <c r="H774" i="2"/>
  <c r="H768" i="2"/>
  <c r="J48" i="2"/>
  <c r="J753" i="2"/>
  <c r="G759" i="2"/>
  <c r="G75" i="4" s="1"/>
  <c r="D296" i="7" s="1"/>
  <c r="I756" i="2"/>
  <c r="J756" i="2" s="1"/>
  <c r="BD111" i="4"/>
  <c r="H176" i="7" s="1"/>
  <c r="G71" i="4"/>
  <c r="H7" i="4"/>
  <c r="I49" i="2"/>
  <c r="J61" i="2"/>
  <c r="J58" i="2"/>
  <c r="H63" i="2"/>
  <c r="G171" i="2"/>
  <c r="BD72" i="4"/>
  <c r="G130" i="4"/>
  <c r="G1232" i="2"/>
  <c r="J1243" i="2"/>
  <c r="J1257" i="2" s="1"/>
  <c r="J1235" i="2"/>
  <c r="J1242" i="2"/>
  <c r="J1258" i="2" s="1"/>
  <c r="H1233" i="2"/>
  <c r="AU487" i="4"/>
  <c r="AU460" i="4"/>
  <c r="AU433" i="4"/>
  <c r="AJ460" i="4"/>
  <c r="AJ487" i="4"/>
  <c r="AJ433" i="4"/>
  <c r="BA433" i="4"/>
  <c r="BA487" i="4"/>
  <c r="BA460" i="4"/>
  <c r="AL460" i="4"/>
  <c r="AL433" i="4"/>
  <c r="AL487" i="4"/>
  <c r="M460" i="4"/>
  <c r="M433" i="4"/>
  <c r="G148" i="2"/>
  <c r="G150" i="2"/>
  <c r="H150" i="2" s="1"/>
  <c r="I150" i="2" s="1"/>
  <c r="J150" i="2" s="1"/>
  <c r="I909" i="2"/>
  <c r="I899" i="2" s="1"/>
  <c r="I82" i="4" s="1"/>
  <c r="F303" i="7" s="1"/>
  <c r="J1084" i="2"/>
  <c r="J737" i="2"/>
  <c r="J741" i="2" s="1"/>
  <c r="G928" i="2"/>
  <c r="G85" i="4" s="1"/>
  <c r="D306" i="7" s="1"/>
  <c r="H303" i="2"/>
  <c r="I297" i="2"/>
  <c r="I298" i="2" s="1"/>
  <c r="I302" i="2" s="1"/>
  <c r="I303" i="2" s="1"/>
  <c r="O460" i="4"/>
  <c r="O487" i="4"/>
  <c r="J460" i="4"/>
  <c r="J487" i="4"/>
  <c r="J433" i="4"/>
  <c r="N460" i="4"/>
  <c r="N487" i="4"/>
  <c r="J890" i="2"/>
  <c r="J896" i="2"/>
  <c r="H940" i="2"/>
  <c r="H988" i="2" s="1"/>
  <c r="H937" i="2"/>
  <c r="B925" i="2"/>
  <c r="J923" i="2"/>
  <c r="I925" i="2"/>
  <c r="BD994" i="2"/>
  <c r="I1220" i="2"/>
  <c r="I1221" i="2" s="1"/>
  <c r="BD965" i="2"/>
  <c r="H173" i="2"/>
  <c r="G869" i="2"/>
  <c r="G81" i="4" s="1"/>
  <c r="D302" i="7" s="1"/>
  <c r="J860" i="2"/>
  <c r="H879" i="2"/>
  <c r="H970" i="2" s="1"/>
  <c r="I866" i="2"/>
  <c r="G173" i="2"/>
  <c r="I1120" i="2"/>
  <c r="I1121" i="2" s="1"/>
  <c r="J260" i="2"/>
  <c r="J262" i="2"/>
  <c r="J244" i="2"/>
  <c r="J236" i="2"/>
  <c r="J238" i="2"/>
  <c r="J220" i="2"/>
  <c r="J485" i="2"/>
  <c r="J486" i="2"/>
  <c r="J482" i="2"/>
  <c r="J475" i="2"/>
  <c r="J476" i="2"/>
  <c r="J472" i="2"/>
  <c r="H468" i="2"/>
  <c r="G468" i="2"/>
  <c r="J465" i="2"/>
  <c r="J466" i="2"/>
  <c r="J462" i="2"/>
  <c r="J521" i="2"/>
  <c r="J522" i="2"/>
  <c r="J518" i="2"/>
  <c r="G51" i="4"/>
  <c r="H458" i="2"/>
  <c r="H51" i="4"/>
  <c r="G458" i="2"/>
  <c r="J455" i="2"/>
  <c r="J451" i="2"/>
  <c r="J456" i="2"/>
  <c r="J452" i="2"/>
  <c r="H110" i="2"/>
  <c r="H10" i="4" s="1"/>
  <c r="H70" i="2"/>
  <c r="H83" i="2" s="1"/>
  <c r="J317" i="2"/>
  <c r="J321" i="2"/>
  <c r="G323" i="2"/>
  <c r="G324" i="2" s="1"/>
  <c r="G36" i="4" s="1"/>
  <c r="H323" i="2"/>
  <c r="H324" i="2" s="1"/>
  <c r="H36" i="4" s="1"/>
  <c r="J308" i="2"/>
  <c r="J312" i="2"/>
  <c r="G314" i="2"/>
  <c r="H314" i="2"/>
  <c r="I1280" i="2"/>
  <c r="I1282" i="2" s="1"/>
  <c r="G383" i="2"/>
  <c r="G404" i="2" s="1"/>
  <c r="H383" i="2"/>
  <c r="H404" i="2" s="1"/>
  <c r="J377" i="2"/>
  <c r="J381" i="2"/>
  <c r="H701" i="2"/>
  <c r="H691" i="2" s="1"/>
  <c r="G371" i="2"/>
  <c r="G372" i="2" s="1"/>
  <c r="G43" i="4" s="1"/>
  <c r="H371" i="2"/>
  <c r="H372" i="2" s="1"/>
  <c r="H43" i="4" s="1"/>
  <c r="J365" i="2"/>
  <c r="J369" i="2"/>
  <c r="H707" i="2"/>
  <c r="J431" i="2"/>
  <c r="J356" i="2"/>
  <c r="J360" i="2"/>
  <c r="G362" i="2"/>
  <c r="P1067" i="2"/>
  <c r="H362" i="2"/>
  <c r="AE229" i="4"/>
  <c r="H90" i="2"/>
  <c r="H9" i="4" s="1"/>
  <c r="AW1067" i="2"/>
  <c r="AO1067" i="2"/>
  <c r="AF1067" i="2"/>
  <c r="H194" i="2"/>
  <c r="H197" i="2"/>
  <c r="I628" i="2"/>
  <c r="I629" i="2" s="1"/>
  <c r="K62" i="10"/>
  <c r="K57" i="10"/>
  <c r="L55" i="1"/>
  <c r="L61" i="1"/>
  <c r="Y1067" i="2"/>
  <c r="I101" i="2"/>
  <c r="I89" i="2" s="1"/>
  <c r="K117" i="2"/>
  <c r="K97" i="2"/>
  <c r="M61" i="1"/>
  <c r="M55" i="1"/>
  <c r="I61" i="1"/>
  <c r="I59" i="1" s="1"/>
  <c r="I55" i="1"/>
  <c r="I53" i="1" s="1"/>
  <c r="I45" i="1"/>
  <c r="I443" i="2"/>
  <c r="I439" i="2" s="1"/>
  <c r="I440" i="2" s="1"/>
  <c r="I445" i="2" s="1"/>
  <c r="I81" i="2"/>
  <c r="I69" i="2" s="1"/>
  <c r="I162" i="2"/>
  <c r="I145" i="2" s="1"/>
  <c r="I214" i="2"/>
  <c r="I44" i="1"/>
  <c r="J44" i="1" s="1"/>
  <c r="K55" i="1"/>
  <c r="K61" i="1"/>
  <c r="I384" i="4"/>
  <c r="J384" i="4" s="1"/>
  <c r="I19" i="2"/>
  <c r="I9" i="2" s="1"/>
  <c r="I21" i="2" s="1"/>
  <c r="I22" i="2" s="1"/>
  <c r="AD229" i="4"/>
  <c r="AV1067" i="2"/>
  <c r="Q1067" i="2"/>
  <c r="R1067" i="2"/>
  <c r="Z1067" i="2"/>
  <c r="AS229" i="4"/>
  <c r="H1118" i="2"/>
  <c r="G1117" i="2"/>
  <c r="R229" i="4"/>
  <c r="AH229" i="4"/>
  <c r="Y229" i="4"/>
  <c r="J36" i="2"/>
  <c r="V229" i="4"/>
  <c r="I109" i="2"/>
  <c r="P229" i="4"/>
  <c r="U229" i="4"/>
  <c r="N229" i="4"/>
  <c r="AL229" i="4"/>
  <c r="AZ229" i="4"/>
  <c r="J121" i="2"/>
  <c r="J118" i="2"/>
  <c r="J108" i="2"/>
  <c r="J1278" i="2"/>
  <c r="J1281" i="2"/>
  <c r="AJ229" i="4"/>
  <c r="AI229" i="4"/>
  <c r="AX229" i="4"/>
  <c r="AB229" i="4"/>
  <c r="AF229" i="4"/>
  <c r="AU229" i="4"/>
  <c r="AW229" i="4"/>
  <c r="AN1067" i="2"/>
  <c r="J656" i="2"/>
  <c r="J665" i="2" s="1"/>
  <c r="J101" i="2"/>
  <c r="J98" i="2"/>
  <c r="J88" i="2"/>
  <c r="AS1067" i="2"/>
  <c r="AT229" i="4"/>
  <c r="BD326" i="4"/>
  <c r="BD375" i="4"/>
  <c r="BD325" i="4"/>
  <c r="AK229" i="4"/>
  <c r="AN229" i="4"/>
  <c r="AR229" i="4"/>
  <c r="AQ229" i="4"/>
  <c r="AH1067" i="2"/>
  <c r="BB1067" i="2"/>
  <c r="AB1067" i="2"/>
  <c r="G978" i="2"/>
  <c r="G140" i="4" s="1"/>
  <c r="J432" i="2"/>
  <c r="AA229" i="4"/>
  <c r="T229" i="4"/>
  <c r="W229" i="4"/>
  <c r="AO229" i="4"/>
  <c r="BB229" i="4"/>
  <c r="AM229" i="4"/>
  <c r="S137" i="4"/>
  <c r="AX137" i="4"/>
  <c r="P86" i="1"/>
  <c r="J296" i="2"/>
  <c r="J160" i="2"/>
  <c r="J712" i="2"/>
  <c r="J144" i="2"/>
  <c r="J1272" i="2"/>
  <c r="J428" i="2"/>
  <c r="J714" i="2"/>
  <c r="J214" i="2"/>
  <c r="J168" i="2"/>
  <c r="J167" i="2" s="1"/>
  <c r="J688" i="2"/>
  <c r="J8" i="2"/>
  <c r="J438" i="2"/>
  <c r="J437" i="2" s="1"/>
  <c r="J1335" i="2"/>
  <c r="J1017" i="2"/>
  <c r="J1012" i="2"/>
  <c r="J1011" i="2" s="1"/>
  <c r="J1136" i="2"/>
  <c r="J17" i="2"/>
  <c r="J1275" i="2"/>
  <c r="J1279" i="2"/>
  <c r="J26" i="2"/>
  <c r="J25" i="2" s="1"/>
  <c r="J288" i="2"/>
  <c r="J1146" i="2"/>
  <c r="J1147" i="2" s="1"/>
  <c r="J162" i="2"/>
  <c r="J7" i="2"/>
  <c r="J682" i="2"/>
  <c r="T1067" i="2"/>
  <c r="AJ1067" i="2"/>
  <c r="J61" i="1"/>
  <c r="J55" i="1"/>
  <c r="X229" i="4"/>
  <c r="N1067" i="2"/>
  <c r="AS137" i="4"/>
  <c r="AU137" i="4"/>
  <c r="AG229" i="4"/>
  <c r="AM1067" i="2"/>
  <c r="O137" i="4"/>
  <c r="J443" i="2"/>
  <c r="AR137" i="4"/>
  <c r="J81" i="2"/>
  <c r="I726" i="2"/>
  <c r="I729" i="2"/>
  <c r="Z229" i="4"/>
  <c r="R82" i="10"/>
  <c r="H662" i="2"/>
  <c r="AG137" i="4"/>
  <c r="J427" i="2"/>
  <c r="BA1067" i="2"/>
  <c r="AI137" i="4"/>
  <c r="N61" i="1"/>
  <c r="N55" i="1"/>
  <c r="AD1067" i="2"/>
  <c r="J442" i="2"/>
  <c r="O1067" i="2"/>
  <c r="X137" i="4"/>
  <c r="J1032" i="2"/>
  <c r="J1031" i="2" s="1"/>
  <c r="AY1067" i="2"/>
  <c r="J332" i="4"/>
  <c r="J389" i="4"/>
  <c r="J283" i="4"/>
  <c r="J347" i="4"/>
  <c r="J321" i="4"/>
  <c r="J298" i="4"/>
  <c r="J169" i="4"/>
  <c r="AB137" i="4"/>
  <c r="J194" i="4"/>
  <c r="V1067" i="2"/>
  <c r="AL137" i="4"/>
  <c r="AV137" i="4"/>
  <c r="J19" i="2"/>
  <c r="J1208" i="2"/>
  <c r="W1067" i="2"/>
  <c r="BB137" i="4"/>
  <c r="O229" i="4"/>
  <c r="AA1067" i="2"/>
  <c r="K87" i="1"/>
  <c r="J91" i="1"/>
  <c r="AN137" i="4"/>
  <c r="J189" i="4"/>
  <c r="AC137" i="4"/>
  <c r="J39" i="2"/>
  <c r="AU1067" i="2"/>
  <c r="V137" i="4"/>
  <c r="AE137" i="4"/>
  <c r="AZ1067" i="2"/>
  <c r="U137" i="4"/>
  <c r="AJ137" i="4"/>
  <c r="U1067" i="2"/>
  <c r="AM137" i="4"/>
  <c r="J291" i="2"/>
  <c r="BA137" i="4"/>
  <c r="AA137" i="4"/>
  <c r="AI1067" i="2"/>
  <c r="BD151" i="4"/>
  <c r="AC229" i="4"/>
  <c r="AW137" i="4"/>
  <c r="Y137" i="4"/>
  <c r="J93" i="10"/>
  <c r="J168" i="4" s="1"/>
  <c r="J97" i="10"/>
  <c r="J176" i="4" s="1"/>
  <c r="J133" i="10"/>
  <c r="I707" i="2"/>
  <c r="I701" i="2"/>
  <c r="I691" i="2" s="1"/>
  <c r="J78" i="2"/>
  <c r="AK1067" i="2"/>
  <c r="AF137" i="4"/>
  <c r="Q106" i="10"/>
  <c r="AT1067" i="2"/>
  <c r="AV229" i="4"/>
  <c r="AH137" i="4"/>
  <c r="BA229" i="4"/>
  <c r="AE1067" i="2"/>
  <c r="AT137" i="4"/>
  <c r="Z137" i="4"/>
  <c r="N137" i="4"/>
  <c r="H10" i="2"/>
  <c r="X1067" i="2"/>
  <c r="AG1067" i="2"/>
  <c r="AY137" i="4"/>
  <c r="J70" i="10"/>
  <c r="J71" i="10" s="1"/>
  <c r="J72" i="10" s="1"/>
  <c r="AP1067" i="2"/>
  <c r="AX1067" i="2"/>
  <c r="Q113" i="10"/>
  <c r="K2" i="2"/>
  <c r="K2" i="1"/>
  <c r="K2" i="5"/>
  <c r="L25" i="1"/>
  <c r="K2" i="10"/>
  <c r="K2" i="4"/>
  <c r="J659" i="2"/>
  <c r="I677" i="2"/>
  <c r="I671" i="2"/>
  <c r="I662" i="2" s="1"/>
  <c r="W137" i="4"/>
  <c r="BD979" i="2"/>
  <c r="J178" i="4"/>
  <c r="AP229" i="4"/>
  <c r="AL1067" i="2"/>
  <c r="P61" i="1"/>
  <c r="Q60" i="1"/>
  <c r="Q137" i="4"/>
  <c r="AP137" i="4"/>
  <c r="AQ1067" i="2"/>
  <c r="S229" i="4"/>
  <c r="P55" i="1"/>
  <c r="Q54" i="1"/>
  <c r="K1084" i="2"/>
  <c r="L1083" i="2"/>
  <c r="L1082" i="2" s="1"/>
  <c r="J412" i="4"/>
  <c r="Q75" i="10"/>
  <c r="R137" i="4"/>
  <c r="J370" i="4"/>
  <c r="AZ137" i="4"/>
  <c r="J300" i="2"/>
  <c r="Q68" i="10"/>
  <c r="J146" i="1"/>
  <c r="J120" i="1"/>
  <c r="J45" i="1"/>
  <c r="AR1067" i="2"/>
  <c r="Q229" i="4"/>
  <c r="AC1067" i="2"/>
  <c r="AD137" i="4"/>
  <c r="G1026" i="2"/>
  <c r="H1026" i="2" s="1"/>
  <c r="AY229" i="4"/>
  <c r="O61" i="1"/>
  <c r="AK137" i="4"/>
  <c r="AQ137" i="4"/>
  <c r="AO137" i="4"/>
  <c r="S1067" i="2"/>
  <c r="J187" i="2"/>
  <c r="G544" i="2"/>
  <c r="H544" i="2" s="1"/>
  <c r="I544" i="2" s="1"/>
  <c r="J544" i="2" s="1"/>
  <c r="G539" i="2"/>
  <c r="G542" i="2"/>
  <c r="H542" i="2" s="1"/>
  <c r="I542" i="2" s="1"/>
  <c r="G547" i="2"/>
  <c r="J1150" i="2"/>
  <c r="I1151" i="2"/>
  <c r="H293" i="2"/>
  <c r="H294" i="2" s="1"/>
  <c r="I137" i="4"/>
  <c r="I79" i="10"/>
  <c r="I1038" i="2"/>
  <c r="J1037" i="2"/>
  <c r="K299" i="2"/>
  <c r="K290" i="2"/>
  <c r="J80" i="1"/>
  <c r="K81" i="1"/>
  <c r="J185" i="2"/>
  <c r="J212" i="2"/>
  <c r="K1091" i="2"/>
  <c r="K1090" i="2" s="1"/>
  <c r="J1092" i="2"/>
  <c r="K1293" i="2"/>
  <c r="K1061" i="2"/>
  <c r="L1063" i="2"/>
  <c r="L1062" i="2" s="1"/>
  <c r="K159" i="2"/>
  <c r="K211" i="2"/>
  <c r="K184" i="2"/>
  <c r="BD964" i="2"/>
  <c r="I188" i="4"/>
  <c r="J136" i="10"/>
  <c r="J143" i="2"/>
  <c r="H1198" i="2"/>
  <c r="I1199" i="2"/>
  <c r="M137" i="4"/>
  <c r="G137" i="4"/>
  <c r="BD943" i="2"/>
  <c r="I460" i="4"/>
  <c r="I433" i="4"/>
  <c r="I487" i="4"/>
  <c r="J623" i="2"/>
  <c r="I624" i="2"/>
  <c r="B229" i="4"/>
  <c r="B127" i="1" s="1"/>
  <c r="B128" i="1" s="1"/>
  <c r="B129" i="1" s="1"/>
  <c r="K441" i="2"/>
  <c r="K430" i="2"/>
  <c r="J287" i="2"/>
  <c r="I289" i="2"/>
  <c r="I197" i="4"/>
  <c r="J1178" i="2"/>
  <c r="J643" i="2"/>
  <c r="H41" i="2"/>
  <c r="H42" i="2" s="1"/>
  <c r="H148" i="2"/>
  <c r="H146" i="2"/>
  <c r="H445" i="2"/>
  <c r="J135" i="10"/>
  <c r="J65" i="10"/>
  <c r="H503" i="4"/>
  <c r="I1202" i="2"/>
  <c r="J1201" i="2"/>
  <c r="L47" i="1"/>
  <c r="L57" i="2" s="1"/>
  <c r="L383" i="4"/>
  <c r="L292" i="4"/>
  <c r="M43" i="1"/>
  <c r="N43" i="1" s="1"/>
  <c r="L49" i="1"/>
  <c r="L48" i="1"/>
  <c r="L341" i="4"/>
  <c r="L50" i="1"/>
  <c r="K77" i="2"/>
  <c r="K16" i="2"/>
  <c r="K35" i="2"/>
  <c r="I328" i="2" l="1"/>
  <c r="I332" i="2" s="1"/>
  <c r="I333" i="2" s="1"/>
  <c r="I37" i="4" s="1"/>
  <c r="I50" i="2"/>
  <c r="I7" i="4" s="1"/>
  <c r="I337" i="2"/>
  <c r="J345" i="2"/>
  <c r="J346" i="2" s="1"/>
  <c r="I508" i="2"/>
  <c r="K502" i="2"/>
  <c r="K506" i="2"/>
  <c r="K505" i="2"/>
  <c r="K501" i="2"/>
  <c r="J503" i="2"/>
  <c r="G396" i="2"/>
  <c r="J493" i="2"/>
  <c r="I498" i="2"/>
  <c r="K496" i="2"/>
  <c r="K492" i="2"/>
  <c r="K491" i="2"/>
  <c r="K495" i="2"/>
  <c r="G195" i="2"/>
  <c r="G197" i="2" s="1"/>
  <c r="G196" i="2" s="1"/>
  <c r="G90" i="2"/>
  <c r="G110" i="2"/>
  <c r="J411" i="2"/>
  <c r="H396" i="2"/>
  <c r="H394" i="2" s="1"/>
  <c r="H388" i="2"/>
  <c r="H386" i="2" s="1"/>
  <c r="G388" i="2"/>
  <c r="G386" i="2" s="1"/>
  <c r="G30" i="2"/>
  <c r="J1108" i="2"/>
  <c r="J1109" i="2" s="1"/>
  <c r="J336" i="2"/>
  <c r="H351" i="2"/>
  <c r="H39" i="4" s="1"/>
  <c r="I350" i="2"/>
  <c r="K348" i="2"/>
  <c r="K344" i="2"/>
  <c r="I1274" i="2"/>
  <c r="I1276" i="2" s="1"/>
  <c r="K339" i="2"/>
  <c r="K335" i="2"/>
  <c r="J481" i="2"/>
  <c r="J483" i="2" s="1"/>
  <c r="J54" i="4" s="1"/>
  <c r="G342" i="2"/>
  <c r="G38" i="4" s="1"/>
  <c r="J327" i="2"/>
  <c r="K326" i="2"/>
  <c r="K330" i="2"/>
  <c r="I358" i="2"/>
  <c r="I310" i="2"/>
  <c r="J293" i="4"/>
  <c r="K293" i="4" s="1"/>
  <c r="G7" i="4"/>
  <c r="G70" i="2"/>
  <c r="H128" i="2"/>
  <c r="H471" i="2" s="1"/>
  <c r="G63" i="2"/>
  <c r="G64" i="2" s="1"/>
  <c r="J47" i="2"/>
  <c r="G488" i="2"/>
  <c r="J59" i="1"/>
  <c r="H955" i="2"/>
  <c r="G1105" i="2"/>
  <c r="H1106" i="2"/>
  <c r="J27" i="2"/>
  <c r="J28" i="2" s="1"/>
  <c r="H488" i="2"/>
  <c r="H117" i="10"/>
  <c r="H115" i="10" s="1"/>
  <c r="I112" i="10" s="1"/>
  <c r="L484" i="2"/>
  <c r="L454" i="2"/>
  <c r="L474" i="2"/>
  <c r="L464" i="2"/>
  <c r="L520" i="2"/>
  <c r="G108" i="10"/>
  <c r="H105" i="10" s="1"/>
  <c r="H109" i="10"/>
  <c r="H220" i="4"/>
  <c r="I219" i="4"/>
  <c r="J53" i="1"/>
  <c r="K53" i="1" s="1"/>
  <c r="H962" i="2"/>
  <c r="H1013" i="2"/>
  <c r="G1014" i="2"/>
  <c r="H1029" i="2"/>
  <c r="H1033" i="2"/>
  <c r="I1029" i="2" s="1"/>
  <c r="I483" i="2"/>
  <c r="I488" i="2" s="1"/>
  <c r="H1218" i="2"/>
  <c r="G1217" i="2"/>
  <c r="L311" i="2"/>
  <c r="L368" i="2"/>
  <c r="L359" i="2"/>
  <c r="L320" i="2"/>
  <c r="L380" i="2"/>
  <c r="H34" i="1"/>
  <c r="G831" i="2"/>
  <c r="G753" i="2"/>
  <c r="H890" i="2"/>
  <c r="H902" i="2" s="1"/>
  <c r="H910" i="2" s="1"/>
  <c r="G682" i="2"/>
  <c r="G656" i="2"/>
  <c r="H805" i="2"/>
  <c r="H814" i="2" s="1"/>
  <c r="H821" i="2" s="1"/>
  <c r="G712" i="2"/>
  <c r="H656" i="2"/>
  <c r="H665" i="2" s="1"/>
  <c r="H643" i="2"/>
  <c r="H647" i="2" s="1"/>
  <c r="G779" i="2"/>
  <c r="H737" i="2"/>
  <c r="H741" i="2" s="1"/>
  <c r="G805" i="2"/>
  <c r="G737" i="2"/>
  <c r="G890" i="2"/>
  <c r="G923" i="2"/>
  <c r="H860" i="2"/>
  <c r="H872" i="2" s="1"/>
  <c r="H880" i="2" s="1"/>
  <c r="H779" i="2"/>
  <c r="H788" i="2" s="1"/>
  <c r="H795" i="2" s="1"/>
  <c r="H753" i="2"/>
  <c r="H762" i="2" s="1"/>
  <c r="H769" i="2" s="1"/>
  <c r="H712" i="2"/>
  <c r="H720" i="2" s="1"/>
  <c r="H727" i="2" s="1"/>
  <c r="H831" i="2"/>
  <c r="H840" i="2" s="1"/>
  <c r="H847" i="2" s="1"/>
  <c r="H923" i="2"/>
  <c r="H931" i="2" s="1"/>
  <c r="H938" i="2" s="1"/>
  <c r="H985" i="2" s="1"/>
  <c r="G860" i="2"/>
  <c r="G643" i="2"/>
  <c r="I643" i="2"/>
  <c r="I831" i="2"/>
  <c r="I840" i="2" s="1"/>
  <c r="I847" i="2" s="1"/>
  <c r="I779" i="2"/>
  <c r="I788" i="2" s="1"/>
  <c r="I795" i="2" s="1"/>
  <c r="I737" i="2"/>
  <c r="I741" i="2" s="1"/>
  <c r="I923" i="2"/>
  <c r="I931" i="2" s="1"/>
  <c r="I938" i="2" s="1"/>
  <c r="I985" i="2" s="1"/>
  <c r="H682" i="2"/>
  <c r="H694" i="2" s="1"/>
  <c r="H702" i="2" s="1"/>
  <c r="I890" i="2"/>
  <c r="I805" i="2"/>
  <c r="I814" i="2" s="1"/>
  <c r="I821" i="2" s="1"/>
  <c r="I656" i="2"/>
  <c r="I665" i="2" s="1"/>
  <c r="I672" i="2" s="1"/>
  <c r="I753" i="2"/>
  <c r="I762" i="2" s="1"/>
  <c r="I769" i="2" s="1"/>
  <c r="I712" i="2"/>
  <c r="I720" i="2" s="1"/>
  <c r="I727" i="2" s="1"/>
  <c r="I860" i="2"/>
  <c r="I872" i="2" s="1"/>
  <c r="I880" i="2" s="1"/>
  <c r="I682" i="2"/>
  <c r="I694" i="2" s="1"/>
  <c r="I702" i="2" s="1"/>
  <c r="I29" i="1"/>
  <c r="J26" i="1"/>
  <c r="I27" i="1"/>
  <c r="I28" i="1"/>
  <c r="L235" i="2"/>
  <c r="L259" i="2"/>
  <c r="H1251" i="2"/>
  <c r="H108" i="4" s="1"/>
  <c r="G1299" i="2"/>
  <c r="K834" i="2"/>
  <c r="K831" i="2"/>
  <c r="K840" i="2" s="1"/>
  <c r="J840" i="2"/>
  <c r="J852" i="2"/>
  <c r="J846" i="2"/>
  <c r="J837" i="2" s="1"/>
  <c r="J78" i="4" s="1"/>
  <c r="G299" i="7" s="1"/>
  <c r="I852" i="2"/>
  <c r="I846" i="2"/>
  <c r="G11" i="2"/>
  <c r="H11" i="2" s="1"/>
  <c r="I11" i="2" s="1"/>
  <c r="I826" i="2"/>
  <c r="I820" i="2"/>
  <c r="I811" i="2" s="1"/>
  <c r="I77" i="4" s="1"/>
  <c r="F298" i="7" s="1"/>
  <c r="K805" i="2"/>
  <c r="H759" i="2"/>
  <c r="H75" i="4" s="1"/>
  <c r="E296" i="7" s="1"/>
  <c r="J808" i="2"/>
  <c r="J814" i="2"/>
  <c r="J800" i="2"/>
  <c r="J794" i="2"/>
  <c r="K782" i="2"/>
  <c r="K779" i="2"/>
  <c r="K788" i="2" s="1"/>
  <c r="J788" i="2"/>
  <c r="J774" i="2"/>
  <c r="J768" i="2"/>
  <c r="J762" i="2"/>
  <c r="I774" i="2"/>
  <c r="I768" i="2"/>
  <c r="K48" i="2"/>
  <c r="K47" i="2" s="1"/>
  <c r="K753" i="2"/>
  <c r="K762" i="2" s="1"/>
  <c r="K756" i="2"/>
  <c r="H64" i="2"/>
  <c r="J49" i="2"/>
  <c r="BD71" i="4"/>
  <c r="B72" i="4"/>
  <c r="G177" i="2"/>
  <c r="G189" i="2" s="1"/>
  <c r="K61" i="2"/>
  <c r="K58" i="2"/>
  <c r="J169" i="2"/>
  <c r="J170" i="2" s="1"/>
  <c r="G80" i="4"/>
  <c r="D301" i="7" s="1"/>
  <c r="G84" i="4"/>
  <c r="D305" i="7" s="1"/>
  <c r="G74" i="4"/>
  <c r="D295" i="7" s="1"/>
  <c r="I319" i="2"/>
  <c r="G1253" i="2"/>
  <c r="G1248" i="2" s="1"/>
  <c r="G276" i="4"/>
  <c r="G212" i="4"/>
  <c r="G373" i="4"/>
  <c r="H1234" i="2"/>
  <c r="H1252" i="2" s="1"/>
  <c r="I1233" i="2"/>
  <c r="I1251" i="2" s="1"/>
  <c r="I108" i="4" s="1"/>
  <c r="K1243" i="2"/>
  <c r="K1257" i="2" s="1"/>
  <c r="K1235" i="2"/>
  <c r="K1242" i="2"/>
  <c r="K1258" i="2" s="1"/>
  <c r="J297" i="2"/>
  <c r="J298" i="2" s="1"/>
  <c r="J302" i="2" s="1"/>
  <c r="BD950" i="2"/>
  <c r="H177" i="2"/>
  <c r="H189" i="2" s="1"/>
  <c r="G152" i="2"/>
  <c r="G165" i="2" s="1"/>
  <c r="G154" i="2" s="1"/>
  <c r="K737" i="2"/>
  <c r="K741" i="2" s="1"/>
  <c r="J1220" i="2"/>
  <c r="J1221" i="2" s="1"/>
  <c r="J925" i="2"/>
  <c r="K925" i="2" s="1"/>
  <c r="J915" i="2"/>
  <c r="J909" i="2"/>
  <c r="J902" i="2"/>
  <c r="K890" i="2"/>
  <c r="K896" i="2"/>
  <c r="H928" i="2"/>
  <c r="H85" i="4" s="1"/>
  <c r="E306" i="7" s="1"/>
  <c r="H984" i="2"/>
  <c r="H978" i="2" s="1"/>
  <c r="K923" i="2"/>
  <c r="J931" i="2"/>
  <c r="I940" i="2"/>
  <c r="I988" i="2" s="1"/>
  <c r="I937" i="2"/>
  <c r="H869" i="2"/>
  <c r="H81" i="4" s="1"/>
  <c r="E302" i="7" s="1"/>
  <c r="H963" i="2"/>
  <c r="H139" i="4" s="1"/>
  <c r="H1299" i="2"/>
  <c r="K860" i="2"/>
  <c r="I885" i="2"/>
  <c r="I977" i="2" s="1"/>
  <c r="I879" i="2"/>
  <c r="I970" i="2" s="1"/>
  <c r="J872" i="2"/>
  <c r="J866" i="2"/>
  <c r="G992" i="2"/>
  <c r="BD992" i="2" s="1"/>
  <c r="J1120" i="2"/>
  <c r="J1121" i="2" s="1"/>
  <c r="K262" i="2"/>
  <c r="K260" i="2"/>
  <c r="K244" i="2"/>
  <c r="K238" i="2"/>
  <c r="K220" i="2"/>
  <c r="K236" i="2"/>
  <c r="K485" i="2"/>
  <c r="K486" i="2"/>
  <c r="K482" i="2"/>
  <c r="K475" i="2"/>
  <c r="K476" i="2"/>
  <c r="K472" i="2"/>
  <c r="I468" i="2"/>
  <c r="I52" i="4"/>
  <c r="J463" i="2"/>
  <c r="J52" i="4" s="1"/>
  <c r="K465" i="2"/>
  <c r="K466" i="2"/>
  <c r="K462" i="2"/>
  <c r="K521" i="2"/>
  <c r="K522" i="2"/>
  <c r="K518" i="2"/>
  <c r="I458" i="2"/>
  <c r="I51" i="4"/>
  <c r="J453" i="2"/>
  <c r="K455" i="2"/>
  <c r="K451" i="2"/>
  <c r="K456" i="2"/>
  <c r="K452" i="2"/>
  <c r="H402" i="2"/>
  <c r="G402" i="2"/>
  <c r="H384" i="2"/>
  <c r="H46" i="4" s="1"/>
  <c r="H45" i="4" s="1"/>
  <c r="J309" i="2"/>
  <c r="H539" i="2"/>
  <c r="J318" i="2"/>
  <c r="H84" i="2"/>
  <c r="H71" i="2" s="1"/>
  <c r="H123" i="2"/>
  <c r="H124" i="2" s="1"/>
  <c r="I110" i="2"/>
  <c r="H8" i="4"/>
  <c r="J378" i="2"/>
  <c r="K317" i="2"/>
  <c r="K321" i="2"/>
  <c r="G412" i="2"/>
  <c r="G414" i="2" s="1"/>
  <c r="G617" i="2" s="1"/>
  <c r="H315" i="2"/>
  <c r="H35" i="4" s="1"/>
  <c r="J366" i="2"/>
  <c r="G315" i="2"/>
  <c r="G35" i="4" s="1"/>
  <c r="K308" i="2"/>
  <c r="K312" i="2"/>
  <c r="I383" i="2"/>
  <c r="I404" i="2" s="1"/>
  <c r="G384" i="2"/>
  <c r="G46" i="4" s="1"/>
  <c r="K377" i="2"/>
  <c r="K381" i="2"/>
  <c r="K365" i="2"/>
  <c r="K369" i="2"/>
  <c r="I371" i="2"/>
  <c r="I372" i="2" s="1"/>
  <c r="I43" i="4" s="1"/>
  <c r="I197" i="2"/>
  <c r="I19" i="4" s="1"/>
  <c r="I18" i="4" s="1"/>
  <c r="J357" i="2"/>
  <c r="I90" i="2"/>
  <c r="H363" i="2"/>
  <c r="H42" i="4" s="1"/>
  <c r="H41" i="4" s="1"/>
  <c r="G363" i="2"/>
  <c r="G42" i="4" s="1"/>
  <c r="K356" i="2"/>
  <c r="K360" i="2"/>
  <c r="H103" i="2"/>
  <c r="H104" i="2" s="1"/>
  <c r="J1280" i="2"/>
  <c r="J1282" i="2" s="1"/>
  <c r="I70" i="2"/>
  <c r="I8" i="4" s="1"/>
  <c r="H196" i="2"/>
  <c r="H19" i="4"/>
  <c r="H18" i="4" s="1"/>
  <c r="J628" i="2"/>
  <c r="K628" i="2" s="1"/>
  <c r="K629" i="2" s="1"/>
  <c r="J69" i="2"/>
  <c r="I1200" i="2"/>
  <c r="I1198" i="2" s="1"/>
  <c r="J672" i="2"/>
  <c r="H1119" i="2"/>
  <c r="I1118" i="2" s="1"/>
  <c r="L62" i="10"/>
  <c r="L57" i="10"/>
  <c r="L117" i="2"/>
  <c r="L97" i="2"/>
  <c r="K120" i="1"/>
  <c r="J439" i="2"/>
  <c r="J440" i="2" s="1"/>
  <c r="J445" i="2" s="1"/>
  <c r="K44" i="1"/>
  <c r="K59" i="1"/>
  <c r="J89" i="2"/>
  <c r="K178" i="4"/>
  <c r="J109" i="2"/>
  <c r="K291" i="2"/>
  <c r="K121" i="2"/>
  <c r="K118" i="2"/>
  <c r="K108" i="2"/>
  <c r="I546" i="2"/>
  <c r="K169" i="4"/>
  <c r="K101" i="2"/>
  <c r="K98" i="2"/>
  <c r="K88" i="2"/>
  <c r="K342" i="4"/>
  <c r="K36" i="2"/>
  <c r="J1274" i="2"/>
  <c r="J1276" i="2" s="1"/>
  <c r="I171" i="2"/>
  <c r="I177" i="2" s="1"/>
  <c r="I189" i="2" s="1"/>
  <c r="I29" i="2"/>
  <c r="BB130" i="1"/>
  <c r="BA130" i="1"/>
  <c r="AZ130" i="1"/>
  <c r="AY130" i="1"/>
  <c r="AX130" i="1"/>
  <c r="AW130" i="1"/>
  <c r="AV130" i="1"/>
  <c r="AU130" i="1"/>
  <c r="AT130" i="1"/>
  <c r="AS130" i="1"/>
  <c r="AR130" i="1"/>
  <c r="AQ130" i="1"/>
  <c r="AP130" i="1"/>
  <c r="AO130" i="1"/>
  <c r="AN130" i="1"/>
  <c r="AM130" i="1"/>
  <c r="AL130" i="1"/>
  <c r="AK130" i="1"/>
  <c r="AJ130" i="1"/>
  <c r="AI130" i="1"/>
  <c r="AH130" i="1"/>
  <c r="AG130" i="1"/>
  <c r="AF130" i="1"/>
  <c r="AE130" i="1"/>
  <c r="AD130" i="1"/>
  <c r="AC130" i="1"/>
  <c r="AB130" i="1"/>
  <c r="AA130" i="1"/>
  <c r="Z130" i="1"/>
  <c r="Y130" i="1"/>
  <c r="X130" i="1"/>
  <c r="W130" i="1"/>
  <c r="V130" i="1"/>
  <c r="U130" i="1"/>
  <c r="T130" i="1"/>
  <c r="S130" i="1"/>
  <c r="R130" i="1"/>
  <c r="Q130" i="1"/>
  <c r="P130" i="1"/>
  <c r="O130" i="1"/>
  <c r="N130" i="1"/>
  <c r="K1278" i="2"/>
  <c r="K643" i="2"/>
  <c r="R75" i="10"/>
  <c r="K81" i="2"/>
  <c r="K175" i="2"/>
  <c r="K432" i="2"/>
  <c r="J694" i="2"/>
  <c r="L2" i="1"/>
  <c r="L2" i="5"/>
  <c r="L2" i="2"/>
  <c r="M25" i="1"/>
  <c r="L2" i="10"/>
  <c r="L2" i="4"/>
  <c r="R106" i="10"/>
  <c r="I10" i="2"/>
  <c r="K656" i="2"/>
  <c r="K544" i="2"/>
  <c r="K389" i="4"/>
  <c r="K347" i="4"/>
  <c r="K283" i="4"/>
  <c r="K298" i="4"/>
  <c r="K321" i="4"/>
  <c r="K412" i="4"/>
  <c r="K370" i="4"/>
  <c r="K332" i="4"/>
  <c r="K187" i="2"/>
  <c r="J9" i="2"/>
  <c r="J21" i="2" s="1"/>
  <c r="J707" i="2"/>
  <c r="J701" i="2"/>
  <c r="J691" i="2" s="1"/>
  <c r="J720" i="2"/>
  <c r="N292" i="4"/>
  <c r="N383" i="4"/>
  <c r="N341" i="4"/>
  <c r="N47" i="1"/>
  <c r="N57" i="2" s="1"/>
  <c r="N49" i="1"/>
  <c r="N50" i="1"/>
  <c r="N48" i="1"/>
  <c r="O43" i="1"/>
  <c r="Q55" i="1"/>
  <c r="R54" i="1"/>
  <c r="K97" i="10"/>
  <c r="K176" i="4" s="1"/>
  <c r="K93" i="10"/>
  <c r="K133" i="10"/>
  <c r="K70" i="10"/>
  <c r="K71" i="10" s="1"/>
  <c r="K72" i="10" s="1"/>
  <c r="K84" i="10"/>
  <c r="K85" i="10" s="1"/>
  <c r="K86" i="10" s="1"/>
  <c r="L87" i="1"/>
  <c r="K91" i="1"/>
  <c r="K194" i="4"/>
  <c r="K39" i="2"/>
  <c r="K431" i="2"/>
  <c r="K1032" i="2"/>
  <c r="K1031" i="2" s="1"/>
  <c r="I717" i="2"/>
  <c r="K162" i="2"/>
  <c r="K384" i="4"/>
  <c r="H1039" i="2"/>
  <c r="I1028" i="2"/>
  <c r="K150" i="2"/>
  <c r="K427" i="2"/>
  <c r="J429" i="2"/>
  <c r="J434" i="2" s="1"/>
  <c r="S82" i="10"/>
  <c r="K17" i="2"/>
  <c r="I1026" i="2"/>
  <c r="J1026" i="2" s="1"/>
  <c r="H1028" i="2"/>
  <c r="G1039" i="2"/>
  <c r="K45" i="1"/>
  <c r="K146" i="1"/>
  <c r="K123" i="1"/>
  <c r="K140" i="1"/>
  <c r="K1281" i="2"/>
  <c r="K189" i="4"/>
  <c r="J1209" i="2"/>
  <c r="K1208" i="2" s="1"/>
  <c r="K1209" i="2" s="1"/>
  <c r="I503" i="4"/>
  <c r="Q61" i="1"/>
  <c r="R60" i="1"/>
  <c r="K288" i="2"/>
  <c r="K160" i="2"/>
  <c r="K714" i="2"/>
  <c r="K168" i="2"/>
  <c r="K167" i="2" s="1"/>
  <c r="K1017" i="2"/>
  <c r="K1335" i="2"/>
  <c r="K78" i="2"/>
  <c r="K428" i="2"/>
  <c r="K659" i="2"/>
  <c r="K296" i="2"/>
  <c r="K8" i="2"/>
  <c r="K7" i="2"/>
  <c r="K438" i="2"/>
  <c r="K437" i="2" s="1"/>
  <c r="K144" i="2"/>
  <c r="K26" i="2"/>
  <c r="K25" i="2" s="1"/>
  <c r="K1136" i="2"/>
  <c r="K1273" i="2"/>
  <c r="K712" i="2"/>
  <c r="K682" i="2"/>
  <c r="K1272" i="2"/>
  <c r="K688" i="2"/>
  <c r="K442" i="2"/>
  <c r="K1012" i="2"/>
  <c r="K1011" i="2" s="1"/>
  <c r="K1275" i="2"/>
  <c r="K1108" i="2"/>
  <c r="K1109" i="2" s="1"/>
  <c r="K1146" i="2"/>
  <c r="K1147" i="2" s="1"/>
  <c r="K300" i="2"/>
  <c r="R68" i="10"/>
  <c r="L1084" i="2"/>
  <c r="M1083" i="2"/>
  <c r="M1082" i="2" s="1"/>
  <c r="J677" i="2"/>
  <c r="J671" i="2"/>
  <c r="J662" i="2" s="1"/>
  <c r="R113" i="10"/>
  <c r="K443" i="2"/>
  <c r="K19" i="2"/>
  <c r="K214" i="2"/>
  <c r="K1279" i="2"/>
  <c r="J726" i="2"/>
  <c r="J717" i="2" s="1"/>
  <c r="J729" i="2"/>
  <c r="Q86" i="1"/>
  <c r="H546" i="2"/>
  <c r="H30" i="2"/>
  <c r="I30" i="2" s="1"/>
  <c r="H29" i="2"/>
  <c r="H152" i="2"/>
  <c r="H165" i="2" s="1"/>
  <c r="G549" i="2"/>
  <c r="G551" i="2" s="1"/>
  <c r="G546" i="2"/>
  <c r="J542" i="2"/>
  <c r="H502" i="4"/>
  <c r="H440" i="4"/>
  <c r="H467" i="4"/>
  <c r="M48" i="1"/>
  <c r="M49" i="1"/>
  <c r="M292" i="4"/>
  <c r="M383" i="4"/>
  <c r="M341" i="4"/>
  <c r="M47" i="1"/>
  <c r="M57" i="2" s="1"/>
  <c r="M50" i="1"/>
  <c r="H142" i="4"/>
  <c r="G991" i="2"/>
  <c r="L184" i="2"/>
  <c r="L159" i="2"/>
  <c r="L211" i="2"/>
  <c r="K487" i="4"/>
  <c r="BD487" i="4" s="1"/>
  <c r="K460" i="4"/>
  <c r="BD460" i="4" s="1"/>
  <c r="K433" i="4"/>
  <c r="BD433" i="4" s="1"/>
  <c r="L130" i="1"/>
  <c r="M130" i="1"/>
  <c r="I130" i="1"/>
  <c r="G130" i="1"/>
  <c r="H131" i="1" s="1"/>
  <c r="J130" i="1"/>
  <c r="K130" i="1"/>
  <c r="H130" i="1"/>
  <c r="B271" i="4"/>
  <c r="K623" i="2"/>
  <c r="J624" i="2"/>
  <c r="I148" i="2"/>
  <c r="I146" i="2"/>
  <c r="K1092" i="2"/>
  <c r="L1091" i="2"/>
  <c r="L1090" i="2" s="1"/>
  <c r="L430" i="2"/>
  <c r="L441" i="2"/>
  <c r="J647" i="2"/>
  <c r="K65" i="10"/>
  <c r="J145" i="2"/>
  <c r="K143" i="2"/>
  <c r="J77" i="10"/>
  <c r="K135" i="10"/>
  <c r="K80" i="1"/>
  <c r="L81" i="1"/>
  <c r="L77" i="2"/>
  <c r="L16" i="2"/>
  <c r="L35" i="2"/>
  <c r="K1201" i="2"/>
  <c r="J1202" i="2"/>
  <c r="J197" i="4"/>
  <c r="K1178" i="2"/>
  <c r="I293" i="2"/>
  <c r="H547" i="2"/>
  <c r="K1150" i="2"/>
  <c r="J1151" i="2"/>
  <c r="BD137" i="4"/>
  <c r="L290" i="2"/>
  <c r="L299" i="2"/>
  <c r="K287" i="2"/>
  <c r="J289" i="2"/>
  <c r="BD1293" i="2"/>
  <c r="K136" i="10"/>
  <c r="J188" i="4"/>
  <c r="K185" i="2"/>
  <c r="H412" i="2"/>
  <c r="G963" i="2"/>
  <c r="M1063" i="2"/>
  <c r="M1062" i="2" s="1"/>
  <c r="L1061" i="2"/>
  <c r="K212" i="2"/>
  <c r="K1037" i="2"/>
  <c r="J1038" i="2"/>
  <c r="J337" i="2" l="1"/>
  <c r="I63" i="2"/>
  <c r="I64" i="2" s="1"/>
  <c r="K345" i="2"/>
  <c r="J367" i="2"/>
  <c r="J350" i="2"/>
  <c r="J351" i="2" s="1"/>
  <c r="J39" i="4" s="1"/>
  <c r="J328" i="2"/>
  <c r="G10" i="4"/>
  <c r="G9" i="4"/>
  <c r="I395" i="2"/>
  <c r="I341" i="2"/>
  <c r="I342" i="2" s="1"/>
  <c r="I38" i="4" s="1"/>
  <c r="J508" i="2"/>
  <c r="J56" i="4"/>
  <c r="K503" i="2"/>
  <c r="H971" i="2"/>
  <c r="G103" i="2"/>
  <c r="G104" i="2" s="1"/>
  <c r="L506" i="2"/>
  <c r="L505" i="2"/>
  <c r="L501" i="2"/>
  <c r="L502" i="2"/>
  <c r="J498" i="2"/>
  <c r="J55" i="4"/>
  <c r="K493" i="2"/>
  <c r="L492" i="2"/>
  <c r="L496" i="2"/>
  <c r="L491" i="2"/>
  <c r="L495" i="2"/>
  <c r="G194" i="2"/>
  <c r="G123" i="2"/>
  <c r="G124" i="2" s="1"/>
  <c r="K411" i="2"/>
  <c r="J648" i="2"/>
  <c r="I387" i="2"/>
  <c r="K336" i="2"/>
  <c r="K337" i="2" s="1"/>
  <c r="K341" i="2" s="1"/>
  <c r="K342" i="2" s="1"/>
  <c r="K38" i="4" s="1"/>
  <c r="H34" i="4"/>
  <c r="H32" i="4" s="1"/>
  <c r="I351" i="2"/>
  <c r="I39" i="4" s="1"/>
  <c r="J697" i="2"/>
  <c r="K346" i="2"/>
  <c r="L348" i="2"/>
  <c r="L344" i="2"/>
  <c r="K648" i="2"/>
  <c r="K327" i="2"/>
  <c r="K328" i="2" s="1"/>
  <c r="L339" i="2"/>
  <c r="L335" i="2"/>
  <c r="I816" i="2"/>
  <c r="I314" i="2"/>
  <c r="L326" i="2"/>
  <c r="L330" i="2"/>
  <c r="J379" i="2"/>
  <c r="I362" i="2"/>
  <c r="H80" i="4"/>
  <c r="E301" i="7" s="1"/>
  <c r="H84" i="4"/>
  <c r="E305" i="7" s="1"/>
  <c r="G128" i="2"/>
  <c r="G83" i="2"/>
  <c r="G84" i="2" s="1"/>
  <c r="G72" i="2" s="1"/>
  <c r="G19" i="4"/>
  <c r="G18" i="4" s="1"/>
  <c r="G8" i="4"/>
  <c r="K107" i="2"/>
  <c r="K87" i="2"/>
  <c r="J87" i="2"/>
  <c r="J107" i="2"/>
  <c r="H51" i="2"/>
  <c r="H129" i="2"/>
  <c r="I128" i="2"/>
  <c r="I471" i="2" s="1"/>
  <c r="H130" i="2"/>
  <c r="H1291" i="2" s="1"/>
  <c r="H485" i="4" s="1"/>
  <c r="J721" i="2"/>
  <c r="J742" i="2"/>
  <c r="J944" i="2" s="1"/>
  <c r="K1220" i="2"/>
  <c r="K1221" i="2" s="1"/>
  <c r="I875" i="2"/>
  <c r="H517" i="2"/>
  <c r="H473" i="2"/>
  <c r="H527" i="2" s="1"/>
  <c r="J67" i="2"/>
  <c r="K67" i="2"/>
  <c r="K195" i="2" s="1"/>
  <c r="K194" i="2" s="1"/>
  <c r="H6" i="4"/>
  <c r="H93" i="4" s="1"/>
  <c r="J743" i="2"/>
  <c r="J945" i="2" s="1"/>
  <c r="J722" i="2"/>
  <c r="H956" i="2"/>
  <c r="J649" i="2"/>
  <c r="J319" i="2"/>
  <c r="J323" i="2" s="1"/>
  <c r="J324" i="2" s="1"/>
  <c r="J36" i="4" s="1"/>
  <c r="K27" i="2"/>
  <c r="K28" i="2" s="1"/>
  <c r="K41" i="2" s="1"/>
  <c r="K42" i="2" s="1"/>
  <c r="J841" i="2"/>
  <c r="J905" i="2"/>
  <c r="J666" i="2"/>
  <c r="J904" i="2"/>
  <c r="J790" i="2"/>
  <c r="J932" i="2"/>
  <c r="J980" i="2" s="1"/>
  <c r="K932" i="2"/>
  <c r="K980" i="2" s="1"/>
  <c r="I116" i="10"/>
  <c r="H1107" i="2"/>
  <c r="I1033" i="2"/>
  <c r="J1029" i="2" s="1"/>
  <c r="I1119" i="2"/>
  <c r="J1118" i="2" s="1"/>
  <c r="I955" i="2"/>
  <c r="I34" i="1"/>
  <c r="I14" i="4" s="1"/>
  <c r="J874" i="2"/>
  <c r="I54" i="4"/>
  <c r="J696" i="2"/>
  <c r="N235" i="2"/>
  <c r="N259" i="2"/>
  <c r="N311" i="2"/>
  <c r="N368" i="2"/>
  <c r="N359" i="2"/>
  <c r="N320" i="2"/>
  <c r="N380" i="2"/>
  <c r="I962" i="2"/>
  <c r="J27" i="1"/>
  <c r="K26" i="1"/>
  <c r="J29" i="1"/>
  <c r="J28" i="1"/>
  <c r="G742" i="2"/>
  <c r="G741" i="2"/>
  <c r="K744" i="2" s="1"/>
  <c r="K946" i="2" s="1"/>
  <c r="H743" i="2"/>
  <c r="H945" i="2" s="1"/>
  <c r="G743" i="2"/>
  <c r="G945" i="2" s="1"/>
  <c r="H742" i="2"/>
  <c r="I742" i="2"/>
  <c r="I944" i="2" s="1"/>
  <c r="I743" i="2"/>
  <c r="I945" i="2" s="1"/>
  <c r="I220" i="4"/>
  <c r="J219" i="4"/>
  <c r="G904" i="2"/>
  <c r="H904" i="2"/>
  <c r="G902" i="2"/>
  <c r="G905" i="2"/>
  <c r="H905" i="2"/>
  <c r="I905" i="2"/>
  <c r="N464" i="2"/>
  <c r="N454" i="2"/>
  <c r="N474" i="2"/>
  <c r="N484" i="2"/>
  <c r="N520" i="2"/>
  <c r="J667" i="2"/>
  <c r="I933" i="2"/>
  <c r="I981" i="2" s="1"/>
  <c r="J763" i="2"/>
  <c r="J789" i="2"/>
  <c r="J842" i="2"/>
  <c r="G816" i="2"/>
  <c r="G814" i="2"/>
  <c r="G815" i="2"/>
  <c r="H815" i="2"/>
  <c r="J815" i="2"/>
  <c r="I815" i="2"/>
  <c r="H816" i="2"/>
  <c r="G666" i="2"/>
  <c r="H667" i="2"/>
  <c r="H666" i="2"/>
  <c r="G665" i="2"/>
  <c r="G667" i="2"/>
  <c r="I666" i="2"/>
  <c r="I667" i="2"/>
  <c r="H91" i="4"/>
  <c r="H284" i="2"/>
  <c r="H1" i="4"/>
  <c r="H1" i="10"/>
  <c r="H4" i="4"/>
  <c r="H269" i="4"/>
  <c r="H69" i="4"/>
  <c r="H1142" i="2"/>
  <c r="H102" i="10"/>
  <c r="H423" i="2"/>
  <c r="H124" i="4"/>
  <c r="H14" i="4"/>
  <c r="H68" i="1"/>
  <c r="H366" i="4"/>
  <c r="H1189" i="2"/>
  <c r="H317" i="4"/>
  <c r="H1" i="2"/>
  <c r="H1" i="5"/>
  <c r="H14" i="1"/>
  <c r="H233" i="4"/>
  <c r="H38" i="1"/>
  <c r="H638" i="2"/>
  <c r="H408" i="4"/>
  <c r="H113" i="1"/>
  <c r="H205" i="4"/>
  <c r="H1096" i="2"/>
  <c r="H140" i="2"/>
  <c r="H4" i="5"/>
  <c r="H1168" i="2"/>
  <c r="H4" i="2"/>
  <c r="H1000" i="2"/>
  <c r="H25" i="4"/>
  <c r="H1269" i="2"/>
  <c r="H1" i="1"/>
  <c r="H1056" i="2"/>
  <c r="H570" i="2"/>
  <c r="H90" i="10"/>
  <c r="H55" i="10"/>
  <c r="H159" i="4"/>
  <c r="G696" i="2"/>
  <c r="G694" i="2"/>
  <c r="G697" i="2"/>
  <c r="H696" i="2"/>
  <c r="I697" i="2"/>
  <c r="I696" i="2"/>
  <c r="H697" i="2"/>
  <c r="H110" i="10"/>
  <c r="H108" i="10" s="1"/>
  <c r="I105" i="10" s="1"/>
  <c r="I649" i="2"/>
  <c r="I647" i="2"/>
  <c r="G764" i="2"/>
  <c r="G762" i="2"/>
  <c r="G763" i="2"/>
  <c r="H763" i="2"/>
  <c r="I763" i="2"/>
  <c r="H764" i="2"/>
  <c r="H1014" i="2"/>
  <c r="I1013" i="2"/>
  <c r="G788" i="2"/>
  <c r="H789" i="2"/>
  <c r="G789" i="2"/>
  <c r="H790" i="2"/>
  <c r="G790" i="2"/>
  <c r="I789" i="2"/>
  <c r="I790" i="2"/>
  <c r="M235" i="2"/>
  <c r="M259" i="2"/>
  <c r="K666" i="2"/>
  <c r="K904" i="2"/>
  <c r="J764" i="2"/>
  <c r="G647" i="2"/>
  <c r="H649" i="2"/>
  <c r="G648" i="2"/>
  <c r="H648" i="2"/>
  <c r="G649" i="2"/>
  <c r="I648" i="2"/>
  <c r="H672" i="2"/>
  <c r="H841" i="2"/>
  <c r="I841" i="2"/>
  <c r="G842" i="2"/>
  <c r="G840" i="2"/>
  <c r="G841" i="2"/>
  <c r="H842" i="2"/>
  <c r="H1219" i="2"/>
  <c r="H1217" i="2" s="1"/>
  <c r="M474" i="2"/>
  <c r="M520" i="2"/>
  <c r="M484" i="2"/>
  <c r="M464" i="2"/>
  <c r="M454" i="2"/>
  <c r="M311" i="2"/>
  <c r="M368" i="2"/>
  <c r="M359" i="2"/>
  <c r="M320" i="2"/>
  <c r="M380" i="2"/>
  <c r="G618" i="2"/>
  <c r="G619" i="2" s="1"/>
  <c r="I764" i="2"/>
  <c r="I842" i="2"/>
  <c r="I904" i="2"/>
  <c r="I902" i="2"/>
  <c r="I910" i="2" s="1"/>
  <c r="I971" i="2" s="1"/>
  <c r="G875" i="2"/>
  <c r="G872" i="2"/>
  <c r="G874" i="2"/>
  <c r="H874" i="2"/>
  <c r="H966" i="2" s="1"/>
  <c r="I874" i="2"/>
  <c r="H875" i="2"/>
  <c r="G932" i="2"/>
  <c r="G980" i="2" s="1"/>
  <c r="H932" i="2"/>
  <c r="H980" i="2" s="1"/>
  <c r="G931" i="2"/>
  <c r="G933" i="2"/>
  <c r="G981" i="2" s="1"/>
  <c r="I932" i="2"/>
  <c r="I980" i="2" s="1"/>
  <c r="H933" i="2"/>
  <c r="H981" i="2" s="1"/>
  <c r="G720" i="2"/>
  <c r="G722" i="2"/>
  <c r="G721" i="2"/>
  <c r="H722" i="2"/>
  <c r="H721" i="2"/>
  <c r="I722" i="2"/>
  <c r="I721" i="2"/>
  <c r="I956" i="2"/>
  <c r="L834" i="2"/>
  <c r="L831" i="2"/>
  <c r="I837" i="2"/>
  <c r="I78" i="4" s="1"/>
  <c r="F299" i="7" s="1"/>
  <c r="J847" i="2"/>
  <c r="K847" i="2"/>
  <c r="K852" i="2"/>
  <c r="K846" i="2"/>
  <c r="K837" i="2" s="1"/>
  <c r="K78" i="4" s="1"/>
  <c r="H299" i="7" s="1"/>
  <c r="K842" i="2"/>
  <c r="K841" i="2"/>
  <c r="J826" i="2"/>
  <c r="J962" i="2" s="1"/>
  <c r="J816" i="2"/>
  <c r="J820" i="2"/>
  <c r="J811" i="2" s="1"/>
  <c r="J77" i="4" s="1"/>
  <c r="G298" i="7" s="1"/>
  <c r="K814" i="2"/>
  <c r="K815" i="2"/>
  <c r="L805" i="2"/>
  <c r="J759" i="2"/>
  <c r="J75" i="4" s="1"/>
  <c r="G296" i="7" s="1"/>
  <c r="K808" i="2"/>
  <c r="L808" i="2" s="1"/>
  <c r="I759" i="2"/>
  <c r="I75" i="4" s="1"/>
  <c r="F296" i="7" s="1"/>
  <c r="J821" i="2"/>
  <c r="K789" i="2"/>
  <c r="H949" i="2"/>
  <c r="H138" i="4" s="1"/>
  <c r="L782" i="2"/>
  <c r="L779" i="2"/>
  <c r="L789" i="2" s="1"/>
  <c r="J795" i="2"/>
  <c r="J785" i="2"/>
  <c r="J76" i="4" s="1"/>
  <c r="G297" i="7" s="1"/>
  <c r="K795" i="2"/>
  <c r="K763" i="2"/>
  <c r="K800" i="2"/>
  <c r="K790" i="2"/>
  <c r="K794" i="2"/>
  <c r="K769" i="2"/>
  <c r="L48" i="2"/>
  <c r="L47" i="2" s="1"/>
  <c r="L756" i="2"/>
  <c r="L753" i="2"/>
  <c r="K774" i="2"/>
  <c r="K764" i="2"/>
  <c r="K768" i="2"/>
  <c r="J769" i="2"/>
  <c r="I963" i="2"/>
  <c r="I139" i="4" s="1"/>
  <c r="K169" i="2"/>
  <c r="K170" i="2" s="1"/>
  <c r="K49" i="2"/>
  <c r="J50" i="2"/>
  <c r="H74" i="4"/>
  <c r="E295" i="7" s="1"/>
  <c r="B71" i="4"/>
  <c r="G51" i="2"/>
  <c r="L61" i="2"/>
  <c r="L58" i="2"/>
  <c r="G52" i="2"/>
  <c r="G190" i="2"/>
  <c r="G179" i="2" s="1"/>
  <c r="G192" i="4"/>
  <c r="G208" i="4" s="1"/>
  <c r="I10" i="4"/>
  <c r="I323" i="2"/>
  <c r="I324" i="2" s="1"/>
  <c r="I36" i="4" s="1"/>
  <c r="G87" i="4"/>
  <c r="I9" i="4"/>
  <c r="J358" i="2"/>
  <c r="G41" i="4"/>
  <c r="J310" i="2"/>
  <c r="H100" i="4"/>
  <c r="G45" i="4"/>
  <c r="K297" i="2"/>
  <c r="K298" i="2" s="1"/>
  <c r="G34" i="4"/>
  <c r="H1232" i="2"/>
  <c r="H130" i="4"/>
  <c r="I1234" i="2"/>
  <c r="L1235" i="2"/>
  <c r="L1243" i="2"/>
  <c r="L1257" i="2" s="1"/>
  <c r="L1242" i="2"/>
  <c r="L1258" i="2" s="1"/>
  <c r="G153" i="2"/>
  <c r="G164" i="2"/>
  <c r="H190" i="2"/>
  <c r="G181" i="2" s="1"/>
  <c r="J933" i="2"/>
  <c r="J981" i="2" s="1"/>
  <c r="J940" i="2"/>
  <c r="J988" i="2" s="1"/>
  <c r="K742" i="2"/>
  <c r="K944" i="2" s="1"/>
  <c r="L737" i="2"/>
  <c r="L741" i="2" s="1"/>
  <c r="L744" i="2" s="1"/>
  <c r="L946" i="2" s="1"/>
  <c r="K743" i="2"/>
  <c r="K945" i="2" s="1"/>
  <c r="J937" i="2"/>
  <c r="J984" i="2" s="1"/>
  <c r="J978" i="2" s="1"/>
  <c r="J140" i="4" s="1"/>
  <c r="K915" i="2"/>
  <c r="K909" i="2"/>
  <c r="K899" i="2" s="1"/>
  <c r="K82" i="4" s="1"/>
  <c r="H303" i="7" s="1"/>
  <c r="K902" i="2"/>
  <c r="K905" i="2"/>
  <c r="J910" i="2"/>
  <c r="L896" i="2"/>
  <c r="L890" i="2"/>
  <c r="J899" i="2"/>
  <c r="J82" i="4" s="1"/>
  <c r="G303" i="7" s="1"/>
  <c r="I928" i="2"/>
  <c r="I85" i="4" s="1"/>
  <c r="F306" i="7" s="1"/>
  <c r="I984" i="2"/>
  <c r="I978" i="2" s="1"/>
  <c r="I140" i="4" s="1"/>
  <c r="L925" i="2"/>
  <c r="L923" i="2"/>
  <c r="J938" i="2"/>
  <c r="J985" i="2" s="1"/>
  <c r="K931" i="2"/>
  <c r="K938" i="2" s="1"/>
  <c r="K985" i="2" s="1"/>
  <c r="K940" i="2"/>
  <c r="K988" i="2" s="1"/>
  <c r="K933" i="2"/>
  <c r="K981" i="2" s="1"/>
  <c r="K937" i="2"/>
  <c r="L860" i="2"/>
  <c r="L874" i="2" s="1"/>
  <c r="J885" i="2"/>
  <c r="J977" i="2" s="1"/>
  <c r="J879" i="2"/>
  <c r="J970" i="2" s="1"/>
  <c r="K872" i="2"/>
  <c r="K874" i="2"/>
  <c r="K966" i="2" s="1"/>
  <c r="J880" i="2"/>
  <c r="K866" i="2"/>
  <c r="J875" i="2"/>
  <c r="I869" i="2"/>
  <c r="I81" i="4" s="1"/>
  <c r="F302" i="7" s="1"/>
  <c r="K1120" i="2"/>
  <c r="K1121" i="2" s="1"/>
  <c r="G199" i="4"/>
  <c r="H199" i="4" s="1"/>
  <c r="I199" i="4" s="1"/>
  <c r="J199" i="4" s="1"/>
  <c r="K199" i="4" s="1"/>
  <c r="L199" i="4" s="1"/>
  <c r="H219" i="2"/>
  <c r="H221" i="2" s="1"/>
  <c r="H243" i="2"/>
  <c r="L260" i="2"/>
  <c r="L262" i="2"/>
  <c r="L244" i="2"/>
  <c r="H198" i="2"/>
  <c r="L238" i="2"/>
  <c r="L220" i="2"/>
  <c r="L236" i="2"/>
  <c r="J488" i="2"/>
  <c r="L485" i="2"/>
  <c r="L486" i="2"/>
  <c r="L482" i="2"/>
  <c r="L475" i="2"/>
  <c r="L476" i="2"/>
  <c r="L472" i="2"/>
  <c r="L465" i="2"/>
  <c r="L466" i="2"/>
  <c r="L462" i="2"/>
  <c r="K463" i="2"/>
  <c r="J468" i="2"/>
  <c r="L521" i="2"/>
  <c r="L522" i="2"/>
  <c r="L518" i="2"/>
  <c r="J458" i="2"/>
  <c r="J51" i="4"/>
  <c r="K453" i="2"/>
  <c r="L455" i="2"/>
  <c r="L451" i="2"/>
  <c r="L456" i="2"/>
  <c r="L452" i="2"/>
  <c r="K309" i="2"/>
  <c r="I384" i="2"/>
  <c r="I46" i="4" s="1"/>
  <c r="I45" i="4" s="1"/>
  <c r="K318" i="2"/>
  <c r="K319" i="2" s="1"/>
  <c r="I123" i="2"/>
  <c r="I124" i="2" s="1"/>
  <c r="H72" i="2"/>
  <c r="H111" i="2"/>
  <c r="K378" i="2"/>
  <c r="G457" i="4"/>
  <c r="J1199" i="2"/>
  <c r="G413" i="2"/>
  <c r="G416" i="2" s="1"/>
  <c r="G389" i="2"/>
  <c r="H389" i="2" s="1"/>
  <c r="I389" i="2" s="1"/>
  <c r="J389" i="2" s="1"/>
  <c r="K389" i="2" s="1"/>
  <c r="L389" i="2" s="1"/>
  <c r="G391" i="2"/>
  <c r="H391" i="2" s="1"/>
  <c r="I391" i="2" s="1"/>
  <c r="J391" i="2" s="1"/>
  <c r="K391" i="2" s="1"/>
  <c r="L391" i="2" s="1"/>
  <c r="G430" i="4"/>
  <c r="I196" i="2"/>
  <c r="G418" i="2"/>
  <c r="G484" i="4"/>
  <c r="G128" i="4"/>
  <c r="G394" i="2"/>
  <c r="L321" i="2"/>
  <c r="L317" i="2"/>
  <c r="K366" i="2"/>
  <c r="I103" i="2"/>
  <c r="I104" i="2" s="1"/>
  <c r="L312" i="2"/>
  <c r="L308" i="2"/>
  <c r="G407" i="2"/>
  <c r="H407" i="2" s="1"/>
  <c r="I407" i="2" s="1"/>
  <c r="J407" i="2" s="1"/>
  <c r="K407" i="2" s="1"/>
  <c r="L407" i="2" s="1"/>
  <c r="G405" i="2"/>
  <c r="H405" i="2" s="1"/>
  <c r="J629" i="2"/>
  <c r="L381" i="2"/>
  <c r="L377" i="2"/>
  <c r="L369" i="2"/>
  <c r="L365" i="2"/>
  <c r="K357" i="2"/>
  <c r="H91" i="2"/>
  <c r="L360" i="2"/>
  <c r="L356" i="2"/>
  <c r="H200" i="2"/>
  <c r="I83" i="2"/>
  <c r="I84" i="2" s="1"/>
  <c r="G200" i="2"/>
  <c r="G198" i="2"/>
  <c r="G202" i="2"/>
  <c r="H1117" i="2"/>
  <c r="L443" i="2"/>
  <c r="L544" i="2"/>
  <c r="K69" i="2"/>
  <c r="K439" i="2"/>
  <c r="K440" i="2" s="1"/>
  <c r="K445" i="2" s="1"/>
  <c r="L431" i="2"/>
  <c r="N117" i="2"/>
  <c r="N97" i="2"/>
  <c r="L7" i="2"/>
  <c r="L140" i="1"/>
  <c r="M57" i="10"/>
  <c r="M62" i="10"/>
  <c r="M117" i="2"/>
  <c r="M97" i="2"/>
  <c r="L146" i="1"/>
  <c r="L432" i="2"/>
  <c r="L175" i="2"/>
  <c r="L656" i="2"/>
  <c r="L1032" i="2"/>
  <c r="L1031" i="2" s="1"/>
  <c r="K89" i="2"/>
  <c r="L321" i="4"/>
  <c r="I539" i="2"/>
  <c r="L1275" i="2"/>
  <c r="L1335" i="2"/>
  <c r="J22" i="2"/>
  <c r="J10" i="2" s="1"/>
  <c r="K109" i="2"/>
  <c r="H549" i="2"/>
  <c r="H551" i="2" s="1"/>
  <c r="I547" i="2"/>
  <c r="L162" i="2"/>
  <c r="L121" i="2"/>
  <c r="L118" i="2"/>
  <c r="L108" i="2"/>
  <c r="K9" i="2"/>
  <c r="K21" i="2" s="1"/>
  <c r="L1278" i="2"/>
  <c r="L178" i="4"/>
  <c r="K649" i="2"/>
  <c r="L150" i="2"/>
  <c r="L39" i="2"/>
  <c r="L291" i="2"/>
  <c r="L101" i="2"/>
  <c r="L98" i="2"/>
  <c r="L88" i="2"/>
  <c r="L442" i="2"/>
  <c r="L19" i="2"/>
  <c r="L187" i="2"/>
  <c r="L643" i="2"/>
  <c r="L1279" i="2"/>
  <c r="L300" i="2"/>
  <c r="L1208" i="2"/>
  <c r="L214" i="2"/>
  <c r="L81" i="2"/>
  <c r="I152" i="2"/>
  <c r="I164" i="2" s="1"/>
  <c r="I190" i="2"/>
  <c r="I179" i="2" s="1"/>
  <c r="K1028" i="2"/>
  <c r="J1039" i="2"/>
  <c r="K1026" i="2"/>
  <c r="L1028" i="2" s="1"/>
  <c r="N35" i="2"/>
  <c r="N16" i="2"/>
  <c r="N77" i="2"/>
  <c r="K696" i="2"/>
  <c r="I1039" i="2"/>
  <c r="J1028" i="2"/>
  <c r="T82" i="10"/>
  <c r="L370" i="4"/>
  <c r="L59" i="1"/>
  <c r="L123" i="1"/>
  <c r="L120" i="1"/>
  <c r="L44" i="1"/>
  <c r="L45" i="1"/>
  <c r="K697" i="2"/>
  <c r="I131" i="1"/>
  <c r="J131" i="1" s="1"/>
  <c r="K131" i="1" s="1"/>
  <c r="L131" i="1" s="1"/>
  <c r="R86" i="1"/>
  <c r="L412" i="4"/>
  <c r="S106" i="10"/>
  <c r="K1274" i="2"/>
  <c r="K1276" i="2" s="1"/>
  <c r="I440" i="4"/>
  <c r="I467" i="4"/>
  <c r="I502" i="4"/>
  <c r="L93" i="10"/>
  <c r="K168" i="4"/>
  <c r="L169" i="4"/>
  <c r="L347" i="4"/>
  <c r="L389" i="4"/>
  <c r="L298" i="4"/>
  <c r="L194" i="4"/>
  <c r="L189" i="4"/>
  <c r="L332" i="4"/>
  <c r="L283" i="4"/>
  <c r="L342" i="4"/>
  <c r="L293" i="4"/>
  <c r="L384" i="4"/>
  <c r="J702" i="2"/>
  <c r="N1083" i="2"/>
  <c r="N1082" i="2" s="1"/>
  <c r="M1084" i="2"/>
  <c r="J41" i="2"/>
  <c r="J42" i="2" s="1"/>
  <c r="O383" i="4"/>
  <c r="O341" i="4"/>
  <c r="O292" i="4"/>
  <c r="O47" i="1"/>
  <c r="O57" i="2" s="1"/>
  <c r="O49" i="1"/>
  <c r="O48" i="1"/>
  <c r="O50" i="1"/>
  <c r="P43" i="1"/>
  <c r="L97" i="10"/>
  <c r="L133" i="10"/>
  <c r="L70" i="10"/>
  <c r="L71" i="10" s="1"/>
  <c r="L72" i="10" s="1"/>
  <c r="S75" i="10"/>
  <c r="L682" i="2"/>
  <c r="L696" i="2" s="1"/>
  <c r="K694" i="2"/>
  <c r="J303" i="2"/>
  <c r="S68" i="10"/>
  <c r="J546" i="2"/>
  <c r="R61" i="1"/>
  <c r="S60" i="1"/>
  <c r="M87" i="1"/>
  <c r="L91" i="1"/>
  <c r="N159" i="2"/>
  <c r="N211" i="2"/>
  <c r="N184" i="2"/>
  <c r="K647" i="2"/>
  <c r="K1280" i="2"/>
  <c r="K1282" i="2" s="1"/>
  <c r="BB272" i="4"/>
  <c r="AZ272" i="4"/>
  <c r="AX272" i="4"/>
  <c r="BA272" i="4"/>
  <c r="AV272" i="4"/>
  <c r="AT272" i="4"/>
  <c r="AS272" i="4"/>
  <c r="AQ272" i="4"/>
  <c r="AO272" i="4"/>
  <c r="AM272" i="4"/>
  <c r="AK272" i="4"/>
  <c r="AI272" i="4"/>
  <c r="AG272" i="4"/>
  <c r="AE272" i="4"/>
  <c r="AW272" i="4"/>
  <c r="AL272" i="4"/>
  <c r="AU272" i="4"/>
  <c r="AA272" i="4"/>
  <c r="Y272" i="4"/>
  <c r="W272" i="4"/>
  <c r="U272" i="4"/>
  <c r="S272" i="4"/>
  <c r="AP272" i="4"/>
  <c r="AF272" i="4"/>
  <c r="AD272" i="4"/>
  <c r="AB272" i="4"/>
  <c r="V272" i="4"/>
  <c r="R272" i="4"/>
  <c r="P272" i="4"/>
  <c r="N272" i="4"/>
  <c r="AY272" i="4"/>
  <c r="AH272" i="4"/>
  <c r="X272" i="4"/>
  <c r="AC272" i="4"/>
  <c r="T272" i="4"/>
  <c r="AR272" i="4"/>
  <c r="AJ272" i="4"/>
  <c r="AN272" i="4"/>
  <c r="Z272" i="4"/>
  <c r="Q272" i="4"/>
  <c r="O272" i="4"/>
  <c r="S113" i="10"/>
  <c r="J503" i="4"/>
  <c r="K720" i="2"/>
  <c r="K722" i="2"/>
  <c r="K721" i="2"/>
  <c r="K677" i="2"/>
  <c r="K671" i="2"/>
  <c r="K662" i="2" s="1"/>
  <c r="L427" i="2"/>
  <c r="K429" i="2"/>
  <c r="K434" i="2" s="1"/>
  <c r="J173" i="2"/>
  <c r="J171" i="2"/>
  <c r="R55" i="1"/>
  <c r="S54" i="1"/>
  <c r="L53" i="1"/>
  <c r="N290" i="2"/>
  <c r="N299" i="2"/>
  <c r="J727" i="2"/>
  <c r="N25" i="1"/>
  <c r="M2" i="1"/>
  <c r="M2" i="2"/>
  <c r="M2" i="10"/>
  <c r="M2" i="5"/>
  <c r="M2" i="4"/>
  <c r="M1061" i="2"/>
  <c r="N1063" i="2"/>
  <c r="N1062" i="2" s="1"/>
  <c r="K707" i="2"/>
  <c r="K701" i="2"/>
  <c r="K691" i="2" s="1"/>
  <c r="K726" i="2"/>
  <c r="K717" i="2" s="1"/>
  <c r="K729" i="2"/>
  <c r="L1281" i="2"/>
  <c r="N430" i="2"/>
  <c r="N441" i="2"/>
  <c r="K665" i="2"/>
  <c r="K667" i="2"/>
  <c r="L8" i="2"/>
  <c r="L438" i="2"/>
  <c r="L437" i="2" s="1"/>
  <c r="L659" i="2"/>
  <c r="L160" i="2"/>
  <c r="L428" i="2"/>
  <c r="L78" i="2"/>
  <c r="L168" i="2"/>
  <c r="L167" i="2" s="1"/>
  <c r="L26" i="2"/>
  <c r="L25" i="2" s="1"/>
  <c r="L296" i="2"/>
  <c r="L1273" i="2"/>
  <c r="L1017" i="2"/>
  <c r="L17" i="2"/>
  <c r="L714" i="2"/>
  <c r="L288" i="2"/>
  <c r="L144" i="2"/>
  <c r="L1136" i="2"/>
  <c r="L712" i="2"/>
  <c r="L628" i="2"/>
  <c r="L629" i="2" s="1"/>
  <c r="L1209" i="2"/>
  <c r="L688" i="2"/>
  <c r="L1272" i="2"/>
  <c r="L1012" i="2"/>
  <c r="L1011" i="2" s="1"/>
  <c r="L1146" i="2"/>
  <c r="L1147" i="2" s="1"/>
  <c r="L1108" i="2"/>
  <c r="L1109" i="2" s="1"/>
  <c r="L36" i="2"/>
  <c r="H164" i="2"/>
  <c r="K542" i="2"/>
  <c r="L136" i="10"/>
  <c r="K188" i="4"/>
  <c r="J293" i="2"/>
  <c r="J294" i="2" s="1"/>
  <c r="I294" i="2"/>
  <c r="L287" i="2"/>
  <c r="K289" i="2"/>
  <c r="L1037" i="2"/>
  <c r="K1038" i="2"/>
  <c r="G1305" i="2"/>
  <c r="M430" i="2"/>
  <c r="M441" i="2"/>
  <c r="M211" i="2"/>
  <c r="M159" i="2"/>
  <c r="M184" i="2"/>
  <c r="L84" i="10"/>
  <c r="G156" i="2"/>
  <c r="G158" i="2" s="1"/>
  <c r="L1178" i="2"/>
  <c r="K197" i="4"/>
  <c r="J272" i="4"/>
  <c r="M272" i="4"/>
  <c r="H272" i="4"/>
  <c r="H273" i="4" s="1"/>
  <c r="L272" i="4"/>
  <c r="K272" i="4"/>
  <c r="I272" i="4"/>
  <c r="G272" i="4"/>
  <c r="H410" i="2"/>
  <c r="H140" i="4"/>
  <c r="K1151" i="2"/>
  <c r="L1150" i="2"/>
  <c r="M290" i="2"/>
  <c r="M299" i="2"/>
  <c r="H154" i="2"/>
  <c r="L143" i="2"/>
  <c r="K145" i="2"/>
  <c r="M81" i="1"/>
  <c r="N81" i="1" s="1"/>
  <c r="L80" i="1"/>
  <c r="J146" i="2"/>
  <c r="J148" i="2"/>
  <c r="K624" i="2"/>
  <c r="L623" i="2"/>
  <c r="L65" i="10"/>
  <c r="G139" i="4"/>
  <c r="G990" i="2"/>
  <c r="H413" i="2"/>
  <c r="J78" i="10"/>
  <c r="M1091" i="2"/>
  <c r="M1090" i="2" s="1"/>
  <c r="L1092" i="2"/>
  <c r="M35" i="2"/>
  <c r="M77" i="2"/>
  <c r="M16" i="2"/>
  <c r="L185" i="2"/>
  <c r="K1202" i="2"/>
  <c r="L1201" i="2"/>
  <c r="L135" i="10"/>
  <c r="H484" i="4"/>
  <c r="H430" i="4"/>
  <c r="H457" i="4"/>
  <c r="H414" i="2"/>
  <c r="H617" i="2" s="1"/>
  <c r="L212" i="2"/>
  <c r="H153" i="2"/>
  <c r="L345" i="2" l="1"/>
  <c r="L346" i="2" s="1"/>
  <c r="J395" i="2"/>
  <c r="J371" i="2"/>
  <c r="J372" i="2" s="1"/>
  <c r="J43" i="4" s="1"/>
  <c r="J341" i="2"/>
  <c r="J342" i="2" s="1"/>
  <c r="J38" i="4" s="1"/>
  <c r="D308" i="7"/>
  <c r="G967" i="2"/>
  <c r="H1307" i="2"/>
  <c r="I967" i="2"/>
  <c r="G91" i="2"/>
  <c r="G111" i="2"/>
  <c r="J332" i="2"/>
  <c r="J333" i="2" s="1"/>
  <c r="J37" i="4" s="1"/>
  <c r="J383" i="2"/>
  <c r="J404" i="2" s="1"/>
  <c r="G471" i="2"/>
  <c r="G473" i="2" s="1"/>
  <c r="G527" i="2" s="1"/>
  <c r="G92" i="2"/>
  <c r="H92" i="2" s="1"/>
  <c r="K508" i="2"/>
  <c r="K56" i="4"/>
  <c r="G112" i="2"/>
  <c r="H112" i="2" s="1"/>
  <c r="M502" i="2"/>
  <c r="M506" i="2"/>
  <c r="M505" i="2"/>
  <c r="M501" i="2"/>
  <c r="L503" i="2"/>
  <c r="L56" i="4" s="1"/>
  <c r="H967" i="2"/>
  <c r="L1220" i="2"/>
  <c r="L1221" i="2" s="1"/>
  <c r="J967" i="2"/>
  <c r="G966" i="2"/>
  <c r="L493" i="2"/>
  <c r="L55" i="4" s="1"/>
  <c r="K498" i="2"/>
  <c r="K55" i="4"/>
  <c r="J966" i="2"/>
  <c r="I966" i="2"/>
  <c r="J650" i="2"/>
  <c r="M495" i="2"/>
  <c r="M492" i="2"/>
  <c r="M496" i="2"/>
  <c r="M491" i="2"/>
  <c r="J971" i="2"/>
  <c r="L336" i="2"/>
  <c r="J90" i="2"/>
  <c r="J110" i="2"/>
  <c r="J70" i="2"/>
  <c r="J387" i="2"/>
  <c r="H96" i="4"/>
  <c r="L411" i="2"/>
  <c r="I363" i="2"/>
  <c r="I42" i="4" s="1"/>
  <c r="I396" i="2"/>
  <c r="I394" i="2" s="1"/>
  <c r="I315" i="2"/>
  <c r="I35" i="4" s="1"/>
  <c r="I388" i="2"/>
  <c r="I386" i="2" s="1"/>
  <c r="K650" i="2"/>
  <c r="L327" i="2"/>
  <c r="L328" i="2" s="1"/>
  <c r="K350" i="2"/>
  <c r="K351" i="2" s="1"/>
  <c r="K39" i="4" s="1"/>
  <c r="M344" i="2"/>
  <c r="M348" i="2"/>
  <c r="M345" i="2" s="1"/>
  <c r="M335" i="2"/>
  <c r="M339" i="2"/>
  <c r="I1117" i="2"/>
  <c r="M68" i="2"/>
  <c r="M326" i="2"/>
  <c r="M330" i="2"/>
  <c r="K332" i="2"/>
  <c r="K333" i="2" s="1"/>
  <c r="K37" i="4" s="1"/>
  <c r="J403" i="2"/>
  <c r="G71" i="2"/>
  <c r="H87" i="4"/>
  <c r="I84" i="4"/>
  <c r="F305" i="7" s="1"/>
  <c r="K379" i="2"/>
  <c r="K403" i="2" s="1"/>
  <c r="K358" i="2"/>
  <c r="K367" i="2"/>
  <c r="K371" i="2" s="1"/>
  <c r="K50" i="2"/>
  <c r="K63" i="2" s="1"/>
  <c r="G129" i="2"/>
  <c r="G6" i="4"/>
  <c r="G130" i="2"/>
  <c r="G1291" i="2" s="1"/>
  <c r="G485" i="4" s="1"/>
  <c r="L107" i="2"/>
  <c r="L87" i="2"/>
  <c r="H52" i="2"/>
  <c r="I129" i="2"/>
  <c r="I130" i="2"/>
  <c r="I1291" i="2" s="1"/>
  <c r="G652" i="2"/>
  <c r="H652" i="2" s="1"/>
  <c r="I650" i="2"/>
  <c r="I517" i="2"/>
  <c r="I473" i="2"/>
  <c r="I527" i="2" s="1"/>
  <c r="L67" i="2"/>
  <c r="L195" i="2" s="1"/>
  <c r="L194" i="2" s="1"/>
  <c r="G243" i="2"/>
  <c r="G245" i="2" s="1"/>
  <c r="G250" i="2" s="1"/>
  <c r="H250" i="2" s="1"/>
  <c r="I250" i="2" s="1"/>
  <c r="J250" i="2" s="1"/>
  <c r="K250" i="2" s="1"/>
  <c r="L250" i="2" s="1"/>
  <c r="M250" i="2" s="1"/>
  <c r="G517" i="2"/>
  <c r="G519" i="2" s="1"/>
  <c r="G524" i="2" s="1"/>
  <c r="G554" i="2" s="1"/>
  <c r="H239" i="4"/>
  <c r="H260" i="4"/>
  <c r="H261" i="4"/>
  <c r="H241" i="4"/>
  <c r="H238" i="4"/>
  <c r="H242" i="4"/>
  <c r="H265" i="4"/>
  <c r="H237" i="4"/>
  <c r="H247" i="4"/>
  <c r="H251" i="4"/>
  <c r="H264" i="4"/>
  <c r="H236" i="4"/>
  <c r="H246" i="4"/>
  <c r="H240" i="4"/>
  <c r="I6" i="4"/>
  <c r="I93" i="4" s="1"/>
  <c r="I242" i="4" s="1"/>
  <c r="I92" i="2"/>
  <c r="G219" i="2"/>
  <c r="G221" i="2" s="1"/>
  <c r="G222" i="2" s="1"/>
  <c r="L27" i="2"/>
  <c r="L28" i="2" s="1"/>
  <c r="J34" i="1"/>
  <c r="J1189" i="2" s="1"/>
  <c r="I109" i="10"/>
  <c r="J195" i="2"/>
  <c r="J952" i="2"/>
  <c r="J951" i="2"/>
  <c r="J177" i="4" s="1"/>
  <c r="I1" i="2"/>
  <c r="I4" i="2"/>
  <c r="I317" i="4"/>
  <c r="I113" i="1"/>
  <c r="I102" i="10"/>
  <c r="I159" i="4"/>
  <c r="I91" i="4"/>
  <c r="I1269" i="2"/>
  <c r="I55" i="10"/>
  <c r="I1056" i="2"/>
  <c r="I1" i="10"/>
  <c r="I1" i="5"/>
  <c r="I408" i="4"/>
  <c r="I1000" i="2"/>
  <c r="J1119" i="2"/>
  <c r="K1118" i="2" s="1"/>
  <c r="K1119" i="2" s="1"/>
  <c r="K1117" i="2" s="1"/>
  <c r="G951" i="2"/>
  <c r="H1105" i="2"/>
  <c r="I1106" i="2"/>
  <c r="I423" i="2"/>
  <c r="I1" i="1"/>
  <c r="I1142" i="2"/>
  <c r="I638" i="2"/>
  <c r="I269" i="4"/>
  <c r="I284" i="2"/>
  <c r="I25" i="4"/>
  <c r="I124" i="4"/>
  <c r="I1189" i="2"/>
  <c r="I570" i="2"/>
  <c r="I205" i="4"/>
  <c r="I1" i="4"/>
  <c r="I68" i="1"/>
  <c r="I1096" i="2"/>
  <c r="I140" i="2"/>
  <c r="J1033" i="2"/>
  <c r="M133" i="10"/>
  <c r="I1168" i="2"/>
  <c r="I69" i="4"/>
  <c r="I4" i="5"/>
  <c r="I366" i="4"/>
  <c r="I4" i="4"/>
  <c r="I952" i="2"/>
  <c r="I1218" i="2"/>
  <c r="I14" i="1"/>
  <c r="I38" i="1"/>
  <c r="I233" i="4"/>
  <c r="I90" i="10"/>
  <c r="I117" i="10"/>
  <c r="H952" i="2"/>
  <c r="G673" i="2"/>
  <c r="G674" i="2" s="1"/>
  <c r="H673" i="2" s="1"/>
  <c r="H674" i="2" s="1"/>
  <c r="I673" i="2" s="1"/>
  <c r="I674" i="2" s="1"/>
  <c r="J673" i="2" s="1"/>
  <c r="J674" i="2" s="1"/>
  <c r="K673" i="2" s="1"/>
  <c r="K674" i="2" s="1"/>
  <c r="G672" i="2"/>
  <c r="G669" i="2"/>
  <c r="O311" i="2"/>
  <c r="O368" i="2"/>
  <c r="O359" i="2"/>
  <c r="O320" i="2"/>
  <c r="O380" i="2"/>
  <c r="G615" i="2"/>
  <c r="G186" i="4" s="1"/>
  <c r="I951" i="2"/>
  <c r="I177" i="4" s="1"/>
  <c r="K28" i="1"/>
  <c r="L26" i="1"/>
  <c r="K29" i="1"/>
  <c r="K27" i="1"/>
  <c r="O259" i="2"/>
  <c r="O235" i="2"/>
  <c r="K481" i="2"/>
  <c r="K483" i="2" s="1"/>
  <c r="K54" i="4" s="1"/>
  <c r="H951" i="2"/>
  <c r="J220" i="4"/>
  <c r="K219" i="4"/>
  <c r="H944" i="2"/>
  <c r="G796" i="2"/>
  <c r="G797" i="2" s="1"/>
  <c r="H796" i="2" s="1"/>
  <c r="H797" i="2" s="1"/>
  <c r="I796" i="2" s="1"/>
  <c r="I797" i="2" s="1"/>
  <c r="J796" i="2" s="1"/>
  <c r="J797" i="2" s="1"/>
  <c r="K796" i="2" s="1"/>
  <c r="K797" i="2" s="1"/>
  <c r="G795" i="2"/>
  <c r="K791" i="2" s="1"/>
  <c r="G792" i="2"/>
  <c r="G793" i="2" s="1"/>
  <c r="H792" i="2" s="1"/>
  <c r="G769" i="2"/>
  <c r="K765" i="2" s="1"/>
  <c r="G770" i="2"/>
  <c r="G766" i="2"/>
  <c r="I142" i="4"/>
  <c r="O464" i="2"/>
  <c r="O520" i="2"/>
  <c r="O474" i="2"/>
  <c r="O484" i="2"/>
  <c r="O454" i="2"/>
  <c r="J1200" i="2"/>
  <c r="J1198" i="2" s="1"/>
  <c r="J955" i="2"/>
  <c r="J949" i="2" s="1"/>
  <c r="G650" i="2"/>
  <c r="H650" i="2"/>
  <c r="I1014" i="2"/>
  <c r="J1013" i="2"/>
  <c r="G952" i="2"/>
  <c r="G821" i="2"/>
  <c r="G818" i="2"/>
  <c r="G819" i="2" s="1"/>
  <c r="H818" i="2" s="1"/>
  <c r="G822" i="2"/>
  <c r="G823" i="2" s="1"/>
  <c r="H822" i="2" s="1"/>
  <c r="H823" i="2" s="1"/>
  <c r="I822" i="2" s="1"/>
  <c r="G938" i="2"/>
  <c r="G935" i="2"/>
  <c r="G982" i="2" s="1"/>
  <c r="G880" i="2"/>
  <c r="G881" i="2"/>
  <c r="G877" i="2"/>
  <c r="G848" i="2"/>
  <c r="G849" i="2" s="1"/>
  <c r="H848" i="2" s="1"/>
  <c r="G847" i="2"/>
  <c r="G844" i="2"/>
  <c r="G845" i="2" s="1"/>
  <c r="H844" i="2" s="1"/>
  <c r="H845" i="2" s="1"/>
  <c r="I844" i="2" s="1"/>
  <c r="I845" i="2" s="1"/>
  <c r="J844" i="2" s="1"/>
  <c r="J845" i="2" s="1"/>
  <c r="K844" i="2" s="1"/>
  <c r="K845" i="2" s="1"/>
  <c r="G703" i="2"/>
  <c r="G702" i="2"/>
  <c r="G699" i="2"/>
  <c r="H744" i="2"/>
  <c r="H946" i="2" s="1"/>
  <c r="H172" i="4" s="1"/>
  <c r="G744" i="2"/>
  <c r="G946" i="2" s="1"/>
  <c r="G172" i="4" s="1"/>
  <c r="I744" i="2"/>
  <c r="I946" i="2" s="1"/>
  <c r="I172" i="4" s="1"/>
  <c r="J744" i="2"/>
  <c r="J946" i="2" s="1"/>
  <c r="J172" i="4" s="1"/>
  <c r="G724" i="2"/>
  <c r="G725" i="2" s="1"/>
  <c r="H724" i="2" s="1"/>
  <c r="H725" i="2" s="1"/>
  <c r="I724" i="2" s="1"/>
  <c r="I725" i="2" s="1"/>
  <c r="J724" i="2" s="1"/>
  <c r="J725" i="2" s="1"/>
  <c r="K724" i="2" s="1"/>
  <c r="G727" i="2"/>
  <c r="J723" i="2" s="1"/>
  <c r="G910" i="2"/>
  <c r="J906" i="2" s="1"/>
  <c r="G907" i="2"/>
  <c r="G908" i="2" s="1"/>
  <c r="H907" i="2" s="1"/>
  <c r="H908" i="2" s="1"/>
  <c r="I907" i="2" s="1"/>
  <c r="G911" i="2"/>
  <c r="G912" i="2" s="1"/>
  <c r="H911" i="2" s="1"/>
  <c r="H912" i="2" s="1"/>
  <c r="I911" i="2" s="1"/>
  <c r="I912" i="2" s="1"/>
  <c r="J911" i="2" s="1"/>
  <c r="J912" i="2" s="1"/>
  <c r="K911" i="2" s="1"/>
  <c r="K912" i="2" s="1"/>
  <c r="G944" i="2"/>
  <c r="G177" i="4" s="1"/>
  <c r="G746" i="2"/>
  <c r="H746" i="2" s="1"/>
  <c r="K785" i="2"/>
  <c r="K76" i="4" s="1"/>
  <c r="H297" i="7" s="1"/>
  <c r="J956" i="2"/>
  <c r="K951" i="2"/>
  <c r="L840" i="2"/>
  <c r="L841" i="2"/>
  <c r="L852" i="2"/>
  <c r="L842" i="2"/>
  <c r="L846" i="2"/>
  <c r="M834" i="2"/>
  <c r="M831" i="2"/>
  <c r="L826" i="2"/>
  <c r="L816" i="2"/>
  <c r="L820" i="2"/>
  <c r="L811" i="2" s="1"/>
  <c r="L77" i="4" s="1"/>
  <c r="I298" i="7" s="1"/>
  <c r="K759" i="2"/>
  <c r="K75" i="4" s="1"/>
  <c r="H296" i="7" s="1"/>
  <c r="M808" i="2"/>
  <c r="M805" i="2"/>
  <c r="M815" i="2" s="1"/>
  <c r="K821" i="2"/>
  <c r="K956" i="2" s="1"/>
  <c r="K826" i="2"/>
  <c r="K962" i="2" s="1"/>
  <c r="K816" i="2"/>
  <c r="K952" i="2" s="1"/>
  <c r="K820" i="2"/>
  <c r="K955" i="2" s="1"/>
  <c r="L814" i="2"/>
  <c r="L815" i="2"/>
  <c r="L49" i="2"/>
  <c r="L50" i="2" s="1"/>
  <c r="J963" i="2"/>
  <c r="H991" i="2"/>
  <c r="H1305" i="2" s="1"/>
  <c r="L800" i="2"/>
  <c r="L790" i="2"/>
  <c r="L794" i="2"/>
  <c r="M782" i="2"/>
  <c r="M779" i="2"/>
  <c r="L481" i="2"/>
  <c r="L483" i="2" s="1"/>
  <c r="L54" i="4" s="1"/>
  <c r="L788" i="2"/>
  <c r="I1299" i="2"/>
  <c r="M756" i="2"/>
  <c r="M753" i="2"/>
  <c r="M763" i="2" s="1"/>
  <c r="L762" i="2"/>
  <c r="L763" i="2"/>
  <c r="L774" i="2"/>
  <c r="L764" i="2"/>
  <c r="L768" i="2"/>
  <c r="L169" i="2"/>
  <c r="L170" i="2" s="1"/>
  <c r="G178" i="2"/>
  <c r="I51" i="2"/>
  <c r="I52" i="2"/>
  <c r="J7" i="4"/>
  <c r="J63" i="2"/>
  <c r="G183" i="2"/>
  <c r="G195" i="4"/>
  <c r="G222" i="4"/>
  <c r="M58" i="2"/>
  <c r="M47" i="2"/>
  <c r="M61" i="2"/>
  <c r="I412" i="2"/>
  <c r="I430" i="4" s="1"/>
  <c r="J314" i="2"/>
  <c r="J74" i="4"/>
  <c r="G295" i="7" s="1"/>
  <c r="I80" i="4"/>
  <c r="F301" i="7" s="1"/>
  <c r="I74" i="4"/>
  <c r="F295" i="7" s="1"/>
  <c r="J362" i="2"/>
  <c r="K310" i="2"/>
  <c r="K387" i="2" s="1"/>
  <c r="G410" i="2"/>
  <c r="G100" i="4"/>
  <c r="L297" i="2"/>
  <c r="L298" i="2" s="1"/>
  <c r="L302" i="2" s="1"/>
  <c r="L303" i="2" s="1"/>
  <c r="G96" i="4"/>
  <c r="G32" i="4"/>
  <c r="H1253" i="2"/>
  <c r="H179" i="2"/>
  <c r="H178" i="2"/>
  <c r="I1232" i="2"/>
  <c r="I1252" i="2"/>
  <c r="H212" i="4"/>
  <c r="H373" i="4"/>
  <c r="H276" i="4"/>
  <c r="J1233" i="2"/>
  <c r="M1235" i="2"/>
  <c r="M1242" i="2"/>
  <c r="J928" i="2"/>
  <c r="J85" i="4" s="1"/>
  <c r="G306" i="7" s="1"/>
  <c r="H144" i="4"/>
  <c r="H324" i="4" s="1"/>
  <c r="H990" i="2"/>
  <c r="L743" i="2"/>
  <c r="L945" i="2" s="1"/>
  <c r="L742" i="2"/>
  <c r="L944" i="2" s="1"/>
  <c r="M737" i="2"/>
  <c r="I991" i="2"/>
  <c r="I1305" i="2" s="1"/>
  <c r="L904" i="2"/>
  <c r="L966" i="2" s="1"/>
  <c r="I949" i="2"/>
  <c r="I990" i="2" s="1"/>
  <c r="L905" i="2"/>
  <c r="K910" i="2"/>
  <c r="K928" i="2"/>
  <c r="K85" i="4" s="1"/>
  <c r="H306" i="7" s="1"/>
  <c r="K984" i="2"/>
  <c r="K978" i="2" s="1"/>
  <c r="L902" i="2"/>
  <c r="M896" i="2"/>
  <c r="M890" i="2"/>
  <c r="M904" i="2" s="1"/>
  <c r="L915" i="2"/>
  <c r="L909" i="2"/>
  <c r="I1307" i="2"/>
  <c r="M923" i="2"/>
  <c r="M925" i="2"/>
  <c r="L931" i="2"/>
  <c r="L932" i="2"/>
  <c r="L980" i="2" s="1"/>
  <c r="L940" i="2"/>
  <c r="L988" i="2" s="1"/>
  <c r="L933" i="2"/>
  <c r="L981" i="2" s="1"/>
  <c r="L937" i="2"/>
  <c r="L984" i="2" s="1"/>
  <c r="J869" i="2"/>
  <c r="J81" i="4" s="1"/>
  <c r="G302" i="7" s="1"/>
  <c r="L1120" i="2"/>
  <c r="L1121" i="2" s="1"/>
  <c r="L872" i="2"/>
  <c r="K885" i="2"/>
  <c r="K977" i="2" s="1"/>
  <c r="K879" i="2"/>
  <c r="K970" i="2" s="1"/>
  <c r="K875" i="2"/>
  <c r="K967" i="2" s="1"/>
  <c r="K880" i="2"/>
  <c r="L866" i="2"/>
  <c r="M866" i="2" s="1"/>
  <c r="M860" i="2"/>
  <c r="H519" i="2"/>
  <c r="H478" i="2"/>
  <c r="H528" i="2" s="1"/>
  <c r="H53" i="4"/>
  <c r="H50" i="4" s="1"/>
  <c r="I219" i="2"/>
  <c r="I221" i="2" s="1"/>
  <c r="I243" i="2"/>
  <c r="H245" i="2"/>
  <c r="H268" i="2" s="1"/>
  <c r="H95" i="4" s="1"/>
  <c r="H224" i="2"/>
  <c r="H222" i="2"/>
  <c r="M260" i="2"/>
  <c r="M262" i="2"/>
  <c r="M244" i="2"/>
  <c r="I198" i="2"/>
  <c r="M236" i="2"/>
  <c r="M238" i="2"/>
  <c r="M220" i="2"/>
  <c r="M485" i="2"/>
  <c r="M486" i="2"/>
  <c r="M482" i="2"/>
  <c r="M475" i="2"/>
  <c r="M476" i="2"/>
  <c r="M472" i="2"/>
  <c r="K468" i="2"/>
  <c r="K52" i="4"/>
  <c r="M465" i="2"/>
  <c r="M466" i="2"/>
  <c r="M462" i="2"/>
  <c r="L463" i="2"/>
  <c r="L52" i="4" s="1"/>
  <c r="M521" i="2"/>
  <c r="M522" i="2"/>
  <c r="M518" i="2"/>
  <c r="I111" i="2"/>
  <c r="H393" i="2"/>
  <c r="K51" i="4"/>
  <c r="M455" i="2"/>
  <c r="M456" i="2"/>
  <c r="M452" i="2"/>
  <c r="L453" i="2"/>
  <c r="K458" i="2"/>
  <c r="I112" i="2"/>
  <c r="L309" i="2"/>
  <c r="L310" i="2" s="1"/>
  <c r="L318" i="2"/>
  <c r="J384" i="2"/>
  <c r="J46" i="4" s="1"/>
  <c r="I402" i="2"/>
  <c r="H458" i="4"/>
  <c r="H431" i="4"/>
  <c r="L378" i="2"/>
  <c r="L379" i="2" s="1"/>
  <c r="L403" i="2" s="1"/>
  <c r="G1322" i="2"/>
  <c r="G419" i="2"/>
  <c r="G1323" i="2" s="1"/>
  <c r="G1321" i="2"/>
  <c r="K70" i="2"/>
  <c r="K83" i="2" s="1"/>
  <c r="G393" i="2"/>
  <c r="I200" i="2"/>
  <c r="M199" i="4"/>
  <c r="G397" i="2"/>
  <c r="G399" i="2"/>
  <c r="H399" i="2" s="1"/>
  <c r="I399" i="2" s="1"/>
  <c r="K323" i="2"/>
  <c r="K324" i="2" s="1"/>
  <c r="K36" i="4" s="1"/>
  <c r="M321" i="2"/>
  <c r="M317" i="2"/>
  <c r="L366" i="2"/>
  <c r="H131" i="2"/>
  <c r="G409" i="2"/>
  <c r="M312" i="2"/>
  <c r="M308" i="2"/>
  <c r="M381" i="2"/>
  <c r="M377" i="2"/>
  <c r="I72" i="2"/>
  <c r="I71" i="2"/>
  <c r="M369" i="2"/>
  <c r="M365" i="2"/>
  <c r="K90" i="2"/>
  <c r="K9" i="4" s="1"/>
  <c r="L357" i="2"/>
  <c r="L358" i="2" s="1"/>
  <c r="I405" i="2"/>
  <c r="J405" i="2" s="1"/>
  <c r="K405" i="2" s="1"/>
  <c r="L405" i="2" s="1"/>
  <c r="M405" i="2" s="1"/>
  <c r="H409" i="2"/>
  <c r="M360" i="2"/>
  <c r="M356" i="2"/>
  <c r="G204" i="2"/>
  <c r="H202" i="2"/>
  <c r="L439" i="2"/>
  <c r="L440" i="2" s="1"/>
  <c r="L445" i="2" s="1"/>
  <c r="L69" i="2"/>
  <c r="K110" i="2"/>
  <c r="K197" i="2"/>
  <c r="L647" i="2"/>
  <c r="L650" i="2" s="1"/>
  <c r="L666" i="2"/>
  <c r="N62" i="10"/>
  <c r="N57" i="10"/>
  <c r="M53" i="1"/>
  <c r="O117" i="2"/>
  <c r="O97" i="2"/>
  <c r="L1026" i="2"/>
  <c r="M1026" i="2" s="1"/>
  <c r="K1039" i="2"/>
  <c r="M178" i="4"/>
  <c r="L665" i="2"/>
  <c r="L672" i="2" s="1"/>
  <c r="L89" i="2"/>
  <c r="J11" i="2"/>
  <c r="L109" i="2"/>
  <c r="L1280" i="2"/>
  <c r="L1282" i="2" s="1"/>
  <c r="K22" i="2"/>
  <c r="M187" i="2"/>
  <c r="M121" i="2"/>
  <c r="M118" i="2"/>
  <c r="M108" i="2"/>
  <c r="L649" i="2"/>
  <c r="L1274" i="2"/>
  <c r="L1276" i="2" s="1"/>
  <c r="L9" i="2"/>
  <c r="L21" i="2" s="1"/>
  <c r="L22" i="2" s="1"/>
  <c r="L10" i="2" s="1"/>
  <c r="I91" i="2"/>
  <c r="M98" i="2"/>
  <c r="M101" i="2"/>
  <c r="M88" i="2"/>
  <c r="M36" i="2"/>
  <c r="M1278" i="2"/>
  <c r="M1208" i="2"/>
  <c r="M1209" i="2" s="1"/>
  <c r="M443" i="2"/>
  <c r="L648" i="2"/>
  <c r="M1281" i="2"/>
  <c r="I165" i="2"/>
  <c r="H156" i="2" s="1"/>
  <c r="H158" i="2" s="1"/>
  <c r="K29" i="2"/>
  <c r="I273" i="4"/>
  <c r="J273" i="4" s="1"/>
  <c r="K273" i="4" s="1"/>
  <c r="L273" i="4" s="1"/>
  <c r="M273" i="4" s="1"/>
  <c r="L429" i="2"/>
  <c r="L434" i="2" s="1"/>
  <c r="H181" i="2"/>
  <c r="I178" i="2"/>
  <c r="J177" i="2"/>
  <c r="J189" i="2" s="1"/>
  <c r="L172" i="4"/>
  <c r="L720" i="2"/>
  <c r="L722" i="2"/>
  <c r="N2" i="5"/>
  <c r="N2" i="4"/>
  <c r="N2" i="10"/>
  <c r="N2" i="1"/>
  <c r="N2" i="2"/>
  <c r="O25" i="1"/>
  <c r="M19" i="2"/>
  <c r="M656" i="2"/>
  <c r="M189" i="4"/>
  <c r="M1335" i="2"/>
  <c r="M1279" i="2"/>
  <c r="N80" i="1"/>
  <c r="O81" i="1"/>
  <c r="M131" i="1"/>
  <c r="O1063" i="2"/>
  <c r="O1062" i="2" s="1"/>
  <c r="N1061" i="2"/>
  <c r="K173" i="2"/>
  <c r="K171" i="2"/>
  <c r="T113" i="10"/>
  <c r="M81" i="2"/>
  <c r="M150" i="2"/>
  <c r="J29" i="2"/>
  <c r="N1084" i="2"/>
  <c r="O1083" i="2"/>
  <c r="O1082" i="2" s="1"/>
  <c r="M214" i="2"/>
  <c r="M412" i="4"/>
  <c r="M1092" i="2"/>
  <c r="N1091" i="2"/>
  <c r="N1090" i="2" s="1"/>
  <c r="M391" i="2"/>
  <c r="M332" i="4"/>
  <c r="M194" i="4"/>
  <c r="M283" i="4"/>
  <c r="M342" i="4"/>
  <c r="M384" i="4"/>
  <c r="M293" i="4"/>
  <c r="M291" i="2"/>
  <c r="N87" i="1"/>
  <c r="M91" i="1"/>
  <c r="M300" i="2"/>
  <c r="J30" i="2"/>
  <c r="K30" i="2" s="1"/>
  <c r="M120" i="1"/>
  <c r="M1275" i="2"/>
  <c r="J539" i="2"/>
  <c r="I549" i="2"/>
  <c r="I551" i="2" s="1"/>
  <c r="J547" i="2"/>
  <c r="T75" i="10"/>
  <c r="M97" i="10"/>
  <c r="M176" i="4" s="1"/>
  <c r="L176" i="4"/>
  <c r="P292" i="4"/>
  <c r="P383" i="4"/>
  <c r="P341" i="4"/>
  <c r="P47" i="1"/>
  <c r="P57" i="2" s="1"/>
  <c r="P49" i="1"/>
  <c r="P50" i="1"/>
  <c r="P48" i="1"/>
  <c r="Q43" i="1"/>
  <c r="M93" i="10"/>
  <c r="M168" i="4" s="1"/>
  <c r="L168" i="4"/>
  <c r="U82" i="10"/>
  <c r="S61" i="1"/>
  <c r="T60" i="1"/>
  <c r="K702" i="2"/>
  <c r="O299" i="2"/>
  <c r="O290" i="2"/>
  <c r="K546" i="2"/>
  <c r="J502" i="4"/>
  <c r="J440" i="4"/>
  <c r="J467" i="4"/>
  <c r="L707" i="2"/>
  <c r="L701" i="2"/>
  <c r="S55" i="1"/>
  <c r="T54" i="1"/>
  <c r="M70" i="10"/>
  <c r="M71" i="10" s="1"/>
  <c r="M72" i="10" s="1"/>
  <c r="M160" i="2"/>
  <c r="M26" i="2"/>
  <c r="M25" i="2" s="1"/>
  <c r="M427" i="2"/>
  <c r="M428" i="2"/>
  <c r="M1017" i="2"/>
  <c r="M288" i="2"/>
  <c r="M168" i="2"/>
  <c r="M167" i="2" s="1"/>
  <c r="M1273" i="2"/>
  <c r="M17" i="2"/>
  <c r="M659" i="2"/>
  <c r="M1136" i="2"/>
  <c r="M296" i="2"/>
  <c r="M78" i="2"/>
  <c r="M714" i="2"/>
  <c r="M144" i="2"/>
  <c r="M8" i="2"/>
  <c r="M438" i="2"/>
  <c r="M437" i="2" s="1"/>
  <c r="M682" i="2"/>
  <c r="M628" i="2"/>
  <c r="M629" i="2" s="1"/>
  <c r="M712" i="2"/>
  <c r="M688" i="2"/>
  <c r="M1272" i="2"/>
  <c r="M1220" i="2"/>
  <c r="M1221" i="2" s="1"/>
  <c r="M643" i="2"/>
  <c r="M1108" i="2"/>
  <c r="M1109" i="2" s="1"/>
  <c r="M1012" i="2"/>
  <c r="M1146" i="2"/>
  <c r="M1147" i="2" s="1"/>
  <c r="M431" i="2"/>
  <c r="M442" i="2"/>
  <c r="T68" i="10"/>
  <c r="L694" i="2"/>
  <c r="M175" i="2"/>
  <c r="O211" i="2"/>
  <c r="O184" i="2"/>
  <c r="O159" i="2"/>
  <c r="K172" i="4"/>
  <c r="M169" i="4"/>
  <c r="K503" i="4"/>
  <c r="M370" i="4"/>
  <c r="L677" i="2"/>
  <c r="L671" i="2"/>
  <c r="L667" i="2"/>
  <c r="K727" i="2"/>
  <c r="M162" i="2"/>
  <c r="K302" i="2"/>
  <c r="K303" i="2" s="1"/>
  <c r="O430" i="2"/>
  <c r="O441" i="2"/>
  <c r="M321" i="4"/>
  <c r="T106" i="10"/>
  <c r="S86" i="1"/>
  <c r="M7" i="2"/>
  <c r="M1032" i="2"/>
  <c r="L721" i="2"/>
  <c r="L726" i="2"/>
  <c r="L717" i="2" s="1"/>
  <c r="L729" i="2"/>
  <c r="K672" i="2"/>
  <c r="M146" i="1"/>
  <c r="M140" i="1"/>
  <c r="M59" i="1"/>
  <c r="M123" i="1"/>
  <c r="M44" i="1"/>
  <c r="M45" i="1"/>
  <c r="M544" i="2"/>
  <c r="M432" i="2"/>
  <c r="L697" i="2"/>
  <c r="M39" i="2"/>
  <c r="O35" i="2"/>
  <c r="O16" i="2"/>
  <c r="O77" i="2"/>
  <c r="M389" i="2"/>
  <c r="M407" i="2"/>
  <c r="H128" i="4"/>
  <c r="J152" i="2"/>
  <c r="J164" i="2" s="1"/>
  <c r="L542" i="2"/>
  <c r="L85" i="10"/>
  <c r="H618" i="2"/>
  <c r="H619" i="2" s="1"/>
  <c r="L1202" i="2"/>
  <c r="M1201" i="2"/>
  <c r="L1038" i="2"/>
  <c r="M1037" i="2"/>
  <c r="K293" i="2"/>
  <c r="K294" i="2" s="1"/>
  <c r="G144" i="4"/>
  <c r="M287" i="2"/>
  <c r="L289" i="2"/>
  <c r="M212" i="2"/>
  <c r="H1321" i="2"/>
  <c r="H416" i="2"/>
  <c r="H419" i="2" s="1"/>
  <c r="M80" i="1"/>
  <c r="L1151" i="2"/>
  <c r="M1150" i="2"/>
  <c r="M1151" i="2" s="1"/>
  <c r="J1299" i="2"/>
  <c r="J142" i="4"/>
  <c r="M135" i="10"/>
  <c r="K148" i="2"/>
  <c r="K146" i="2"/>
  <c r="L197" i="4"/>
  <c r="M1178" i="2"/>
  <c r="M197" i="4" s="1"/>
  <c r="M136" i="10"/>
  <c r="M188" i="4" s="1"/>
  <c r="L188" i="4"/>
  <c r="M185" i="2"/>
  <c r="J79" i="10"/>
  <c r="M65" i="10"/>
  <c r="L145" i="2"/>
  <c r="M143" i="2"/>
  <c r="H418" i="2"/>
  <c r="L624" i="2"/>
  <c r="M623" i="2"/>
  <c r="M624" i="2" s="1"/>
  <c r="J396" i="2" l="1"/>
  <c r="G971" i="2"/>
  <c r="E308" i="7"/>
  <c r="J388" i="2"/>
  <c r="L367" i="2"/>
  <c r="J123" i="2"/>
  <c r="J124" i="2" s="1"/>
  <c r="J111" i="2" s="1"/>
  <c r="J402" i="2"/>
  <c r="J409" i="2" s="1"/>
  <c r="J103" i="2"/>
  <c r="J104" i="2" s="1"/>
  <c r="I34" i="4"/>
  <c r="J9" i="4"/>
  <c r="L337" i="2"/>
  <c r="I41" i="4"/>
  <c r="J45" i="4"/>
  <c r="J83" i="2"/>
  <c r="J84" i="2" s="1"/>
  <c r="J10" i="4"/>
  <c r="G133" i="2"/>
  <c r="G574" i="2" s="1"/>
  <c r="H133" i="2"/>
  <c r="H574" i="2" s="1"/>
  <c r="L498" i="2"/>
  <c r="M503" i="2"/>
  <c r="L508" i="2"/>
  <c r="N502" i="2"/>
  <c r="N501" i="2"/>
  <c r="N506" i="2"/>
  <c r="N505" i="2"/>
  <c r="J128" i="2"/>
  <c r="G529" i="2"/>
  <c r="H529" i="2" s="1"/>
  <c r="M336" i="2"/>
  <c r="M337" i="2" s="1"/>
  <c r="K971" i="2"/>
  <c r="N491" i="2"/>
  <c r="N496" i="2"/>
  <c r="N492" i="2"/>
  <c r="N495" i="2"/>
  <c r="M493" i="2"/>
  <c r="M55" i="4" s="1"/>
  <c r="J8" i="4"/>
  <c r="G878" i="2"/>
  <c r="G969" i="2" s="1"/>
  <c r="G968" i="2"/>
  <c r="L395" i="2"/>
  <c r="G972" i="2"/>
  <c r="M411" i="2"/>
  <c r="K362" i="2"/>
  <c r="K396" i="2" s="1"/>
  <c r="K395" i="2"/>
  <c r="M327" i="2"/>
  <c r="M328" i="2" s="1"/>
  <c r="M332" i="2" s="1"/>
  <c r="M333" i="2" s="1"/>
  <c r="M37" i="4" s="1"/>
  <c r="M346" i="2"/>
  <c r="N344" i="2"/>
  <c r="N348" i="2"/>
  <c r="N345" i="2" s="1"/>
  <c r="L350" i="2"/>
  <c r="L351" i="2" s="1"/>
  <c r="L39" i="4" s="1"/>
  <c r="G627" i="2"/>
  <c r="G626" i="2" s="1"/>
  <c r="G184" i="4" s="1"/>
  <c r="N335" i="2"/>
  <c r="N339" i="2"/>
  <c r="I652" i="2"/>
  <c r="J652" i="2" s="1"/>
  <c r="L332" i="2"/>
  <c r="L333" i="2" s="1"/>
  <c r="L37" i="4" s="1"/>
  <c r="K1199" i="2"/>
  <c r="K1200" i="2" s="1"/>
  <c r="K1198" i="2" s="1"/>
  <c r="N68" i="2"/>
  <c r="N330" i="2"/>
  <c r="N326" i="2"/>
  <c r="K383" i="2"/>
  <c r="K404" i="2" s="1"/>
  <c r="K402" i="2" s="1"/>
  <c r="K409" i="2" s="1"/>
  <c r="J84" i="4"/>
  <c r="G305" i="7" s="1"/>
  <c r="K84" i="4"/>
  <c r="H305" i="7" s="1"/>
  <c r="J80" i="4"/>
  <c r="G301" i="7" s="1"/>
  <c r="K10" i="4"/>
  <c r="G93" i="4"/>
  <c r="K7" i="4"/>
  <c r="M107" i="2"/>
  <c r="M87" i="2"/>
  <c r="I133" i="2"/>
  <c r="K128" i="2"/>
  <c r="K471" i="2" s="1"/>
  <c r="K723" i="2"/>
  <c r="I627" i="2"/>
  <c r="I626" i="2" s="1"/>
  <c r="I184" i="4" s="1"/>
  <c r="J627" i="2"/>
  <c r="J626" i="2" s="1"/>
  <c r="J184" i="4" s="1"/>
  <c r="G246" i="2"/>
  <c r="G275" i="2" s="1"/>
  <c r="G586" i="2" s="1"/>
  <c r="G587" i="2" s="1"/>
  <c r="G584" i="2" s="1"/>
  <c r="G166" i="4" s="1"/>
  <c r="G248" i="2"/>
  <c r="M67" i="2"/>
  <c r="H243" i="4"/>
  <c r="G53" i="4"/>
  <c r="G478" i="2"/>
  <c r="G528" i="2" s="1"/>
  <c r="G553" i="2"/>
  <c r="G565" i="2" s="1"/>
  <c r="G61" i="4"/>
  <c r="J140" i="2"/>
  <c r="G226" i="2"/>
  <c r="H226" i="2" s="1"/>
  <c r="I226" i="2" s="1"/>
  <c r="J226" i="2" s="1"/>
  <c r="K226" i="2" s="1"/>
  <c r="L226" i="2" s="1"/>
  <c r="M226" i="2" s="1"/>
  <c r="N226" i="2" s="1"/>
  <c r="J317" i="4"/>
  <c r="G458" i="4"/>
  <c r="G224" i="2"/>
  <c r="J4" i="4"/>
  <c r="J269" i="4"/>
  <c r="J14" i="4"/>
  <c r="J284" i="2"/>
  <c r="J408" i="4"/>
  <c r="J159" i="4"/>
  <c r="G431" i="4"/>
  <c r="J1142" i="2"/>
  <c r="M27" i="2"/>
  <c r="M28" i="2" s="1"/>
  <c r="M41" i="2" s="1"/>
  <c r="M42" i="2" s="1"/>
  <c r="J90" i="10"/>
  <c r="G268" i="2"/>
  <c r="G95" i="4" s="1"/>
  <c r="J205" i="4"/>
  <c r="K11" i="2"/>
  <c r="L11" i="2" s="1"/>
  <c r="G131" i="2"/>
  <c r="J124" i="4"/>
  <c r="J1168" i="2"/>
  <c r="J68" i="1"/>
  <c r="J1" i="10"/>
  <c r="J1" i="1"/>
  <c r="J1" i="2"/>
  <c r="J1" i="4"/>
  <c r="J366" i="4"/>
  <c r="J4" i="5"/>
  <c r="J194" i="2"/>
  <c r="J197" i="2"/>
  <c r="I110" i="10"/>
  <c r="I108" i="10" s="1"/>
  <c r="J105" i="10" s="1"/>
  <c r="J109" i="10"/>
  <c r="J233" i="4"/>
  <c r="J638" i="2"/>
  <c r="J1056" i="2"/>
  <c r="J113" i="1"/>
  <c r="J102" i="10"/>
  <c r="J765" i="2"/>
  <c r="J38" i="1"/>
  <c r="J69" i="4"/>
  <c r="J570" i="2"/>
  <c r="J25" i="4"/>
  <c r="J1269" i="2"/>
  <c r="J55" i="10"/>
  <c r="J14" i="1"/>
  <c r="J1" i="5"/>
  <c r="J1096" i="2"/>
  <c r="K34" i="1"/>
  <c r="K38" i="1" s="1"/>
  <c r="J1000" i="2"/>
  <c r="J91" i="4"/>
  <c r="J4" i="2"/>
  <c r="J423" i="2"/>
  <c r="L955" i="2"/>
  <c r="J1117" i="2"/>
  <c r="I393" i="2"/>
  <c r="J791" i="2"/>
  <c r="K1033" i="2"/>
  <c r="K1029" i="2"/>
  <c r="K934" i="2"/>
  <c r="M741" i="2"/>
  <c r="H627" i="2"/>
  <c r="H626" i="2" s="1"/>
  <c r="H184" i="4" s="1"/>
  <c r="I1219" i="2"/>
  <c r="I1217" i="2" s="1"/>
  <c r="J934" i="2"/>
  <c r="J843" i="2"/>
  <c r="J698" i="2"/>
  <c r="J817" i="2"/>
  <c r="J116" i="10"/>
  <c r="I115" i="10"/>
  <c r="J112" i="10" s="1"/>
  <c r="I1107" i="2"/>
  <c r="K488" i="2"/>
  <c r="G936" i="2"/>
  <c r="G983" i="2" s="1"/>
  <c r="G175" i="4" s="1"/>
  <c r="H819" i="2"/>
  <c r="I818" i="2" s="1"/>
  <c r="I819" i="2" s="1"/>
  <c r="J818" i="2" s="1"/>
  <c r="G953" i="2"/>
  <c r="H793" i="2"/>
  <c r="I792" i="2" s="1"/>
  <c r="P484" i="2"/>
  <c r="P464" i="2"/>
  <c r="P520" i="2"/>
  <c r="P474" i="2"/>
  <c r="P454" i="2"/>
  <c r="L28" i="1"/>
  <c r="L29" i="1"/>
  <c r="M26" i="1"/>
  <c r="L27" i="1"/>
  <c r="G668" i="2"/>
  <c r="G678" i="2" s="1"/>
  <c r="H668" i="2"/>
  <c r="I668" i="2"/>
  <c r="J668" i="2"/>
  <c r="P259" i="2"/>
  <c r="P235" i="2"/>
  <c r="J1251" i="2"/>
  <c r="J108" i="4" s="1"/>
  <c r="M789" i="2"/>
  <c r="G723" i="2"/>
  <c r="G730" i="2" s="1"/>
  <c r="H723" i="2"/>
  <c r="I723" i="2"/>
  <c r="G957" i="2"/>
  <c r="H843" i="2"/>
  <c r="G843" i="2"/>
  <c r="G853" i="2" s="1"/>
  <c r="I843" i="2"/>
  <c r="G956" i="2"/>
  <c r="H765" i="2"/>
  <c r="G765" i="2"/>
  <c r="I765" i="2"/>
  <c r="P320" i="2"/>
  <c r="P380" i="2"/>
  <c r="P311" i="2"/>
  <c r="P368" i="2"/>
  <c r="P359" i="2"/>
  <c r="H876" i="2"/>
  <c r="G876" i="2"/>
  <c r="G886" i="2" s="1"/>
  <c r="I876" i="2"/>
  <c r="I823" i="2"/>
  <c r="J822" i="2" s="1"/>
  <c r="J823" i="2" s="1"/>
  <c r="K822" i="2" s="1"/>
  <c r="K823" i="2" s="1"/>
  <c r="L822" i="2" s="1"/>
  <c r="L823" i="2" s="1"/>
  <c r="J1014" i="2"/>
  <c r="K1013" i="2"/>
  <c r="H791" i="2"/>
  <c r="G791" i="2"/>
  <c r="G801" i="2" s="1"/>
  <c r="I791" i="2"/>
  <c r="L952" i="2"/>
  <c r="G704" i="2"/>
  <c r="H703" i="2" s="1"/>
  <c r="H704" i="2" s="1"/>
  <c r="I703" i="2" s="1"/>
  <c r="G985" i="2"/>
  <c r="H934" i="2"/>
  <c r="G934" i="2"/>
  <c r="G941" i="2" s="1"/>
  <c r="I934" i="2"/>
  <c r="I746" i="2"/>
  <c r="J746" i="2" s="1"/>
  <c r="G700" i="2"/>
  <c r="H699" i="2" s="1"/>
  <c r="H700" i="2" s="1"/>
  <c r="I699" i="2" s="1"/>
  <c r="I700" i="2" s="1"/>
  <c r="J699" i="2" s="1"/>
  <c r="K698" i="2"/>
  <c r="J876" i="2"/>
  <c r="M874" i="2"/>
  <c r="M966" i="2" s="1"/>
  <c r="K906" i="2"/>
  <c r="L962" i="2"/>
  <c r="I908" i="2"/>
  <c r="J907" i="2" s="1"/>
  <c r="J908" i="2" s="1"/>
  <c r="K907" i="2" s="1"/>
  <c r="K908" i="2" s="1"/>
  <c r="L907" i="2" s="1"/>
  <c r="L908" i="2" s="1"/>
  <c r="G817" i="2"/>
  <c r="G827" i="2" s="1"/>
  <c r="H817" i="2"/>
  <c r="I817" i="2"/>
  <c r="G771" i="2"/>
  <c r="H177" i="4"/>
  <c r="M841" i="2"/>
  <c r="G698" i="2"/>
  <c r="G708" i="2" s="1"/>
  <c r="I698" i="2"/>
  <c r="H698" i="2"/>
  <c r="M932" i="2"/>
  <c r="M980" i="2" s="1"/>
  <c r="K843" i="2"/>
  <c r="G906" i="2"/>
  <c r="G916" i="2" s="1"/>
  <c r="H906" i="2"/>
  <c r="I906" i="2"/>
  <c r="H849" i="2"/>
  <c r="I848" i="2" s="1"/>
  <c r="I849" i="2" s="1"/>
  <c r="J848" i="2" s="1"/>
  <c r="G882" i="2"/>
  <c r="G973" i="2" s="1"/>
  <c r="G767" i="2"/>
  <c r="K220" i="4"/>
  <c r="L219" i="4"/>
  <c r="G670" i="2"/>
  <c r="H669" i="2" s="1"/>
  <c r="H670" i="2" s="1"/>
  <c r="I669" i="2" s="1"/>
  <c r="I670" i="2" s="1"/>
  <c r="J669" i="2" s="1"/>
  <c r="L951" i="2"/>
  <c r="H374" i="4"/>
  <c r="M840" i="2"/>
  <c r="M852" i="2"/>
  <c r="M842" i="2"/>
  <c r="M846" i="2"/>
  <c r="M837" i="2" s="1"/>
  <c r="M78" i="4" s="1"/>
  <c r="J299" i="7" s="1"/>
  <c r="L837" i="2"/>
  <c r="L78" i="4" s="1"/>
  <c r="I299" i="7" s="1"/>
  <c r="L847" i="2"/>
  <c r="L844" i="2"/>
  <c r="N834" i="2"/>
  <c r="N831" i="2"/>
  <c r="N808" i="2"/>
  <c r="N805" i="2"/>
  <c r="K811" i="2"/>
  <c r="K77" i="4" s="1"/>
  <c r="H298" i="7" s="1"/>
  <c r="L821" i="2"/>
  <c r="M814" i="2"/>
  <c r="M826" i="2"/>
  <c r="M816" i="2"/>
  <c r="M820" i="2"/>
  <c r="M811" i="2" s="1"/>
  <c r="M77" i="4" s="1"/>
  <c r="J298" i="7" s="1"/>
  <c r="L759" i="2"/>
  <c r="L75" i="4" s="1"/>
  <c r="I296" i="7" s="1"/>
  <c r="K817" i="2"/>
  <c r="M49" i="2"/>
  <c r="M50" i="2" s="1"/>
  <c r="M169" i="2"/>
  <c r="M170" i="2" s="1"/>
  <c r="M171" i="2" s="1"/>
  <c r="M788" i="2"/>
  <c r="M800" i="2"/>
  <c r="M790" i="2"/>
  <c r="M794" i="2"/>
  <c r="L785" i="2"/>
  <c r="L76" i="4" s="1"/>
  <c r="I297" i="7" s="1"/>
  <c r="N782" i="2"/>
  <c r="N779" i="2"/>
  <c r="L795" i="2"/>
  <c r="L796" i="2"/>
  <c r="L797" i="2" s="1"/>
  <c r="M774" i="2"/>
  <c r="M764" i="2"/>
  <c r="M768" i="2"/>
  <c r="N756" i="2"/>
  <c r="N753" i="2"/>
  <c r="M481" i="2"/>
  <c r="M483" i="2" s="1"/>
  <c r="L769" i="2"/>
  <c r="M762" i="2"/>
  <c r="H1264" i="2"/>
  <c r="H1184" i="2"/>
  <c r="H277" i="4"/>
  <c r="J315" i="2"/>
  <c r="J35" i="4" s="1"/>
  <c r="I131" i="2"/>
  <c r="K64" i="2"/>
  <c r="J64" i="2"/>
  <c r="I413" i="2"/>
  <c r="I1321" i="2" s="1"/>
  <c r="I497" i="4" s="1"/>
  <c r="J412" i="2"/>
  <c r="J457" i="4" s="1"/>
  <c r="L7" i="4"/>
  <c r="L63" i="2"/>
  <c r="N61" i="2"/>
  <c r="N47" i="2"/>
  <c r="N58" i="2"/>
  <c r="K991" i="2"/>
  <c r="K1305" i="2" s="1"/>
  <c r="I457" i="4"/>
  <c r="I484" i="4"/>
  <c r="I414" i="2"/>
  <c r="I617" i="2" s="1"/>
  <c r="I240" i="4"/>
  <c r="I236" i="4"/>
  <c r="I246" i="4"/>
  <c r="I261" i="4"/>
  <c r="I241" i="4"/>
  <c r="I264" i="4"/>
  <c r="I237" i="4"/>
  <c r="I238" i="4"/>
  <c r="I260" i="4"/>
  <c r="I239" i="4"/>
  <c r="J394" i="2"/>
  <c r="I251" i="4"/>
  <c r="I265" i="4"/>
  <c r="I247" i="4"/>
  <c r="M297" i="2"/>
  <c r="M298" i="2" s="1"/>
  <c r="M302" i="2" s="1"/>
  <c r="M303" i="2" s="1"/>
  <c r="J363" i="2"/>
  <c r="J42" i="4" s="1"/>
  <c r="K314" i="2"/>
  <c r="K388" i="2" s="1"/>
  <c r="I87" i="4"/>
  <c r="H183" i="2"/>
  <c r="G497" i="4"/>
  <c r="L319" i="2"/>
  <c r="H97" i="4"/>
  <c r="H94" i="4" s="1"/>
  <c r="H98" i="4" s="1"/>
  <c r="H1248" i="2"/>
  <c r="H1259" i="2"/>
  <c r="H192" i="4"/>
  <c r="I1253" i="2"/>
  <c r="I1248" i="2" s="1"/>
  <c r="M1243" i="2"/>
  <c r="M1257" i="2" s="1"/>
  <c r="M1258" i="2"/>
  <c r="I130" i="4"/>
  <c r="N1235" i="2"/>
  <c r="M743" i="2"/>
  <c r="M945" i="2" s="1"/>
  <c r="J1234" i="2"/>
  <c r="J1252" i="2" s="1"/>
  <c r="J130" i="4" s="1"/>
  <c r="K177" i="4"/>
  <c r="I138" i="4"/>
  <c r="I144" i="4" s="1"/>
  <c r="N737" i="2"/>
  <c r="M742" i="2"/>
  <c r="M944" i="2" s="1"/>
  <c r="J991" i="2"/>
  <c r="J1305" i="2" s="1"/>
  <c r="L1118" i="2"/>
  <c r="N896" i="2"/>
  <c r="N890" i="2"/>
  <c r="L899" i="2"/>
  <c r="L82" i="4" s="1"/>
  <c r="I303" i="7" s="1"/>
  <c r="M902" i="2"/>
  <c r="M915" i="2"/>
  <c r="M909" i="2"/>
  <c r="M899" i="2" s="1"/>
  <c r="M82" i="4" s="1"/>
  <c r="J303" i="7" s="1"/>
  <c r="M905" i="2"/>
  <c r="L910" i="2"/>
  <c r="L911" i="2"/>
  <c r="L912" i="2" s="1"/>
  <c r="L928" i="2"/>
  <c r="L85" i="4" s="1"/>
  <c r="I306" i="7" s="1"/>
  <c r="M940" i="2"/>
  <c r="M988" i="2" s="1"/>
  <c r="M933" i="2"/>
  <c r="M981" i="2" s="1"/>
  <c r="M937" i="2"/>
  <c r="L938" i="2"/>
  <c r="L985" i="2" s="1"/>
  <c r="M931" i="2"/>
  <c r="N923" i="2"/>
  <c r="N925" i="2"/>
  <c r="M1120" i="2"/>
  <c r="M1121" i="2" s="1"/>
  <c r="M875" i="2"/>
  <c r="K869" i="2"/>
  <c r="K81" i="4" s="1"/>
  <c r="H302" i="7" s="1"/>
  <c r="K963" i="2"/>
  <c r="K139" i="4" s="1"/>
  <c r="N866" i="2"/>
  <c r="N860" i="2"/>
  <c r="L880" i="2"/>
  <c r="K876" i="2"/>
  <c r="M872" i="2"/>
  <c r="L885" i="2"/>
  <c r="L977" i="2" s="1"/>
  <c r="L879" i="2"/>
  <c r="L970" i="2" s="1"/>
  <c r="L875" i="2"/>
  <c r="L967" i="2" s="1"/>
  <c r="M885" i="2"/>
  <c r="M879" i="2"/>
  <c r="H61" i="4"/>
  <c r="H60" i="4" s="1"/>
  <c r="H102" i="4" s="1"/>
  <c r="H553" i="2"/>
  <c r="H565" i="2" s="1"/>
  <c r="H524" i="2"/>
  <c r="H554" i="2" s="1"/>
  <c r="H1302" i="2" s="1"/>
  <c r="I519" i="2"/>
  <c r="H534" i="2"/>
  <c r="H526" i="2"/>
  <c r="G536" i="2"/>
  <c r="I478" i="2"/>
  <c r="I528" i="2" s="1"/>
  <c r="I53" i="4"/>
  <c r="I50" i="4" s="1"/>
  <c r="H262" i="4"/>
  <c r="H248" i="2"/>
  <c r="H277" i="2" s="1"/>
  <c r="H246" i="2"/>
  <c r="I245" i="2"/>
  <c r="I268" i="2" s="1"/>
  <c r="I95" i="4" s="1"/>
  <c r="I224" i="2"/>
  <c r="I222" i="2"/>
  <c r="N262" i="2"/>
  <c r="N260" i="2"/>
  <c r="N244" i="2"/>
  <c r="N250" i="2"/>
  <c r="I202" i="2"/>
  <c r="G28" i="4"/>
  <c r="N238" i="2"/>
  <c r="N236" i="2"/>
  <c r="N220" i="2"/>
  <c r="N485" i="2"/>
  <c r="N486" i="2"/>
  <c r="N482" i="2"/>
  <c r="L488" i="2"/>
  <c r="N475" i="2"/>
  <c r="N476" i="2"/>
  <c r="N472" i="2"/>
  <c r="L468" i="2"/>
  <c r="N465" i="2"/>
  <c r="N466" i="2"/>
  <c r="N462" i="2"/>
  <c r="M463" i="2"/>
  <c r="N521" i="2"/>
  <c r="N522" i="2"/>
  <c r="N518" i="2"/>
  <c r="L458" i="2"/>
  <c r="L51" i="4"/>
  <c r="N455" i="2"/>
  <c r="N456" i="2"/>
  <c r="N452" i="2"/>
  <c r="M453" i="2"/>
  <c r="M309" i="2"/>
  <c r="M310" i="2" s="1"/>
  <c r="I410" i="2"/>
  <c r="M318" i="2"/>
  <c r="M319" i="2" s="1"/>
  <c r="K8" i="4"/>
  <c r="M378" i="2"/>
  <c r="M379" i="2" s="1"/>
  <c r="M403" i="2" s="1"/>
  <c r="M366" i="2"/>
  <c r="M367" i="2" s="1"/>
  <c r="M357" i="2"/>
  <c r="M358" i="2" s="1"/>
  <c r="H397" i="2"/>
  <c r="G401" i="2"/>
  <c r="N321" i="2"/>
  <c r="N317" i="2"/>
  <c r="N312" i="2"/>
  <c r="N308" i="2"/>
  <c r="L1039" i="2"/>
  <c r="L314" i="2"/>
  <c r="L383" i="2"/>
  <c r="L404" i="2" s="1"/>
  <c r="N381" i="2"/>
  <c r="N377" i="2"/>
  <c r="L371" i="2"/>
  <c r="L372" i="2" s="1"/>
  <c r="L43" i="4" s="1"/>
  <c r="K372" i="2"/>
  <c r="K43" i="4" s="1"/>
  <c r="K103" i="2"/>
  <c r="K104" i="2" s="1"/>
  <c r="K91" i="2" s="1"/>
  <c r="N369" i="2"/>
  <c r="N365" i="2"/>
  <c r="I409" i="2"/>
  <c r="M439" i="2"/>
  <c r="M440" i="2" s="1"/>
  <c r="M445" i="2" s="1"/>
  <c r="G217" i="2"/>
  <c r="N360" i="2"/>
  <c r="N356" i="2"/>
  <c r="L673" i="2"/>
  <c r="L674" i="2" s="1"/>
  <c r="G216" i="2"/>
  <c r="L362" i="2"/>
  <c r="M69" i="2"/>
  <c r="H204" i="2"/>
  <c r="M1028" i="2"/>
  <c r="L110" i="2"/>
  <c r="L10" i="4" s="1"/>
  <c r="K123" i="2"/>
  <c r="K124" i="2" s="1"/>
  <c r="K196" i="2"/>
  <c r="K19" i="4"/>
  <c r="K18" i="4" s="1"/>
  <c r="L90" i="2"/>
  <c r="L9" i="4" s="1"/>
  <c r="L197" i="2"/>
  <c r="L70" i="2"/>
  <c r="O57" i="10"/>
  <c r="O62" i="10"/>
  <c r="J1307" i="2"/>
  <c r="P117" i="2"/>
  <c r="P97" i="2"/>
  <c r="L727" i="2"/>
  <c r="L723" i="2" s="1"/>
  <c r="L503" i="4"/>
  <c r="M109" i="2"/>
  <c r="M89" i="2"/>
  <c r="K84" i="2"/>
  <c r="M1280" i="2"/>
  <c r="M1282" i="2" s="1"/>
  <c r="I431" i="4"/>
  <c r="I458" i="4"/>
  <c r="I485" i="4"/>
  <c r="I153" i="2"/>
  <c r="I154" i="2"/>
  <c r="K10" i="2"/>
  <c r="M722" i="2"/>
  <c r="N121" i="2"/>
  <c r="N118" i="2"/>
  <c r="N108" i="2"/>
  <c r="L1199" i="2"/>
  <c r="N98" i="2"/>
  <c r="N101" i="2"/>
  <c r="N88" i="2"/>
  <c r="M429" i="2"/>
  <c r="M434" i="2" s="1"/>
  <c r="K177" i="2"/>
  <c r="K190" i="2" s="1"/>
  <c r="K152" i="2"/>
  <c r="K165" i="2" s="1"/>
  <c r="K153" i="2" s="1"/>
  <c r="J190" i="2"/>
  <c r="I181" i="2" s="1"/>
  <c r="I183" i="2" s="1"/>
  <c r="K1299" i="2"/>
  <c r="M289" i="2"/>
  <c r="M293" i="2" s="1"/>
  <c r="M145" i="2"/>
  <c r="M148" i="2" s="1"/>
  <c r="L41" i="2"/>
  <c r="L42" i="2" s="1"/>
  <c r="L173" i="2"/>
  <c r="L171" i="2"/>
  <c r="M677" i="2"/>
  <c r="M671" i="2"/>
  <c r="M662" i="2" s="1"/>
  <c r="K539" i="2"/>
  <c r="P299" i="2"/>
  <c r="P290" i="2"/>
  <c r="U75" i="10"/>
  <c r="U113" i="10"/>
  <c r="N389" i="4"/>
  <c r="N283" i="4"/>
  <c r="N273" i="4"/>
  <c r="N347" i="4"/>
  <c r="N199" i="4"/>
  <c r="N189" i="4"/>
  <c r="N384" i="4"/>
  <c r="N321" i="4"/>
  <c r="N332" i="4"/>
  <c r="N293" i="4"/>
  <c r="N169" i="4"/>
  <c r="N412" i="4"/>
  <c r="N370" i="4"/>
  <c r="N194" i="4"/>
  <c r="N178" i="4"/>
  <c r="N298" i="4"/>
  <c r="N342" i="4"/>
  <c r="U106" i="10"/>
  <c r="M694" i="2"/>
  <c r="M696" i="2"/>
  <c r="M697" i="2"/>
  <c r="P430" i="2"/>
  <c r="P441" i="2"/>
  <c r="K725" i="2"/>
  <c r="L724" i="2" s="1"/>
  <c r="L725" i="2" s="1"/>
  <c r="P1083" i="2"/>
  <c r="P1082" i="2" s="1"/>
  <c r="O1084" i="2"/>
  <c r="L662" i="2"/>
  <c r="M503" i="4"/>
  <c r="T55" i="1"/>
  <c r="U54" i="1"/>
  <c r="P35" i="2"/>
  <c r="P77" i="2"/>
  <c r="P16" i="2"/>
  <c r="K668" i="2"/>
  <c r="U68" i="10"/>
  <c r="M701" i="2"/>
  <c r="M691" i="2" s="1"/>
  <c r="M707" i="2"/>
  <c r="P1063" i="2"/>
  <c r="P1062" i="2" s="1"/>
  <c r="O1061" i="2"/>
  <c r="M9" i="2"/>
  <c r="O2" i="5"/>
  <c r="O2" i="4"/>
  <c r="O2" i="2"/>
  <c r="O2" i="10"/>
  <c r="O2" i="1"/>
  <c r="P25" i="1"/>
  <c r="L440" i="4"/>
  <c r="L502" i="4"/>
  <c r="M647" i="2"/>
  <c r="M648" i="2"/>
  <c r="M649" i="2"/>
  <c r="M729" i="2"/>
  <c r="M726" i="2"/>
  <c r="M717" i="2" s="1"/>
  <c r="N1281" i="2"/>
  <c r="N1272" i="2"/>
  <c r="N659" i="2"/>
  <c r="N628" i="2"/>
  <c r="N629" i="2" s="1"/>
  <c r="N544" i="2"/>
  <c r="N443" i="2"/>
  <c r="N407" i="2"/>
  <c r="N214" i="2"/>
  <c r="N160" i="2"/>
  <c r="N1017" i="2"/>
  <c r="N1335" i="2"/>
  <c r="N1279" i="2"/>
  <c r="N1220" i="2"/>
  <c r="N1221" i="2" s="1"/>
  <c r="N1136" i="2"/>
  <c r="N714" i="2"/>
  <c r="N431" i="2"/>
  <c r="N391" i="2"/>
  <c r="N300" i="2"/>
  <c r="N291" i="2"/>
  <c r="N212" i="2"/>
  <c r="N1275" i="2"/>
  <c r="N1150" i="2"/>
  <c r="N1151" i="2" s="1"/>
  <c r="N643" i="2"/>
  <c r="N623" i="2"/>
  <c r="N624" i="2" s="1"/>
  <c r="N428" i="2"/>
  <c r="N187" i="2"/>
  <c r="N144" i="2"/>
  <c r="N78" i="2"/>
  <c r="N1273" i="2"/>
  <c r="N1146" i="2"/>
  <c r="N1147" i="2" s="1"/>
  <c r="N1028" i="2"/>
  <c r="N438" i="2"/>
  <c r="N437" i="2" s="1"/>
  <c r="N427" i="2"/>
  <c r="N405" i="2"/>
  <c r="N389" i="2"/>
  <c r="N143" i="2"/>
  <c r="N1026" i="2"/>
  <c r="N688" i="2"/>
  <c r="N656" i="2"/>
  <c r="N185" i="2"/>
  <c r="N1037" i="2"/>
  <c r="N712" i="2"/>
  <c r="N682" i="2"/>
  <c r="N287" i="2"/>
  <c r="N39" i="2"/>
  <c r="N7" i="2"/>
  <c r="N1278" i="2"/>
  <c r="N1201" i="2"/>
  <c r="N1202" i="2" s="1"/>
  <c r="N1108" i="2"/>
  <c r="N1109" i="2" s="1"/>
  <c r="N442" i="2"/>
  <c r="N296" i="2"/>
  <c r="N26" i="2"/>
  <c r="N25" i="2" s="1"/>
  <c r="N288" i="2"/>
  <c r="N168" i="2"/>
  <c r="N167" i="2" s="1"/>
  <c r="N19" i="2"/>
  <c r="N17" i="2"/>
  <c r="N1178" i="2"/>
  <c r="N197" i="4" s="1"/>
  <c r="N432" i="2"/>
  <c r="N162" i="2"/>
  <c r="N36" i="2"/>
  <c r="N8" i="2"/>
  <c r="N81" i="2"/>
  <c r="N150" i="2"/>
  <c r="N1208" i="2"/>
  <c r="N175" i="2"/>
  <c r="T86" i="1"/>
  <c r="M1011" i="2"/>
  <c r="N1012" i="2" s="1"/>
  <c r="T61" i="1"/>
  <c r="U60" i="1"/>
  <c r="N146" i="1"/>
  <c r="N59" i="1"/>
  <c r="N120" i="1"/>
  <c r="N45" i="1"/>
  <c r="N44" i="1"/>
  <c r="N53" i="1"/>
  <c r="N131" i="1"/>
  <c r="N123" i="1"/>
  <c r="N140" i="1"/>
  <c r="M1031" i="2"/>
  <c r="N1032" i="2" s="1"/>
  <c r="N1031" i="2" s="1"/>
  <c r="M1274" i="2"/>
  <c r="M720" i="2"/>
  <c r="M721" i="2"/>
  <c r="Q383" i="4"/>
  <c r="Q341" i="4"/>
  <c r="Q292" i="4"/>
  <c r="Q47" i="1"/>
  <c r="Q57" i="2" s="1"/>
  <c r="Q49" i="1"/>
  <c r="Q48" i="1"/>
  <c r="Q50" i="1"/>
  <c r="R43" i="1"/>
  <c r="M665" i="2"/>
  <c r="M667" i="2"/>
  <c r="M666" i="2"/>
  <c r="N65" i="10"/>
  <c r="N133" i="10"/>
  <c r="N135" i="10"/>
  <c r="N97" i="10"/>
  <c r="N176" i="4" s="1"/>
  <c r="N93" i="10"/>
  <c r="N168" i="4" s="1"/>
  <c r="N136" i="10"/>
  <c r="N188" i="4" s="1"/>
  <c r="N70" i="10"/>
  <c r="K467" i="4"/>
  <c r="K502" i="4"/>
  <c r="K440" i="4"/>
  <c r="L702" i="2"/>
  <c r="L691" i="2"/>
  <c r="V82" i="10"/>
  <c r="P184" i="2"/>
  <c r="P159" i="2"/>
  <c r="P211" i="2"/>
  <c r="O87" i="1"/>
  <c r="N91" i="1"/>
  <c r="O1091" i="2"/>
  <c r="O1090" i="2" s="1"/>
  <c r="N1092" i="2"/>
  <c r="O80" i="1"/>
  <c r="P81" i="1"/>
  <c r="J165" i="2"/>
  <c r="H615" i="2"/>
  <c r="H186" i="4" s="1"/>
  <c r="M542" i="2"/>
  <c r="H1323" i="2"/>
  <c r="L148" i="2"/>
  <c r="L146" i="2"/>
  <c r="L978" i="2"/>
  <c r="L140" i="4" s="1"/>
  <c r="K140" i="4"/>
  <c r="M1202" i="2"/>
  <c r="L86" i="10"/>
  <c r="K949" i="2"/>
  <c r="L293" i="2"/>
  <c r="L294" i="2" s="1"/>
  <c r="K627" i="2"/>
  <c r="K626" i="2" s="1"/>
  <c r="K184" i="4" s="1"/>
  <c r="L668" i="2"/>
  <c r="G464" i="4"/>
  <c r="G437" i="4"/>
  <c r="G496" i="4"/>
  <c r="J138" i="4"/>
  <c r="J990" i="2"/>
  <c r="J399" i="2"/>
  <c r="K77" i="10"/>
  <c r="H1322" i="2"/>
  <c r="J139" i="4"/>
  <c r="M1038" i="2"/>
  <c r="M1039" i="2"/>
  <c r="H497" i="4"/>
  <c r="K142" i="4"/>
  <c r="G1184" i="2"/>
  <c r="G374" i="4"/>
  <c r="G1264" i="2"/>
  <c r="G324" i="4"/>
  <c r="G277" i="4"/>
  <c r="L387" i="2" l="1"/>
  <c r="J413" i="2"/>
  <c r="J219" i="2"/>
  <c r="J221" i="2" s="1"/>
  <c r="I96" i="4"/>
  <c r="J71" i="2"/>
  <c r="F308" i="7"/>
  <c r="J91" i="2"/>
  <c r="J92" i="2"/>
  <c r="I32" i="4"/>
  <c r="H575" i="2"/>
  <c r="H572" i="2" s="1"/>
  <c r="H162" i="4" s="1"/>
  <c r="I100" i="4"/>
  <c r="G247" i="4"/>
  <c r="L341" i="2"/>
  <c r="L342" i="2" s="1"/>
  <c r="L38" i="4" s="1"/>
  <c r="J130" i="2"/>
  <c r="J1291" i="2" s="1"/>
  <c r="J431" i="4" s="1"/>
  <c r="J6" i="4"/>
  <c r="J72" i="2"/>
  <c r="J471" i="2"/>
  <c r="J473" i="2" s="1"/>
  <c r="M508" i="2"/>
  <c r="M56" i="4"/>
  <c r="L971" i="2"/>
  <c r="N503" i="2"/>
  <c r="N56" i="4" s="1"/>
  <c r="N411" i="2"/>
  <c r="J243" i="2"/>
  <c r="J245" i="2" s="1"/>
  <c r="O506" i="2"/>
  <c r="O505" i="2"/>
  <c r="O501" i="2"/>
  <c r="O502" i="2"/>
  <c r="G531" i="2"/>
  <c r="H531" i="2" s="1"/>
  <c r="I531" i="2" s="1"/>
  <c r="J531" i="2" s="1"/>
  <c r="K531" i="2" s="1"/>
  <c r="L531" i="2" s="1"/>
  <c r="M531" i="2" s="1"/>
  <c r="N531" i="2" s="1"/>
  <c r="O531" i="2" s="1"/>
  <c r="J517" i="2"/>
  <c r="J519" i="2" s="1"/>
  <c r="N336" i="2"/>
  <c r="N337" i="2" s="1"/>
  <c r="G526" i="2"/>
  <c r="H877" i="2"/>
  <c r="H968" i="2" s="1"/>
  <c r="M977" i="2"/>
  <c r="M498" i="2"/>
  <c r="O496" i="2"/>
  <c r="O492" i="2"/>
  <c r="O495" i="2"/>
  <c r="O491" i="2"/>
  <c r="K996" i="2"/>
  <c r="M967" i="2"/>
  <c r="N493" i="2"/>
  <c r="M970" i="2"/>
  <c r="M195" i="2"/>
  <c r="L396" i="2"/>
  <c r="L394" i="2" s="1"/>
  <c r="J996" i="2"/>
  <c r="K363" i="2"/>
  <c r="K42" i="4" s="1"/>
  <c r="G996" i="2"/>
  <c r="H996" i="2"/>
  <c r="I996" i="2"/>
  <c r="G264" i="4"/>
  <c r="M395" i="2"/>
  <c r="G236" i="4"/>
  <c r="G260" i="4"/>
  <c r="N327" i="2"/>
  <c r="N328" i="2" s="1"/>
  <c r="G261" i="4"/>
  <c r="M387" i="2"/>
  <c r="G238" i="4"/>
  <c r="N346" i="2"/>
  <c r="O344" i="2"/>
  <c r="O348" i="2"/>
  <c r="O345" i="2" s="1"/>
  <c r="M350" i="2"/>
  <c r="M351" i="2" s="1"/>
  <c r="M39" i="4" s="1"/>
  <c r="O335" i="2"/>
  <c r="O339" i="2"/>
  <c r="M341" i="2"/>
  <c r="M342" i="2" s="1"/>
  <c r="M38" i="4" s="1"/>
  <c r="N481" i="2"/>
  <c r="N483" i="2" s="1"/>
  <c r="G265" i="4"/>
  <c r="G246" i="4"/>
  <c r="K384" i="2"/>
  <c r="K46" i="4" s="1"/>
  <c r="K386" i="2"/>
  <c r="K393" i="2" s="1"/>
  <c r="O68" i="2"/>
  <c r="O330" i="2"/>
  <c r="O326" i="2"/>
  <c r="K652" i="2"/>
  <c r="L652" i="2" s="1"/>
  <c r="G237" i="4"/>
  <c r="K80" i="4"/>
  <c r="H301" i="7" s="1"/>
  <c r="J87" i="4"/>
  <c r="G241" i="4"/>
  <c r="G240" i="4"/>
  <c r="G239" i="4"/>
  <c r="G242" i="4"/>
  <c r="G50" i="4"/>
  <c r="G251" i="4"/>
  <c r="K74" i="4"/>
  <c r="H295" i="7" s="1"/>
  <c r="G575" i="2"/>
  <c r="G576" i="2" s="1"/>
  <c r="G262" i="4"/>
  <c r="G60" i="4"/>
  <c r="L128" i="2"/>
  <c r="L471" i="2" s="1"/>
  <c r="N107" i="2"/>
  <c r="N87" i="2"/>
  <c r="J129" i="2"/>
  <c r="K51" i="2"/>
  <c r="K129" i="2"/>
  <c r="K130" i="2"/>
  <c r="K1291" i="2" s="1"/>
  <c r="K431" i="4" s="1"/>
  <c r="M951" i="2"/>
  <c r="J1218" i="2"/>
  <c r="L956" i="2"/>
  <c r="G560" i="2"/>
  <c r="G252" i="2"/>
  <c r="G264" i="2" s="1"/>
  <c r="K517" i="2"/>
  <c r="K473" i="2"/>
  <c r="K527" i="2" s="1"/>
  <c r="N67" i="2"/>
  <c r="G557" i="2"/>
  <c r="H557" i="2" s="1"/>
  <c r="I557" i="2" s="1"/>
  <c r="J557" i="2" s="1"/>
  <c r="K557" i="2" s="1"/>
  <c r="L557" i="2" s="1"/>
  <c r="M557" i="2" s="1"/>
  <c r="N557" i="2" s="1"/>
  <c r="O557" i="2" s="1"/>
  <c r="G555" i="2"/>
  <c r="H555" i="2" s="1"/>
  <c r="I555" i="2" s="1"/>
  <c r="J555" i="2" s="1"/>
  <c r="K555" i="2" s="1"/>
  <c r="L555" i="2" s="1"/>
  <c r="M555" i="2" s="1"/>
  <c r="N555" i="2" s="1"/>
  <c r="O555" i="2" s="1"/>
  <c r="G552" i="2"/>
  <c r="G534" i="2"/>
  <c r="G538" i="2" s="1"/>
  <c r="H276" i="2"/>
  <c r="G276" i="2"/>
  <c r="G228" i="2"/>
  <c r="G29" i="4" s="1"/>
  <c r="K6" i="4"/>
  <c r="G277" i="2"/>
  <c r="H228" i="2"/>
  <c r="H241" i="2" s="1"/>
  <c r="H230" i="2" s="1"/>
  <c r="N27" i="2"/>
  <c r="N28" i="2" s="1"/>
  <c r="K1168" i="2"/>
  <c r="K1" i="2"/>
  <c r="K159" i="4"/>
  <c r="K1269" i="2"/>
  <c r="K638" i="2"/>
  <c r="K1056" i="2"/>
  <c r="K25" i="4"/>
  <c r="K4" i="4"/>
  <c r="K1" i="5"/>
  <c r="K1189" i="2"/>
  <c r="K14" i="1"/>
  <c r="K102" i="10"/>
  <c r="K1142" i="2"/>
  <c r="K205" i="4"/>
  <c r="K90" i="10"/>
  <c r="K68" i="1"/>
  <c r="K233" i="4"/>
  <c r="K408" i="4"/>
  <c r="K55" i="10"/>
  <c r="J110" i="10"/>
  <c r="K109" i="10" s="1"/>
  <c r="K124" i="4"/>
  <c r="K366" i="4"/>
  <c r="K1" i="1"/>
  <c r="K423" i="2"/>
  <c r="K4" i="2"/>
  <c r="K1" i="10"/>
  <c r="K91" i="4"/>
  <c r="K284" i="2"/>
  <c r="K570" i="2"/>
  <c r="K269" i="4"/>
  <c r="L142" i="4"/>
  <c r="J19" i="4"/>
  <c r="J18" i="4" s="1"/>
  <c r="J196" i="2"/>
  <c r="K113" i="1"/>
  <c r="L177" i="4"/>
  <c r="K140" i="2"/>
  <c r="K1000" i="2"/>
  <c r="K69" i="4"/>
  <c r="K4" i="5"/>
  <c r="K317" i="4"/>
  <c r="K1096" i="2"/>
  <c r="K1" i="4"/>
  <c r="K14" i="4"/>
  <c r="J34" i="4"/>
  <c r="H730" i="2"/>
  <c r="I730" i="2" s="1"/>
  <c r="J730" i="2" s="1"/>
  <c r="H678" i="2"/>
  <c r="I678" i="2" s="1"/>
  <c r="J678" i="2" s="1"/>
  <c r="K678" i="2" s="1"/>
  <c r="L678" i="2" s="1"/>
  <c r="H916" i="2"/>
  <c r="I916" i="2" s="1"/>
  <c r="J916" i="2" s="1"/>
  <c r="K916" i="2" s="1"/>
  <c r="H941" i="2"/>
  <c r="H853" i="2"/>
  <c r="I853" i="2" s="1"/>
  <c r="J853" i="2" s="1"/>
  <c r="L1029" i="2"/>
  <c r="M744" i="2"/>
  <c r="M946" i="2" s="1"/>
  <c r="M172" i="4" s="1"/>
  <c r="I1105" i="2"/>
  <c r="J1106" i="2"/>
  <c r="H708" i="2"/>
  <c r="I708" i="2" s="1"/>
  <c r="J708" i="2" s="1"/>
  <c r="K708" i="2" s="1"/>
  <c r="J117" i="10"/>
  <c r="J115" i="10" s="1"/>
  <c r="K112" i="10" s="1"/>
  <c r="K116" i="10"/>
  <c r="H935" i="2"/>
  <c r="H982" i="2" s="1"/>
  <c r="L1033" i="2"/>
  <c r="M1033" i="2" s="1"/>
  <c r="N1029" i="2" s="1"/>
  <c r="G63" i="4"/>
  <c r="J819" i="2"/>
  <c r="K818" i="2" s="1"/>
  <c r="K819" i="2" s="1"/>
  <c r="L818" i="2" s="1"/>
  <c r="L819" i="2" s="1"/>
  <c r="M818" i="2" s="1"/>
  <c r="M819" i="2" s="1"/>
  <c r="K746" i="2"/>
  <c r="L746" i="2" s="1"/>
  <c r="M746" i="2" s="1"/>
  <c r="G958" i="2"/>
  <c r="H770" i="2"/>
  <c r="Q320" i="2"/>
  <c r="Q380" i="2"/>
  <c r="Q311" i="2"/>
  <c r="Q368" i="2"/>
  <c r="Q359" i="2"/>
  <c r="I618" i="2"/>
  <c r="I619" i="2" s="1"/>
  <c r="I793" i="2"/>
  <c r="J792" i="2" s="1"/>
  <c r="J793" i="2" s="1"/>
  <c r="K792" i="2" s="1"/>
  <c r="L1119" i="2"/>
  <c r="M1118" i="2" s="1"/>
  <c r="M1119" i="2" s="1"/>
  <c r="M1117" i="2" s="1"/>
  <c r="Q259" i="2"/>
  <c r="Q235" i="2"/>
  <c r="L1299" i="2"/>
  <c r="N932" i="2"/>
  <c r="N980" i="2" s="1"/>
  <c r="M219" i="4"/>
  <c r="L220" i="4"/>
  <c r="H827" i="2"/>
  <c r="H801" i="2"/>
  <c r="K1014" i="2"/>
  <c r="L1013" i="2"/>
  <c r="H886" i="2"/>
  <c r="I886" i="2" s="1"/>
  <c r="G775" i="2"/>
  <c r="G995" i="2" s="1"/>
  <c r="J849" i="2"/>
  <c r="K848" i="2" s="1"/>
  <c r="K849" i="2" s="1"/>
  <c r="L848" i="2" s="1"/>
  <c r="L849" i="2" s="1"/>
  <c r="M848" i="2" s="1"/>
  <c r="M849" i="2" s="1"/>
  <c r="I704" i="2"/>
  <c r="J703" i="2" s="1"/>
  <c r="J704" i="2" s="1"/>
  <c r="K703" i="2" s="1"/>
  <c r="K704" i="2" s="1"/>
  <c r="L703" i="2" s="1"/>
  <c r="L704" i="2" s="1"/>
  <c r="M703" i="2" s="1"/>
  <c r="M704" i="2" s="1"/>
  <c r="N169" i="2"/>
  <c r="N170" i="2" s="1"/>
  <c r="H881" i="2"/>
  <c r="H972" i="2" s="1"/>
  <c r="M962" i="2"/>
  <c r="J700" i="2"/>
  <c r="K699" i="2" s="1"/>
  <c r="K700" i="2" s="1"/>
  <c r="L699" i="2" s="1"/>
  <c r="L700" i="2" s="1"/>
  <c r="M699" i="2" s="1"/>
  <c r="N665" i="2"/>
  <c r="N741" i="2"/>
  <c r="J670" i="2"/>
  <c r="K669" i="2" s="1"/>
  <c r="K670" i="2" s="1"/>
  <c r="L669" i="2" s="1"/>
  <c r="L670" i="2" s="1"/>
  <c r="M669" i="2" s="1"/>
  <c r="M670" i="2" s="1"/>
  <c r="H766" i="2"/>
  <c r="G954" i="2"/>
  <c r="N26" i="1"/>
  <c r="M27" i="1"/>
  <c r="M28" i="1"/>
  <c r="M29" i="1"/>
  <c r="Q484" i="2"/>
  <c r="Q520" i="2"/>
  <c r="Q464" i="2"/>
  <c r="Q474" i="2"/>
  <c r="Q454" i="2"/>
  <c r="G1307" i="2"/>
  <c r="L34" i="1"/>
  <c r="M785" i="2"/>
  <c r="M76" i="4" s="1"/>
  <c r="J297" i="7" s="1"/>
  <c r="M955" i="2"/>
  <c r="M952" i="2"/>
  <c r="O831" i="2"/>
  <c r="O834" i="2"/>
  <c r="N840" i="2"/>
  <c r="N852" i="2"/>
  <c r="N842" i="2"/>
  <c r="N846" i="2"/>
  <c r="N837" i="2" s="1"/>
  <c r="N78" i="4" s="1"/>
  <c r="K299" i="7" s="1"/>
  <c r="L843" i="2"/>
  <c r="N841" i="2"/>
  <c r="M847" i="2"/>
  <c r="L845" i="2"/>
  <c r="M844" i="2" s="1"/>
  <c r="M845" i="2" s="1"/>
  <c r="O808" i="2"/>
  <c r="O805" i="2"/>
  <c r="N814" i="2"/>
  <c r="N815" i="2"/>
  <c r="M759" i="2"/>
  <c r="M75" i="4" s="1"/>
  <c r="J296" i="7" s="1"/>
  <c r="N826" i="2"/>
  <c r="N816" i="2"/>
  <c r="N820" i="2"/>
  <c r="N811" i="2" s="1"/>
  <c r="N77" i="4" s="1"/>
  <c r="K298" i="7" s="1"/>
  <c r="M822" i="2"/>
  <c r="M823" i="2" s="1"/>
  <c r="M821" i="2"/>
  <c r="L817" i="2"/>
  <c r="N49" i="2"/>
  <c r="N50" i="2" s="1"/>
  <c r="N788" i="2"/>
  <c r="M796" i="2"/>
  <c r="M797" i="2" s="1"/>
  <c r="M795" i="2"/>
  <c r="N800" i="2"/>
  <c r="N794" i="2"/>
  <c r="N785" i="2" s="1"/>
  <c r="N76" i="4" s="1"/>
  <c r="K297" i="7" s="1"/>
  <c r="N790" i="2"/>
  <c r="L74" i="4"/>
  <c r="I295" i="7" s="1"/>
  <c r="O779" i="2"/>
  <c r="O782" i="2"/>
  <c r="N789" i="2"/>
  <c r="L791" i="2"/>
  <c r="N762" i="2"/>
  <c r="N763" i="2"/>
  <c r="N774" i="2"/>
  <c r="N764" i="2"/>
  <c r="N768" i="2"/>
  <c r="M769" i="2"/>
  <c r="L765" i="2"/>
  <c r="O753" i="2"/>
  <c r="O756" i="2"/>
  <c r="L412" i="2"/>
  <c r="I416" i="2"/>
  <c r="I1322" i="2" s="1"/>
  <c r="J430" i="4"/>
  <c r="J414" i="2"/>
  <c r="J617" i="2" s="1"/>
  <c r="J618" i="2" s="1"/>
  <c r="I243" i="4"/>
  <c r="I418" i="2"/>
  <c r="K412" i="2"/>
  <c r="K457" i="4" s="1"/>
  <c r="J51" i="2"/>
  <c r="J52" i="2"/>
  <c r="J386" i="2"/>
  <c r="J484" i="4"/>
  <c r="I128" i="4"/>
  <c r="N297" i="2"/>
  <c r="N298" i="2" s="1"/>
  <c r="N302" i="2" s="1"/>
  <c r="N303" i="2" s="1"/>
  <c r="K315" i="2"/>
  <c r="K35" i="4" s="1"/>
  <c r="K34" i="4" s="1"/>
  <c r="K96" i="4" s="1"/>
  <c r="M907" i="2"/>
  <c r="M908" i="2" s="1"/>
  <c r="N1120" i="2"/>
  <c r="N1121" i="2" s="1"/>
  <c r="M7" i="4"/>
  <c r="O58" i="2"/>
  <c r="O47" i="2"/>
  <c r="O61" i="2"/>
  <c r="M63" i="2"/>
  <c r="L64" i="2"/>
  <c r="J41" i="4"/>
  <c r="L84" i="4"/>
  <c r="I305" i="7" s="1"/>
  <c r="L323" i="2"/>
  <c r="I262" i="4"/>
  <c r="H48" i="4"/>
  <c r="I97" i="4"/>
  <c r="N1242" i="2"/>
  <c r="N1258" i="2" s="1"/>
  <c r="I192" i="4"/>
  <c r="I208" i="4" s="1"/>
  <c r="I1259" i="2"/>
  <c r="H195" i="4"/>
  <c r="H208" i="4"/>
  <c r="H222" i="4"/>
  <c r="J1232" i="2"/>
  <c r="K1233" i="2"/>
  <c r="I373" i="4"/>
  <c r="I276" i="4"/>
  <c r="I212" i="4"/>
  <c r="J373" i="4"/>
  <c r="J212" i="4"/>
  <c r="J276" i="4"/>
  <c r="O1235" i="2"/>
  <c r="N743" i="2"/>
  <c r="N945" i="2" s="1"/>
  <c r="N742" i="2"/>
  <c r="N944" i="2" s="1"/>
  <c r="K1234" i="2"/>
  <c r="K1252" i="2" s="1"/>
  <c r="K130" i="4" s="1"/>
  <c r="K1307" i="2"/>
  <c r="O737" i="2"/>
  <c r="L963" i="2"/>
  <c r="L139" i="4" s="1"/>
  <c r="M963" i="2"/>
  <c r="M139" i="4" s="1"/>
  <c r="O896" i="2"/>
  <c r="O890" i="2"/>
  <c r="N905" i="2"/>
  <c r="N902" i="2"/>
  <c r="N904" i="2"/>
  <c r="N915" i="2"/>
  <c r="N909" i="2"/>
  <c r="L906" i="2"/>
  <c r="M911" i="2"/>
  <c r="M912" i="2" s="1"/>
  <c r="M910" i="2"/>
  <c r="M928" i="2"/>
  <c r="M85" i="4" s="1"/>
  <c r="J306" i="7" s="1"/>
  <c r="M984" i="2"/>
  <c r="O923" i="2"/>
  <c r="O925" i="2"/>
  <c r="N940" i="2"/>
  <c r="N988" i="2" s="1"/>
  <c r="N933" i="2"/>
  <c r="N981" i="2" s="1"/>
  <c r="N937" i="2"/>
  <c r="L934" i="2"/>
  <c r="N931" i="2"/>
  <c r="M938" i="2"/>
  <c r="N875" i="2"/>
  <c r="L876" i="2"/>
  <c r="M869" i="2"/>
  <c r="M81" i="4" s="1"/>
  <c r="J302" i="7" s="1"/>
  <c r="M880" i="2"/>
  <c r="O860" i="2"/>
  <c r="O866" i="2"/>
  <c r="N872" i="2"/>
  <c r="N874" i="2"/>
  <c r="N966" i="2" s="1"/>
  <c r="L869" i="2"/>
  <c r="L81" i="4" s="1"/>
  <c r="I302" i="7" s="1"/>
  <c r="N885" i="2"/>
  <c r="N879" i="2"/>
  <c r="N970" i="2" s="1"/>
  <c r="I61" i="4"/>
  <c r="I60" i="4" s="1"/>
  <c r="I102" i="4" s="1"/>
  <c r="I553" i="2"/>
  <c r="I565" i="2" s="1"/>
  <c r="I524" i="2"/>
  <c r="I554" i="2" s="1"/>
  <c r="I1302" i="2" s="1"/>
  <c r="H552" i="2"/>
  <c r="H566" i="2" s="1"/>
  <c r="G562" i="2"/>
  <c r="H560" i="2"/>
  <c r="I526" i="2"/>
  <c r="H536" i="2"/>
  <c r="I534" i="2"/>
  <c r="I529" i="2"/>
  <c r="H252" i="2"/>
  <c r="K219" i="2"/>
  <c r="K221" i="2" s="1"/>
  <c r="K243" i="2"/>
  <c r="H275" i="2"/>
  <c r="H586" i="2" s="1"/>
  <c r="I246" i="2"/>
  <c r="I275" i="2" s="1"/>
  <c r="I586" i="2" s="1"/>
  <c r="I248" i="2"/>
  <c r="I228" i="2"/>
  <c r="G588" i="2"/>
  <c r="J222" i="2"/>
  <c r="J224" i="2"/>
  <c r="I276" i="2"/>
  <c r="O262" i="2"/>
  <c r="O260" i="2"/>
  <c r="O244" i="2"/>
  <c r="O250" i="2"/>
  <c r="H217" i="2"/>
  <c r="J202" i="2"/>
  <c r="I204" i="2"/>
  <c r="O238" i="2"/>
  <c r="O236" i="2"/>
  <c r="O220" i="2"/>
  <c r="O226" i="2"/>
  <c r="M488" i="2"/>
  <c r="M54" i="4"/>
  <c r="O486" i="2"/>
  <c r="O482" i="2"/>
  <c r="O485" i="2"/>
  <c r="O476" i="2"/>
  <c r="O472" i="2"/>
  <c r="O475" i="2"/>
  <c r="M468" i="2"/>
  <c r="M52" i="4"/>
  <c r="O466" i="2"/>
  <c r="O462" i="2"/>
  <c r="O465" i="2"/>
  <c r="N463" i="2"/>
  <c r="O522" i="2"/>
  <c r="O518" i="2"/>
  <c r="O521" i="2"/>
  <c r="M458" i="2"/>
  <c r="M51" i="4"/>
  <c r="O456" i="2"/>
  <c r="O452" i="2"/>
  <c r="O455" i="2"/>
  <c r="N453" i="2"/>
  <c r="N318" i="2"/>
  <c r="N319" i="2" s="1"/>
  <c r="N309" i="2"/>
  <c r="N310" i="2" s="1"/>
  <c r="L402" i="2"/>
  <c r="N378" i="2"/>
  <c r="N379" i="2" s="1"/>
  <c r="N403" i="2" s="1"/>
  <c r="N357" i="2"/>
  <c r="N358" i="2" s="1"/>
  <c r="N366" i="2"/>
  <c r="N367" i="2" s="1"/>
  <c r="I397" i="2"/>
  <c r="H401" i="2"/>
  <c r="L315" i="2"/>
  <c r="L35" i="4" s="1"/>
  <c r="O321" i="2"/>
  <c r="O317" i="2"/>
  <c r="M323" i="2"/>
  <c r="M324" i="2" s="1"/>
  <c r="M36" i="4" s="1"/>
  <c r="O312" i="2"/>
  <c r="O308" i="2"/>
  <c r="M110" i="2"/>
  <c r="M314" i="2"/>
  <c r="N439" i="2"/>
  <c r="N440" i="2" s="1"/>
  <c r="M383" i="2"/>
  <c r="M404" i="2" s="1"/>
  <c r="L384" i="2"/>
  <c r="L46" i="4" s="1"/>
  <c r="L45" i="4" s="1"/>
  <c r="O381" i="2"/>
  <c r="O377" i="2"/>
  <c r="M371" i="2"/>
  <c r="M70" i="2"/>
  <c r="K92" i="2"/>
  <c r="O369" i="2"/>
  <c r="O365" i="2"/>
  <c r="H28" i="4"/>
  <c r="L123" i="2"/>
  <c r="L124" i="2" s="1"/>
  <c r="G205" i="2"/>
  <c r="N69" i="2"/>
  <c r="H216" i="2"/>
  <c r="G206" i="2"/>
  <c r="J112" i="2"/>
  <c r="K112" i="2" s="1"/>
  <c r="L363" i="2"/>
  <c r="L42" i="4" s="1"/>
  <c r="L41" i="4" s="1"/>
  <c r="M362" i="2"/>
  <c r="O360" i="2"/>
  <c r="O356" i="2"/>
  <c r="K111" i="2"/>
  <c r="L103" i="2"/>
  <c r="L104" i="2" s="1"/>
  <c r="M90" i="2"/>
  <c r="M9" i="4" s="1"/>
  <c r="K198" i="2"/>
  <c r="K200" i="2"/>
  <c r="L196" i="2"/>
  <c r="L19" i="4"/>
  <c r="L18" i="4" s="1"/>
  <c r="L83" i="2"/>
  <c r="L84" i="2" s="1"/>
  <c r="L8" i="4"/>
  <c r="L6" i="4" s="1"/>
  <c r="L1200" i="2"/>
  <c r="L467" i="4"/>
  <c r="L698" i="2"/>
  <c r="Q117" i="2"/>
  <c r="Q97" i="2"/>
  <c r="P57" i="10"/>
  <c r="P62" i="10"/>
  <c r="M177" i="4"/>
  <c r="N109" i="2"/>
  <c r="N89" i="2"/>
  <c r="K72" i="2"/>
  <c r="K71" i="2"/>
  <c r="K549" i="2"/>
  <c r="L546" i="2"/>
  <c r="I574" i="2"/>
  <c r="L547" i="2"/>
  <c r="L539" i="2"/>
  <c r="O118" i="2"/>
  <c r="O108" i="2"/>
  <c r="O121" i="2"/>
  <c r="O101" i="2"/>
  <c r="O98" i="2"/>
  <c r="O88" i="2"/>
  <c r="K189" i="2"/>
  <c r="J179" i="2"/>
  <c r="M173" i="2"/>
  <c r="M177" i="2" s="1"/>
  <c r="K164" i="2"/>
  <c r="J178" i="2"/>
  <c r="M724" i="2"/>
  <c r="M725" i="2" s="1"/>
  <c r="L177" i="2"/>
  <c r="L189" i="2" s="1"/>
  <c r="J549" i="2"/>
  <c r="J551" i="2" s="1"/>
  <c r="L152" i="2"/>
  <c r="L165" i="2" s="1"/>
  <c r="L153" i="2" s="1"/>
  <c r="M146" i="2"/>
  <c r="M152" i="2" s="1"/>
  <c r="M165" i="2" s="1"/>
  <c r="L156" i="2" s="1"/>
  <c r="M673" i="2"/>
  <c r="M674" i="2" s="1"/>
  <c r="K547" i="2"/>
  <c r="L30" i="2"/>
  <c r="M30" i="2" s="1"/>
  <c r="L29" i="2"/>
  <c r="K394" i="2"/>
  <c r="N9" i="2"/>
  <c r="N21" i="2" s="1"/>
  <c r="M29" i="2"/>
  <c r="N1011" i="2"/>
  <c r="O1012" i="2" s="1"/>
  <c r="O1011" i="2" s="1"/>
  <c r="N647" i="2"/>
  <c r="N649" i="2"/>
  <c r="N648" i="2"/>
  <c r="V113" i="10"/>
  <c r="V75" i="10"/>
  <c r="N1280" i="2"/>
  <c r="N145" i="2"/>
  <c r="N1274" i="2"/>
  <c r="N1276" i="2" s="1"/>
  <c r="M702" i="2"/>
  <c r="V106" i="10"/>
  <c r="P1091" i="2"/>
  <c r="P1090" i="2" s="1"/>
  <c r="O1092" i="2"/>
  <c r="W82" i="10"/>
  <c r="M672" i="2"/>
  <c r="R292" i="4"/>
  <c r="R341" i="4"/>
  <c r="R383" i="4"/>
  <c r="R47" i="1"/>
  <c r="R57" i="2" s="1"/>
  <c r="R49" i="1"/>
  <c r="R50" i="1"/>
  <c r="R48" i="1"/>
  <c r="S43" i="1"/>
  <c r="N721" i="2"/>
  <c r="M727" i="2"/>
  <c r="N707" i="2"/>
  <c r="N701" i="2"/>
  <c r="M194" i="2"/>
  <c r="M650" i="2"/>
  <c r="P2" i="5"/>
  <c r="P2" i="4"/>
  <c r="P2" i="2"/>
  <c r="P2" i="10"/>
  <c r="P2" i="1"/>
  <c r="Q25" i="1"/>
  <c r="M1276" i="2"/>
  <c r="N694" i="2"/>
  <c r="O146" i="1"/>
  <c r="O59" i="1"/>
  <c r="O120" i="1"/>
  <c r="O45" i="1"/>
  <c r="O44" i="1"/>
  <c r="O123" i="1"/>
  <c r="O140" i="1"/>
  <c r="O131" i="1"/>
  <c r="O53" i="1"/>
  <c r="M21" i="2"/>
  <c r="M22" i="2" s="1"/>
  <c r="M10" i="2" s="1"/>
  <c r="V68" i="10"/>
  <c r="M502" i="4"/>
  <c r="M440" i="4"/>
  <c r="M467" i="4"/>
  <c r="N696" i="2"/>
  <c r="N720" i="2"/>
  <c r="Q1083" i="2"/>
  <c r="Q1082" i="2" s="1"/>
  <c r="P1084" i="2"/>
  <c r="N697" i="2"/>
  <c r="Q430" i="2"/>
  <c r="Q441" i="2"/>
  <c r="N289" i="2"/>
  <c r="N429" i="2"/>
  <c r="N542" i="2"/>
  <c r="O542" i="2" s="1"/>
  <c r="N677" i="2"/>
  <c r="N667" i="2"/>
  <c r="N671" i="2"/>
  <c r="N662" i="2" s="1"/>
  <c r="O136" i="10"/>
  <c r="O188" i="4" s="1"/>
  <c r="O93" i="10"/>
  <c r="O168" i="4" s="1"/>
  <c r="O135" i="10"/>
  <c r="O133" i="10"/>
  <c r="O65" i="10"/>
  <c r="O97" i="10"/>
  <c r="O176" i="4" s="1"/>
  <c r="Q1063" i="2"/>
  <c r="Q1062" i="2" s="1"/>
  <c r="P1061" i="2"/>
  <c r="Q290" i="2"/>
  <c r="Q299" i="2"/>
  <c r="Q184" i="2"/>
  <c r="Q211" i="2"/>
  <c r="Q159" i="2"/>
  <c r="P87" i="1"/>
  <c r="O91" i="1"/>
  <c r="N666" i="2"/>
  <c r="Q77" i="2"/>
  <c r="Q35" i="2"/>
  <c r="Q16" i="2"/>
  <c r="U61" i="1"/>
  <c r="V60" i="1"/>
  <c r="N1039" i="2"/>
  <c r="N1038" i="2"/>
  <c r="N1209" i="2"/>
  <c r="O1208" i="2" s="1"/>
  <c r="O1209" i="2" s="1"/>
  <c r="O1335" i="2"/>
  <c r="O1279" i="2"/>
  <c r="O1220" i="2"/>
  <c r="O1221" i="2" s="1"/>
  <c r="O1136" i="2"/>
  <c r="O714" i="2"/>
  <c r="O431" i="2"/>
  <c r="O391" i="2"/>
  <c r="O300" i="2"/>
  <c r="O291" i="2"/>
  <c r="O212" i="2"/>
  <c r="O1278" i="2"/>
  <c r="O1108" i="2"/>
  <c r="O1109" i="2" s="1"/>
  <c r="O1037" i="2"/>
  <c r="O712" i="2"/>
  <c r="O389" i="2"/>
  <c r="O187" i="2"/>
  <c r="O144" i="2"/>
  <c r="O81" i="2"/>
  <c r="O1028" i="2"/>
  <c r="O623" i="2"/>
  <c r="O624" i="2" s="1"/>
  <c r="O143" i="2"/>
  <c r="O39" i="2"/>
  <c r="O1281" i="2"/>
  <c r="O1272" i="2"/>
  <c r="O1032" i="2"/>
  <c r="O1031" i="2" s="1"/>
  <c r="O659" i="2"/>
  <c r="O628" i="2"/>
  <c r="O544" i="2"/>
  <c r="O443" i="2"/>
  <c r="O407" i="2"/>
  <c r="O214" i="2"/>
  <c r="O160" i="2"/>
  <c r="O1150" i="2"/>
  <c r="O1151" i="2" s="1"/>
  <c r="O442" i="2"/>
  <c r="O296" i="2"/>
  <c r="O185" i="2"/>
  <c r="O26" i="2"/>
  <c r="O25" i="2" s="1"/>
  <c r="O8" i="2"/>
  <c r="O1273" i="2"/>
  <c r="O438" i="2"/>
  <c r="O437" i="2" s="1"/>
  <c r="O162" i="2"/>
  <c r="O7" i="2"/>
  <c r="O1146" i="2"/>
  <c r="O1147" i="2" s="1"/>
  <c r="O688" i="2"/>
  <c r="O78" i="2"/>
  <c r="O1026" i="2"/>
  <c r="O682" i="2"/>
  <c r="O643" i="2"/>
  <c r="O287" i="2"/>
  <c r="O36" i="2"/>
  <c r="O428" i="2"/>
  <c r="O1017" i="2"/>
  <c r="O656" i="2"/>
  <c r="O432" i="2"/>
  <c r="O288" i="2"/>
  <c r="O1201" i="2"/>
  <c r="O1202" i="2" s="1"/>
  <c r="O427" i="2"/>
  <c r="O1275" i="2"/>
  <c r="O1178" i="2"/>
  <c r="O197" i="4" s="1"/>
  <c r="O405" i="2"/>
  <c r="O168" i="2"/>
  <c r="O167" i="2" s="1"/>
  <c r="O19" i="2"/>
  <c r="O17" i="2"/>
  <c r="O150" i="2"/>
  <c r="O175" i="2"/>
  <c r="K179" i="2"/>
  <c r="K178" i="2"/>
  <c r="J181" i="2"/>
  <c r="M197" i="2"/>
  <c r="P80" i="1"/>
  <c r="Q81" i="1"/>
  <c r="N71" i="10"/>
  <c r="N72" i="10" s="1"/>
  <c r="O70" i="10" s="1"/>
  <c r="U86" i="1"/>
  <c r="N729" i="2"/>
  <c r="N722" i="2"/>
  <c r="N726" i="2"/>
  <c r="N717" i="2" s="1"/>
  <c r="O412" i="4"/>
  <c r="O342" i="4"/>
  <c r="O370" i="4"/>
  <c r="O194" i="4"/>
  <c r="O298" i="4"/>
  <c r="O384" i="4"/>
  <c r="O293" i="4"/>
  <c r="O273" i="4"/>
  <c r="O321" i="4"/>
  <c r="O283" i="4"/>
  <c r="O169" i="4"/>
  <c r="O347" i="4"/>
  <c r="O199" i="4"/>
  <c r="O332" i="4"/>
  <c r="O389" i="4"/>
  <c r="O189" i="4"/>
  <c r="O178" i="4"/>
  <c r="U55" i="1"/>
  <c r="V54" i="1"/>
  <c r="I156" i="2"/>
  <c r="I158" i="2" s="1"/>
  <c r="J153" i="2"/>
  <c r="J154" i="2"/>
  <c r="K154" i="2"/>
  <c r="H496" i="4"/>
  <c r="H464" i="4"/>
  <c r="H437" i="4"/>
  <c r="I324" i="4"/>
  <c r="I1184" i="2"/>
  <c r="I277" i="4"/>
  <c r="I1264" i="2"/>
  <c r="I374" i="4"/>
  <c r="M294" i="2"/>
  <c r="K399" i="2"/>
  <c r="J156" i="2"/>
  <c r="K138" i="4"/>
  <c r="K990" i="2"/>
  <c r="J416" i="2"/>
  <c r="J1322" i="2" s="1"/>
  <c r="J1321" i="2"/>
  <c r="M84" i="10"/>
  <c r="L949" i="2"/>
  <c r="L627" i="2"/>
  <c r="L626" i="2" s="1"/>
  <c r="L184" i="4" s="1"/>
  <c r="K78" i="10"/>
  <c r="J144" i="4"/>
  <c r="I94" i="4" l="1"/>
  <c r="I98" i="4" s="1"/>
  <c r="G308" i="7"/>
  <c r="M83" i="2"/>
  <c r="M971" i="2"/>
  <c r="L388" i="2"/>
  <c r="L386" i="2" s="1"/>
  <c r="L393" i="2" s="1"/>
  <c r="J458" i="4"/>
  <c r="M10" i="4"/>
  <c r="J131" i="2"/>
  <c r="J485" i="4"/>
  <c r="J93" i="4"/>
  <c r="G97" i="4"/>
  <c r="H878" i="2"/>
  <c r="H969" i="2" s="1"/>
  <c r="K45" i="4"/>
  <c r="G533" i="2"/>
  <c r="J527" i="2"/>
  <c r="J478" i="2"/>
  <c r="J528" i="2" s="1"/>
  <c r="J53" i="4"/>
  <c r="H533" i="2"/>
  <c r="O336" i="2"/>
  <c r="O337" i="2" s="1"/>
  <c r="P506" i="2"/>
  <c r="P502" i="2"/>
  <c r="P505" i="2"/>
  <c r="P501" i="2"/>
  <c r="O503" i="2"/>
  <c r="N967" i="2"/>
  <c r="N508" i="2"/>
  <c r="G1302" i="2"/>
  <c r="N498" i="2"/>
  <c r="N55" i="4"/>
  <c r="G566" i="2"/>
  <c r="N977" i="2"/>
  <c r="O493" i="2"/>
  <c r="O55" i="4" s="1"/>
  <c r="P496" i="2"/>
  <c r="P492" i="2"/>
  <c r="P495" i="2"/>
  <c r="P491" i="2"/>
  <c r="L996" i="2"/>
  <c r="O327" i="2"/>
  <c r="O328" i="2" s="1"/>
  <c r="O332" i="2" s="1"/>
  <c r="O333" i="2" s="1"/>
  <c r="O37" i="4" s="1"/>
  <c r="O411" i="2"/>
  <c r="O481" i="2" s="1"/>
  <c r="O483" i="2" s="1"/>
  <c r="O54" i="4" s="1"/>
  <c r="M396" i="2"/>
  <c r="M394" i="2" s="1"/>
  <c r="M388" i="2"/>
  <c r="K87" i="4"/>
  <c r="N362" i="2"/>
  <c r="N363" i="2" s="1"/>
  <c r="N42" i="4" s="1"/>
  <c r="N395" i="2"/>
  <c r="N387" i="2"/>
  <c r="P348" i="2"/>
  <c r="P345" i="2" s="1"/>
  <c r="P344" i="2"/>
  <c r="O346" i="2"/>
  <c r="N350" i="2"/>
  <c r="N351" i="2" s="1"/>
  <c r="N39" i="4" s="1"/>
  <c r="N673" i="2"/>
  <c r="N674" i="2" s="1"/>
  <c r="N341" i="2"/>
  <c r="N342" i="2" s="1"/>
  <c r="N38" i="4" s="1"/>
  <c r="P339" i="2"/>
  <c r="P335" i="2"/>
  <c r="N332" i="2"/>
  <c r="N333" i="2" s="1"/>
  <c r="N37" i="4" s="1"/>
  <c r="P68" i="2"/>
  <c r="P330" i="2"/>
  <c r="P326" i="2"/>
  <c r="M652" i="2"/>
  <c r="G48" i="4"/>
  <c r="M80" i="4"/>
  <c r="J301" i="7" s="1"/>
  <c r="L80" i="4"/>
  <c r="I301" i="7" s="1"/>
  <c r="H576" i="2"/>
  <c r="G243" i="4"/>
  <c r="K413" i="2"/>
  <c r="K1321" i="2" s="1"/>
  <c r="K497" i="4" s="1"/>
  <c r="K93" i="4"/>
  <c r="K260" i="4" s="1"/>
  <c r="G102" i="4"/>
  <c r="G572" i="2"/>
  <c r="G162" i="4" s="1"/>
  <c r="G30" i="4"/>
  <c r="G265" i="2"/>
  <c r="G254" i="2" s="1"/>
  <c r="J96" i="4"/>
  <c r="O107" i="2"/>
  <c r="O87" i="2"/>
  <c r="G564" i="2"/>
  <c r="L129" i="2"/>
  <c r="K52" i="2"/>
  <c r="K133" i="2" s="1"/>
  <c r="K574" i="2" s="1"/>
  <c r="J133" i="2"/>
  <c r="J574" i="2" s="1"/>
  <c r="J575" i="2" s="1"/>
  <c r="L130" i="2"/>
  <c r="L1291" i="2" s="1"/>
  <c r="L458" i="4" s="1"/>
  <c r="M128" i="2"/>
  <c r="M471" i="2" s="1"/>
  <c r="L1117" i="2"/>
  <c r="I941" i="2"/>
  <c r="J941" i="2" s="1"/>
  <c r="J1219" i="2"/>
  <c r="K1218" i="2" s="1"/>
  <c r="K1219" i="2" s="1"/>
  <c r="L517" i="2"/>
  <c r="L473" i="2"/>
  <c r="L527" i="2" s="1"/>
  <c r="G592" i="2"/>
  <c r="G593" i="2" s="1"/>
  <c r="G594" i="2" s="1"/>
  <c r="I592" i="2"/>
  <c r="O67" i="2"/>
  <c r="O195" i="2" s="1"/>
  <c r="G559" i="2"/>
  <c r="H592" i="2"/>
  <c r="G598" i="2"/>
  <c r="G599" i="2" s="1"/>
  <c r="G600" i="2" s="1"/>
  <c r="H538" i="2"/>
  <c r="G240" i="2"/>
  <c r="G274" i="2" s="1"/>
  <c r="G1292" i="2" s="1"/>
  <c r="G432" i="4" s="1"/>
  <c r="G271" i="2"/>
  <c r="H29" i="4"/>
  <c r="O27" i="2"/>
  <c r="O28" i="2" s="1"/>
  <c r="O41" i="2" s="1"/>
  <c r="O42" i="2" s="1"/>
  <c r="O29" i="2" s="1"/>
  <c r="G232" i="2"/>
  <c r="H240" i="2"/>
  <c r="H229" i="2"/>
  <c r="H271" i="2"/>
  <c r="G241" i="2"/>
  <c r="G229" i="2" s="1"/>
  <c r="L92" i="2"/>
  <c r="K110" i="10"/>
  <c r="L109" i="10" s="1"/>
  <c r="L110" i="10" s="1"/>
  <c r="J198" i="2"/>
  <c r="J200" i="2"/>
  <c r="J108" i="10"/>
  <c r="K105" i="10" s="1"/>
  <c r="K41" i="4"/>
  <c r="G107" i="4"/>
  <c r="J410" i="2"/>
  <c r="J32" i="4"/>
  <c r="H936" i="2"/>
  <c r="H983" i="2" s="1"/>
  <c r="H175" i="4" s="1"/>
  <c r="M1029" i="2"/>
  <c r="N1033" i="2"/>
  <c r="O1033" i="2" s="1"/>
  <c r="P1029" i="2" s="1"/>
  <c r="J1107" i="2"/>
  <c r="K1106" i="2" s="1"/>
  <c r="N650" i="2"/>
  <c r="L708" i="2"/>
  <c r="K117" i="10"/>
  <c r="L116" i="10" s="1"/>
  <c r="M34" i="1"/>
  <c r="M1269" i="2" s="1"/>
  <c r="N669" i="2"/>
  <c r="N670" i="2" s="1"/>
  <c r="I615" i="2"/>
  <c r="I186" i="4" s="1"/>
  <c r="O169" i="2"/>
  <c r="O170" i="2" s="1"/>
  <c r="J619" i="2"/>
  <c r="M817" i="2"/>
  <c r="H1310" i="2"/>
  <c r="G1310" i="2"/>
  <c r="I1310" i="2"/>
  <c r="R320" i="2"/>
  <c r="R380" i="2"/>
  <c r="R311" i="2"/>
  <c r="R368" i="2"/>
  <c r="R359" i="2"/>
  <c r="L69" i="4"/>
  <c r="L102" i="10"/>
  <c r="L4" i="2"/>
  <c r="L1" i="4"/>
  <c r="L140" i="2"/>
  <c r="L570" i="2"/>
  <c r="L14" i="1"/>
  <c r="L55" i="10"/>
  <c r="L1" i="1"/>
  <c r="L4" i="5"/>
  <c r="L408" i="4"/>
  <c r="L269" i="4"/>
  <c r="L284" i="2"/>
  <c r="L90" i="10"/>
  <c r="L1168" i="2"/>
  <c r="L38" i="1"/>
  <c r="L423" i="2"/>
  <c r="L1000" i="2"/>
  <c r="L68" i="1"/>
  <c r="L1189" i="2"/>
  <c r="L14" i="4"/>
  <c r="L4" i="4"/>
  <c r="L233" i="4"/>
  <c r="L317" i="4"/>
  <c r="L205" i="4"/>
  <c r="L91" i="4"/>
  <c r="L1056" i="2"/>
  <c r="L1" i="2"/>
  <c r="L1096" i="2"/>
  <c r="L1" i="10"/>
  <c r="L124" i="4"/>
  <c r="L1269" i="2"/>
  <c r="L366" i="4"/>
  <c r="L113" i="1"/>
  <c r="L159" i="4"/>
  <c r="L25" i="4"/>
  <c r="L1142" i="2"/>
  <c r="L1" i="5"/>
  <c r="L638" i="2"/>
  <c r="N1243" i="2"/>
  <c r="N1257" i="2" s="1"/>
  <c r="M843" i="2"/>
  <c r="J1310" i="2"/>
  <c r="R520" i="2"/>
  <c r="R484" i="2"/>
  <c r="R474" i="2"/>
  <c r="R464" i="2"/>
  <c r="R454" i="2"/>
  <c r="N744" i="2"/>
  <c r="N946" i="2" s="1"/>
  <c r="N172" i="4" s="1"/>
  <c r="H882" i="2"/>
  <c r="H973" i="2" s="1"/>
  <c r="H775" i="2"/>
  <c r="I827" i="2"/>
  <c r="O26" i="1"/>
  <c r="N29" i="1"/>
  <c r="N28" i="1"/>
  <c r="N27" i="1"/>
  <c r="K730" i="2"/>
  <c r="L730" i="2" s="1"/>
  <c r="H587" i="2"/>
  <c r="H588" i="2" s="1"/>
  <c r="G1316" i="2"/>
  <c r="G173" i="4"/>
  <c r="M220" i="4"/>
  <c r="N219" i="4"/>
  <c r="O788" i="2"/>
  <c r="N962" i="2"/>
  <c r="H953" i="2"/>
  <c r="H63" i="4" s="1"/>
  <c r="H107" i="4" s="1"/>
  <c r="H767" i="2"/>
  <c r="H957" i="2"/>
  <c r="H771" i="2"/>
  <c r="L916" i="2"/>
  <c r="G112" i="4"/>
  <c r="J886" i="2"/>
  <c r="K886" i="2" s="1"/>
  <c r="I801" i="2"/>
  <c r="K793" i="2"/>
  <c r="L792" i="2" s="1"/>
  <c r="L793" i="2" s="1"/>
  <c r="M792" i="2" s="1"/>
  <c r="M793" i="2" s="1"/>
  <c r="N792" i="2" s="1"/>
  <c r="N793" i="2" s="1"/>
  <c r="M985" i="2"/>
  <c r="N955" i="2"/>
  <c r="R259" i="2"/>
  <c r="R235" i="2"/>
  <c r="N672" i="2"/>
  <c r="N668" i="2" s="1"/>
  <c r="O741" i="2"/>
  <c r="O744" i="2" s="1"/>
  <c r="O946" i="2" s="1"/>
  <c r="O172" i="4" s="1"/>
  <c r="K1251" i="2"/>
  <c r="K108" i="4" s="1"/>
  <c r="O841" i="2"/>
  <c r="K853" i="2"/>
  <c r="L853" i="2" s="1"/>
  <c r="G174" i="4"/>
  <c r="G1318" i="2"/>
  <c r="L1014" i="2"/>
  <c r="M1013" i="2"/>
  <c r="M956" i="2"/>
  <c r="N951" i="2"/>
  <c r="J393" i="2"/>
  <c r="N952" i="2"/>
  <c r="O49" i="2"/>
  <c r="O50" i="2" s="1"/>
  <c r="N847" i="2"/>
  <c r="N848" i="2"/>
  <c r="N849" i="2" s="1"/>
  <c r="N844" i="2"/>
  <c r="N845" i="2" s="1"/>
  <c r="O852" i="2"/>
  <c r="O842" i="2"/>
  <c r="O846" i="2"/>
  <c r="O837" i="2" s="1"/>
  <c r="O78" i="4" s="1"/>
  <c r="L299" i="7" s="1"/>
  <c r="O840" i="2"/>
  <c r="P834" i="2"/>
  <c r="P831" i="2"/>
  <c r="N759" i="2"/>
  <c r="N75" i="4" s="1"/>
  <c r="K296" i="7" s="1"/>
  <c r="P805" i="2"/>
  <c r="P808" i="2"/>
  <c r="N822" i="2"/>
  <c r="N823" i="2" s="1"/>
  <c r="N821" i="2"/>
  <c r="N818" i="2"/>
  <c r="N819" i="2" s="1"/>
  <c r="O814" i="2"/>
  <c r="O815" i="2"/>
  <c r="O826" i="2"/>
  <c r="O816" i="2"/>
  <c r="O820" i="2"/>
  <c r="O811" i="2" s="1"/>
  <c r="O77" i="4" s="1"/>
  <c r="L298" i="7" s="1"/>
  <c r="O1120" i="2"/>
  <c r="O1121" i="2" s="1"/>
  <c r="O800" i="2"/>
  <c r="O790" i="2"/>
  <c r="O794" i="2"/>
  <c r="O785" i="2" s="1"/>
  <c r="O76" i="4" s="1"/>
  <c r="L297" i="7" s="1"/>
  <c r="P782" i="2"/>
  <c r="P779" i="2"/>
  <c r="O789" i="2"/>
  <c r="M791" i="2"/>
  <c r="N795" i="2"/>
  <c r="N796" i="2"/>
  <c r="N797" i="2" s="1"/>
  <c r="I419" i="2"/>
  <c r="I1323" i="2" s="1"/>
  <c r="I496" i="4" s="1"/>
  <c r="O762" i="2"/>
  <c r="M765" i="2"/>
  <c r="P756" i="2"/>
  <c r="P753" i="2"/>
  <c r="O774" i="2"/>
  <c r="O768" i="2"/>
  <c r="O764" i="2"/>
  <c r="O763" i="2"/>
  <c r="N769" i="2"/>
  <c r="J418" i="2"/>
  <c r="J128" i="4"/>
  <c r="K414" i="2"/>
  <c r="K617" i="2" s="1"/>
  <c r="O297" i="2"/>
  <c r="O298" i="2" s="1"/>
  <c r="K430" i="4"/>
  <c r="K484" i="4"/>
  <c r="M412" i="2"/>
  <c r="M430" i="4" s="1"/>
  <c r="L991" i="2"/>
  <c r="L1305" i="2" s="1"/>
  <c r="M74" i="4"/>
  <c r="J295" i="7" s="1"/>
  <c r="M64" i="2"/>
  <c r="N1118" i="2"/>
  <c r="I195" i="4"/>
  <c r="N7" i="4"/>
  <c r="L51" i="2"/>
  <c r="L52" i="2"/>
  <c r="N63" i="2"/>
  <c r="P58" i="2"/>
  <c r="P61" i="2"/>
  <c r="P47" i="2"/>
  <c r="L324" i="2"/>
  <c r="L36" i="4" s="1"/>
  <c r="L34" i="4" s="1"/>
  <c r="L32" i="4" s="1"/>
  <c r="L409" i="2"/>
  <c r="J100" i="4"/>
  <c r="I222" i="4"/>
  <c r="M84" i="4"/>
  <c r="J305" i="7" s="1"/>
  <c r="K410" i="2"/>
  <c r="O743" i="2"/>
  <c r="O945" i="2" s="1"/>
  <c r="L100" i="4"/>
  <c r="I48" i="4"/>
  <c r="K1310" i="2"/>
  <c r="J1253" i="2"/>
  <c r="K373" i="4"/>
  <c r="K212" i="4"/>
  <c r="K276" i="4"/>
  <c r="P1235" i="2"/>
  <c r="N746" i="2"/>
  <c r="L1233" i="2"/>
  <c r="L1251" i="2" s="1"/>
  <c r="K1232" i="2"/>
  <c r="N963" i="2"/>
  <c r="N139" i="4" s="1"/>
  <c r="L1307" i="2"/>
  <c r="N142" i="4"/>
  <c r="O742" i="2"/>
  <c r="P737" i="2"/>
  <c r="N911" i="2"/>
  <c r="N912" i="2" s="1"/>
  <c r="N910" i="2"/>
  <c r="N907" i="2"/>
  <c r="N908" i="2" s="1"/>
  <c r="P896" i="2"/>
  <c r="P890" i="2"/>
  <c r="O902" i="2"/>
  <c r="O904" i="2"/>
  <c r="O905" i="2"/>
  <c r="N899" i="2"/>
  <c r="N82" i="4" s="1"/>
  <c r="K303" i="7" s="1"/>
  <c r="M906" i="2"/>
  <c r="O915" i="2"/>
  <c r="O909" i="2"/>
  <c r="O899" i="2" s="1"/>
  <c r="O82" i="4" s="1"/>
  <c r="L303" i="7" s="1"/>
  <c r="N928" i="2"/>
  <c r="N85" i="4" s="1"/>
  <c r="K306" i="7" s="1"/>
  <c r="N984" i="2"/>
  <c r="N978" i="2" s="1"/>
  <c r="N140" i="4" s="1"/>
  <c r="M934" i="2"/>
  <c r="P925" i="2"/>
  <c r="P923" i="2"/>
  <c r="O940" i="2"/>
  <c r="O988" i="2" s="1"/>
  <c r="O933" i="2"/>
  <c r="O981" i="2" s="1"/>
  <c r="O937" i="2"/>
  <c r="N938" i="2"/>
  <c r="O931" i="2"/>
  <c r="O932" i="2"/>
  <c r="O980" i="2" s="1"/>
  <c r="N869" i="2"/>
  <c r="N81" i="4" s="1"/>
  <c r="K302" i="7" s="1"/>
  <c r="O885" i="2"/>
  <c r="O879" i="2"/>
  <c r="N880" i="2"/>
  <c r="O872" i="2"/>
  <c r="O874" i="2"/>
  <c r="O875" i="2"/>
  <c r="P860" i="2"/>
  <c r="P866" i="2"/>
  <c r="M876" i="2"/>
  <c r="H598" i="2"/>
  <c r="J524" i="2"/>
  <c r="J554" i="2" s="1"/>
  <c r="J61" i="4"/>
  <c r="J553" i="2"/>
  <c r="K519" i="2"/>
  <c r="H559" i="2"/>
  <c r="I560" i="2"/>
  <c r="H562" i="2"/>
  <c r="H564" i="2" s="1"/>
  <c r="I552" i="2"/>
  <c r="I566" i="2" s="1"/>
  <c r="I559" i="2"/>
  <c r="J529" i="2"/>
  <c r="I533" i="2"/>
  <c r="K478" i="2"/>
  <c r="K528" i="2" s="1"/>
  <c r="K53" i="4"/>
  <c r="I252" i="2"/>
  <c r="I265" i="2" s="1"/>
  <c r="H256" i="2" s="1"/>
  <c r="H264" i="2"/>
  <c r="H265" i="2"/>
  <c r="H253" i="2" s="1"/>
  <c r="H30" i="4"/>
  <c r="I277" i="2"/>
  <c r="I598" i="2" s="1"/>
  <c r="I587" i="2"/>
  <c r="L219" i="2"/>
  <c r="L221" i="2" s="1"/>
  <c r="L243" i="2"/>
  <c r="J246" i="2"/>
  <c r="J248" i="2"/>
  <c r="K245" i="2"/>
  <c r="K268" i="2" s="1"/>
  <c r="K95" i="4" s="1"/>
  <c r="K262" i="4" s="1"/>
  <c r="G208" i="2"/>
  <c r="G210" i="2" s="1"/>
  <c r="H205" i="2"/>
  <c r="J268" i="2"/>
  <c r="J95" i="4" s="1"/>
  <c r="K222" i="2"/>
  <c r="K224" i="2"/>
  <c r="J228" i="2"/>
  <c r="I240" i="2"/>
  <c r="I241" i="2"/>
  <c r="I230" i="2" s="1"/>
  <c r="I29" i="4"/>
  <c r="I216" i="2"/>
  <c r="J276" i="2"/>
  <c r="J592" i="2" s="1"/>
  <c r="I28" i="4"/>
  <c r="P262" i="2"/>
  <c r="P260" i="2"/>
  <c r="P244" i="2"/>
  <c r="P250" i="2"/>
  <c r="K202" i="2"/>
  <c r="K276" i="2" s="1"/>
  <c r="K592" i="2" s="1"/>
  <c r="H206" i="2"/>
  <c r="I217" i="2"/>
  <c r="P238" i="2"/>
  <c r="P236" i="2"/>
  <c r="P220" i="2"/>
  <c r="P226" i="2"/>
  <c r="N488" i="2"/>
  <c r="N54" i="4"/>
  <c r="P486" i="2"/>
  <c r="P482" i="2"/>
  <c r="P485" i="2"/>
  <c r="O463" i="2"/>
  <c r="O468" i="2" s="1"/>
  <c r="P476" i="2"/>
  <c r="P472" i="2"/>
  <c r="P475" i="2"/>
  <c r="N468" i="2"/>
  <c r="N52" i="4"/>
  <c r="P466" i="2"/>
  <c r="P462" i="2"/>
  <c r="P465" i="2"/>
  <c r="P522" i="2"/>
  <c r="P518" i="2"/>
  <c r="P521" i="2"/>
  <c r="O378" i="2"/>
  <c r="O379" i="2" s="1"/>
  <c r="O403" i="2" s="1"/>
  <c r="N458" i="2"/>
  <c r="N51" i="4"/>
  <c r="O453" i="2"/>
  <c r="P456" i="2"/>
  <c r="P452" i="2"/>
  <c r="P455" i="2"/>
  <c r="O318" i="2"/>
  <c r="O319" i="2" s="1"/>
  <c r="O309" i="2"/>
  <c r="O310" i="2" s="1"/>
  <c r="M402" i="2"/>
  <c r="M384" i="2"/>
  <c r="M46" i="4" s="1"/>
  <c r="M45" i="4" s="1"/>
  <c r="O366" i="2"/>
  <c r="O367" i="2" s="1"/>
  <c r="O439" i="2"/>
  <c r="O440" i="2" s="1"/>
  <c r="O445" i="2" s="1"/>
  <c r="O357" i="2"/>
  <c r="O358" i="2" s="1"/>
  <c r="L112" i="2"/>
  <c r="I401" i="2"/>
  <c r="J397" i="2"/>
  <c r="P321" i="2"/>
  <c r="P317" i="2"/>
  <c r="M315" i="2"/>
  <c r="M35" i="4" s="1"/>
  <c r="M34" i="4" s="1"/>
  <c r="N323" i="2"/>
  <c r="N324" i="2" s="1"/>
  <c r="N36" i="4" s="1"/>
  <c r="M123" i="2"/>
  <c r="M124" i="2" s="1"/>
  <c r="M111" i="2" s="1"/>
  <c r="L111" i="2"/>
  <c r="N314" i="2"/>
  <c r="O69" i="2"/>
  <c r="P312" i="2"/>
  <c r="P308" i="2"/>
  <c r="P381" i="2"/>
  <c r="P377" i="2"/>
  <c r="N383" i="2"/>
  <c r="N404" i="2" s="1"/>
  <c r="M8" i="4"/>
  <c r="N371" i="2"/>
  <c r="N372" i="2" s="1"/>
  <c r="N43" i="4" s="1"/>
  <c r="P369" i="2"/>
  <c r="P365" i="2"/>
  <c r="M372" i="2"/>
  <c r="M43" i="4" s="1"/>
  <c r="L91" i="2"/>
  <c r="N70" i="2"/>
  <c r="N83" i="2" s="1"/>
  <c r="N195" i="2"/>
  <c r="N197" i="2" s="1"/>
  <c r="K131" i="2"/>
  <c r="M363" i="2"/>
  <c r="M42" i="4" s="1"/>
  <c r="K485" i="4"/>
  <c r="K458" i="4"/>
  <c r="M103" i="2"/>
  <c r="M104" i="2" s="1"/>
  <c r="N110" i="2"/>
  <c r="N10" i="4" s="1"/>
  <c r="P360" i="2"/>
  <c r="P356" i="2"/>
  <c r="L72" i="2"/>
  <c r="L71" i="2"/>
  <c r="L200" i="2"/>
  <c r="L198" i="2"/>
  <c r="N90" i="2"/>
  <c r="N9" i="4" s="1"/>
  <c r="O109" i="2"/>
  <c r="R117" i="2"/>
  <c r="R97" i="2"/>
  <c r="N727" i="2"/>
  <c r="Q62" i="10"/>
  <c r="Q57" i="10"/>
  <c r="L1198" i="2"/>
  <c r="M1199" i="2"/>
  <c r="O89" i="2"/>
  <c r="J183" i="2"/>
  <c r="I575" i="2"/>
  <c r="I576" i="2" s="1"/>
  <c r="L164" i="2"/>
  <c r="P108" i="2"/>
  <c r="P121" i="2"/>
  <c r="P118" i="2"/>
  <c r="P98" i="2"/>
  <c r="P88" i="2"/>
  <c r="P101" i="2"/>
  <c r="K551" i="2"/>
  <c r="L190" i="2"/>
  <c r="L179" i="2" s="1"/>
  <c r="N547" i="2"/>
  <c r="J419" i="2"/>
  <c r="J1323" i="2" s="1"/>
  <c r="J437" i="4" s="1"/>
  <c r="N22" i="2"/>
  <c r="N10" i="2" s="1"/>
  <c r="M189" i="2"/>
  <c r="M190" i="2"/>
  <c r="M178" i="2" s="1"/>
  <c r="O289" i="2"/>
  <c r="O293" i="2" s="1"/>
  <c r="J158" i="2"/>
  <c r="O71" i="10"/>
  <c r="O72" i="10" s="1"/>
  <c r="P70" i="10" s="1"/>
  <c r="P71" i="10" s="1"/>
  <c r="P72" i="10" s="1"/>
  <c r="V55" i="1"/>
  <c r="W54" i="1"/>
  <c r="Q80" i="1"/>
  <c r="R81" i="1"/>
  <c r="M196" i="2"/>
  <c r="M19" i="4"/>
  <c r="Q87" i="1"/>
  <c r="P91" i="1"/>
  <c r="O677" i="2"/>
  <c r="O667" i="2"/>
  <c r="O671" i="2"/>
  <c r="O662" i="2" s="1"/>
  <c r="W68" i="10"/>
  <c r="M668" i="2"/>
  <c r="M678" i="2" s="1"/>
  <c r="P65" i="10"/>
  <c r="P133" i="10"/>
  <c r="P136" i="10"/>
  <c r="P188" i="4" s="1"/>
  <c r="P93" i="10"/>
  <c r="P168" i="4" s="1"/>
  <c r="P135" i="10"/>
  <c r="P97" i="10"/>
  <c r="P176" i="4" s="1"/>
  <c r="N293" i="2"/>
  <c r="M700" i="2"/>
  <c r="N699" i="2" s="1"/>
  <c r="N700" i="2" s="1"/>
  <c r="R1063" i="2"/>
  <c r="R1062" i="2" s="1"/>
  <c r="Q1061" i="2"/>
  <c r="N691" i="2"/>
  <c r="R159" i="2"/>
  <c r="R184" i="2"/>
  <c r="R211" i="2"/>
  <c r="M547" i="2"/>
  <c r="P389" i="4"/>
  <c r="P283" i="4"/>
  <c r="P273" i="4"/>
  <c r="P347" i="4"/>
  <c r="P199" i="4"/>
  <c r="P189" i="4"/>
  <c r="P384" i="4"/>
  <c r="P321" i="4"/>
  <c r="P342" i="4"/>
  <c r="P298" i="4"/>
  <c r="P169" i="4"/>
  <c r="P412" i="4"/>
  <c r="P194" i="4"/>
  <c r="P370" i="4"/>
  <c r="P178" i="4"/>
  <c r="P293" i="4"/>
  <c r="P332" i="4"/>
  <c r="R430" i="2"/>
  <c r="R441" i="2"/>
  <c r="N148" i="2"/>
  <c r="N146" i="2"/>
  <c r="W113" i="10"/>
  <c r="S292" i="4"/>
  <c r="S383" i="4"/>
  <c r="S341" i="4"/>
  <c r="S47" i="1"/>
  <c r="S57" i="2" s="1"/>
  <c r="S49" i="1"/>
  <c r="S48" i="1"/>
  <c r="S50" i="1"/>
  <c r="T43" i="1"/>
  <c r="N41" i="2"/>
  <c r="O145" i="2"/>
  <c r="O1038" i="2"/>
  <c r="O1039" i="2"/>
  <c r="O729" i="2"/>
  <c r="O722" i="2"/>
  <c r="O726" i="2"/>
  <c r="O717" i="2" s="1"/>
  <c r="M84" i="2"/>
  <c r="R299" i="2"/>
  <c r="R290" i="2"/>
  <c r="W106" i="10"/>
  <c r="O9" i="2"/>
  <c r="V61" i="1"/>
  <c r="W60" i="1"/>
  <c r="N503" i="4"/>
  <c r="N546" i="2"/>
  <c r="N702" i="2"/>
  <c r="N703" i="2"/>
  <c r="N704" i="2" s="1"/>
  <c r="M723" i="2"/>
  <c r="R35" i="2"/>
  <c r="R16" i="2"/>
  <c r="R77" i="2"/>
  <c r="N173" i="2"/>
  <c r="N171" i="2"/>
  <c r="R1083" i="2"/>
  <c r="R1082" i="2" s="1"/>
  <c r="Q1084" i="2"/>
  <c r="N1282" i="2"/>
  <c r="N652" i="2"/>
  <c r="P1028" i="2"/>
  <c r="P623" i="2"/>
  <c r="P624" i="2" s="1"/>
  <c r="P143" i="2"/>
  <c r="P39" i="2"/>
  <c r="P1275" i="2"/>
  <c r="P1201" i="2"/>
  <c r="P1202" i="2" s="1"/>
  <c r="P1150" i="2"/>
  <c r="P1151" i="2" s="1"/>
  <c r="P1026" i="2"/>
  <c r="P688" i="2"/>
  <c r="P438" i="2"/>
  <c r="P437" i="2" s="1"/>
  <c r="P428" i="2"/>
  <c r="P288" i="2"/>
  <c r="P185" i="2"/>
  <c r="P19" i="2"/>
  <c r="P1012" i="2"/>
  <c r="P1011" i="2" s="1"/>
  <c r="P427" i="2"/>
  <c r="P296" i="2"/>
  <c r="P287" i="2"/>
  <c r="P162" i="2"/>
  <c r="P78" i="2"/>
  <c r="P8" i="2"/>
  <c r="P1335" i="2"/>
  <c r="P1279" i="2"/>
  <c r="P1220" i="2"/>
  <c r="P1221" i="2" s="1"/>
  <c r="P1136" i="2"/>
  <c r="P714" i="2"/>
  <c r="P431" i="2"/>
  <c r="P391" i="2"/>
  <c r="P300" i="2"/>
  <c r="P291" i="2"/>
  <c r="P212" i="2"/>
  <c r="P1032" i="2"/>
  <c r="P1031" i="2" s="1"/>
  <c r="P659" i="2"/>
  <c r="P628" i="2"/>
  <c r="P555" i="2"/>
  <c r="P443" i="2"/>
  <c r="P187" i="2"/>
  <c r="P7" i="2"/>
  <c r="P1108" i="2"/>
  <c r="P1109" i="2" s="1"/>
  <c r="P656" i="2"/>
  <c r="P531" i="2"/>
  <c r="P442" i="2"/>
  <c r="P144" i="2"/>
  <c r="P1281" i="2"/>
  <c r="P1146" i="2"/>
  <c r="P1147" i="2" s="1"/>
  <c r="P81" i="2"/>
  <c r="P1278" i="2"/>
  <c r="P544" i="2"/>
  <c r="P407" i="2"/>
  <c r="P17" i="2"/>
  <c r="P1272" i="2"/>
  <c r="P1037" i="2"/>
  <c r="P682" i="2"/>
  <c r="P1178" i="2"/>
  <c r="P197" i="4" s="1"/>
  <c r="P712" i="2"/>
  <c r="P557" i="2"/>
  <c r="P168" i="2"/>
  <c r="P167" i="2" s="1"/>
  <c r="P214" i="2"/>
  <c r="P1273" i="2"/>
  <c r="P542" i="2"/>
  <c r="P389" i="2"/>
  <c r="P160" i="2"/>
  <c r="P432" i="2"/>
  <c r="P1033" i="2"/>
  <c r="P36" i="2"/>
  <c r="P1017" i="2"/>
  <c r="P643" i="2"/>
  <c r="P405" i="2"/>
  <c r="P26" i="2"/>
  <c r="P25" i="2" s="1"/>
  <c r="P150" i="2"/>
  <c r="P175" i="2"/>
  <c r="P1208" i="2"/>
  <c r="P1209" i="2" s="1"/>
  <c r="V86" i="1"/>
  <c r="O665" i="2"/>
  <c r="O666" i="2"/>
  <c r="O707" i="2"/>
  <c r="O701" i="2"/>
  <c r="O691" i="2" s="1"/>
  <c r="O1274" i="2"/>
  <c r="O1276" i="2" s="1"/>
  <c r="N445" i="2"/>
  <c r="O429" i="2"/>
  <c r="O434" i="2" s="1"/>
  <c r="O647" i="2"/>
  <c r="O649" i="2"/>
  <c r="O648" i="2"/>
  <c r="O720" i="2"/>
  <c r="O721" i="2"/>
  <c r="N434" i="2"/>
  <c r="M546" i="2"/>
  <c r="Q2" i="5"/>
  <c r="Q2" i="4"/>
  <c r="Q2" i="10"/>
  <c r="Q2" i="1"/>
  <c r="R25" i="1"/>
  <c r="Q2" i="2"/>
  <c r="N724" i="2"/>
  <c r="N725" i="2" s="1"/>
  <c r="Q1091" i="2"/>
  <c r="Q1090" i="2" s="1"/>
  <c r="P1092" i="2"/>
  <c r="W75" i="10"/>
  <c r="O629" i="2"/>
  <c r="O694" i="2"/>
  <c r="O696" i="2"/>
  <c r="O697" i="2"/>
  <c r="O1280" i="2"/>
  <c r="O1282" i="2" s="1"/>
  <c r="M11" i="2"/>
  <c r="P146" i="1"/>
  <c r="P59" i="1"/>
  <c r="P120" i="1"/>
  <c r="P45" i="1"/>
  <c r="P44" i="1"/>
  <c r="P53" i="1"/>
  <c r="P131" i="1"/>
  <c r="P123" i="1"/>
  <c r="P140" i="1"/>
  <c r="X82" i="10"/>
  <c r="M698" i="2"/>
  <c r="M154" i="2"/>
  <c r="M164" i="2"/>
  <c r="M627" i="2"/>
  <c r="M626" i="2" s="1"/>
  <c r="M184" i="4" s="1"/>
  <c r="J615" i="2"/>
  <c r="J186" i="4" s="1"/>
  <c r="M991" i="2"/>
  <c r="M1305" i="2" s="1"/>
  <c r="M949" i="2"/>
  <c r="J497" i="4"/>
  <c r="J374" i="4"/>
  <c r="J324" i="4"/>
  <c r="J1264" i="2"/>
  <c r="J1184" i="2"/>
  <c r="J277" i="4"/>
  <c r="K79" i="10"/>
  <c r="L484" i="4"/>
  <c r="L457" i="4"/>
  <c r="L430" i="4"/>
  <c r="L414" i="2"/>
  <c r="L617" i="2" s="1"/>
  <c r="M85" i="10"/>
  <c r="L154" i="2"/>
  <c r="M978" i="2"/>
  <c r="K144" i="4"/>
  <c r="L399" i="2"/>
  <c r="K156" i="2"/>
  <c r="K158" i="2" s="1"/>
  <c r="M153" i="2"/>
  <c r="L138" i="4"/>
  <c r="L144" i="4" s="1"/>
  <c r="L990" i="2"/>
  <c r="M142" i="4"/>
  <c r="M1299" i="2"/>
  <c r="L413" i="2" l="1"/>
  <c r="L416" i="2" s="1"/>
  <c r="L1322" i="2" s="1"/>
  <c r="H308" i="7"/>
  <c r="G94" i="4"/>
  <c r="J241" i="4"/>
  <c r="J264" i="4"/>
  <c r="J251" i="4"/>
  <c r="J242" i="4"/>
  <c r="M6" i="4"/>
  <c r="M93" i="4" s="1"/>
  <c r="I877" i="2"/>
  <c r="I968" i="2" s="1"/>
  <c r="J238" i="4"/>
  <c r="J247" i="4"/>
  <c r="J239" i="4"/>
  <c r="J265" i="4"/>
  <c r="J261" i="4"/>
  <c r="J236" i="4"/>
  <c r="J246" i="4"/>
  <c r="J237" i="4"/>
  <c r="J260" i="4"/>
  <c r="J240" i="4"/>
  <c r="J526" i="2"/>
  <c r="I536" i="2"/>
  <c r="I538" i="2" s="1"/>
  <c r="J534" i="2"/>
  <c r="J565" i="2"/>
  <c r="K100" i="4"/>
  <c r="J1302" i="2"/>
  <c r="J50" i="4"/>
  <c r="P503" i="2"/>
  <c r="P508" i="2" s="1"/>
  <c r="P336" i="2"/>
  <c r="P337" i="2" s="1"/>
  <c r="O508" i="2"/>
  <c r="O56" i="4"/>
  <c r="O970" i="2"/>
  <c r="O966" i="2"/>
  <c r="Q502" i="2"/>
  <c r="Q505" i="2"/>
  <c r="Q501" i="2"/>
  <c r="Q506" i="2"/>
  <c r="O977" i="2"/>
  <c r="P493" i="2"/>
  <c r="O967" i="2"/>
  <c r="P327" i="2"/>
  <c r="P328" i="2" s="1"/>
  <c r="N971" i="2"/>
  <c r="O498" i="2"/>
  <c r="Q492" i="2"/>
  <c r="Q495" i="2"/>
  <c r="Q491" i="2"/>
  <c r="Q496" i="2"/>
  <c r="M996" i="2"/>
  <c r="H995" i="2"/>
  <c r="H112" i="4" s="1"/>
  <c r="P411" i="2"/>
  <c r="P481" i="2" s="1"/>
  <c r="P483" i="2" s="1"/>
  <c r="P54" i="4" s="1"/>
  <c r="O387" i="2"/>
  <c r="O395" i="2"/>
  <c r="N396" i="2"/>
  <c r="N394" i="2" s="1"/>
  <c r="N388" i="2"/>
  <c r="N386" i="2" s="1"/>
  <c r="N393" i="2" s="1"/>
  <c r="L87" i="4"/>
  <c r="O350" i="2"/>
  <c r="O351" i="2" s="1"/>
  <c r="O39" i="4" s="1"/>
  <c r="P346" i="2"/>
  <c r="Q348" i="2"/>
  <c r="Q345" i="2" s="1"/>
  <c r="Q344" i="2"/>
  <c r="J1217" i="2"/>
  <c r="Q339" i="2"/>
  <c r="Q335" i="2"/>
  <c r="O341" i="2"/>
  <c r="O342" i="2" s="1"/>
  <c r="O38" i="4" s="1"/>
  <c r="K239" i="4"/>
  <c r="K241" i="4"/>
  <c r="K238" i="4"/>
  <c r="K265" i="4"/>
  <c r="K251" i="4"/>
  <c r="K237" i="4"/>
  <c r="Q68" i="2"/>
  <c r="Q330" i="2"/>
  <c r="Q326" i="2"/>
  <c r="K246" i="4"/>
  <c r="K236" i="4"/>
  <c r="K261" i="4"/>
  <c r="K242" i="4"/>
  <c r="K264" i="4"/>
  <c r="K416" i="2"/>
  <c r="K1322" i="2" s="1"/>
  <c r="G253" i="2"/>
  <c r="G272" i="2" s="1"/>
  <c r="G607" i="2" s="1"/>
  <c r="M708" i="2"/>
  <c r="K240" i="4"/>
  <c r="K247" i="4"/>
  <c r="G27" i="4"/>
  <c r="J60" i="4"/>
  <c r="P107" i="2"/>
  <c r="P87" i="2"/>
  <c r="L133" i="2"/>
  <c r="L574" i="2" s="1"/>
  <c r="M130" i="2"/>
  <c r="M1291" i="2" s="1"/>
  <c r="M129" i="2"/>
  <c r="N128" i="2"/>
  <c r="K941" i="2"/>
  <c r="L941" i="2" s="1"/>
  <c r="M941" i="2" s="1"/>
  <c r="O962" i="2"/>
  <c r="L1218" i="2"/>
  <c r="K1217" i="2"/>
  <c r="H599" i="2"/>
  <c r="H600" i="2" s="1"/>
  <c r="J593" i="2"/>
  <c r="J590" i="2" s="1"/>
  <c r="J165" i="4" s="1"/>
  <c r="H27" i="4"/>
  <c r="H65" i="4" s="1"/>
  <c r="M517" i="2"/>
  <c r="M473" i="2"/>
  <c r="M527" i="2" s="1"/>
  <c r="H593" i="2"/>
  <c r="H594" i="2" s="1"/>
  <c r="I593" i="2"/>
  <c r="I590" i="2" s="1"/>
  <c r="I165" i="4" s="1"/>
  <c r="P67" i="2"/>
  <c r="P195" i="2" s="1"/>
  <c r="P27" i="2"/>
  <c r="P28" i="2" s="1"/>
  <c r="G269" i="2"/>
  <c r="G1301" i="2" s="1"/>
  <c r="H274" i="2"/>
  <c r="H1292" i="2" s="1"/>
  <c r="H432" i="4" s="1"/>
  <c r="J204" i="2"/>
  <c r="J28" i="4" s="1"/>
  <c r="G230" i="2"/>
  <c r="G234" i="2" s="1"/>
  <c r="J277" i="2"/>
  <c r="J598" i="2" s="1"/>
  <c r="K32" i="4"/>
  <c r="M109" i="10"/>
  <c r="K108" i="10"/>
  <c r="L105" i="10" s="1"/>
  <c r="L108" i="10"/>
  <c r="M105" i="10" s="1"/>
  <c r="K115" i="10"/>
  <c r="L112" i="10" s="1"/>
  <c r="G590" i="2"/>
  <c r="G165" i="4" s="1"/>
  <c r="I935" i="2"/>
  <c r="I936" i="2" s="1"/>
  <c r="M1" i="10"/>
  <c r="M69" i="4"/>
  <c r="M205" i="4"/>
  <c r="M68" i="1"/>
  <c r="M317" i="4"/>
  <c r="M1" i="1"/>
  <c r="M1" i="2"/>
  <c r="M408" i="4"/>
  <c r="M124" i="4"/>
  <c r="M1168" i="2"/>
  <c r="M423" i="2"/>
  <c r="M90" i="10"/>
  <c r="M140" i="2"/>
  <c r="M1056" i="2"/>
  <c r="M366" i="4"/>
  <c r="M1142" i="2"/>
  <c r="M269" i="4"/>
  <c r="M4" i="5"/>
  <c r="M159" i="4"/>
  <c r="M14" i="1"/>
  <c r="M284" i="2"/>
  <c r="M638" i="2"/>
  <c r="M25" i="4"/>
  <c r="M55" i="10"/>
  <c r="M113" i="1"/>
  <c r="M233" i="4"/>
  <c r="M91" i="4"/>
  <c r="M102" i="10"/>
  <c r="M1096" i="2"/>
  <c r="M1000" i="2"/>
  <c r="M4" i="4"/>
  <c r="M570" i="2"/>
  <c r="M14" i="4"/>
  <c r="M1189" i="2"/>
  <c r="M1" i="4"/>
  <c r="G596" i="2"/>
  <c r="G164" i="4" s="1"/>
  <c r="M1" i="5"/>
  <c r="M38" i="1"/>
  <c r="M4" i="2"/>
  <c r="K1107" i="2"/>
  <c r="L1106" i="2" s="1"/>
  <c r="P169" i="2"/>
  <c r="P170" i="2" s="1"/>
  <c r="L117" i="10"/>
  <c r="M116" i="10" s="1"/>
  <c r="L115" i="10"/>
  <c r="M112" i="10" s="1"/>
  <c r="N34" i="1"/>
  <c r="N317" i="4" s="1"/>
  <c r="M916" i="2"/>
  <c r="O1242" i="2"/>
  <c r="O1243" i="2" s="1"/>
  <c r="O1257" i="2" s="1"/>
  <c r="O795" i="2"/>
  <c r="O791" i="2" s="1"/>
  <c r="O1029" i="2"/>
  <c r="O792" i="2"/>
  <c r="O793" i="2" s="1"/>
  <c r="N1119" i="2"/>
  <c r="N1117" i="2" s="1"/>
  <c r="K618" i="2"/>
  <c r="K619" i="2" s="1"/>
  <c r="N985" i="2"/>
  <c r="J1105" i="2"/>
  <c r="G1313" i="2"/>
  <c r="G1314" i="2" s="1"/>
  <c r="G1315" i="2" s="1"/>
  <c r="O219" i="4"/>
  <c r="N220" i="4"/>
  <c r="I775" i="2"/>
  <c r="I995" i="2" s="1"/>
  <c r="M730" i="2"/>
  <c r="S484" i="2"/>
  <c r="S474" i="2"/>
  <c r="S464" i="2"/>
  <c r="S454" i="2"/>
  <c r="S520" i="2"/>
  <c r="H584" i="2"/>
  <c r="H166" i="4" s="1"/>
  <c r="P763" i="2"/>
  <c r="L886" i="2"/>
  <c r="M886" i="2" s="1"/>
  <c r="G179" i="4"/>
  <c r="J801" i="2"/>
  <c r="K801" i="2" s="1"/>
  <c r="S259" i="2"/>
  <c r="S235" i="2"/>
  <c r="M1014" i="2"/>
  <c r="N1013" i="2"/>
  <c r="N1014" i="2" s="1"/>
  <c r="H958" i="2"/>
  <c r="I770" i="2"/>
  <c r="O27" i="1"/>
  <c r="P26" i="1"/>
  <c r="Q1029" i="2" s="1"/>
  <c r="O29" i="1"/>
  <c r="O28" i="1"/>
  <c r="I881" i="2"/>
  <c r="I972" i="2" s="1"/>
  <c r="M853" i="2"/>
  <c r="P742" i="2"/>
  <c r="P944" i="2" s="1"/>
  <c r="H1318" i="2"/>
  <c r="H174" i="4"/>
  <c r="J827" i="2"/>
  <c r="K827" i="2" s="1"/>
  <c r="L827" i="2" s="1"/>
  <c r="M1200" i="2"/>
  <c r="N1199" i="2" s="1"/>
  <c r="N1200" i="2" s="1"/>
  <c r="N1198" i="2" s="1"/>
  <c r="H954" i="2"/>
  <c r="I766" i="2"/>
  <c r="S320" i="2"/>
  <c r="S380" i="2"/>
  <c r="S311" i="2"/>
  <c r="S368" i="2"/>
  <c r="S359" i="2"/>
  <c r="N723" i="2"/>
  <c r="O955" i="2"/>
  <c r="O796" i="2"/>
  <c r="O797" i="2" s="1"/>
  <c r="P49" i="2"/>
  <c r="P50" i="2" s="1"/>
  <c r="O952" i="2"/>
  <c r="O951" i="2"/>
  <c r="N956" i="2"/>
  <c r="P840" i="2"/>
  <c r="P852" i="2"/>
  <c r="P842" i="2"/>
  <c r="P846" i="2"/>
  <c r="P837" i="2" s="1"/>
  <c r="P78" i="4" s="1"/>
  <c r="M299" i="7" s="1"/>
  <c r="P841" i="2"/>
  <c r="O844" i="2"/>
  <c r="O845" i="2" s="1"/>
  <c r="O848" i="2"/>
  <c r="O849" i="2" s="1"/>
  <c r="O847" i="2"/>
  <c r="Q831" i="2"/>
  <c r="Q834" i="2"/>
  <c r="N843" i="2"/>
  <c r="Q808" i="2"/>
  <c r="Q805" i="2"/>
  <c r="O822" i="2"/>
  <c r="O823" i="2" s="1"/>
  <c r="O821" i="2"/>
  <c r="O818" i="2"/>
  <c r="O819" i="2" s="1"/>
  <c r="O759" i="2"/>
  <c r="O75" i="4" s="1"/>
  <c r="L296" i="7" s="1"/>
  <c r="P826" i="2"/>
  <c r="P816" i="2"/>
  <c r="P820" i="2"/>
  <c r="P811" i="2" s="1"/>
  <c r="P77" i="4" s="1"/>
  <c r="M298" i="7" s="1"/>
  <c r="N817" i="2"/>
  <c r="P814" i="2"/>
  <c r="P815" i="2"/>
  <c r="P1120" i="2"/>
  <c r="P1121" i="2" s="1"/>
  <c r="K418" i="2"/>
  <c r="M87" i="4"/>
  <c r="I464" i="4"/>
  <c r="I437" i="4"/>
  <c r="P788" i="2"/>
  <c r="P789" i="2"/>
  <c r="P800" i="2"/>
  <c r="P790" i="2"/>
  <c r="P794" i="2"/>
  <c r="P785" i="2" s="1"/>
  <c r="P76" i="4" s="1"/>
  <c r="M297" i="7" s="1"/>
  <c r="N791" i="2"/>
  <c r="Q782" i="2"/>
  <c r="Q779" i="2"/>
  <c r="N765" i="2"/>
  <c r="P762" i="2"/>
  <c r="O769" i="2"/>
  <c r="P774" i="2"/>
  <c r="P768" i="2"/>
  <c r="P764" i="2"/>
  <c r="Q756" i="2"/>
  <c r="Q753" i="2"/>
  <c r="Q762" i="2" s="1"/>
  <c r="K128" i="4"/>
  <c r="P297" i="2"/>
  <c r="P298" i="2" s="1"/>
  <c r="M386" i="2"/>
  <c r="M393" i="2" s="1"/>
  <c r="K575" i="2"/>
  <c r="K576" i="2" s="1"/>
  <c r="G459" i="4"/>
  <c r="G486" i="4"/>
  <c r="L410" i="2"/>
  <c r="M52" i="2"/>
  <c r="M51" i="2"/>
  <c r="O7" i="4"/>
  <c r="O63" i="2"/>
  <c r="Q58" i="2"/>
  <c r="Q61" i="2"/>
  <c r="Q47" i="2"/>
  <c r="N64" i="2"/>
  <c r="L1310" i="2"/>
  <c r="L93" i="4"/>
  <c r="N80" i="4"/>
  <c r="K301" i="7" s="1"/>
  <c r="N84" i="4"/>
  <c r="N74" i="4"/>
  <c r="K50" i="4"/>
  <c r="G98" i="4"/>
  <c r="L96" i="4"/>
  <c r="M41" i="4"/>
  <c r="N41" i="4"/>
  <c r="M96" i="4"/>
  <c r="K1253" i="2"/>
  <c r="K1248" i="2" s="1"/>
  <c r="J1248" i="2"/>
  <c r="J1259" i="2"/>
  <c r="J192" i="4"/>
  <c r="L108" i="4"/>
  <c r="L1234" i="2"/>
  <c r="L1252" i="2" s="1"/>
  <c r="L130" i="4" s="1"/>
  <c r="M1233" i="2"/>
  <c r="M1251" i="2" s="1"/>
  <c r="M108" i="4" s="1"/>
  <c r="Q1235" i="2"/>
  <c r="P743" i="2"/>
  <c r="P945" i="2" s="1"/>
  <c r="P741" i="2"/>
  <c r="O746" i="2"/>
  <c r="O944" i="2"/>
  <c r="Q737" i="2"/>
  <c r="Q742" i="2" s="1"/>
  <c r="Q944" i="2" s="1"/>
  <c r="O928" i="2"/>
  <c r="O85" i="4" s="1"/>
  <c r="L306" i="7" s="1"/>
  <c r="O984" i="2"/>
  <c r="O978" i="2" s="1"/>
  <c r="O140" i="4" s="1"/>
  <c r="O910" i="2"/>
  <c r="O911" i="2"/>
  <c r="O912" i="2" s="1"/>
  <c r="O907" i="2"/>
  <c r="O908" i="2" s="1"/>
  <c r="P875" i="2"/>
  <c r="Q890" i="2"/>
  <c r="Q896" i="2"/>
  <c r="P902" i="2"/>
  <c r="P904" i="2"/>
  <c r="P905" i="2"/>
  <c r="N906" i="2"/>
  <c r="N1299" i="2"/>
  <c r="P915" i="2"/>
  <c r="P909" i="2"/>
  <c r="P899" i="2" s="1"/>
  <c r="P82" i="4" s="1"/>
  <c r="M303" i="7" s="1"/>
  <c r="N934" i="2"/>
  <c r="P931" i="2"/>
  <c r="P932" i="2"/>
  <c r="P980" i="2" s="1"/>
  <c r="O938" i="2"/>
  <c r="P940" i="2"/>
  <c r="P988" i="2" s="1"/>
  <c r="P933" i="2"/>
  <c r="P981" i="2" s="1"/>
  <c r="P937" i="2"/>
  <c r="Q923" i="2"/>
  <c r="Q925" i="2"/>
  <c r="N627" i="2"/>
  <c r="N626" i="2" s="1"/>
  <c r="N184" i="4" s="1"/>
  <c r="O869" i="2"/>
  <c r="O81" i="4" s="1"/>
  <c r="L302" i="7" s="1"/>
  <c r="Q860" i="2"/>
  <c r="Q866" i="2"/>
  <c r="N876" i="2"/>
  <c r="O880" i="2"/>
  <c r="P885" i="2"/>
  <c r="P977" i="2" s="1"/>
  <c r="P879" i="2"/>
  <c r="P872" i="2"/>
  <c r="P874" i="2"/>
  <c r="I271" i="2"/>
  <c r="I599" i="2"/>
  <c r="I596" i="2" s="1"/>
  <c r="I164" i="4" s="1"/>
  <c r="L519" i="2"/>
  <c r="K553" i="2"/>
  <c r="K565" i="2" s="1"/>
  <c r="K61" i="4"/>
  <c r="K524" i="2"/>
  <c r="K554" i="2" s="1"/>
  <c r="K1302" i="2" s="1"/>
  <c r="J559" i="2"/>
  <c r="I562" i="2"/>
  <c r="I564" i="2" s="1"/>
  <c r="J560" i="2"/>
  <c r="J552" i="2"/>
  <c r="K534" i="2"/>
  <c r="L478" i="2"/>
  <c r="L528" i="2" s="1"/>
  <c r="L53" i="4"/>
  <c r="L50" i="4" s="1"/>
  <c r="K526" i="2"/>
  <c r="J536" i="2"/>
  <c r="K529" i="2"/>
  <c r="J533" i="2"/>
  <c r="I30" i="4"/>
  <c r="I264" i="2"/>
  <c r="I274" i="2" s="1"/>
  <c r="I1292" i="2" s="1"/>
  <c r="I432" i="4" s="1"/>
  <c r="H254" i="2"/>
  <c r="H278" i="2" s="1"/>
  <c r="H604" i="2" s="1"/>
  <c r="G256" i="2"/>
  <c r="G258" i="2" s="1"/>
  <c r="H272" i="2"/>
  <c r="H607" i="2" s="1"/>
  <c r="H269" i="2"/>
  <c r="I254" i="2"/>
  <c r="I269" i="2"/>
  <c r="I253" i="2"/>
  <c r="J252" i="2"/>
  <c r="J264" i="2" s="1"/>
  <c r="I584" i="2"/>
  <c r="I166" i="4" s="1"/>
  <c r="I588" i="2"/>
  <c r="M219" i="2"/>
  <c r="M221" i="2" s="1"/>
  <c r="M243" i="2"/>
  <c r="J275" i="2"/>
  <c r="J586" i="2" s="1"/>
  <c r="J262" i="4"/>
  <c r="H232" i="2"/>
  <c r="L245" i="2"/>
  <c r="L268" i="2" s="1"/>
  <c r="L95" i="4" s="1"/>
  <c r="I229" i="2"/>
  <c r="K248" i="2"/>
  <c r="K277" i="2" s="1"/>
  <c r="K246" i="2"/>
  <c r="L202" i="2"/>
  <c r="L276" i="2" s="1"/>
  <c r="L592" i="2" s="1"/>
  <c r="K228" i="2"/>
  <c r="K29" i="4" s="1"/>
  <c r="K204" i="2"/>
  <c r="K216" i="2" s="1"/>
  <c r="J29" i="4"/>
  <c r="J241" i="2"/>
  <c r="I232" i="2" s="1"/>
  <c r="J240" i="2"/>
  <c r="L224" i="2"/>
  <c r="L222" i="2"/>
  <c r="Q260" i="2"/>
  <c r="Q262" i="2"/>
  <c r="Q244" i="2"/>
  <c r="Q250" i="2"/>
  <c r="I205" i="2"/>
  <c r="I206" i="2"/>
  <c r="H208" i="2"/>
  <c r="O52" i="4"/>
  <c r="Q236" i="2"/>
  <c r="Q238" i="2"/>
  <c r="Q220" i="2"/>
  <c r="Q226" i="2"/>
  <c r="Q482" i="2"/>
  <c r="Q485" i="2"/>
  <c r="Q486" i="2"/>
  <c r="O488" i="2"/>
  <c r="Q472" i="2"/>
  <c r="Q475" i="2"/>
  <c r="Q476" i="2"/>
  <c r="N402" i="2"/>
  <c r="N409" i="2" s="1"/>
  <c r="P378" i="2"/>
  <c r="P379" i="2" s="1"/>
  <c r="P403" i="2" s="1"/>
  <c r="P463" i="2"/>
  <c r="Q462" i="2"/>
  <c r="Q465" i="2"/>
  <c r="Q466" i="2"/>
  <c r="Q518" i="2"/>
  <c r="Q521" i="2"/>
  <c r="Q522" i="2"/>
  <c r="P318" i="2"/>
  <c r="P319" i="2" s="1"/>
  <c r="O458" i="2"/>
  <c r="O51" i="4"/>
  <c r="P453" i="2"/>
  <c r="Q452" i="2"/>
  <c r="Q455" i="2"/>
  <c r="Q456" i="2"/>
  <c r="P309" i="2"/>
  <c r="P310" i="2" s="1"/>
  <c r="P366" i="2"/>
  <c r="P367" i="2" s="1"/>
  <c r="P439" i="2"/>
  <c r="P440" i="2" s="1"/>
  <c r="N384" i="2"/>
  <c r="N46" i="4" s="1"/>
  <c r="N45" i="4" s="1"/>
  <c r="P357" i="2"/>
  <c r="P358" i="2" s="1"/>
  <c r="P69" i="2"/>
  <c r="N194" i="2"/>
  <c r="M112" i="2"/>
  <c r="M1307" i="2"/>
  <c r="K397" i="2"/>
  <c r="J401" i="2"/>
  <c r="Q317" i="2"/>
  <c r="Q321" i="2"/>
  <c r="O323" i="2"/>
  <c r="O324" i="2" s="1"/>
  <c r="O36" i="4" s="1"/>
  <c r="N315" i="2"/>
  <c r="N35" i="4" s="1"/>
  <c r="N34" i="4" s="1"/>
  <c r="Q308" i="2"/>
  <c r="Q312" i="2"/>
  <c r="O314" i="2"/>
  <c r="N8" i="4"/>
  <c r="L131" i="2"/>
  <c r="Q377" i="2"/>
  <c r="Q381" i="2"/>
  <c r="O383" i="2"/>
  <c r="O404" i="2" s="1"/>
  <c r="N123" i="2"/>
  <c r="N124" i="2" s="1"/>
  <c r="Q365" i="2"/>
  <c r="Q369" i="2"/>
  <c r="O70" i="2"/>
  <c r="O83" i="2" s="1"/>
  <c r="L1321" i="2"/>
  <c r="O371" i="2"/>
  <c r="O372" i="2" s="1"/>
  <c r="O43" i="4" s="1"/>
  <c r="L485" i="4"/>
  <c r="L431" i="4"/>
  <c r="M91" i="2"/>
  <c r="M409" i="2"/>
  <c r="M92" i="2"/>
  <c r="Q356" i="2"/>
  <c r="Q360" i="2"/>
  <c r="O362" i="2"/>
  <c r="N103" i="2"/>
  <c r="N104" i="2" s="1"/>
  <c r="O90" i="2"/>
  <c r="O9" i="4" s="1"/>
  <c r="O110" i="2"/>
  <c r="O10" i="4" s="1"/>
  <c r="R62" i="10"/>
  <c r="R57" i="10"/>
  <c r="S117" i="2"/>
  <c r="S97" i="2"/>
  <c r="P89" i="2"/>
  <c r="P109" i="2"/>
  <c r="N177" i="4"/>
  <c r="I572" i="2"/>
  <c r="I162" i="4" s="1"/>
  <c r="J576" i="2"/>
  <c r="N678" i="2"/>
  <c r="J572" i="2"/>
  <c r="J162" i="4" s="1"/>
  <c r="Q108" i="2"/>
  <c r="Q121" i="2"/>
  <c r="Q118" i="2"/>
  <c r="M457" i="4"/>
  <c r="M484" i="4"/>
  <c r="M414" i="2"/>
  <c r="M617" i="2" s="1"/>
  <c r="M618" i="2" s="1"/>
  <c r="J464" i="4"/>
  <c r="Q101" i="2"/>
  <c r="Q98" i="2"/>
  <c r="Q88" i="2"/>
  <c r="J496" i="4"/>
  <c r="L178" i="2"/>
  <c r="N539" i="2"/>
  <c r="K181" i="2"/>
  <c r="K183" i="2" s="1"/>
  <c r="M72" i="2"/>
  <c r="P1280" i="2"/>
  <c r="P1282" i="2" s="1"/>
  <c r="L181" i="2"/>
  <c r="M179" i="2"/>
  <c r="N11" i="2"/>
  <c r="O652" i="2"/>
  <c r="O547" i="2"/>
  <c r="L128" i="4"/>
  <c r="N152" i="2"/>
  <c r="N164" i="2" s="1"/>
  <c r="O294" i="2"/>
  <c r="N177" i="2"/>
  <c r="W86" i="1"/>
  <c r="P1038" i="2"/>
  <c r="P1039" i="2"/>
  <c r="Q1012" i="2"/>
  <c r="Q1011" i="2" s="1"/>
  <c r="Q427" i="2"/>
  <c r="Q296" i="2"/>
  <c r="Q287" i="2"/>
  <c r="Q162" i="2"/>
  <c r="Q78" i="2"/>
  <c r="Q8" i="2"/>
  <c r="Q1273" i="2"/>
  <c r="Q1178" i="2"/>
  <c r="Q197" i="4" s="1"/>
  <c r="Q1146" i="2"/>
  <c r="Q1147" i="2" s="1"/>
  <c r="Q1033" i="2"/>
  <c r="Q682" i="2"/>
  <c r="Q557" i="2"/>
  <c r="Q36" i="2"/>
  <c r="Q26" i="2"/>
  <c r="Q25" i="2" s="1"/>
  <c r="Q17" i="2"/>
  <c r="Q7" i="2"/>
  <c r="Q1281" i="2"/>
  <c r="Q1272" i="2"/>
  <c r="Q1032" i="2"/>
  <c r="Q1031" i="2" s="1"/>
  <c r="Q659" i="2"/>
  <c r="Q628" i="2"/>
  <c r="Q629" i="2" s="1"/>
  <c r="Q555" i="2"/>
  <c r="Q544" i="2"/>
  <c r="Q443" i="2"/>
  <c r="Q407" i="2"/>
  <c r="Q214" i="2"/>
  <c r="Q160" i="2"/>
  <c r="Q1028" i="2"/>
  <c r="Q623" i="2"/>
  <c r="Q624" i="2" s="1"/>
  <c r="Q143" i="2"/>
  <c r="Q39" i="2"/>
  <c r="Q1275" i="2"/>
  <c r="Q1136" i="2"/>
  <c r="Q643" i="2"/>
  <c r="Q542" i="2"/>
  <c r="Q442" i="2"/>
  <c r="Q428" i="2"/>
  <c r="Q187" i="2"/>
  <c r="Q144" i="2"/>
  <c r="Q81" i="2"/>
  <c r="Q1026" i="2"/>
  <c r="Q185" i="2"/>
  <c r="Q1017" i="2"/>
  <c r="Q688" i="2"/>
  <c r="Q391" i="2"/>
  <c r="Q291" i="2"/>
  <c r="Q19" i="2"/>
  <c r="Q438" i="2"/>
  <c r="Q437" i="2" s="1"/>
  <c r="Q389" i="2"/>
  <c r="Q1335" i="2"/>
  <c r="Q1037" i="2"/>
  <c r="Q656" i="2"/>
  <c r="Q531" i="2"/>
  <c r="Q288" i="2"/>
  <c r="Q1201" i="2"/>
  <c r="Q1202" i="2" s="1"/>
  <c r="Q1108" i="2"/>
  <c r="Q1109" i="2" s="1"/>
  <c r="Q432" i="2"/>
  <c r="Q405" i="2"/>
  <c r="Q1279" i="2"/>
  <c r="Q1150" i="2"/>
  <c r="Q1151" i="2" s="1"/>
  <c r="Q714" i="2"/>
  <c r="Q431" i="2"/>
  <c r="Q300" i="2"/>
  <c r="Q168" i="2"/>
  <c r="Q167" i="2" s="1"/>
  <c r="Q1278" i="2"/>
  <c r="Q712" i="2"/>
  <c r="Q212" i="2"/>
  <c r="Q1220" i="2"/>
  <c r="Q1221" i="2" s="1"/>
  <c r="Q175" i="2"/>
  <c r="Q150" i="2"/>
  <c r="Q1208" i="2"/>
  <c r="Q1209" i="2" s="1"/>
  <c r="P629" i="2"/>
  <c r="W61" i="1"/>
  <c r="X60" i="1"/>
  <c r="S35" i="2"/>
  <c r="S16" i="2"/>
  <c r="S77" i="2"/>
  <c r="O197" i="2"/>
  <c r="O194" i="2"/>
  <c r="R87" i="1"/>
  <c r="Q91" i="1"/>
  <c r="M18" i="4"/>
  <c r="N698" i="2"/>
  <c r="M71" i="2"/>
  <c r="M200" i="2"/>
  <c r="M198" i="2"/>
  <c r="W55" i="1"/>
  <c r="X54" i="1"/>
  <c r="R1091" i="2"/>
  <c r="R1090" i="2" s="1"/>
  <c r="Q1092" i="2"/>
  <c r="R2" i="5"/>
  <c r="R2" i="4"/>
  <c r="R2" i="2"/>
  <c r="R2" i="10"/>
  <c r="R2" i="1"/>
  <c r="S25" i="1"/>
  <c r="O673" i="2"/>
  <c r="O674" i="2" s="1"/>
  <c r="O672" i="2"/>
  <c r="O669" i="2"/>
  <c r="O670" i="2" s="1"/>
  <c r="P694" i="2"/>
  <c r="P696" i="2"/>
  <c r="P697" i="2"/>
  <c r="R1084" i="2"/>
  <c r="S1083" i="2"/>
  <c r="S1082" i="2" s="1"/>
  <c r="Q146" i="1"/>
  <c r="Q59" i="1"/>
  <c r="Q120" i="1"/>
  <c r="Q45" i="1"/>
  <c r="Q44" i="1"/>
  <c r="Q123" i="1"/>
  <c r="Q140" i="1"/>
  <c r="Q131" i="1"/>
  <c r="Q53" i="1"/>
  <c r="O727" i="2"/>
  <c r="O724" i="2"/>
  <c r="O725" i="2" s="1"/>
  <c r="P729" i="2"/>
  <c r="P722" i="2"/>
  <c r="P726" i="2"/>
  <c r="P717" i="2" s="1"/>
  <c r="O302" i="2"/>
  <c r="O303" i="2" s="1"/>
  <c r="N412" i="2"/>
  <c r="X113" i="10"/>
  <c r="Y82" i="10"/>
  <c r="P647" i="2"/>
  <c r="P648" i="2"/>
  <c r="P649" i="2"/>
  <c r="X106" i="10"/>
  <c r="Q136" i="10"/>
  <c r="Q188" i="4" s="1"/>
  <c r="Q93" i="10"/>
  <c r="Q168" i="4" s="1"/>
  <c r="Q135" i="10"/>
  <c r="Q133" i="10"/>
  <c r="Q65" i="10"/>
  <c r="Q97" i="10"/>
  <c r="Q176" i="4" s="1"/>
  <c r="Q70" i="10"/>
  <c r="Q71" i="10" s="1"/>
  <c r="Q72" i="10" s="1"/>
  <c r="N440" i="4"/>
  <c r="N502" i="4"/>
  <c r="N467" i="4"/>
  <c r="N42" i="2"/>
  <c r="N29" i="2" s="1"/>
  <c r="T341" i="4"/>
  <c r="T383" i="4"/>
  <c r="T292" i="4"/>
  <c r="T47" i="1"/>
  <c r="T57" i="2" s="1"/>
  <c r="T49" i="1"/>
  <c r="T50" i="1"/>
  <c r="T48" i="1"/>
  <c r="U43" i="1"/>
  <c r="S1063" i="2"/>
  <c r="S1062" i="2" s="1"/>
  <c r="R1061" i="2"/>
  <c r="Q412" i="4"/>
  <c r="Q342" i="4"/>
  <c r="Q370" i="4"/>
  <c r="Q194" i="4"/>
  <c r="Q298" i="4"/>
  <c r="Q189" i="4"/>
  <c r="Q332" i="4"/>
  <c r="Q169" i="4"/>
  <c r="Q273" i="4"/>
  <c r="Q321" i="4"/>
  <c r="Q199" i="4"/>
  <c r="Q347" i="4"/>
  <c r="Q389" i="4"/>
  <c r="Q293" i="4"/>
  <c r="Q384" i="4"/>
  <c r="Q283" i="4"/>
  <c r="Q178" i="4"/>
  <c r="P720" i="2"/>
  <c r="P721" i="2"/>
  <c r="P9" i="2"/>
  <c r="P677" i="2"/>
  <c r="P671" i="2"/>
  <c r="P662" i="2" s="1"/>
  <c r="P667" i="2"/>
  <c r="P145" i="2"/>
  <c r="S299" i="2"/>
  <c r="S290" i="2"/>
  <c r="N84" i="2"/>
  <c r="X68" i="10"/>
  <c r="R80" i="1"/>
  <c r="S81" i="1"/>
  <c r="P289" i="2"/>
  <c r="M413" i="2"/>
  <c r="O702" i="2"/>
  <c r="O703" i="2"/>
  <c r="O704" i="2" s="1"/>
  <c r="O699" i="2"/>
  <c r="O700" i="2" s="1"/>
  <c r="X75" i="10"/>
  <c r="P1274" i="2"/>
  <c r="P707" i="2"/>
  <c r="P701" i="2"/>
  <c r="P691" i="2" s="1"/>
  <c r="O21" i="2"/>
  <c r="L549" i="2"/>
  <c r="S211" i="2"/>
  <c r="S184" i="2"/>
  <c r="S159" i="2"/>
  <c r="N991" i="2"/>
  <c r="N949" i="2"/>
  <c r="O503" i="4"/>
  <c r="O142" i="4"/>
  <c r="O650" i="2"/>
  <c r="M86" i="10"/>
  <c r="N84" i="10" s="1"/>
  <c r="N85" i="10"/>
  <c r="P665" i="2"/>
  <c r="P666" i="2"/>
  <c r="P429" i="2"/>
  <c r="N19" i="4"/>
  <c r="N18" i="4" s="1"/>
  <c r="N196" i="2"/>
  <c r="M539" i="2"/>
  <c r="O148" i="2"/>
  <c r="O146" i="2"/>
  <c r="S430" i="2"/>
  <c r="S441" i="2"/>
  <c r="O171" i="2"/>
  <c r="O173" i="2"/>
  <c r="N294" i="2"/>
  <c r="L158" i="2"/>
  <c r="L418" i="2"/>
  <c r="K277" i="4"/>
  <c r="K374" i="4"/>
  <c r="K324" i="4"/>
  <c r="K1264" i="2"/>
  <c r="K1184" i="2"/>
  <c r="M138" i="4"/>
  <c r="M990" i="2"/>
  <c r="L618" i="2"/>
  <c r="M399" i="2"/>
  <c r="L77" i="10"/>
  <c r="M140" i="4"/>
  <c r="K593" i="2"/>
  <c r="L374" i="4"/>
  <c r="L324" i="4"/>
  <c r="L277" i="4"/>
  <c r="L1264" i="2"/>
  <c r="L1184" i="2"/>
  <c r="D149" i="7" l="1"/>
  <c r="K305" i="7"/>
  <c r="D139" i="7"/>
  <c r="K295" i="7"/>
  <c r="Q336" i="2"/>
  <c r="J308" i="7"/>
  <c r="I308" i="7"/>
  <c r="J566" i="2"/>
  <c r="I878" i="2"/>
  <c r="I969" i="2" s="1"/>
  <c r="J243" i="4"/>
  <c r="J538" i="2"/>
  <c r="K60" i="4"/>
  <c r="K102" i="4" s="1"/>
  <c r="P56" i="4"/>
  <c r="N471" i="2"/>
  <c r="N473" i="2" s="1"/>
  <c r="N527" i="2" s="1"/>
  <c r="J97" i="4"/>
  <c r="Q503" i="2"/>
  <c r="P970" i="2"/>
  <c r="R505" i="2"/>
  <c r="R501" i="2"/>
  <c r="R506" i="2"/>
  <c r="R502" i="2"/>
  <c r="P966" i="2"/>
  <c r="Q327" i="2"/>
  <c r="Q328" i="2" s="1"/>
  <c r="P498" i="2"/>
  <c r="P55" i="4"/>
  <c r="P967" i="2"/>
  <c r="Q493" i="2"/>
  <c r="R495" i="2"/>
  <c r="R491" i="2"/>
  <c r="R492" i="2"/>
  <c r="R496" i="2"/>
  <c r="O971" i="2"/>
  <c r="N996" i="2"/>
  <c r="Q411" i="2"/>
  <c r="P395" i="2"/>
  <c r="O396" i="2"/>
  <c r="O394" i="2" s="1"/>
  <c r="P387" i="2"/>
  <c r="O388" i="2"/>
  <c r="O386" i="2" s="1"/>
  <c r="Q346" i="2"/>
  <c r="P350" i="2"/>
  <c r="P351" i="2" s="1"/>
  <c r="P39" i="4" s="1"/>
  <c r="O1118" i="2"/>
  <c r="O1119" i="2" s="1"/>
  <c r="P1118" i="2" s="1"/>
  <c r="R348" i="2"/>
  <c r="R345" i="2" s="1"/>
  <c r="R344" i="2"/>
  <c r="R339" i="2"/>
  <c r="R336" i="2" s="1"/>
  <c r="R335" i="2"/>
  <c r="Q337" i="2"/>
  <c r="Q481" i="2"/>
  <c r="Q483" i="2" s="1"/>
  <c r="Q488" i="2" s="1"/>
  <c r="P341" i="2"/>
  <c r="P342" i="2" s="1"/>
  <c r="P38" i="4" s="1"/>
  <c r="P332" i="2"/>
  <c r="P333" i="2" s="1"/>
  <c r="P37" i="4" s="1"/>
  <c r="R68" i="2"/>
  <c r="R330" i="2"/>
  <c r="R326" i="2"/>
  <c r="L419" i="2"/>
  <c r="L1323" i="2" s="1"/>
  <c r="L496" i="4" s="1"/>
  <c r="N708" i="2"/>
  <c r="K419" i="2"/>
  <c r="K1323" i="2" s="1"/>
  <c r="K437" i="4" s="1"/>
  <c r="K243" i="4"/>
  <c r="J48" i="4"/>
  <c r="O80" i="4"/>
  <c r="L301" i="7" s="1"/>
  <c r="J102" i="4"/>
  <c r="G65" i="4"/>
  <c r="G273" i="2"/>
  <c r="G127" i="4" s="1"/>
  <c r="H596" i="2"/>
  <c r="H164" i="4" s="1"/>
  <c r="Q107" i="2"/>
  <c r="Q87" i="2"/>
  <c r="O128" i="2"/>
  <c r="O471" i="2" s="1"/>
  <c r="N130" i="2"/>
  <c r="N1291" i="2" s="1"/>
  <c r="N431" i="4" s="1"/>
  <c r="M133" i="2"/>
  <c r="N129" i="2"/>
  <c r="L1219" i="2"/>
  <c r="L1217" i="2" s="1"/>
  <c r="J594" i="2"/>
  <c r="Q27" i="2"/>
  <c r="Q28" i="2" s="1"/>
  <c r="G270" i="2"/>
  <c r="H590" i="2"/>
  <c r="H165" i="4" s="1"/>
  <c r="I594" i="2"/>
  <c r="N517" i="2"/>
  <c r="H486" i="4"/>
  <c r="H459" i="4"/>
  <c r="J217" i="2"/>
  <c r="I208" i="2" s="1"/>
  <c r="I210" i="2" s="1"/>
  <c r="J216" i="2"/>
  <c r="J274" i="2" s="1"/>
  <c r="J1292" i="2" s="1"/>
  <c r="J459" i="4" s="1"/>
  <c r="G278" i="2"/>
  <c r="G604" i="2" s="1"/>
  <c r="G605" i="2" s="1"/>
  <c r="G606" i="2" s="1"/>
  <c r="Q67" i="2"/>
  <c r="Q195" i="2" s="1"/>
  <c r="H234" i="2"/>
  <c r="N6" i="4"/>
  <c r="I982" i="2"/>
  <c r="N941" i="2"/>
  <c r="M110" i="10"/>
  <c r="M108" i="10" s="1"/>
  <c r="N105" i="10" s="1"/>
  <c r="N109" i="10"/>
  <c r="N110" i="10" s="1"/>
  <c r="N108" i="10" s="1"/>
  <c r="O105" i="10" s="1"/>
  <c r="N916" i="2"/>
  <c r="P1242" i="2"/>
  <c r="P1243" i="2" s="1"/>
  <c r="N853" i="2"/>
  <c r="O1258" i="2"/>
  <c r="P951" i="2"/>
  <c r="N284" i="2"/>
  <c r="N25" i="4"/>
  <c r="N269" i="4"/>
  <c r="N159" i="4"/>
  <c r="G103" i="4"/>
  <c r="G495" i="4"/>
  <c r="N140" i="2"/>
  <c r="N423" i="2"/>
  <c r="N638" i="2"/>
  <c r="N124" i="4"/>
  <c r="N102" i="10"/>
  <c r="N55" i="10"/>
  <c r="N408" i="4"/>
  <c r="N4" i="5"/>
  <c r="N1142" i="2"/>
  <c r="N366" i="4"/>
  <c r="N4" i="2"/>
  <c r="L1107" i="2"/>
  <c r="L1105" i="2" s="1"/>
  <c r="N570" i="2"/>
  <c r="N1" i="5"/>
  <c r="N233" i="4"/>
  <c r="N1" i="1"/>
  <c r="N38" i="1"/>
  <c r="J599" i="2"/>
  <c r="J596" i="2" s="1"/>
  <c r="J164" i="4" s="1"/>
  <c r="Q169" i="2"/>
  <c r="Q170" i="2" s="1"/>
  <c r="O985" i="2"/>
  <c r="N730" i="2"/>
  <c r="N1000" i="2"/>
  <c r="N1056" i="2"/>
  <c r="N14" i="1"/>
  <c r="N90" i="10"/>
  <c r="N1189" i="2"/>
  <c r="N1" i="4"/>
  <c r="O1199" i="2"/>
  <c r="O1200" i="2" s="1"/>
  <c r="O1198" i="2" s="1"/>
  <c r="N1" i="2"/>
  <c r="N14" i="4"/>
  <c r="M1198" i="2"/>
  <c r="N1096" i="2"/>
  <c r="N4" i="4"/>
  <c r="N1269" i="2"/>
  <c r="N1168" i="2"/>
  <c r="M117" i="10"/>
  <c r="K1105" i="2"/>
  <c r="N1" i="10"/>
  <c r="N69" i="4"/>
  <c r="L619" i="2"/>
  <c r="K615" i="2"/>
  <c r="K186" i="4" s="1"/>
  <c r="P962" i="2"/>
  <c r="N113" i="1"/>
  <c r="N205" i="4"/>
  <c r="N68" i="1"/>
  <c r="N91" i="4"/>
  <c r="Q49" i="2"/>
  <c r="Q50" i="2" s="1"/>
  <c r="M827" i="2"/>
  <c r="N827" i="2" s="1"/>
  <c r="L801" i="2"/>
  <c r="M801" i="2" s="1"/>
  <c r="G436" i="4"/>
  <c r="G494" i="4"/>
  <c r="G463" i="4"/>
  <c r="I953" i="2"/>
  <c r="I767" i="2"/>
  <c r="O34" i="1"/>
  <c r="O220" i="4"/>
  <c r="P219" i="4"/>
  <c r="P727" i="2"/>
  <c r="P744" i="2"/>
  <c r="P946" i="2" s="1"/>
  <c r="P172" i="4" s="1"/>
  <c r="H1316" i="2"/>
  <c r="H1313" i="2" s="1"/>
  <c r="H173" i="4"/>
  <c r="H179" i="4" s="1"/>
  <c r="I983" i="2"/>
  <c r="I175" i="4" s="1"/>
  <c r="J935" i="2"/>
  <c r="P28" i="1"/>
  <c r="P27" i="1"/>
  <c r="Q26" i="1"/>
  <c r="P29" i="1"/>
  <c r="T235" i="2"/>
  <c r="T259" i="2"/>
  <c r="Q1120" i="2"/>
  <c r="Q1121" i="2" s="1"/>
  <c r="I957" i="2"/>
  <c r="I771" i="2"/>
  <c r="J877" i="2"/>
  <c r="J968" i="2" s="1"/>
  <c r="T311" i="2"/>
  <c r="T368" i="2"/>
  <c r="T359" i="2"/>
  <c r="T320" i="2"/>
  <c r="T380" i="2"/>
  <c r="K192" i="4"/>
  <c r="K208" i="4" s="1"/>
  <c r="I882" i="2"/>
  <c r="I973" i="2" s="1"/>
  <c r="T474" i="2"/>
  <c r="T464" i="2"/>
  <c r="T484" i="2"/>
  <c r="T520" i="2"/>
  <c r="T454" i="2"/>
  <c r="J587" i="2"/>
  <c r="J588" i="2" s="1"/>
  <c r="P955" i="2"/>
  <c r="I112" i="4"/>
  <c r="J775" i="2"/>
  <c r="J995" i="2" s="1"/>
  <c r="O1013" i="2"/>
  <c r="P844" i="2"/>
  <c r="P845" i="2" s="1"/>
  <c r="O956" i="2"/>
  <c r="P952" i="2"/>
  <c r="Q840" i="2"/>
  <c r="Q841" i="2"/>
  <c r="O843" i="2"/>
  <c r="P848" i="2"/>
  <c r="P849" i="2" s="1"/>
  <c r="P847" i="2"/>
  <c r="P843" i="2" s="1"/>
  <c r="R831" i="2"/>
  <c r="R834" i="2"/>
  <c r="Q852" i="2"/>
  <c r="Q842" i="2"/>
  <c r="Q846" i="2"/>
  <c r="Q837" i="2" s="1"/>
  <c r="Q78" i="4" s="1"/>
  <c r="N299" i="7" s="1"/>
  <c r="P818" i="2"/>
  <c r="P819" i="2" s="1"/>
  <c r="P759" i="2"/>
  <c r="P75" i="4" s="1"/>
  <c r="M296" i="7" s="1"/>
  <c r="O817" i="2"/>
  <c r="R808" i="2"/>
  <c r="R805" i="2"/>
  <c r="P822" i="2"/>
  <c r="P823" i="2" s="1"/>
  <c r="P821" i="2"/>
  <c r="Q814" i="2"/>
  <c r="Q815" i="2"/>
  <c r="Q826" i="2"/>
  <c r="Q816" i="2"/>
  <c r="Q820" i="2"/>
  <c r="Q811" i="2" s="1"/>
  <c r="Q77" i="4" s="1"/>
  <c r="N298" i="7" s="1"/>
  <c r="N886" i="2"/>
  <c r="Q297" i="2"/>
  <c r="Q298" i="2" s="1"/>
  <c r="Q302" i="2" s="1"/>
  <c r="Q303" i="2" s="1"/>
  <c r="M410" i="2"/>
  <c r="Q800" i="2"/>
  <c r="Q794" i="2"/>
  <c r="Q785" i="2" s="1"/>
  <c r="Q76" i="4" s="1"/>
  <c r="N297" i="7" s="1"/>
  <c r="Q790" i="2"/>
  <c r="R782" i="2"/>
  <c r="R779" i="2"/>
  <c r="P796" i="2"/>
  <c r="P797" i="2" s="1"/>
  <c r="P795" i="2"/>
  <c r="P792" i="2"/>
  <c r="P793" i="2" s="1"/>
  <c r="Q788" i="2"/>
  <c r="Q789" i="2"/>
  <c r="Q769" i="2"/>
  <c r="Q774" i="2"/>
  <c r="Q764" i="2"/>
  <c r="Q768" i="2"/>
  <c r="O765" i="2"/>
  <c r="Q763" i="2"/>
  <c r="R756" i="2"/>
  <c r="R753" i="2"/>
  <c r="P769" i="2"/>
  <c r="K572" i="2"/>
  <c r="K162" i="4" s="1"/>
  <c r="N51" i="2"/>
  <c r="P7" i="4"/>
  <c r="O64" i="2"/>
  <c r="R61" i="2"/>
  <c r="R58" i="2"/>
  <c r="R47" i="2"/>
  <c r="P63" i="2"/>
  <c r="N52" i="2"/>
  <c r="M100" i="4"/>
  <c r="I27" i="4"/>
  <c r="L237" i="4"/>
  <c r="L251" i="4"/>
  <c r="L247" i="4"/>
  <c r="L238" i="4"/>
  <c r="L241" i="4"/>
  <c r="L264" i="4"/>
  <c r="L240" i="4"/>
  <c r="L242" i="4"/>
  <c r="L260" i="4"/>
  <c r="L265" i="4"/>
  <c r="L261" i="4"/>
  <c r="L236" i="4"/>
  <c r="L239" i="4"/>
  <c r="L246" i="4"/>
  <c r="BD84" i="4"/>
  <c r="N87" i="4"/>
  <c r="BD74" i="4"/>
  <c r="O627" i="2"/>
  <c r="O626" i="2" s="1"/>
  <c r="O184" i="4" s="1"/>
  <c r="K97" i="4"/>
  <c r="L497" i="4"/>
  <c r="M32" i="4"/>
  <c r="L97" i="4"/>
  <c r="L94" i="4" s="1"/>
  <c r="L98" i="4" s="1"/>
  <c r="N100" i="4"/>
  <c r="N96" i="4"/>
  <c r="N32" i="4"/>
  <c r="P963" i="2"/>
  <c r="P139" i="4" s="1"/>
  <c r="Q741" i="2"/>
  <c r="K1259" i="2"/>
  <c r="L1232" i="2"/>
  <c r="J195" i="4"/>
  <c r="J208" i="4"/>
  <c r="J222" i="4"/>
  <c r="L212" i="4"/>
  <c r="L373" i="4"/>
  <c r="L276" i="4"/>
  <c r="M1234" i="2"/>
  <c r="M1232" i="2" s="1"/>
  <c r="R1235" i="2"/>
  <c r="Q743" i="2"/>
  <c r="Q945" i="2" s="1"/>
  <c r="R737" i="2"/>
  <c r="R742" i="2" s="1"/>
  <c r="P746" i="2"/>
  <c r="R890" i="2"/>
  <c r="R896" i="2"/>
  <c r="P911" i="2"/>
  <c r="P912" i="2" s="1"/>
  <c r="P910" i="2"/>
  <c r="P907" i="2"/>
  <c r="P908" i="2" s="1"/>
  <c r="Q915" i="2"/>
  <c r="Q909" i="2"/>
  <c r="Q899" i="2" s="1"/>
  <c r="Q82" i="4" s="1"/>
  <c r="N303" i="7" s="1"/>
  <c r="Q902" i="2"/>
  <c r="Q904" i="2"/>
  <c r="Q905" i="2"/>
  <c r="O906" i="2"/>
  <c r="O934" i="2"/>
  <c r="P928" i="2"/>
  <c r="P85" i="4" s="1"/>
  <c r="M306" i="7" s="1"/>
  <c r="P984" i="2"/>
  <c r="R925" i="2"/>
  <c r="R923" i="2"/>
  <c r="P938" i="2"/>
  <c r="Q931" i="2"/>
  <c r="Q932" i="2"/>
  <c r="Q980" i="2" s="1"/>
  <c r="Q940" i="2"/>
  <c r="Q988" i="2" s="1"/>
  <c r="Q933" i="2"/>
  <c r="Q981" i="2" s="1"/>
  <c r="Q937" i="2"/>
  <c r="P869" i="2"/>
  <c r="P81" i="4" s="1"/>
  <c r="M302" i="7" s="1"/>
  <c r="P880" i="2"/>
  <c r="Q885" i="2"/>
  <c r="Q879" i="2"/>
  <c r="Q872" i="2"/>
  <c r="Q874" i="2"/>
  <c r="Q875" i="2"/>
  <c r="R866" i="2"/>
  <c r="R860" i="2"/>
  <c r="O876" i="2"/>
  <c r="I600" i="2"/>
  <c r="P90" i="2"/>
  <c r="P9" i="4" s="1"/>
  <c r="K552" i="2"/>
  <c r="K566" i="2" s="1"/>
  <c r="J562" i="2"/>
  <c r="J564" i="2" s="1"/>
  <c r="K559" i="2"/>
  <c r="K560" i="2"/>
  <c r="L553" i="2"/>
  <c r="L565" i="2" s="1"/>
  <c r="L61" i="4"/>
  <c r="L524" i="2"/>
  <c r="L554" i="2" s="1"/>
  <c r="L1302" i="2" s="1"/>
  <c r="M519" i="2"/>
  <c r="L526" i="2"/>
  <c r="L534" i="2"/>
  <c r="K536" i="2"/>
  <c r="K538" i="2" s="1"/>
  <c r="K533" i="2"/>
  <c r="L529" i="2"/>
  <c r="M529" i="2" s="1"/>
  <c r="N529" i="2" s="1"/>
  <c r="M478" i="2"/>
  <c r="M528" i="2" s="1"/>
  <c r="M53" i="4"/>
  <c r="M50" i="4" s="1"/>
  <c r="M202" i="2"/>
  <c r="M276" i="2" s="1"/>
  <c r="M592" i="2" s="1"/>
  <c r="I459" i="4"/>
  <c r="H258" i="2"/>
  <c r="G279" i="2"/>
  <c r="G611" i="2" s="1"/>
  <c r="I486" i="4"/>
  <c r="K217" i="2"/>
  <c r="J208" i="2" s="1"/>
  <c r="J271" i="2"/>
  <c r="I278" i="2"/>
  <c r="I604" i="2" s="1"/>
  <c r="H1301" i="2"/>
  <c r="H270" i="2"/>
  <c r="J30" i="4"/>
  <c r="J27" i="4" s="1"/>
  <c r="J265" i="2"/>
  <c r="I256" i="2" s="1"/>
  <c r="I258" i="2" s="1"/>
  <c r="L262" i="4"/>
  <c r="H279" i="2"/>
  <c r="H611" i="2" s="1"/>
  <c r="I234" i="2"/>
  <c r="K252" i="2"/>
  <c r="K265" i="2" s="1"/>
  <c r="K241" i="2"/>
  <c r="K230" i="2" s="1"/>
  <c r="N219" i="2"/>
  <c r="N221" i="2" s="1"/>
  <c r="N243" i="2"/>
  <c r="K240" i="2"/>
  <c r="L204" i="2"/>
  <c r="L216" i="2" s="1"/>
  <c r="L248" i="2"/>
  <c r="L277" i="2" s="1"/>
  <c r="L246" i="2"/>
  <c r="L275" i="2" s="1"/>
  <c r="L586" i="2" s="1"/>
  <c r="I272" i="2"/>
  <c r="I607" i="2" s="1"/>
  <c r="M245" i="2"/>
  <c r="K275" i="2"/>
  <c r="K586" i="2" s="1"/>
  <c r="K587" i="2" s="1"/>
  <c r="J229" i="2"/>
  <c r="J230" i="2"/>
  <c r="L228" i="2"/>
  <c r="M224" i="2"/>
  <c r="M222" i="2"/>
  <c r="K28" i="4"/>
  <c r="R260" i="2"/>
  <c r="R244" i="2"/>
  <c r="R262" i="2"/>
  <c r="R250" i="2"/>
  <c r="P488" i="2"/>
  <c r="H210" i="2"/>
  <c r="I1301" i="2"/>
  <c r="I270" i="2"/>
  <c r="R236" i="2"/>
  <c r="R220" i="2"/>
  <c r="R238" i="2"/>
  <c r="R226" i="2"/>
  <c r="Q378" i="2"/>
  <c r="Q379" i="2" s="1"/>
  <c r="Q403" i="2" s="1"/>
  <c r="R485" i="2"/>
  <c r="R486" i="2"/>
  <c r="R482" i="2"/>
  <c r="R475" i="2"/>
  <c r="R476" i="2"/>
  <c r="R472" i="2"/>
  <c r="P468" i="2"/>
  <c r="P52" i="4"/>
  <c r="Q463" i="2"/>
  <c r="R465" i="2"/>
  <c r="R466" i="2"/>
  <c r="R462" i="2"/>
  <c r="Q357" i="2"/>
  <c r="Q358" i="2" s="1"/>
  <c r="Q318" i="2"/>
  <c r="Q319" i="2" s="1"/>
  <c r="R521" i="2"/>
  <c r="R522" i="2"/>
  <c r="R518" i="2"/>
  <c r="Q366" i="2"/>
  <c r="Q367" i="2" s="1"/>
  <c r="P458" i="2"/>
  <c r="P51" i="4"/>
  <c r="R455" i="2"/>
  <c r="R456" i="2"/>
  <c r="R452" i="2"/>
  <c r="Q309" i="2"/>
  <c r="Q310" i="2" s="1"/>
  <c r="Q453" i="2"/>
  <c r="Q439" i="2"/>
  <c r="Q440" i="2" s="1"/>
  <c r="Q445" i="2" s="1"/>
  <c r="O402" i="2"/>
  <c r="O409" i="2" s="1"/>
  <c r="M1310" i="2"/>
  <c r="O384" i="2"/>
  <c r="O46" i="4" s="1"/>
  <c r="O45" i="4" s="1"/>
  <c r="P70" i="2"/>
  <c r="P83" i="2" s="1"/>
  <c r="Q69" i="2"/>
  <c r="O8" i="4"/>
  <c r="O6" i="4" s="1"/>
  <c r="N111" i="2"/>
  <c r="O315" i="2"/>
  <c r="O35" i="4" s="1"/>
  <c r="O34" i="4" s="1"/>
  <c r="L397" i="2"/>
  <c r="K401" i="2"/>
  <c r="K598" i="2"/>
  <c r="K599" i="2" s="1"/>
  <c r="R317" i="2"/>
  <c r="R321" i="2"/>
  <c r="P323" i="2"/>
  <c r="P324" i="2" s="1"/>
  <c r="P36" i="4" s="1"/>
  <c r="N112" i="2"/>
  <c r="R308" i="2"/>
  <c r="R312" i="2"/>
  <c r="P314" i="2"/>
  <c r="N413" i="2"/>
  <c r="N416" i="2" s="1"/>
  <c r="N1322" i="2" s="1"/>
  <c r="R377" i="2"/>
  <c r="R381" i="2"/>
  <c r="P383" i="2"/>
  <c r="P404" i="2" s="1"/>
  <c r="R365" i="2"/>
  <c r="R369" i="2"/>
  <c r="P371" i="2"/>
  <c r="P372" i="2" s="1"/>
  <c r="P43" i="4" s="1"/>
  <c r="O123" i="2"/>
  <c r="O124" i="2" s="1"/>
  <c r="O103" i="2"/>
  <c r="O104" i="2" s="1"/>
  <c r="N92" i="2"/>
  <c r="N91" i="2"/>
  <c r="O363" i="2"/>
  <c r="O42" i="4" s="1"/>
  <c r="O41" i="4" s="1"/>
  <c r="R356" i="2"/>
  <c r="R360" i="2"/>
  <c r="P362" i="2"/>
  <c r="P110" i="2"/>
  <c r="P10" i="4" s="1"/>
  <c r="Q109" i="2"/>
  <c r="Q89" i="2"/>
  <c r="S57" i="10"/>
  <c r="S62" i="10"/>
  <c r="T97" i="2"/>
  <c r="T117" i="2"/>
  <c r="M128" i="4"/>
  <c r="M418" i="2"/>
  <c r="L183" i="2"/>
  <c r="R121" i="2"/>
  <c r="R118" i="2"/>
  <c r="R108" i="2"/>
  <c r="L575" i="2"/>
  <c r="L576" i="2" s="1"/>
  <c r="R101" i="2"/>
  <c r="R98" i="2"/>
  <c r="R88" i="2"/>
  <c r="N410" i="2"/>
  <c r="N549" i="2"/>
  <c r="O539" i="2"/>
  <c r="N71" i="2"/>
  <c r="P699" i="2"/>
  <c r="P700" i="2" s="1"/>
  <c r="O546" i="2"/>
  <c r="P546" i="2"/>
  <c r="N165" i="2"/>
  <c r="N153" i="2" s="1"/>
  <c r="O177" i="2"/>
  <c r="O189" i="2" s="1"/>
  <c r="O412" i="2"/>
  <c r="O414" i="2" s="1"/>
  <c r="O617" i="2" s="1"/>
  <c r="P724" i="2"/>
  <c r="P725" i="2" s="1"/>
  <c r="O152" i="2"/>
  <c r="O164" i="2" s="1"/>
  <c r="Q289" i="2"/>
  <c r="Q293" i="2" s="1"/>
  <c r="Q294" i="2" s="1"/>
  <c r="N189" i="2"/>
  <c r="N190" i="2"/>
  <c r="N179" i="2" s="1"/>
  <c r="P1119" i="2"/>
  <c r="P1117" i="2" s="1"/>
  <c r="P1276" i="2"/>
  <c r="N1305" i="2"/>
  <c r="L593" i="2"/>
  <c r="L590" i="2" s="1"/>
  <c r="P293" i="2"/>
  <c r="T77" i="2"/>
  <c r="T35" i="2"/>
  <c r="T16" i="2"/>
  <c r="Z82" i="10"/>
  <c r="O723" i="2"/>
  <c r="P173" i="2"/>
  <c r="P171" i="2"/>
  <c r="R283" i="4"/>
  <c r="R273" i="4"/>
  <c r="R412" i="4"/>
  <c r="R347" i="4"/>
  <c r="R199" i="4"/>
  <c r="R189" i="4"/>
  <c r="R389" i="4"/>
  <c r="R332" i="4"/>
  <c r="R293" i="4"/>
  <c r="R178" i="4"/>
  <c r="R169" i="4"/>
  <c r="R321" i="4"/>
  <c r="R384" i="4"/>
  <c r="R370" i="4"/>
  <c r="R342" i="4"/>
  <c r="R298" i="4"/>
  <c r="R194" i="4"/>
  <c r="M131" i="2"/>
  <c r="P302" i="2"/>
  <c r="P303" i="2" s="1"/>
  <c r="Q707" i="2"/>
  <c r="Q701" i="2"/>
  <c r="Q691" i="2" s="1"/>
  <c r="Q694" i="2"/>
  <c r="Q696" i="2"/>
  <c r="Q697" i="2"/>
  <c r="P652" i="2"/>
  <c r="M431" i="4"/>
  <c r="M485" i="4"/>
  <c r="M458" i="4"/>
  <c r="Q677" i="2"/>
  <c r="Q667" i="2"/>
  <c r="Q671" i="2"/>
  <c r="Q662" i="2" s="1"/>
  <c r="Q9" i="2"/>
  <c r="T1063" i="2"/>
  <c r="T1062" i="2" s="1"/>
  <c r="S1061" i="2"/>
  <c r="N138" i="4"/>
  <c r="N144" i="4" s="1"/>
  <c r="N990" i="2"/>
  <c r="M1321" i="2"/>
  <c r="M416" i="2"/>
  <c r="M419" i="2" s="1"/>
  <c r="P146" i="2"/>
  <c r="P148" i="2"/>
  <c r="P21" i="2"/>
  <c r="P22" i="2" s="1"/>
  <c r="M236" i="4"/>
  <c r="P445" i="2"/>
  <c r="S2" i="5"/>
  <c r="S2" i="4"/>
  <c r="S2" i="2"/>
  <c r="S2" i="10"/>
  <c r="S2" i="1"/>
  <c r="T25" i="1"/>
  <c r="S1091" i="2"/>
  <c r="S1090" i="2" s="1"/>
  <c r="R1092" i="2"/>
  <c r="N86" i="10"/>
  <c r="S87" i="1"/>
  <c r="R91" i="1"/>
  <c r="Q647" i="2"/>
  <c r="Q649" i="2"/>
  <c r="Q648" i="2"/>
  <c r="O698" i="2"/>
  <c r="N72" i="2"/>
  <c r="U292" i="4"/>
  <c r="U383" i="4"/>
  <c r="U341" i="4"/>
  <c r="U47" i="1"/>
  <c r="U57" i="2" s="1"/>
  <c r="U49" i="1"/>
  <c r="U48" i="1"/>
  <c r="U50" i="1"/>
  <c r="V43" i="1"/>
  <c r="T1083" i="2"/>
  <c r="T1082" i="2" s="1"/>
  <c r="S1084" i="2"/>
  <c r="R146" i="1"/>
  <c r="R59" i="1"/>
  <c r="R120" i="1"/>
  <c r="R45" i="1"/>
  <c r="R44" i="1"/>
  <c r="R53" i="1"/>
  <c r="R131" i="1"/>
  <c r="R123" i="1"/>
  <c r="R140" i="1"/>
  <c r="X55" i="1"/>
  <c r="Y54" i="1"/>
  <c r="N30" i="2"/>
  <c r="O30" i="2" s="1"/>
  <c r="P503" i="4"/>
  <c r="P650" i="2"/>
  <c r="Y75" i="10"/>
  <c r="S80" i="1"/>
  <c r="T81" i="1"/>
  <c r="Y68" i="10"/>
  <c r="T184" i="2"/>
  <c r="T159" i="2"/>
  <c r="T211" i="2"/>
  <c r="Y113" i="10"/>
  <c r="R65" i="10"/>
  <c r="R133" i="10"/>
  <c r="R136" i="10"/>
  <c r="R188" i="4" s="1"/>
  <c r="R135" i="10"/>
  <c r="R97" i="10"/>
  <c r="R176" i="4" s="1"/>
  <c r="R93" i="10"/>
  <c r="R168" i="4" s="1"/>
  <c r="R70" i="10"/>
  <c r="R71" i="10" s="1"/>
  <c r="R72" i="10" s="1"/>
  <c r="X61" i="1"/>
  <c r="Y60" i="1"/>
  <c r="Q665" i="2"/>
  <c r="Q666" i="2"/>
  <c r="Q145" i="2"/>
  <c r="P673" i="2"/>
  <c r="P674" i="2" s="1"/>
  <c r="P672" i="2"/>
  <c r="P434" i="2"/>
  <c r="P41" i="2"/>
  <c r="N1307" i="2"/>
  <c r="T290" i="2"/>
  <c r="T299" i="2"/>
  <c r="Y106" i="10"/>
  <c r="N430" i="4"/>
  <c r="N484" i="4"/>
  <c r="N457" i="4"/>
  <c r="N414" i="2"/>
  <c r="N617" i="2" s="1"/>
  <c r="P669" i="2"/>
  <c r="O668" i="2"/>
  <c r="O678" i="2" s="1"/>
  <c r="Q720" i="2"/>
  <c r="Q721" i="2"/>
  <c r="Q1274" i="2"/>
  <c r="Q1276" i="2" s="1"/>
  <c r="Q429" i="2"/>
  <c r="Q434" i="2" s="1"/>
  <c r="X86" i="1"/>
  <c r="N399" i="2"/>
  <c r="O440" i="4"/>
  <c r="O502" i="4"/>
  <c r="O467" i="4"/>
  <c r="M144" i="4"/>
  <c r="M324" i="4" s="1"/>
  <c r="N200" i="2"/>
  <c r="N198" i="2"/>
  <c r="P197" i="2"/>
  <c r="P194" i="2"/>
  <c r="O1299" i="2"/>
  <c r="M549" i="2"/>
  <c r="M551" i="2" s="1"/>
  <c r="L551" i="2"/>
  <c r="O22" i="2"/>
  <c r="O991" i="2"/>
  <c r="O1305" i="2" s="1"/>
  <c r="O949" i="2"/>
  <c r="T441" i="2"/>
  <c r="T430" i="2"/>
  <c r="O177" i="4"/>
  <c r="P702" i="2"/>
  <c r="P703" i="2"/>
  <c r="P704" i="2" s="1"/>
  <c r="R1281" i="2"/>
  <c r="R1272" i="2"/>
  <c r="R1032" i="2"/>
  <c r="R1031" i="2" s="1"/>
  <c r="R659" i="2"/>
  <c r="R628" i="2"/>
  <c r="R629" i="2" s="1"/>
  <c r="R555" i="2"/>
  <c r="R544" i="2"/>
  <c r="R443" i="2"/>
  <c r="R407" i="2"/>
  <c r="R214" i="2"/>
  <c r="R160" i="2"/>
  <c r="R1017" i="2"/>
  <c r="R656" i="2"/>
  <c r="R643" i="2"/>
  <c r="R542" i="2"/>
  <c r="R531" i="2"/>
  <c r="R442" i="2"/>
  <c r="R432" i="2"/>
  <c r="R405" i="2"/>
  <c r="R168" i="2"/>
  <c r="R167" i="2" s="1"/>
  <c r="R1335" i="2"/>
  <c r="R1279" i="2"/>
  <c r="R1220" i="2"/>
  <c r="R1221" i="2" s="1"/>
  <c r="R1136" i="2"/>
  <c r="R714" i="2"/>
  <c r="R431" i="2"/>
  <c r="R391" i="2"/>
  <c r="R300" i="2"/>
  <c r="R291" i="2"/>
  <c r="R212" i="2"/>
  <c r="R1012" i="2"/>
  <c r="R1011" i="2" s="1"/>
  <c r="R427" i="2"/>
  <c r="R296" i="2"/>
  <c r="R287" i="2"/>
  <c r="R162" i="2"/>
  <c r="R78" i="2"/>
  <c r="R8" i="2"/>
  <c r="R1275" i="2"/>
  <c r="R1150" i="2"/>
  <c r="R1151" i="2" s="1"/>
  <c r="R712" i="2"/>
  <c r="R623" i="2"/>
  <c r="R624" i="2" s="1"/>
  <c r="R1273" i="2"/>
  <c r="R1146" i="2"/>
  <c r="R1147" i="2" s="1"/>
  <c r="R1028" i="2"/>
  <c r="R438" i="2"/>
  <c r="R437" i="2" s="1"/>
  <c r="R389" i="2"/>
  <c r="R1026" i="2"/>
  <c r="R187" i="2"/>
  <c r="R144" i="2"/>
  <c r="R26" i="2"/>
  <c r="R25" i="2" s="1"/>
  <c r="R7" i="2"/>
  <c r="R1178" i="2"/>
  <c r="R197" i="4" s="1"/>
  <c r="R688" i="2"/>
  <c r="R143" i="2"/>
  <c r="R81" i="2"/>
  <c r="R1037" i="2"/>
  <c r="R185" i="2"/>
  <c r="R39" i="2"/>
  <c r="R682" i="2"/>
  <c r="R19" i="2"/>
  <c r="R1278" i="2"/>
  <c r="R1201" i="2"/>
  <c r="R1202" i="2" s="1"/>
  <c r="R1108" i="2"/>
  <c r="R1109" i="2" s="1"/>
  <c r="R557" i="2"/>
  <c r="R428" i="2"/>
  <c r="R36" i="2"/>
  <c r="R17" i="2"/>
  <c r="R1033" i="2"/>
  <c r="R288" i="2"/>
  <c r="R150" i="2"/>
  <c r="R175" i="2"/>
  <c r="R1208" i="2"/>
  <c r="R1209" i="2" s="1"/>
  <c r="O84" i="2"/>
  <c r="O19" i="4"/>
  <c r="O18" i="4" s="1"/>
  <c r="O196" i="2"/>
  <c r="O963" i="2"/>
  <c r="Q1280" i="2"/>
  <c r="Q729" i="2"/>
  <c r="Q722" i="2"/>
  <c r="Q726" i="2"/>
  <c r="Q717" i="2" s="1"/>
  <c r="Q1039" i="2"/>
  <c r="Q1038" i="2"/>
  <c r="M619" i="2"/>
  <c r="M615" i="2"/>
  <c r="M186" i="4" s="1"/>
  <c r="K594" i="2"/>
  <c r="K590" i="2"/>
  <c r="L78" i="10"/>
  <c r="L615" i="2"/>
  <c r="L186" i="4" s="1"/>
  <c r="Q967" i="2" l="1"/>
  <c r="H139" i="7"/>
  <c r="AZ295" i="7"/>
  <c r="H149" i="7"/>
  <c r="AZ305" i="7"/>
  <c r="K308" i="7"/>
  <c r="K48" i="4"/>
  <c r="D213" i="7"/>
  <c r="D49" i="7"/>
  <c r="D53" i="7"/>
  <c r="J94" i="4"/>
  <c r="R327" i="2"/>
  <c r="Q508" i="2"/>
  <c r="Q56" i="4"/>
  <c r="S506" i="2"/>
  <c r="S505" i="2"/>
  <c r="S501" i="2"/>
  <c r="S502" i="2"/>
  <c r="R503" i="2"/>
  <c r="P971" i="2"/>
  <c r="R493" i="2"/>
  <c r="R498" i="2" s="1"/>
  <c r="Q498" i="2"/>
  <c r="Q55" i="4"/>
  <c r="O996" i="2"/>
  <c r="S496" i="2"/>
  <c r="S492" i="2"/>
  <c r="S495" i="2"/>
  <c r="S491" i="2"/>
  <c r="Q966" i="2"/>
  <c r="Q970" i="2"/>
  <c r="Q977" i="2"/>
  <c r="Q395" i="2"/>
  <c r="O708" i="2"/>
  <c r="O1117" i="2"/>
  <c r="O941" i="2"/>
  <c r="R411" i="2"/>
  <c r="P396" i="2"/>
  <c r="K464" i="4"/>
  <c r="Q387" i="2"/>
  <c r="P388" i="2"/>
  <c r="P386" i="2" s="1"/>
  <c r="K496" i="4"/>
  <c r="S348" i="2"/>
  <c r="S345" i="2" s="1"/>
  <c r="S344" i="2"/>
  <c r="R346" i="2"/>
  <c r="Q350" i="2"/>
  <c r="Q351" i="2" s="1"/>
  <c r="Q39" i="4" s="1"/>
  <c r="M1218" i="2"/>
  <c r="S339" i="2"/>
  <c r="S336" i="2" s="1"/>
  <c r="S335" i="2"/>
  <c r="Q341" i="2"/>
  <c r="Q342" i="2" s="1"/>
  <c r="Q38" i="4" s="1"/>
  <c r="R337" i="2"/>
  <c r="L437" i="4"/>
  <c r="L464" i="4"/>
  <c r="Q332" i="2"/>
  <c r="Q333" i="2" s="1"/>
  <c r="Q37" i="4" s="1"/>
  <c r="S68" i="2"/>
  <c r="S326" i="2"/>
  <c r="S330" i="2"/>
  <c r="P80" i="4"/>
  <c r="M301" i="7" s="1"/>
  <c r="O87" i="4"/>
  <c r="N93" i="4"/>
  <c r="N236" i="4" s="1"/>
  <c r="R27" i="2"/>
  <c r="R28" i="2" s="1"/>
  <c r="M239" i="4"/>
  <c r="O853" i="2"/>
  <c r="P853" i="2" s="1"/>
  <c r="L60" i="4"/>
  <c r="O916" i="2"/>
  <c r="P1258" i="2"/>
  <c r="R87" i="2"/>
  <c r="R107" i="2"/>
  <c r="N133" i="2"/>
  <c r="O129" i="2"/>
  <c r="P128" i="2"/>
  <c r="P471" i="2" s="1"/>
  <c r="O130" i="2"/>
  <c r="O1291" i="2" s="1"/>
  <c r="J205" i="2"/>
  <c r="J206" i="2"/>
  <c r="J210" i="2" s="1"/>
  <c r="O517" i="2"/>
  <c r="O473" i="2"/>
  <c r="O527" i="2" s="1"/>
  <c r="H605" i="2"/>
  <c r="H602" i="2" s="1"/>
  <c r="H183" i="4" s="1"/>
  <c r="R67" i="2"/>
  <c r="I63" i="4"/>
  <c r="O730" i="2"/>
  <c r="O109" i="10"/>
  <c r="O110" i="10" s="1"/>
  <c r="M1106" i="2"/>
  <c r="G104" i="4"/>
  <c r="K195" i="4"/>
  <c r="K600" i="2"/>
  <c r="K588" i="2"/>
  <c r="J584" i="2"/>
  <c r="J166" i="4" s="1"/>
  <c r="J600" i="2"/>
  <c r="R169" i="2"/>
  <c r="R170" i="2" s="1"/>
  <c r="R171" i="2" s="1"/>
  <c r="R49" i="2"/>
  <c r="P698" i="2"/>
  <c r="O827" i="2"/>
  <c r="M115" i="10"/>
  <c r="N112" i="10" s="1"/>
  <c r="N116" i="10"/>
  <c r="P723" i="2"/>
  <c r="K222" i="4"/>
  <c r="P668" i="2"/>
  <c r="P678" i="2" s="1"/>
  <c r="N801" i="2"/>
  <c r="O801" i="2" s="1"/>
  <c r="Q744" i="2"/>
  <c r="Q946" i="2" s="1"/>
  <c r="Q172" i="4" s="1"/>
  <c r="Q29" i="1"/>
  <c r="Q28" i="1"/>
  <c r="R26" i="1"/>
  <c r="Q27" i="1"/>
  <c r="O4" i="5"/>
  <c r="O69" i="4"/>
  <c r="O1189" i="2"/>
  <c r="O423" i="2"/>
  <c r="O284" i="2"/>
  <c r="O1" i="2"/>
  <c r="O1" i="5"/>
  <c r="O140" i="2"/>
  <c r="O124" i="4"/>
  <c r="O408" i="4"/>
  <c r="O638" i="2"/>
  <c r="O90" i="10"/>
  <c r="O1168" i="2"/>
  <c r="O14" i="4"/>
  <c r="O317" i="4"/>
  <c r="O1142" i="2"/>
  <c r="O1" i="10"/>
  <c r="O205" i="4"/>
  <c r="O233" i="4"/>
  <c r="O1096" i="2"/>
  <c r="O102" i="10"/>
  <c r="O68" i="1"/>
  <c r="O91" i="4"/>
  <c r="O269" i="4"/>
  <c r="O570" i="2"/>
  <c r="O38" i="1"/>
  <c r="O14" i="1"/>
  <c r="O1000" i="2"/>
  <c r="O159" i="4"/>
  <c r="O55" i="10"/>
  <c r="O113" i="1"/>
  <c r="O366" i="4"/>
  <c r="O25" i="4"/>
  <c r="O4" i="2"/>
  <c r="O1056" i="2"/>
  <c r="O4" i="4"/>
  <c r="O1" i="1"/>
  <c r="O1" i="4"/>
  <c r="O1269" i="2"/>
  <c r="J112" i="4"/>
  <c r="K775" i="2"/>
  <c r="G602" i="2"/>
  <c r="G183" i="4" s="1"/>
  <c r="P906" i="2"/>
  <c r="I1318" i="2"/>
  <c r="I174" i="4"/>
  <c r="H1314" i="2"/>
  <c r="H1315" i="2" s="1"/>
  <c r="H495" i="4"/>
  <c r="H103" i="4"/>
  <c r="H104" i="4" s="1"/>
  <c r="J878" i="2"/>
  <c r="J969" i="2" s="1"/>
  <c r="J982" i="2"/>
  <c r="J936" i="2"/>
  <c r="U311" i="2"/>
  <c r="U368" i="2"/>
  <c r="U359" i="2"/>
  <c r="U320" i="2"/>
  <c r="U380" i="2"/>
  <c r="I954" i="2"/>
  <c r="J766" i="2"/>
  <c r="U235" i="2"/>
  <c r="U259" i="2"/>
  <c r="Q962" i="2"/>
  <c r="O1014" i="2"/>
  <c r="P1013" i="2"/>
  <c r="J881" i="2"/>
  <c r="J972" i="2" s="1"/>
  <c r="I958" i="2"/>
  <c r="J770" i="2"/>
  <c r="G612" i="2"/>
  <c r="G609" i="2" s="1"/>
  <c r="G163" i="4" s="1"/>
  <c r="P985" i="2"/>
  <c r="Q955" i="2"/>
  <c r="R1120" i="2"/>
  <c r="R1121" i="2" s="1"/>
  <c r="U484" i="2"/>
  <c r="U454" i="2"/>
  <c r="U474" i="2"/>
  <c r="U464" i="2"/>
  <c r="U520" i="2"/>
  <c r="M593" i="2"/>
  <c r="M594" i="2" s="1"/>
  <c r="P956" i="2"/>
  <c r="Q219" i="4"/>
  <c r="P220" i="4"/>
  <c r="R1029" i="2"/>
  <c r="P34" i="1"/>
  <c r="Q952" i="2"/>
  <c r="R297" i="2"/>
  <c r="R298" i="2" s="1"/>
  <c r="R302" i="2" s="1"/>
  <c r="R303" i="2" s="1"/>
  <c r="Q951" i="2"/>
  <c r="S834" i="2"/>
  <c r="S831" i="2"/>
  <c r="R852" i="2"/>
  <c r="R842" i="2"/>
  <c r="R846" i="2"/>
  <c r="R837" i="2" s="1"/>
  <c r="R78" i="4" s="1"/>
  <c r="R840" i="2"/>
  <c r="R841" i="2"/>
  <c r="Q847" i="2"/>
  <c r="Q848" i="2"/>
  <c r="Q849" i="2" s="1"/>
  <c r="Q844" i="2"/>
  <c r="Q845" i="2" s="1"/>
  <c r="O886" i="2"/>
  <c r="P765" i="2"/>
  <c r="P817" i="2"/>
  <c r="S808" i="2"/>
  <c r="S805" i="2"/>
  <c r="Q821" i="2"/>
  <c r="Q822" i="2"/>
  <c r="Q823" i="2" s="1"/>
  <c r="Q818" i="2"/>
  <c r="Q819" i="2" s="1"/>
  <c r="R814" i="2"/>
  <c r="R815" i="2"/>
  <c r="R826" i="2"/>
  <c r="R816" i="2"/>
  <c r="R820" i="2"/>
  <c r="R811" i="2" s="1"/>
  <c r="R77" i="4" s="1"/>
  <c r="Q759" i="2"/>
  <c r="Q75" i="4" s="1"/>
  <c r="N296" i="7" s="1"/>
  <c r="R743" i="2"/>
  <c r="R945" i="2" s="1"/>
  <c r="Q765" i="2"/>
  <c r="S779" i="2"/>
  <c r="S782" i="2"/>
  <c r="P791" i="2"/>
  <c r="Q796" i="2"/>
  <c r="Q797" i="2" s="1"/>
  <c r="Q795" i="2"/>
  <c r="Q792" i="2"/>
  <c r="Q793" i="2" s="1"/>
  <c r="R788" i="2"/>
  <c r="R789" i="2"/>
  <c r="R800" i="2"/>
  <c r="R790" i="2"/>
  <c r="R794" i="2"/>
  <c r="R785" i="2" s="1"/>
  <c r="R76" i="4" s="1"/>
  <c r="R762" i="2"/>
  <c r="R763" i="2"/>
  <c r="R774" i="2"/>
  <c r="R764" i="2"/>
  <c r="R768" i="2"/>
  <c r="S753" i="2"/>
  <c r="S756" i="2"/>
  <c r="P627" i="2"/>
  <c r="P626" i="2" s="1"/>
  <c r="P184" i="4" s="1"/>
  <c r="O52" i="2"/>
  <c r="O51" i="2"/>
  <c r="M574" i="2"/>
  <c r="Q7" i="4"/>
  <c r="P64" i="2"/>
  <c r="Q63" i="2"/>
  <c r="S61" i="2"/>
  <c r="S58" i="2"/>
  <c r="S47" i="2"/>
  <c r="L243" i="4"/>
  <c r="B74" i="4"/>
  <c r="B84" i="4"/>
  <c r="K94" i="4"/>
  <c r="M97" i="4"/>
  <c r="O100" i="4"/>
  <c r="O96" i="4"/>
  <c r="O32" i="4"/>
  <c r="Q746" i="2"/>
  <c r="M1253" i="2"/>
  <c r="M1248" i="2" s="1"/>
  <c r="L1253" i="2"/>
  <c r="P1257" i="2"/>
  <c r="Q1242" i="2"/>
  <c r="N1233" i="2"/>
  <c r="N1251" i="2" s="1"/>
  <c r="N108" i="4" s="1"/>
  <c r="M1252" i="2"/>
  <c r="M130" i="4" s="1"/>
  <c r="S1235" i="2"/>
  <c r="O1307" i="2"/>
  <c r="R944" i="2"/>
  <c r="R741" i="2"/>
  <c r="S737" i="2"/>
  <c r="S743" i="2" s="1"/>
  <c r="S945" i="2" s="1"/>
  <c r="Q928" i="2"/>
  <c r="Q85" i="4" s="1"/>
  <c r="N306" i="7" s="1"/>
  <c r="Q984" i="2"/>
  <c r="Q978" i="2" s="1"/>
  <c r="Q140" i="4" s="1"/>
  <c r="Q910" i="2"/>
  <c r="Q911" i="2"/>
  <c r="Q912" i="2" s="1"/>
  <c r="Q907" i="2"/>
  <c r="Q908" i="2" s="1"/>
  <c r="R915" i="2"/>
  <c r="R909" i="2"/>
  <c r="R899" i="2" s="1"/>
  <c r="R82" i="4" s="1"/>
  <c r="S890" i="2"/>
  <c r="S896" i="2"/>
  <c r="R902" i="2"/>
  <c r="R904" i="2"/>
  <c r="R905" i="2"/>
  <c r="P934" i="2"/>
  <c r="R931" i="2"/>
  <c r="R932" i="2"/>
  <c r="R980" i="2" s="1"/>
  <c r="R940" i="2"/>
  <c r="R988" i="2" s="1"/>
  <c r="R933" i="2"/>
  <c r="R981" i="2" s="1"/>
  <c r="R937" i="2"/>
  <c r="Q938" i="2"/>
  <c r="S925" i="2"/>
  <c r="S923" i="2"/>
  <c r="Q869" i="2"/>
  <c r="Q81" i="4" s="1"/>
  <c r="N302" i="7" s="1"/>
  <c r="P876" i="2"/>
  <c r="S866" i="2"/>
  <c r="S860" i="2"/>
  <c r="R885" i="2"/>
  <c r="R879" i="2"/>
  <c r="Q880" i="2"/>
  <c r="R872" i="2"/>
  <c r="R875" i="2"/>
  <c r="R874" i="2"/>
  <c r="P103" i="2"/>
  <c r="P104" i="2" s="1"/>
  <c r="L559" i="2"/>
  <c r="L552" i="2"/>
  <c r="L566" i="2" s="1"/>
  <c r="K562" i="2"/>
  <c r="K564" i="2" s="1"/>
  <c r="L560" i="2"/>
  <c r="N519" i="2"/>
  <c r="M524" i="2"/>
  <c r="M554" i="2" s="1"/>
  <c r="M1302" i="2" s="1"/>
  <c r="M553" i="2"/>
  <c r="M565" i="2" s="1"/>
  <c r="M61" i="4"/>
  <c r="M60" i="4" s="1"/>
  <c r="M102" i="4" s="1"/>
  <c r="M533" i="2"/>
  <c r="L533" i="2"/>
  <c r="M204" i="2"/>
  <c r="M217" i="2" s="1"/>
  <c r="N202" i="2"/>
  <c r="N276" i="2" s="1"/>
  <c r="N592" i="2" s="1"/>
  <c r="N533" i="2"/>
  <c r="N478" i="2"/>
  <c r="N528" i="2" s="1"/>
  <c r="N53" i="4"/>
  <c r="N50" i="4" s="1"/>
  <c r="M526" i="2"/>
  <c r="M534" i="2"/>
  <c r="L536" i="2"/>
  <c r="L538" i="2" s="1"/>
  <c r="J486" i="4"/>
  <c r="K206" i="2"/>
  <c r="K205" i="2"/>
  <c r="I279" i="2"/>
  <c r="I611" i="2" s="1"/>
  <c r="I612" i="2" s="1"/>
  <c r="I609" i="2" s="1"/>
  <c r="I163" i="4" s="1"/>
  <c r="H612" i="2"/>
  <c r="H609" i="2" s="1"/>
  <c r="H631" i="2" s="1"/>
  <c r="J269" i="2"/>
  <c r="J270" i="2" s="1"/>
  <c r="J254" i="2"/>
  <c r="J253" i="2"/>
  <c r="L217" i="2"/>
  <c r="L205" i="2" s="1"/>
  <c r="L28" i="4"/>
  <c r="J432" i="4"/>
  <c r="J232" i="2"/>
  <c r="J234" i="2" s="1"/>
  <c r="I273" i="2"/>
  <c r="I127" i="4" s="1"/>
  <c r="K229" i="2"/>
  <c r="K253" i="2"/>
  <c r="K269" i="2"/>
  <c r="K270" i="2" s="1"/>
  <c r="K271" i="2"/>
  <c r="K30" i="4"/>
  <c r="K27" i="4" s="1"/>
  <c r="K254" i="2"/>
  <c r="K264" i="2"/>
  <c r="K274" i="2" s="1"/>
  <c r="K1292" i="2" s="1"/>
  <c r="K584" i="2"/>
  <c r="K166" i="4" s="1"/>
  <c r="O219" i="2"/>
  <c r="O221" i="2" s="1"/>
  <c r="O243" i="2"/>
  <c r="M248" i="2"/>
  <c r="M277" i="2" s="1"/>
  <c r="M246" i="2"/>
  <c r="M275" i="2" s="1"/>
  <c r="M586" i="2" s="1"/>
  <c r="N245" i="2"/>
  <c r="J256" i="2"/>
  <c r="L587" i="2"/>
  <c r="L588" i="2" s="1"/>
  <c r="M268" i="2"/>
  <c r="M95" i="4" s="1"/>
  <c r="M237" i="4" s="1"/>
  <c r="L252" i="2"/>
  <c r="L271" i="2" s="1"/>
  <c r="M228" i="2"/>
  <c r="M29" i="4" s="1"/>
  <c r="N224" i="2"/>
  <c r="N222" i="2"/>
  <c r="L29" i="4"/>
  <c r="L240" i="2"/>
  <c r="L241" i="2"/>
  <c r="K232" i="2" s="1"/>
  <c r="H273" i="2"/>
  <c r="S262" i="2"/>
  <c r="S260" i="2"/>
  <c r="S244" i="2"/>
  <c r="S250" i="2"/>
  <c r="I605" i="2"/>
  <c r="Q54" i="4"/>
  <c r="R378" i="2"/>
  <c r="S238" i="2"/>
  <c r="S236" i="2"/>
  <c r="S220" i="2"/>
  <c r="S226" i="2"/>
  <c r="R318" i="2"/>
  <c r="S485" i="2"/>
  <c r="S486" i="2"/>
  <c r="S482" i="2"/>
  <c r="R366" i="2"/>
  <c r="S475" i="2"/>
  <c r="S476" i="2"/>
  <c r="S472" i="2"/>
  <c r="Q468" i="2"/>
  <c r="Q52" i="4"/>
  <c r="R357" i="2"/>
  <c r="R463" i="2"/>
  <c r="S465" i="2"/>
  <c r="S466" i="2"/>
  <c r="S462" i="2"/>
  <c r="S521" i="2"/>
  <c r="S522" i="2"/>
  <c r="S518" i="2"/>
  <c r="R439" i="2"/>
  <c r="R440" i="2" s="1"/>
  <c r="R445" i="2" s="1"/>
  <c r="Q458" i="2"/>
  <c r="Q51" i="4"/>
  <c r="O529" i="2"/>
  <c r="S455" i="2"/>
  <c r="S456" i="2"/>
  <c r="S452" i="2"/>
  <c r="R453" i="2"/>
  <c r="R309" i="2"/>
  <c r="P402" i="2"/>
  <c r="P409" i="2" s="1"/>
  <c r="P384" i="2"/>
  <c r="P46" i="4" s="1"/>
  <c r="P45" i="4" s="1"/>
  <c r="P8" i="4"/>
  <c r="R69" i="2"/>
  <c r="N1321" i="2"/>
  <c r="N497" i="4" s="1"/>
  <c r="K596" i="2"/>
  <c r="K164" i="4" s="1"/>
  <c r="L401" i="2"/>
  <c r="M397" i="2"/>
  <c r="L598" i="2"/>
  <c r="L599" i="2" s="1"/>
  <c r="L600" i="2" s="1"/>
  <c r="Q323" i="2"/>
  <c r="Q324" i="2" s="1"/>
  <c r="Q36" i="4" s="1"/>
  <c r="S317" i="2"/>
  <c r="S321" i="2"/>
  <c r="P315" i="2"/>
  <c r="P35" i="4" s="1"/>
  <c r="P34" i="4" s="1"/>
  <c r="S308" i="2"/>
  <c r="S312" i="2"/>
  <c r="Q314" i="2"/>
  <c r="Q383" i="2"/>
  <c r="Q404" i="2" s="1"/>
  <c r="S377" i="2"/>
  <c r="S381" i="2"/>
  <c r="O112" i="2"/>
  <c r="O111" i="2"/>
  <c r="S365" i="2"/>
  <c r="S369" i="2"/>
  <c r="Q371" i="2"/>
  <c r="Q372" i="2" s="1"/>
  <c r="Q43" i="4" s="1"/>
  <c r="O413" i="2"/>
  <c r="O416" i="2" s="1"/>
  <c r="O1322" i="2" s="1"/>
  <c r="R109" i="2"/>
  <c r="P123" i="2"/>
  <c r="P124" i="2" s="1"/>
  <c r="P111" i="2" s="1"/>
  <c r="N458" i="4"/>
  <c r="N485" i="4"/>
  <c r="P363" i="2"/>
  <c r="P42" i="4" s="1"/>
  <c r="P41" i="4" s="1"/>
  <c r="S356" i="2"/>
  <c r="S360" i="2"/>
  <c r="Q362" i="2"/>
  <c r="Q110" i="2"/>
  <c r="Q10" i="4" s="1"/>
  <c r="R89" i="2"/>
  <c r="Q90" i="2"/>
  <c r="Q9" i="4" s="1"/>
  <c r="Q70" i="2"/>
  <c r="Q8" i="4" s="1"/>
  <c r="U97" i="2"/>
  <c r="U117" i="2"/>
  <c r="P109" i="10"/>
  <c r="P110" i="10" s="1"/>
  <c r="Q109" i="10" s="1"/>
  <c r="O108" i="10"/>
  <c r="P105" i="10" s="1"/>
  <c r="T57" i="10"/>
  <c r="T62" i="10"/>
  <c r="M1184" i="2"/>
  <c r="M374" i="4"/>
  <c r="Q1118" i="2"/>
  <c r="Q1119" i="2" s="1"/>
  <c r="Q1117" i="2" s="1"/>
  <c r="S121" i="2"/>
  <c r="S118" i="2"/>
  <c r="S108" i="2"/>
  <c r="L572" i="2"/>
  <c r="L162" i="4" s="1"/>
  <c r="S101" i="2"/>
  <c r="S98" i="2"/>
  <c r="S88" i="2"/>
  <c r="P1199" i="2"/>
  <c r="P1200" i="2" s="1"/>
  <c r="O91" i="2"/>
  <c r="O92" i="2"/>
  <c r="N178" i="2"/>
  <c r="M181" i="2"/>
  <c r="M183" i="2" s="1"/>
  <c r="P547" i="2"/>
  <c r="O430" i="4"/>
  <c r="O484" i="4"/>
  <c r="M1264" i="2"/>
  <c r="O457" i="4"/>
  <c r="O190" i="2"/>
  <c r="N181" i="2" s="1"/>
  <c r="N154" i="2"/>
  <c r="M156" i="2"/>
  <c r="M158" i="2" s="1"/>
  <c r="O165" i="2"/>
  <c r="O153" i="2" s="1"/>
  <c r="P177" i="4"/>
  <c r="P177" i="2"/>
  <c r="P189" i="2" s="1"/>
  <c r="P152" i="2"/>
  <c r="P165" i="2" s="1"/>
  <c r="O418" i="2"/>
  <c r="L594" i="2"/>
  <c r="P42" i="2"/>
  <c r="P30" i="2" s="1"/>
  <c r="M1323" i="2"/>
  <c r="Z113" i="10"/>
  <c r="U211" i="2"/>
  <c r="U184" i="2"/>
  <c r="U159" i="2"/>
  <c r="T2" i="5"/>
  <c r="T2" i="4"/>
  <c r="T2" i="2"/>
  <c r="T2" i="10"/>
  <c r="T2" i="1"/>
  <c r="U25" i="1"/>
  <c r="P1299" i="2"/>
  <c r="P142" i="4"/>
  <c r="U1063" i="2"/>
  <c r="U1062" i="2" s="1"/>
  <c r="T1061" i="2"/>
  <c r="P991" i="2"/>
  <c r="P1305" i="2" s="1"/>
  <c r="P949" i="2"/>
  <c r="O71" i="2"/>
  <c r="P670" i="2"/>
  <c r="Q669" i="2" s="1"/>
  <c r="Q670" i="2" s="1"/>
  <c r="P84" i="2"/>
  <c r="O200" i="2"/>
  <c r="O198" i="2"/>
  <c r="Q1282" i="2"/>
  <c r="R729" i="2"/>
  <c r="R722" i="2"/>
  <c r="R726" i="2"/>
  <c r="R717" i="2" s="1"/>
  <c r="O11" i="2"/>
  <c r="P11" i="2" s="1"/>
  <c r="N618" i="2"/>
  <c r="N619" i="2" s="1"/>
  <c r="R677" i="2"/>
  <c r="R667" i="2"/>
  <c r="R671" i="2"/>
  <c r="R662" i="2" s="1"/>
  <c r="O138" i="4"/>
  <c r="O990" i="2"/>
  <c r="N128" i="4"/>
  <c r="U441" i="2"/>
  <c r="U430" i="2"/>
  <c r="S146" i="1"/>
  <c r="S59" i="1"/>
  <c r="S120" i="1"/>
  <c r="S45" i="1"/>
  <c r="S44" i="1"/>
  <c r="S123" i="1"/>
  <c r="S131" i="1"/>
  <c r="S53" i="1"/>
  <c r="S140" i="1"/>
  <c r="P10" i="2"/>
  <c r="N324" i="4"/>
  <c r="N374" i="4"/>
  <c r="N277" i="4"/>
  <c r="N1264" i="2"/>
  <c r="N1184" i="2"/>
  <c r="Q21" i="2"/>
  <c r="R145" i="2"/>
  <c r="O139" i="4"/>
  <c r="R1039" i="2"/>
  <c r="R1038" i="2"/>
  <c r="R9" i="2"/>
  <c r="R289" i="2"/>
  <c r="Y86" i="1"/>
  <c r="N418" i="2"/>
  <c r="P978" i="2"/>
  <c r="Z68" i="10"/>
  <c r="U35" i="2"/>
  <c r="U16" i="2"/>
  <c r="U77" i="2"/>
  <c r="M1322" i="2"/>
  <c r="N419" i="2"/>
  <c r="N1323" i="2" s="1"/>
  <c r="O93" i="4"/>
  <c r="O10" i="2"/>
  <c r="Q41" i="2"/>
  <c r="AA82" i="10"/>
  <c r="S136" i="10"/>
  <c r="S188" i="4" s="1"/>
  <c r="S93" i="10"/>
  <c r="S168" i="4" s="1"/>
  <c r="S135" i="10"/>
  <c r="S133" i="10"/>
  <c r="S65" i="10"/>
  <c r="S97" i="10"/>
  <c r="S176" i="4" s="1"/>
  <c r="S70" i="10"/>
  <c r="R694" i="2"/>
  <c r="R696" i="2"/>
  <c r="R697" i="2"/>
  <c r="R720" i="2"/>
  <c r="R721" i="2"/>
  <c r="R647" i="2"/>
  <c r="R649" i="2"/>
  <c r="R648" i="2"/>
  <c r="O128" i="4"/>
  <c r="P412" i="2"/>
  <c r="Q503" i="4"/>
  <c r="O393" i="2"/>
  <c r="O410" i="2"/>
  <c r="O549" i="2"/>
  <c r="O551" i="2" s="1"/>
  <c r="Y55" i="1"/>
  <c r="Z54" i="1"/>
  <c r="Q652" i="2"/>
  <c r="T87" i="1"/>
  <c r="S91" i="1"/>
  <c r="S1335" i="2"/>
  <c r="S1279" i="2"/>
  <c r="S1220" i="2"/>
  <c r="S1221" i="2" s="1"/>
  <c r="S1136" i="2"/>
  <c r="S714" i="2"/>
  <c r="S431" i="2"/>
  <c r="S391" i="2"/>
  <c r="S300" i="2"/>
  <c r="S291" i="2"/>
  <c r="S212" i="2"/>
  <c r="S1278" i="2"/>
  <c r="S1108" i="2"/>
  <c r="S1109" i="2" s="1"/>
  <c r="S1037" i="2"/>
  <c r="S1029" i="2"/>
  <c r="S712" i="2"/>
  <c r="S389" i="2"/>
  <c r="S187" i="2"/>
  <c r="S144" i="2"/>
  <c r="S81" i="2"/>
  <c r="S1028" i="2"/>
  <c r="S623" i="2"/>
  <c r="S624" i="2" s="1"/>
  <c r="S143" i="2"/>
  <c r="S39" i="2"/>
  <c r="S1281" i="2"/>
  <c r="S1272" i="2"/>
  <c r="S1032" i="2"/>
  <c r="S1031" i="2" s="1"/>
  <c r="S659" i="2"/>
  <c r="S628" i="2"/>
  <c r="S629" i="2" s="1"/>
  <c r="S555" i="2"/>
  <c r="S544" i="2"/>
  <c r="S443" i="2"/>
  <c r="S407" i="2"/>
  <c r="S214" i="2"/>
  <c r="S160" i="2"/>
  <c r="S1150" i="2"/>
  <c r="S1151" i="2" s="1"/>
  <c r="S531" i="2"/>
  <c r="S442" i="2"/>
  <c r="S296" i="2"/>
  <c r="S185" i="2"/>
  <c r="S26" i="2"/>
  <c r="S25" i="2" s="1"/>
  <c r="S8" i="2"/>
  <c r="S1273" i="2"/>
  <c r="S1012" i="2"/>
  <c r="S1011" i="2" s="1"/>
  <c r="S438" i="2"/>
  <c r="S437" i="2" s="1"/>
  <c r="S162" i="2"/>
  <c r="S7" i="2"/>
  <c r="S1146" i="2"/>
  <c r="S1147" i="2" s="1"/>
  <c r="S1033" i="2"/>
  <c r="S688" i="2"/>
  <c r="S78" i="2"/>
  <c r="S1178" i="2"/>
  <c r="S197" i="4" s="1"/>
  <c r="S288" i="2"/>
  <c r="S19" i="2"/>
  <c r="S1026" i="2"/>
  <c r="S682" i="2"/>
  <c r="S643" i="2"/>
  <c r="S542" i="2"/>
  <c r="S287" i="2"/>
  <c r="S36" i="2"/>
  <c r="S1201" i="2"/>
  <c r="S1202" i="2" s="1"/>
  <c r="S432" i="2"/>
  <c r="S405" i="2"/>
  <c r="S17" i="2"/>
  <c r="S428" i="2"/>
  <c r="S1275" i="2"/>
  <c r="S1017" i="2"/>
  <c r="S427" i="2"/>
  <c r="S557" i="2"/>
  <c r="S656" i="2"/>
  <c r="S168" i="2"/>
  <c r="S167" i="2" s="1"/>
  <c r="S175" i="2"/>
  <c r="S150" i="2"/>
  <c r="S1208" i="2"/>
  <c r="S1209" i="2" s="1"/>
  <c r="M497" i="4"/>
  <c r="Q703" i="2"/>
  <c r="Q704" i="2" s="1"/>
  <c r="Q702" i="2"/>
  <c r="Q699" i="2"/>
  <c r="Q700" i="2" s="1"/>
  <c r="Q173" i="2"/>
  <c r="Q171" i="2"/>
  <c r="P294" i="2"/>
  <c r="N551" i="2"/>
  <c r="M277" i="4"/>
  <c r="R1280" i="2"/>
  <c r="R1282" i="2" s="1"/>
  <c r="R707" i="2"/>
  <c r="R701" i="2"/>
  <c r="R691" i="2" s="1"/>
  <c r="R665" i="2"/>
  <c r="R666" i="2"/>
  <c r="R1274" i="2"/>
  <c r="R1276" i="2" s="1"/>
  <c r="O618" i="2"/>
  <c r="N1310" i="2"/>
  <c r="P19" i="4"/>
  <c r="P18" i="4" s="1"/>
  <c r="P196" i="2"/>
  <c r="Q727" i="2"/>
  <c r="Q724" i="2"/>
  <c r="Q725" i="2" s="1"/>
  <c r="Q672" i="2"/>
  <c r="Q673" i="2"/>
  <c r="Q674" i="2" s="1"/>
  <c r="S347" i="4"/>
  <c r="S199" i="4"/>
  <c r="S189" i="4"/>
  <c r="S384" i="4"/>
  <c r="S321" i="4"/>
  <c r="S412" i="4"/>
  <c r="S342" i="4"/>
  <c r="S298" i="4"/>
  <c r="S332" i="4"/>
  <c r="S293" i="4"/>
  <c r="S169" i="4"/>
  <c r="S389" i="4"/>
  <c r="S283" i="4"/>
  <c r="S370" i="4"/>
  <c r="S194" i="4"/>
  <c r="S273" i="4"/>
  <c r="S178" i="4"/>
  <c r="R429" i="2"/>
  <c r="O399" i="2"/>
  <c r="P539" i="2"/>
  <c r="T80" i="1"/>
  <c r="U81" i="1"/>
  <c r="Z75" i="10"/>
  <c r="P440" i="4"/>
  <c r="P502" i="4"/>
  <c r="P467" i="4"/>
  <c r="V341" i="4"/>
  <c r="V292" i="4"/>
  <c r="V383" i="4"/>
  <c r="V47" i="1"/>
  <c r="V57" i="2" s="1"/>
  <c r="V49" i="1"/>
  <c r="V50" i="1"/>
  <c r="V48" i="1"/>
  <c r="W43" i="1"/>
  <c r="N131" i="2"/>
  <c r="Q650" i="2"/>
  <c r="O84" i="10"/>
  <c r="U1083" i="2"/>
  <c r="U1082" i="2" s="1"/>
  <c r="T1084" i="2"/>
  <c r="R503" i="4"/>
  <c r="Q194" i="2"/>
  <c r="Q197" i="2"/>
  <c r="Z106" i="10"/>
  <c r="Q148" i="2"/>
  <c r="Q146" i="2"/>
  <c r="Y61" i="1"/>
  <c r="Z60" i="1"/>
  <c r="U290" i="2"/>
  <c r="U299" i="2"/>
  <c r="T1091" i="2"/>
  <c r="T1090" i="2" s="1"/>
  <c r="S1092" i="2"/>
  <c r="O72" i="2"/>
  <c r="L79" i="10"/>
  <c r="K165" i="4"/>
  <c r="L165" i="4"/>
  <c r="D142" i="7" l="1"/>
  <c r="O298" i="7"/>
  <c r="D147" i="7"/>
  <c r="O303" i="7"/>
  <c r="P87" i="4"/>
  <c r="D152" i="7" s="1"/>
  <c r="B149" i="7"/>
  <c r="B305" i="7"/>
  <c r="D141" i="7"/>
  <c r="O297" i="7"/>
  <c r="D143" i="7"/>
  <c r="O299" i="7"/>
  <c r="B139" i="7"/>
  <c r="B295" i="7"/>
  <c r="P708" i="2"/>
  <c r="L308" i="7"/>
  <c r="R328" i="2"/>
  <c r="D46" i="7" s="1"/>
  <c r="BD80" i="4"/>
  <c r="D145" i="7"/>
  <c r="S327" i="2"/>
  <c r="D64" i="7"/>
  <c r="D60" i="7"/>
  <c r="D23" i="7"/>
  <c r="D71" i="7"/>
  <c r="D54" i="7"/>
  <c r="D45" i="7"/>
  <c r="D8" i="7"/>
  <c r="D41" i="7"/>
  <c r="D37" i="7"/>
  <c r="D13" i="7"/>
  <c r="D50" i="7"/>
  <c r="D18" i="7"/>
  <c r="J98" i="4"/>
  <c r="R55" i="4"/>
  <c r="R508" i="2"/>
  <c r="R56" i="4"/>
  <c r="Q971" i="2"/>
  <c r="S503" i="2"/>
  <c r="T506" i="2"/>
  <c r="T501" i="2"/>
  <c r="T505" i="2"/>
  <c r="T502" i="2"/>
  <c r="R966" i="2"/>
  <c r="R967" i="2"/>
  <c r="P941" i="2"/>
  <c r="S493" i="2"/>
  <c r="T492" i="2"/>
  <c r="T496" i="2"/>
  <c r="T491" i="2"/>
  <c r="T495" i="2"/>
  <c r="R970" i="2"/>
  <c r="R963" i="2" s="1"/>
  <c r="R139" i="4" s="1"/>
  <c r="R977" i="2"/>
  <c r="P996" i="2"/>
  <c r="K995" i="2"/>
  <c r="K112" i="4" s="1"/>
  <c r="Q396" i="2"/>
  <c r="Q394" i="2" s="1"/>
  <c r="S411" i="2"/>
  <c r="Q388" i="2"/>
  <c r="Q386" i="2" s="1"/>
  <c r="P886" i="2"/>
  <c r="M1219" i="2"/>
  <c r="M1217" i="2" s="1"/>
  <c r="S346" i="2"/>
  <c r="R350" i="2"/>
  <c r="R351" i="2" s="1"/>
  <c r="R39" i="4" s="1"/>
  <c r="P916" i="2"/>
  <c r="T348" i="2"/>
  <c r="T345" i="2" s="1"/>
  <c r="T344" i="2"/>
  <c r="S337" i="2"/>
  <c r="R341" i="2"/>
  <c r="R342" i="2" s="1"/>
  <c r="R38" i="4" s="1"/>
  <c r="T339" i="2"/>
  <c r="T336" i="2" s="1"/>
  <c r="T335" i="2"/>
  <c r="T68" i="2"/>
  <c r="T326" i="2"/>
  <c r="T330" i="2"/>
  <c r="P730" i="2"/>
  <c r="L102" i="4"/>
  <c r="S27" i="2"/>
  <c r="S28" i="2" s="1"/>
  <c r="N239" i="4"/>
  <c r="L48" i="4"/>
  <c r="P827" i="2"/>
  <c r="J278" i="2"/>
  <c r="J604" i="2" s="1"/>
  <c r="J605" i="2" s="1"/>
  <c r="J602" i="2" s="1"/>
  <c r="J183" i="4" s="1"/>
  <c r="I65" i="4"/>
  <c r="G256" i="4"/>
  <c r="S107" i="2"/>
  <c r="S87" i="2"/>
  <c r="J272" i="2"/>
  <c r="J607" i="2" s="1"/>
  <c r="O133" i="2"/>
  <c r="O574" i="2" s="1"/>
  <c r="Q128" i="2"/>
  <c r="Q471" i="2" s="1"/>
  <c r="P130" i="2"/>
  <c r="P1291" i="2" s="1"/>
  <c r="P485" i="4" s="1"/>
  <c r="P129" i="2"/>
  <c r="H606" i="2"/>
  <c r="N574" i="2"/>
  <c r="N575" i="2" s="1"/>
  <c r="N572" i="2" s="1"/>
  <c r="N162" i="4" s="1"/>
  <c r="I606" i="2"/>
  <c r="P517" i="2"/>
  <c r="P473" i="2"/>
  <c r="P527" i="2" s="1"/>
  <c r="S67" i="2"/>
  <c r="I107" i="4"/>
  <c r="Q6" i="4"/>
  <c r="P6" i="4"/>
  <c r="G109" i="4"/>
  <c r="M1107" i="2"/>
  <c r="N1106" i="2" s="1"/>
  <c r="N1107" i="2" s="1"/>
  <c r="N1105" i="2" s="1"/>
  <c r="R50" i="2"/>
  <c r="G284" i="4"/>
  <c r="G207" i="4"/>
  <c r="G209" i="4" s="1"/>
  <c r="G333" i="4"/>
  <c r="S169" i="2"/>
  <c r="S170" i="2" s="1"/>
  <c r="S49" i="2"/>
  <c r="R962" i="2"/>
  <c r="Q791" i="2"/>
  <c r="Q34" i="1"/>
  <c r="Q408" i="4" s="1"/>
  <c r="L775" i="2"/>
  <c r="L995" i="2" s="1"/>
  <c r="R744" i="2"/>
  <c r="R946" i="2" s="1"/>
  <c r="R172" i="4" s="1"/>
  <c r="N117" i="10"/>
  <c r="M590" i="2"/>
  <c r="M165" i="4" s="1"/>
  <c r="I1316" i="2"/>
  <c r="I1313" i="2" s="1"/>
  <c r="I173" i="4"/>
  <c r="I179" i="4" s="1"/>
  <c r="G631" i="2"/>
  <c r="Q906" i="2"/>
  <c r="R955" i="2"/>
  <c r="V311" i="2"/>
  <c r="V368" i="2"/>
  <c r="V359" i="2"/>
  <c r="V320" i="2"/>
  <c r="V380" i="2"/>
  <c r="M587" i="2"/>
  <c r="M588" i="2" s="1"/>
  <c r="R481" i="2"/>
  <c r="R483" i="2" s="1"/>
  <c r="R54" i="4" s="1"/>
  <c r="J882" i="2"/>
  <c r="J973" i="2" s="1"/>
  <c r="H333" i="4"/>
  <c r="H284" i="4"/>
  <c r="H207" i="4"/>
  <c r="H209" i="4" s="1"/>
  <c r="H256" i="4"/>
  <c r="H109" i="4"/>
  <c r="H115" i="4" s="1"/>
  <c r="S26" i="1"/>
  <c r="R29" i="1"/>
  <c r="R27" i="1"/>
  <c r="R28" i="1"/>
  <c r="P124" i="4"/>
  <c r="P638" i="2"/>
  <c r="P317" i="4"/>
  <c r="P1" i="5"/>
  <c r="P233" i="4"/>
  <c r="P68" i="1"/>
  <c r="P1269" i="2"/>
  <c r="P1" i="4"/>
  <c r="P1189" i="2"/>
  <c r="P159" i="4"/>
  <c r="P55" i="10"/>
  <c r="P366" i="4"/>
  <c r="P91" i="4"/>
  <c r="P408" i="4"/>
  <c r="P4" i="2"/>
  <c r="P90" i="10"/>
  <c r="P570" i="2"/>
  <c r="P1" i="2"/>
  <c r="P1" i="1"/>
  <c r="P14" i="4"/>
  <c r="P284" i="2"/>
  <c r="P4" i="4"/>
  <c r="P1056" i="2"/>
  <c r="P38" i="1"/>
  <c r="P1000" i="2"/>
  <c r="P14" i="1"/>
  <c r="P1" i="10"/>
  <c r="P25" i="4"/>
  <c r="P113" i="1"/>
  <c r="P423" i="2"/>
  <c r="P102" i="10"/>
  <c r="P1096" i="2"/>
  <c r="P1168" i="2"/>
  <c r="P4" i="5"/>
  <c r="P269" i="4"/>
  <c r="P69" i="4"/>
  <c r="P140" i="2"/>
  <c r="P1142" i="2"/>
  <c r="P205" i="4"/>
  <c r="R219" i="4"/>
  <c r="Q220" i="4"/>
  <c r="Q698" i="2"/>
  <c r="Q708" i="2" s="1"/>
  <c r="S1120" i="2"/>
  <c r="S1121" i="2" s="1"/>
  <c r="R195" i="2"/>
  <c r="R194" i="2" s="1"/>
  <c r="P801" i="2"/>
  <c r="K877" i="2"/>
  <c r="K968" i="2" s="1"/>
  <c r="V235" i="2"/>
  <c r="V259" i="2"/>
  <c r="V464" i="2"/>
  <c r="V454" i="2"/>
  <c r="V520" i="2"/>
  <c r="V484" i="2"/>
  <c r="V474" i="2"/>
  <c r="Q668" i="2"/>
  <c r="Q678" i="2" s="1"/>
  <c r="G613" i="2"/>
  <c r="Q627" i="2"/>
  <c r="Q626" i="2" s="1"/>
  <c r="Q184" i="4" s="1"/>
  <c r="Q817" i="2"/>
  <c r="Q843" i="2"/>
  <c r="Q853" i="2" s="1"/>
  <c r="J957" i="2"/>
  <c r="J771" i="2"/>
  <c r="P1014" i="2"/>
  <c r="Q1013" i="2"/>
  <c r="J953" i="2"/>
  <c r="J63" i="4" s="1"/>
  <c r="J767" i="2"/>
  <c r="J983" i="2"/>
  <c r="J175" i="4" s="1"/>
  <c r="K935" i="2"/>
  <c r="H436" i="4"/>
  <c r="H494" i="4"/>
  <c r="H463" i="4"/>
  <c r="S297" i="2"/>
  <c r="S298" i="2" s="1"/>
  <c r="R952" i="2"/>
  <c r="R951" i="2"/>
  <c r="Q956" i="2"/>
  <c r="R847" i="2"/>
  <c r="R848" i="2"/>
  <c r="R849" i="2" s="1"/>
  <c r="R844" i="2"/>
  <c r="R845" i="2" s="1"/>
  <c r="S840" i="2"/>
  <c r="S841" i="2"/>
  <c r="S852" i="2"/>
  <c r="S842" i="2"/>
  <c r="S846" i="2"/>
  <c r="S837" i="2" s="1"/>
  <c r="S78" i="4" s="1"/>
  <c r="P299" i="7" s="1"/>
  <c r="T834" i="2"/>
  <c r="T831" i="2"/>
  <c r="R822" i="2"/>
  <c r="R823" i="2" s="1"/>
  <c r="R821" i="2"/>
  <c r="R818" i="2"/>
  <c r="R819" i="2" s="1"/>
  <c r="R759" i="2"/>
  <c r="R75" i="4" s="1"/>
  <c r="T808" i="2"/>
  <c r="T805" i="2"/>
  <c r="S814" i="2"/>
  <c r="S815" i="2"/>
  <c r="S826" i="2"/>
  <c r="S816" i="2"/>
  <c r="S820" i="2"/>
  <c r="S811" i="2" s="1"/>
  <c r="S77" i="4" s="1"/>
  <c r="P298" i="7" s="1"/>
  <c r="S741" i="2"/>
  <c r="S744" i="2" s="1"/>
  <c r="S946" i="2" s="1"/>
  <c r="S172" i="4" s="1"/>
  <c r="T779" i="2"/>
  <c r="T782" i="2"/>
  <c r="R795" i="2"/>
  <c r="R796" i="2"/>
  <c r="R797" i="2" s="1"/>
  <c r="R792" i="2"/>
  <c r="R793" i="2" s="1"/>
  <c r="S800" i="2"/>
  <c r="S790" i="2"/>
  <c r="S794" i="2"/>
  <c r="S785" i="2" s="1"/>
  <c r="S76" i="4" s="1"/>
  <c r="P297" i="7" s="1"/>
  <c r="S788" i="2"/>
  <c r="S789" i="2"/>
  <c r="S774" i="2"/>
  <c r="S764" i="2"/>
  <c r="S768" i="2"/>
  <c r="T756" i="2"/>
  <c r="T753" i="2"/>
  <c r="S762" i="2"/>
  <c r="S763" i="2"/>
  <c r="R769" i="2"/>
  <c r="Q64" i="2"/>
  <c r="P51" i="2"/>
  <c r="P52" i="2"/>
  <c r="M575" i="2"/>
  <c r="M576" i="2" s="1"/>
  <c r="T61" i="2"/>
  <c r="T58" i="2"/>
  <c r="T47" i="2"/>
  <c r="BD87" i="4"/>
  <c r="M192" i="4"/>
  <c r="M208" i="4" s="1"/>
  <c r="B80" i="4"/>
  <c r="K98" i="4"/>
  <c r="R319" i="2"/>
  <c r="R367" i="2"/>
  <c r="R379" i="2"/>
  <c r="R358" i="2"/>
  <c r="R310" i="2"/>
  <c r="S742" i="2"/>
  <c r="S944" i="2" s="1"/>
  <c r="M48" i="4"/>
  <c r="M238" i="4" s="1"/>
  <c r="N97" i="4"/>
  <c r="P100" i="4"/>
  <c r="P96" i="4"/>
  <c r="P32" i="4"/>
  <c r="O1310" i="2"/>
  <c r="L1248" i="2"/>
  <c r="L1259" i="2"/>
  <c r="L192" i="4"/>
  <c r="M1259" i="2"/>
  <c r="Q1258" i="2"/>
  <c r="Q1243" i="2"/>
  <c r="O1233" i="2"/>
  <c r="O1251" i="2" s="1"/>
  <c r="O108" i="4" s="1"/>
  <c r="N1234" i="2"/>
  <c r="N1252" i="2" s="1"/>
  <c r="N130" i="4" s="1"/>
  <c r="M212" i="4"/>
  <c r="M373" i="4"/>
  <c r="M276" i="4"/>
  <c r="T1235" i="2"/>
  <c r="T737" i="2"/>
  <c r="T743" i="2" s="1"/>
  <c r="T945" i="2" s="1"/>
  <c r="R746" i="2"/>
  <c r="S902" i="2"/>
  <c r="S905" i="2"/>
  <c r="S904" i="2"/>
  <c r="R910" i="2"/>
  <c r="R911" i="2"/>
  <c r="R912" i="2" s="1"/>
  <c r="R907" i="2"/>
  <c r="R908" i="2" s="1"/>
  <c r="S915" i="2"/>
  <c r="S909" i="2"/>
  <c r="S899" i="2" s="1"/>
  <c r="S82" i="4" s="1"/>
  <c r="P303" i="7" s="1"/>
  <c r="Q934" i="2"/>
  <c r="Q985" i="2"/>
  <c r="R928" i="2"/>
  <c r="R85" i="4" s="1"/>
  <c r="R984" i="2"/>
  <c r="T896" i="2"/>
  <c r="T890" i="2"/>
  <c r="S931" i="2"/>
  <c r="S932" i="2"/>
  <c r="S980" i="2" s="1"/>
  <c r="S940" i="2"/>
  <c r="S988" i="2" s="1"/>
  <c r="S933" i="2"/>
  <c r="S981" i="2" s="1"/>
  <c r="S937" i="2"/>
  <c r="R938" i="2"/>
  <c r="T925" i="2"/>
  <c r="T923" i="2"/>
  <c r="Q876" i="2"/>
  <c r="R869" i="2"/>
  <c r="R81" i="4" s="1"/>
  <c r="T860" i="2"/>
  <c r="T866" i="2"/>
  <c r="R880" i="2"/>
  <c r="S872" i="2"/>
  <c r="S874" i="2"/>
  <c r="S875" i="2"/>
  <c r="S885" i="2"/>
  <c r="S977" i="2" s="1"/>
  <c r="S879" i="2"/>
  <c r="S970" i="2" s="1"/>
  <c r="M28" i="4"/>
  <c r="J1301" i="2"/>
  <c r="K208" i="2"/>
  <c r="K210" i="2" s="1"/>
  <c r="M216" i="2"/>
  <c r="N524" i="2"/>
  <c r="N554" i="2" s="1"/>
  <c r="N1302" i="2" s="1"/>
  <c r="N553" i="2"/>
  <c r="N565" i="2" s="1"/>
  <c r="N61" i="4"/>
  <c r="N60" i="4" s="1"/>
  <c r="N102" i="4" s="1"/>
  <c r="O519" i="2"/>
  <c r="M559" i="2"/>
  <c r="M552" i="2"/>
  <c r="M566" i="2" s="1"/>
  <c r="L562" i="2"/>
  <c r="L564" i="2" s="1"/>
  <c r="M560" i="2"/>
  <c r="N204" i="2"/>
  <c r="N28" i="4" s="1"/>
  <c r="O202" i="2"/>
  <c r="O276" i="2" s="1"/>
  <c r="O592" i="2" s="1"/>
  <c r="K278" i="2"/>
  <c r="K604" i="2" s="1"/>
  <c r="O478" i="2"/>
  <c r="O528" i="2" s="1"/>
  <c r="O533" i="2"/>
  <c r="O53" i="4"/>
  <c r="O50" i="4" s="1"/>
  <c r="M536" i="2"/>
  <c r="M538" i="2" s="1"/>
  <c r="N526" i="2"/>
  <c r="N534" i="2"/>
  <c r="H613" i="2"/>
  <c r="H163" i="4"/>
  <c r="J258" i="2"/>
  <c r="J273" i="2" s="1"/>
  <c r="J127" i="4" s="1"/>
  <c r="M94" i="4"/>
  <c r="L206" i="2"/>
  <c r="K1301" i="2"/>
  <c r="I280" i="2"/>
  <c r="K272" i="2"/>
  <c r="K607" i="2" s="1"/>
  <c r="K234" i="2"/>
  <c r="K432" i="4"/>
  <c r="K486" i="4"/>
  <c r="K459" i="4"/>
  <c r="M252" i="2"/>
  <c r="M271" i="2" s="1"/>
  <c r="P219" i="2"/>
  <c r="P221" i="2" s="1"/>
  <c r="P243" i="2"/>
  <c r="L584" i="2"/>
  <c r="L166" i="4" s="1"/>
  <c r="J279" i="2"/>
  <c r="J611" i="2" s="1"/>
  <c r="N248" i="2"/>
  <c r="N277" i="2" s="1"/>
  <c r="N246" i="2"/>
  <c r="N275" i="2" s="1"/>
  <c r="N586" i="2" s="1"/>
  <c r="O245" i="2"/>
  <c r="O268" i="2" s="1"/>
  <c r="O95" i="4" s="1"/>
  <c r="O237" i="4" s="1"/>
  <c r="M240" i="2"/>
  <c r="L30" i="4"/>
  <c r="L27" i="4" s="1"/>
  <c r="L264" i="2"/>
  <c r="L274" i="2" s="1"/>
  <c r="L1292" i="2" s="1"/>
  <c r="L432" i="4" s="1"/>
  <c r="L265" i="2"/>
  <c r="K256" i="2" s="1"/>
  <c r="K258" i="2" s="1"/>
  <c r="M241" i="2"/>
  <c r="M230" i="2" s="1"/>
  <c r="N268" i="2"/>
  <c r="N95" i="4" s="1"/>
  <c r="N237" i="4" s="1"/>
  <c r="L229" i="2"/>
  <c r="L230" i="2"/>
  <c r="S378" i="2"/>
  <c r="N228" i="2"/>
  <c r="N29" i="4" s="1"/>
  <c r="S439" i="2"/>
  <c r="S440" i="2" s="1"/>
  <c r="S445" i="2" s="1"/>
  <c r="O224" i="2"/>
  <c r="O222" i="2"/>
  <c r="S366" i="2"/>
  <c r="H127" i="4"/>
  <c r="H280" i="2"/>
  <c r="T260" i="2"/>
  <c r="T262" i="2"/>
  <c r="T244" i="2"/>
  <c r="T250" i="2"/>
  <c r="S357" i="2"/>
  <c r="I631" i="2"/>
  <c r="I613" i="2"/>
  <c r="M206" i="2"/>
  <c r="I602" i="2"/>
  <c r="I183" i="4" s="1"/>
  <c r="T236" i="2"/>
  <c r="T220" i="2"/>
  <c r="T238" i="2"/>
  <c r="T226" i="2"/>
  <c r="S318" i="2"/>
  <c r="T485" i="2"/>
  <c r="T486" i="2"/>
  <c r="T482" i="2"/>
  <c r="T475" i="2"/>
  <c r="T476" i="2"/>
  <c r="T472" i="2"/>
  <c r="R468" i="2"/>
  <c r="R52" i="4"/>
  <c r="T465" i="2"/>
  <c r="T466" i="2"/>
  <c r="T462" i="2"/>
  <c r="S463" i="2"/>
  <c r="T521" i="2"/>
  <c r="T522" i="2"/>
  <c r="T518" i="2"/>
  <c r="P529" i="2"/>
  <c r="R458" i="2"/>
  <c r="R51" i="4"/>
  <c r="T455" i="2"/>
  <c r="T456" i="2"/>
  <c r="T452" i="2"/>
  <c r="S453" i="2"/>
  <c r="S309" i="2"/>
  <c r="Q402" i="2"/>
  <c r="Q409" i="2" s="1"/>
  <c r="R70" i="2"/>
  <c r="S69" i="2"/>
  <c r="Q384" i="2"/>
  <c r="Q46" i="4" s="1"/>
  <c r="Q45" i="4" s="1"/>
  <c r="L596" i="2"/>
  <c r="L164" i="4" s="1"/>
  <c r="N397" i="2"/>
  <c r="M401" i="2"/>
  <c r="M598" i="2"/>
  <c r="T321" i="2"/>
  <c r="T317" i="2"/>
  <c r="Q315" i="2"/>
  <c r="Q35" i="4" s="1"/>
  <c r="Q34" i="4" s="1"/>
  <c r="T312" i="2"/>
  <c r="T308" i="2"/>
  <c r="S109" i="2"/>
  <c r="O131" i="2"/>
  <c r="P112" i="2"/>
  <c r="O1321" i="2"/>
  <c r="O497" i="4" s="1"/>
  <c r="R110" i="2"/>
  <c r="T381" i="2"/>
  <c r="T377" i="2"/>
  <c r="T369" i="2"/>
  <c r="T365" i="2"/>
  <c r="Q363" i="2"/>
  <c r="Q42" i="4" s="1"/>
  <c r="Q41" i="4" s="1"/>
  <c r="T360" i="2"/>
  <c r="T356" i="2"/>
  <c r="Q123" i="2"/>
  <c r="Q124" i="2" s="1"/>
  <c r="Q111" i="2" s="1"/>
  <c r="R90" i="2"/>
  <c r="Q83" i="2"/>
  <c r="S89" i="2"/>
  <c r="Q103" i="2"/>
  <c r="Q104" i="2" s="1"/>
  <c r="V117" i="2"/>
  <c r="V97" i="2"/>
  <c r="U57" i="10"/>
  <c r="U62" i="10"/>
  <c r="P108" i="10"/>
  <c r="Q105" i="10" s="1"/>
  <c r="Q1299" i="2"/>
  <c r="Q1199" i="2"/>
  <c r="Q1200" i="2" s="1"/>
  <c r="R1199" i="2" s="1"/>
  <c r="N183" i="2"/>
  <c r="O179" i="2"/>
  <c r="T121" i="2"/>
  <c r="T118" i="2"/>
  <c r="T108" i="2"/>
  <c r="P71" i="2"/>
  <c r="P91" i="2"/>
  <c r="P92" i="2"/>
  <c r="P1198" i="2"/>
  <c r="T101" i="2"/>
  <c r="T98" i="2"/>
  <c r="T88" i="2"/>
  <c r="R173" i="2"/>
  <c r="R177" i="2" s="1"/>
  <c r="R190" i="2" s="1"/>
  <c r="O178" i="2"/>
  <c r="P72" i="2"/>
  <c r="S1280" i="2"/>
  <c r="S1282" i="2" s="1"/>
  <c r="Q177" i="2"/>
  <c r="Q189" i="2" s="1"/>
  <c r="N156" i="2"/>
  <c r="N158" i="2" s="1"/>
  <c r="O154" i="2"/>
  <c r="M205" i="2"/>
  <c r="P164" i="2"/>
  <c r="L208" i="2"/>
  <c r="P190" i="2"/>
  <c r="P179" i="2" s="1"/>
  <c r="Q152" i="2"/>
  <c r="Q165" i="2" s="1"/>
  <c r="P29" i="2"/>
  <c r="O156" i="2"/>
  <c r="Q42" i="2"/>
  <c r="Q30" i="2" s="1"/>
  <c r="Q110" i="10"/>
  <c r="Q108" i="10" s="1"/>
  <c r="R105" i="10" s="1"/>
  <c r="AA106" i="10"/>
  <c r="V299" i="2"/>
  <c r="V290" i="2"/>
  <c r="O419" i="2"/>
  <c r="O1323" i="2" s="1"/>
  <c r="O619" i="2"/>
  <c r="AA68" i="10"/>
  <c r="Z86" i="1"/>
  <c r="R146" i="2"/>
  <c r="R148" i="2"/>
  <c r="P138" i="4"/>
  <c r="P990" i="2"/>
  <c r="T1028" i="2"/>
  <c r="T623" i="2"/>
  <c r="T624" i="2" s="1"/>
  <c r="T143" i="2"/>
  <c r="T39" i="2"/>
  <c r="T1275" i="2"/>
  <c r="T1201" i="2"/>
  <c r="T1202" i="2" s="1"/>
  <c r="T1150" i="2"/>
  <c r="T1151" i="2" s="1"/>
  <c r="T1026" i="2"/>
  <c r="T688" i="2"/>
  <c r="T438" i="2"/>
  <c r="T437" i="2" s="1"/>
  <c r="T428" i="2"/>
  <c r="T288" i="2"/>
  <c r="T185" i="2"/>
  <c r="T19" i="2"/>
  <c r="T1012" i="2"/>
  <c r="T1011" i="2" s="1"/>
  <c r="T427" i="2"/>
  <c r="T296" i="2"/>
  <c r="T287" i="2"/>
  <c r="T162" i="2"/>
  <c r="T78" i="2"/>
  <c r="T8" i="2"/>
  <c r="T1335" i="2"/>
  <c r="T1279" i="2"/>
  <c r="T1220" i="2"/>
  <c r="T1221" i="2" s="1"/>
  <c r="T1136" i="2"/>
  <c r="T714" i="2"/>
  <c r="T431" i="2"/>
  <c r="T391" i="2"/>
  <c r="T300" i="2"/>
  <c r="T291" i="2"/>
  <c r="T212" i="2"/>
  <c r="T1033" i="2"/>
  <c r="T659" i="2"/>
  <c r="T628" i="2"/>
  <c r="T629" i="2" s="1"/>
  <c r="T555" i="2"/>
  <c r="T443" i="2"/>
  <c r="T187" i="2"/>
  <c r="T7" i="2"/>
  <c r="T1032" i="2"/>
  <c r="T1031" i="2" s="1"/>
  <c r="T656" i="2"/>
  <c r="T531" i="2"/>
  <c r="T442" i="2"/>
  <c r="T144" i="2"/>
  <c r="T1108" i="2"/>
  <c r="T1109" i="2" s="1"/>
  <c r="T81" i="2"/>
  <c r="T1281" i="2"/>
  <c r="T1146" i="2"/>
  <c r="T1147" i="2" s="1"/>
  <c r="T1029" i="2"/>
  <c r="T712" i="2"/>
  <c r="T389" i="2"/>
  <c r="T160" i="2"/>
  <c r="T36" i="2"/>
  <c r="T544" i="2"/>
  <c r="T407" i="2"/>
  <c r="T17" i="2"/>
  <c r="T1278" i="2"/>
  <c r="T643" i="2"/>
  <c r="T542" i="2"/>
  <c r="T432" i="2"/>
  <c r="T405" i="2"/>
  <c r="T214" i="2"/>
  <c r="T1273" i="2"/>
  <c r="T1017" i="2"/>
  <c r="T682" i="2"/>
  <c r="T1272" i="2"/>
  <c r="T557" i="2"/>
  <c r="T1037" i="2"/>
  <c r="T26" i="2"/>
  <c r="T25" i="2" s="1"/>
  <c r="T168" i="2"/>
  <c r="T167" i="2" s="1"/>
  <c r="T175" i="2"/>
  <c r="T150" i="2"/>
  <c r="T1178" i="2"/>
  <c r="T197" i="4" s="1"/>
  <c r="T1208" i="2"/>
  <c r="T1209" i="2" s="1"/>
  <c r="V35" i="2"/>
  <c r="V16" i="2"/>
  <c r="V77" i="2"/>
  <c r="S677" i="2"/>
  <c r="S667" i="2"/>
  <c r="S671" i="2"/>
  <c r="S662" i="2" s="1"/>
  <c r="Q963" i="2"/>
  <c r="Q723" i="2"/>
  <c r="V211" i="2"/>
  <c r="V184" i="2"/>
  <c r="V159" i="2"/>
  <c r="P399" i="2"/>
  <c r="R440" i="4"/>
  <c r="R467" i="4"/>
  <c r="R502" i="4"/>
  <c r="Q19" i="4"/>
  <c r="Q196" i="2"/>
  <c r="V430" i="2"/>
  <c r="V441" i="2"/>
  <c r="O615" i="2"/>
  <c r="O186" i="4" s="1"/>
  <c r="S429" i="2"/>
  <c r="S434" i="2" s="1"/>
  <c r="R652" i="2"/>
  <c r="Q412" i="2"/>
  <c r="P394" i="2"/>
  <c r="N615" i="2"/>
  <c r="N186" i="4" s="1"/>
  <c r="T370" i="4"/>
  <c r="T194" i="4"/>
  <c r="T298" i="4"/>
  <c r="T389" i="4"/>
  <c r="T283" i="4"/>
  <c r="T273" i="4"/>
  <c r="T412" i="4"/>
  <c r="T384" i="4"/>
  <c r="T342" i="4"/>
  <c r="T321" i="4"/>
  <c r="T199" i="4"/>
  <c r="T169" i="4"/>
  <c r="T293" i="4"/>
  <c r="T189" i="4"/>
  <c r="T347" i="4"/>
  <c r="T332" i="4"/>
  <c r="T178" i="4"/>
  <c r="M496" i="4"/>
  <c r="M464" i="4"/>
  <c r="M437" i="4"/>
  <c r="S71" i="10"/>
  <c r="S72" i="10" s="1"/>
  <c r="T70" i="10" s="1"/>
  <c r="T71" i="10" s="1"/>
  <c r="T72" i="10" s="1"/>
  <c r="AB82" i="10"/>
  <c r="N496" i="4"/>
  <c r="N437" i="4"/>
  <c r="N464" i="4"/>
  <c r="P140" i="4"/>
  <c r="Q22" i="2"/>
  <c r="AA113" i="10"/>
  <c r="R41" i="2"/>
  <c r="S145" i="2"/>
  <c r="S1038" i="2"/>
  <c r="S1039" i="2"/>
  <c r="S729" i="2"/>
  <c r="S722" i="2"/>
  <c r="S726" i="2"/>
  <c r="S717" i="2" s="1"/>
  <c r="Z55" i="1"/>
  <c r="AA54" i="1"/>
  <c r="R650" i="2"/>
  <c r="R293" i="2"/>
  <c r="R294" i="2" s="1"/>
  <c r="P154" i="2"/>
  <c r="U2" i="5"/>
  <c r="U2" i="4"/>
  <c r="U2" i="2"/>
  <c r="U2" i="10"/>
  <c r="U2" i="1"/>
  <c r="V25" i="1"/>
  <c r="AA75" i="10"/>
  <c r="R434" i="2"/>
  <c r="O85" i="10"/>
  <c r="Z61" i="1"/>
  <c r="AA60" i="1"/>
  <c r="P198" i="2"/>
  <c r="P200" i="2"/>
  <c r="S647" i="2"/>
  <c r="S650" i="2" s="1"/>
  <c r="S649" i="2"/>
  <c r="S648" i="2"/>
  <c r="S9" i="2"/>
  <c r="P393" i="2"/>
  <c r="O239" i="4"/>
  <c r="O236" i="4"/>
  <c r="P413" i="2"/>
  <c r="R21" i="2"/>
  <c r="R22" i="2" s="1"/>
  <c r="Q177" i="4"/>
  <c r="T146" i="1"/>
  <c r="T59" i="1"/>
  <c r="T120" i="1"/>
  <c r="T45" i="1"/>
  <c r="T44" i="1"/>
  <c r="T53" i="1"/>
  <c r="T131" i="1"/>
  <c r="T123" i="1"/>
  <c r="T140" i="1"/>
  <c r="U1091" i="2"/>
  <c r="U1090" i="2" s="1"/>
  <c r="T1092" i="2"/>
  <c r="R703" i="2"/>
  <c r="R704" i="2" s="1"/>
  <c r="R702" i="2"/>
  <c r="R698" i="2" s="1"/>
  <c r="R699" i="2"/>
  <c r="R700" i="2" s="1"/>
  <c r="R1118" i="2"/>
  <c r="W292" i="4"/>
  <c r="W383" i="4"/>
  <c r="W341" i="4"/>
  <c r="W47" i="1"/>
  <c r="W57" i="2" s="1"/>
  <c r="W49" i="1"/>
  <c r="W48" i="1"/>
  <c r="X43" i="1"/>
  <c r="W50" i="1"/>
  <c r="U80" i="1"/>
  <c r="V81" i="1"/>
  <c r="N593" i="2"/>
  <c r="O485" i="4"/>
  <c r="O458" i="4"/>
  <c r="O431" i="4"/>
  <c r="R672" i="2"/>
  <c r="R668" i="2" s="1"/>
  <c r="R673" i="2"/>
  <c r="R669" i="2"/>
  <c r="R670" i="2" s="1"/>
  <c r="S694" i="2"/>
  <c r="S696" i="2"/>
  <c r="S697" i="2"/>
  <c r="S707" i="2"/>
  <c r="S701" i="2"/>
  <c r="S691" i="2" s="1"/>
  <c r="S1274" i="2"/>
  <c r="S1276" i="2" s="1"/>
  <c r="P430" i="4"/>
  <c r="P484" i="4"/>
  <c r="P457" i="4"/>
  <c r="P414" i="2"/>
  <c r="P617" i="2" s="1"/>
  <c r="Q142" i="4"/>
  <c r="Q991" i="2"/>
  <c r="Q949" i="2"/>
  <c r="O144" i="4"/>
  <c r="T65" i="10"/>
  <c r="T133" i="10"/>
  <c r="T136" i="10"/>
  <c r="T188" i="4" s="1"/>
  <c r="T93" i="10"/>
  <c r="T168" i="4" s="1"/>
  <c r="T135" i="10"/>
  <c r="T97" i="10"/>
  <c r="T176" i="4" s="1"/>
  <c r="P153" i="2"/>
  <c r="V1083" i="2"/>
  <c r="V1082" i="2" s="1"/>
  <c r="U1084" i="2"/>
  <c r="Q546" i="2"/>
  <c r="S665" i="2"/>
  <c r="S666" i="2"/>
  <c r="P1307" i="2"/>
  <c r="S289" i="2"/>
  <c r="S720" i="2"/>
  <c r="S721" i="2"/>
  <c r="U87" i="1"/>
  <c r="T91" i="1"/>
  <c r="Q502" i="4"/>
  <c r="Q440" i="4"/>
  <c r="Q467" i="4"/>
  <c r="R727" i="2"/>
  <c r="R723" i="2" s="1"/>
  <c r="R724" i="2"/>
  <c r="R725" i="2" s="1"/>
  <c r="V1063" i="2"/>
  <c r="V1062" i="2" s="1"/>
  <c r="U1061" i="2"/>
  <c r="M77" i="10"/>
  <c r="R332" i="2" l="1"/>
  <c r="R333" i="2" s="1"/>
  <c r="R37" i="4" s="1"/>
  <c r="D150" i="7"/>
  <c r="O306" i="7"/>
  <c r="M308" i="7"/>
  <c r="D146" i="7"/>
  <c r="O302" i="7"/>
  <c r="B145" i="7"/>
  <c r="B301" i="7"/>
  <c r="D140" i="7"/>
  <c r="O296" i="7"/>
  <c r="H145" i="7"/>
  <c r="AZ301" i="7"/>
  <c r="S328" i="2"/>
  <c r="AZ308" i="7"/>
  <c r="T327" i="2"/>
  <c r="T328" i="2" s="1"/>
  <c r="Q941" i="2"/>
  <c r="R971" i="2"/>
  <c r="D24" i="7"/>
  <c r="D14" i="7"/>
  <c r="D65" i="7"/>
  <c r="D121" i="7"/>
  <c r="D9" i="7"/>
  <c r="D106" i="7"/>
  <c r="D61" i="7"/>
  <c r="D19" i="7"/>
  <c r="D72" i="7"/>
  <c r="D119" i="7"/>
  <c r="D42" i="7"/>
  <c r="D123" i="7"/>
  <c r="D105" i="7"/>
  <c r="D122" i="7"/>
  <c r="D118" i="7"/>
  <c r="D104" i="7"/>
  <c r="D38" i="7"/>
  <c r="H152" i="7"/>
  <c r="S341" i="2"/>
  <c r="S342" i="2" s="1"/>
  <c r="S38" i="4" s="1"/>
  <c r="S350" i="2"/>
  <c r="S351" i="2" s="1"/>
  <c r="S39" i="4" s="1"/>
  <c r="S508" i="2"/>
  <c r="S56" i="4"/>
  <c r="T493" i="2"/>
  <c r="T55" i="4" s="1"/>
  <c r="T503" i="2"/>
  <c r="U506" i="2"/>
  <c r="U502" i="2"/>
  <c r="U505" i="2"/>
  <c r="U501" i="2"/>
  <c r="S966" i="2"/>
  <c r="S498" i="2"/>
  <c r="S55" i="4"/>
  <c r="U491" i="2"/>
  <c r="U496" i="2"/>
  <c r="U492" i="2"/>
  <c r="U495" i="2"/>
  <c r="S967" i="2"/>
  <c r="Q996" i="2"/>
  <c r="T411" i="2"/>
  <c r="Q886" i="2"/>
  <c r="R395" i="2"/>
  <c r="R387" i="2"/>
  <c r="N1218" i="2"/>
  <c r="N1219" i="2" s="1"/>
  <c r="N1217" i="2" s="1"/>
  <c r="U344" i="2"/>
  <c r="U348" i="2"/>
  <c r="U345" i="2" s="1"/>
  <c r="Q730" i="2"/>
  <c r="R730" i="2" s="1"/>
  <c r="Q916" i="2"/>
  <c r="T346" i="2"/>
  <c r="T337" i="2"/>
  <c r="U335" i="2"/>
  <c r="U339" i="2"/>
  <c r="U336" i="2" s="1"/>
  <c r="O1106" i="2"/>
  <c r="O1107" i="2" s="1"/>
  <c r="O1105" i="2" s="1"/>
  <c r="U68" i="2"/>
  <c r="U326" i="2"/>
  <c r="U330" i="2"/>
  <c r="U327" i="2" s="1"/>
  <c r="S332" i="2"/>
  <c r="S333" i="2" s="1"/>
  <c r="S37" i="4" s="1"/>
  <c r="T27" i="2"/>
  <c r="T28" i="2" s="1"/>
  <c r="T41" i="2" s="1"/>
  <c r="Q827" i="2"/>
  <c r="P93" i="4"/>
  <c r="P236" i="4" s="1"/>
  <c r="S50" i="2"/>
  <c r="G115" i="4"/>
  <c r="T107" i="2"/>
  <c r="T87" i="2"/>
  <c r="Q130" i="2"/>
  <c r="Q1291" i="2" s="1"/>
  <c r="R128" i="2"/>
  <c r="P133" i="2"/>
  <c r="P574" i="2" s="1"/>
  <c r="R197" i="2"/>
  <c r="R19" i="4" s="1"/>
  <c r="R18" i="4" s="1"/>
  <c r="Q517" i="2"/>
  <c r="Q473" i="2"/>
  <c r="Q527" i="2" s="1"/>
  <c r="T67" i="2"/>
  <c r="T49" i="2"/>
  <c r="T50" i="2" s="1"/>
  <c r="R7" i="4"/>
  <c r="M1105" i="2"/>
  <c r="T169" i="2"/>
  <c r="T170" i="2" s="1"/>
  <c r="B87" i="4"/>
  <c r="R403" i="2"/>
  <c r="R371" i="2"/>
  <c r="R372" i="2" s="1"/>
  <c r="R43" i="4" s="1"/>
  <c r="R323" i="2"/>
  <c r="R324" i="2" s="1"/>
  <c r="R36" i="4" s="1"/>
  <c r="R63" i="2"/>
  <c r="Q801" i="2"/>
  <c r="Q14" i="1"/>
  <c r="Q1" i="10"/>
  <c r="Q1" i="1"/>
  <c r="Q1142" i="2"/>
  <c r="Q55" i="10"/>
  <c r="Q1269" i="2"/>
  <c r="Q4" i="5"/>
  <c r="Q113" i="1"/>
  <c r="Q90" i="10"/>
  <c r="Q570" i="2"/>
  <c r="Q14" i="4"/>
  <c r="Q269" i="4"/>
  <c r="Q1000" i="2"/>
  <c r="Q140" i="2"/>
  <c r="Q284" i="2"/>
  <c r="Q68" i="1"/>
  <c r="Q69" i="4"/>
  <c r="Q38" i="1"/>
  <c r="Q1096" i="2"/>
  <c r="Q1" i="5"/>
  <c r="Q1168" i="2"/>
  <c r="Q91" i="4"/>
  <c r="Q638" i="2"/>
  <c r="Q366" i="4"/>
  <c r="Q102" i="10"/>
  <c r="Q233" i="4"/>
  <c r="Q4" i="4"/>
  <c r="Q25" i="4"/>
  <c r="Q1" i="2"/>
  <c r="Q1" i="4"/>
  <c r="Q317" i="4"/>
  <c r="Q124" i="4"/>
  <c r="Q1189" i="2"/>
  <c r="Q159" i="4"/>
  <c r="Q205" i="4"/>
  <c r="Q4" i="2"/>
  <c r="Q423" i="2"/>
  <c r="Q1056" i="2"/>
  <c r="R488" i="2"/>
  <c r="R142" i="4"/>
  <c r="L112" i="4"/>
  <c r="J612" i="2"/>
  <c r="J613" i="2" s="1"/>
  <c r="N115" i="10"/>
  <c r="O112" i="10" s="1"/>
  <c r="O116" i="10"/>
  <c r="R906" i="2"/>
  <c r="T1120" i="2"/>
  <c r="T1121" i="2" s="1"/>
  <c r="M775" i="2"/>
  <c r="T297" i="2"/>
  <c r="T298" i="2" s="1"/>
  <c r="J606" i="2"/>
  <c r="M584" i="2"/>
  <c r="M166" i="4" s="1"/>
  <c r="M262" i="4" s="1"/>
  <c r="K605" i="2"/>
  <c r="K606" i="2" s="1"/>
  <c r="J1318" i="2"/>
  <c r="J174" i="4"/>
  <c r="M599" i="2"/>
  <c r="M600" i="2" s="1"/>
  <c r="R817" i="2"/>
  <c r="S219" i="4"/>
  <c r="R220" i="4"/>
  <c r="J954" i="2"/>
  <c r="K766" i="2"/>
  <c r="J958" i="2"/>
  <c r="K770" i="2"/>
  <c r="I103" i="4"/>
  <c r="I1314" i="2"/>
  <c r="I1315" i="2" s="1"/>
  <c r="I495" i="4"/>
  <c r="W259" i="2"/>
  <c r="W235" i="2"/>
  <c r="J107" i="4"/>
  <c r="J65" i="4"/>
  <c r="W520" i="2"/>
  <c r="W464" i="2"/>
  <c r="W484" i="2"/>
  <c r="W454" i="2"/>
  <c r="W474" i="2"/>
  <c r="S955" i="2"/>
  <c r="R843" i="2"/>
  <c r="R853" i="2" s="1"/>
  <c r="R34" i="1"/>
  <c r="K881" i="2"/>
  <c r="K972" i="2" s="1"/>
  <c r="W311" i="2"/>
  <c r="W368" i="2"/>
  <c r="W359" i="2"/>
  <c r="W320" i="2"/>
  <c r="W380" i="2"/>
  <c r="K936" i="2"/>
  <c r="K982" i="2"/>
  <c r="Q1014" i="2"/>
  <c r="R1013" i="2"/>
  <c r="S28" i="1"/>
  <c r="S27" i="1"/>
  <c r="T26" i="1"/>
  <c r="U1029" i="2" s="1"/>
  <c r="S29" i="1"/>
  <c r="S481" i="2"/>
  <c r="S483" i="2" s="1"/>
  <c r="S488" i="2" s="1"/>
  <c r="S962" i="2"/>
  <c r="R791" i="2"/>
  <c r="K878" i="2"/>
  <c r="K969" i="2" s="1"/>
  <c r="H1328" i="2"/>
  <c r="H492" i="4"/>
  <c r="S952" i="2"/>
  <c r="R956" i="2"/>
  <c r="S951" i="2"/>
  <c r="S847" i="2"/>
  <c r="S843" i="2" s="1"/>
  <c r="S848" i="2"/>
  <c r="S849" i="2" s="1"/>
  <c r="S844" i="2"/>
  <c r="S845" i="2" s="1"/>
  <c r="T840" i="2"/>
  <c r="T841" i="2"/>
  <c r="T852" i="2"/>
  <c r="T846" i="2"/>
  <c r="T837" i="2" s="1"/>
  <c r="T78" i="4" s="1"/>
  <c r="Q299" i="7" s="1"/>
  <c r="T842" i="2"/>
  <c r="U834" i="2"/>
  <c r="U831" i="2"/>
  <c r="R765" i="2"/>
  <c r="T814" i="2"/>
  <c r="T815" i="2"/>
  <c r="T826" i="2"/>
  <c r="T820" i="2"/>
  <c r="T811" i="2" s="1"/>
  <c r="T77" i="4" s="1"/>
  <c r="Q298" i="7" s="1"/>
  <c r="T816" i="2"/>
  <c r="U805" i="2"/>
  <c r="U808" i="2"/>
  <c r="S759" i="2"/>
  <c r="S75" i="4" s="1"/>
  <c r="P296" i="7" s="1"/>
  <c r="S821" i="2"/>
  <c r="S817" i="2" s="1"/>
  <c r="S822" i="2"/>
  <c r="S823" i="2" s="1"/>
  <c r="S818" i="2"/>
  <c r="S819" i="2" s="1"/>
  <c r="T800" i="2"/>
  <c r="T790" i="2"/>
  <c r="T794" i="2"/>
  <c r="T785" i="2" s="1"/>
  <c r="T76" i="4" s="1"/>
  <c r="Q297" i="7" s="1"/>
  <c r="U779" i="2"/>
  <c r="U782" i="2"/>
  <c r="T788" i="2"/>
  <c r="T789" i="2"/>
  <c r="S795" i="2"/>
  <c r="S791" i="2" s="1"/>
  <c r="S796" i="2"/>
  <c r="S797" i="2" s="1"/>
  <c r="S792" i="2"/>
  <c r="S793" i="2" s="1"/>
  <c r="U753" i="2"/>
  <c r="U756" i="2"/>
  <c r="T481" i="2"/>
  <c r="T483" i="2" s="1"/>
  <c r="S769" i="2"/>
  <c r="T762" i="2"/>
  <c r="T763" i="2"/>
  <c r="T774" i="2"/>
  <c r="T768" i="2"/>
  <c r="T764" i="2"/>
  <c r="Q51" i="2"/>
  <c r="M222" i="4"/>
  <c r="Q52" i="2"/>
  <c r="M195" i="4"/>
  <c r="M572" i="2"/>
  <c r="M162" i="4" s="1"/>
  <c r="M260" i="4" s="1"/>
  <c r="U61" i="2"/>
  <c r="U47" i="2"/>
  <c r="U58" i="2"/>
  <c r="R314" i="2"/>
  <c r="S379" i="2"/>
  <c r="R362" i="2"/>
  <c r="R383" i="2"/>
  <c r="R10" i="4"/>
  <c r="S367" i="2"/>
  <c r="S358" i="2"/>
  <c r="R8" i="4"/>
  <c r="S310" i="2"/>
  <c r="R9" i="4"/>
  <c r="M98" i="4"/>
  <c r="S319" i="2"/>
  <c r="T741" i="2"/>
  <c r="T744" i="2" s="1"/>
  <c r="T946" i="2" s="1"/>
  <c r="T172" i="4" s="1"/>
  <c r="N48" i="4"/>
  <c r="N238" i="4" s="1"/>
  <c r="O97" i="4"/>
  <c r="O94" i="4" s="1"/>
  <c r="Q100" i="4"/>
  <c r="Q96" i="4"/>
  <c r="Q32" i="4"/>
  <c r="N1232" i="2"/>
  <c r="L195" i="4"/>
  <c r="L208" i="4"/>
  <c r="L222" i="4"/>
  <c r="O1234" i="2"/>
  <c r="O1232" i="2" s="1"/>
  <c r="P1233" i="2"/>
  <c r="P1251" i="2" s="1"/>
  <c r="P108" i="4" s="1"/>
  <c r="Q1257" i="2"/>
  <c r="R1242" i="2"/>
  <c r="N212" i="4"/>
  <c r="N373" i="4"/>
  <c r="N276" i="4"/>
  <c r="U1235" i="2"/>
  <c r="U737" i="2"/>
  <c r="U743" i="2" s="1"/>
  <c r="U945" i="2" s="1"/>
  <c r="T742" i="2"/>
  <c r="T944" i="2" s="1"/>
  <c r="S746" i="2"/>
  <c r="S963" i="2"/>
  <c r="S139" i="4" s="1"/>
  <c r="R1299" i="2"/>
  <c r="R934" i="2"/>
  <c r="R941" i="2" s="1"/>
  <c r="R985" i="2"/>
  <c r="S928" i="2"/>
  <c r="S85" i="4" s="1"/>
  <c r="P306" i="7" s="1"/>
  <c r="S984" i="2"/>
  <c r="S978" i="2" s="1"/>
  <c r="S140" i="4" s="1"/>
  <c r="T902" i="2"/>
  <c r="T904" i="2"/>
  <c r="T905" i="2"/>
  <c r="T915" i="2"/>
  <c r="T909" i="2"/>
  <c r="T899" i="2" s="1"/>
  <c r="T82" i="4" s="1"/>
  <c r="Q303" i="7" s="1"/>
  <c r="U896" i="2"/>
  <c r="U890" i="2"/>
  <c r="S910" i="2"/>
  <c r="S906" i="2" s="1"/>
  <c r="S911" i="2"/>
  <c r="S912" i="2" s="1"/>
  <c r="S907" i="2"/>
  <c r="S908" i="2" s="1"/>
  <c r="T931" i="2"/>
  <c r="T932" i="2"/>
  <c r="T980" i="2" s="1"/>
  <c r="R627" i="2"/>
  <c r="R626" i="2" s="1"/>
  <c r="R184" i="4" s="1"/>
  <c r="T940" i="2"/>
  <c r="T988" i="2" s="1"/>
  <c r="T933" i="2"/>
  <c r="T981" i="2" s="1"/>
  <c r="T937" i="2"/>
  <c r="U923" i="2"/>
  <c r="U925" i="2"/>
  <c r="S938" i="2"/>
  <c r="R876" i="2"/>
  <c r="R886" i="2" s="1"/>
  <c r="S869" i="2"/>
  <c r="S81" i="4" s="1"/>
  <c r="P302" i="7" s="1"/>
  <c r="U866" i="2"/>
  <c r="U860" i="2"/>
  <c r="S880" i="2"/>
  <c r="T885" i="2"/>
  <c r="T879" i="2"/>
  <c r="T872" i="2"/>
  <c r="T875" i="2"/>
  <c r="T967" i="2" s="1"/>
  <c r="T874" i="2"/>
  <c r="T966" i="2" s="1"/>
  <c r="N216" i="2"/>
  <c r="N217" i="2"/>
  <c r="M208" i="2" s="1"/>
  <c r="N94" i="4"/>
  <c r="T439" i="2"/>
  <c r="T440" i="2" s="1"/>
  <c r="T445" i="2" s="1"/>
  <c r="O204" i="2"/>
  <c r="O216" i="2" s="1"/>
  <c r="O524" i="2"/>
  <c r="O554" i="2" s="1"/>
  <c r="O1302" i="2" s="1"/>
  <c r="O61" i="4"/>
  <c r="O60" i="4" s="1"/>
  <c r="O102" i="4" s="1"/>
  <c r="O553" i="2"/>
  <c r="P519" i="2"/>
  <c r="P202" i="2"/>
  <c r="P276" i="2" s="1"/>
  <c r="P592" i="2" s="1"/>
  <c r="M562" i="2"/>
  <c r="M564" i="2" s="1"/>
  <c r="N560" i="2"/>
  <c r="N559" i="2"/>
  <c r="N552" i="2"/>
  <c r="N566" i="2" s="1"/>
  <c r="P53" i="4"/>
  <c r="P50" i="4" s="1"/>
  <c r="P533" i="2"/>
  <c r="P478" i="2"/>
  <c r="P528" i="2" s="1"/>
  <c r="O534" i="2"/>
  <c r="O526" i="2"/>
  <c r="N536" i="2"/>
  <c r="N538" i="2" s="1"/>
  <c r="T318" i="2"/>
  <c r="T319" i="2" s="1"/>
  <c r="K273" i="2"/>
  <c r="K127" i="4" s="1"/>
  <c r="K279" i="2"/>
  <c r="K611" i="2" s="1"/>
  <c r="J280" i="2"/>
  <c r="M265" i="2"/>
  <c r="M254" i="2" s="1"/>
  <c r="M278" i="2" s="1"/>
  <c r="M604" i="2" s="1"/>
  <c r="M264" i="2"/>
  <c r="M274" i="2" s="1"/>
  <c r="M1292" i="2" s="1"/>
  <c r="L459" i="4"/>
  <c r="M30" i="4"/>
  <c r="M27" i="4" s="1"/>
  <c r="T357" i="2"/>
  <c r="T358" i="2" s="1"/>
  <c r="T378" i="2"/>
  <c r="T379" i="2" s="1"/>
  <c r="T403" i="2" s="1"/>
  <c r="N252" i="2"/>
  <c r="N271" i="2" s="1"/>
  <c r="Q219" i="2"/>
  <c r="Q221" i="2" s="1"/>
  <c r="Q243" i="2"/>
  <c r="N587" i="2"/>
  <c r="N588" i="2" s="1"/>
  <c r="L253" i="2"/>
  <c r="L272" i="2" s="1"/>
  <c r="L607" i="2" s="1"/>
  <c r="P245" i="2"/>
  <c r="P268" i="2" s="1"/>
  <c r="P95" i="4" s="1"/>
  <c r="L269" i="2"/>
  <c r="M229" i="2"/>
  <c r="L232" i="2"/>
  <c r="L234" i="2" s="1"/>
  <c r="L486" i="4"/>
  <c r="L254" i="2"/>
  <c r="L278" i="2" s="1"/>
  <c r="L604" i="2" s="1"/>
  <c r="O246" i="2"/>
  <c r="O275" i="2" s="1"/>
  <c r="O586" i="2" s="1"/>
  <c r="O587" i="2" s="1"/>
  <c r="O248" i="2"/>
  <c r="O277" i="2" s="1"/>
  <c r="N240" i="2"/>
  <c r="N241" i="2"/>
  <c r="N230" i="2" s="1"/>
  <c r="O228" i="2"/>
  <c r="O241" i="2" s="1"/>
  <c r="O229" i="2" s="1"/>
  <c r="T366" i="2"/>
  <c r="T367" i="2" s="1"/>
  <c r="P222" i="2"/>
  <c r="P224" i="2"/>
  <c r="U260" i="2"/>
  <c r="U262" i="2"/>
  <c r="U244" i="2"/>
  <c r="U250" i="2"/>
  <c r="L210" i="2"/>
  <c r="U236" i="2"/>
  <c r="U238" i="2"/>
  <c r="U220" i="2"/>
  <c r="U226" i="2"/>
  <c r="U485" i="2"/>
  <c r="U486" i="2"/>
  <c r="U482" i="2"/>
  <c r="U475" i="2"/>
  <c r="U476" i="2"/>
  <c r="U472" i="2"/>
  <c r="S468" i="2"/>
  <c r="S52" i="4"/>
  <c r="U465" i="2"/>
  <c r="U466" i="2"/>
  <c r="U462" i="2"/>
  <c r="T463" i="2"/>
  <c r="U521" i="2"/>
  <c r="U522" i="2"/>
  <c r="U518" i="2"/>
  <c r="S458" i="2"/>
  <c r="S51" i="4"/>
  <c r="T309" i="2"/>
  <c r="T310" i="2" s="1"/>
  <c r="Q529" i="2"/>
  <c r="U455" i="2"/>
  <c r="U456" i="2"/>
  <c r="U452" i="2"/>
  <c r="T453" i="2"/>
  <c r="R83" i="2"/>
  <c r="R84" i="2" s="1"/>
  <c r="S70" i="2"/>
  <c r="T69" i="2"/>
  <c r="R123" i="2"/>
  <c r="R124" i="2" s="1"/>
  <c r="Q413" i="2"/>
  <c r="Q1321" i="2" s="1"/>
  <c r="O397" i="2"/>
  <c r="N598" i="2"/>
  <c r="N401" i="2"/>
  <c r="U321" i="2"/>
  <c r="U317" i="2"/>
  <c r="T109" i="2"/>
  <c r="P431" i="4"/>
  <c r="S110" i="2"/>
  <c r="P458" i="4"/>
  <c r="U312" i="2"/>
  <c r="U308" i="2"/>
  <c r="U381" i="2"/>
  <c r="U377" i="2"/>
  <c r="U369" i="2"/>
  <c r="U365" i="2"/>
  <c r="R103" i="2"/>
  <c r="R104" i="2" s="1"/>
  <c r="N576" i="2"/>
  <c r="S90" i="2"/>
  <c r="Q112" i="2"/>
  <c r="U360" i="2"/>
  <c r="U356" i="2"/>
  <c r="Q84" i="2"/>
  <c r="Q129" i="2" s="1"/>
  <c r="S195" i="2"/>
  <c r="S197" i="2" s="1"/>
  <c r="T89" i="2"/>
  <c r="R678" i="2"/>
  <c r="Q91" i="2"/>
  <c r="Q92" i="2"/>
  <c r="R708" i="2"/>
  <c r="W117" i="2"/>
  <c r="W97" i="2"/>
  <c r="V62" i="10"/>
  <c r="V57" i="10"/>
  <c r="R109" i="10"/>
  <c r="R110" i="10" s="1"/>
  <c r="S109" i="10" s="1"/>
  <c r="R1200" i="2"/>
  <c r="R1198" i="2" s="1"/>
  <c r="U121" i="2"/>
  <c r="U118" i="2"/>
  <c r="U108" i="2"/>
  <c r="S652" i="2"/>
  <c r="U88" i="2"/>
  <c r="U98" i="2"/>
  <c r="U101" i="2"/>
  <c r="Q1198" i="2"/>
  <c r="O575" i="2"/>
  <c r="O576" i="2" s="1"/>
  <c r="P178" i="2"/>
  <c r="R189" i="2"/>
  <c r="O181" i="2"/>
  <c r="O183" i="2" s="1"/>
  <c r="T9" i="2"/>
  <c r="T21" i="2" s="1"/>
  <c r="T22" i="2" s="1"/>
  <c r="Q190" i="2"/>
  <c r="P181" i="2" s="1"/>
  <c r="Q164" i="2"/>
  <c r="O158" i="2"/>
  <c r="R152" i="2"/>
  <c r="R165" i="2" s="1"/>
  <c r="R154" i="2" s="1"/>
  <c r="Q547" i="2"/>
  <c r="Q539" i="2"/>
  <c r="P156" i="2"/>
  <c r="P158" i="2" s="1"/>
  <c r="Q154" i="2"/>
  <c r="Q181" i="2"/>
  <c r="R179" i="2"/>
  <c r="Q29" i="2"/>
  <c r="R42" i="2"/>
  <c r="R29" i="2" s="1"/>
  <c r="T429" i="2"/>
  <c r="T434" i="2" s="1"/>
  <c r="R178" i="2"/>
  <c r="P418" i="2"/>
  <c r="P549" i="2"/>
  <c r="P551" i="2" s="1"/>
  <c r="T145" i="2"/>
  <c r="T146" i="2" s="1"/>
  <c r="Q1305" i="2"/>
  <c r="S293" i="2"/>
  <c r="S294" i="2" s="1"/>
  <c r="U136" i="10"/>
  <c r="U188" i="4" s="1"/>
  <c r="U93" i="10"/>
  <c r="U168" i="4" s="1"/>
  <c r="U135" i="10"/>
  <c r="U133" i="10"/>
  <c r="U65" i="10"/>
  <c r="U97" i="10"/>
  <c r="U176" i="4" s="1"/>
  <c r="U70" i="10"/>
  <c r="U71" i="10" s="1"/>
  <c r="U72" i="10" s="1"/>
  <c r="S302" i="2"/>
  <c r="S303" i="2" s="1"/>
  <c r="AB113" i="10"/>
  <c r="Q18" i="4"/>
  <c r="Q399" i="2"/>
  <c r="Q139" i="4"/>
  <c r="T647" i="2"/>
  <c r="T648" i="2"/>
  <c r="T649" i="2"/>
  <c r="R546" i="2"/>
  <c r="R539" i="2"/>
  <c r="Q549" i="2"/>
  <c r="R547" i="2"/>
  <c r="S672" i="2"/>
  <c r="S669" i="2"/>
  <c r="S670" i="2" s="1"/>
  <c r="W290" i="2"/>
  <c r="W299" i="2"/>
  <c r="R1119" i="2"/>
  <c r="S1118" i="2" s="1"/>
  <c r="O86" i="10"/>
  <c r="Q1307" i="2"/>
  <c r="U1281" i="2"/>
  <c r="U1272" i="2"/>
  <c r="U1032" i="2"/>
  <c r="U1031" i="2" s="1"/>
  <c r="U659" i="2"/>
  <c r="U628" i="2"/>
  <c r="U629" i="2" s="1"/>
  <c r="U555" i="2"/>
  <c r="U544" i="2"/>
  <c r="U443" i="2"/>
  <c r="U407" i="2"/>
  <c r="U214" i="2"/>
  <c r="U160" i="2"/>
  <c r="U1017" i="2"/>
  <c r="U1335" i="2"/>
  <c r="U1279" i="2"/>
  <c r="U1220" i="2"/>
  <c r="U1221" i="2" s="1"/>
  <c r="U1136" i="2"/>
  <c r="U1012" i="2"/>
  <c r="U1011" i="2" s="1"/>
  <c r="U1275" i="2"/>
  <c r="U1150" i="2"/>
  <c r="U1151" i="2" s="1"/>
  <c r="U1033" i="2"/>
  <c r="U712" i="2"/>
  <c r="U623" i="2"/>
  <c r="U624" i="2" s="1"/>
  <c r="U389" i="2"/>
  <c r="U296" i="2"/>
  <c r="U212" i="2"/>
  <c r="U162" i="2"/>
  <c r="U39" i="2"/>
  <c r="U8" i="2"/>
  <c r="U1273" i="2"/>
  <c r="U1146" i="2"/>
  <c r="U1147" i="2" s="1"/>
  <c r="U682" i="2"/>
  <c r="U442" i="2"/>
  <c r="U432" i="2"/>
  <c r="U185" i="2"/>
  <c r="U81" i="2"/>
  <c r="U17" i="2"/>
  <c r="U7" i="2"/>
  <c r="U431" i="2"/>
  <c r="U26" i="2"/>
  <c r="U25" i="2" s="1"/>
  <c r="U1278" i="2"/>
  <c r="U1201" i="2"/>
  <c r="U1202" i="2" s="1"/>
  <c r="U1108" i="2"/>
  <c r="U1109" i="2" s="1"/>
  <c r="U643" i="2"/>
  <c r="U557" i="2"/>
  <c r="U542" i="2"/>
  <c r="U427" i="2"/>
  <c r="U288" i="2"/>
  <c r="U531" i="2"/>
  <c r="U428" i="2"/>
  <c r="U291" i="2"/>
  <c r="U1028" i="2"/>
  <c r="U1026" i="2"/>
  <c r="U391" i="2"/>
  <c r="U168" i="2"/>
  <c r="U167" i="2" s="1"/>
  <c r="U144" i="2"/>
  <c r="U714" i="2"/>
  <c r="U688" i="2"/>
  <c r="U438" i="2"/>
  <c r="U437" i="2" s="1"/>
  <c r="U287" i="2"/>
  <c r="U143" i="2"/>
  <c r="U36" i="2"/>
  <c r="U19" i="2"/>
  <c r="U656" i="2"/>
  <c r="U300" i="2"/>
  <c r="U78" i="2"/>
  <c r="U405" i="2"/>
  <c r="U187" i="2"/>
  <c r="U1178" i="2"/>
  <c r="U197" i="4" s="1"/>
  <c r="U1037" i="2"/>
  <c r="U1208" i="2"/>
  <c r="U1209" i="2" s="1"/>
  <c r="U150" i="2"/>
  <c r="U175" i="2"/>
  <c r="AC82" i="10"/>
  <c r="S503" i="4"/>
  <c r="T1274" i="2"/>
  <c r="T1276" i="2" s="1"/>
  <c r="T707" i="2"/>
  <c r="T701" i="2"/>
  <c r="T691" i="2" s="1"/>
  <c r="AB68" i="10"/>
  <c r="W1083" i="2"/>
  <c r="W1082" i="2" s="1"/>
  <c r="V1084" i="2"/>
  <c r="R674" i="2"/>
  <c r="S673" i="2" s="1"/>
  <c r="S674" i="2" s="1"/>
  <c r="X341" i="4"/>
  <c r="X383" i="4"/>
  <c r="X292" i="4"/>
  <c r="X47" i="1"/>
  <c r="X57" i="2" s="1"/>
  <c r="X49" i="1"/>
  <c r="X50" i="1"/>
  <c r="X48" i="1"/>
  <c r="Y43" i="1"/>
  <c r="R10" i="2"/>
  <c r="S21" i="2"/>
  <c r="AA61" i="1"/>
  <c r="AB60" i="1"/>
  <c r="U347" i="4"/>
  <c r="U199" i="4"/>
  <c r="U189" i="4"/>
  <c r="U384" i="4"/>
  <c r="U321" i="4"/>
  <c r="U412" i="4"/>
  <c r="U342" i="4"/>
  <c r="U370" i="4"/>
  <c r="U273" i="4"/>
  <c r="U194" i="4"/>
  <c r="U389" i="4"/>
  <c r="U178" i="4"/>
  <c r="U283" i="4"/>
  <c r="U298" i="4"/>
  <c r="U293" i="4"/>
  <c r="U332" i="4"/>
  <c r="U169" i="4"/>
  <c r="T677" i="2"/>
  <c r="T667" i="2"/>
  <c r="T671" i="2"/>
  <c r="T662" i="2" s="1"/>
  <c r="T503" i="4"/>
  <c r="AB106" i="10"/>
  <c r="Q93" i="4"/>
  <c r="AB75" i="10"/>
  <c r="Q457" i="4"/>
  <c r="Q484" i="4"/>
  <c r="Q430" i="4"/>
  <c r="Q414" i="2"/>
  <c r="Q617" i="2" s="1"/>
  <c r="P618" i="2"/>
  <c r="P619" i="2" s="1"/>
  <c r="V80" i="1"/>
  <c r="W81" i="1"/>
  <c r="W441" i="2"/>
  <c r="W430" i="2"/>
  <c r="AA55" i="1"/>
  <c r="AB54" i="1"/>
  <c r="S148" i="2"/>
  <c r="S146" i="2"/>
  <c r="Q410" i="2"/>
  <c r="Q393" i="2"/>
  <c r="T694" i="2"/>
  <c r="T696" i="2"/>
  <c r="T697" i="2"/>
  <c r="T1280" i="2"/>
  <c r="T720" i="2"/>
  <c r="T721" i="2"/>
  <c r="O437" i="4"/>
  <c r="O464" i="4"/>
  <c r="O496" i="4"/>
  <c r="V87" i="1"/>
  <c r="U91" i="1"/>
  <c r="W159" i="2"/>
  <c r="W184" i="2"/>
  <c r="W211" i="2"/>
  <c r="U1092" i="2"/>
  <c r="V1091" i="2"/>
  <c r="V1090" i="2" s="1"/>
  <c r="W1063" i="2"/>
  <c r="W1062" i="2" s="1"/>
  <c r="V1061" i="2"/>
  <c r="S727" i="2"/>
  <c r="S723" i="2" s="1"/>
  <c r="S724" i="2"/>
  <c r="S725" i="2" s="1"/>
  <c r="Q138" i="4"/>
  <c r="Q990" i="2"/>
  <c r="P128" i="4"/>
  <c r="W35" i="2"/>
  <c r="W16" i="2"/>
  <c r="W77" i="2"/>
  <c r="R991" i="2"/>
  <c r="R1305" i="2" s="1"/>
  <c r="R949" i="2"/>
  <c r="P410" i="2"/>
  <c r="V2" i="5"/>
  <c r="V2" i="4"/>
  <c r="V2" i="2"/>
  <c r="V2" i="10"/>
  <c r="V2" i="1"/>
  <c r="W25" i="1"/>
  <c r="Q11" i="2"/>
  <c r="R11" i="2" s="1"/>
  <c r="T1038" i="2"/>
  <c r="T1039" i="2"/>
  <c r="T665" i="2"/>
  <c r="T666" i="2"/>
  <c r="T729" i="2"/>
  <c r="T722" i="2"/>
  <c r="T726" i="2"/>
  <c r="T717" i="2" s="1"/>
  <c r="Q153" i="2"/>
  <c r="N594" i="2"/>
  <c r="U146" i="1"/>
  <c r="U59" i="1"/>
  <c r="U120" i="1"/>
  <c r="U45" i="1"/>
  <c r="U44" i="1"/>
  <c r="U123" i="1"/>
  <c r="U140" i="1"/>
  <c r="U131" i="1"/>
  <c r="U53" i="1"/>
  <c r="S41" i="2"/>
  <c r="S173" i="2"/>
  <c r="S171" i="2"/>
  <c r="T289" i="2"/>
  <c r="O277" i="4"/>
  <c r="O374" i="4"/>
  <c r="O324" i="4"/>
  <c r="O1264" i="2"/>
  <c r="O1184" i="2"/>
  <c r="S702" i="2"/>
  <c r="S698" i="2" s="1"/>
  <c r="S703" i="2"/>
  <c r="S704" i="2" s="1"/>
  <c r="S699" i="2"/>
  <c r="S700" i="2" s="1"/>
  <c r="P1321" i="2"/>
  <c r="P416" i="2"/>
  <c r="P1322" i="2" s="1"/>
  <c r="P1310" i="2"/>
  <c r="N590" i="2"/>
  <c r="R177" i="4"/>
  <c r="P131" i="2"/>
  <c r="Q200" i="2"/>
  <c r="Q198" i="2"/>
  <c r="O593" i="2"/>
  <c r="O594" i="2" s="1"/>
  <c r="R978" i="2"/>
  <c r="P144" i="4"/>
  <c r="AA86" i="1"/>
  <c r="Q10" i="2"/>
  <c r="M78" i="10"/>
  <c r="B308" i="7" l="1"/>
  <c r="D87" i="7"/>
  <c r="D103" i="7"/>
  <c r="D110" i="7"/>
  <c r="D86" i="7"/>
  <c r="B152" i="7"/>
  <c r="D88" i="7"/>
  <c r="D85" i="7"/>
  <c r="R471" i="2"/>
  <c r="R473" i="2" s="1"/>
  <c r="R527" i="2" s="1"/>
  <c r="D27" i="7"/>
  <c r="T508" i="2"/>
  <c r="T56" i="4"/>
  <c r="T498" i="2"/>
  <c r="U503" i="2"/>
  <c r="U56" i="4" s="1"/>
  <c r="T977" i="2"/>
  <c r="V506" i="2"/>
  <c r="V502" i="2"/>
  <c r="V505" i="2"/>
  <c r="V501" i="2"/>
  <c r="S971" i="2"/>
  <c r="V496" i="2"/>
  <c r="V495" i="2"/>
  <c r="V491" i="2"/>
  <c r="V492" i="2"/>
  <c r="T970" i="2"/>
  <c r="U493" i="2"/>
  <c r="R388" i="2"/>
  <c r="R386" i="2" s="1"/>
  <c r="R996" i="2"/>
  <c r="M995" i="2"/>
  <c r="M112" i="4" s="1"/>
  <c r="M241" i="4" s="1"/>
  <c r="U411" i="2"/>
  <c r="O1218" i="2"/>
  <c r="O1219" i="2" s="1"/>
  <c r="O1217" i="2" s="1"/>
  <c r="R363" i="2"/>
  <c r="R42" i="4" s="1"/>
  <c r="R396" i="2"/>
  <c r="R394" i="2" s="1"/>
  <c r="S395" i="2"/>
  <c r="T395" i="2"/>
  <c r="T387" i="2"/>
  <c r="S387" i="2"/>
  <c r="V344" i="2"/>
  <c r="V348" i="2"/>
  <c r="V345" i="2" s="1"/>
  <c r="T350" i="2"/>
  <c r="T351" i="2" s="1"/>
  <c r="T39" i="4" s="1"/>
  <c r="R916" i="2"/>
  <c r="S916" i="2" s="1"/>
  <c r="U346" i="2"/>
  <c r="U27" i="2"/>
  <c r="U28" i="2" s="1"/>
  <c r="V335" i="2"/>
  <c r="V339" i="2"/>
  <c r="V336" i="2" s="1"/>
  <c r="P1106" i="2"/>
  <c r="P1107" i="2" s="1"/>
  <c r="Q1106" i="2" s="1"/>
  <c r="Q1107" i="2" s="1"/>
  <c r="Q1105" i="2" s="1"/>
  <c r="U337" i="2"/>
  <c r="T341" i="2"/>
  <c r="T342" i="2" s="1"/>
  <c r="T38" i="4" s="1"/>
  <c r="T332" i="2"/>
  <c r="T333" i="2" s="1"/>
  <c r="T37" i="4" s="1"/>
  <c r="U328" i="2"/>
  <c r="V68" i="2"/>
  <c r="V330" i="2"/>
  <c r="V327" i="2" s="1"/>
  <c r="V326" i="2"/>
  <c r="P237" i="4"/>
  <c r="S63" i="2"/>
  <c r="S64" i="2" s="1"/>
  <c r="P239" i="4"/>
  <c r="R827" i="2"/>
  <c r="S827" i="2" s="1"/>
  <c r="G1328" i="2"/>
  <c r="G492" i="4"/>
  <c r="S7" i="4"/>
  <c r="R196" i="2"/>
  <c r="R198" i="2" s="1"/>
  <c r="U107" i="2"/>
  <c r="U87" i="2"/>
  <c r="U49" i="2"/>
  <c r="S128" i="2"/>
  <c r="R64" i="2"/>
  <c r="R129" i="2" s="1"/>
  <c r="R130" i="2"/>
  <c r="R1291" i="2" s="1"/>
  <c r="R801" i="2"/>
  <c r="S801" i="2" s="1"/>
  <c r="R517" i="2"/>
  <c r="U67" i="2"/>
  <c r="R6" i="4"/>
  <c r="U169" i="2"/>
  <c r="U170" i="2" s="1"/>
  <c r="R112" i="2"/>
  <c r="N775" i="2"/>
  <c r="N995" i="2" s="1"/>
  <c r="I104" i="4"/>
  <c r="S853" i="2"/>
  <c r="U297" i="2"/>
  <c r="U298" i="2" s="1"/>
  <c r="S54" i="4"/>
  <c r="U1120" i="2"/>
  <c r="U1121" i="2" s="1"/>
  <c r="S668" i="2"/>
  <c r="S678" i="2" s="1"/>
  <c r="J609" i="2"/>
  <c r="J631" i="2" s="1"/>
  <c r="O117" i="10"/>
  <c r="O115" i="10" s="1"/>
  <c r="P112" i="10" s="1"/>
  <c r="P116" i="10"/>
  <c r="K602" i="2"/>
  <c r="K183" i="4" s="1"/>
  <c r="T962" i="2"/>
  <c r="S34" i="1"/>
  <c r="J1316" i="2"/>
  <c r="J1313" i="2" s="1"/>
  <c r="J173" i="4"/>
  <c r="J179" i="4" s="1"/>
  <c r="T28" i="1"/>
  <c r="U26" i="1"/>
  <c r="T29" i="1"/>
  <c r="T34" i="1" s="1"/>
  <c r="T27" i="1"/>
  <c r="I463" i="4"/>
  <c r="I494" i="4"/>
  <c r="I436" i="4"/>
  <c r="T219" i="4"/>
  <c r="S220" i="4"/>
  <c r="H1331" i="2"/>
  <c r="H1336" i="2" s="1"/>
  <c r="R1014" i="2"/>
  <c r="S1013" i="2"/>
  <c r="T1013" i="2" s="1"/>
  <c r="K882" i="2"/>
  <c r="K973" i="2" s="1"/>
  <c r="L877" i="2"/>
  <c r="L968" i="2" s="1"/>
  <c r="L935" i="2"/>
  <c r="K983" i="2"/>
  <c r="K175" i="4" s="1"/>
  <c r="K957" i="2"/>
  <c r="K771" i="2"/>
  <c r="X320" i="2"/>
  <c r="X380" i="2"/>
  <c r="X311" i="2"/>
  <c r="X368" i="2"/>
  <c r="X359" i="2"/>
  <c r="P575" i="2"/>
  <c r="P572" i="2" s="1"/>
  <c r="P162" i="4" s="1"/>
  <c r="R408" i="4"/>
  <c r="R317" i="4"/>
  <c r="R1168" i="2"/>
  <c r="R140" i="2"/>
  <c r="R90" i="10"/>
  <c r="R4" i="5"/>
  <c r="R159" i="4"/>
  <c r="R1" i="10"/>
  <c r="R423" i="2"/>
  <c r="R269" i="4"/>
  <c r="R4" i="4"/>
  <c r="R1189" i="2"/>
  <c r="R14" i="1"/>
  <c r="R113" i="1"/>
  <c r="R1142" i="2"/>
  <c r="R1" i="5"/>
  <c r="R1096" i="2"/>
  <c r="R55" i="10"/>
  <c r="R233" i="4"/>
  <c r="R91" i="4"/>
  <c r="R1000" i="2"/>
  <c r="R1" i="1"/>
  <c r="R638" i="2"/>
  <c r="R205" i="4"/>
  <c r="R1" i="2"/>
  <c r="R1" i="4"/>
  <c r="R366" i="4"/>
  <c r="R124" i="4"/>
  <c r="R570" i="2"/>
  <c r="R284" i="2"/>
  <c r="R38" i="1"/>
  <c r="R25" i="4"/>
  <c r="R14" i="4"/>
  <c r="R4" i="2"/>
  <c r="R1056" i="2"/>
  <c r="R69" i="4"/>
  <c r="R1269" i="2"/>
  <c r="R68" i="1"/>
  <c r="R102" i="10"/>
  <c r="X259" i="2"/>
  <c r="X235" i="2"/>
  <c r="X520" i="2"/>
  <c r="X454" i="2"/>
  <c r="X474" i="2"/>
  <c r="X484" i="2"/>
  <c r="X464" i="2"/>
  <c r="M596" i="2"/>
  <c r="M164" i="4" s="1"/>
  <c r="M261" i="4" s="1"/>
  <c r="K612" i="2"/>
  <c r="K613" i="2" s="1"/>
  <c r="T955" i="2"/>
  <c r="K953" i="2"/>
  <c r="K63" i="4" s="1"/>
  <c r="K767" i="2"/>
  <c r="T951" i="2"/>
  <c r="T952" i="2"/>
  <c r="S956" i="2"/>
  <c r="T847" i="2"/>
  <c r="T843" i="2" s="1"/>
  <c r="T848" i="2"/>
  <c r="T849" i="2" s="1"/>
  <c r="T844" i="2"/>
  <c r="T845" i="2" s="1"/>
  <c r="U840" i="2"/>
  <c r="U841" i="2"/>
  <c r="U852" i="2"/>
  <c r="U846" i="2"/>
  <c r="U837" i="2" s="1"/>
  <c r="U78" i="4" s="1"/>
  <c r="R299" i="7" s="1"/>
  <c r="U842" i="2"/>
  <c r="V834" i="2"/>
  <c r="V831" i="2"/>
  <c r="S765" i="2"/>
  <c r="T759" i="2"/>
  <c r="T75" i="4" s="1"/>
  <c r="Q296" i="7" s="1"/>
  <c r="T821" i="2"/>
  <c r="T817" i="2" s="1"/>
  <c r="T822" i="2"/>
  <c r="T823" i="2" s="1"/>
  <c r="T818" i="2"/>
  <c r="T819" i="2" s="1"/>
  <c r="V808" i="2"/>
  <c r="V805" i="2"/>
  <c r="U826" i="2"/>
  <c r="U816" i="2"/>
  <c r="U820" i="2"/>
  <c r="U811" i="2" s="1"/>
  <c r="U77" i="4" s="1"/>
  <c r="R298" i="7" s="1"/>
  <c r="U814" i="2"/>
  <c r="U815" i="2"/>
  <c r="V782" i="2"/>
  <c r="V779" i="2"/>
  <c r="T795" i="2"/>
  <c r="T791" i="2" s="1"/>
  <c r="T796" i="2"/>
  <c r="T797" i="2" s="1"/>
  <c r="T792" i="2"/>
  <c r="T793" i="2" s="1"/>
  <c r="U800" i="2"/>
  <c r="U790" i="2"/>
  <c r="U794" i="2"/>
  <c r="U785" i="2" s="1"/>
  <c r="U76" i="4" s="1"/>
  <c r="R297" i="7" s="1"/>
  <c r="U788" i="2"/>
  <c r="U789" i="2"/>
  <c r="U481" i="2"/>
  <c r="U483" i="2" s="1"/>
  <c r="V756" i="2"/>
  <c r="V753" i="2"/>
  <c r="T769" i="2"/>
  <c r="U774" i="2"/>
  <c r="U764" i="2"/>
  <c r="U768" i="2"/>
  <c r="U762" i="2"/>
  <c r="U763" i="2"/>
  <c r="R384" i="2"/>
  <c r="R46" i="4" s="1"/>
  <c r="R404" i="2"/>
  <c r="R402" i="2" s="1"/>
  <c r="S383" i="2"/>
  <c r="S404" i="2" s="1"/>
  <c r="S403" i="2"/>
  <c r="R315" i="2"/>
  <c r="R35" i="4" s="1"/>
  <c r="N260" i="4"/>
  <c r="T7" i="4"/>
  <c r="T63" i="2"/>
  <c r="V61" i="2"/>
  <c r="V47" i="2"/>
  <c r="V58" i="2"/>
  <c r="S362" i="2"/>
  <c r="S371" i="2"/>
  <c r="S372" i="2" s="1"/>
  <c r="S43" i="4" s="1"/>
  <c r="R412" i="2"/>
  <c r="R430" i="4" s="1"/>
  <c r="S314" i="2"/>
  <c r="S323" i="2"/>
  <c r="S324" i="2" s="1"/>
  <c r="S36" i="4" s="1"/>
  <c r="N98" i="4"/>
  <c r="S10" i="4"/>
  <c r="S83" i="2"/>
  <c r="S84" i="2" s="1"/>
  <c r="S9" i="4"/>
  <c r="U742" i="2"/>
  <c r="U944" i="2" s="1"/>
  <c r="U741" i="2"/>
  <c r="U744" i="2" s="1"/>
  <c r="U946" i="2" s="1"/>
  <c r="U172" i="4" s="1"/>
  <c r="O48" i="4"/>
  <c r="O238" i="4" s="1"/>
  <c r="P97" i="4"/>
  <c r="P94" i="4" s="1"/>
  <c r="O1253" i="2"/>
  <c r="O192" i="4" s="1"/>
  <c r="O1252" i="2"/>
  <c r="O130" i="4" s="1"/>
  <c r="O373" i="4" s="1"/>
  <c r="N1253" i="2"/>
  <c r="P1234" i="2"/>
  <c r="P1232" i="2" s="1"/>
  <c r="R1243" i="2"/>
  <c r="R1258" i="2"/>
  <c r="V1235" i="2"/>
  <c r="V737" i="2"/>
  <c r="V743" i="2" s="1"/>
  <c r="V945" i="2" s="1"/>
  <c r="T746" i="2"/>
  <c r="T910" i="2"/>
  <c r="T906" i="2" s="1"/>
  <c r="T911" i="2"/>
  <c r="T912" i="2" s="1"/>
  <c r="T907" i="2"/>
  <c r="T908" i="2" s="1"/>
  <c r="S934" i="2"/>
  <c r="S941" i="2" s="1"/>
  <c r="S985" i="2"/>
  <c r="U902" i="2"/>
  <c r="U904" i="2"/>
  <c r="U905" i="2"/>
  <c r="U915" i="2"/>
  <c r="U909" i="2"/>
  <c r="U899" i="2" s="1"/>
  <c r="U82" i="4" s="1"/>
  <c r="R303" i="7" s="1"/>
  <c r="T928" i="2"/>
  <c r="T85" i="4" s="1"/>
  <c r="Q306" i="7" s="1"/>
  <c r="T984" i="2"/>
  <c r="T978" i="2" s="1"/>
  <c r="T140" i="4" s="1"/>
  <c r="V896" i="2"/>
  <c r="V890" i="2"/>
  <c r="U940" i="2"/>
  <c r="U988" i="2" s="1"/>
  <c r="U933" i="2"/>
  <c r="U981" i="2" s="1"/>
  <c r="U937" i="2"/>
  <c r="U931" i="2"/>
  <c r="U932" i="2"/>
  <c r="U980" i="2" s="1"/>
  <c r="S627" i="2"/>
  <c r="S626" i="2" s="1"/>
  <c r="S184" i="4" s="1"/>
  <c r="V923" i="2"/>
  <c r="V925" i="2"/>
  <c r="T938" i="2"/>
  <c r="T869" i="2"/>
  <c r="T81" i="4" s="1"/>
  <c r="Q302" i="7" s="1"/>
  <c r="S876" i="2"/>
  <c r="S886" i="2" s="1"/>
  <c r="U872" i="2"/>
  <c r="U874" i="2"/>
  <c r="U875" i="2"/>
  <c r="T880" i="2"/>
  <c r="U885" i="2"/>
  <c r="U977" i="2" s="1"/>
  <c r="U879" i="2"/>
  <c r="V860" i="2"/>
  <c r="V866" i="2"/>
  <c r="N206" i="2"/>
  <c r="O28" i="4"/>
  <c r="O217" i="2"/>
  <c r="O206" i="2" s="1"/>
  <c r="U439" i="2"/>
  <c r="U440" i="2" s="1"/>
  <c r="U445" i="2" s="1"/>
  <c r="N205" i="2"/>
  <c r="P204" i="2"/>
  <c r="P216" i="2" s="1"/>
  <c r="U318" i="2"/>
  <c r="P524" i="2"/>
  <c r="P554" i="2" s="1"/>
  <c r="P1302" i="2" s="1"/>
  <c r="P553" i="2"/>
  <c r="P565" i="2" s="1"/>
  <c r="P61" i="4"/>
  <c r="P60" i="4" s="1"/>
  <c r="P102" i="4" s="1"/>
  <c r="Q519" i="2"/>
  <c r="O560" i="2"/>
  <c r="O559" i="2"/>
  <c r="N562" i="2"/>
  <c r="N564" i="2" s="1"/>
  <c r="O552" i="2"/>
  <c r="O566" i="2" s="1"/>
  <c r="Q202" i="2"/>
  <c r="Q276" i="2" s="1"/>
  <c r="Q592" i="2" s="1"/>
  <c r="O565" i="2"/>
  <c r="Q533" i="2"/>
  <c r="Q478" i="2"/>
  <c r="Q528" i="2" s="1"/>
  <c r="Q53" i="4"/>
  <c r="Q50" i="4" s="1"/>
  <c r="N30" i="4"/>
  <c r="N27" i="4" s="1"/>
  <c r="O536" i="2"/>
  <c r="O538" i="2" s="1"/>
  <c r="P526" i="2"/>
  <c r="P534" i="2"/>
  <c r="K280" i="2"/>
  <c r="N265" i="2"/>
  <c r="M256" i="2" s="1"/>
  <c r="N264" i="2"/>
  <c r="N274" i="2" s="1"/>
  <c r="N1292" i="2" s="1"/>
  <c r="N459" i="4" s="1"/>
  <c r="M269" i="2"/>
  <c r="L256" i="2"/>
  <c r="L279" i="2" s="1"/>
  <c r="L611" i="2" s="1"/>
  <c r="U378" i="2"/>
  <c r="U357" i="2"/>
  <c r="M253" i="2"/>
  <c r="M272" i="2" s="1"/>
  <c r="M607" i="2" s="1"/>
  <c r="O584" i="2"/>
  <c r="O166" i="4" s="1"/>
  <c r="O588" i="2"/>
  <c r="N584" i="2"/>
  <c r="N166" i="4" s="1"/>
  <c r="O240" i="2"/>
  <c r="N229" i="2"/>
  <c r="R219" i="2"/>
  <c r="R221" i="2" s="1"/>
  <c r="R243" i="2"/>
  <c r="L605" i="2"/>
  <c r="L606" i="2" s="1"/>
  <c r="M605" i="2"/>
  <c r="Q245" i="2"/>
  <c r="P246" i="2"/>
  <c r="P248" i="2"/>
  <c r="P277" i="2" s="1"/>
  <c r="O252" i="2"/>
  <c r="O271" i="2" s="1"/>
  <c r="L1301" i="2"/>
  <c r="L270" i="2"/>
  <c r="O29" i="4"/>
  <c r="N232" i="2"/>
  <c r="O230" i="2"/>
  <c r="M232" i="2"/>
  <c r="M234" i="2" s="1"/>
  <c r="P228" i="2"/>
  <c r="P29" i="4" s="1"/>
  <c r="U366" i="2"/>
  <c r="U367" i="2" s="1"/>
  <c r="Q224" i="2"/>
  <c r="Q222" i="2"/>
  <c r="V262" i="2"/>
  <c r="V260" i="2"/>
  <c r="V244" i="2"/>
  <c r="V250" i="2"/>
  <c r="V238" i="2"/>
  <c r="V236" i="2"/>
  <c r="V220" i="2"/>
  <c r="V226" i="2"/>
  <c r="T488" i="2"/>
  <c r="T54" i="4"/>
  <c r="V485" i="2"/>
  <c r="V486" i="2"/>
  <c r="V482" i="2"/>
  <c r="V475" i="2"/>
  <c r="V476" i="2"/>
  <c r="V472" i="2"/>
  <c r="T468" i="2"/>
  <c r="T52" i="4"/>
  <c r="V465" i="2"/>
  <c r="V466" i="2"/>
  <c r="V462" i="2"/>
  <c r="U463" i="2"/>
  <c r="V521" i="2"/>
  <c r="V522" i="2"/>
  <c r="V518" i="2"/>
  <c r="S8" i="4"/>
  <c r="R529" i="2"/>
  <c r="T458" i="2"/>
  <c r="T51" i="4"/>
  <c r="U309" i="2"/>
  <c r="U453" i="2"/>
  <c r="V455" i="2"/>
  <c r="V456" i="2"/>
  <c r="V452" i="2"/>
  <c r="U69" i="2"/>
  <c r="T70" i="2"/>
  <c r="T8" i="4" s="1"/>
  <c r="T110" i="2"/>
  <c r="T10" i="4" s="1"/>
  <c r="Q416" i="2"/>
  <c r="Q1322" i="2" s="1"/>
  <c r="S123" i="2"/>
  <c r="S124" i="2" s="1"/>
  <c r="S111" i="2" s="1"/>
  <c r="N599" i="2"/>
  <c r="P397" i="2"/>
  <c r="O598" i="2"/>
  <c r="O401" i="2"/>
  <c r="U109" i="2"/>
  <c r="T323" i="2"/>
  <c r="T324" i="2" s="1"/>
  <c r="T36" i="4" s="1"/>
  <c r="S708" i="2"/>
  <c r="V321" i="2"/>
  <c r="V317" i="2"/>
  <c r="T314" i="2"/>
  <c r="V312" i="2"/>
  <c r="V308" i="2"/>
  <c r="V381" i="2"/>
  <c r="V377" i="2"/>
  <c r="T383" i="2"/>
  <c r="T404" i="2" s="1"/>
  <c r="T371" i="2"/>
  <c r="T372" i="2" s="1"/>
  <c r="T43" i="4" s="1"/>
  <c r="V369" i="2"/>
  <c r="V365" i="2"/>
  <c r="S194" i="2"/>
  <c r="T90" i="2"/>
  <c r="T9" i="4" s="1"/>
  <c r="S103" i="2"/>
  <c r="S104" i="2" s="1"/>
  <c r="S91" i="2" s="1"/>
  <c r="Q71" i="2"/>
  <c r="Q72" i="2"/>
  <c r="Q133" i="2" s="1"/>
  <c r="T362" i="2"/>
  <c r="Q131" i="2"/>
  <c r="V360" i="2"/>
  <c r="V356" i="2"/>
  <c r="U89" i="2"/>
  <c r="T195" i="2"/>
  <c r="T197" i="2" s="1"/>
  <c r="W57" i="10"/>
  <c r="W62" i="10"/>
  <c r="R108" i="10"/>
  <c r="S105" i="10" s="1"/>
  <c r="X117" i="2"/>
  <c r="X97" i="2"/>
  <c r="S1199" i="2"/>
  <c r="R30" i="2"/>
  <c r="O572" i="2"/>
  <c r="O162" i="4" s="1"/>
  <c r="S730" i="2"/>
  <c r="T148" i="2"/>
  <c r="T152" i="2" s="1"/>
  <c r="T165" i="2" s="1"/>
  <c r="T153" i="2" s="1"/>
  <c r="V108" i="2"/>
  <c r="V121" i="2"/>
  <c r="V118" i="2"/>
  <c r="R111" i="2"/>
  <c r="R1117" i="2"/>
  <c r="R92" i="2"/>
  <c r="V88" i="2"/>
  <c r="V98" i="2"/>
  <c r="V101" i="2"/>
  <c r="U1280" i="2"/>
  <c r="U1282" i="2" s="1"/>
  <c r="R91" i="2"/>
  <c r="Q178" i="2"/>
  <c r="R164" i="2"/>
  <c r="P183" i="2"/>
  <c r="Q179" i="2"/>
  <c r="Q183" i="2" s="1"/>
  <c r="S152" i="2"/>
  <c r="S165" i="2" s="1"/>
  <c r="R156" i="2" s="1"/>
  <c r="Q551" i="2"/>
  <c r="O590" i="2"/>
  <c r="O165" i="4" s="1"/>
  <c r="T652" i="2"/>
  <c r="S177" i="2"/>
  <c r="S189" i="2" s="1"/>
  <c r="Q128" i="4"/>
  <c r="P419" i="2"/>
  <c r="P1323" i="2" s="1"/>
  <c r="P496" i="4" s="1"/>
  <c r="Q418" i="2"/>
  <c r="M210" i="2"/>
  <c r="U9" i="2"/>
  <c r="U21" i="2" s="1"/>
  <c r="U22" i="2" s="1"/>
  <c r="S1119" i="2"/>
  <c r="T1118" i="2" s="1"/>
  <c r="X299" i="2"/>
  <c r="X290" i="2"/>
  <c r="AC68" i="10"/>
  <c r="AD82" i="10"/>
  <c r="U289" i="2"/>
  <c r="P84" i="10"/>
  <c r="T1282" i="2"/>
  <c r="Q239" i="4"/>
  <c r="Q236" i="4"/>
  <c r="AC106" i="10"/>
  <c r="P324" i="4"/>
  <c r="P374" i="4"/>
  <c r="P277" i="4"/>
  <c r="P1184" i="2"/>
  <c r="P1264" i="2"/>
  <c r="T293" i="2"/>
  <c r="T294" i="2" s="1"/>
  <c r="R138" i="4"/>
  <c r="R990" i="2"/>
  <c r="W87" i="1"/>
  <c r="V91" i="1"/>
  <c r="T440" i="4"/>
  <c r="T502" i="4"/>
  <c r="T467" i="4"/>
  <c r="AB61" i="1"/>
  <c r="AC60" i="1"/>
  <c r="X430" i="2"/>
  <c r="X441" i="2"/>
  <c r="R1307" i="2"/>
  <c r="T142" i="4"/>
  <c r="V1012" i="2"/>
  <c r="V1011" i="2" s="1"/>
  <c r="V427" i="2"/>
  <c r="V296" i="2"/>
  <c r="V287" i="2"/>
  <c r="V1273" i="2"/>
  <c r="V1146" i="2"/>
  <c r="V1147" i="2" s="1"/>
  <c r="V1033" i="2"/>
  <c r="V1281" i="2"/>
  <c r="V1272" i="2"/>
  <c r="V659" i="2"/>
  <c r="V643" i="2"/>
  <c r="V555" i="2"/>
  <c r="V542" i="2"/>
  <c r="V405" i="2"/>
  <c r="V391" i="2"/>
  <c r="V682" i="2"/>
  <c r="V656" i="2"/>
  <c r="V389" i="2"/>
  <c r="V212" i="2"/>
  <c r="V187" i="2"/>
  <c r="V144" i="2"/>
  <c r="V81" i="2"/>
  <c r="V1032" i="2"/>
  <c r="V1031" i="2" s="1"/>
  <c r="V1017" i="2"/>
  <c r="V623" i="2"/>
  <c r="V624" i="2" s="1"/>
  <c r="V443" i="2"/>
  <c r="V432" i="2"/>
  <c r="V143" i="2"/>
  <c r="V39" i="2"/>
  <c r="V1275" i="2"/>
  <c r="V1220" i="2"/>
  <c r="V1221" i="2" s="1"/>
  <c r="V1136" i="2"/>
  <c r="V1028" i="2"/>
  <c r="V712" i="2"/>
  <c r="V628" i="2"/>
  <c r="V629" i="2" s="1"/>
  <c r="V428" i="2"/>
  <c r="V160" i="2"/>
  <c r="V1335" i="2"/>
  <c r="V1026" i="2"/>
  <c r="V544" i="2"/>
  <c r="V431" i="2"/>
  <c r="V300" i="2"/>
  <c r="V185" i="2"/>
  <c r="V26" i="2"/>
  <c r="V25" i="2" s="1"/>
  <c r="V8" i="2"/>
  <c r="V1279" i="2"/>
  <c r="V162" i="2"/>
  <c r="V7" i="2"/>
  <c r="V1278" i="2"/>
  <c r="V1108" i="2"/>
  <c r="V1109" i="2" s="1"/>
  <c r="V78" i="2"/>
  <c r="V438" i="2"/>
  <c r="V437" i="2" s="1"/>
  <c r="V214" i="2"/>
  <c r="V688" i="2"/>
  <c r="V288" i="2"/>
  <c r="V1150" i="2"/>
  <c r="V1151" i="2" s="1"/>
  <c r="V714" i="2"/>
  <c r="V531" i="2"/>
  <c r="V1037" i="2"/>
  <c r="V407" i="2"/>
  <c r="V19" i="2"/>
  <c r="V1201" i="2"/>
  <c r="V1202" i="2" s="1"/>
  <c r="V442" i="2"/>
  <c r="V1029" i="2"/>
  <c r="V17" i="2"/>
  <c r="V557" i="2"/>
  <c r="V168" i="2"/>
  <c r="V167" i="2" s="1"/>
  <c r="V291" i="2"/>
  <c r="V36" i="2"/>
  <c r="V1178" i="2"/>
  <c r="V197" i="4" s="1"/>
  <c r="V175" i="2"/>
  <c r="V150" i="2"/>
  <c r="V1208" i="2"/>
  <c r="V1209" i="2" s="1"/>
  <c r="S1299" i="2"/>
  <c r="S142" i="4"/>
  <c r="AB55" i="1"/>
  <c r="AC54" i="1"/>
  <c r="X77" i="2"/>
  <c r="X35" i="2"/>
  <c r="X16" i="2"/>
  <c r="U720" i="2"/>
  <c r="U721" i="2"/>
  <c r="U503" i="4"/>
  <c r="P593" i="2"/>
  <c r="P594" i="2" s="1"/>
  <c r="V65" i="10"/>
  <c r="V133" i="10"/>
  <c r="V136" i="10"/>
  <c r="V188" i="4" s="1"/>
  <c r="V135" i="10"/>
  <c r="V97" i="10"/>
  <c r="V176" i="4" s="1"/>
  <c r="V93" i="10"/>
  <c r="V168" i="4" s="1"/>
  <c r="V70" i="10"/>
  <c r="V71" i="10" s="1"/>
  <c r="V72" i="10" s="1"/>
  <c r="M79" i="10"/>
  <c r="N77" i="10" s="1"/>
  <c r="N78" i="10" s="1"/>
  <c r="S991" i="2"/>
  <c r="S1305" i="2" s="1"/>
  <c r="S949" i="2"/>
  <c r="R71" i="2"/>
  <c r="V370" i="4"/>
  <c r="V194" i="4"/>
  <c r="V298" i="4"/>
  <c r="V389" i="4"/>
  <c r="V283" i="4"/>
  <c r="V273" i="4"/>
  <c r="V332" i="4"/>
  <c r="V178" i="4"/>
  <c r="V347" i="4"/>
  <c r="V189" i="4"/>
  <c r="V384" i="4"/>
  <c r="V342" i="4"/>
  <c r="V412" i="4"/>
  <c r="V293" i="4"/>
  <c r="V169" i="4"/>
  <c r="V199" i="4"/>
  <c r="V321" i="4"/>
  <c r="Q144" i="4"/>
  <c r="T702" i="2"/>
  <c r="T698" i="2" s="1"/>
  <c r="T703" i="2"/>
  <c r="T704" i="2" s="1"/>
  <c r="T699" i="2"/>
  <c r="T700" i="2" s="1"/>
  <c r="P615" i="2"/>
  <c r="P186" i="4" s="1"/>
  <c r="S22" i="2"/>
  <c r="W1084" i="2"/>
  <c r="X1083" i="2"/>
  <c r="X1082" i="2" s="1"/>
  <c r="U665" i="2"/>
  <c r="U666" i="2"/>
  <c r="U1274" i="2"/>
  <c r="U1276" i="2" s="1"/>
  <c r="R399" i="2"/>
  <c r="Q497" i="4"/>
  <c r="AC75" i="10"/>
  <c r="U694" i="2"/>
  <c r="U696" i="2"/>
  <c r="U697" i="2"/>
  <c r="S177" i="4"/>
  <c r="S546" i="2"/>
  <c r="P497" i="4"/>
  <c r="S110" i="10"/>
  <c r="T109" i="10" s="1"/>
  <c r="T42" i="2"/>
  <c r="W80" i="1"/>
  <c r="X81" i="1"/>
  <c r="Q618" i="2"/>
  <c r="Q619" i="2" s="1"/>
  <c r="Q156" i="2"/>
  <c r="Q158" i="2" s="1"/>
  <c r="T10" i="2"/>
  <c r="S440" i="4"/>
  <c r="S502" i="4"/>
  <c r="S467" i="4"/>
  <c r="U707" i="2"/>
  <c r="U701" i="2"/>
  <c r="U691" i="2" s="1"/>
  <c r="T650" i="2"/>
  <c r="AC113" i="10"/>
  <c r="N165" i="4"/>
  <c r="S42" i="2"/>
  <c r="S29" i="2" s="1"/>
  <c r="M459" i="4"/>
  <c r="M486" i="4"/>
  <c r="M432" i="4"/>
  <c r="W2" i="5"/>
  <c r="W2" i="4"/>
  <c r="W2" i="2"/>
  <c r="W2" i="10"/>
  <c r="W2" i="1"/>
  <c r="X25" i="1"/>
  <c r="X1063" i="2"/>
  <c r="X1062" i="2" s="1"/>
  <c r="W1061" i="2"/>
  <c r="T173" i="2"/>
  <c r="T171" i="2"/>
  <c r="Y292" i="4"/>
  <c r="Y383" i="4"/>
  <c r="Y341" i="4"/>
  <c r="Y47" i="1"/>
  <c r="Y57" i="2" s="1"/>
  <c r="Y49" i="1"/>
  <c r="Y48" i="1"/>
  <c r="Y50" i="1"/>
  <c r="Z43" i="1"/>
  <c r="U1039" i="2"/>
  <c r="U1038" i="2"/>
  <c r="U729" i="2"/>
  <c r="U722" i="2"/>
  <c r="U726" i="2"/>
  <c r="U717" i="2" s="1"/>
  <c r="S19" i="4"/>
  <c r="S18" i="4" s="1"/>
  <c r="S196" i="2"/>
  <c r="Q485" i="4"/>
  <c r="Q431" i="4"/>
  <c r="Q458" i="4"/>
  <c r="T302" i="2"/>
  <c r="T303" i="2" s="1"/>
  <c r="R140" i="4"/>
  <c r="AB86" i="1"/>
  <c r="T673" i="2"/>
  <c r="T674" i="2" s="1"/>
  <c r="T672" i="2"/>
  <c r="T668" i="2" s="1"/>
  <c r="T669" i="2"/>
  <c r="T670" i="2" s="1"/>
  <c r="V146" i="1"/>
  <c r="V59" i="1"/>
  <c r="V120" i="1"/>
  <c r="V45" i="1"/>
  <c r="V44" i="1"/>
  <c r="V53" i="1"/>
  <c r="V131" i="1"/>
  <c r="V123" i="1"/>
  <c r="V140" i="1"/>
  <c r="W1091" i="2"/>
  <c r="W1090" i="2" s="1"/>
  <c r="V1092" i="2"/>
  <c r="T727" i="2"/>
  <c r="T723" i="2" s="1"/>
  <c r="T724" i="2"/>
  <c r="T725" i="2" s="1"/>
  <c r="R153" i="2"/>
  <c r="X211" i="2"/>
  <c r="X184" i="2"/>
  <c r="X159" i="2"/>
  <c r="U145" i="2"/>
  <c r="U429" i="2"/>
  <c r="U434" i="2" s="1"/>
  <c r="U647" i="2"/>
  <c r="U650" i="2" s="1"/>
  <c r="U648" i="2"/>
  <c r="U649" i="2"/>
  <c r="U677" i="2"/>
  <c r="U667" i="2"/>
  <c r="U671" i="2"/>
  <c r="U662" i="2" s="1"/>
  <c r="O98" i="4"/>
  <c r="Q1310" i="2"/>
  <c r="T971" i="2" l="1"/>
  <c r="D113" i="7"/>
  <c r="D84" i="7"/>
  <c r="D74" i="7"/>
  <c r="D102" i="7"/>
  <c r="D76" i="7"/>
  <c r="D75" i="7"/>
  <c r="S471" i="2"/>
  <c r="S473" i="2" s="1"/>
  <c r="S527" i="2" s="1"/>
  <c r="R41" i="4"/>
  <c r="D109" i="7"/>
  <c r="U310" i="2"/>
  <c r="U508" i="2"/>
  <c r="V503" i="2"/>
  <c r="V56" i="4" s="1"/>
  <c r="U970" i="2"/>
  <c r="S996" i="2"/>
  <c r="W501" i="2"/>
  <c r="W506" i="2"/>
  <c r="W502" i="2"/>
  <c r="W505" i="2"/>
  <c r="U498" i="2"/>
  <c r="U55" i="4"/>
  <c r="V493" i="2"/>
  <c r="U967" i="2"/>
  <c r="W496" i="2"/>
  <c r="W492" i="2"/>
  <c r="W495" i="2"/>
  <c r="W491" i="2"/>
  <c r="U966" i="2"/>
  <c r="T396" i="2"/>
  <c r="T394" i="2" s="1"/>
  <c r="V411" i="2"/>
  <c r="V27" i="2"/>
  <c r="V28" i="2" s="1"/>
  <c r="V41" i="2" s="1"/>
  <c r="S363" i="2"/>
  <c r="S42" i="4" s="1"/>
  <c r="S396" i="2"/>
  <c r="S394" i="2" s="1"/>
  <c r="T388" i="2"/>
  <c r="T386" i="2" s="1"/>
  <c r="S388" i="2"/>
  <c r="S386" i="2" s="1"/>
  <c r="P1105" i="2"/>
  <c r="P1218" i="2"/>
  <c r="U350" i="2"/>
  <c r="U351" i="2" s="1"/>
  <c r="U39" i="4" s="1"/>
  <c r="W344" i="2"/>
  <c r="W348" i="2"/>
  <c r="W345" i="2" s="1"/>
  <c r="V346" i="2"/>
  <c r="U341" i="2"/>
  <c r="U342" i="2" s="1"/>
  <c r="U38" i="4" s="1"/>
  <c r="W335" i="2"/>
  <c r="W339" i="2"/>
  <c r="W336" i="2" s="1"/>
  <c r="V337" i="2"/>
  <c r="U332" i="2"/>
  <c r="U333" i="2" s="1"/>
  <c r="U37" i="4" s="1"/>
  <c r="P1219" i="2"/>
  <c r="P1217" i="2" s="1"/>
  <c r="W68" i="2"/>
  <c r="W330" i="2"/>
  <c r="W327" i="2" s="1"/>
  <c r="W326" i="2"/>
  <c r="V328" i="2"/>
  <c r="V49" i="2"/>
  <c r="U50" i="2"/>
  <c r="R200" i="2"/>
  <c r="G1330" i="2"/>
  <c r="H1330" i="2" s="1"/>
  <c r="G1331" i="2"/>
  <c r="I256" i="4"/>
  <c r="R51" i="2"/>
  <c r="V107" i="2"/>
  <c r="V87" i="2"/>
  <c r="R52" i="2"/>
  <c r="S129" i="2"/>
  <c r="T128" i="2"/>
  <c r="T471" i="2" s="1"/>
  <c r="S130" i="2"/>
  <c r="S1291" i="2" s="1"/>
  <c r="V1120" i="2"/>
  <c r="V1121" i="2" s="1"/>
  <c r="S517" i="2"/>
  <c r="V169" i="2"/>
  <c r="V170" i="2" s="1"/>
  <c r="V67" i="2"/>
  <c r="S6" i="4"/>
  <c r="T6" i="4"/>
  <c r="V297" i="2"/>
  <c r="V298" i="2" s="1"/>
  <c r="R72" i="2"/>
  <c r="O775" i="2"/>
  <c r="O995" i="2" s="1"/>
  <c r="T853" i="2"/>
  <c r="I333" i="4"/>
  <c r="R45" i="4"/>
  <c r="I284" i="4"/>
  <c r="I207" i="4"/>
  <c r="I209" i="4" s="1"/>
  <c r="I109" i="4"/>
  <c r="J163" i="4"/>
  <c r="U955" i="2"/>
  <c r="Q116" i="10"/>
  <c r="P117" i="10"/>
  <c r="P115" i="10" s="1"/>
  <c r="Q112" i="10" s="1"/>
  <c r="T916" i="2"/>
  <c r="T827" i="2"/>
  <c r="S108" i="10"/>
  <c r="T105" i="10" s="1"/>
  <c r="P576" i="2"/>
  <c r="K609" i="2"/>
  <c r="K631" i="2" s="1"/>
  <c r="H1337" i="2"/>
  <c r="H1325" i="2" s="1"/>
  <c r="T1014" i="2"/>
  <c r="Y484" i="2"/>
  <c r="Y520" i="2"/>
  <c r="Y464" i="2"/>
  <c r="Y474" i="2"/>
  <c r="Y454" i="2"/>
  <c r="K107" i="4"/>
  <c r="K65" i="4"/>
  <c r="L878" i="2"/>
  <c r="L969" i="2" s="1"/>
  <c r="K174" i="4"/>
  <c r="K1318" i="2"/>
  <c r="S1014" i="2"/>
  <c r="U1013" i="2"/>
  <c r="U1014" i="2" s="1"/>
  <c r="T4" i="4"/>
  <c r="T25" i="4"/>
  <c r="T4" i="2"/>
  <c r="T55" i="10"/>
  <c r="T1056" i="2"/>
  <c r="T4" i="5"/>
  <c r="T159" i="4"/>
  <c r="T140" i="2"/>
  <c r="T102" i="10"/>
  <c r="T14" i="1"/>
  <c r="T317" i="4"/>
  <c r="T1000" i="2"/>
  <c r="T1" i="10"/>
  <c r="T638" i="2"/>
  <c r="T1" i="5"/>
  <c r="T124" i="4"/>
  <c r="T1189" i="2"/>
  <c r="T1142" i="2"/>
  <c r="T423" i="2"/>
  <c r="T408" i="4"/>
  <c r="T1096" i="2"/>
  <c r="T205" i="4"/>
  <c r="T1" i="1"/>
  <c r="T91" i="4"/>
  <c r="T366" i="4"/>
  <c r="T233" i="4"/>
  <c r="T1269" i="2"/>
  <c r="T284" i="2"/>
  <c r="T38" i="1"/>
  <c r="T69" i="4"/>
  <c r="T269" i="4"/>
  <c r="T1168" i="2"/>
  <c r="T90" i="10"/>
  <c r="T68" i="1"/>
  <c r="T1" i="4"/>
  <c r="T1" i="2"/>
  <c r="T570" i="2"/>
  <c r="T113" i="1"/>
  <c r="T14" i="4"/>
  <c r="S14" i="4"/>
  <c r="S25" i="4"/>
  <c r="S1142" i="2"/>
  <c r="S113" i="1"/>
  <c r="S1" i="2"/>
  <c r="S14" i="1"/>
  <c r="S124" i="4"/>
  <c r="S205" i="4"/>
  <c r="S4" i="2"/>
  <c r="S4" i="4"/>
  <c r="S1056" i="2"/>
  <c r="S1" i="1"/>
  <c r="S269" i="4"/>
  <c r="S408" i="4"/>
  <c r="S68" i="1"/>
  <c r="S317" i="4"/>
  <c r="S1" i="4"/>
  <c r="S570" i="2"/>
  <c r="S366" i="4"/>
  <c r="S423" i="2"/>
  <c r="S69" i="4"/>
  <c r="S159" i="4"/>
  <c r="S140" i="2"/>
  <c r="S102" i="10"/>
  <c r="S1096" i="2"/>
  <c r="S1269" i="2"/>
  <c r="S90" i="10"/>
  <c r="S1189" i="2"/>
  <c r="S1168" i="2"/>
  <c r="S1000" i="2"/>
  <c r="S638" i="2"/>
  <c r="S233" i="4"/>
  <c r="S1" i="10"/>
  <c r="S91" i="4"/>
  <c r="S284" i="2"/>
  <c r="S38" i="1"/>
  <c r="S1" i="5"/>
  <c r="S55" i="10"/>
  <c r="S4" i="5"/>
  <c r="U962" i="2"/>
  <c r="U219" i="4"/>
  <c r="T220" i="4"/>
  <c r="U27" i="1"/>
  <c r="V26" i="1"/>
  <c r="W1029" i="2" s="1"/>
  <c r="U29" i="1"/>
  <c r="U28" i="1"/>
  <c r="Y320" i="2"/>
  <c r="Y380" i="2"/>
  <c r="Y311" i="2"/>
  <c r="Y368" i="2"/>
  <c r="Y359" i="2"/>
  <c r="L982" i="2"/>
  <c r="L936" i="2"/>
  <c r="L612" i="2"/>
  <c r="L609" i="2" s="1"/>
  <c r="L631" i="2" s="1"/>
  <c r="Y259" i="2"/>
  <c r="Y235" i="2"/>
  <c r="L881" i="2"/>
  <c r="L972" i="2" s="1"/>
  <c r="J1314" i="2"/>
  <c r="J1315" i="2" s="1"/>
  <c r="J495" i="4"/>
  <c r="J103" i="4"/>
  <c r="K954" i="2"/>
  <c r="L766" i="2"/>
  <c r="K958" i="2"/>
  <c r="L770" i="2"/>
  <c r="T801" i="2"/>
  <c r="U952" i="2"/>
  <c r="T956" i="2"/>
  <c r="U951" i="2"/>
  <c r="V840" i="2"/>
  <c r="V841" i="2"/>
  <c r="V852" i="2"/>
  <c r="V842" i="2"/>
  <c r="V846" i="2"/>
  <c r="V837" i="2" s="1"/>
  <c r="V78" i="4" s="1"/>
  <c r="S299" i="7" s="1"/>
  <c r="U848" i="2"/>
  <c r="U849" i="2" s="1"/>
  <c r="U847" i="2"/>
  <c r="U843" i="2" s="1"/>
  <c r="U844" i="2"/>
  <c r="U845" i="2" s="1"/>
  <c r="W831" i="2"/>
  <c r="W834" i="2"/>
  <c r="T765" i="2"/>
  <c r="V814" i="2"/>
  <c r="V815" i="2"/>
  <c r="V826" i="2"/>
  <c r="V816" i="2"/>
  <c r="V820" i="2"/>
  <c r="V811" i="2" s="1"/>
  <c r="V77" i="4" s="1"/>
  <c r="S298" i="7" s="1"/>
  <c r="U759" i="2"/>
  <c r="U75" i="4" s="1"/>
  <c r="R296" i="7" s="1"/>
  <c r="U822" i="2"/>
  <c r="U823" i="2" s="1"/>
  <c r="U821" i="2"/>
  <c r="U817" i="2" s="1"/>
  <c r="U818" i="2"/>
  <c r="U819" i="2" s="1"/>
  <c r="W805" i="2"/>
  <c r="W808" i="2"/>
  <c r="V788" i="2"/>
  <c r="V789" i="2"/>
  <c r="V800" i="2"/>
  <c r="V790" i="2"/>
  <c r="V794" i="2"/>
  <c r="V785" i="2" s="1"/>
  <c r="V76" i="4" s="1"/>
  <c r="S297" i="7" s="1"/>
  <c r="W779" i="2"/>
  <c r="W782" i="2"/>
  <c r="U796" i="2"/>
  <c r="U797" i="2" s="1"/>
  <c r="U795" i="2"/>
  <c r="U791" i="2" s="1"/>
  <c r="U792" i="2"/>
  <c r="U793" i="2" s="1"/>
  <c r="S384" i="2"/>
  <c r="S46" i="4" s="1"/>
  <c r="U769" i="2"/>
  <c r="V762" i="2"/>
  <c r="V763" i="2"/>
  <c r="W753" i="2"/>
  <c r="W756" i="2"/>
  <c r="V774" i="2"/>
  <c r="V764" i="2"/>
  <c r="V768" i="2"/>
  <c r="R34" i="4"/>
  <c r="S315" i="2"/>
  <c r="S35" i="4" s="1"/>
  <c r="T627" i="2"/>
  <c r="T626" i="2" s="1"/>
  <c r="T184" i="4" s="1"/>
  <c r="T1299" i="2"/>
  <c r="S51" i="2"/>
  <c r="Q574" i="2"/>
  <c r="Q575" i="2" s="1"/>
  <c r="U746" i="2"/>
  <c r="T64" i="2"/>
  <c r="W61" i="2"/>
  <c r="W47" i="2"/>
  <c r="W58" i="2"/>
  <c r="S52" i="2"/>
  <c r="R484" i="4"/>
  <c r="O1248" i="2"/>
  <c r="R414" i="2"/>
  <c r="R617" i="2" s="1"/>
  <c r="R618" i="2" s="1"/>
  <c r="R619" i="2" s="1"/>
  <c r="R457" i="4"/>
  <c r="U379" i="2"/>
  <c r="R93" i="4"/>
  <c r="R409" i="2"/>
  <c r="R413" i="2"/>
  <c r="R1321" i="2" s="1"/>
  <c r="S412" i="2"/>
  <c r="S484" i="4" s="1"/>
  <c r="S402" i="2"/>
  <c r="U358" i="2"/>
  <c r="R431" i="4"/>
  <c r="U319" i="2"/>
  <c r="V742" i="2"/>
  <c r="V944" i="2" s="1"/>
  <c r="P48" i="4"/>
  <c r="P238" i="4" s="1"/>
  <c r="Q97" i="4"/>
  <c r="P1253" i="2"/>
  <c r="P192" i="4" s="1"/>
  <c r="O276" i="4"/>
  <c r="O212" i="4"/>
  <c r="N1259" i="2"/>
  <c r="N112" i="4" s="1"/>
  <c r="N192" i="4"/>
  <c r="N1248" i="2"/>
  <c r="O1259" i="2"/>
  <c r="O195" i="4"/>
  <c r="O208" i="4"/>
  <c r="O222" i="4"/>
  <c r="R1257" i="2"/>
  <c r="S1242" i="2"/>
  <c r="Q1233" i="2"/>
  <c r="P1252" i="2"/>
  <c r="P130" i="4" s="1"/>
  <c r="W1235" i="2"/>
  <c r="V741" i="2"/>
  <c r="V744" i="2" s="1"/>
  <c r="V946" i="2" s="1"/>
  <c r="W737" i="2"/>
  <c r="W743" i="2" s="1"/>
  <c r="W945" i="2" s="1"/>
  <c r="U963" i="2"/>
  <c r="U139" i="4" s="1"/>
  <c r="V915" i="2"/>
  <c r="V909" i="2"/>
  <c r="V899" i="2" s="1"/>
  <c r="V82" i="4" s="1"/>
  <c r="S303" i="7" s="1"/>
  <c r="W896" i="2"/>
  <c r="W890" i="2"/>
  <c r="T934" i="2"/>
  <c r="T941" i="2" s="1"/>
  <c r="T985" i="2"/>
  <c r="U928" i="2"/>
  <c r="U85" i="4" s="1"/>
  <c r="R306" i="7" s="1"/>
  <c r="U984" i="2"/>
  <c r="U978" i="2" s="1"/>
  <c r="V902" i="2"/>
  <c r="V905" i="2"/>
  <c r="V904" i="2"/>
  <c r="U911" i="2"/>
  <c r="U912" i="2" s="1"/>
  <c r="U910" i="2"/>
  <c r="U906" i="2" s="1"/>
  <c r="U907" i="2"/>
  <c r="U908" i="2" s="1"/>
  <c r="U938" i="2"/>
  <c r="V940" i="2"/>
  <c r="V988" i="2" s="1"/>
  <c r="V933" i="2"/>
  <c r="V981" i="2" s="1"/>
  <c r="V937" i="2"/>
  <c r="V931" i="2"/>
  <c r="V932" i="2"/>
  <c r="V980" i="2" s="1"/>
  <c r="W923" i="2"/>
  <c r="W925" i="2"/>
  <c r="V439" i="2"/>
  <c r="V440" i="2" s="1"/>
  <c r="V445" i="2" s="1"/>
  <c r="O205" i="2"/>
  <c r="U869" i="2"/>
  <c r="U81" i="4" s="1"/>
  <c r="R302" i="7" s="1"/>
  <c r="T876" i="2"/>
  <c r="T886" i="2" s="1"/>
  <c r="V885" i="2"/>
  <c r="V879" i="2"/>
  <c r="V872" i="2"/>
  <c r="V874" i="2"/>
  <c r="V875" i="2"/>
  <c r="U880" i="2"/>
  <c r="W866" i="2"/>
  <c r="W860" i="2"/>
  <c r="P217" i="2"/>
  <c r="O208" i="2" s="1"/>
  <c r="N208" i="2"/>
  <c r="N210" i="2" s="1"/>
  <c r="Q204" i="2"/>
  <c r="Q28" i="4" s="1"/>
  <c r="P28" i="4"/>
  <c r="V318" i="2"/>
  <c r="R202" i="2"/>
  <c r="R276" i="2" s="1"/>
  <c r="R592" i="2" s="1"/>
  <c r="R519" i="2"/>
  <c r="Q61" i="4"/>
  <c r="Q60" i="4" s="1"/>
  <c r="Q102" i="4" s="1"/>
  <c r="Q553" i="2"/>
  <c r="Q565" i="2" s="1"/>
  <c r="Q524" i="2"/>
  <c r="Q554" i="2" s="1"/>
  <c r="Q1302" i="2" s="1"/>
  <c r="P552" i="2"/>
  <c r="P566" i="2" s="1"/>
  <c r="P560" i="2"/>
  <c r="P559" i="2"/>
  <c r="O562" i="2"/>
  <c r="O564" i="2" s="1"/>
  <c r="N254" i="2"/>
  <c r="N278" i="2" s="1"/>
  <c r="N604" i="2" s="1"/>
  <c r="N269" i="2"/>
  <c r="N1301" i="2" s="1"/>
  <c r="R533" i="2"/>
  <c r="R478" i="2"/>
  <c r="R528" i="2" s="1"/>
  <c r="R53" i="4"/>
  <c r="Q526" i="2"/>
  <c r="N253" i="2"/>
  <c r="N272" i="2" s="1"/>
  <c r="N607" i="2" s="1"/>
  <c r="P536" i="2"/>
  <c r="P538" i="2" s="1"/>
  <c r="Q534" i="2"/>
  <c r="L258" i="2"/>
  <c r="L273" i="2" s="1"/>
  <c r="L127" i="4" s="1"/>
  <c r="M258" i="2"/>
  <c r="M273" i="2" s="1"/>
  <c r="M127" i="4" s="1"/>
  <c r="V378" i="2"/>
  <c r="N432" i="4"/>
  <c r="V357" i="2"/>
  <c r="N486" i="4"/>
  <c r="M270" i="2"/>
  <c r="M1301" i="2"/>
  <c r="P252" i="2"/>
  <c r="P30" i="4" s="1"/>
  <c r="M606" i="2"/>
  <c r="P241" i="2"/>
  <c r="O232" i="2" s="1"/>
  <c r="O234" i="2" s="1"/>
  <c r="N262" i="4"/>
  <c r="O262" i="4"/>
  <c r="P275" i="2"/>
  <c r="P586" i="2" s="1"/>
  <c r="P587" i="2" s="1"/>
  <c r="S219" i="2"/>
  <c r="S221" i="2" s="1"/>
  <c r="S243" i="2"/>
  <c r="M602" i="2"/>
  <c r="M183" i="4" s="1"/>
  <c r="L602" i="2"/>
  <c r="L183" i="4" s="1"/>
  <c r="R245" i="2"/>
  <c r="M279" i="2"/>
  <c r="M611" i="2" s="1"/>
  <c r="M612" i="2" s="1"/>
  <c r="M609" i="2" s="1"/>
  <c r="M631" i="2" s="1"/>
  <c r="Q248" i="2"/>
  <c r="Q277" i="2" s="1"/>
  <c r="Q246" i="2"/>
  <c r="Q275" i="2" s="1"/>
  <c r="Q586" i="2" s="1"/>
  <c r="O30" i="4"/>
  <c r="O27" i="4" s="1"/>
  <c r="O265" i="2"/>
  <c r="O264" i="2"/>
  <c r="O274" i="2" s="1"/>
  <c r="O1292" i="2" s="1"/>
  <c r="O486" i="4" s="1"/>
  <c r="N234" i="2"/>
  <c r="Q268" i="2"/>
  <c r="Q95" i="4" s="1"/>
  <c r="Q237" i="4" s="1"/>
  <c r="V366" i="2"/>
  <c r="P240" i="2"/>
  <c r="Q228" i="2"/>
  <c r="Q241" i="2" s="1"/>
  <c r="P232" i="2" s="1"/>
  <c r="R224" i="2"/>
  <c r="R222" i="2"/>
  <c r="W262" i="2"/>
  <c r="W260" i="2"/>
  <c r="W244" i="2"/>
  <c r="W250" i="2"/>
  <c r="W238" i="2"/>
  <c r="W236" i="2"/>
  <c r="W220" i="2"/>
  <c r="W226" i="2"/>
  <c r="U488" i="2"/>
  <c r="U54" i="4"/>
  <c r="W486" i="2"/>
  <c r="W482" i="2"/>
  <c r="W485" i="2"/>
  <c r="W476" i="2"/>
  <c r="W472" i="2"/>
  <c r="W475" i="2"/>
  <c r="U468" i="2"/>
  <c r="U52" i="4"/>
  <c r="V463" i="2"/>
  <c r="W466" i="2"/>
  <c r="W462" i="2"/>
  <c r="W465" i="2"/>
  <c r="T708" i="2"/>
  <c r="W522" i="2"/>
  <c r="W518" i="2"/>
  <c r="W521" i="2"/>
  <c r="V309" i="2"/>
  <c r="V69" i="2"/>
  <c r="U458" i="2"/>
  <c r="U51" i="4"/>
  <c r="T83" i="2"/>
  <c r="T84" i="2" s="1"/>
  <c r="S529" i="2"/>
  <c r="W456" i="2"/>
  <c r="W452" i="2"/>
  <c r="W455" i="2"/>
  <c r="V453" i="2"/>
  <c r="U70" i="2"/>
  <c r="T678" i="2"/>
  <c r="T402" i="2"/>
  <c r="T409" i="2" s="1"/>
  <c r="T194" i="2"/>
  <c r="T384" i="2"/>
  <c r="T46" i="4" s="1"/>
  <c r="T45" i="4" s="1"/>
  <c r="T123" i="2"/>
  <c r="T124" i="2" s="1"/>
  <c r="Q419" i="2"/>
  <c r="Q1323" i="2" s="1"/>
  <c r="Q437" i="4" s="1"/>
  <c r="U195" i="2"/>
  <c r="U197" i="2" s="1"/>
  <c r="U110" i="2"/>
  <c r="U10" i="4" s="1"/>
  <c r="V109" i="2"/>
  <c r="S92" i="2"/>
  <c r="Q397" i="2"/>
  <c r="P598" i="2"/>
  <c r="P401" i="2"/>
  <c r="N596" i="2"/>
  <c r="N164" i="4" s="1"/>
  <c r="N600" i="2"/>
  <c r="O599" i="2"/>
  <c r="O600" i="2" s="1"/>
  <c r="W321" i="2"/>
  <c r="W317" i="2"/>
  <c r="R485" i="4"/>
  <c r="T315" i="2"/>
  <c r="T35" i="4" s="1"/>
  <c r="T34" i="4" s="1"/>
  <c r="R458" i="4"/>
  <c r="V89" i="2"/>
  <c r="W312" i="2"/>
  <c r="W308" i="2"/>
  <c r="W381" i="2"/>
  <c r="W377" i="2"/>
  <c r="U371" i="2"/>
  <c r="U372" i="2" s="1"/>
  <c r="U43" i="4" s="1"/>
  <c r="W369" i="2"/>
  <c r="W365" i="2"/>
  <c r="T103" i="2"/>
  <c r="T104" i="2" s="1"/>
  <c r="T91" i="2" s="1"/>
  <c r="U90" i="2"/>
  <c r="T363" i="2"/>
  <c r="T42" i="4" s="1"/>
  <c r="T41" i="4" s="1"/>
  <c r="W360" i="2"/>
  <c r="W356" i="2"/>
  <c r="T730" i="2"/>
  <c r="Y117" i="2"/>
  <c r="Y97" i="2"/>
  <c r="X57" i="10"/>
  <c r="X62" i="10"/>
  <c r="P260" i="4"/>
  <c r="O260" i="4"/>
  <c r="S1200" i="2"/>
  <c r="T1199" i="2" s="1"/>
  <c r="S1117" i="2"/>
  <c r="S164" i="2"/>
  <c r="S112" i="2"/>
  <c r="W108" i="2"/>
  <c r="W121" i="2"/>
  <c r="W118" i="2"/>
  <c r="R1106" i="2"/>
  <c r="R1107" i="2" s="1"/>
  <c r="S1106" i="2" s="1"/>
  <c r="W101" i="2"/>
  <c r="W98" i="2"/>
  <c r="W88" i="2"/>
  <c r="S190" i="2"/>
  <c r="S178" i="2" s="1"/>
  <c r="P437" i="4"/>
  <c r="P464" i="4"/>
  <c r="S72" i="2"/>
  <c r="T549" i="2"/>
  <c r="Q615" i="2"/>
  <c r="Q186" i="4" s="1"/>
  <c r="T164" i="2"/>
  <c r="R144" i="4"/>
  <c r="R1264" i="2" s="1"/>
  <c r="T177" i="2"/>
  <c r="T190" i="2" s="1"/>
  <c r="S181" i="2" s="1"/>
  <c r="S30" i="2"/>
  <c r="T30" i="2" s="1"/>
  <c r="U10" i="2"/>
  <c r="R158" i="2"/>
  <c r="S153" i="2"/>
  <c r="T154" i="2"/>
  <c r="S156" i="2"/>
  <c r="N79" i="10"/>
  <c r="AC86" i="1"/>
  <c r="U440" i="4"/>
  <c r="U502" i="4"/>
  <c r="U467" i="4"/>
  <c r="V1038" i="2"/>
  <c r="V1039" i="2"/>
  <c r="V707" i="2"/>
  <c r="V701" i="2"/>
  <c r="V691" i="2" s="1"/>
  <c r="V9" i="2"/>
  <c r="V145" i="2"/>
  <c r="V677" i="2"/>
  <c r="V667" i="2"/>
  <c r="V671" i="2"/>
  <c r="V662" i="2" s="1"/>
  <c r="W347" i="4"/>
  <c r="W199" i="4"/>
  <c r="W189" i="4"/>
  <c r="W384" i="4"/>
  <c r="W321" i="4"/>
  <c r="W412" i="4"/>
  <c r="W342" i="4"/>
  <c r="W298" i="4"/>
  <c r="W332" i="4"/>
  <c r="W293" i="4"/>
  <c r="W169" i="4"/>
  <c r="W283" i="4"/>
  <c r="W389" i="4"/>
  <c r="W370" i="4"/>
  <c r="W273" i="4"/>
  <c r="W194" i="4"/>
  <c r="W178" i="4"/>
  <c r="AD113" i="10"/>
  <c r="Y430" i="2"/>
  <c r="Y441" i="2"/>
  <c r="W136" i="10"/>
  <c r="W188" i="4" s="1"/>
  <c r="W93" i="10"/>
  <c r="W168" i="4" s="1"/>
  <c r="W135" i="10"/>
  <c r="W133" i="10"/>
  <c r="W65" i="10"/>
  <c r="W97" i="10"/>
  <c r="W176" i="4" s="1"/>
  <c r="W70" i="10"/>
  <c r="W71" i="10" s="1"/>
  <c r="W72" i="10" s="1"/>
  <c r="S399" i="2"/>
  <c r="U41" i="2"/>
  <c r="U42" i="2" s="1"/>
  <c r="Y35" i="2"/>
  <c r="Y16" i="2"/>
  <c r="Y77" i="2"/>
  <c r="W1281" i="2"/>
  <c r="W1272" i="2"/>
  <c r="W1032" i="2"/>
  <c r="W1031" i="2" s="1"/>
  <c r="W659" i="2"/>
  <c r="W628" i="2"/>
  <c r="W629" i="2" s="1"/>
  <c r="W555" i="2"/>
  <c r="W544" i="2"/>
  <c r="W443" i="2"/>
  <c r="W407" i="2"/>
  <c r="W214" i="2"/>
  <c r="W160" i="2"/>
  <c r="W1017" i="2"/>
  <c r="W656" i="2"/>
  <c r="W643" i="2"/>
  <c r="W542" i="2"/>
  <c r="W531" i="2"/>
  <c r="W442" i="2"/>
  <c r="W432" i="2"/>
  <c r="W405" i="2"/>
  <c r="W168" i="2"/>
  <c r="W167" i="2" s="1"/>
  <c r="W1335" i="2"/>
  <c r="W1279" i="2"/>
  <c r="W1220" i="2"/>
  <c r="W1221" i="2" s="1"/>
  <c r="W1136" i="2"/>
  <c r="W714" i="2"/>
  <c r="W431" i="2"/>
  <c r="W391" i="2"/>
  <c r="W300" i="2"/>
  <c r="W291" i="2"/>
  <c r="W212" i="2"/>
  <c r="W1275" i="2"/>
  <c r="W1201" i="2"/>
  <c r="W1202" i="2" s="1"/>
  <c r="W1150" i="2"/>
  <c r="W1151" i="2" s="1"/>
  <c r="W1026" i="2"/>
  <c r="W688" i="2"/>
  <c r="W438" i="2"/>
  <c r="W437" i="2" s="1"/>
  <c r="W428" i="2"/>
  <c r="W288" i="2"/>
  <c r="W185" i="2"/>
  <c r="W19" i="2"/>
  <c r="W1273" i="2"/>
  <c r="W1146" i="2"/>
  <c r="W1147" i="2" s="1"/>
  <c r="W1028" i="2"/>
  <c r="W143" i="2"/>
  <c r="W81" i="2"/>
  <c r="W682" i="2"/>
  <c r="W162" i="2"/>
  <c r="W39" i="2"/>
  <c r="W1178" i="2"/>
  <c r="W197" i="4" s="1"/>
  <c r="W557" i="2"/>
  <c r="W427" i="2"/>
  <c r="W78" i="2"/>
  <c r="W1033" i="2"/>
  <c r="W712" i="2"/>
  <c r="W296" i="2"/>
  <c r="W187" i="2"/>
  <c r="W8" i="2"/>
  <c r="W389" i="2"/>
  <c r="W17" i="2"/>
  <c r="W144" i="2"/>
  <c r="W623" i="2"/>
  <c r="W624" i="2" s="1"/>
  <c r="W1108" i="2"/>
  <c r="W1109" i="2" s="1"/>
  <c r="W1037" i="2"/>
  <c r="W26" i="2"/>
  <c r="W25" i="2" s="1"/>
  <c r="W1278" i="2"/>
  <c r="W287" i="2"/>
  <c r="W36" i="2"/>
  <c r="W1012" i="2"/>
  <c r="W1011" i="2" s="1"/>
  <c r="W7" i="2"/>
  <c r="W175" i="2"/>
  <c r="W150" i="2"/>
  <c r="W1208" i="2"/>
  <c r="W1209" i="2" s="1"/>
  <c r="S539" i="2"/>
  <c r="AD75" i="10"/>
  <c r="V1274" i="2"/>
  <c r="V1276" i="2" s="1"/>
  <c r="V429" i="2"/>
  <c r="V434" i="2" s="1"/>
  <c r="S71" i="2"/>
  <c r="S10" i="2"/>
  <c r="R1310" i="2"/>
  <c r="R131" i="2"/>
  <c r="AC61" i="1"/>
  <c r="AD60" i="1"/>
  <c r="Y1063" i="2"/>
  <c r="Y1062" i="2" s="1"/>
  <c r="X1061" i="2"/>
  <c r="Q277" i="4"/>
  <c r="Q324" i="4"/>
  <c r="Q374" i="4"/>
  <c r="Q1184" i="2"/>
  <c r="Q1264" i="2"/>
  <c r="S138" i="4"/>
  <c r="S990" i="2"/>
  <c r="T991" i="2"/>
  <c r="T949" i="2"/>
  <c r="P590" i="2"/>
  <c r="S11" i="2"/>
  <c r="T11" i="2" s="1"/>
  <c r="U11" i="2" s="1"/>
  <c r="AE82" i="10"/>
  <c r="U727" i="2"/>
  <c r="U723" i="2" s="1"/>
  <c r="U724" i="2"/>
  <c r="U725" i="2" s="1"/>
  <c r="V729" i="2"/>
  <c r="V722" i="2"/>
  <c r="V726" i="2"/>
  <c r="V717" i="2" s="1"/>
  <c r="V720" i="2"/>
  <c r="V721" i="2"/>
  <c r="V665" i="2"/>
  <c r="V666" i="2"/>
  <c r="X1091" i="2"/>
  <c r="X1090" i="2" s="1"/>
  <c r="W1092" i="2"/>
  <c r="S198" i="2"/>
  <c r="S200" i="2"/>
  <c r="Z341" i="4"/>
  <c r="Z383" i="4"/>
  <c r="Z292" i="4"/>
  <c r="Z47" i="1"/>
  <c r="Z57" i="2" s="1"/>
  <c r="Z49" i="1"/>
  <c r="Z50" i="1"/>
  <c r="Z48" i="1"/>
  <c r="AA43" i="1"/>
  <c r="X2" i="5"/>
  <c r="X2" i="4"/>
  <c r="X2" i="2"/>
  <c r="X2" i="10"/>
  <c r="X2" i="1"/>
  <c r="Y25" i="1"/>
  <c r="T19" i="4"/>
  <c r="T18" i="4" s="1"/>
  <c r="T196" i="2"/>
  <c r="R393" i="2"/>
  <c r="R410" i="2"/>
  <c r="U546" i="2"/>
  <c r="T177" i="4"/>
  <c r="V694" i="2"/>
  <c r="V696" i="2"/>
  <c r="V697" i="2"/>
  <c r="V289" i="2"/>
  <c r="X87" i="1"/>
  <c r="W91" i="1"/>
  <c r="P98" i="4"/>
  <c r="AD68" i="10"/>
  <c r="U652" i="2"/>
  <c r="U672" i="2"/>
  <c r="U668" i="2" s="1"/>
  <c r="U673" i="2"/>
  <c r="U674" i="2" s="1"/>
  <c r="U669" i="2"/>
  <c r="U670" i="2" s="1"/>
  <c r="Y290" i="2"/>
  <c r="Y299" i="2"/>
  <c r="S547" i="2"/>
  <c r="Y1083" i="2"/>
  <c r="Y1082" i="2" s="1"/>
  <c r="X1084" i="2"/>
  <c r="AC55" i="1"/>
  <c r="AD54" i="1"/>
  <c r="V172" i="4"/>
  <c r="U173" i="2"/>
  <c r="U171" i="2"/>
  <c r="S1307" i="2"/>
  <c r="T29" i="2"/>
  <c r="S154" i="2"/>
  <c r="T1119" i="2"/>
  <c r="U1118" i="2" s="1"/>
  <c r="U302" i="2"/>
  <c r="U303" i="2" s="1"/>
  <c r="T110" i="10"/>
  <c r="U109" i="10" s="1"/>
  <c r="U702" i="2"/>
  <c r="U698" i="2" s="1"/>
  <c r="U703" i="2"/>
  <c r="U704" i="2" s="1"/>
  <c r="U699" i="2"/>
  <c r="U700" i="2" s="1"/>
  <c r="X80" i="1"/>
  <c r="Y81" i="1"/>
  <c r="W146" i="1"/>
  <c r="W59" i="1"/>
  <c r="W120" i="1"/>
  <c r="W45" i="1"/>
  <c r="W44" i="1"/>
  <c r="W123" i="1"/>
  <c r="W140" i="1"/>
  <c r="W131" i="1"/>
  <c r="W53" i="1"/>
  <c r="U146" i="2"/>
  <c r="U148" i="2"/>
  <c r="Y184" i="2"/>
  <c r="Y159" i="2"/>
  <c r="Y211" i="2"/>
  <c r="R549" i="2"/>
  <c r="R551" i="2" s="1"/>
  <c r="Q593" i="2"/>
  <c r="Q590" i="2" s="1"/>
  <c r="Q165" i="4" s="1"/>
  <c r="T539" i="2"/>
  <c r="T546" i="2"/>
  <c r="S549" i="2"/>
  <c r="T547" i="2"/>
  <c r="T963" i="2"/>
  <c r="T139" i="4" s="1"/>
  <c r="T412" i="2"/>
  <c r="V1280" i="2"/>
  <c r="V1282" i="2" s="1"/>
  <c r="V647" i="2"/>
  <c r="V650" i="2" s="1"/>
  <c r="V648" i="2"/>
  <c r="V649" i="2"/>
  <c r="AD106" i="10"/>
  <c r="P85" i="10"/>
  <c r="U293" i="2"/>
  <c r="U294" i="2" s="1"/>
  <c r="U971" i="2" l="1"/>
  <c r="D120" i="7"/>
  <c r="V379" i="2"/>
  <c r="V403" i="2" s="1"/>
  <c r="D158" i="7"/>
  <c r="D112" i="7"/>
  <c r="D101" i="7"/>
  <c r="U314" i="2"/>
  <c r="U315" i="2" s="1"/>
  <c r="U35" i="4" s="1"/>
  <c r="D108" i="7"/>
  <c r="D77" i="7"/>
  <c r="U395" i="2"/>
  <c r="V319" i="2"/>
  <c r="V323" i="2" s="1"/>
  <c r="V324" i="2" s="1"/>
  <c r="V36" i="4" s="1"/>
  <c r="S41" i="4"/>
  <c r="U7" i="4"/>
  <c r="U387" i="2"/>
  <c r="V508" i="2"/>
  <c r="W503" i="2"/>
  <c r="X506" i="2"/>
  <c r="X502" i="2"/>
  <c r="X505" i="2"/>
  <c r="X501" i="2"/>
  <c r="V498" i="2"/>
  <c r="V55" i="4"/>
  <c r="W27" i="2"/>
  <c r="W28" i="2" s="1"/>
  <c r="W493" i="2"/>
  <c r="V977" i="2"/>
  <c r="X496" i="2"/>
  <c r="X492" i="2"/>
  <c r="X495" i="2"/>
  <c r="X491" i="2"/>
  <c r="V967" i="2"/>
  <c r="V966" i="2"/>
  <c r="V970" i="2"/>
  <c r="T996" i="2"/>
  <c r="W411" i="2"/>
  <c r="U916" i="2"/>
  <c r="V350" i="2"/>
  <c r="V351" i="2" s="1"/>
  <c r="V39" i="4" s="1"/>
  <c r="X348" i="2"/>
  <c r="X345" i="2" s="1"/>
  <c r="X344" i="2"/>
  <c r="U827" i="2"/>
  <c r="W346" i="2"/>
  <c r="V341" i="2"/>
  <c r="V342" i="2" s="1"/>
  <c r="V38" i="4" s="1"/>
  <c r="Q1218" i="2"/>
  <c r="Q1219" i="2" s="1"/>
  <c r="Q1217" i="2" s="1"/>
  <c r="W337" i="2"/>
  <c r="X339" i="2"/>
  <c r="X336" i="2" s="1"/>
  <c r="X335" i="2"/>
  <c r="X68" i="2"/>
  <c r="X330" i="2"/>
  <c r="X327" i="2" s="1"/>
  <c r="X326" i="2"/>
  <c r="W328" i="2"/>
  <c r="W1120" i="2"/>
  <c r="W1121" i="2" s="1"/>
  <c r="V332" i="2"/>
  <c r="V333" i="2" s="1"/>
  <c r="V37" i="4" s="1"/>
  <c r="V50" i="2"/>
  <c r="V7" i="4" s="1"/>
  <c r="U9" i="4"/>
  <c r="U63" i="2"/>
  <c r="U64" i="2" s="1"/>
  <c r="U8" i="4"/>
  <c r="W49" i="2"/>
  <c r="W50" i="2" s="1"/>
  <c r="O112" i="4"/>
  <c r="O241" i="4" s="1"/>
  <c r="V310" i="2"/>
  <c r="N241" i="4"/>
  <c r="G1332" i="2"/>
  <c r="G1336" i="2"/>
  <c r="R133" i="2"/>
  <c r="R574" i="2" s="1"/>
  <c r="R575" i="2" s="1"/>
  <c r="R576" i="2" s="1"/>
  <c r="W107" i="2"/>
  <c r="W87" i="2"/>
  <c r="W169" i="2"/>
  <c r="W170" i="2" s="1"/>
  <c r="S133" i="2"/>
  <c r="S574" i="2" s="1"/>
  <c r="T129" i="2"/>
  <c r="U128" i="2"/>
  <c r="T130" i="2"/>
  <c r="T1291" i="2" s="1"/>
  <c r="T517" i="2"/>
  <c r="T473" i="2"/>
  <c r="T527" i="2" s="1"/>
  <c r="W297" i="2"/>
  <c r="W298" i="2" s="1"/>
  <c r="W302" i="2" s="1"/>
  <c r="W303" i="2" s="1"/>
  <c r="W67" i="2"/>
  <c r="R100" i="4"/>
  <c r="V481" i="2"/>
  <c r="V483" i="2" s="1"/>
  <c r="V54" i="4" s="1"/>
  <c r="U853" i="2"/>
  <c r="P775" i="2"/>
  <c r="P995" i="2" s="1"/>
  <c r="S34" i="4"/>
  <c r="I115" i="4"/>
  <c r="S45" i="4"/>
  <c r="R96" i="4"/>
  <c r="J104" i="4"/>
  <c r="V358" i="2"/>
  <c r="U801" i="2"/>
  <c r="K163" i="4"/>
  <c r="V962" i="2"/>
  <c r="V142" i="4" s="1"/>
  <c r="Q117" i="10"/>
  <c r="R116" i="10" s="1"/>
  <c r="R117" i="10" s="1"/>
  <c r="S116" i="10" s="1"/>
  <c r="S117" i="10" s="1"/>
  <c r="Q115" i="10"/>
  <c r="R112" i="10" s="1"/>
  <c r="R115" i="10"/>
  <c r="S112" i="10" s="1"/>
  <c r="L613" i="2"/>
  <c r="L163" i="4"/>
  <c r="H1326" i="2"/>
  <c r="H493" i="4" s="1"/>
  <c r="H491" i="4"/>
  <c r="V955" i="2"/>
  <c r="L953" i="2"/>
  <c r="L63" i="4" s="1"/>
  <c r="L767" i="2"/>
  <c r="U220" i="4"/>
  <c r="V219" i="4"/>
  <c r="Z259" i="2"/>
  <c r="Z235" i="2"/>
  <c r="K173" i="4"/>
  <c r="K179" i="4" s="1"/>
  <c r="K1316" i="2"/>
  <c r="K1313" i="2" s="1"/>
  <c r="J494" i="4"/>
  <c r="J463" i="4"/>
  <c r="J436" i="4"/>
  <c r="Z320" i="2"/>
  <c r="Z380" i="2"/>
  <c r="Z311" i="2"/>
  <c r="Z368" i="2"/>
  <c r="Z359" i="2"/>
  <c r="N605" i="2"/>
  <c r="N606" i="2" s="1"/>
  <c r="Z520" i="2"/>
  <c r="Z484" i="2"/>
  <c r="Z474" i="2"/>
  <c r="Z464" i="2"/>
  <c r="Z454" i="2"/>
  <c r="L957" i="2"/>
  <c r="L771" i="2"/>
  <c r="L882" i="2"/>
  <c r="L973" i="2" s="1"/>
  <c r="L983" i="2"/>
  <c r="L175" i="4" s="1"/>
  <c r="M935" i="2"/>
  <c r="U34" i="1"/>
  <c r="V1013" i="2"/>
  <c r="V29" i="1"/>
  <c r="V27" i="1"/>
  <c r="W26" i="1"/>
  <c r="V28" i="1"/>
  <c r="M877" i="2"/>
  <c r="M968" i="2" s="1"/>
  <c r="V952" i="2"/>
  <c r="V951" i="2"/>
  <c r="U956" i="2"/>
  <c r="W852" i="2"/>
  <c r="W842" i="2"/>
  <c r="W846" i="2"/>
  <c r="W837" i="2" s="1"/>
  <c r="W78" i="4" s="1"/>
  <c r="T299" i="7" s="1"/>
  <c r="W840" i="2"/>
  <c r="W841" i="2"/>
  <c r="P1248" i="2"/>
  <c r="X834" i="2"/>
  <c r="X831" i="2"/>
  <c r="V847" i="2"/>
  <c r="V843" i="2" s="1"/>
  <c r="V848" i="2"/>
  <c r="V849" i="2" s="1"/>
  <c r="V844" i="2"/>
  <c r="V845" i="2" s="1"/>
  <c r="U765" i="2"/>
  <c r="V759" i="2"/>
  <c r="V75" i="4" s="1"/>
  <c r="S296" i="7" s="1"/>
  <c r="V822" i="2"/>
  <c r="V823" i="2" s="1"/>
  <c r="V821" i="2"/>
  <c r="V817" i="2" s="1"/>
  <c r="V818" i="2"/>
  <c r="V819" i="2" s="1"/>
  <c r="X808" i="2"/>
  <c r="X805" i="2"/>
  <c r="W826" i="2"/>
  <c r="W816" i="2"/>
  <c r="W820" i="2"/>
  <c r="W811" i="2" s="1"/>
  <c r="W77" i="4" s="1"/>
  <c r="T298" i="7" s="1"/>
  <c r="W814" i="2"/>
  <c r="W815" i="2"/>
  <c r="X782" i="2"/>
  <c r="X779" i="2"/>
  <c r="W800" i="2"/>
  <c r="W790" i="2"/>
  <c r="W794" i="2"/>
  <c r="W785" i="2" s="1"/>
  <c r="W76" i="4" s="1"/>
  <c r="T297" i="7" s="1"/>
  <c r="W788" i="2"/>
  <c r="W789" i="2"/>
  <c r="V795" i="2"/>
  <c r="V791" i="2" s="1"/>
  <c r="V796" i="2"/>
  <c r="V797" i="2" s="1"/>
  <c r="V792" i="2"/>
  <c r="V793" i="2" s="1"/>
  <c r="R32" i="4"/>
  <c r="V769" i="2"/>
  <c r="X756" i="2"/>
  <c r="X753" i="2"/>
  <c r="W774" i="2"/>
  <c r="W768" i="2"/>
  <c r="W764" i="2"/>
  <c r="W762" i="2"/>
  <c r="W763" i="2"/>
  <c r="U383" i="2"/>
  <c r="U404" i="2" s="1"/>
  <c r="U403" i="2"/>
  <c r="R418" i="2"/>
  <c r="R416" i="2"/>
  <c r="R1322" i="2" s="1"/>
  <c r="U627" i="2"/>
  <c r="U626" i="2" s="1"/>
  <c r="U184" i="4" s="1"/>
  <c r="R128" i="4"/>
  <c r="S414" i="2"/>
  <c r="S617" i="2" s="1"/>
  <c r="S618" i="2" s="1"/>
  <c r="S619" i="2" s="1"/>
  <c r="S430" i="4"/>
  <c r="Q572" i="2"/>
  <c r="Q162" i="4" s="1"/>
  <c r="Q260" i="4" s="1"/>
  <c r="Q576" i="2"/>
  <c r="X61" i="2"/>
  <c r="X58" i="2"/>
  <c r="X47" i="2"/>
  <c r="T51" i="2"/>
  <c r="T52" i="2"/>
  <c r="S409" i="2"/>
  <c r="V367" i="2"/>
  <c r="R236" i="4"/>
  <c r="S457" i="4"/>
  <c r="U323" i="2"/>
  <c r="U324" i="2" s="1"/>
  <c r="U36" i="4" s="1"/>
  <c r="U362" i="2"/>
  <c r="S393" i="2"/>
  <c r="S413" i="2"/>
  <c r="S1321" i="2" s="1"/>
  <c r="S93" i="4"/>
  <c r="S458" i="4"/>
  <c r="R50" i="4"/>
  <c r="S410" i="2"/>
  <c r="V746" i="2"/>
  <c r="Q48" i="4"/>
  <c r="Q238" i="4" s="1"/>
  <c r="T100" i="4"/>
  <c r="T96" i="4"/>
  <c r="T32" i="4"/>
  <c r="P27" i="4"/>
  <c r="N195" i="4"/>
  <c r="N208" i="4"/>
  <c r="N222" i="4"/>
  <c r="P212" i="4"/>
  <c r="P373" i="4"/>
  <c r="P276" i="4"/>
  <c r="P222" i="4"/>
  <c r="P208" i="4"/>
  <c r="P195" i="4"/>
  <c r="Q1251" i="2"/>
  <c r="Q108" i="4" s="1"/>
  <c r="Q1234" i="2"/>
  <c r="R1233" i="2" s="1"/>
  <c r="P1259" i="2"/>
  <c r="S1243" i="2"/>
  <c r="S1258" i="2"/>
  <c r="X1235" i="2"/>
  <c r="W742" i="2"/>
  <c r="W944" i="2" s="1"/>
  <c r="W741" i="2"/>
  <c r="W744" i="2" s="1"/>
  <c r="W946" i="2" s="1"/>
  <c r="W172" i="4" s="1"/>
  <c r="X737" i="2"/>
  <c r="X741" i="2" s="1"/>
  <c r="V963" i="2"/>
  <c r="V139" i="4" s="1"/>
  <c r="X896" i="2"/>
  <c r="X890" i="2"/>
  <c r="U934" i="2"/>
  <c r="U941" i="2" s="1"/>
  <c r="U985" i="2"/>
  <c r="W902" i="2"/>
  <c r="W904" i="2"/>
  <c r="W905" i="2"/>
  <c r="V910" i="2"/>
  <c r="V906" i="2" s="1"/>
  <c r="V911" i="2"/>
  <c r="V912" i="2" s="1"/>
  <c r="V907" i="2"/>
  <c r="V908" i="2" s="1"/>
  <c r="W915" i="2"/>
  <c r="W909" i="2"/>
  <c r="W899" i="2" s="1"/>
  <c r="W82" i="4" s="1"/>
  <c r="T303" i="7" s="1"/>
  <c r="V928" i="2"/>
  <c r="V85" i="4" s="1"/>
  <c r="S306" i="7" s="1"/>
  <c r="V984" i="2"/>
  <c r="V978" i="2" s="1"/>
  <c r="V140" i="4" s="1"/>
  <c r="W439" i="2"/>
  <c r="W440" i="2" s="1"/>
  <c r="W445" i="2" s="1"/>
  <c r="X925" i="2"/>
  <c r="X923" i="2"/>
  <c r="W940" i="2"/>
  <c r="W988" i="2" s="1"/>
  <c r="W933" i="2"/>
  <c r="W981" i="2" s="1"/>
  <c r="W937" i="2"/>
  <c r="W931" i="2"/>
  <c r="W932" i="2"/>
  <c r="W980" i="2" s="1"/>
  <c r="V938" i="2"/>
  <c r="V869" i="2"/>
  <c r="V81" i="4" s="1"/>
  <c r="S302" i="7" s="1"/>
  <c r="U876" i="2"/>
  <c r="U886" i="2" s="1"/>
  <c r="P206" i="2"/>
  <c r="W872" i="2"/>
  <c r="W874" i="2"/>
  <c r="W875" i="2"/>
  <c r="W885" i="2"/>
  <c r="W879" i="2"/>
  <c r="W970" i="2" s="1"/>
  <c r="X866" i="2"/>
  <c r="X860" i="2"/>
  <c r="V880" i="2"/>
  <c r="P205" i="2"/>
  <c r="Q216" i="2"/>
  <c r="Q217" i="2"/>
  <c r="P208" i="2" s="1"/>
  <c r="S202" i="2"/>
  <c r="S276" i="2" s="1"/>
  <c r="S592" i="2" s="1"/>
  <c r="N270" i="2"/>
  <c r="R204" i="2"/>
  <c r="R217" i="2" s="1"/>
  <c r="W318" i="2"/>
  <c r="U708" i="2"/>
  <c r="Q559" i="2"/>
  <c r="Q560" i="2"/>
  <c r="P562" i="2"/>
  <c r="P564" i="2" s="1"/>
  <c r="Q552" i="2"/>
  <c r="Q566" i="2" s="1"/>
  <c r="R524" i="2"/>
  <c r="R554" i="2" s="1"/>
  <c r="R1302" i="2" s="1"/>
  <c r="R61" i="4"/>
  <c r="R553" i="2"/>
  <c r="R565" i="2" s="1"/>
  <c r="S519" i="2"/>
  <c r="S478" i="2"/>
  <c r="S528" i="2" s="1"/>
  <c r="S533" i="2"/>
  <c r="S53" i="4"/>
  <c r="L280" i="2"/>
  <c r="Q536" i="2"/>
  <c r="Q538" i="2" s="1"/>
  <c r="R534" i="2"/>
  <c r="R526" i="2"/>
  <c r="W378" i="2"/>
  <c r="P229" i="2"/>
  <c r="W357" i="2"/>
  <c r="Q94" i="4"/>
  <c r="Q98" i="4" s="1"/>
  <c r="P271" i="2"/>
  <c r="P264" i="2"/>
  <c r="P274" i="2" s="1"/>
  <c r="P1292" i="2" s="1"/>
  <c r="P265" i="2"/>
  <c r="P253" i="2" s="1"/>
  <c r="W366" i="2"/>
  <c r="P230" i="2"/>
  <c r="P234" i="2" s="1"/>
  <c r="M163" i="4"/>
  <c r="M280" i="2"/>
  <c r="M613" i="2"/>
  <c r="P584" i="2"/>
  <c r="P166" i="4" s="1"/>
  <c r="P262" i="4" s="1"/>
  <c r="P588" i="2"/>
  <c r="T219" i="2"/>
  <c r="T221" i="2" s="1"/>
  <c r="T243" i="2"/>
  <c r="O459" i="4"/>
  <c r="O432" i="4"/>
  <c r="Q587" i="2"/>
  <c r="Q588" i="2" s="1"/>
  <c r="O253" i="2"/>
  <c r="O272" i="2" s="1"/>
  <c r="O607" i="2" s="1"/>
  <c r="O269" i="2"/>
  <c r="Q252" i="2"/>
  <c r="N256" i="2"/>
  <c r="O254" i="2"/>
  <c r="O278" i="2" s="1"/>
  <c r="O604" i="2" s="1"/>
  <c r="O605" i="2" s="1"/>
  <c r="R248" i="2"/>
  <c r="R277" i="2" s="1"/>
  <c r="R246" i="2"/>
  <c r="R268" i="2"/>
  <c r="R95" i="4" s="1"/>
  <c r="S245" i="2"/>
  <c r="S268" i="2" s="1"/>
  <c r="S95" i="4" s="1"/>
  <c r="Q29" i="4"/>
  <c r="Q240" i="2"/>
  <c r="R228" i="2"/>
  <c r="Q230" i="2"/>
  <c r="Q229" i="2"/>
  <c r="S224" i="2"/>
  <c r="S222" i="2"/>
  <c r="V70" i="2"/>
  <c r="V8" i="4" s="1"/>
  <c r="O210" i="2"/>
  <c r="X262" i="2"/>
  <c r="X260" i="2"/>
  <c r="X244" i="2"/>
  <c r="X250" i="2"/>
  <c r="X238" i="2"/>
  <c r="X236" i="2"/>
  <c r="X220" i="2"/>
  <c r="X226" i="2"/>
  <c r="X486" i="2"/>
  <c r="X482" i="2"/>
  <c r="X485" i="2"/>
  <c r="X476" i="2"/>
  <c r="X472" i="2"/>
  <c r="X475" i="2"/>
  <c r="W463" i="2"/>
  <c r="W52" i="4" s="1"/>
  <c r="V468" i="2"/>
  <c r="V52" i="4"/>
  <c r="W69" i="2"/>
  <c r="X466" i="2"/>
  <c r="X462" i="2"/>
  <c r="X465" i="2"/>
  <c r="U194" i="2"/>
  <c r="W309" i="2"/>
  <c r="W310" i="2" s="1"/>
  <c r="X522" i="2"/>
  <c r="X518" i="2"/>
  <c r="X521" i="2"/>
  <c r="T529" i="2"/>
  <c r="V458" i="2"/>
  <c r="V51" i="4"/>
  <c r="W453" i="2"/>
  <c r="U678" i="2"/>
  <c r="X456" i="2"/>
  <c r="X452" i="2"/>
  <c r="X455" i="2"/>
  <c r="U83" i="2"/>
  <c r="U84" i="2" s="1"/>
  <c r="Q496" i="4"/>
  <c r="Q464" i="4"/>
  <c r="W109" i="2"/>
  <c r="U123" i="2"/>
  <c r="U124" i="2" s="1"/>
  <c r="U111" i="2" s="1"/>
  <c r="V110" i="2"/>
  <c r="V195" i="2"/>
  <c r="V194" i="2" s="1"/>
  <c r="N261" i="4"/>
  <c r="P599" i="2"/>
  <c r="P600" i="2" s="1"/>
  <c r="R397" i="2"/>
  <c r="Q401" i="2"/>
  <c r="Q598" i="2"/>
  <c r="Q599" i="2" s="1"/>
  <c r="O596" i="2"/>
  <c r="O164" i="4" s="1"/>
  <c r="O261" i="4" s="1"/>
  <c r="X321" i="2"/>
  <c r="X317" i="2"/>
  <c r="W89" i="2"/>
  <c r="V90" i="2"/>
  <c r="V9" i="4" s="1"/>
  <c r="X312" i="2"/>
  <c r="X308" i="2"/>
  <c r="S431" i="4"/>
  <c r="S485" i="4"/>
  <c r="X381" i="2"/>
  <c r="X377" i="2"/>
  <c r="X369" i="2"/>
  <c r="X365" i="2"/>
  <c r="U730" i="2"/>
  <c r="U103" i="2"/>
  <c r="U104" i="2" s="1"/>
  <c r="T92" i="2"/>
  <c r="S1198" i="2"/>
  <c r="X360" i="2"/>
  <c r="X356" i="2"/>
  <c r="Z117" i="2"/>
  <c r="Z97" i="2"/>
  <c r="U142" i="4"/>
  <c r="Y57" i="10"/>
  <c r="Y62" i="10"/>
  <c r="T108" i="10"/>
  <c r="U105" i="10" s="1"/>
  <c r="T1200" i="2"/>
  <c r="U1199" i="2" s="1"/>
  <c r="U1299" i="2"/>
  <c r="T71" i="2"/>
  <c r="T112" i="2"/>
  <c r="T111" i="2"/>
  <c r="X108" i="2"/>
  <c r="X121" i="2"/>
  <c r="X118" i="2"/>
  <c r="T72" i="2"/>
  <c r="R324" i="4"/>
  <c r="R374" i="4"/>
  <c r="R181" i="2"/>
  <c r="R183" i="2" s="1"/>
  <c r="X88" i="2"/>
  <c r="X98" i="2"/>
  <c r="X101" i="2"/>
  <c r="R1105" i="2"/>
  <c r="S179" i="2"/>
  <c r="U539" i="2"/>
  <c r="U547" i="2"/>
  <c r="S158" i="2"/>
  <c r="W1274" i="2"/>
  <c r="W1276" i="2" s="1"/>
  <c r="U152" i="2"/>
  <c r="U165" i="2" s="1"/>
  <c r="U153" i="2" s="1"/>
  <c r="T189" i="2"/>
  <c r="R277" i="4"/>
  <c r="D197" i="7" s="1"/>
  <c r="R1184" i="2"/>
  <c r="U177" i="2"/>
  <c r="U189" i="2" s="1"/>
  <c r="T551" i="2"/>
  <c r="W289" i="2"/>
  <c r="W293" i="2" s="1"/>
  <c r="W294" i="2" s="1"/>
  <c r="W9" i="2"/>
  <c r="W21" i="2" s="1"/>
  <c r="S1107" i="2"/>
  <c r="T1106" i="2" s="1"/>
  <c r="T484" i="4"/>
  <c r="T457" i="4"/>
  <c r="T430" i="4"/>
  <c r="T414" i="2"/>
  <c r="T617" i="2" s="1"/>
  <c r="Z441" i="2"/>
  <c r="Z430" i="2"/>
  <c r="S144" i="4"/>
  <c r="V173" i="2"/>
  <c r="V171" i="2"/>
  <c r="P86" i="10"/>
  <c r="U140" i="4"/>
  <c r="R497" i="4"/>
  <c r="V293" i="2"/>
  <c r="V294" i="2" s="1"/>
  <c r="T200" i="2"/>
  <c r="T198" i="2"/>
  <c r="Y2" i="5"/>
  <c r="Y2" i="4"/>
  <c r="Y2" i="2"/>
  <c r="Y2" i="10"/>
  <c r="Y2" i="1"/>
  <c r="Z25" i="1"/>
  <c r="Z77" i="2"/>
  <c r="Z35" i="2"/>
  <c r="Z16" i="2"/>
  <c r="Y1091" i="2"/>
  <c r="Y1090" i="2" s="1"/>
  <c r="X1092" i="2"/>
  <c r="Z1063" i="2"/>
  <c r="Z1062" i="2" s="1"/>
  <c r="Y1061" i="2"/>
  <c r="AD61" i="1"/>
  <c r="AE60" i="1"/>
  <c r="W145" i="2"/>
  <c r="W647" i="2"/>
  <c r="W650" i="2" s="1"/>
  <c r="W648" i="2"/>
  <c r="W649" i="2"/>
  <c r="T1307" i="2"/>
  <c r="V148" i="2"/>
  <c r="V146" i="2"/>
  <c r="O77" i="10"/>
  <c r="T178" i="2"/>
  <c r="U1119" i="2"/>
  <c r="U1117" i="2" s="1"/>
  <c r="X146" i="1"/>
  <c r="X59" i="1"/>
  <c r="X120" i="1"/>
  <c r="X45" i="1"/>
  <c r="X44" i="1"/>
  <c r="X53" i="1"/>
  <c r="X131" i="1"/>
  <c r="X123" i="1"/>
  <c r="X140" i="1"/>
  <c r="V727" i="2"/>
  <c r="V723" i="2" s="1"/>
  <c r="V724" i="2"/>
  <c r="V725" i="2" s="1"/>
  <c r="U991" i="2"/>
  <c r="U1305" i="2" s="1"/>
  <c r="U949" i="2"/>
  <c r="W694" i="2"/>
  <c r="W696" i="2"/>
  <c r="W697" i="2"/>
  <c r="W665" i="2"/>
  <c r="W666" i="2"/>
  <c r="AE113" i="10"/>
  <c r="Y87" i="1"/>
  <c r="X91" i="1"/>
  <c r="V652" i="2"/>
  <c r="Y80" i="1"/>
  <c r="Z81" i="1"/>
  <c r="U110" i="10"/>
  <c r="V109" i="10" s="1"/>
  <c r="T1117" i="2"/>
  <c r="X65" i="10"/>
  <c r="X133" i="10"/>
  <c r="X136" i="10"/>
  <c r="X188" i="4" s="1"/>
  <c r="X93" i="10"/>
  <c r="X168" i="4" s="1"/>
  <c r="X135" i="10"/>
  <c r="X97" i="10"/>
  <c r="X176" i="4" s="1"/>
  <c r="X70" i="10"/>
  <c r="X71" i="10" s="1"/>
  <c r="X72" i="10" s="1"/>
  <c r="R593" i="2"/>
  <c r="R594" i="2" s="1"/>
  <c r="V21" i="2"/>
  <c r="AD86" i="1"/>
  <c r="P165" i="4"/>
  <c r="T399" i="2"/>
  <c r="S551" i="2"/>
  <c r="S1310" i="2"/>
  <c r="V703" i="2"/>
  <c r="V704" i="2" s="1"/>
  <c r="V702" i="2"/>
  <c r="V698" i="2" s="1"/>
  <c r="V699" i="2"/>
  <c r="V700" i="2" s="1"/>
  <c r="U19" i="4"/>
  <c r="U18" i="4" s="1"/>
  <c r="U196" i="2"/>
  <c r="X1335" i="2"/>
  <c r="X1279" i="2"/>
  <c r="X1220" i="2"/>
  <c r="X1221" i="2" s="1"/>
  <c r="X1136" i="2"/>
  <c r="X714" i="2"/>
  <c r="X431" i="2"/>
  <c r="X391" i="2"/>
  <c r="X300" i="2"/>
  <c r="X291" i="2"/>
  <c r="X212" i="2"/>
  <c r="X1278" i="2"/>
  <c r="X1108" i="2"/>
  <c r="X1109" i="2" s="1"/>
  <c r="X1037" i="2"/>
  <c r="X1029" i="2"/>
  <c r="X712" i="2"/>
  <c r="X389" i="2"/>
  <c r="X187" i="2"/>
  <c r="X144" i="2"/>
  <c r="X81" i="2"/>
  <c r="X1028" i="2"/>
  <c r="X623" i="2"/>
  <c r="X624" i="2" s="1"/>
  <c r="X143" i="2"/>
  <c r="X39" i="2"/>
  <c r="X1273" i="2"/>
  <c r="X1146" i="2"/>
  <c r="X1147" i="2" s="1"/>
  <c r="X1033" i="2"/>
  <c r="X682" i="2"/>
  <c r="X557" i="2"/>
  <c r="X36" i="2"/>
  <c r="X26" i="2"/>
  <c r="X25" i="2" s="1"/>
  <c r="X17" i="2"/>
  <c r="X7" i="2"/>
  <c r="X1281" i="2"/>
  <c r="X1017" i="2"/>
  <c r="X643" i="2"/>
  <c r="X542" i="2"/>
  <c r="X442" i="2"/>
  <c r="X185" i="2"/>
  <c r="X8" i="2"/>
  <c r="X1201" i="2"/>
  <c r="X1202" i="2" s="1"/>
  <c r="X438" i="2"/>
  <c r="X437" i="2" s="1"/>
  <c r="X162" i="2"/>
  <c r="X1012" i="2"/>
  <c r="X1011" i="2" s="1"/>
  <c r="X659" i="2"/>
  <c r="X288" i="2"/>
  <c r="X160" i="2"/>
  <c r="X78" i="2"/>
  <c r="X1272" i="2"/>
  <c r="X688" i="2"/>
  <c r="X427" i="2"/>
  <c r="X628" i="2"/>
  <c r="X629" i="2" s="1"/>
  <c r="X428" i="2"/>
  <c r="X287" i="2"/>
  <c r="X1032" i="2"/>
  <c r="X1031" i="2" s="1"/>
  <c r="X531" i="2"/>
  <c r="X407" i="2"/>
  <c r="X296" i="2"/>
  <c r="X214" i="2"/>
  <c r="X656" i="2"/>
  <c r="X555" i="2"/>
  <c r="X1275" i="2"/>
  <c r="X544" i="2"/>
  <c r="X443" i="2"/>
  <c r="X1150" i="2"/>
  <c r="X1151" i="2" s="1"/>
  <c r="X1026" i="2"/>
  <c r="X19" i="2"/>
  <c r="X432" i="2"/>
  <c r="X405" i="2"/>
  <c r="X168" i="2"/>
  <c r="X167" i="2" s="1"/>
  <c r="X1208" i="2"/>
  <c r="X1209" i="2" s="1"/>
  <c r="X175" i="2"/>
  <c r="X150" i="2"/>
  <c r="X1178" i="2"/>
  <c r="X197" i="4" s="1"/>
  <c r="AA292" i="4"/>
  <c r="AA383" i="4"/>
  <c r="AA341" i="4"/>
  <c r="AA47" i="1"/>
  <c r="AA57" i="2" s="1"/>
  <c r="AA49" i="1"/>
  <c r="AA48" i="1"/>
  <c r="AA50" i="1"/>
  <c r="AB43" i="1"/>
  <c r="T138" i="4"/>
  <c r="T144" i="4" s="1"/>
  <c r="T990" i="2"/>
  <c r="Q594" i="2"/>
  <c r="W729" i="2"/>
  <c r="W722" i="2"/>
  <c r="W726" i="2"/>
  <c r="W717" i="2" s="1"/>
  <c r="U30" i="2"/>
  <c r="T179" i="2"/>
  <c r="Z1083" i="2"/>
  <c r="Z1082" i="2" s="1"/>
  <c r="Y1084" i="2"/>
  <c r="AE106" i="10"/>
  <c r="T93" i="4"/>
  <c r="X370" i="4"/>
  <c r="X194" i="4"/>
  <c r="X298" i="4"/>
  <c r="X389" i="4"/>
  <c r="X283" i="4"/>
  <c r="X273" i="4"/>
  <c r="X384" i="4"/>
  <c r="X342" i="4"/>
  <c r="X321" i="4"/>
  <c r="X199" i="4"/>
  <c r="X169" i="4"/>
  <c r="X293" i="4"/>
  <c r="X332" i="4"/>
  <c r="X189" i="4"/>
  <c r="X178" i="4"/>
  <c r="X347" i="4"/>
  <c r="X412" i="4"/>
  <c r="Z184" i="2"/>
  <c r="Z211" i="2"/>
  <c r="Z159" i="2"/>
  <c r="AF82" i="10"/>
  <c r="R615" i="2"/>
  <c r="R186" i="4" s="1"/>
  <c r="V42" i="2"/>
  <c r="V29" i="2" s="1"/>
  <c r="T1305" i="2"/>
  <c r="S131" i="2"/>
  <c r="W1039" i="2"/>
  <c r="W1038" i="2"/>
  <c r="W720" i="2"/>
  <c r="W721" i="2"/>
  <c r="W677" i="2"/>
  <c r="W667" i="2"/>
  <c r="W671" i="2"/>
  <c r="W662" i="2" s="1"/>
  <c r="U29" i="2"/>
  <c r="U177" i="4"/>
  <c r="V302" i="2"/>
  <c r="V303" i="2" s="1"/>
  <c r="T410" i="2"/>
  <c r="T393" i="2"/>
  <c r="AD55" i="1"/>
  <c r="AE54" i="1"/>
  <c r="AE68" i="10"/>
  <c r="T413" i="2"/>
  <c r="Z299" i="2"/>
  <c r="Z290" i="2"/>
  <c r="V672" i="2"/>
  <c r="V668" i="2" s="1"/>
  <c r="V673" i="2"/>
  <c r="V674" i="2" s="1"/>
  <c r="V669" i="2"/>
  <c r="V670" i="2" s="1"/>
  <c r="V503" i="4"/>
  <c r="AE75" i="10"/>
  <c r="W1280" i="2"/>
  <c r="W1282" i="2" s="1"/>
  <c r="W429" i="2"/>
  <c r="W434" i="2" s="1"/>
  <c r="W707" i="2"/>
  <c r="W701" i="2"/>
  <c r="W691" i="2" s="1"/>
  <c r="V387" i="2" l="1"/>
  <c r="U471" i="2"/>
  <c r="U473" i="2" s="1"/>
  <c r="U527" i="2" s="1"/>
  <c r="V383" i="2"/>
  <c r="V404" i="2" s="1"/>
  <c r="V402" i="2" s="1"/>
  <c r="V409" i="2" s="1"/>
  <c r="D165" i="7"/>
  <c r="D161" i="7"/>
  <c r="D126" i="7"/>
  <c r="D117" i="7"/>
  <c r="D160" i="7"/>
  <c r="W358" i="2"/>
  <c r="D99" i="7"/>
  <c r="X503" i="2"/>
  <c r="X56" i="4" s="1"/>
  <c r="W508" i="2"/>
  <c r="W56" i="4"/>
  <c r="Y502" i="2"/>
  <c r="Y505" i="2"/>
  <c r="Y501" i="2"/>
  <c r="Y506" i="2"/>
  <c r="V916" i="2"/>
  <c r="W967" i="2"/>
  <c r="X27" i="2"/>
  <c r="X28" i="2" s="1"/>
  <c r="W498" i="2"/>
  <c r="W55" i="4"/>
  <c r="X493" i="2"/>
  <c r="Y492" i="2"/>
  <c r="Y495" i="2"/>
  <c r="Y491" i="2"/>
  <c r="Y496" i="2"/>
  <c r="W977" i="2"/>
  <c r="W966" i="2"/>
  <c r="V971" i="2"/>
  <c r="U996" i="2"/>
  <c r="X411" i="2"/>
  <c r="U363" i="2"/>
  <c r="U42" i="4" s="1"/>
  <c r="U396" i="2"/>
  <c r="U394" i="2" s="1"/>
  <c r="V362" i="2"/>
  <c r="V363" i="2" s="1"/>
  <c r="V42" i="4" s="1"/>
  <c r="V395" i="2"/>
  <c r="U388" i="2"/>
  <c r="U386" i="2" s="1"/>
  <c r="X1120" i="2"/>
  <c r="X1121" i="2" s="1"/>
  <c r="X346" i="2"/>
  <c r="X350" i="2" s="1"/>
  <c r="X351" i="2" s="1"/>
  <c r="X39" i="4" s="1"/>
  <c r="Y348" i="2"/>
  <c r="Y345" i="2" s="1"/>
  <c r="Y344" i="2"/>
  <c r="W350" i="2"/>
  <c r="W351" i="2" s="1"/>
  <c r="W39" i="4" s="1"/>
  <c r="V827" i="2"/>
  <c r="V63" i="2"/>
  <c r="V64" i="2" s="1"/>
  <c r="X337" i="2"/>
  <c r="V853" i="2"/>
  <c r="W341" i="2"/>
  <c r="W342" i="2" s="1"/>
  <c r="W38" i="4" s="1"/>
  <c r="Y339" i="2"/>
  <c r="Y336" i="2" s="1"/>
  <c r="Y335" i="2"/>
  <c r="X328" i="2"/>
  <c r="X332" i="2" s="1"/>
  <c r="X333" i="2" s="1"/>
  <c r="X37" i="4" s="1"/>
  <c r="X49" i="2"/>
  <c r="X50" i="2" s="1"/>
  <c r="W332" i="2"/>
  <c r="W333" i="2" s="1"/>
  <c r="W37" i="4" s="1"/>
  <c r="Y68" i="2"/>
  <c r="Y330" i="2"/>
  <c r="Y327" i="2" s="1"/>
  <c r="Y326" i="2"/>
  <c r="R1218" i="2"/>
  <c r="U6" i="4"/>
  <c r="V314" i="2"/>
  <c r="V388" i="2" s="1"/>
  <c r="P112" i="4"/>
  <c r="P241" i="4" s="1"/>
  <c r="W379" i="2"/>
  <c r="W367" i="2"/>
  <c r="X169" i="2"/>
  <c r="X170" i="2" s="1"/>
  <c r="X173" i="2" s="1"/>
  <c r="X297" i="2"/>
  <c r="X298" i="2" s="1"/>
  <c r="X302" i="2" s="1"/>
  <c r="X303" i="2" s="1"/>
  <c r="G1334" i="2"/>
  <c r="H1334" i="2" s="1"/>
  <c r="G1337" i="2"/>
  <c r="G1325" i="2" s="1"/>
  <c r="J333" i="4"/>
  <c r="H1332" i="2"/>
  <c r="H1333" i="2" s="1"/>
  <c r="G1333" i="2"/>
  <c r="X107" i="2"/>
  <c r="X87" i="2"/>
  <c r="T133" i="2"/>
  <c r="T574" i="2" s="1"/>
  <c r="T575" i="2" s="1"/>
  <c r="S575" i="2"/>
  <c r="S572" i="2" s="1"/>
  <c r="S162" i="4" s="1"/>
  <c r="U129" i="2"/>
  <c r="U130" i="2"/>
  <c r="U1291" i="2" s="1"/>
  <c r="U431" i="4" s="1"/>
  <c r="V128" i="2"/>
  <c r="V801" i="2"/>
  <c r="U517" i="2"/>
  <c r="X67" i="2"/>
  <c r="X195" i="2" s="1"/>
  <c r="V488" i="2"/>
  <c r="S32" i="4"/>
  <c r="Q775" i="2"/>
  <c r="Q995" i="2" s="1"/>
  <c r="T116" i="10"/>
  <c r="T117" i="10" s="1"/>
  <c r="T115" i="10" s="1"/>
  <c r="U112" i="10" s="1"/>
  <c r="V34" i="1"/>
  <c r="V1168" i="2" s="1"/>
  <c r="S100" i="4"/>
  <c r="J207" i="4"/>
  <c r="J209" i="4" s="1"/>
  <c r="J284" i="4"/>
  <c r="I492" i="4"/>
  <c r="I1328" i="2"/>
  <c r="R239" i="4"/>
  <c r="S96" i="4"/>
  <c r="J256" i="4"/>
  <c r="J109" i="4"/>
  <c r="W955" i="2"/>
  <c r="S115" i="10"/>
  <c r="T112" i="10" s="1"/>
  <c r="N602" i="2"/>
  <c r="N183" i="4" s="1"/>
  <c r="O606" i="2"/>
  <c r="AA259" i="2"/>
  <c r="AA235" i="2"/>
  <c r="M878" i="2"/>
  <c r="M969" i="2" s="1"/>
  <c r="L954" i="2"/>
  <c r="M766" i="2"/>
  <c r="L174" i="4"/>
  <c r="L1318" i="2"/>
  <c r="M881" i="2"/>
  <c r="M972" i="2" s="1"/>
  <c r="L107" i="4"/>
  <c r="L65" i="4"/>
  <c r="W962" i="2"/>
  <c r="V1014" i="2"/>
  <c r="W1013" i="2"/>
  <c r="W219" i="4"/>
  <c r="V220" i="4"/>
  <c r="AA320" i="2"/>
  <c r="AA380" i="2"/>
  <c r="AA311" i="2"/>
  <c r="AA368" i="2"/>
  <c r="AA359" i="2"/>
  <c r="AA520" i="2"/>
  <c r="AA484" i="2"/>
  <c r="AA474" i="2"/>
  <c r="AA464" i="2"/>
  <c r="AA454" i="2"/>
  <c r="W481" i="2"/>
  <c r="W483" i="2" s="1"/>
  <c r="W488" i="2" s="1"/>
  <c r="W29" i="1"/>
  <c r="W28" i="1"/>
  <c r="W27" i="1"/>
  <c r="X26" i="1"/>
  <c r="U124" i="4"/>
  <c r="U205" i="4"/>
  <c r="U1189" i="2"/>
  <c r="U55" i="10"/>
  <c r="U14" i="1"/>
  <c r="U233" i="4"/>
  <c r="U1" i="5"/>
  <c r="U4" i="2"/>
  <c r="U638" i="2"/>
  <c r="U14" i="4"/>
  <c r="U317" i="4"/>
  <c r="U284" i="2"/>
  <c r="U140" i="2"/>
  <c r="U113" i="1"/>
  <c r="U1142" i="2"/>
  <c r="U102" i="10"/>
  <c r="U1096" i="2"/>
  <c r="U38" i="1"/>
  <c r="U408" i="4"/>
  <c r="U25" i="4"/>
  <c r="U366" i="4"/>
  <c r="U570" i="2"/>
  <c r="U423" i="2"/>
  <c r="U1" i="1"/>
  <c r="U4" i="4"/>
  <c r="U1056" i="2"/>
  <c r="U1000" i="2"/>
  <c r="U269" i="4"/>
  <c r="U4" i="5"/>
  <c r="U1" i="4"/>
  <c r="U91" i="4"/>
  <c r="U1269" i="2"/>
  <c r="U1" i="2"/>
  <c r="U1" i="10"/>
  <c r="U159" i="4"/>
  <c r="U69" i="4"/>
  <c r="U1168" i="2"/>
  <c r="U90" i="10"/>
  <c r="U68" i="1"/>
  <c r="L958" i="2"/>
  <c r="M770" i="2"/>
  <c r="M936" i="2"/>
  <c r="M982" i="2"/>
  <c r="K1314" i="2"/>
  <c r="K1315" i="2" s="1"/>
  <c r="K495" i="4"/>
  <c r="K103" i="4"/>
  <c r="W952" i="2"/>
  <c r="W951" i="2"/>
  <c r="V956" i="2"/>
  <c r="W848" i="2"/>
  <c r="W849" i="2" s="1"/>
  <c r="W847" i="2"/>
  <c r="W843" i="2" s="1"/>
  <c r="W844" i="2"/>
  <c r="W845" i="2" s="1"/>
  <c r="X840" i="2"/>
  <c r="X841" i="2"/>
  <c r="X852" i="2"/>
  <c r="X846" i="2"/>
  <c r="X837" i="2" s="1"/>
  <c r="X78" i="4" s="1"/>
  <c r="U299" i="7" s="1"/>
  <c r="X842" i="2"/>
  <c r="Y831" i="2"/>
  <c r="Y834" i="2"/>
  <c r="Y808" i="2"/>
  <c r="Y805" i="2"/>
  <c r="V765" i="2"/>
  <c r="X814" i="2"/>
  <c r="X815" i="2"/>
  <c r="W759" i="2"/>
  <c r="W75" i="4" s="1"/>
  <c r="T296" i="7" s="1"/>
  <c r="W822" i="2"/>
  <c r="W823" i="2" s="1"/>
  <c r="W821" i="2"/>
  <c r="W817" i="2" s="1"/>
  <c r="W818" i="2"/>
  <c r="W819" i="2" s="1"/>
  <c r="X826" i="2"/>
  <c r="X816" i="2"/>
  <c r="X820" i="2"/>
  <c r="X811" i="2" s="1"/>
  <c r="X77" i="4" s="1"/>
  <c r="U298" i="7" s="1"/>
  <c r="U384" i="2"/>
  <c r="U46" i="4" s="1"/>
  <c r="W796" i="2"/>
  <c r="W797" i="2" s="1"/>
  <c r="W795" i="2"/>
  <c r="W791" i="2" s="1"/>
  <c r="W792" i="2"/>
  <c r="W793" i="2" s="1"/>
  <c r="X788" i="2"/>
  <c r="X789" i="2"/>
  <c r="Y782" i="2"/>
  <c r="Y779" i="2"/>
  <c r="X800" i="2"/>
  <c r="X790" i="2"/>
  <c r="X794" i="2"/>
  <c r="X785" i="2" s="1"/>
  <c r="X76" i="4" s="1"/>
  <c r="U297" i="7" s="1"/>
  <c r="X762" i="2"/>
  <c r="X763" i="2"/>
  <c r="X774" i="2"/>
  <c r="X768" i="2"/>
  <c r="X764" i="2"/>
  <c r="Y756" i="2"/>
  <c r="Y753" i="2"/>
  <c r="W769" i="2"/>
  <c r="X481" i="2"/>
  <c r="X483" i="2" s="1"/>
  <c r="R419" i="2"/>
  <c r="R1323" i="2" s="1"/>
  <c r="R464" i="4" s="1"/>
  <c r="S128" i="4"/>
  <c r="S615" i="2"/>
  <c r="S186" i="4" s="1"/>
  <c r="S418" i="2"/>
  <c r="V371" i="2"/>
  <c r="V372" i="2" s="1"/>
  <c r="V43" i="4" s="1"/>
  <c r="U51" i="2"/>
  <c r="W7" i="4"/>
  <c r="U52" i="2"/>
  <c r="Y58" i="2"/>
  <c r="Y61" i="2"/>
  <c r="Y47" i="2"/>
  <c r="W63" i="2"/>
  <c r="W319" i="2"/>
  <c r="V10" i="4"/>
  <c r="U402" i="2"/>
  <c r="U34" i="4"/>
  <c r="U412" i="2"/>
  <c r="U457" i="4" s="1"/>
  <c r="S416" i="2"/>
  <c r="S1322" i="2" s="1"/>
  <c r="S497" i="4"/>
  <c r="R60" i="4"/>
  <c r="S236" i="4"/>
  <c r="S237" i="4"/>
  <c r="R97" i="4"/>
  <c r="R237" i="4"/>
  <c r="S50" i="4"/>
  <c r="X743" i="2"/>
  <c r="X945" i="2" s="1"/>
  <c r="X742" i="2"/>
  <c r="X944" i="2" s="1"/>
  <c r="W963" i="2"/>
  <c r="W139" i="4" s="1"/>
  <c r="S1257" i="2"/>
  <c r="T1242" i="2"/>
  <c r="R1251" i="2"/>
  <c r="R108" i="4" s="1"/>
  <c r="D173" i="7" s="1"/>
  <c r="R1234" i="2"/>
  <c r="R1252" i="2" s="1"/>
  <c r="R130" i="4" s="1"/>
  <c r="Q1232" i="2"/>
  <c r="Q1252" i="2"/>
  <c r="Q130" i="4" s="1"/>
  <c r="Y1235" i="2"/>
  <c r="X744" i="2"/>
  <c r="X946" i="2" s="1"/>
  <c r="W746" i="2"/>
  <c r="X439" i="2"/>
  <c r="X440" i="2" s="1"/>
  <c r="X445" i="2" s="1"/>
  <c r="V1299" i="2"/>
  <c r="Y737" i="2"/>
  <c r="Y741" i="2" s="1"/>
  <c r="Y744" i="2" s="1"/>
  <c r="Y946" i="2" s="1"/>
  <c r="V627" i="2"/>
  <c r="V626" i="2" s="1"/>
  <c r="V184" i="4" s="1"/>
  <c r="W910" i="2"/>
  <c r="W906" i="2" s="1"/>
  <c r="W916" i="2" s="1"/>
  <c r="W911" i="2"/>
  <c r="W912" i="2" s="1"/>
  <c r="W907" i="2"/>
  <c r="W908" i="2" s="1"/>
  <c r="W928" i="2"/>
  <c r="W85" i="4" s="1"/>
  <c r="T306" i="7" s="1"/>
  <c r="W984" i="2"/>
  <c r="W978" i="2" s="1"/>
  <c r="W140" i="4" s="1"/>
  <c r="Y896" i="2"/>
  <c r="Y890" i="2"/>
  <c r="X902" i="2"/>
  <c r="X905" i="2"/>
  <c r="X904" i="2"/>
  <c r="V934" i="2"/>
  <c r="V941" i="2" s="1"/>
  <c r="V985" i="2"/>
  <c r="X915" i="2"/>
  <c r="X909" i="2"/>
  <c r="X899" i="2" s="1"/>
  <c r="X82" i="4" s="1"/>
  <c r="U303" i="7" s="1"/>
  <c r="Q205" i="2"/>
  <c r="Y923" i="2"/>
  <c r="Y925" i="2"/>
  <c r="W938" i="2"/>
  <c r="X318" i="2"/>
  <c r="X319" i="2" s="1"/>
  <c r="X323" i="2" s="1"/>
  <c r="X324" i="2" s="1"/>
  <c r="X36" i="4" s="1"/>
  <c r="X931" i="2"/>
  <c r="X932" i="2"/>
  <c r="X980" i="2" s="1"/>
  <c r="X940" i="2"/>
  <c r="X988" i="2" s="1"/>
  <c r="X933" i="2"/>
  <c r="X981" i="2" s="1"/>
  <c r="X937" i="2"/>
  <c r="Q206" i="2"/>
  <c r="V876" i="2"/>
  <c r="V886" i="2" s="1"/>
  <c r="W869" i="2"/>
  <c r="W81" i="4" s="1"/>
  <c r="T302" i="7" s="1"/>
  <c r="X872" i="2"/>
  <c r="X874" i="2"/>
  <c r="X875" i="2"/>
  <c r="X885" i="2"/>
  <c r="X977" i="2" s="1"/>
  <c r="X879" i="2"/>
  <c r="Y860" i="2"/>
  <c r="Y866" i="2"/>
  <c r="W880" i="2"/>
  <c r="R28" i="4"/>
  <c r="T202" i="2"/>
  <c r="T276" i="2" s="1"/>
  <c r="T592" i="2" s="1"/>
  <c r="S204" i="2"/>
  <c r="S217" i="2" s="1"/>
  <c r="V708" i="2"/>
  <c r="R216" i="2"/>
  <c r="V678" i="2"/>
  <c r="X378" i="2"/>
  <c r="R552" i="2"/>
  <c r="R566" i="2" s="1"/>
  <c r="R559" i="2"/>
  <c r="R560" i="2"/>
  <c r="Q562" i="2"/>
  <c r="Q564" i="2" s="1"/>
  <c r="T519" i="2"/>
  <c r="S524" i="2"/>
  <c r="S554" i="2" s="1"/>
  <c r="S1302" i="2" s="1"/>
  <c r="S553" i="2"/>
  <c r="S565" i="2" s="1"/>
  <c r="S61" i="4"/>
  <c r="X357" i="2"/>
  <c r="S526" i="2"/>
  <c r="R536" i="2"/>
  <c r="R538" i="2" s="1"/>
  <c r="P272" i="2"/>
  <c r="P607" i="2" s="1"/>
  <c r="S534" i="2"/>
  <c r="T478" i="2"/>
  <c r="T528" i="2" s="1"/>
  <c r="T533" i="2"/>
  <c r="T53" i="4"/>
  <c r="T50" i="4" s="1"/>
  <c r="P269" i="2"/>
  <c r="P270" i="2" s="1"/>
  <c r="O256" i="2"/>
  <c r="O279" i="2" s="1"/>
  <c r="O611" i="2" s="1"/>
  <c r="P254" i="2"/>
  <c r="P278" i="2" s="1"/>
  <c r="P604" i="2" s="1"/>
  <c r="P605" i="2" s="1"/>
  <c r="P606" i="2" s="1"/>
  <c r="X366" i="2"/>
  <c r="X367" i="2" s="1"/>
  <c r="X371" i="2" s="1"/>
  <c r="X372" i="2" s="1"/>
  <c r="X43" i="4" s="1"/>
  <c r="R252" i="2"/>
  <c r="R265" i="2" s="1"/>
  <c r="R253" i="2" s="1"/>
  <c r="V83" i="2"/>
  <c r="V84" i="2" s="1"/>
  <c r="Q584" i="2"/>
  <c r="Q166" i="4" s="1"/>
  <c r="Q262" i="4" s="1"/>
  <c r="R275" i="2"/>
  <c r="R586" i="2" s="1"/>
  <c r="R587" i="2" s="1"/>
  <c r="R584" i="2" s="1"/>
  <c r="R166" i="4" s="1"/>
  <c r="U219" i="2"/>
  <c r="U221" i="2" s="1"/>
  <c r="U243" i="2"/>
  <c r="Q265" i="2"/>
  <c r="Q253" i="2" s="1"/>
  <c r="Q30" i="4"/>
  <c r="Q27" i="4" s="1"/>
  <c r="Q264" i="2"/>
  <c r="Q274" i="2" s="1"/>
  <c r="Q1292" i="2" s="1"/>
  <c r="T245" i="2"/>
  <c r="T268" i="2" s="1"/>
  <c r="T95" i="4" s="1"/>
  <c r="T237" i="4" s="1"/>
  <c r="O1301" i="2"/>
  <c r="O270" i="2"/>
  <c r="S248" i="2"/>
  <c r="S277" i="2" s="1"/>
  <c r="S246" i="2"/>
  <c r="N258" i="2"/>
  <c r="N273" i="2" s="1"/>
  <c r="N279" i="2"/>
  <c r="N611" i="2" s="1"/>
  <c r="O602" i="2"/>
  <c r="O183" i="4" s="1"/>
  <c r="Q271" i="2"/>
  <c r="R241" i="2"/>
  <c r="Q232" i="2" s="1"/>
  <c r="Q234" i="2" s="1"/>
  <c r="R240" i="2"/>
  <c r="R29" i="4"/>
  <c r="S228" i="2"/>
  <c r="T222" i="2"/>
  <c r="T224" i="2"/>
  <c r="X69" i="2"/>
  <c r="Y260" i="2"/>
  <c r="Y262" i="2"/>
  <c r="Y244" i="2"/>
  <c r="Y250" i="2"/>
  <c r="Y236" i="2"/>
  <c r="Y238" i="2"/>
  <c r="Y220" i="2"/>
  <c r="Y226" i="2"/>
  <c r="Y482" i="2"/>
  <c r="Y485" i="2"/>
  <c r="Y486" i="2"/>
  <c r="W468" i="2"/>
  <c r="Y472" i="2"/>
  <c r="Y475" i="2"/>
  <c r="Y476" i="2"/>
  <c r="W70" i="2"/>
  <c r="X463" i="2"/>
  <c r="Y462" i="2"/>
  <c r="Y465" i="2"/>
  <c r="Y466" i="2"/>
  <c r="X309" i="2"/>
  <c r="Y518" i="2"/>
  <c r="Y521" i="2"/>
  <c r="Y522" i="2"/>
  <c r="W458" i="2"/>
  <c r="W51" i="4"/>
  <c r="X453" i="2"/>
  <c r="U529" i="2"/>
  <c r="Y452" i="2"/>
  <c r="Y455" i="2"/>
  <c r="Y456" i="2"/>
  <c r="W110" i="2"/>
  <c r="X109" i="2"/>
  <c r="V384" i="2"/>
  <c r="V46" i="4" s="1"/>
  <c r="V730" i="2"/>
  <c r="V197" i="2"/>
  <c r="V196" i="2" s="1"/>
  <c r="V123" i="2"/>
  <c r="V124" i="2" s="1"/>
  <c r="W195" i="2"/>
  <c r="W194" i="2" s="1"/>
  <c r="W90" i="2"/>
  <c r="W9" i="4" s="1"/>
  <c r="S397" i="2"/>
  <c r="R401" i="2"/>
  <c r="R598" i="2"/>
  <c r="P596" i="2"/>
  <c r="P164" i="4" s="1"/>
  <c r="X89" i="2"/>
  <c r="Q600" i="2"/>
  <c r="Q596" i="2"/>
  <c r="Q164" i="4" s="1"/>
  <c r="Y317" i="2"/>
  <c r="Y321" i="2"/>
  <c r="V103" i="2"/>
  <c r="V104" i="2" s="1"/>
  <c r="Y308" i="2"/>
  <c r="Y411" i="2" s="1"/>
  <c r="Y312" i="2"/>
  <c r="W314" i="2"/>
  <c r="U91" i="2"/>
  <c r="U92" i="2"/>
  <c r="Y377" i="2"/>
  <c r="Y381" i="2"/>
  <c r="Y365" i="2"/>
  <c r="Y369" i="2"/>
  <c r="T131" i="2"/>
  <c r="W362" i="2"/>
  <c r="Y356" i="2"/>
  <c r="Y360" i="2"/>
  <c r="Z57" i="10"/>
  <c r="Z62" i="10"/>
  <c r="AA117" i="2"/>
  <c r="AA97" i="2"/>
  <c r="U108" i="10"/>
  <c r="V105" i="10" s="1"/>
  <c r="T1198" i="2"/>
  <c r="U1200" i="2"/>
  <c r="U1198" i="2" s="1"/>
  <c r="U71" i="2"/>
  <c r="U112" i="2"/>
  <c r="S1105" i="2"/>
  <c r="Y108" i="2"/>
  <c r="Y121" i="2"/>
  <c r="Y118" i="2"/>
  <c r="P210" i="2"/>
  <c r="S183" i="2"/>
  <c r="V1118" i="2"/>
  <c r="V1119" i="2" s="1"/>
  <c r="V1117" i="2" s="1"/>
  <c r="Y98" i="2"/>
  <c r="Y101" i="2"/>
  <c r="Y88" i="2"/>
  <c r="R572" i="2"/>
  <c r="R162" i="4" s="1"/>
  <c r="U164" i="2"/>
  <c r="X1280" i="2"/>
  <c r="X1282" i="2" s="1"/>
  <c r="U190" i="2"/>
  <c r="U178" i="2" s="1"/>
  <c r="Q208" i="2"/>
  <c r="U72" i="2"/>
  <c r="R206" i="2"/>
  <c r="R205" i="2"/>
  <c r="X429" i="2"/>
  <c r="X434" i="2" s="1"/>
  <c r="V22" i="2"/>
  <c r="V10" i="2" s="1"/>
  <c r="V152" i="2"/>
  <c r="V165" i="2" s="1"/>
  <c r="W171" i="2"/>
  <c r="W173" i="2"/>
  <c r="V110" i="10"/>
  <c r="W109" i="10" s="1"/>
  <c r="T1107" i="2"/>
  <c r="U1106" i="2" s="1"/>
  <c r="AF68" i="10"/>
  <c r="AA35" i="2"/>
  <c r="AA16" i="2"/>
  <c r="AA77" i="2"/>
  <c r="V177" i="4"/>
  <c r="W727" i="2"/>
  <c r="W723" i="2" s="1"/>
  <c r="W724" i="2"/>
  <c r="W725" i="2" s="1"/>
  <c r="AA1083" i="2"/>
  <c r="AA1082" i="2" s="1"/>
  <c r="Z1084" i="2"/>
  <c r="X289" i="2"/>
  <c r="X172" i="4"/>
  <c r="W41" i="2"/>
  <c r="W42" i="2" s="1"/>
  <c r="W29" i="2" s="1"/>
  <c r="W673" i="2"/>
  <c r="W674" i="2" s="1"/>
  <c r="W672" i="2"/>
  <c r="W668" i="2" s="1"/>
  <c r="W669" i="2"/>
  <c r="W670" i="2" s="1"/>
  <c r="V991" i="2"/>
  <c r="V1305" i="2" s="1"/>
  <c r="V949" i="2"/>
  <c r="Y1028" i="2"/>
  <c r="Y623" i="2"/>
  <c r="Y624" i="2" s="1"/>
  <c r="Y143" i="2"/>
  <c r="Y39" i="2"/>
  <c r="Y1275" i="2"/>
  <c r="Y1201" i="2"/>
  <c r="Y1202" i="2" s="1"/>
  <c r="Y1150" i="2"/>
  <c r="Y1151" i="2" s="1"/>
  <c r="Y1026" i="2"/>
  <c r="Y688" i="2"/>
  <c r="Y438" i="2"/>
  <c r="Y437" i="2" s="1"/>
  <c r="Y428" i="2"/>
  <c r="Y288" i="2"/>
  <c r="Y185" i="2"/>
  <c r="Y19" i="2"/>
  <c r="Y1012" i="2"/>
  <c r="Y1011" i="2" s="1"/>
  <c r="Y427" i="2"/>
  <c r="Y296" i="2"/>
  <c r="Y287" i="2"/>
  <c r="Y162" i="2"/>
  <c r="Y78" i="2"/>
  <c r="Y8" i="2"/>
  <c r="Y1017" i="2"/>
  <c r="Y656" i="2"/>
  <c r="Y643" i="2"/>
  <c r="Y542" i="2"/>
  <c r="Y531" i="2"/>
  <c r="Y442" i="2"/>
  <c r="Y432" i="2"/>
  <c r="Y405" i="2"/>
  <c r="Y168" i="2"/>
  <c r="Y167" i="2" s="1"/>
  <c r="Y1279" i="2"/>
  <c r="Y1220" i="2"/>
  <c r="Y1221" i="2" s="1"/>
  <c r="Y431" i="2"/>
  <c r="Y291" i="2"/>
  <c r="Y160" i="2"/>
  <c r="Y17" i="2"/>
  <c r="Y1281" i="2"/>
  <c r="Y1032" i="2"/>
  <c r="Y1031" i="2" s="1"/>
  <c r="Y555" i="2"/>
  <c r="Y407" i="2"/>
  <c r="Y81" i="2"/>
  <c r="Y36" i="2"/>
  <c r="Y1278" i="2"/>
  <c r="Y714" i="2"/>
  <c r="Y214" i="2"/>
  <c r="Y144" i="2"/>
  <c r="Y1273" i="2"/>
  <c r="Y1029" i="2"/>
  <c r="Y712" i="2"/>
  <c r="Y212" i="2"/>
  <c r="Y187" i="2"/>
  <c r="Y1136" i="2"/>
  <c r="Y1037" i="2"/>
  <c r="Y389" i="2"/>
  <c r="Y1335" i="2"/>
  <c r="Y1146" i="2"/>
  <c r="Y1147" i="2" s="1"/>
  <c r="Y544" i="2"/>
  <c r="Y7" i="2"/>
  <c r="Y1108" i="2"/>
  <c r="Y1109" i="2" s="1"/>
  <c r="Y1033" i="2"/>
  <c r="Y682" i="2"/>
  <c r="Y628" i="2"/>
  <c r="Y443" i="2"/>
  <c r="Y1272" i="2"/>
  <c r="Y391" i="2"/>
  <c r="Y557" i="2"/>
  <c r="Y300" i="2"/>
  <c r="Y26" i="2"/>
  <c r="Y25" i="2" s="1"/>
  <c r="Y659" i="2"/>
  <c r="Y150" i="2"/>
  <c r="Y1178" i="2"/>
  <c r="Y197" i="4" s="1"/>
  <c r="Y175" i="2"/>
  <c r="Y1208" i="2"/>
  <c r="Y1209" i="2" s="1"/>
  <c r="S374" i="4"/>
  <c r="S277" i="4"/>
  <c r="S324" i="4"/>
  <c r="S1264" i="2"/>
  <c r="S1184" i="2"/>
  <c r="T239" i="4"/>
  <c r="T236" i="4"/>
  <c r="V546" i="2"/>
  <c r="V539" i="2"/>
  <c r="U549" i="2"/>
  <c r="U551" i="2" s="1"/>
  <c r="V547" i="2"/>
  <c r="X1274" i="2"/>
  <c r="X1276" i="2" s="1"/>
  <c r="X677" i="2"/>
  <c r="X667" i="2"/>
  <c r="X671" i="2"/>
  <c r="X662" i="2" s="1"/>
  <c r="AE86" i="1"/>
  <c r="W652" i="2"/>
  <c r="Y347" i="4"/>
  <c r="Y199" i="4"/>
  <c r="Y189" i="4"/>
  <c r="Y384" i="4"/>
  <c r="Y321" i="4"/>
  <c r="Y412" i="4"/>
  <c r="Y342" i="4"/>
  <c r="Y389" i="4"/>
  <c r="Y178" i="4"/>
  <c r="Y283" i="4"/>
  <c r="Y298" i="4"/>
  <c r="Y169" i="4"/>
  <c r="Y332" i="4"/>
  <c r="Y293" i="4"/>
  <c r="Y273" i="4"/>
  <c r="Y370" i="4"/>
  <c r="Y194" i="4"/>
  <c r="T128" i="4"/>
  <c r="O78" i="10"/>
  <c r="AA1063" i="2"/>
  <c r="AA1062" i="2" s="1"/>
  <c r="Z1061" i="2"/>
  <c r="T1310" i="2"/>
  <c r="T618" i="2"/>
  <c r="T619" i="2" s="1"/>
  <c r="T1321" i="2"/>
  <c r="T416" i="2"/>
  <c r="U198" i="2"/>
  <c r="U200" i="2"/>
  <c r="AG82" i="10"/>
  <c r="AF106" i="10"/>
  <c r="W503" i="4"/>
  <c r="AB341" i="4"/>
  <c r="AB292" i="4"/>
  <c r="AB383" i="4"/>
  <c r="AB47" i="1"/>
  <c r="AB57" i="2" s="1"/>
  <c r="AB49" i="1"/>
  <c r="AB50" i="1"/>
  <c r="AB48" i="1"/>
  <c r="AC43" i="1"/>
  <c r="X9" i="2"/>
  <c r="X694" i="2"/>
  <c r="X697" i="2"/>
  <c r="X696" i="2"/>
  <c r="Z87" i="1"/>
  <c r="Y91" i="1"/>
  <c r="W703" i="2"/>
  <c r="W704" i="2" s="1"/>
  <c r="W702" i="2"/>
  <c r="W698" i="2" s="1"/>
  <c r="W699" i="2"/>
  <c r="W700" i="2" s="1"/>
  <c r="W22" i="2"/>
  <c r="W148" i="2"/>
  <c r="W146" i="2"/>
  <c r="P432" i="4"/>
  <c r="P486" i="4"/>
  <c r="P459" i="4"/>
  <c r="U154" i="2"/>
  <c r="T418" i="2"/>
  <c r="AA299" i="2"/>
  <c r="AA290" i="2"/>
  <c r="X503" i="4"/>
  <c r="X647" i="2"/>
  <c r="X650" i="2" s="1"/>
  <c r="X648" i="2"/>
  <c r="X649" i="2"/>
  <c r="U399" i="2"/>
  <c r="U1307" i="2"/>
  <c r="Z2" i="5"/>
  <c r="Z2" i="4"/>
  <c r="Z2" i="2"/>
  <c r="Z2" i="10"/>
  <c r="Z2" i="1"/>
  <c r="AA25" i="1"/>
  <c r="V177" i="2"/>
  <c r="T156" i="2"/>
  <c r="T158" i="2" s="1"/>
  <c r="X720" i="2"/>
  <c r="X721" i="2"/>
  <c r="AA159" i="2"/>
  <c r="AA184" i="2"/>
  <c r="AA211" i="2"/>
  <c r="X707" i="2"/>
  <c r="X701" i="2"/>
  <c r="X691" i="2" s="1"/>
  <c r="S593" i="2"/>
  <c r="S590" i="2" s="1"/>
  <c r="S165" i="4" s="1"/>
  <c r="R590" i="2"/>
  <c r="R165" i="4" s="1"/>
  <c r="Z80" i="1"/>
  <c r="AA81" i="1"/>
  <c r="U138" i="4"/>
  <c r="U144" i="4" s="1"/>
  <c r="U990" i="2"/>
  <c r="T485" i="4"/>
  <c r="T431" i="4"/>
  <c r="T458" i="4"/>
  <c r="V30" i="2"/>
  <c r="Y146" i="1"/>
  <c r="Y59" i="1"/>
  <c r="Y120" i="1"/>
  <c r="Y45" i="1"/>
  <c r="Y44" i="1"/>
  <c r="Y123" i="1"/>
  <c r="Y131" i="1"/>
  <c r="Y53" i="1"/>
  <c r="Y140" i="1"/>
  <c r="Q84" i="10"/>
  <c r="AF75" i="10"/>
  <c r="AE55" i="1"/>
  <c r="AF54" i="1"/>
  <c r="V467" i="4"/>
  <c r="V440" i="4"/>
  <c r="V502" i="4"/>
  <c r="AA430" i="2"/>
  <c r="AA441" i="2"/>
  <c r="X665" i="2"/>
  <c r="X666" i="2"/>
  <c r="X145" i="2"/>
  <c r="X1038" i="2"/>
  <c r="X1039" i="2"/>
  <c r="X729" i="2"/>
  <c r="X722" i="2"/>
  <c r="X726" i="2"/>
  <c r="X717" i="2" s="1"/>
  <c r="W142" i="4"/>
  <c r="Y1092" i="2"/>
  <c r="Z1091" i="2"/>
  <c r="Z1090" i="2" s="1"/>
  <c r="T324" i="4"/>
  <c r="T277" i="4"/>
  <c r="T374" i="4"/>
  <c r="T1184" i="2"/>
  <c r="T1264" i="2"/>
  <c r="AF113" i="10"/>
  <c r="AE61" i="1"/>
  <c r="AF60" i="1"/>
  <c r="Y136" i="10"/>
  <c r="Y188" i="4" s="1"/>
  <c r="Y93" i="10"/>
  <c r="Y168" i="4" s="1"/>
  <c r="Y135" i="10"/>
  <c r="Y133" i="10"/>
  <c r="Y65" i="10"/>
  <c r="Y97" i="10"/>
  <c r="Y176" i="4" s="1"/>
  <c r="Y70" i="10"/>
  <c r="Y71" i="10" s="1"/>
  <c r="Y72" i="10" s="1"/>
  <c r="Y27" i="2" l="1"/>
  <c r="X970" i="2"/>
  <c r="W827" i="2"/>
  <c r="D162" i="7"/>
  <c r="D95" i="7"/>
  <c r="D96" i="7"/>
  <c r="D125" i="7"/>
  <c r="X379" i="2"/>
  <c r="X403" i="2" s="1"/>
  <c r="W395" i="2"/>
  <c r="X508" i="2"/>
  <c r="U41" i="4"/>
  <c r="W387" i="2"/>
  <c r="V471" i="2"/>
  <c r="V473" i="2" s="1"/>
  <c r="V527" i="2" s="1"/>
  <c r="W971" i="2"/>
  <c r="Y503" i="2"/>
  <c r="Z505" i="2"/>
  <c r="Z501" i="2"/>
  <c r="Z506" i="2"/>
  <c r="Z502" i="2"/>
  <c r="X498" i="2"/>
  <c r="X55" i="4"/>
  <c r="Y1120" i="2"/>
  <c r="Y1121" i="2" s="1"/>
  <c r="V996" i="2"/>
  <c r="Y493" i="2"/>
  <c r="Z495" i="2"/>
  <c r="Z491" i="2"/>
  <c r="Z492" i="2"/>
  <c r="Z496" i="2"/>
  <c r="X967" i="2"/>
  <c r="X966" i="2"/>
  <c r="V396" i="2"/>
  <c r="V394" i="2" s="1"/>
  <c r="W853" i="2"/>
  <c r="Y49" i="2"/>
  <c r="Y50" i="2" s="1"/>
  <c r="Z348" i="2"/>
  <c r="Z345" i="2" s="1"/>
  <c r="Z344" i="2"/>
  <c r="Y346" i="2"/>
  <c r="V386" i="2"/>
  <c r="Z339" i="2"/>
  <c r="Z336" i="2" s="1"/>
  <c r="Z335" i="2"/>
  <c r="Y337" i="2"/>
  <c r="X341" i="2"/>
  <c r="X342" i="2" s="1"/>
  <c r="X38" i="4" s="1"/>
  <c r="V315" i="2"/>
  <c r="V35" i="4" s="1"/>
  <c r="Y328" i="2"/>
  <c r="Z68" i="2"/>
  <c r="Z330" i="2"/>
  <c r="Z327" i="2" s="1"/>
  <c r="Z326" i="2"/>
  <c r="W801" i="2"/>
  <c r="R1219" i="2"/>
  <c r="S1218" i="2" s="1"/>
  <c r="U93" i="4"/>
  <c r="Y169" i="2"/>
  <c r="Y170" i="2" s="1"/>
  <c r="W383" i="2"/>
  <c r="W404" i="2" s="1"/>
  <c r="W371" i="2"/>
  <c r="W372" i="2" s="1"/>
  <c r="W43" i="4" s="1"/>
  <c r="Y297" i="2"/>
  <c r="Y298" i="2" s="1"/>
  <c r="W403" i="2"/>
  <c r="X310" i="2"/>
  <c r="S239" i="4"/>
  <c r="G491" i="4"/>
  <c r="G1326" i="2"/>
  <c r="S576" i="2"/>
  <c r="Y107" i="2"/>
  <c r="Y87" i="2"/>
  <c r="W128" i="2"/>
  <c r="V129" i="2"/>
  <c r="U133" i="2"/>
  <c r="U574" i="2" s="1"/>
  <c r="V130" i="2"/>
  <c r="V1291" i="2" s="1"/>
  <c r="V431" i="4" s="1"/>
  <c r="V517" i="2"/>
  <c r="Y67" i="2"/>
  <c r="V6" i="4"/>
  <c r="V1000" i="2"/>
  <c r="V55" i="10"/>
  <c r="V412" i="2"/>
  <c r="V484" i="4" s="1"/>
  <c r="V1096" i="2"/>
  <c r="V25" i="4"/>
  <c r="V233" i="4"/>
  <c r="V124" i="4"/>
  <c r="V408" i="4"/>
  <c r="V68" i="1"/>
  <c r="V113" i="1"/>
  <c r="V1056" i="2"/>
  <c r="V638" i="2"/>
  <c r="V1189" i="2"/>
  <c r="V1" i="10"/>
  <c r="V317" i="4"/>
  <c r="V284" i="2"/>
  <c r="V69" i="4"/>
  <c r="V423" i="2"/>
  <c r="V159" i="4"/>
  <c r="V91" i="4"/>
  <c r="V90" i="10"/>
  <c r="V205" i="4"/>
  <c r="V366" i="4"/>
  <c r="V1" i="5"/>
  <c r="V269" i="4"/>
  <c r="V102" i="10"/>
  <c r="V1" i="4"/>
  <c r="V1" i="2"/>
  <c r="V1" i="1"/>
  <c r="V570" i="2"/>
  <c r="U116" i="10"/>
  <c r="R775" i="2"/>
  <c r="R995" i="2" s="1"/>
  <c r="V1142" i="2"/>
  <c r="V4" i="5"/>
  <c r="V4" i="4"/>
  <c r="V14" i="4"/>
  <c r="V1269" i="2"/>
  <c r="W1299" i="2"/>
  <c r="V38" i="1"/>
  <c r="V4" i="2"/>
  <c r="V14" i="1"/>
  <c r="V140" i="2"/>
  <c r="U45" i="4"/>
  <c r="J115" i="4"/>
  <c r="K104" i="4"/>
  <c r="I1331" i="2"/>
  <c r="I1332" i="2" s="1"/>
  <c r="I1330" i="2"/>
  <c r="W323" i="2"/>
  <c r="W324" i="2" s="1"/>
  <c r="W36" i="4" s="1"/>
  <c r="W54" i="4"/>
  <c r="U117" i="10"/>
  <c r="U115" i="10" s="1"/>
  <c r="V112" i="10" s="1"/>
  <c r="AB520" i="2"/>
  <c r="AB454" i="2"/>
  <c r="AB474" i="2"/>
  <c r="AB484" i="2"/>
  <c r="AB464" i="2"/>
  <c r="M983" i="2"/>
  <c r="M175" i="4" s="1"/>
  <c r="N935" i="2"/>
  <c r="W1014" i="2"/>
  <c r="X1013" i="2"/>
  <c r="X955" i="2"/>
  <c r="M957" i="2"/>
  <c r="M771" i="2"/>
  <c r="X962" i="2"/>
  <c r="X28" i="1"/>
  <c r="X27" i="1"/>
  <c r="Y26" i="1"/>
  <c r="X29" i="1"/>
  <c r="M953" i="2"/>
  <c r="M63" i="4" s="1"/>
  <c r="M767" i="2"/>
  <c r="L173" i="4"/>
  <c r="L179" i="4" s="1"/>
  <c r="L1316" i="2"/>
  <c r="L1313" i="2" s="1"/>
  <c r="N877" i="2"/>
  <c r="N968" i="2" s="1"/>
  <c r="AB311" i="2"/>
  <c r="AB368" i="2"/>
  <c r="AB359" i="2"/>
  <c r="AB320" i="2"/>
  <c r="AB380" i="2"/>
  <c r="N612" i="2"/>
  <c r="N613" i="2" s="1"/>
  <c r="W34" i="1"/>
  <c r="M882" i="2"/>
  <c r="M973" i="2" s="1"/>
  <c r="AB235" i="2"/>
  <c r="AB259" i="2"/>
  <c r="K463" i="4"/>
  <c r="K436" i="4"/>
  <c r="K494" i="4"/>
  <c r="X219" i="4"/>
  <c r="W220" i="4"/>
  <c r="W956" i="2"/>
  <c r="X952" i="2"/>
  <c r="X951" i="2"/>
  <c r="Z834" i="2"/>
  <c r="Z831" i="2"/>
  <c r="X848" i="2"/>
  <c r="X849" i="2" s="1"/>
  <c r="X847" i="2"/>
  <c r="X843" i="2" s="1"/>
  <c r="X844" i="2"/>
  <c r="X845" i="2" s="1"/>
  <c r="Y852" i="2"/>
  <c r="Y842" i="2"/>
  <c r="Y846" i="2"/>
  <c r="Y837" i="2" s="1"/>
  <c r="Y78" i="4" s="1"/>
  <c r="V299" i="7" s="1"/>
  <c r="Y840" i="2"/>
  <c r="Y841" i="2"/>
  <c r="X821" i="2"/>
  <c r="X817" i="2" s="1"/>
  <c r="X827" i="2" s="1"/>
  <c r="X822" i="2"/>
  <c r="X823" i="2" s="1"/>
  <c r="X818" i="2"/>
  <c r="X819" i="2" s="1"/>
  <c r="W765" i="2"/>
  <c r="Z808" i="2"/>
  <c r="Z805" i="2"/>
  <c r="Y814" i="2"/>
  <c r="Y815" i="2"/>
  <c r="X759" i="2"/>
  <c r="X75" i="4" s="1"/>
  <c r="U296" i="7" s="1"/>
  <c r="Y826" i="2"/>
  <c r="Y816" i="2"/>
  <c r="Y820" i="2"/>
  <c r="Y811" i="2" s="1"/>
  <c r="Y77" i="4" s="1"/>
  <c r="V298" i="7" s="1"/>
  <c r="R437" i="4"/>
  <c r="R496" i="4"/>
  <c r="Y800" i="2"/>
  <c r="Y790" i="2"/>
  <c r="Y794" i="2"/>
  <c r="Y785" i="2" s="1"/>
  <c r="Y76" i="4" s="1"/>
  <c r="V297" i="7" s="1"/>
  <c r="X795" i="2"/>
  <c r="X791" i="2" s="1"/>
  <c r="X796" i="2"/>
  <c r="X797" i="2" s="1"/>
  <c r="X792" i="2"/>
  <c r="X793" i="2" s="1"/>
  <c r="Y788" i="2"/>
  <c r="Y789" i="2"/>
  <c r="Z782" i="2"/>
  <c r="Z779" i="2"/>
  <c r="Z756" i="2"/>
  <c r="Z753" i="2"/>
  <c r="Y762" i="2"/>
  <c r="Y763" i="2"/>
  <c r="Y774" i="2"/>
  <c r="Y768" i="2"/>
  <c r="Y764" i="2"/>
  <c r="Y481" i="2"/>
  <c r="Y483" i="2" s="1"/>
  <c r="X769" i="2"/>
  <c r="V41" i="4"/>
  <c r="W627" i="2"/>
  <c r="W626" i="2" s="1"/>
  <c r="W184" i="4" s="1"/>
  <c r="X746" i="2"/>
  <c r="W64" i="2"/>
  <c r="X7" i="4"/>
  <c r="V52" i="2"/>
  <c r="V51" i="2"/>
  <c r="X63" i="2"/>
  <c r="Z61" i="2"/>
  <c r="Z58" i="2"/>
  <c r="Z47" i="2"/>
  <c r="U409" i="2"/>
  <c r="U96" i="4"/>
  <c r="U393" i="2"/>
  <c r="U484" i="4"/>
  <c r="U414" i="2"/>
  <c r="U617" i="2" s="1"/>
  <c r="U618" i="2" s="1"/>
  <c r="U615" i="2" s="1"/>
  <c r="U186" i="4" s="1"/>
  <c r="U430" i="4"/>
  <c r="U410" i="2"/>
  <c r="S419" i="2"/>
  <c r="S1323" i="2" s="1"/>
  <c r="S464" i="4" s="1"/>
  <c r="U413" i="2"/>
  <c r="U416" i="2" s="1"/>
  <c r="U1322" i="2" s="1"/>
  <c r="W83" i="2"/>
  <c r="W84" i="2" s="1"/>
  <c r="S97" i="4"/>
  <c r="R48" i="4"/>
  <c r="V45" i="4"/>
  <c r="X358" i="2"/>
  <c r="S60" i="4"/>
  <c r="R102" i="4"/>
  <c r="R94" i="4"/>
  <c r="W10" i="4"/>
  <c r="T97" i="4"/>
  <c r="T94" i="4" s="1"/>
  <c r="Y743" i="2"/>
  <c r="Y945" i="2" s="1"/>
  <c r="Q1253" i="2"/>
  <c r="Q1248" i="2" s="1"/>
  <c r="R1232" i="2"/>
  <c r="R212" i="4"/>
  <c r="R373" i="4"/>
  <c r="R276" i="4"/>
  <c r="D196" i="7" s="1"/>
  <c r="T1243" i="2"/>
  <c r="T1258" i="2"/>
  <c r="Q212" i="4"/>
  <c r="Q373" i="4"/>
  <c r="Q276" i="4"/>
  <c r="S1233" i="2"/>
  <c r="Z1235" i="2"/>
  <c r="Y439" i="2"/>
  <c r="Y440" i="2" s="1"/>
  <c r="Y445" i="2" s="1"/>
  <c r="Y742" i="2"/>
  <c r="Y944" i="2" s="1"/>
  <c r="Z737" i="2"/>
  <c r="Z742" i="2" s="1"/>
  <c r="Z944" i="2" s="1"/>
  <c r="X963" i="2"/>
  <c r="X139" i="4" s="1"/>
  <c r="X142" i="4"/>
  <c r="Z896" i="2"/>
  <c r="Z890" i="2"/>
  <c r="X928" i="2"/>
  <c r="X85" i="4" s="1"/>
  <c r="U306" i="7" s="1"/>
  <c r="X984" i="2"/>
  <c r="X978" i="2" s="1"/>
  <c r="X911" i="2"/>
  <c r="X912" i="2" s="1"/>
  <c r="X910" i="2"/>
  <c r="X906" i="2" s="1"/>
  <c r="X916" i="2" s="1"/>
  <c r="X907" i="2"/>
  <c r="X908" i="2" s="1"/>
  <c r="Y902" i="2"/>
  <c r="Y904" i="2"/>
  <c r="Y905" i="2"/>
  <c r="W934" i="2"/>
  <c r="W941" i="2" s="1"/>
  <c r="W985" i="2"/>
  <c r="Y915" i="2"/>
  <c r="Y909" i="2"/>
  <c r="Y899" i="2" s="1"/>
  <c r="Y82" i="4" s="1"/>
  <c r="V303" i="7" s="1"/>
  <c r="Y318" i="2"/>
  <c r="Y319" i="2" s="1"/>
  <c r="Q272" i="2"/>
  <c r="Q607" i="2" s="1"/>
  <c r="U202" i="2"/>
  <c r="U276" i="2" s="1"/>
  <c r="U592" i="2" s="1"/>
  <c r="Z925" i="2"/>
  <c r="Z923" i="2"/>
  <c r="W708" i="2"/>
  <c r="Y940" i="2"/>
  <c r="Y988" i="2" s="1"/>
  <c r="Y933" i="2"/>
  <c r="Y981" i="2" s="1"/>
  <c r="Y937" i="2"/>
  <c r="X938" i="2"/>
  <c r="Y931" i="2"/>
  <c r="Y932" i="2"/>
  <c r="Y980" i="2" s="1"/>
  <c r="S28" i="4"/>
  <c r="X869" i="2"/>
  <c r="X81" i="4" s="1"/>
  <c r="U302" i="7" s="1"/>
  <c r="W876" i="2"/>
  <c r="W886" i="2" s="1"/>
  <c r="S216" i="2"/>
  <c r="Z866" i="2"/>
  <c r="Z860" i="2"/>
  <c r="Y885" i="2"/>
  <c r="Y879" i="2"/>
  <c r="Y872" i="2"/>
  <c r="Y874" i="2"/>
  <c r="Y875" i="2"/>
  <c r="T204" i="2"/>
  <c r="T217" i="2" s="1"/>
  <c r="X880" i="2"/>
  <c r="W678" i="2"/>
  <c r="Y357" i="2"/>
  <c r="Y358" i="2" s="1"/>
  <c r="Y378" i="2"/>
  <c r="Y379" i="2" s="1"/>
  <c r="Y403" i="2" s="1"/>
  <c r="T61" i="4"/>
  <c r="T60" i="4" s="1"/>
  <c r="T102" i="4" s="1"/>
  <c r="T524" i="2"/>
  <c r="T554" i="2" s="1"/>
  <c r="T1302" i="2" s="1"/>
  <c r="T553" i="2"/>
  <c r="T565" i="2" s="1"/>
  <c r="U519" i="2"/>
  <c r="S559" i="2"/>
  <c r="S552" i="2"/>
  <c r="S566" i="2" s="1"/>
  <c r="R562" i="2"/>
  <c r="R564" i="2" s="1"/>
  <c r="S560" i="2"/>
  <c r="O258" i="2"/>
  <c r="O273" i="2" s="1"/>
  <c r="O127" i="4" s="1"/>
  <c r="U533" i="2"/>
  <c r="U478" i="2"/>
  <c r="U528" i="2" s="1"/>
  <c r="U53" i="4"/>
  <c r="T534" i="2"/>
  <c r="S536" i="2"/>
  <c r="S538" i="2" s="1"/>
  <c r="P1301" i="2"/>
  <c r="T526" i="2"/>
  <c r="Y366" i="2"/>
  <c r="Y367" i="2" s="1"/>
  <c r="S252" i="2"/>
  <c r="S264" i="2" s="1"/>
  <c r="R264" i="2"/>
  <c r="R274" i="2" s="1"/>
  <c r="R1292" i="2" s="1"/>
  <c r="R30" i="4"/>
  <c r="R271" i="2"/>
  <c r="Q256" i="2"/>
  <c r="Q279" i="2" s="1"/>
  <c r="Q611" i="2" s="1"/>
  <c r="Y69" i="2"/>
  <c r="R588" i="2"/>
  <c r="O612" i="2"/>
  <c r="R262" i="4"/>
  <c r="Q486" i="4"/>
  <c r="Q432" i="4"/>
  <c r="Q459" i="4"/>
  <c r="R269" i="2"/>
  <c r="R254" i="2"/>
  <c r="V219" i="2"/>
  <c r="V221" i="2" s="1"/>
  <c r="V243" i="2"/>
  <c r="S275" i="2"/>
  <c r="S586" i="2" s="1"/>
  <c r="S587" i="2" s="1"/>
  <c r="S588" i="2" s="1"/>
  <c r="N127" i="4"/>
  <c r="N280" i="2"/>
  <c r="P256" i="2"/>
  <c r="U245" i="2"/>
  <c r="U268" i="2" s="1"/>
  <c r="U95" i="4" s="1"/>
  <c r="Q254" i="2"/>
  <c r="Q278" i="2" s="1"/>
  <c r="Q604" i="2" s="1"/>
  <c r="Q605" i="2" s="1"/>
  <c r="Q606" i="2" s="1"/>
  <c r="Q269" i="2"/>
  <c r="T246" i="2"/>
  <c r="T275" i="2" s="1"/>
  <c r="T586" i="2" s="1"/>
  <c r="T248" i="2"/>
  <c r="T277" i="2" s="1"/>
  <c r="R230" i="2"/>
  <c r="R229" i="2"/>
  <c r="R272" i="2" s="1"/>
  <c r="R607" i="2" s="1"/>
  <c r="T228" i="2"/>
  <c r="S29" i="4"/>
  <c r="S241" i="2"/>
  <c r="S230" i="2" s="1"/>
  <c r="S240" i="2"/>
  <c r="U224" i="2"/>
  <c r="U222" i="2"/>
  <c r="X70" i="2"/>
  <c r="Z260" i="2"/>
  <c r="Z262" i="2"/>
  <c r="Z244" i="2"/>
  <c r="Z250" i="2"/>
  <c r="W197" i="2"/>
  <c r="W19" i="4" s="1"/>
  <c r="W18" i="4" s="1"/>
  <c r="R208" i="2"/>
  <c r="R210" i="2" s="1"/>
  <c r="Z236" i="2"/>
  <c r="Z238" i="2"/>
  <c r="Z220" i="2"/>
  <c r="Z226" i="2"/>
  <c r="W8" i="4"/>
  <c r="X488" i="2"/>
  <c r="X54" i="4"/>
  <c r="Z485" i="2"/>
  <c r="Z486" i="2"/>
  <c r="Z482" i="2"/>
  <c r="Z475" i="2"/>
  <c r="Z476" i="2"/>
  <c r="Z472" i="2"/>
  <c r="X468" i="2"/>
  <c r="X52" i="4"/>
  <c r="Y463" i="2"/>
  <c r="Z465" i="2"/>
  <c r="Z466" i="2"/>
  <c r="Z462" i="2"/>
  <c r="Y309" i="2"/>
  <c r="Y310" i="2" s="1"/>
  <c r="Z521" i="2"/>
  <c r="Z522" i="2"/>
  <c r="Z518" i="2"/>
  <c r="V529" i="2"/>
  <c r="X51" i="4"/>
  <c r="X458" i="2"/>
  <c r="Y453" i="2"/>
  <c r="Z455" i="2"/>
  <c r="Z456" i="2"/>
  <c r="Z452" i="2"/>
  <c r="W123" i="2"/>
  <c r="W124" i="2" s="1"/>
  <c r="Y109" i="2"/>
  <c r="X110" i="2"/>
  <c r="X10" i="4" s="1"/>
  <c r="W730" i="2"/>
  <c r="V19" i="4"/>
  <c r="V18" i="4" s="1"/>
  <c r="V112" i="2"/>
  <c r="V111" i="2"/>
  <c r="W103" i="2"/>
  <c r="W104" i="2" s="1"/>
  <c r="Y89" i="2"/>
  <c r="X90" i="2"/>
  <c r="P261" i="4"/>
  <c r="Q261" i="4"/>
  <c r="R599" i="2"/>
  <c r="T397" i="2"/>
  <c r="S401" i="2"/>
  <c r="S598" i="2"/>
  <c r="S599" i="2" s="1"/>
  <c r="S596" i="2" s="1"/>
  <c r="S164" i="4" s="1"/>
  <c r="U131" i="2"/>
  <c r="V91" i="2"/>
  <c r="Z317" i="2"/>
  <c r="Z321" i="2"/>
  <c r="V92" i="2"/>
  <c r="W315" i="2"/>
  <c r="W35" i="4" s="1"/>
  <c r="Z308" i="2"/>
  <c r="Z312" i="2"/>
  <c r="U485" i="4"/>
  <c r="U458" i="4"/>
  <c r="Z377" i="2"/>
  <c r="Z381" i="2"/>
  <c r="Z365" i="2"/>
  <c r="Z369" i="2"/>
  <c r="W363" i="2"/>
  <c r="W42" i="4" s="1"/>
  <c r="Z356" i="2"/>
  <c r="Z360" i="2"/>
  <c r="AA62" i="10"/>
  <c r="AA57" i="10"/>
  <c r="AB117" i="2"/>
  <c r="AB97" i="2"/>
  <c r="V108" i="10"/>
  <c r="W105" i="10" s="1"/>
  <c r="V1199" i="2"/>
  <c r="S260" i="4"/>
  <c r="R260" i="4"/>
  <c r="T572" i="2"/>
  <c r="T162" i="4" s="1"/>
  <c r="T576" i="2"/>
  <c r="Z121" i="2"/>
  <c r="Z118" i="2"/>
  <c r="Z108" i="2"/>
  <c r="W1118" i="2"/>
  <c r="W1119" i="2" s="1"/>
  <c r="W1117" i="2" s="1"/>
  <c r="T1105" i="2"/>
  <c r="Z101" i="2"/>
  <c r="Z98" i="2"/>
  <c r="Z88" i="2"/>
  <c r="T181" i="2"/>
  <c r="T183" i="2" s="1"/>
  <c r="V71" i="2"/>
  <c r="X171" i="2"/>
  <c r="X177" i="2" s="1"/>
  <c r="X190" i="2" s="1"/>
  <c r="U179" i="2"/>
  <c r="V11" i="2"/>
  <c r="W11" i="2" s="1"/>
  <c r="T615" i="2"/>
  <c r="T186" i="4" s="1"/>
  <c r="Q210" i="2"/>
  <c r="S205" i="2"/>
  <c r="V164" i="2"/>
  <c r="V72" i="2"/>
  <c r="W177" i="2"/>
  <c r="W189" i="2" s="1"/>
  <c r="P602" i="2"/>
  <c r="P183" i="4" s="1"/>
  <c r="W10" i="2"/>
  <c r="S594" i="2"/>
  <c r="W152" i="2"/>
  <c r="W164" i="2" s="1"/>
  <c r="AG113" i="10"/>
  <c r="U374" i="4"/>
  <c r="U277" i="4"/>
  <c r="U324" i="4"/>
  <c r="U1184" i="2"/>
  <c r="U1264" i="2"/>
  <c r="V189" i="2"/>
  <c r="V190" i="2"/>
  <c r="U181" i="2" s="1"/>
  <c r="X652" i="2"/>
  <c r="AB290" i="2"/>
  <c r="AB299" i="2"/>
  <c r="AF86" i="1"/>
  <c r="Y720" i="2"/>
  <c r="Y721" i="2"/>
  <c r="Y729" i="2"/>
  <c r="Y722" i="2"/>
  <c r="Y726" i="2"/>
  <c r="Y717" i="2" s="1"/>
  <c r="Z370" i="4"/>
  <c r="Z194" i="4"/>
  <c r="Z298" i="4"/>
  <c r="Z389" i="4"/>
  <c r="Z283" i="4"/>
  <c r="Z273" i="4"/>
  <c r="Z347" i="4"/>
  <c r="Z189" i="4"/>
  <c r="Z412" i="4"/>
  <c r="Z384" i="4"/>
  <c r="Z342" i="4"/>
  <c r="Z293" i="4"/>
  <c r="Z169" i="4"/>
  <c r="Z178" i="4"/>
  <c r="Z332" i="4"/>
  <c r="Z321" i="4"/>
  <c r="Z199" i="4"/>
  <c r="U1310" i="2"/>
  <c r="X702" i="2"/>
  <c r="X698" i="2" s="1"/>
  <c r="X703" i="2"/>
  <c r="X704" i="2" s="1"/>
  <c r="X699" i="2"/>
  <c r="X700" i="2" s="1"/>
  <c r="AB77" i="2"/>
  <c r="AB35" i="2"/>
  <c r="AB16" i="2"/>
  <c r="AG106" i="10"/>
  <c r="V198" i="2"/>
  <c r="V200" i="2"/>
  <c r="Y1039" i="2"/>
  <c r="Y1038" i="2"/>
  <c r="Y1280" i="2"/>
  <c r="Y1282" i="2" s="1"/>
  <c r="Y289" i="2"/>
  <c r="X293" i="2"/>
  <c r="X294" i="2" s="1"/>
  <c r="V154" i="2"/>
  <c r="W110" i="10"/>
  <c r="W108" i="10" s="1"/>
  <c r="X105" i="10" s="1"/>
  <c r="AA1091" i="2"/>
  <c r="AA1090" i="2" s="1"/>
  <c r="Z1092" i="2"/>
  <c r="AB441" i="2"/>
  <c r="AB430" i="2"/>
  <c r="AG75" i="10"/>
  <c r="X148" i="2"/>
  <c r="X146" i="2"/>
  <c r="Z1012" i="2"/>
  <c r="Z1011" i="2" s="1"/>
  <c r="Z427" i="2"/>
  <c r="Z296" i="2"/>
  <c r="Z287" i="2"/>
  <c r="Z162" i="2"/>
  <c r="Z78" i="2"/>
  <c r="Z8" i="2"/>
  <c r="Z1273" i="2"/>
  <c r="Z1146" i="2"/>
  <c r="Z1147" i="2" s="1"/>
  <c r="Z1033" i="2"/>
  <c r="Z682" i="2"/>
  <c r="Z557" i="2"/>
  <c r="Z36" i="2"/>
  <c r="Z26" i="2"/>
  <c r="Z25" i="2" s="1"/>
  <c r="Z17" i="2"/>
  <c r="Z7" i="2"/>
  <c r="Z1281" i="2"/>
  <c r="Z1272" i="2"/>
  <c r="Z1032" i="2"/>
  <c r="Z1031" i="2" s="1"/>
  <c r="Z659" i="2"/>
  <c r="Z628" i="2"/>
  <c r="Z629" i="2" s="1"/>
  <c r="Z555" i="2"/>
  <c r="Z544" i="2"/>
  <c r="Z443" i="2"/>
  <c r="Z407" i="2"/>
  <c r="Z214" i="2"/>
  <c r="Z160" i="2"/>
  <c r="Z1278" i="2"/>
  <c r="Z1108" i="2"/>
  <c r="Z1109" i="2" s="1"/>
  <c r="Z1037" i="2"/>
  <c r="Z1029" i="2"/>
  <c r="Z712" i="2"/>
  <c r="Z389" i="2"/>
  <c r="Z187" i="2"/>
  <c r="Z144" i="2"/>
  <c r="Z81" i="2"/>
  <c r="Z1279" i="2"/>
  <c r="Z1201" i="2"/>
  <c r="Z1202" i="2" s="1"/>
  <c r="Z391" i="2"/>
  <c r="Z291" i="2"/>
  <c r="Z19" i="2"/>
  <c r="Z1335" i="2"/>
  <c r="Z1220" i="2"/>
  <c r="Z1221" i="2" s="1"/>
  <c r="Z1150" i="2"/>
  <c r="Z1151" i="2" s="1"/>
  <c r="Z1028" i="2"/>
  <c r="Z688" i="2"/>
  <c r="Z442" i="2"/>
  <c r="Z1026" i="2"/>
  <c r="Z656" i="2"/>
  <c r="Z212" i="2"/>
  <c r="Z1275" i="2"/>
  <c r="Z1136" i="2"/>
  <c r="Z1017" i="2"/>
  <c r="Z542" i="2"/>
  <c r="Z438" i="2"/>
  <c r="Z437" i="2" s="1"/>
  <c r="Z300" i="2"/>
  <c r="Z185" i="2"/>
  <c r="Z643" i="2"/>
  <c r="Z168" i="2"/>
  <c r="Z167" i="2" s="1"/>
  <c r="Z39" i="2"/>
  <c r="Z27" i="2" s="1"/>
  <c r="Z623" i="2"/>
  <c r="Z624" i="2" s="1"/>
  <c r="Z432" i="2"/>
  <c r="Z431" i="2"/>
  <c r="Z288" i="2"/>
  <c r="Z428" i="2"/>
  <c r="Z143" i="2"/>
  <c r="Z714" i="2"/>
  <c r="Z405" i="2"/>
  <c r="Z531" i="2"/>
  <c r="Z150" i="2"/>
  <c r="Z1208" i="2"/>
  <c r="Z1209" i="2" s="1"/>
  <c r="Z175" i="2"/>
  <c r="Z1178" i="2"/>
  <c r="Z197" i="4" s="1"/>
  <c r="Y28" i="2"/>
  <c r="AF55" i="1"/>
  <c r="AG54" i="1"/>
  <c r="AA80" i="1"/>
  <c r="AB81" i="1"/>
  <c r="X41" i="2"/>
  <c r="X42" i="2" s="1"/>
  <c r="X502" i="4"/>
  <c r="X440" i="4"/>
  <c r="X467" i="4"/>
  <c r="T1322" i="2"/>
  <c r="Y694" i="2"/>
  <c r="Y696" i="2"/>
  <c r="Y697" i="2"/>
  <c r="AG68" i="10"/>
  <c r="Y145" i="2"/>
  <c r="U1107" i="2"/>
  <c r="U1105" i="2" s="1"/>
  <c r="V153" i="2"/>
  <c r="Q85" i="10"/>
  <c r="W539" i="2"/>
  <c r="W546" i="2"/>
  <c r="V549" i="2"/>
  <c r="V551" i="2" s="1"/>
  <c r="W547" i="2"/>
  <c r="V399" i="2"/>
  <c r="AF61" i="1"/>
  <c r="AG60" i="1"/>
  <c r="X727" i="2"/>
  <c r="X723" i="2" s="1"/>
  <c r="X724" i="2"/>
  <c r="X725" i="2" s="1"/>
  <c r="AA2" i="5"/>
  <c r="AA2" i="4"/>
  <c r="AA2" i="2"/>
  <c r="AA2" i="10"/>
  <c r="AA2" i="1"/>
  <c r="AB25" i="1"/>
  <c r="T593" i="2"/>
  <c r="T590" i="2" s="1"/>
  <c r="T165" i="4" s="1"/>
  <c r="T497" i="4"/>
  <c r="O79" i="10"/>
  <c r="Y1274" i="2"/>
  <c r="Y1276" i="2" s="1"/>
  <c r="Y707" i="2"/>
  <c r="Y701" i="2"/>
  <c r="Y691" i="2" s="1"/>
  <c r="V138" i="4"/>
  <c r="V144" i="4" s="1"/>
  <c r="V990" i="2"/>
  <c r="W30" i="2"/>
  <c r="AH82" i="10"/>
  <c r="AB1063" i="2"/>
  <c r="AB1062" i="2" s="1"/>
  <c r="AA1061" i="2"/>
  <c r="U156" i="2"/>
  <c r="U158" i="2" s="1"/>
  <c r="X197" i="2"/>
  <c r="X194" i="2"/>
  <c r="V1307" i="2"/>
  <c r="Z146" i="1"/>
  <c r="Z59" i="1"/>
  <c r="Z120" i="1"/>
  <c r="Z45" i="1"/>
  <c r="Z44" i="1"/>
  <c r="Z53" i="1"/>
  <c r="Z131" i="1"/>
  <c r="Z123" i="1"/>
  <c r="Z140" i="1"/>
  <c r="W177" i="4"/>
  <c r="AC292" i="4"/>
  <c r="AC341" i="4"/>
  <c r="AC383" i="4"/>
  <c r="AC47" i="1"/>
  <c r="AC57" i="2" s="1"/>
  <c r="AC49" i="1"/>
  <c r="AC48" i="1"/>
  <c r="AC50" i="1"/>
  <c r="AD43" i="1"/>
  <c r="W440" i="4"/>
  <c r="W502" i="4"/>
  <c r="W467" i="4"/>
  <c r="Y647" i="2"/>
  <c r="Y650" i="2" s="1"/>
  <c r="Y648" i="2"/>
  <c r="Y649" i="2"/>
  <c r="Y429" i="2"/>
  <c r="Y434" i="2" s="1"/>
  <c r="Y172" i="4"/>
  <c r="X673" i="2"/>
  <c r="X674" i="2" s="1"/>
  <c r="X672" i="2"/>
  <c r="X668" i="2" s="1"/>
  <c r="X669" i="2"/>
  <c r="X670" i="2" s="1"/>
  <c r="X21" i="2"/>
  <c r="X22" i="2" s="1"/>
  <c r="T419" i="2"/>
  <c r="T1323" i="2" s="1"/>
  <c r="Z65" i="10"/>
  <c r="Z133" i="10"/>
  <c r="Z97" i="10"/>
  <c r="Z176" i="4" s="1"/>
  <c r="Z93" i="10"/>
  <c r="Z168" i="4" s="1"/>
  <c r="Z136" i="10"/>
  <c r="Z188" i="4" s="1"/>
  <c r="Z135" i="10"/>
  <c r="Z70" i="10"/>
  <c r="Z71" i="10" s="1"/>
  <c r="Z72" i="10" s="1"/>
  <c r="W991" i="2"/>
  <c r="W1305" i="2" s="1"/>
  <c r="W949" i="2"/>
  <c r="AA87" i="1"/>
  <c r="Z91" i="1"/>
  <c r="AB159" i="2"/>
  <c r="AB184" i="2"/>
  <c r="AB211" i="2"/>
  <c r="S206" i="2"/>
  <c r="Y677" i="2"/>
  <c r="Y667" i="2"/>
  <c r="Y671" i="2"/>
  <c r="Y662" i="2" s="1"/>
  <c r="Y9" i="2"/>
  <c r="Y629" i="2"/>
  <c r="Y665" i="2"/>
  <c r="Y666" i="2"/>
  <c r="AA1084" i="2"/>
  <c r="AB1083" i="2"/>
  <c r="AB1082" i="2" s="1"/>
  <c r="X853" i="2" l="1"/>
  <c r="X971" i="2"/>
  <c r="Z1120" i="2"/>
  <c r="Z1121" i="2" s="1"/>
  <c r="Y970" i="2"/>
  <c r="X801" i="2"/>
  <c r="D159" i="7"/>
  <c r="D167" i="7"/>
  <c r="D115" i="7"/>
  <c r="D97" i="7"/>
  <c r="X387" i="2"/>
  <c r="X383" i="2"/>
  <c r="X404" i="2" s="1"/>
  <c r="X402" i="2" s="1"/>
  <c r="W471" i="2"/>
  <c r="W473" i="2" s="1"/>
  <c r="W527" i="2" s="1"/>
  <c r="V34" i="4"/>
  <c r="Y508" i="2"/>
  <c r="Y56" i="4"/>
  <c r="Y966" i="2"/>
  <c r="Z503" i="2"/>
  <c r="Z49" i="2"/>
  <c r="Z50" i="2" s="1"/>
  <c r="AA502" i="2"/>
  <c r="AA506" i="2"/>
  <c r="AA505" i="2"/>
  <c r="AA501" i="2"/>
  <c r="Y498" i="2"/>
  <c r="Y55" i="4"/>
  <c r="W996" i="2"/>
  <c r="Y977" i="2"/>
  <c r="Z493" i="2"/>
  <c r="AA496" i="2"/>
  <c r="AA491" i="2"/>
  <c r="AA492" i="2"/>
  <c r="AA495" i="2"/>
  <c r="Y967" i="2"/>
  <c r="Z411" i="2"/>
  <c r="Y395" i="2"/>
  <c r="X362" i="2"/>
  <c r="X396" i="2" s="1"/>
  <c r="X395" i="2"/>
  <c r="W396" i="2"/>
  <c r="W394" i="2" s="1"/>
  <c r="Y387" i="2"/>
  <c r="W388" i="2"/>
  <c r="W386" i="2" s="1"/>
  <c r="Y350" i="2"/>
  <c r="Y351" i="2" s="1"/>
  <c r="Y39" i="4" s="1"/>
  <c r="Z346" i="2"/>
  <c r="Z481" i="2"/>
  <c r="Z483" i="2" s="1"/>
  <c r="AA348" i="2"/>
  <c r="AA345" i="2" s="1"/>
  <c r="AA344" i="2"/>
  <c r="Z169" i="2"/>
  <c r="Z170" i="2" s="1"/>
  <c r="U237" i="4"/>
  <c r="Z337" i="2"/>
  <c r="Z341" i="2" s="1"/>
  <c r="Z342" i="2" s="1"/>
  <c r="Z38" i="4" s="1"/>
  <c r="Y341" i="2"/>
  <c r="Y342" i="2" s="1"/>
  <c r="Y38" i="4" s="1"/>
  <c r="AA335" i="2"/>
  <c r="AA339" i="2"/>
  <c r="AA336" i="2" s="1"/>
  <c r="W402" i="2"/>
  <c r="W384" i="2"/>
  <c r="W46" i="4" s="1"/>
  <c r="Z328" i="2"/>
  <c r="Z332" i="2" s="1"/>
  <c r="Z333" i="2" s="1"/>
  <c r="Z37" i="4" s="1"/>
  <c r="R1217" i="2"/>
  <c r="S1219" i="2"/>
  <c r="S1217" i="2" s="1"/>
  <c r="AA68" i="2"/>
  <c r="AA330" i="2"/>
  <c r="AA327" i="2" s="1"/>
  <c r="AA326" i="2"/>
  <c r="Y332" i="2"/>
  <c r="Y333" i="2" s="1"/>
  <c r="Y37" i="4" s="1"/>
  <c r="U236" i="4"/>
  <c r="Z297" i="2"/>
  <c r="Z298" i="2" s="1"/>
  <c r="W41" i="4"/>
  <c r="X9" i="4"/>
  <c r="W412" i="2"/>
  <c r="W430" i="4" s="1"/>
  <c r="X314" i="2"/>
  <c r="X388" i="2" s="1"/>
  <c r="K256" i="4"/>
  <c r="U100" i="4"/>
  <c r="G1327" i="2"/>
  <c r="G493" i="4"/>
  <c r="H1327" i="2"/>
  <c r="Z107" i="2"/>
  <c r="Z87" i="2"/>
  <c r="X128" i="2"/>
  <c r="X471" i="2" s="1"/>
  <c r="V414" i="2"/>
  <c r="V617" i="2" s="1"/>
  <c r="V618" i="2" s="1"/>
  <c r="V619" i="2" s="1"/>
  <c r="V133" i="2"/>
  <c r="V574" i="2" s="1"/>
  <c r="W130" i="2"/>
  <c r="W1291" i="2" s="1"/>
  <c r="W458" i="4" s="1"/>
  <c r="W129" i="2"/>
  <c r="W517" i="2"/>
  <c r="Z67" i="2"/>
  <c r="Z195" i="2" s="1"/>
  <c r="V430" i="4"/>
  <c r="V457" i="4"/>
  <c r="W6" i="4"/>
  <c r="U32" i="4"/>
  <c r="X30" i="2"/>
  <c r="X11" i="2"/>
  <c r="S775" i="2"/>
  <c r="S995" i="2" s="1"/>
  <c r="K333" i="4"/>
  <c r="K284" i="4"/>
  <c r="K109" i="4"/>
  <c r="K115" i="4" s="1"/>
  <c r="K492" i="4" s="1"/>
  <c r="I1336" i="2"/>
  <c r="I1334" i="2" s="1"/>
  <c r="I1333" i="2"/>
  <c r="J492" i="4"/>
  <c r="J1328" i="2"/>
  <c r="K207" i="4"/>
  <c r="K209" i="4" s="1"/>
  <c r="N609" i="2"/>
  <c r="N163" i="4" s="1"/>
  <c r="O613" i="2"/>
  <c r="V116" i="10"/>
  <c r="N878" i="2"/>
  <c r="N969" i="2" s="1"/>
  <c r="N936" i="2"/>
  <c r="N982" i="2"/>
  <c r="AC311" i="2"/>
  <c r="AC368" i="2"/>
  <c r="AC359" i="2"/>
  <c r="AC320" i="2"/>
  <c r="AC380" i="2"/>
  <c r="M1318" i="2"/>
  <c r="M174" i="4"/>
  <c r="AC464" i="2"/>
  <c r="AC454" i="2"/>
  <c r="AC484" i="2"/>
  <c r="AC474" i="2"/>
  <c r="AC520" i="2"/>
  <c r="X109" i="10"/>
  <c r="L1314" i="2"/>
  <c r="L1315" i="2" s="1"/>
  <c r="L495" i="4"/>
  <c r="L103" i="4"/>
  <c r="AC235" i="2"/>
  <c r="AC259" i="2"/>
  <c r="M958" i="2"/>
  <c r="N770" i="2"/>
  <c r="N881" i="2"/>
  <c r="N972" i="2" s="1"/>
  <c r="M954" i="2"/>
  <c r="N766" i="2"/>
  <c r="Y219" i="4"/>
  <c r="X220" i="4"/>
  <c r="M65" i="4"/>
  <c r="M107" i="4"/>
  <c r="M240" i="4" s="1"/>
  <c r="Y955" i="2"/>
  <c r="W1" i="5"/>
  <c r="W269" i="4"/>
  <c r="W1096" i="2"/>
  <c r="W1" i="2"/>
  <c r="W38" i="1"/>
  <c r="W69" i="4"/>
  <c r="W25" i="4"/>
  <c r="W233" i="4"/>
  <c r="W570" i="2"/>
  <c r="W140" i="2"/>
  <c r="W1" i="1"/>
  <c r="W1" i="4"/>
  <c r="W366" i="4"/>
  <c r="W4" i="2"/>
  <c r="W1" i="10"/>
  <c r="W1056" i="2"/>
  <c r="W124" i="4"/>
  <c r="W205" i="4"/>
  <c r="W1168" i="2"/>
  <c r="W284" i="2"/>
  <c r="W14" i="1"/>
  <c r="W14" i="4"/>
  <c r="W91" i="4"/>
  <c r="W1189" i="2"/>
  <c r="W90" i="10"/>
  <c r="W113" i="1"/>
  <c r="W4" i="4"/>
  <c r="W408" i="4"/>
  <c r="W1000" i="2"/>
  <c r="W55" i="10"/>
  <c r="W4" i="5"/>
  <c r="W1142" i="2"/>
  <c r="W638" i="2"/>
  <c r="W159" i="4"/>
  <c r="W68" i="1"/>
  <c r="W317" i="4"/>
  <c r="W102" i="10"/>
  <c r="W1269" i="2"/>
  <c r="W423" i="2"/>
  <c r="X34" i="1"/>
  <c r="X1014" i="2"/>
  <c r="Y1013" i="2"/>
  <c r="Y962" i="2"/>
  <c r="Y142" i="4" s="1"/>
  <c r="Y29" i="1"/>
  <c r="Y28" i="1"/>
  <c r="Y27" i="1"/>
  <c r="Z26" i="1"/>
  <c r="X956" i="2"/>
  <c r="Y952" i="2"/>
  <c r="Y951" i="2"/>
  <c r="AA834" i="2"/>
  <c r="AA831" i="2"/>
  <c r="Z840" i="2"/>
  <c r="Z841" i="2"/>
  <c r="Z852" i="2"/>
  <c r="Z842" i="2"/>
  <c r="Z846" i="2"/>
  <c r="Z837" i="2" s="1"/>
  <c r="Z78" i="4" s="1"/>
  <c r="W299" i="7" s="1"/>
  <c r="Y847" i="2"/>
  <c r="Y843" i="2" s="1"/>
  <c r="Y853" i="2" s="1"/>
  <c r="Y848" i="2"/>
  <c r="Y849" i="2" s="1"/>
  <c r="Y844" i="2"/>
  <c r="Y845" i="2" s="1"/>
  <c r="Y821" i="2"/>
  <c r="Y817" i="2" s="1"/>
  <c r="Y827" i="2" s="1"/>
  <c r="Y822" i="2"/>
  <c r="Y823" i="2" s="1"/>
  <c r="Y818" i="2"/>
  <c r="Y819" i="2" s="1"/>
  <c r="X765" i="2"/>
  <c r="Z814" i="2"/>
  <c r="Z815" i="2"/>
  <c r="Z826" i="2"/>
  <c r="Z816" i="2"/>
  <c r="Z820" i="2"/>
  <c r="Z811" i="2" s="1"/>
  <c r="Z77" i="4" s="1"/>
  <c r="W298" i="7" s="1"/>
  <c r="Y759" i="2"/>
  <c r="Y75" i="4" s="1"/>
  <c r="V296" i="7" s="1"/>
  <c r="AA808" i="2"/>
  <c r="AA805" i="2"/>
  <c r="AA782" i="2"/>
  <c r="AA779" i="2"/>
  <c r="Z788" i="2"/>
  <c r="Z789" i="2"/>
  <c r="Z800" i="2"/>
  <c r="Z794" i="2"/>
  <c r="Z785" i="2" s="1"/>
  <c r="Z76" i="4" s="1"/>
  <c r="W297" i="7" s="1"/>
  <c r="Z790" i="2"/>
  <c r="Y795" i="2"/>
  <c r="Y791" i="2" s="1"/>
  <c r="Y796" i="2"/>
  <c r="Y797" i="2" s="1"/>
  <c r="Y792" i="2"/>
  <c r="Y793" i="2" s="1"/>
  <c r="AA756" i="2"/>
  <c r="AA753" i="2"/>
  <c r="Y769" i="2"/>
  <c r="Z762" i="2"/>
  <c r="Z763" i="2"/>
  <c r="Z774" i="2"/>
  <c r="Z768" i="2"/>
  <c r="Z764" i="2"/>
  <c r="W51" i="2"/>
  <c r="W52" i="2"/>
  <c r="Y63" i="2"/>
  <c r="Y7" i="4"/>
  <c r="X1299" i="2"/>
  <c r="X64" i="2"/>
  <c r="AA61" i="2"/>
  <c r="AA58" i="2"/>
  <c r="AA47" i="2"/>
  <c r="Z743" i="2"/>
  <c r="Z945" i="2" s="1"/>
  <c r="Q192" i="4"/>
  <c r="Q222" i="4" s="1"/>
  <c r="W34" i="4"/>
  <c r="U619" i="2"/>
  <c r="U418" i="2"/>
  <c r="U419" i="2"/>
  <c r="U1323" i="2" s="1"/>
  <c r="U464" i="4" s="1"/>
  <c r="Z439" i="2"/>
  <c r="Z440" i="2" s="1"/>
  <c r="Z445" i="2" s="1"/>
  <c r="U50" i="4"/>
  <c r="U128" i="4"/>
  <c r="S437" i="4"/>
  <c r="S496" i="4"/>
  <c r="V413" i="2"/>
  <c r="V416" i="2" s="1"/>
  <c r="V1322" i="2" s="1"/>
  <c r="Q1259" i="2"/>
  <c r="Q112" i="4" s="1"/>
  <c r="U1321" i="2"/>
  <c r="V100" i="4"/>
  <c r="R238" i="4"/>
  <c r="S94" i="4"/>
  <c r="V393" i="2"/>
  <c r="R98" i="4"/>
  <c r="R27" i="4"/>
  <c r="S102" i="4"/>
  <c r="X8" i="4"/>
  <c r="V93" i="4"/>
  <c r="S48" i="4"/>
  <c r="Z741" i="2"/>
  <c r="Z744" i="2" s="1"/>
  <c r="Z946" i="2" s="1"/>
  <c r="Z172" i="4" s="1"/>
  <c r="T48" i="4"/>
  <c r="T238" i="4" s="1"/>
  <c r="R1253" i="2"/>
  <c r="T1257" i="2"/>
  <c r="U1242" i="2"/>
  <c r="S1251" i="2"/>
  <c r="S108" i="4" s="1"/>
  <c r="S1234" i="2"/>
  <c r="Y746" i="2"/>
  <c r="AA1235" i="2"/>
  <c r="T216" i="2"/>
  <c r="T28" i="4"/>
  <c r="AA737" i="2"/>
  <c r="AA742" i="2" s="1"/>
  <c r="AA944" i="2" s="1"/>
  <c r="X627" i="2"/>
  <c r="X626" i="2" s="1"/>
  <c r="X184" i="4" s="1"/>
  <c r="U204" i="2"/>
  <c r="U28" i="4" s="1"/>
  <c r="V202" i="2"/>
  <c r="V276" i="2" s="1"/>
  <c r="V592" i="2" s="1"/>
  <c r="X708" i="2"/>
  <c r="Y963" i="2"/>
  <c r="Y139" i="4" s="1"/>
  <c r="Z318" i="2"/>
  <c r="Z319" i="2" s="1"/>
  <c r="AA890" i="2"/>
  <c r="AA896" i="2"/>
  <c r="Y928" i="2"/>
  <c r="Y85" i="4" s="1"/>
  <c r="V306" i="7" s="1"/>
  <c r="Y984" i="2"/>
  <c r="Y978" i="2" s="1"/>
  <c r="Y140" i="4" s="1"/>
  <c r="Y910" i="2"/>
  <c r="Y906" i="2" s="1"/>
  <c r="Y916" i="2" s="1"/>
  <c r="Y911" i="2"/>
  <c r="Y912" i="2" s="1"/>
  <c r="Y907" i="2"/>
  <c r="Y908" i="2" s="1"/>
  <c r="Z902" i="2"/>
  <c r="Z904" i="2"/>
  <c r="Z905" i="2"/>
  <c r="X934" i="2"/>
  <c r="X941" i="2" s="1"/>
  <c r="X985" i="2"/>
  <c r="Z915" i="2"/>
  <c r="Z909" i="2"/>
  <c r="Z899" i="2" s="1"/>
  <c r="Z82" i="4" s="1"/>
  <c r="W303" i="7" s="1"/>
  <c r="Y938" i="2"/>
  <c r="AA925" i="2"/>
  <c r="AA923" i="2"/>
  <c r="Z931" i="2"/>
  <c r="Z932" i="2"/>
  <c r="Z980" i="2" s="1"/>
  <c r="Z940" i="2"/>
  <c r="Z988" i="2" s="1"/>
  <c r="Z937" i="2"/>
  <c r="Z933" i="2"/>
  <c r="Z981" i="2" s="1"/>
  <c r="X876" i="2"/>
  <c r="X886" i="2" s="1"/>
  <c r="Y869" i="2"/>
  <c r="Y81" i="4" s="1"/>
  <c r="V302" i="7" s="1"/>
  <c r="Y880" i="2"/>
  <c r="Z872" i="2"/>
  <c r="Z874" i="2"/>
  <c r="Z875" i="2"/>
  <c r="Z967" i="2" s="1"/>
  <c r="Z885" i="2"/>
  <c r="Z879" i="2"/>
  <c r="AA866" i="2"/>
  <c r="AA860" i="2"/>
  <c r="X678" i="2"/>
  <c r="Z357" i="2"/>
  <c r="Z358" i="2" s="1"/>
  <c r="Z378" i="2"/>
  <c r="Z379" i="2" s="1"/>
  <c r="Z403" i="2" s="1"/>
  <c r="U524" i="2"/>
  <c r="U554" i="2" s="1"/>
  <c r="U1302" i="2" s="1"/>
  <c r="U553" i="2"/>
  <c r="U61" i="4"/>
  <c r="V519" i="2"/>
  <c r="O280" i="2"/>
  <c r="T559" i="2"/>
  <c r="T552" i="2"/>
  <c r="T566" i="2" s="1"/>
  <c r="S562" i="2"/>
  <c r="S564" i="2" s="1"/>
  <c r="T560" i="2"/>
  <c r="Z366" i="2"/>
  <c r="Z367" i="2" s="1"/>
  <c r="S271" i="2"/>
  <c r="U534" i="2"/>
  <c r="T536" i="2"/>
  <c r="T538" i="2" s="1"/>
  <c r="U526" i="2"/>
  <c r="V478" i="2"/>
  <c r="V528" i="2" s="1"/>
  <c r="V533" i="2"/>
  <c r="V53" i="4"/>
  <c r="S30" i="4"/>
  <c r="S265" i="2"/>
  <c r="R256" i="2" s="1"/>
  <c r="R258" i="2" s="1"/>
  <c r="Y70" i="2"/>
  <c r="X83" i="2"/>
  <c r="X84" i="2" s="1"/>
  <c r="Q602" i="2"/>
  <c r="Q183" i="4" s="1"/>
  <c r="R232" i="2"/>
  <c r="R234" i="2" s="1"/>
  <c r="Z69" i="2"/>
  <c r="O609" i="2"/>
  <c r="O631" i="2" s="1"/>
  <c r="R278" i="2"/>
  <c r="R604" i="2" s="1"/>
  <c r="R605" i="2" s="1"/>
  <c r="R606" i="2" s="1"/>
  <c r="S584" i="2"/>
  <c r="S166" i="4" s="1"/>
  <c r="S262" i="4" s="1"/>
  <c r="T587" i="2"/>
  <c r="T584" i="2" s="1"/>
  <c r="T166" i="4" s="1"/>
  <c r="W219" i="2"/>
  <c r="W221" i="2" s="1"/>
  <c r="W243" i="2"/>
  <c r="T252" i="2"/>
  <c r="T265" i="2" s="1"/>
  <c r="T253" i="2" s="1"/>
  <c r="R1301" i="2"/>
  <c r="R270" i="2"/>
  <c r="U246" i="2"/>
  <c r="U275" i="2" s="1"/>
  <c r="U586" i="2" s="1"/>
  <c r="U248" i="2"/>
  <c r="U277" i="2" s="1"/>
  <c r="T241" i="2"/>
  <c r="S232" i="2" s="1"/>
  <c r="P279" i="2"/>
  <c r="P611" i="2" s="1"/>
  <c r="P258" i="2"/>
  <c r="P273" i="2" s="1"/>
  <c r="P127" i="4" s="1"/>
  <c r="T240" i="2"/>
  <c r="T29" i="4"/>
  <c r="S274" i="2"/>
  <c r="S1292" i="2" s="1"/>
  <c r="Q1301" i="2"/>
  <c r="Q270" i="2"/>
  <c r="Q258" i="2"/>
  <c r="Q273" i="2" s="1"/>
  <c r="V245" i="2"/>
  <c r="W196" i="2"/>
  <c r="W200" i="2" s="1"/>
  <c r="U228" i="2"/>
  <c r="U241" i="2" s="1"/>
  <c r="U230" i="2" s="1"/>
  <c r="V222" i="2"/>
  <c r="V224" i="2"/>
  <c r="S229" i="2"/>
  <c r="AA262" i="2"/>
  <c r="AA260" i="2"/>
  <c r="AA244" i="2"/>
  <c r="AA250" i="2"/>
  <c r="AA238" i="2"/>
  <c r="AA220" i="2"/>
  <c r="AA236" i="2"/>
  <c r="AA226" i="2"/>
  <c r="Y488" i="2"/>
  <c r="Y54" i="4"/>
  <c r="AA485" i="2"/>
  <c r="AA486" i="2"/>
  <c r="AA482" i="2"/>
  <c r="AA475" i="2"/>
  <c r="AA476" i="2"/>
  <c r="AA472" i="2"/>
  <c r="Z309" i="2"/>
  <c r="Z310" i="2" s="1"/>
  <c r="Y468" i="2"/>
  <c r="Y52" i="4"/>
  <c r="Z463" i="2"/>
  <c r="AA465" i="2"/>
  <c r="AA466" i="2"/>
  <c r="AA462" i="2"/>
  <c r="AA521" i="2"/>
  <c r="AA522" i="2"/>
  <c r="AA518" i="2"/>
  <c r="X730" i="2"/>
  <c r="Y458" i="2"/>
  <c r="Y51" i="4"/>
  <c r="W529" i="2"/>
  <c r="Z453" i="2"/>
  <c r="AA455" i="2"/>
  <c r="AA456" i="2"/>
  <c r="AA452" i="2"/>
  <c r="X123" i="2"/>
  <c r="X124" i="2" s="1"/>
  <c r="Z109" i="2"/>
  <c r="Y110" i="2"/>
  <c r="W112" i="2"/>
  <c r="W111" i="2"/>
  <c r="Y195" i="2"/>
  <c r="Y197" i="2" s="1"/>
  <c r="W92" i="2"/>
  <c r="Z89" i="2"/>
  <c r="W91" i="2"/>
  <c r="Y90" i="2"/>
  <c r="Y9" i="4" s="1"/>
  <c r="X103" i="2"/>
  <c r="X104" i="2" s="1"/>
  <c r="X91" i="2" s="1"/>
  <c r="U397" i="2"/>
  <c r="T401" i="2"/>
  <c r="T598" i="2"/>
  <c r="T599" i="2" s="1"/>
  <c r="T600" i="2" s="1"/>
  <c r="R596" i="2"/>
  <c r="R164" i="4" s="1"/>
  <c r="R261" i="4" s="1"/>
  <c r="R600" i="2"/>
  <c r="S600" i="2"/>
  <c r="AA317" i="2"/>
  <c r="AA321" i="2"/>
  <c r="Y323" i="2"/>
  <c r="Y324" i="2" s="1"/>
  <c r="Y36" i="4" s="1"/>
  <c r="V458" i="4"/>
  <c r="V485" i="4"/>
  <c r="V131" i="2"/>
  <c r="Y314" i="2"/>
  <c r="AA308" i="2"/>
  <c r="AA312" i="2"/>
  <c r="AA377" i="2"/>
  <c r="AA381" i="2"/>
  <c r="Y383" i="2"/>
  <c r="Y404" i="2" s="1"/>
  <c r="Y371" i="2"/>
  <c r="Y372" i="2" s="1"/>
  <c r="Y43" i="4" s="1"/>
  <c r="AA365" i="2"/>
  <c r="AA369" i="2"/>
  <c r="AA356" i="2"/>
  <c r="AA360" i="2"/>
  <c r="Y362" i="2"/>
  <c r="AC117" i="2"/>
  <c r="AC97" i="2"/>
  <c r="AB57" i="10"/>
  <c r="AB62" i="10"/>
  <c r="V1200" i="2"/>
  <c r="W1199" i="2" s="1"/>
  <c r="T260" i="4"/>
  <c r="W72" i="2"/>
  <c r="AA121" i="2"/>
  <c r="AA118" i="2"/>
  <c r="AA108" i="2"/>
  <c r="X179" i="2"/>
  <c r="U183" i="2"/>
  <c r="W181" i="2"/>
  <c r="V410" i="2"/>
  <c r="V1106" i="2"/>
  <c r="V1107" i="2" s="1"/>
  <c r="W1106" i="2" s="1"/>
  <c r="AA101" i="2"/>
  <c r="AA98" i="2"/>
  <c r="AA88" i="2"/>
  <c r="X189" i="2"/>
  <c r="X178" i="2"/>
  <c r="U575" i="2"/>
  <c r="U576" i="2" s="1"/>
  <c r="W71" i="2"/>
  <c r="X1118" i="2"/>
  <c r="X1119" i="2" s="1"/>
  <c r="X1117" i="2" s="1"/>
  <c r="Y546" i="2"/>
  <c r="X152" i="2"/>
  <c r="X164" i="2" s="1"/>
  <c r="V178" i="2"/>
  <c r="W190" i="2"/>
  <c r="V1310" i="2"/>
  <c r="X10" i="2"/>
  <c r="W165" i="2"/>
  <c r="W154" i="2" s="1"/>
  <c r="X29" i="2"/>
  <c r="Y652" i="2"/>
  <c r="Y302" i="2"/>
  <c r="Y303" i="2" s="1"/>
  <c r="AA347" i="4"/>
  <c r="AA199" i="4"/>
  <c r="AA189" i="4"/>
  <c r="AA384" i="4"/>
  <c r="AA321" i="4"/>
  <c r="AA412" i="4"/>
  <c r="AA342" i="4"/>
  <c r="AA370" i="4"/>
  <c r="AA273" i="4"/>
  <c r="AA194" i="4"/>
  <c r="AA389" i="4"/>
  <c r="AA178" i="4"/>
  <c r="AA283" i="4"/>
  <c r="AA169" i="4"/>
  <c r="AA332" i="4"/>
  <c r="AA298" i="4"/>
  <c r="AA293" i="4"/>
  <c r="Z665" i="2"/>
  <c r="Z666" i="2"/>
  <c r="Z1274" i="2"/>
  <c r="Z1276" i="2" s="1"/>
  <c r="AH113" i="10"/>
  <c r="X19" i="4"/>
  <c r="X18" i="4" s="1"/>
  <c r="X196" i="2"/>
  <c r="Y173" i="2"/>
  <c r="Y171" i="2"/>
  <c r="R486" i="4"/>
  <c r="R459" i="4"/>
  <c r="R432" i="4"/>
  <c r="AB80" i="1"/>
  <c r="AC81" i="1"/>
  <c r="Z729" i="2"/>
  <c r="Z722" i="2"/>
  <c r="Z726" i="2"/>
  <c r="Z717" i="2" s="1"/>
  <c r="Z707" i="2"/>
  <c r="Z701" i="2"/>
  <c r="Z691" i="2" s="1"/>
  <c r="Z720" i="2"/>
  <c r="Z721" i="2"/>
  <c r="AG86" i="1"/>
  <c r="AC1063" i="2"/>
  <c r="AC1062" i="2" s="1"/>
  <c r="AB1061" i="2"/>
  <c r="Y146" i="2"/>
  <c r="Y148" i="2"/>
  <c r="AH68" i="10"/>
  <c r="Y41" i="2"/>
  <c r="Z1280" i="2"/>
  <c r="Z1282" i="2" s="1"/>
  <c r="W1307" i="2"/>
  <c r="T98" i="4"/>
  <c r="Y503" i="4"/>
  <c r="AB2" i="5"/>
  <c r="AB2" i="4"/>
  <c r="AB2" i="2"/>
  <c r="AB2" i="10"/>
  <c r="AB2" i="1"/>
  <c r="AC25" i="1"/>
  <c r="U593" i="2"/>
  <c r="U590" i="2" s="1"/>
  <c r="U165" i="4" s="1"/>
  <c r="Z647" i="2"/>
  <c r="Z650" i="2" s="1"/>
  <c r="Z649" i="2"/>
  <c r="Z648" i="2"/>
  <c r="Z694" i="2"/>
  <c r="Z696" i="2"/>
  <c r="Z697" i="2"/>
  <c r="Z289" i="2"/>
  <c r="AB1091" i="2"/>
  <c r="AB1090" i="2" s="1"/>
  <c r="AA1092" i="2"/>
  <c r="AB87" i="1"/>
  <c r="AA91" i="1"/>
  <c r="AC290" i="2"/>
  <c r="AC299" i="2"/>
  <c r="V324" i="4"/>
  <c r="V374" i="4"/>
  <c r="V277" i="4"/>
  <c r="V1184" i="2"/>
  <c r="V1264" i="2"/>
  <c r="AA146" i="1"/>
  <c r="AA59" i="1"/>
  <c r="AA120" i="1"/>
  <c r="AA45" i="1"/>
  <c r="AA44" i="1"/>
  <c r="AA123" i="1"/>
  <c r="AA140" i="1"/>
  <c r="AA131" i="1"/>
  <c r="AA53" i="1"/>
  <c r="T206" i="2"/>
  <c r="W399" i="2"/>
  <c r="Z145" i="2"/>
  <c r="Z677" i="2"/>
  <c r="Z667" i="2"/>
  <c r="Z671" i="2"/>
  <c r="Z662" i="2" s="1"/>
  <c r="Z9" i="2"/>
  <c r="X110" i="10"/>
  <c r="X108" i="10" s="1"/>
  <c r="Y105" i="10" s="1"/>
  <c r="T464" i="4"/>
  <c r="T437" i="4"/>
  <c r="T496" i="4"/>
  <c r="AC159" i="2"/>
  <c r="AC184" i="2"/>
  <c r="AC211" i="2"/>
  <c r="AI82" i="10"/>
  <c r="P77" i="10"/>
  <c r="S208" i="2"/>
  <c r="AG55" i="1"/>
  <c r="AH54" i="1"/>
  <c r="Z1039" i="2"/>
  <c r="Z1038" i="2"/>
  <c r="Y293" i="2"/>
  <c r="Y294" i="2" s="1"/>
  <c r="AD341" i="4"/>
  <c r="AD292" i="4"/>
  <c r="AD383" i="4"/>
  <c r="AD47" i="1"/>
  <c r="AD57" i="2" s="1"/>
  <c r="AD49" i="1"/>
  <c r="AD50" i="1"/>
  <c r="AD48" i="1"/>
  <c r="AE43" i="1"/>
  <c r="AC430" i="2"/>
  <c r="AC441" i="2"/>
  <c r="X539" i="2"/>
  <c r="X546" i="2"/>
  <c r="W549" i="2"/>
  <c r="W551" i="2" s="1"/>
  <c r="X547" i="2"/>
  <c r="AA136" i="10"/>
  <c r="AA188" i="4" s="1"/>
  <c r="AA93" i="10"/>
  <c r="AA168" i="4" s="1"/>
  <c r="AA135" i="10"/>
  <c r="AA133" i="10"/>
  <c r="AA65" i="10"/>
  <c r="AA97" i="10"/>
  <c r="AA176" i="4" s="1"/>
  <c r="AA70" i="10"/>
  <c r="AA71" i="10" s="1"/>
  <c r="AA72" i="10" s="1"/>
  <c r="Q86" i="10"/>
  <c r="Z28" i="2"/>
  <c r="V179" i="2"/>
  <c r="Y673" i="2"/>
  <c r="Y674" i="2" s="1"/>
  <c r="Y672" i="2"/>
  <c r="Y668" i="2" s="1"/>
  <c r="Y669" i="2"/>
  <c r="Y670" i="2" s="1"/>
  <c r="X177" i="4"/>
  <c r="AB1084" i="2"/>
  <c r="AC1083" i="2"/>
  <c r="AC1082" i="2" s="1"/>
  <c r="X140" i="4"/>
  <c r="Y21" i="2"/>
  <c r="Y22" i="2" s="1"/>
  <c r="W138" i="4"/>
  <c r="W144" i="4" s="1"/>
  <c r="W990" i="2"/>
  <c r="AC77" i="2"/>
  <c r="AC35" i="2"/>
  <c r="AC16" i="2"/>
  <c r="T594" i="2"/>
  <c r="AA1281" i="2"/>
  <c r="AA1272" i="2"/>
  <c r="AA1032" i="2"/>
  <c r="AA1031" i="2" s="1"/>
  <c r="AA659" i="2"/>
  <c r="AA628" i="2"/>
  <c r="AA629" i="2" s="1"/>
  <c r="AA555" i="2"/>
  <c r="AA544" i="2"/>
  <c r="AA443" i="2"/>
  <c r="AA407" i="2"/>
  <c r="AA214" i="2"/>
  <c r="AA160" i="2"/>
  <c r="AA1017" i="2"/>
  <c r="AA656" i="2"/>
  <c r="AA643" i="2"/>
  <c r="AA542" i="2"/>
  <c r="AA531" i="2"/>
  <c r="AA442" i="2"/>
  <c r="AA432" i="2"/>
  <c r="AA405" i="2"/>
  <c r="AA168" i="2"/>
  <c r="AA167" i="2" s="1"/>
  <c r="AA1335" i="2"/>
  <c r="AA1279" i="2"/>
  <c r="AA1220" i="2"/>
  <c r="AA1221" i="2" s="1"/>
  <c r="AA1136" i="2"/>
  <c r="AA714" i="2"/>
  <c r="AA431" i="2"/>
  <c r="AA391" i="2"/>
  <c r="AA300" i="2"/>
  <c r="AA291" i="2"/>
  <c r="AA212" i="2"/>
  <c r="AA1275" i="2"/>
  <c r="AA1201" i="2"/>
  <c r="AA1202" i="2" s="1"/>
  <c r="AA1150" i="2"/>
  <c r="AA1151" i="2" s="1"/>
  <c r="AA1120" i="2"/>
  <c r="AA1121" i="2" s="1"/>
  <c r="AA1026" i="2"/>
  <c r="AA688" i="2"/>
  <c r="AA438" i="2"/>
  <c r="AA437" i="2" s="1"/>
  <c r="AA428" i="2"/>
  <c r="AA288" i="2"/>
  <c r="AA185" i="2"/>
  <c r="AA19" i="2"/>
  <c r="AA623" i="2"/>
  <c r="AA624" i="2" s="1"/>
  <c r="AA1278" i="2"/>
  <c r="AA1108" i="2"/>
  <c r="AA1109" i="2" s="1"/>
  <c r="AA1012" i="2"/>
  <c r="AA1011" i="2" s="1"/>
  <c r="AA1033" i="2"/>
  <c r="AA712" i="2"/>
  <c r="AA1178" i="2"/>
  <c r="AA197" i="4" s="1"/>
  <c r="AA1029" i="2"/>
  <c r="AA26" i="2"/>
  <c r="AA25" i="2" s="1"/>
  <c r="AA1028" i="2"/>
  <c r="AA1273" i="2"/>
  <c r="AA1146" i="2"/>
  <c r="AA1147" i="2" s="1"/>
  <c r="AA427" i="2"/>
  <c r="AA296" i="2"/>
  <c r="AA162" i="2"/>
  <c r="AA8" i="2"/>
  <c r="AA36" i="2"/>
  <c r="AA81" i="2"/>
  <c r="AA389" i="2"/>
  <c r="AA78" i="2"/>
  <c r="AA1037" i="2"/>
  <c r="AA287" i="2"/>
  <c r="AA144" i="2"/>
  <c r="AA17" i="2"/>
  <c r="AA187" i="2"/>
  <c r="AA143" i="2"/>
  <c r="AA7" i="2"/>
  <c r="AA557" i="2"/>
  <c r="AA682" i="2"/>
  <c r="AA39" i="2"/>
  <c r="AA27" i="2" s="1"/>
  <c r="AA175" i="2"/>
  <c r="AA150" i="2"/>
  <c r="AA1208" i="2"/>
  <c r="AA1209" i="2" s="1"/>
  <c r="T205" i="2"/>
  <c r="AG61" i="1"/>
  <c r="AH60" i="1"/>
  <c r="X991" i="2"/>
  <c r="X1305" i="2" s="1"/>
  <c r="X949" i="2"/>
  <c r="Y703" i="2"/>
  <c r="Y704" i="2" s="1"/>
  <c r="Y702" i="2"/>
  <c r="Y698" i="2" s="1"/>
  <c r="Y699" i="2"/>
  <c r="Y700" i="2" s="1"/>
  <c r="Z429" i="2"/>
  <c r="Z434" i="2" s="1"/>
  <c r="AH75" i="10"/>
  <c r="AH106" i="10"/>
  <c r="Y727" i="2"/>
  <c r="Y723" i="2" s="1"/>
  <c r="Y724" i="2"/>
  <c r="Y725" i="2" s="1"/>
  <c r="Y801" i="2" l="1"/>
  <c r="V96" i="4"/>
  <c r="V32" i="4"/>
  <c r="X412" i="2"/>
  <c r="X457" i="4" s="1"/>
  <c r="D94" i="7"/>
  <c r="X384" i="2"/>
  <c r="X46" i="4" s="1"/>
  <c r="X45" i="4" s="1"/>
  <c r="V50" i="4"/>
  <c r="V97" i="4" s="1"/>
  <c r="D163" i="7"/>
  <c r="W45" i="4"/>
  <c r="W409" i="2"/>
  <c r="AA49" i="2"/>
  <c r="Z508" i="2"/>
  <c r="Z56" i="4"/>
  <c r="X996" i="2"/>
  <c r="AB506" i="2"/>
  <c r="AB502" i="2"/>
  <c r="AB505" i="2"/>
  <c r="AB501" i="2"/>
  <c r="Z970" i="2"/>
  <c r="AA503" i="2"/>
  <c r="Z498" i="2"/>
  <c r="Z55" i="4"/>
  <c r="X363" i="2"/>
  <c r="X42" i="4" s="1"/>
  <c r="AB492" i="2"/>
  <c r="AB496" i="2"/>
  <c r="AB495" i="2"/>
  <c r="AB491" i="2"/>
  <c r="Z977" i="2"/>
  <c r="AA493" i="2"/>
  <c r="Z966" i="2"/>
  <c r="Y971" i="2"/>
  <c r="AA411" i="2"/>
  <c r="Z387" i="2"/>
  <c r="Y396" i="2"/>
  <c r="Y394" i="2" s="1"/>
  <c r="Z395" i="2"/>
  <c r="Y388" i="2"/>
  <c r="AA169" i="2"/>
  <c r="AA170" i="2" s="1"/>
  <c r="X315" i="2"/>
  <c r="X35" i="4" s="1"/>
  <c r="AA346" i="2"/>
  <c r="Z350" i="2"/>
  <c r="Z351" i="2" s="1"/>
  <c r="Z39" i="4" s="1"/>
  <c r="AB348" i="2"/>
  <c r="AB345" i="2" s="1"/>
  <c r="AB344" i="2"/>
  <c r="AB339" i="2"/>
  <c r="AB336" i="2" s="1"/>
  <c r="AB335" i="2"/>
  <c r="AA337" i="2"/>
  <c r="T1218" i="2"/>
  <c r="T1219" i="2" s="1"/>
  <c r="X386" i="2"/>
  <c r="X393" i="2" s="1"/>
  <c r="AB68" i="2"/>
  <c r="AB326" i="2"/>
  <c r="AB330" i="2"/>
  <c r="AB327" i="2" s="1"/>
  <c r="AA297" i="2"/>
  <c r="AA298" i="2" s="1"/>
  <c r="AA328" i="2"/>
  <c r="W93" i="4"/>
  <c r="W414" i="2"/>
  <c r="W617" i="2" s="1"/>
  <c r="W618" i="2" s="1"/>
  <c r="W619" i="2" s="1"/>
  <c r="W484" i="4"/>
  <c r="W457" i="4"/>
  <c r="V418" i="2"/>
  <c r="V128" i="4"/>
  <c r="Q241" i="4"/>
  <c r="H435" i="4"/>
  <c r="H462" i="4"/>
  <c r="H490" i="4"/>
  <c r="G435" i="4"/>
  <c r="G462" i="4"/>
  <c r="G490" i="4"/>
  <c r="U239" i="4"/>
  <c r="AA107" i="2"/>
  <c r="AA87" i="2"/>
  <c r="Y128" i="2"/>
  <c r="W133" i="2"/>
  <c r="W574" i="2" s="1"/>
  <c r="W575" i="2" s="1"/>
  <c r="W572" i="2" s="1"/>
  <c r="X130" i="2"/>
  <c r="X1291" i="2" s="1"/>
  <c r="X485" i="4" s="1"/>
  <c r="X129" i="2"/>
  <c r="X517" i="2"/>
  <c r="X473" i="2"/>
  <c r="X527" i="2" s="1"/>
  <c r="AA67" i="2"/>
  <c r="AA195" i="2" s="1"/>
  <c r="X6" i="4"/>
  <c r="N631" i="2"/>
  <c r="X112" i="2"/>
  <c r="T775" i="2"/>
  <c r="T995" i="2" s="1"/>
  <c r="I1337" i="2"/>
  <c r="I1325" i="2" s="1"/>
  <c r="I491" i="4" s="1"/>
  <c r="K1328" i="2"/>
  <c r="K1331" i="2" s="1"/>
  <c r="J1331" i="2"/>
  <c r="J1332" i="2" s="1"/>
  <c r="J1330" i="2"/>
  <c r="L104" i="4"/>
  <c r="P612" i="2"/>
  <c r="P613" i="2" s="1"/>
  <c r="Z962" i="2"/>
  <c r="Y109" i="10"/>
  <c r="V117" i="10"/>
  <c r="V115" i="10" s="1"/>
  <c r="W112" i="10" s="1"/>
  <c r="W116" i="10"/>
  <c r="AD464" i="2"/>
  <c r="AD474" i="2"/>
  <c r="AD454" i="2"/>
  <c r="AD484" i="2"/>
  <c r="AD520" i="2"/>
  <c r="Z29" i="1"/>
  <c r="AA26" i="1"/>
  <c r="Z28" i="1"/>
  <c r="Z27" i="1"/>
  <c r="N957" i="2"/>
  <c r="N771" i="2"/>
  <c r="L494" i="4"/>
  <c r="L463" i="4"/>
  <c r="L436" i="4"/>
  <c r="AD235" i="2"/>
  <c r="AD259" i="2"/>
  <c r="Z955" i="2"/>
  <c r="Y34" i="1"/>
  <c r="Z219" i="4"/>
  <c r="Y220" i="4"/>
  <c r="N953" i="2"/>
  <c r="N63" i="4" s="1"/>
  <c r="N767" i="2"/>
  <c r="Y1014" i="2"/>
  <c r="Z1013" i="2"/>
  <c r="M173" i="4"/>
  <c r="M179" i="4" s="1"/>
  <c r="M264" i="4" s="1"/>
  <c r="M1316" i="2"/>
  <c r="M1313" i="2" s="1"/>
  <c r="N983" i="2"/>
  <c r="N175" i="4" s="1"/>
  <c r="O935" i="2"/>
  <c r="N882" i="2"/>
  <c r="N973" i="2" s="1"/>
  <c r="O877" i="2"/>
  <c r="O968" i="2" s="1"/>
  <c r="AD311" i="2"/>
  <c r="AD368" i="2"/>
  <c r="AD359" i="2"/>
  <c r="AD320" i="2"/>
  <c r="AD380" i="2"/>
  <c r="X1096" i="2"/>
  <c r="X205" i="4"/>
  <c r="X233" i="4"/>
  <c r="X1" i="2"/>
  <c r="X1142" i="2"/>
  <c r="X1" i="1"/>
  <c r="X91" i="4"/>
  <c r="X124" i="4"/>
  <c r="X1056" i="2"/>
  <c r="X570" i="2"/>
  <c r="X113" i="1"/>
  <c r="X366" i="4"/>
  <c r="X159" i="4"/>
  <c r="X423" i="2"/>
  <c r="X102" i="10"/>
  <c r="X38" i="1"/>
  <c r="X69" i="4"/>
  <c r="X25" i="4"/>
  <c r="X284" i="2"/>
  <c r="X1269" i="2"/>
  <c r="X68" i="1"/>
  <c r="X408" i="4"/>
  <c r="X1" i="10"/>
  <c r="X4" i="4"/>
  <c r="X269" i="4"/>
  <c r="X1168" i="2"/>
  <c r="X90" i="10"/>
  <c r="X1" i="5"/>
  <c r="X1189" i="2"/>
  <c r="X140" i="2"/>
  <c r="X55" i="10"/>
  <c r="X4" i="5"/>
  <c r="X14" i="4"/>
  <c r="X1000" i="2"/>
  <c r="X4" i="2"/>
  <c r="X14" i="1"/>
  <c r="X317" i="4"/>
  <c r="X1" i="4"/>
  <c r="X638" i="2"/>
  <c r="Z952" i="2"/>
  <c r="Z951" i="2"/>
  <c r="Y956" i="2"/>
  <c r="Z847" i="2"/>
  <c r="Z843" i="2" s="1"/>
  <c r="Z853" i="2" s="1"/>
  <c r="Z848" i="2"/>
  <c r="Z849" i="2" s="1"/>
  <c r="Z844" i="2"/>
  <c r="Z845" i="2" s="1"/>
  <c r="AA840" i="2"/>
  <c r="AA841" i="2"/>
  <c r="AB834" i="2"/>
  <c r="AB831" i="2"/>
  <c r="AA852" i="2"/>
  <c r="AA842" i="2"/>
  <c r="AA846" i="2"/>
  <c r="AA837" i="2" s="1"/>
  <c r="AA78" i="4" s="1"/>
  <c r="X299" i="7" s="1"/>
  <c r="Y765" i="2"/>
  <c r="AA814" i="2"/>
  <c r="AA815" i="2"/>
  <c r="AA826" i="2"/>
  <c r="AA816" i="2"/>
  <c r="AA820" i="2"/>
  <c r="AA811" i="2" s="1"/>
  <c r="AA77" i="4" s="1"/>
  <c r="X298" i="7" s="1"/>
  <c r="Z822" i="2"/>
  <c r="Z823" i="2" s="1"/>
  <c r="Z821" i="2"/>
  <c r="Z817" i="2" s="1"/>
  <c r="Z827" i="2" s="1"/>
  <c r="Z818" i="2"/>
  <c r="Z819" i="2" s="1"/>
  <c r="Z759" i="2"/>
  <c r="Z75" i="4" s="1"/>
  <c r="W296" i="7" s="1"/>
  <c r="AB808" i="2"/>
  <c r="AB805" i="2"/>
  <c r="Y708" i="2"/>
  <c r="AB779" i="2"/>
  <c r="AB782" i="2"/>
  <c r="Z795" i="2"/>
  <c r="Z791" i="2" s="1"/>
  <c r="Z801" i="2" s="1"/>
  <c r="Z796" i="2"/>
  <c r="Z797" i="2" s="1"/>
  <c r="Z792" i="2"/>
  <c r="Z793" i="2" s="1"/>
  <c r="AA788" i="2"/>
  <c r="AA789" i="2"/>
  <c r="AA800" i="2"/>
  <c r="AA790" i="2"/>
  <c r="AA794" i="2"/>
  <c r="AA785" i="2" s="1"/>
  <c r="AA76" i="4" s="1"/>
  <c r="X297" i="7" s="1"/>
  <c r="Q195" i="4"/>
  <c r="AB756" i="2"/>
  <c r="AB753" i="2"/>
  <c r="AA762" i="2"/>
  <c r="AA763" i="2"/>
  <c r="Z769" i="2"/>
  <c r="AA774" i="2"/>
  <c r="AA764" i="2"/>
  <c r="AA768" i="2"/>
  <c r="AA481" i="2"/>
  <c r="AA483" i="2" s="1"/>
  <c r="Y1299" i="2"/>
  <c r="U496" i="4"/>
  <c r="Q208" i="4"/>
  <c r="W413" i="2"/>
  <c r="W1321" i="2" s="1"/>
  <c r="W497" i="4" s="1"/>
  <c r="Y627" i="2"/>
  <c r="Y626" i="2" s="1"/>
  <c r="Y184" i="4" s="1"/>
  <c r="X52" i="2"/>
  <c r="Z746" i="2"/>
  <c r="X51" i="2"/>
  <c r="Y64" i="2"/>
  <c r="Y8" i="4"/>
  <c r="Z7" i="4"/>
  <c r="W393" i="2"/>
  <c r="W410" i="2"/>
  <c r="AB61" i="2"/>
  <c r="AB58" i="2"/>
  <c r="AB47" i="2"/>
  <c r="Z63" i="2"/>
  <c r="AA50" i="2"/>
  <c r="U437" i="4"/>
  <c r="W96" i="4"/>
  <c r="AA439" i="2"/>
  <c r="AA440" i="2" s="1"/>
  <c r="AA445" i="2" s="1"/>
  <c r="V1321" i="2"/>
  <c r="V497" i="4" s="1"/>
  <c r="U60" i="4"/>
  <c r="X409" i="2"/>
  <c r="U497" i="4"/>
  <c r="X394" i="2"/>
  <c r="U97" i="4"/>
  <c r="V419" i="2"/>
  <c r="V1323" i="2" s="1"/>
  <c r="V464" i="4" s="1"/>
  <c r="S98" i="4"/>
  <c r="S238" i="4"/>
  <c r="V236" i="4"/>
  <c r="S459" i="4"/>
  <c r="S27" i="4"/>
  <c r="Y10" i="4"/>
  <c r="AA743" i="2"/>
  <c r="AA945" i="2" s="1"/>
  <c r="AA741" i="2"/>
  <c r="AA744" i="2" s="1"/>
  <c r="AA946" i="2" s="1"/>
  <c r="R1248" i="2"/>
  <c r="R1259" i="2"/>
  <c r="R112" i="4" s="1"/>
  <c r="D177" i="7" s="1"/>
  <c r="R192" i="4"/>
  <c r="T1233" i="2"/>
  <c r="S1252" i="2"/>
  <c r="S130" i="4" s="1"/>
  <c r="U1258" i="2"/>
  <c r="U1243" i="2"/>
  <c r="S1232" i="2"/>
  <c r="V204" i="2"/>
  <c r="V28" i="4" s="1"/>
  <c r="U217" i="2"/>
  <c r="U205" i="2" s="1"/>
  <c r="AB1235" i="2"/>
  <c r="Z963" i="2"/>
  <c r="Z139" i="4" s="1"/>
  <c r="AA318" i="2"/>
  <c r="AA319" i="2" s="1"/>
  <c r="U216" i="2"/>
  <c r="W202" i="2"/>
  <c r="W276" i="2" s="1"/>
  <c r="W592" i="2" s="1"/>
  <c r="Z142" i="4"/>
  <c r="AB737" i="2"/>
  <c r="AB741" i="2" s="1"/>
  <c r="Y934" i="2"/>
  <c r="Y941" i="2" s="1"/>
  <c r="Y985" i="2"/>
  <c r="Z928" i="2"/>
  <c r="Z85" i="4" s="1"/>
  <c r="W306" i="7" s="1"/>
  <c r="Z984" i="2"/>
  <c r="Z978" i="2" s="1"/>
  <c r="Z140" i="4" s="1"/>
  <c r="Z910" i="2"/>
  <c r="Z906" i="2" s="1"/>
  <c r="Z916" i="2" s="1"/>
  <c r="Z911" i="2"/>
  <c r="Z912" i="2" s="1"/>
  <c r="Z907" i="2"/>
  <c r="Z908" i="2" s="1"/>
  <c r="AB896" i="2"/>
  <c r="AB890" i="2"/>
  <c r="AA915" i="2"/>
  <c r="AA909" i="2"/>
  <c r="AA899" i="2" s="1"/>
  <c r="AA82" i="4" s="1"/>
  <c r="X303" i="7" s="1"/>
  <c r="AA902" i="2"/>
  <c r="AA905" i="2"/>
  <c r="AA904" i="2"/>
  <c r="Z938" i="2"/>
  <c r="AA931" i="2"/>
  <c r="AA932" i="2"/>
  <c r="AA980" i="2" s="1"/>
  <c r="AA940" i="2"/>
  <c r="AA988" i="2" s="1"/>
  <c r="AA933" i="2"/>
  <c r="AA981" i="2" s="1"/>
  <c r="AA937" i="2"/>
  <c r="AB925" i="2"/>
  <c r="AB923" i="2"/>
  <c r="Y730" i="2"/>
  <c r="Z869" i="2"/>
  <c r="Z81" i="4" s="1"/>
  <c r="W302" i="7" s="1"/>
  <c r="Y876" i="2"/>
  <c r="Y886" i="2" s="1"/>
  <c r="AA872" i="2"/>
  <c r="AA874" i="2"/>
  <c r="AA875" i="2"/>
  <c r="AA885" i="2"/>
  <c r="AA879" i="2"/>
  <c r="AB866" i="2"/>
  <c r="AB860" i="2"/>
  <c r="Z880" i="2"/>
  <c r="Z971" i="2" s="1"/>
  <c r="S269" i="2"/>
  <c r="S270" i="2" s="1"/>
  <c r="AA357" i="2"/>
  <c r="AA358" i="2" s="1"/>
  <c r="Y678" i="2"/>
  <c r="AA378" i="2"/>
  <c r="AA379" i="2" s="1"/>
  <c r="AA403" i="2" s="1"/>
  <c r="Y83" i="2"/>
  <c r="Y194" i="2"/>
  <c r="S253" i="2"/>
  <c r="S272" i="2" s="1"/>
  <c r="S607" i="2" s="1"/>
  <c r="W198" i="2"/>
  <c r="AA366" i="2"/>
  <c r="AA367" i="2" s="1"/>
  <c r="V524" i="2"/>
  <c r="V554" i="2" s="1"/>
  <c r="V1302" i="2" s="1"/>
  <c r="V553" i="2"/>
  <c r="V565" i="2" s="1"/>
  <c r="V61" i="4"/>
  <c r="W519" i="2"/>
  <c r="T562" i="2"/>
  <c r="T564" i="2" s="1"/>
  <c r="U560" i="2"/>
  <c r="U552" i="2"/>
  <c r="U566" i="2" s="1"/>
  <c r="U559" i="2"/>
  <c r="U565" i="2"/>
  <c r="S254" i="2"/>
  <c r="S278" i="2" s="1"/>
  <c r="S604" i="2" s="1"/>
  <c r="S605" i="2" s="1"/>
  <c r="S606" i="2" s="1"/>
  <c r="S432" i="4"/>
  <c r="R279" i="2"/>
  <c r="R611" i="2" s="1"/>
  <c r="R612" i="2" s="1"/>
  <c r="R609" i="2" s="1"/>
  <c r="V526" i="2"/>
  <c r="U536" i="2"/>
  <c r="U538" i="2" s="1"/>
  <c r="V534" i="2"/>
  <c r="W478" i="2"/>
  <c r="W528" i="2" s="1"/>
  <c r="W533" i="2"/>
  <c r="W53" i="4"/>
  <c r="W50" i="4" s="1"/>
  <c r="AA69" i="2"/>
  <c r="S234" i="2"/>
  <c r="T588" i="2"/>
  <c r="R273" i="2"/>
  <c r="R127" i="4" s="1"/>
  <c r="AA309" i="2"/>
  <c r="AA310" i="2" s="1"/>
  <c r="O163" i="4"/>
  <c r="T271" i="2"/>
  <c r="T30" i="4"/>
  <c r="T27" i="4" s="1"/>
  <c r="T264" i="2"/>
  <c r="T274" i="2" s="1"/>
  <c r="T1292" i="2" s="1"/>
  <c r="T262" i="4"/>
  <c r="S486" i="4"/>
  <c r="U252" i="2"/>
  <c r="U30" i="4" s="1"/>
  <c r="S256" i="2"/>
  <c r="Q280" i="2"/>
  <c r="Q127" i="4"/>
  <c r="X219" i="2"/>
  <c r="X221" i="2" s="1"/>
  <c r="X243" i="2"/>
  <c r="U29" i="4"/>
  <c r="T269" i="2"/>
  <c r="T1301" i="2" s="1"/>
  <c r="T254" i="2"/>
  <c r="T229" i="2"/>
  <c r="T272" i="2" s="1"/>
  <c r="T607" i="2" s="1"/>
  <c r="U587" i="2"/>
  <c r="U588" i="2" s="1"/>
  <c r="P280" i="2"/>
  <c r="W245" i="2"/>
  <c r="V248" i="2"/>
  <c r="V277" i="2" s="1"/>
  <c r="V246" i="2"/>
  <c r="U240" i="2"/>
  <c r="T230" i="2"/>
  <c r="Q612" i="2"/>
  <c r="V268" i="2"/>
  <c r="V95" i="4" s="1"/>
  <c r="V228" i="2"/>
  <c r="V241" i="2" s="1"/>
  <c r="T232" i="2"/>
  <c r="W222" i="2"/>
  <c r="W224" i="2"/>
  <c r="U229" i="2"/>
  <c r="AB260" i="2"/>
  <c r="AB244" i="2"/>
  <c r="AB262" i="2"/>
  <c r="AB250" i="2"/>
  <c r="R602" i="2"/>
  <c r="R183" i="4" s="1"/>
  <c r="AB238" i="2"/>
  <c r="AB220" i="2"/>
  <c r="AB236" i="2"/>
  <c r="AB226" i="2"/>
  <c r="Z488" i="2"/>
  <c r="Z54" i="4"/>
  <c r="AB485" i="2"/>
  <c r="AB486" i="2"/>
  <c r="AB482" i="2"/>
  <c r="AB475" i="2"/>
  <c r="AB476" i="2"/>
  <c r="AB472" i="2"/>
  <c r="Z468" i="2"/>
  <c r="Z52" i="4"/>
  <c r="AB465" i="2"/>
  <c r="AB466" i="2"/>
  <c r="AB462" i="2"/>
  <c r="AA463" i="2"/>
  <c r="W431" i="4"/>
  <c r="AB521" i="2"/>
  <c r="AB522" i="2"/>
  <c r="AB518" i="2"/>
  <c r="W485" i="4"/>
  <c r="AA109" i="2"/>
  <c r="Z458" i="2"/>
  <c r="Z51" i="4"/>
  <c r="X529" i="2"/>
  <c r="Z110" i="2"/>
  <c r="Z10" i="4" s="1"/>
  <c r="AB455" i="2"/>
  <c r="AB456" i="2"/>
  <c r="AB452" i="2"/>
  <c r="AA453" i="2"/>
  <c r="W131" i="2"/>
  <c r="Y123" i="2"/>
  <c r="Y124" i="2" s="1"/>
  <c r="Y111" i="2" s="1"/>
  <c r="Y402" i="2"/>
  <c r="Y409" i="2" s="1"/>
  <c r="Y384" i="2"/>
  <c r="Y46" i="4" s="1"/>
  <c r="Y45" i="4" s="1"/>
  <c r="Z90" i="2"/>
  <c r="Z9" i="4" s="1"/>
  <c r="AA89" i="2"/>
  <c r="Y103" i="2"/>
  <c r="Y104" i="2" s="1"/>
  <c r="Y412" i="2"/>
  <c r="Y457" i="4" s="1"/>
  <c r="S261" i="4"/>
  <c r="T596" i="2"/>
  <c r="T164" i="4" s="1"/>
  <c r="T261" i="4" s="1"/>
  <c r="V397" i="2"/>
  <c r="U401" i="2"/>
  <c r="U598" i="2"/>
  <c r="Z323" i="2"/>
  <c r="Z324" i="2" s="1"/>
  <c r="Z36" i="4" s="1"/>
  <c r="AB321" i="2"/>
  <c r="AB317" i="2"/>
  <c r="Y315" i="2"/>
  <c r="Y35" i="4" s="1"/>
  <c r="AB312" i="2"/>
  <c r="AB308" i="2"/>
  <c r="Z314" i="2"/>
  <c r="Z383" i="2"/>
  <c r="Z404" i="2" s="1"/>
  <c r="AB381" i="2"/>
  <c r="AB377" i="2"/>
  <c r="Z371" i="2"/>
  <c r="Z372" i="2" s="1"/>
  <c r="Z43" i="4" s="1"/>
  <c r="AB369" i="2"/>
  <c r="AB365" i="2"/>
  <c r="X413" i="2"/>
  <c r="X1321" i="2" s="1"/>
  <c r="X497" i="4" s="1"/>
  <c r="Z70" i="2"/>
  <c r="Y363" i="2"/>
  <c r="Y42" i="4" s="1"/>
  <c r="Y41" i="4" s="1"/>
  <c r="AB360" i="2"/>
  <c r="AB356" i="2"/>
  <c r="Z362" i="2"/>
  <c r="V1198" i="2"/>
  <c r="AC57" i="10"/>
  <c r="AC62" i="10"/>
  <c r="AD117" i="2"/>
  <c r="AD97" i="2"/>
  <c r="Y177" i="4"/>
  <c r="W1200" i="2"/>
  <c r="X111" i="2"/>
  <c r="AB121" i="2"/>
  <c r="AB118" i="2"/>
  <c r="AB108" i="2"/>
  <c r="AB101" i="2"/>
  <c r="AB98" i="2"/>
  <c r="AB88" i="2"/>
  <c r="X92" i="2"/>
  <c r="Y539" i="2"/>
  <c r="X549" i="2"/>
  <c r="X551" i="2" s="1"/>
  <c r="V575" i="2"/>
  <c r="V576" i="2" s="1"/>
  <c r="U572" i="2"/>
  <c r="U162" i="4" s="1"/>
  <c r="W153" i="2"/>
  <c r="AA1274" i="2"/>
  <c r="AA1276" i="2" s="1"/>
  <c r="Y547" i="2"/>
  <c r="X165" i="2"/>
  <c r="X153" i="2" s="1"/>
  <c r="Y177" i="2"/>
  <c r="Y189" i="2" s="1"/>
  <c r="AA9" i="2"/>
  <c r="AA21" i="2" s="1"/>
  <c r="AA22" i="2" s="1"/>
  <c r="Y152" i="2"/>
  <c r="Y164" i="2" s="1"/>
  <c r="W1310" i="2"/>
  <c r="V156" i="2"/>
  <c r="V158" i="2" s="1"/>
  <c r="W178" i="2"/>
  <c r="W179" i="2"/>
  <c r="V181" i="2"/>
  <c r="V183" i="2" s="1"/>
  <c r="Y11" i="2"/>
  <c r="AA289" i="2"/>
  <c r="AA293" i="2" s="1"/>
  <c r="AA294" i="2" s="1"/>
  <c r="Z194" i="2"/>
  <c r="Z197" i="2"/>
  <c r="AA707" i="2"/>
  <c r="AA701" i="2"/>
  <c r="AA691" i="2" s="1"/>
  <c r="AA28" i="2"/>
  <c r="AD441" i="2"/>
  <c r="AD430" i="2"/>
  <c r="AC2" i="5"/>
  <c r="AC2" i="4"/>
  <c r="AC2" i="2"/>
  <c r="AC2" i="10"/>
  <c r="AC2" i="1"/>
  <c r="AD25" i="1"/>
  <c r="AC80" i="1"/>
  <c r="AD81" i="1"/>
  <c r="Z672" i="2"/>
  <c r="Z668" i="2" s="1"/>
  <c r="Z673" i="2"/>
  <c r="Z674" i="2" s="1"/>
  <c r="Z669" i="2"/>
  <c r="Z670" i="2" s="1"/>
  <c r="AI75" i="10"/>
  <c r="AA647" i="2"/>
  <c r="AA650" i="2" s="1"/>
  <c r="AA649" i="2"/>
  <c r="AA648" i="2"/>
  <c r="W1107" i="2"/>
  <c r="X1106" i="2" s="1"/>
  <c r="Z173" i="2"/>
  <c r="Z171" i="2"/>
  <c r="AD35" i="2"/>
  <c r="AD77" i="2"/>
  <c r="AD16" i="2"/>
  <c r="AH55" i="1"/>
  <c r="AI54" i="1"/>
  <c r="Y19" i="4"/>
  <c r="Y18" i="4" s="1"/>
  <c r="Y196" i="2"/>
  <c r="X72" i="2"/>
  <c r="Z302" i="2"/>
  <c r="Z303" i="2" s="1"/>
  <c r="Z146" i="2"/>
  <c r="Z148" i="2"/>
  <c r="Z652" i="2"/>
  <c r="AB146" i="1"/>
  <c r="AB59" i="1"/>
  <c r="AB120" i="1"/>
  <c r="AB45" i="1"/>
  <c r="AB44" i="1"/>
  <c r="AB53" i="1"/>
  <c r="AB131" i="1"/>
  <c r="AB123" i="1"/>
  <c r="AB140" i="1"/>
  <c r="Y440" i="4"/>
  <c r="Y502" i="4"/>
  <c r="Y467" i="4"/>
  <c r="AI106" i="10"/>
  <c r="AA145" i="2"/>
  <c r="AA720" i="2"/>
  <c r="AA721" i="2"/>
  <c r="AA665" i="2"/>
  <c r="AA666" i="2"/>
  <c r="V1105" i="2"/>
  <c r="Y10" i="2"/>
  <c r="Y1118" i="2"/>
  <c r="Z21" i="2"/>
  <c r="Z22" i="2" s="1"/>
  <c r="V593" i="2"/>
  <c r="V590" i="2" s="1"/>
  <c r="V165" i="4" s="1"/>
  <c r="Z293" i="2"/>
  <c r="Z294" i="2" s="1"/>
  <c r="AB65" i="10"/>
  <c r="AB133" i="10"/>
  <c r="AB136" i="10"/>
  <c r="AB188" i="4" s="1"/>
  <c r="AB93" i="10"/>
  <c r="AB168" i="4" s="1"/>
  <c r="AB135" i="10"/>
  <c r="AB97" i="10"/>
  <c r="AB176" i="4" s="1"/>
  <c r="AB70" i="10"/>
  <c r="AB71" i="10" s="1"/>
  <c r="AB72" i="10" s="1"/>
  <c r="Y42" i="2"/>
  <c r="Y29" i="2" s="1"/>
  <c r="AH86" i="1"/>
  <c r="Z727" i="2"/>
  <c r="Z723" i="2" s="1"/>
  <c r="Z724" i="2"/>
  <c r="Z725" i="2" s="1"/>
  <c r="X198" i="2"/>
  <c r="X200" i="2"/>
  <c r="X138" i="4"/>
  <c r="X144" i="4" s="1"/>
  <c r="X990" i="2"/>
  <c r="P78" i="10"/>
  <c r="X399" i="2"/>
  <c r="AB1273" i="2"/>
  <c r="AB1146" i="2"/>
  <c r="AB1147" i="2" s="1"/>
  <c r="AB1033" i="2"/>
  <c r="AB682" i="2"/>
  <c r="AB557" i="2"/>
  <c r="AB1335" i="2"/>
  <c r="AB1281" i="2"/>
  <c r="AB1220" i="2"/>
  <c r="AB1221" i="2" s="1"/>
  <c r="AB1150" i="2"/>
  <c r="AB1151" i="2" s="1"/>
  <c r="AB1029" i="2"/>
  <c r="AB712" i="2"/>
  <c r="AB544" i="2"/>
  <c r="AB531" i="2"/>
  <c r="AB442" i="2"/>
  <c r="AB432" i="2"/>
  <c r="AB405" i="2"/>
  <c r="AB168" i="2"/>
  <c r="AB167" i="2" s="1"/>
  <c r="AB1017" i="2"/>
  <c r="AB438" i="2"/>
  <c r="AB437" i="2" s="1"/>
  <c r="AB427" i="2"/>
  <c r="AB160" i="2"/>
  <c r="AB1275" i="2"/>
  <c r="AB1136" i="2"/>
  <c r="AB688" i="2"/>
  <c r="AB555" i="2"/>
  <c r="AB288" i="2"/>
  <c r="AB212" i="2"/>
  <c r="AB1032" i="2"/>
  <c r="AB1031" i="2" s="1"/>
  <c r="AB628" i="2"/>
  <c r="AB296" i="2"/>
  <c r="AB287" i="2"/>
  <c r="AB1272" i="2"/>
  <c r="AB1201" i="2"/>
  <c r="AB1202" i="2" s="1"/>
  <c r="AB714" i="2"/>
  <c r="AB1026" i="2"/>
  <c r="AB659" i="2"/>
  <c r="AB391" i="2"/>
  <c r="AB300" i="2"/>
  <c r="AB291" i="2"/>
  <c r="AB187" i="2"/>
  <c r="AB26" i="2"/>
  <c r="AB25" i="2" s="1"/>
  <c r="AB17" i="2"/>
  <c r="AB7" i="2"/>
  <c r="AB1120" i="2"/>
  <c r="AB1121" i="2" s="1"/>
  <c r="AB1012" i="2"/>
  <c r="AB1011" i="2" s="1"/>
  <c r="AB143" i="2"/>
  <c r="AB78" i="2"/>
  <c r="AB36" i="2"/>
  <c r="AB431" i="2"/>
  <c r="AB1108" i="2"/>
  <c r="AB1109" i="2" s="1"/>
  <c r="AB1037" i="2"/>
  <c r="AB623" i="2"/>
  <c r="AB624" i="2" s="1"/>
  <c r="AB162" i="2"/>
  <c r="AB643" i="2"/>
  <c r="AB81" i="2"/>
  <c r="AB39" i="2"/>
  <c r="AB27" i="2" s="1"/>
  <c r="AB407" i="2"/>
  <c r="AB185" i="2"/>
  <c r="AB656" i="2"/>
  <c r="AB443" i="2"/>
  <c r="AB389" i="2"/>
  <c r="AB1279" i="2"/>
  <c r="AB542" i="2"/>
  <c r="AB8" i="2"/>
  <c r="AB214" i="2"/>
  <c r="AB144" i="2"/>
  <c r="AB19" i="2"/>
  <c r="AB1028" i="2"/>
  <c r="AB1278" i="2"/>
  <c r="AB428" i="2"/>
  <c r="AB175" i="2"/>
  <c r="AB1178" i="2"/>
  <c r="AB197" i="4" s="1"/>
  <c r="AB150" i="2"/>
  <c r="AB1208" i="2"/>
  <c r="AB1209" i="2" s="1"/>
  <c r="AD1063" i="2"/>
  <c r="AD1062" i="2" s="1"/>
  <c r="AC1061" i="2"/>
  <c r="U594" i="2"/>
  <c r="Z503" i="4"/>
  <c r="AA694" i="2"/>
  <c r="AA696" i="2"/>
  <c r="AA697" i="2"/>
  <c r="AA1039" i="2"/>
  <c r="AA1038" i="2"/>
  <c r="AA1280" i="2"/>
  <c r="AA1282" i="2" s="1"/>
  <c r="R84" i="10"/>
  <c r="R85" i="10" s="1"/>
  <c r="X71" i="2"/>
  <c r="AH61" i="1"/>
  <c r="AI60" i="1"/>
  <c r="AA429" i="2"/>
  <c r="AA434" i="2" s="1"/>
  <c r="AA729" i="2"/>
  <c r="AA722" i="2"/>
  <c r="AA726" i="2"/>
  <c r="AA717" i="2" s="1"/>
  <c r="W374" i="4"/>
  <c r="W277" i="4"/>
  <c r="W324" i="4"/>
  <c r="W1184" i="2"/>
  <c r="W1264" i="2"/>
  <c r="AD1083" i="2"/>
  <c r="AD1082" i="2" s="1"/>
  <c r="AC1084" i="2"/>
  <c r="Z41" i="2"/>
  <c r="Z42" i="2" s="1"/>
  <c r="AE292" i="4"/>
  <c r="AE383" i="4"/>
  <c r="AE341" i="4"/>
  <c r="AE47" i="1"/>
  <c r="AE57" i="2" s="1"/>
  <c r="AE49" i="1"/>
  <c r="AE48" i="1"/>
  <c r="AE50" i="1"/>
  <c r="AF43" i="1"/>
  <c r="Y110" i="10"/>
  <c r="Z109" i="10" s="1"/>
  <c r="Y108" i="10"/>
  <c r="Z105" i="10" s="1"/>
  <c r="X1307" i="2"/>
  <c r="AC87" i="1"/>
  <c r="AB91" i="1"/>
  <c r="Z702" i="2"/>
  <c r="Z698" i="2" s="1"/>
  <c r="Z703" i="2"/>
  <c r="Z704" i="2" s="1"/>
  <c r="Z699" i="2"/>
  <c r="Z700" i="2" s="1"/>
  <c r="AB370" i="4"/>
  <c r="AB194" i="4"/>
  <c r="AB298" i="4"/>
  <c r="AB389" i="4"/>
  <c r="AB283" i="4"/>
  <c r="AB273" i="4"/>
  <c r="AB332" i="4"/>
  <c r="AB178" i="4"/>
  <c r="AB347" i="4"/>
  <c r="AB189" i="4"/>
  <c r="AB412" i="4"/>
  <c r="AB293" i="4"/>
  <c r="AB321" i="4"/>
  <c r="AB199" i="4"/>
  <c r="AB342" i="4"/>
  <c r="AB169" i="4"/>
  <c r="AB384" i="4"/>
  <c r="AA172" i="4"/>
  <c r="AA677" i="2"/>
  <c r="AA667" i="2"/>
  <c r="AA671" i="2"/>
  <c r="AA662" i="2" s="1"/>
  <c r="AD211" i="2"/>
  <c r="AD184" i="2"/>
  <c r="AD159" i="2"/>
  <c r="Y991" i="2"/>
  <c r="Y1305" i="2" s="1"/>
  <c r="Y949" i="2"/>
  <c r="AJ82" i="10"/>
  <c r="S210" i="2"/>
  <c r="AI68" i="10"/>
  <c r="AI113" i="10"/>
  <c r="AD299" i="2"/>
  <c r="AD290" i="2"/>
  <c r="V615" i="2"/>
  <c r="V186" i="4" s="1"/>
  <c r="AC1091" i="2"/>
  <c r="AC1090" i="2" s="1"/>
  <c r="AB1092" i="2"/>
  <c r="X430" i="4" l="1"/>
  <c r="X484" i="4"/>
  <c r="X414" i="2"/>
  <c r="X617" i="2" s="1"/>
  <c r="AA967" i="2"/>
  <c r="X34" i="4"/>
  <c r="X96" i="4" s="1"/>
  <c r="V239" i="4"/>
  <c r="W32" i="4"/>
  <c r="W239" i="4" s="1"/>
  <c r="AB49" i="2"/>
  <c r="AB50" i="2" s="1"/>
  <c r="W100" i="4"/>
  <c r="V60" i="4"/>
  <c r="V102" i="4" s="1"/>
  <c r="Y471" i="2"/>
  <c r="Y473" i="2" s="1"/>
  <c r="Y527" i="2" s="1"/>
  <c r="W236" i="4"/>
  <c r="X41" i="4"/>
  <c r="AA508" i="2"/>
  <c r="AA56" i="4"/>
  <c r="AB503" i="2"/>
  <c r="AC502" i="2"/>
  <c r="AC505" i="2"/>
  <c r="AC501" i="2"/>
  <c r="AC506" i="2"/>
  <c r="AA498" i="2"/>
  <c r="AA55" i="4"/>
  <c r="AB493" i="2"/>
  <c r="AA970" i="2"/>
  <c r="AA977" i="2"/>
  <c r="AC491" i="2"/>
  <c r="AC492" i="2"/>
  <c r="AC495" i="2"/>
  <c r="AC496" i="2"/>
  <c r="AA966" i="2"/>
  <c r="Y996" i="2"/>
  <c r="AB169" i="2"/>
  <c r="AB170" i="2" s="1"/>
  <c r="AB411" i="2"/>
  <c r="Z396" i="2"/>
  <c r="Z394" i="2" s="1"/>
  <c r="AA395" i="2"/>
  <c r="W418" i="2"/>
  <c r="Z388" i="2"/>
  <c r="Z386" i="2" s="1"/>
  <c r="AA387" i="2"/>
  <c r="X618" i="2"/>
  <c r="X615" i="2" s="1"/>
  <c r="X186" i="4" s="1"/>
  <c r="AC344" i="2"/>
  <c r="AC348" i="2"/>
  <c r="AC345" i="2" s="1"/>
  <c r="AB346" i="2"/>
  <c r="AA350" i="2"/>
  <c r="AA351" i="2" s="1"/>
  <c r="AA39" i="4" s="1"/>
  <c r="AC335" i="2"/>
  <c r="AC339" i="2"/>
  <c r="AC336" i="2" s="1"/>
  <c r="AA341" i="2"/>
  <c r="AA342" i="2" s="1"/>
  <c r="AA38" i="4" s="1"/>
  <c r="AB337" i="2"/>
  <c r="W128" i="4"/>
  <c r="AB297" i="2"/>
  <c r="AB298" i="2" s="1"/>
  <c r="X410" i="2"/>
  <c r="AA332" i="2"/>
  <c r="AA333" i="2" s="1"/>
  <c r="AA37" i="4" s="1"/>
  <c r="T1217" i="2"/>
  <c r="U1218" i="2"/>
  <c r="AC68" i="2"/>
  <c r="AC326" i="2"/>
  <c r="AC330" i="2"/>
  <c r="AC327" i="2" s="1"/>
  <c r="AB328" i="2"/>
  <c r="X93" i="4"/>
  <c r="L284" i="4"/>
  <c r="AB107" i="2"/>
  <c r="AB87" i="2"/>
  <c r="Y130" i="2"/>
  <c r="Y1291" i="2" s="1"/>
  <c r="Y485" i="4" s="1"/>
  <c r="Z128" i="2"/>
  <c r="Z471" i="2" s="1"/>
  <c r="Y51" i="2"/>
  <c r="X133" i="2"/>
  <c r="X574" i="2" s="1"/>
  <c r="X575" i="2" s="1"/>
  <c r="Y517" i="2"/>
  <c r="P609" i="2"/>
  <c r="P631" i="2" s="1"/>
  <c r="AB67" i="2"/>
  <c r="Y6" i="4"/>
  <c r="Y93" i="4" s="1"/>
  <c r="K1332" i="2"/>
  <c r="I1326" i="2"/>
  <c r="I493" i="4" s="1"/>
  <c r="K1330" i="2"/>
  <c r="K1336" i="2"/>
  <c r="K1337" i="2" s="1"/>
  <c r="K1325" i="2" s="1"/>
  <c r="K1326" i="2" s="1"/>
  <c r="K493" i="4" s="1"/>
  <c r="U775" i="2"/>
  <c r="U995" i="2" s="1"/>
  <c r="J1336" i="2"/>
  <c r="J1334" i="2" s="1"/>
  <c r="L333" i="4"/>
  <c r="L207" i="4"/>
  <c r="L209" i="4" s="1"/>
  <c r="L109" i="4"/>
  <c r="L115" i="4" s="1"/>
  <c r="L256" i="4"/>
  <c r="J1333" i="2"/>
  <c r="U48" i="4"/>
  <c r="W117" i="10"/>
  <c r="W115" i="10" s="1"/>
  <c r="X112" i="10" s="1"/>
  <c r="X116" i="10"/>
  <c r="Z708" i="2"/>
  <c r="Z34" i="1"/>
  <c r="Z366" i="4" s="1"/>
  <c r="AE259" i="2"/>
  <c r="AE235" i="2"/>
  <c r="AE454" i="2"/>
  <c r="AE464" i="2"/>
  <c r="AE520" i="2"/>
  <c r="AE484" i="2"/>
  <c r="AE474" i="2"/>
  <c r="O878" i="2"/>
  <c r="O969" i="2" s="1"/>
  <c r="AA962" i="2"/>
  <c r="N174" i="4"/>
  <c r="N1318" i="2"/>
  <c r="N954" i="2"/>
  <c r="O766" i="2"/>
  <c r="AA27" i="1"/>
  <c r="AA29" i="1"/>
  <c r="AA34" i="1" s="1"/>
  <c r="AA28" i="1"/>
  <c r="AB26" i="1"/>
  <c r="O936" i="2"/>
  <c r="O982" i="2"/>
  <c r="N65" i="4"/>
  <c r="N107" i="4"/>
  <c r="N240" i="4" s="1"/>
  <c r="M495" i="4"/>
  <c r="M103" i="4"/>
  <c r="M104" i="4" s="1"/>
  <c r="M1314" i="2"/>
  <c r="M1315" i="2" s="1"/>
  <c r="AE311" i="2"/>
  <c r="AE368" i="2"/>
  <c r="AE359" i="2"/>
  <c r="AE320" i="2"/>
  <c r="AE380" i="2"/>
  <c r="AA219" i="4"/>
  <c r="Z220" i="4"/>
  <c r="N958" i="2"/>
  <c r="O770" i="2"/>
  <c r="Z1014" i="2"/>
  <c r="AA1013" i="2"/>
  <c r="Y55" i="10"/>
  <c r="Y269" i="4"/>
  <c r="Y233" i="4"/>
  <c r="Y1000" i="2"/>
  <c r="Y1" i="2"/>
  <c r="Y4" i="5"/>
  <c r="Y408" i="4"/>
  <c r="Y140" i="2"/>
  <c r="Y284" i="2"/>
  <c r="Y102" i="10"/>
  <c r="Y1" i="5"/>
  <c r="Y366" i="4"/>
  <c r="Y1269" i="2"/>
  <c r="Y4" i="2"/>
  <c r="Y38" i="1"/>
  <c r="Y1" i="4"/>
  <c r="Y69" i="4"/>
  <c r="Y570" i="2"/>
  <c r="Y1" i="10"/>
  <c r="Y124" i="4"/>
  <c r="Y4" i="4"/>
  <c r="Y1056" i="2"/>
  <c r="Y68" i="1"/>
  <c r="Y638" i="2"/>
  <c r="Y25" i="4"/>
  <c r="Y91" i="4"/>
  <c r="Y1168" i="2"/>
  <c r="Y1189" i="2"/>
  <c r="Y1" i="1"/>
  <c r="Y1142" i="2"/>
  <c r="Y90" i="10"/>
  <c r="Y14" i="4"/>
  <c r="Y14" i="1"/>
  <c r="Y159" i="4"/>
  <c r="Y205" i="4"/>
  <c r="Y1096" i="2"/>
  <c r="Y423" i="2"/>
  <c r="Y113" i="1"/>
  <c r="Y317" i="4"/>
  <c r="AA955" i="2"/>
  <c r="O881" i="2"/>
  <c r="O972" i="2" s="1"/>
  <c r="Z956" i="2"/>
  <c r="AA951" i="2"/>
  <c r="AA952" i="2"/>
  <c r="AC834" i="2"/>
  <c r="AC831" i="2"/>
  <c r="AB840" i="2"/>
  <c r="AB841" i="2"/>
  <c r="AB852" i="2"/>
  <c r="AB842" i="2"/>
  <c r="AB846" i="2"/>
  <c r="AB837" i="2" s="1"/>
  <c r="AB78" i="4" s="1"/>
  <c r="Y299" i="7" s="1"/>
  <c r="AA847" i="2"/>
  <c r="AA843" i="2" s="1"/>
  <c r="AA853" i="2" s="1"/>
  <c r="AA848" i="2"/>
  <c r="AA849" i="2" s="1"/>
  <c r="AA844" i="2"/>
  <c r="AA845" i="2" s="1"/>
  <c r="AB826" i="2"/>
  <c r="AB816" i="2"/>
  <c r="AB820" i="2"/>
  <c r="AB811" i="2" s="1"/>
  <c r="AB77" i="4" s="1"/>
  <c r="Y298" i="7" s="1"/>
  <c r="AC808" i="2"/>
  <c r="AC805" i="2"/>
  <c r="AA759" i="2"/>
  <c r="AA75" i="4" s="1"/>
  <c r="X296" i="7" s="1"/>
  <c r="Z765" i="2"/>
  <c r="AA821" i="2"/>
  <c r="AA817" i="2" s="1"/>
  <c r="AA827" i="2" s="1"/>
  <c r="AA822" i="2"/>
  <c r="AA823" i="2" s="1"/>
  <c r="AA818" i="2"/>
  <c r="AA819" i="2" s="1"/>
  <c r="AB814" i="2"/>
  <c r="AB815" i="2"/>
  <c r="AA795" i="2"/>
  <c r="AA791" i="2" s="1"/>
  <c r="AA801" i="2" s="1"/>
  <c r="AA796" i="2"/>
  <c r="AA797" i="2" s="1"/>
  <c r="AA792" i="2"/>
  <c r="AA793" i="2" s="1"/>
  <c r="AC779" i="2"/>
  <c r="AC782" i="2"/>
  <c r="AB800" i="2"/>
  <c r="AB790" i="2"/>
  <c r="AB794" i="2"/>
  <c r="AB785" i="2" s="1"/>
  <c r="AB76" i="4" s="1"/>
  <c r="Y297" i="7" s="1"/>
  <c r="AB788" i="2"/>
  <c r="AB789" i="2"/>
  <c r="AC756" i="2"/>
  <c r="AC753" i="2"/>
  <c r="AB481" i="2"/>
  <c r="AB483" i="2" s="1"/>
  <c r="AA769" i="2"/>
  <c r="AB762" i="2"/>
  <c r="AB763" i="2"/>
  <c r="AB774" i="2"/>
  <c r="AB764" i="2"/>
  <c r="AB768" i="2"/>
  <c r="W416" i="2"/>
  <c r="W1322" i="2" s="1"/>
  <c r="V437" i="4"/>
  <c r="V496" i="4"/>
  <c r="AB439" i="2"/>
  <c r="AB440" i="2" s="1"/>
  <c r="AB445" i="2" s="1"/>
  <c r="Y52" i="2"/>
  <c r="Z64" i="2"/>
  <c r="Y84" i="2"/>
  <c r="Y129" i="2" s="1"/>
  <c r="AA7" i="4"/>
  <c r="AA63" i="2"/>
  <c r="AC58" i="2"/>
  <c r="AC61" i="2"/>
  <c r="AC47" i="2"/>
  <c r="Y34" i="4"/>
  <c r="U94" i="4"/>
  <c r="U102" i="4"/>
  <c r="Y386" i="2"/>
  <c r="Y393" i="2" s="1"/>
  <c r="Z627" i="2"/>
  <c r="Z626" i="2" s="1"/>
  <c r="Z184" i="4" s="1"/>
  <c r="R241" i="4"/>
  <c r="V237" i="4"/>
  <c r="AB744" i="2"/>
  <c r="AB946" i="2" s="1"/>
  <c r="AB172" i="4" s="1"/>
  <c r="AA746" i="2"/>
  <c r="U206" i="2"/>
  <c r="T208" i="2"/>
  <c r="T210" i="2" s="1"/>
  <c r="V217" i="2"/>
  <c r="V205" i="2" s="1"/>
  <c r="V216" i="2"/>
  <c r="W97" i="4"/>
  <c r="Y100" i="4"/>
  <c r="U27" i="4"/>
  <c r="AA142" i="4"/>
  <c r="R208" i="4"/>
  <c r="R222" i="4"/>
  <c r="R195" i="4"/>
  <c r="S1253" i="2"/>
  <c r="S1248" i="2" s="1"/>
  <c r="U1257" i="2"/>
  <c r="V1242" i="2"/>
  <c r="AB318" i="2"/>
  <c r="AB319" i="2" s="1"/>
  <c r="S373" i="4"/>
  <c r="S212" i="4"/>
  <c r="S276" i="4"/>
  <c r="T1251" i="2"/>
  <c r="T108" i="4" s="1"/>
  <c r="T1234" i="2"/>
  <c r="U1233" i="2" s="1"/>
  <c r="AC1235" i="2"/>
  <c r="AA963" i="2"/>
  <c r="AA139" i="4" s="1"/>
  <c r="X202" i="2"/>
  <c r="X276" i="2" s="1"/>
  <c r="X592" i="2" s="1"/>
  <c r="W204" i="2"/>
  <c r="W216" i="2" s="1"/>
  <c r="AB743" i="2"/>
  <c r="AB945" i="2" s="1"/>
  <c r="AB742" i="2"/>
  <c r="AB944" i="2" s="1"/>
  <c r="AC737" i="2"/>
  <c r="AC743" i="2" s="1"/>
  <c r="AC945" i="2" s="1"/>
  <c r="S1301" i="2"/>
  <c r="Z934" i="2"/>
  <c r="Z941" i="2" s="1"/>
  <c r="Z985" i="2"/>
  <c r="Z678" i="2"/>
  <c r="AC896" i="2"/>
  <c r="AC890" i="2"/>
  <c r="AA928" i="2"/>
  <c r="AA85" i="4" s="1"/>
  <c r="X306" i="7" s="1"/>
  <c r="AA984" i="2"/>
  <c r="AA978" i="2" s="1"/>
  <c r="AA140" i="4" s="1"/>
  <c r="AB902" i="2"/>
  <c r="AB904" i="2"/>
  <c r="AB905" i="2"/>
  <c r="AB915" i="2"/>
  <c r="AB909" i="2"/>
  <c r="AB899" i="2" s="1"/>
  <c r="AB82" i="4" s="1"/>
  <c r="Y303" i="7" s="1"/>
  <c r="Z1299" i="2"/>
  <c r="Z730" i="2"/>
  <c r="AA910" i="2"/>
  <c r="AA906" i="2" s="1"/>
  <c r="AA916" i="2" s="1"/>
  <c r="AA911" i="2"/>
  <c r="AA912" i="2" s="1"/>
  <c r="AA907" i="2"/>
  <c r="AA908" i="2" s="1"/>
  <c r="AA938" i="2"/>
  <c r="AB931" i="2"/>
  <c r="AB932" i="2"/>
  <c r="AB980" i="2" s="1"/>
  <c r="AC923" i="2"/>
  <c r="AC925" i="2"/>
  <c r="AB940" i="2"/>
  <c r="AB988" i="2" s="1"/>
  <c r="AB933" i="2"/>
  <c r="AB981" i="2" s="1"/>
  <c r="AB937" i="2"/>
  <c r="Z876" i="2"/>
  <c r="Z886" i="2" s="1"/>
  <c r="AA869" i="2"/>
  <c r="AA81" i="4" s="1"/>
  <c r="X302" i="7" s="1"/>
  <c r="AC866" i="2"/>
  <c r="AC860" i="2"/>
  <c r="AB872" i="2"/>
  <c r="AB874" i="2"/>
  <c r="AB875" i="2"/>
  <c r="AB885" i="2"/>
  <c r="AB879" i="2"/>
  <c r="AA880" i="2"/>
  <c r="AA971" i="2" s="1"/>
  <c r="AB357" i="2"/>
  <c r="AB358" i="2" s="1"/>
  <c r="AB378" i="2"/>
  <c r="AB379" i="2" s="1"/>
  <c r="AB403" i="2" s="1"/>
  <c r="AB366" i="2"/>
  <c r="AB367" i="2" s="1"/>
  <c r="S258" i="2"/>
  <c r="S273" i="2" s="1"/>
  <c r="U264" i="2"/>
  <c r="U274" i="2" s="1"/>
  <c r="U1292" i="2" s="1"/>
  <c r="U432" i="4" s="1"/>
  <c r="W524" i="2"/>
  <c r="W554" i="2" s="1"/>
  <c r="W1302" i="2" s="1"/>
  <c r="W61" i="4"/>
  <c r="W60" i="4" s="1"/>
  <c r="W102" i="4" s="1"/>
  <c r="W553" i="2"/>
  <c r="X519" i="2"/>
  <c r="V559" i="2"/>
  <c r="U562" i="2"/>
  <c r="U564" i="2" s="1"/>
  <c r="V560" i="2"/>
  <c r="V552" i="2"/>
  <c r="V566" i="2" s="1"/>
  <c r="R280" i="2"/>
  <c r="AB69" i="2"/>
  <c r="X533" i="2"/>
  <c r="X478" i="2"/>
  <c r="X528" i="2" s="1"/>
  <c r="X53" i="4"/>
  <c r="W534" i="2"/>
  <c r="W526" i="2"/>
  <c r="V536" i="2"/>
  <c r="V538" i="2" s="1"/>
  <c r="AB309" i="2"/>
  <c r="AB310" i="2" s="1"/>
  <c r="T234" i="2"/>
  <c r="AA110" i="2"/>
  <c r="AA10" i="4" s="1"/>
  <c r="T459" i="4"/>
  <c r="T486" i="4"/>
  <c r="T432" i="4"/>
  <c r="R613" i="2"/>
  <c r="T278" i="2"/>
  <c r="T604" i="2" s="1"/>
  <c r="T605" i="2" s="1"/>
  <c r="T606" i="2" s="1"/>
  <c r="U271" i="2"/>
  <c r="T270" i="2"/>
  <c r="U265" i="2"/>
  <c r="T256" i="2" s="1"/>
  <c r="T258" i="2" s="1"/>
  <c r="S279" i="2"/>
  <c r="S611" i="2" s="1"/>
  <c r="S612" i="2" s="1"/>
  <c r="S613" i="2" s="1"/>
  <c r="V94" i="4"/>
  <c r="Y219" i="2"/>
  <c r="Y221" i="2" s="1"/>
  <c r="Y243" i="2"/>
  <c r="X245" i="2"/>
  <c r="X268" i="2" s="1"/>
  <c r="X95" i="4" s="1"/>
  <c r="V240" i="2"/>
  <c r="U584" i="2"/>
  <c r="U166" i="4" s="1"/>
  <c r="U262" i="4" s="1"/>
  <c r="V252" i="2"/>
  <c r="V271" i="2" s="1"/>
  <c r="V275" i="2"/>
  <c r="V586" i="2" s="1"/>
  <c r="V587" i="2" s="1"/>
  <c r="Q613" i="2"/>
  <c r="Q609" i="2"/>
  <c r="W248" i="2"/>
  <c r="W246" i="2"/>
  <c r="W275" i="2" s="1"/>
  <c r="W586" i="2" s="1"/>
  <c r="W268" i="2"/>
  <c r="W95" i="4" s="1"/>
  <c r="W237" i="4" s="1"/>
  <c r="W228" i="2"/>
  <c r="W241" i="2" s="1"/>
  <c r="V232" i="2" s="1"/>
  <c r="V29" i="4"/>
  <c r="V230" i="2"/>
  <c r="V229" i="2"/>
  <c r="U232" i="2"/>
  <c r="U234" i="2" s="1"/>
  <c r="X222" i="2"/>
  <c r="X224" i="2"/>
  <c r="AC260" i="2"/>
  <c r="AC262" i="2"/>
  <c r="AC250" i="2"/>
  <c r="AC244" i="2"/>
  <c r="AC236" i="2"/>
  <c r="AC220" i="2"/>
  <c r="AC238" i="2"/>
  <c r="AC226" i="2"/>
  <c r="AA488" i="2"/>
  <c r="AA54" i="4"/>
  <c r="AC485" i="2"/>
  <c r="AC486" i="2"/>
  <c r="AC482" i="2"/>
  <c r="AC475" i="2"/>
  <c r="AC476" i="2"/>
  <c r="AC472" i="2"/>
  <c r="AA468" i="2"/>
  <c r="AA52" i="4"/>
  <c r="AC465" i="2"/>
  <c r="AC466" i="2"/>
  <c r="AC462" i="2"/>
  <c r="AB463" i="2"/>
  <c r="AB109" i="2"/>
  <c r="AC521" i="2"/>
  <c r="AC522" i="2"/>
  <c r="AC518" i="2"/>
  <c r="Y414" i="2"/>
  <c r="Y617" i="2" s="1"/>
  <c r="Z123" i="2"/>
  <c r="Z124" i="2" s="1"/>
  <c r="Y529" i="2"/>
  <c r="AA458" i="2"/>
  <c r="AA51" i="4"/>
  <c r="AC455" i="2"/>
  <c r="AC456" i="2"/>
  <c r="AC452" i="2"/>
  <c r="AB453" i="2"/>
  <c r="Y112" i="2"/>
  <c r="Z402" i="2"/>
  <c r="Z409" i="2" s="1"/>
  <c r="AA90" i="2"/>
  <c r="AA9" i="4" s="1"/>
  <c r="Z384" i="2"/>
  <c r="Z46" i="4" s="1"/>
  <c r="Z45" i="4" s="1"/>
  <c r="Y92" i="2"/>
  <c r="AB89" i="2"/>
  <c r="X458" i="4"/>
  <c r="Z103" i="2"/>
  <c r="Z104" i="2" s="1"/>
  <c r="X431" i="4"/>
  <c r="Y91" i="2"/>
  <c r="Y430" i="4"/>
  <c r="Y484" i="4"/>
  <c r="W397" i="2"/>
  <c r="V401" i="2"/>
  <c r="V598" i="2"/>
  <c r="U599" i="2"/>
  <c r="U600" i="2" s="1"/>
  <c r="AA323" i="2"/>
  <c r="AA324" i="2" s="1"/>
  <c r="AA36" i="4" s="1"/>
  <c r="AC321" i="2"/>
  <c r="AC317" i="2"/>
  <c r="Z83" i="2"/>
  <c r="Z315" i="2"/>
  <c r="Z35" i="4" s="1"/>
  <c r="Z34" i="4" s="1"/>
  <c r="AA314" i="2"/>
  <c r="AC312" i="2"/>
  <c r="AC308" i="2"/>
  <c r="AC381" i="2"/>
  <c r="AC377" i="2"/>
  <c r="AA383" i="2"/>
  <c r="AA404" i="2" s="1"/>
  <c r="X416" i="2"/>
  <c r="X1322" i="2" s="1"/>
  <c r="AC369" i="2"/>
  <c r="AC365" i="2"/>
  <c r="AA371" i="2"/>
  <c r="AA372" i="2" s="1"/>
  <c r="AA43" i="4" s="1"/>
  <c r="Z8" i="4"/>
  <c r="Z6" i="4" s="1"/>
  <c r="AA70" i="2"/>
  <c r="AA8" i="4" s="1"/>
  <c r="Z363" i="2"/>
  <c r="Z42" i="4" s="1"/>
  <c r="Z41" i="4" s="1"/>
  <c r="AA362" i="2"/>
  <c r="AC360" i="2"/>
  <c r="AC356" i="2"/>
  <c r="AE117" i="2"/>
  <c r="AE97" i="2"/>
  <c r="AD57" i="10"/>
  <c r="AD62" i="10"/>
  <c r="W1198" i="2"/>
  <c r="X1199" i="2"/>
  <c r="U260" i="4"/>
  <c r="Y190" i="2"/>
  <c r="X181" i="2" s="1"/>
  <c r="X183" i="2" s="1"/>
  <c r="AC121" i="2"/>
  <c r="AC118" i="2"/>
  <c r="AC108" i="2"/>
  <c r="X154" i="2"/>
  <c r="AB1280" i="2"/>
  <c r="AB1282" i="2" s="1"/>
  <c r="AC98" i="2"/>
  <c r="AC101" i="2"/>
  <c r="AC88" i="2"/>
  <c r="W183" i="2"/>
  <c r="V572" i="2"/>
  <c r="V162" i="4" s="1"/>
  <c r="W1105" i="2"/>
  <c r="AB1274" i="2"/>
  <c r="AB1276" i="2" s="1"/>
  <c r="Y165" i="2"/>
  <c r="X156" i="2" s="1"/>
  <c r="W156" i="2"/>
  <c r="Z152" i="2"/>
  <c r="Z164" i="2" s="1"/>
  <c r="Z177" i="2"/>
  <c r="Z190" i="2" s="1"/>
  <c r="V594" i="2"/>
  <c r="Z29" i="2"/>
  <c r="W615" i="2"/>
  <c r="W186" i="4" s="1"/>
  <c r="Z10" i="2"/>
  <c r="X1107" i="2"/>
  <c r="X1105" i="2" s="1"/>
  <c r="AE299" i="2"/>
  <c r="AE290" i="2"/>
  <c r="AB677" i="2"/>
  <c r="AB667" i="2"/>
  <c r="AB671" i="2"/>
  <c r="AB662" i="2" s="1"/>
  <c r="AJ68" i="10"/>
  <c r="Z546" i="2"/>
  <c r="Z539" i="2"/>
  <c r="Y549" i="2"/>
  <c r="Y551" i="2" s="1"/>
  <c r="Z547" i="2"/>
  <c r="Z110" i="10"/>
  <c r="AA109" i="10" s="1"/>
  <c r="Z991" i="2"/>
  <c r="Z1305" i="2" s="1"/>
  <c r="Z949" i="2"/>
  <c r="Z177" i="4"/>
  <c r="AD87" i="1"/>
  <c r="AC91" i="1"/>
  <c r="AA503" i="4"/>
  <c r="AA703" i="2"/>
  <c r="AA704" i="2" s="1"/>
  <c r="AA702" i="2"/>
  <c r="AA698" i="2" s="1"/>
  <c r="AA699" i="2"/>
  <c r="AA700" i="2" s="1"/>
  <c r="AB145" i="2"/>
  <c r="W593" i="2"/>
  <c r="W590" i="2" s="1"/>
  <c r="W165" i="4" s="1"/>
  <c r="AI86" i="1"/>
  <c r="Z11" i="2"/>
  <c r="AA11" i="2" s="1"/>
  <c r="AA727" i="2"/>
  <c r="AA723" i="2" s="1"/>
  <c r="AA724" i="2"/>
  <c r="AA725" i="2" s="1"/>
  <c r="X131" i="2"/>
  <c r="Y1307" i="2"/>
  <c r="AC384" i="4"/>
  <c r="AC321" i="4"/>
  <c r="AC293" i="4"/>
  <c r="AC199" i="4"/>
  <c r="AC189" i="4"/>
  <c r="AC347" i="4"/>
  <c r="AC332" i="4"/>
  <c r="AC283" i="4"/>
  <c r="AC169" i="4"/>
  <c r="AC342" i="4"/>
  <c r="AC194" i="4"/>
  <c r="AC389" i="4"/>
  <c r="AC298" i="4"/>
  <c r="AC370" i="4"/>
  <c r="AC412" i="4"/>
  <c r="AC178" i="4"/>
  <c r="AC273" i="4"/>
  <c r="AC1092" i="2"/>
  <c r="AD1091" i="2"/>
  <c r="AD1090" i="2" s="1"/>
  <c r="W576" i="2"/>
  <c r="AJ113" i="10"/>
  <c r="Y138" i="4"/>
  <c r="Y144" i="4" s="1"/>
  <c r="Y990" i="2"/>
  <c r="AF341" i="4"/>
  <c r="AF383" i="4"/>
  <c r="AF292" i="4"/>
  <c r="AF47" i="1"/>
  <c r="AF57" i="2" s="1"/>
  <c r="AF49" i="1"/>
  <c r="AF50" i="1"/>
  <c r="AF48" i="1"/>
  <c r="AG43" i="1"/>
  <c r="AB665" i="2"/>
  <c r="AB666" i="2"/>
  <c r="AB28" i="2"/>
  <c r="Y399" i="2"/>
  <c r="X324" i="4"/>
  <c r="X277" i="4"/>
  <c r="X374" i="4"/>
  <c r="X1184" i="2"/>
  <c r="X1264" i="2"/>
  <c r="Y198" i="2"/>
  <c r="Y200" i="2"/>
  <c r="AA10" i="2"/>
  <c r="Z467" i="4"/>
  <c r="Z440" i="4"/>
  <c r="Z502" i="4"/>
  <c r="AA146" i="2"/>
  <c r="AA148" i="2"/>
  <c r="AA194" i="2"/>
  <c r="AA197" i="2"/>
  <c r="AD2" i="5"/>
  <c r="AD2" i="4"/>
  <c r="AD2" i="2"/>
  <c r="AD2" i="10"/>
  <c r="AD2" i="1"/>
  <c r="AE25" i="1"/>
  <c r="AA171" i="2"/>
  <c r="AA173" i="2"/>
  <c r="Z19" i="4"/>
  <c r="Z18" i="4" s="1"/>
  <c r="Z196" i="2"/>
  <c r="AJ106" i="10"/>
  <c r="AI55" i="1"/>
  <c r="AJ54" i="1"/>
  <c r="AC146" i="1"/>
  <c r="AC59" i="1"/>
  <c r="AC120" i="1"/>
  <c r="AC45" i="1"/>
  <c r="AC44" i="1"/>
  <c r="AC123" i="1"/>
  <c r="AC140" i="1"/>
  <c r="AC131" i="1"/>
  <c r="AC53" i="1"/>
  <c r="AE1083" i="2"/>
  <c r="AE1082" i="2" s="1"/>
  <c r="AD1084" i="2"/>
  <c r="AK82" i="10"/>
  <c r="AB1038" i="2"/>
  <c r="AB1039" i="2"/>
  <c r="AB289" i="2"/>
  <c r="AB694" i="2"/>
  <c r="AB696" i="2"/>
  <c r="AB697" i="2"/>
  <c r="R163" i="4"/>
  <c r="R631" i="2"/>
  <c r="AI61" i="1"/>
  <c r="AJ60" i="1"/>
  <c r="AB729" i="2"/>
  <c r="AB722" i="2"/>
  <c r="AB726" i="2"/>
  <c r="AB717" i="2" s="1"/>
  <c r="AE430" i="2"/>
  <c r="AE441" i="2"/>
  <c r="Z412" i="2"/>
  <c r="AE77" i="2"/>
  <c r="AE16" i="2"/>
  <c r="AE35" i="2"/>
  <c r="R86" i="10"/>
  <c r="AB647" i="2"/>
  <c r="AB650" i="2" s="1"/>
  <c r="AB649" i="2"/>
  <c r="AB648" i="2"/>
  <c r="AB429" i="2"/>
  <c r="AB434" i="2" s="1"/>
  <c r="AA673" i="2"/>
  <c r="AA674" i="2" s="1"/>
  <c r="AA672" i="2"/>
  <c r="AA668" i="2" s="1"/>
  <c r="AA669" i="2"/>
  <c r="AA670" i="2" s="1"/>
  <c r="AJ75" i="10"/>
  <c r="AC136" i="10"/>
  <c r="AC188" i="4" s="1"/>
  <c r="AC93" i="10"/>
  <c r="AC168" i="4" s="1"/>
  <c r="AC135" i="10"/>
  <c r="AC133" i="10"/>
  <c r="AC65" i="10"/>
  <c r="AC97" i="10"/>
  <c r="AC176" i="4" s="1"/>
  <c r="AC70" i="10"/>
  <c r="AC71" i="10" s="1"/>
  <c r="AC72" i="10" s="1"/>
  <c r="Y30" i="2"/>
  <c r="Z30" i="2" s="1"/>
  <c r="W162" i="4"/>
  <c r="P79" i="10"/>
  <c r="AE184" i="2"/>
  <c r="AE159" i="2"/>
  <c r="AE211" i="2"/>
  <c r="AA302" i="2"/>
  <c r="AA303" i="2" s="1"/>
  <c r="AE1063" i="2"/>
  <c r="AE1062" i="2" s="1"/>
  <c r="AD1061" i="2"/>
  <c r="S602" i="2"/>
  <c r="S183" i="4" s="1"/>
  <c r="AB707" i="2"/>
  <c r="AB701" i="2"/>
  <c r="AB691" i="2" s="1"/>
  <c r="AB629" i="2"/>
  <c r="X1310" i="2"/>
  <c r="AB9" i="2"/>
  <c r="AB720" i="2"/>
  <c r="AB721" i="2"/>
  <c r="Y1119" i="2"/>
  <c r="Y1117" i="2" s="1"/>
  <c r="AA652" i="2"/>
  <c r="AD80" i="1"/>
  <c r="AE81" i="1"/>
  <c r="AC1017" i="2"/>
  <c r="AC656" i="2"/>
  <c r="AC643" i="2"/>
  <c r="AC542" i="2"/>
  <c r="AC531" i="2"/>
  <c r="AC442" i="2"/>
  <c r="AC432" i="2"/>
  <c r="AC405" i="2"/>
  <c r="AC168" i="2"/>
  <c r="AC167" i="2" s="1"/>
  <c r="AC1335" i="2"/>
  <c r="AC1279" i="2"/>
  <c r="AC1220" i="2"/>
  <c r="AC1221" i="2" s="1"/>
  <c r="AC1136" i="2"/>
  <c r="AC714" i="2"/>
  <c r="AC431" i="2"/>
  <c r="AC391" i="2"/>
  <c r="AC300" i="2"/>
  <c r="AC291" i="2"/>
  <c r="AC212" i="2"/>
  <c r="AC1275" i="2"/>
  <c r="AC1150" i="2"/>
  <c r="AC1151" i="2" s="1"/>
  <c r="AC1033" i="2"/>
  <c r="AC688" i="2"/>
  <c r="AC659" i="2"/>
  <c r="AC555" i="2"/>
  <c r="AC162" i="2"/>
  <c r="AC19" i="2"/>
  <c r="AC7" i="2"/>
  <c r="AC1273" i="2"/>
  <c r="AC1146" i="2"/>
  <c r="AC1147" i="2" s="1"/>
  <c r="AC1108" i="2"/>
  <c r="AC1109" i="2" s="1"/>
  <c r="AC1029" i="2"/>
  <c r="AC544" i="2"/>
  <c r="AC214" i="2"/>
  <c r="AC78" i="2"/>
  <c r="AC1012" i="2"/>
  <c r="AC1011" i="2" s="1"/>
  <c r="AC623" i="2"/>
  <c r="AC624" i="2" s="1"/>
  <c r="AC1028" i="2"/>
  <c r="AC26" i="2"/>
  <c r="AC25" i="2" s="1"/>
  <c r="AC1120" i="2"/>
  <c r="AC1121" i="2" s="1"/>
  <c r="AC1026" i="2"/>
  <c r="AC39" i="2"/>
  <c r="AC27" i="2" s="1"/>
  <c r="AC8" i="2"/>
  <c r="AC682" i="2"/>
  <c r="AC438" i="2"/>
  <c r="AC437" i="2" s="1"/>
  <c r="AC187" i="2"/>
  <c r="AC1272" i="2"/>
  <c r="AC1037" i="2"/>
  <c r="AC407" i="2"/>
  <c r="AC143" i="2"/>
  <c r="AC17" i="2"/>
  <c r="AC443" i="2"/>
  <c r="AC144" i="2"/>
  <c r="AC389" i="2"/>
  <c r="AC288" i="2"/>
  <c r="AC287" i="2"/>
  <c r="AC296" i="2"/>
  <c r="AC160" i="2"/>
  <c r="AC81" i="2"/>
  <c r="AC1201" i="2"/>
  <c r="AC1202" i="2" s="1"/>
  <c r="AC712" i="2"/>
  <c r="AC557" i="2"/>
  <c r="AC185" i="2"/>
  <c r="AC427" i="2"/>
  <c r="AC1032" i="2"/>
  <c r="AC1031" i="2" s="1"/>
  <c r="AC36" i="2"/>
  <c r="AC1281" i="2"/>
  <c r="AC428" i="2"/>
  <c r="AC1278" i="2"/>
  <c r="AC628" i="2"/>
  <c r="AC629" i="2" s="1"/>
  <c r="AC175" i="2"/>
  <c r="AC150" i="2"/>
  <c r="AC1178" i="2"/>
  <c r="AC197" i="4" s="1"/>
  <c r="AC1208" i="2"/>
  <c r="AC1209" i="2" s="1"/>
  <c r="AA41" i="2"/>
  <c r="AA42" i="2" s="1"/>
  <c r="X418" i="2" l="1"/>
  <c r="X128" i="4"/>
  <c r="Y618" i="2"/>
  <c r="Y619" i="2" s="1"/>
  <c r="AC49" i="2"/>
  <c r="AC50" i="2" s="1"/>
  <c r="X100" i="4"/>
  <c r="X32" i="4"/>
  <c r="X239" i="4" s="1"/>
  <c r="V48" i="4"/>
  <c r="V238" i="4" s="1"/>
  <c r="AB508" i="2"/>
  <c r="AB56" i="4"/>
  <c r="AD502" i="2"/>
  <c r="AD505" i="2"/>
  <c r="AD506" i="2"/>
  <c r="AD501" i="2"/>
  <c r="AB970" i="2"/>
  <c r="AC503" i="2"/>
  <c r="AC169" i="2"/>
  <c r="AC170" i="2" s="1"/>
  <c r="AB498" i="2"/>
  <c r="AB55" i="4"/>
  <c r="AB967" i="2"/>
  <c r="AD491" i="2"/>
  <c r="AD496" i="2"/>
  <c r="AD492" i="2"/>
  <c r="AD495" i="2"/>
  <c r="AB966" i="2"/>
  <c r="AC493" i="2"/>
  <c r="AB977" i="2"/>
  <c r="Z996" i="2"/>
  <c r="AB395" i="2"/>
  <c r="AC411" i="2"/>
  <c r="AA396" i="2"/>
  <c r="X619" i="2"/>
  <c r="AA388" i="2"/>
  <c r="AA386" i="2" s="1"/>
  <c r="AB387" i="2"/>
  <c r="AC297" i="2"/>
  <c r="AC298" i="2" s="1"/>
  <c r="AC302" i="2" s="1"/>
  <c r="AC303" i="2" s="1"/>
  <c r="AB350" i="2"/>
  <c r="AB351" i="2" s="1"/>
  <c r="AB39" i="4" s="1"/>
  <c r="AC346" i="2"/>
  <c r="AD344" i="2"/>
  <c r="AD348" i="2"/>
  <c r="AD345" i="2" s="1"/>
  <c r="AB341" i="2"/>
  <c r="AB342" i="2" s="1"/>
  <c r="AB38" i="4" s="1"/>
  <c r="AD335" i="2"/>
  <c r="AD339" i="2"/>
  <c r="AD336" i="2" s="1"/>
  <c r="AC337" i="2"/>
  <c r="AC328" i="2"/>
  <c r="AC332" i="2" s="1"/>
  <c r="AC333" i="2" s="1"/>
  <c r="AC37" i="4" s="1"/>
  <c r="U1219" i="2"/>
  <c r="V1218" i="2" s="1"/>
  <c r="AD68" i="2"/>
  <c r="AD330" i="2"/>
  <c r="AD327" i="2" s="1"/>
  <c r="AD326" i="2"/>
  <c r="AB332" i="2"/>
  <c r="AB333" i="2" s="1"/>
  <c r="AB37" i="4" s="1"/>
  <c r="X236" i="4"/>
  <c r="P163" i="4"/>
  <c r="Y32" i="4"/>
  <c r="Y239" i="4" s="1"/>
  <c r="X237" i="4"/>
  <c r="AC107" i="2"/>
  <c r="AC87" i="2"/>
  <c r="Z130" i="2"/>
  <c r="Z1291" i="2" s="1"/>
  <c r="Z431" i="4" s="1"/>
  <c r="AA128" i="2"/>
  <c r="AA471" i="2" s="1"/>
  <c r="Z517" i="2"/>
  <c r="Z473" i="2"/>
  <c r="Z527" i="2" s="1"/>
  <c r="AC67" i="2"/>
  <c r="K1333" i="2"/>
  <c r="I1327" i="2"/>
  <c r="I462" i="4" s="1"/>
  <c r="AA6" i="4"/>
  <c r="AA93" i="4" s="1"/>
  <c r="K491" i="4"/>
  <c r="Z92" i="2"/>
  <c r="K1334" i="2"/>
  <c r="J1337" i="2"/>
  <c r="J1325" i="2" s="1"/>
  <c r="J491" i="4" s="1"/>
  <c r="AA30" i="2"/>
  <c r="Z112" i="2"/>
  <c r="V775" i="2"/>
  <c r="V995" i="2" s="1"/>
  <c r="AA708" i="2"/>
  <c r="L1328" i="2"/>
  <c r="L1331" i="2" s="1"/>
  <c r="L492" i="4"/>
  <c r="U238" i="4"/>
  <c r="Z1269" i="2"/>
  <c r="Z113" i="1"/>
  <c r="Z68" i="1"/>
  <c r="Z408" i="4"/>
  <c r="Z205" i="4"/>
  <c r="Z4" i="2"/>
  <c r="Z124" i="4"/>
  <c r="Z1189" i="2"/>
  <c r="Z38" i="1"/>
  <c r="Z1" i="5"/>
  <c r="Z4" i="4"/>
  <c r="Z1168" i="2"/>
  <c r="Z14" i="1"/>
  <c r="Z1" i="10"/>
  <c r="Z159" i="4"/>
  <c r="Z1096" i="2"/>
  <c r="Z1" i="2"/>
  <c r="Z4" i="5"/>
  <c r="Z25" i="4"/>
  <c r="Z638" i="2"/>
  <c r="Z69" i="4"/>
  <c r="Z423" i="2"/>
  <c r="Z1056" i="2"/>
  <c r="Z91" i="4"/>
  <c r="AB955" i="2"/>
  <c r="Z55" i="10"/>
  <c r="Z317" i="4"/>
  <c r="Z1142" i="2"/>
  <c r="Z1" i="1"/>
  <c r="Z269" i="4"/>
  <c r="AB952" i="2"/>
  <c r="Z90" i="10"/>
  <c r="Z140" i="2"/>
  <c r="Z233" i="4"/>
  <c r="Z102" i="10"/>
  <c r="Z14" i="4"/>
  <c r="X117" i="10"/>
  <c r="Y116" i="10" s="1"/>
  <c r="X115" i="10"/>
  <c r="Y112" i="10" s="1"/>
  <c r="Z284" i="2"/>
  <c r="Z570" i="2"/>
  <c r="Z1000" i="2"/>
  <c r="Z1" i="4"/>
  <c r="W419" i="2"/>
  <c r="W1323" i="2" s="1"/>
  <c r="W437" i="4" s="1"/>
  <c r="O953" i="2"/>
  <c r="O63" i="4" s="1"/>
  <c r="O767" i="2"/>
  <c r="N173" i="4"/>
  <c r="N179" i="4" s="1"/>
  <c r="N264" i="4" s="1"/>
  <c r="N1316" i="2"/>
  <c r="N1313" i="2" s="1"/>
  <c r="AF259" i="2"/>
  <c r="AF235" i="2"/>
  <c r="AA220" i="4"/>
  <c r="AB219" i="4"/>
  <c r="O882" i="2"/>
  <c r="O973" i="2" s="1"/>
  <c r="O983" i="2"/>
  <c r="O175" i="4" s="1"/>
  <c r="P935" i="2"/>
  <c r="AB27" i="1"/>
  <c r="AC26" i="1"/>
  <c r="AB29" i="1"/>
  <c r="AB28" i="1"/>
  <c r="AA1014" i="2"/>
  <c r="AB1013" i="2"/>
  <c r="M333" i="4"/>
  <c r="M256" i="4"/>
  <c r="M207" i="4"/>
  <c r="M209" i="4" s="1"/>
  <c r="M247" i="4"/>
  <c r="M284" i="4"/>
  <c r="M109" i="4"/>
  <c r="M115" i="4" s="1"/>
  <c r="AF320" i="2"/>
  <c r="AF380" i="2"/>
  <c r="AF311" i="2"/>
  <c r="AF368" i="2"/>
  <c r="AF359" i="2"/>
  <c r="AF454" i="2"/>
  <c r="AF464" i="2"/>
  <c r="AF520" i="2"/>
  <c r="AF484" i="2"/>
  <c r="AF474" i="2"/>
  <c r="AB962" i="2"/>
  <c r="M463" i="4"/>
  <c r="M436" i="4"/>
  <c r="M494" i="4"/>
  <c r="AA159" i="4"/>
  <c r="AA1142" i="2"/>
  <c r="AA124" i="4"/>
  <c r="AA14" i="1"/>
  <c r="AA284" i="2"/>
  <c r="AA90" i="10"/>
  <c r="AA55" i="10"/>
  <c r="AA1" i="1"/>
  <c r="AA1056" i="2"/>
  <c r="AA4" i="2"/>
  <c r="AA102" i="10"/>
  <c r="AA91" i="4"/>
  <c r="AA570" i="2"/>
  <c r="AA1269" i="2"/>
  <c r="AA366" i="4"/>
  <c r="AA140" i="2"/>
  <c r="AA113" i="1"/>
  <c r="AA4" i="5"/>
  <c r="AA205" i="4"/>
  <c r="AA1" i="5"/>
  <c r="AA408" i="4"/>
  <c r="AA1000" i="2"/>
  <c r="AA38" i="1"/>
  <c r="AA423" i="2"/>
  <c r="AA25" i="4"/>
  <c r="AA638" i="2"/>
  <c r="AA14" i="4"/>
  <c r="AA1" i="2"/>
  <c r="AA1168" i="2"/>
  <c r="AA69" i="4"/>
  <c r="AA1" i="10"/>
  <c r="AA1096" i="2"/>
  <c r="AA317" i="4"/>
  <c r="AA4" i="4"/>
  <c r="AA233" i="4"/>
  <c r="AA1189" i="2"/>
  <c r="AA269" i="4"/>
  <c r="AA1" i="4"/>
  <c r="AA68" i="1"/>
  <c r="O957" i="2"/>
  <c r="O771" i="2"/>
  <c r="P877" i="2"/>
  <c r="P968" i="2" s="1"/>
  <c r="AB951" i="2"/>
  <c r="AA956" i="2"/>
  <c r="AD834" i="2"/>
  <c r="AD831" i="2"/>
  <c r="AB847" i="2"/>
  <c r="AB843" i="2" s="1"/>
  <c r="AB853" i="2" s="1"/>
  <c r="AB848" i="2"/>
  <c r="AB849" i="2" s="1"/>
  <c r="AB844" i="2"/>
  <c r="AB845" i="2" s="1"/>
  <c r="AC840" i="2"/>
  <c r="AC841" i="2"/>
  <c r="AC852" i="2"/>
  <c r="AC842" i="2"/>
  <c r="AC846" i="2"/>
  <c r="AC837" i="2" s="1"/>
  <c r="AC78" i="4" s="1"/>
  <c r="Z299" i="7" s="1"/>
  <c r="AA765" i="2"/>
  <c r="AD808" i="2"/>
  <c r="AD805" i="2"/>
  <c r="AB759" i="2"/>
  <c r="AB75" i="4" s="1"/>
  <c r="Y296" i="7" s="1"/>
  <c r="AC814" i="2"/>
  <c r="AC815" i="2"/>
  <c r="AC826" i="2"/>
  <c r="AC820" i="2"/>
  <c r="AC811" i="2" s="1"/>
  <c r="AC77" i="4" s="1"/>
  <c r="Z298" i="7" s="1"/>
  <c r="AC816" i="2"/>
  <c r="AB821" i="2"/>
  <c r="AB817" i="2" s="1"/>
  <c r="AB827" i="2" s="1"/>
  <c r="AB822" i="2"/>
  <c r="AB823" i="2" s="1"/>
  <c r="AB818" i="2"/>
  <c r="AB819" i="2" s="1"/>
  <c r="AD782" i="2"/>
  <c r="AD779" i="2"/>
  <c r="AC788" i="2"/>
  <c r="AC789" i="2"/>
  <c r="AB795" i="2"/>
  <c r="AB791" i="2" s="1"/>
  <c r="AB801" i="2" s="1"/>
  <c r="AB796" i="2"/>
  <c r="AB797" i="2" s="1"/>
  <c r="AB792" i="2"/>
  <c r="AB793" i="2" s="1"/>
  <c r="AC800" i="2"/>
  <c r="AC790" i="2"/>
  <c r="AC794" i="2"/>
  <c r="AC785" i="2" s="1"/>
  <c r="AC76" i="4" s="1"/>
  <c r="Z297" i="7" s="1"/>
  <c r="AD756" i="2"/>
  <c r="AD753" i="2"/>
  <c r="AC481" i="2"/>
  <c r="AC483" i="2" s="1"/>
  <c r="AB769" i="2"/>
  <c r="AC762" i="2"/>
  <c r="AC763" i="2"/>
  <c r="AC774" i="2"/>
  <c r="AC764" i="2"/>
  <c r="AC768" i="2"/>
  <c r="AC439" i="2"/>
  <c r="AC440" i="2" s="1"/>
  <c r="AC445" i="2" s="1"/>
  <c r="Y71" i="2"/>
  <c r="Y72" i="2"/>
  <c r="Y96" i="4"/>
  <c r="Z51" i="2"/>
  <c r="V206" i="2"/>
  <c r="AB63" i="2"/>
  <c r="Z52" i="2"/>
  <c r="AA64" i="2"/>
  <c r="AB7" i="4"/>
  <c r="AD61" i="2"/>
  <c r="AD58" i="2"/>
  <c r="AD47" i="2"/>
  <c r="AA1299" i="2"/>
  <c r="Y410" i="2"/>
  <c r="Y413" i="2"/>
  <c r="Y1321" i="2" s="1"/>
  <c r="Y497" i="4" s="1"/>
  <c r="U98" i="4"/>
  <c r="X50" i="4"/>
  <c r="Y236" i="4"/>
  <c r="U208" i="2"/>
  <c r="U210" i="2" s="1"/>
  <c r="V98" i="4"/>
  <c r="Z93" i="4"/>
  <c r="Z236" i="4" s="1"/>
  <c r="W48" i="4"/>
  <c r="Z100" i="4"/>
  <c r="Z96" i="4"/>
  <c r="Z32" i="4"/>
  <c r="AC318" i="2"/>
  <c r="AC319" i="2" s="1"/>
  <c r="AC742" i="2"/>
  <c r="AC944" i="2" s="1"/>
  <c r="S192" i="4"/>
  <c r="S195" i="4" s="1"/>
  <c r="S1259" i="2"/>
  <c r="S112" i="4" s="1"/>
  <c r="Y202" i="2"/>
  <c r="Y276" i="2" s="1"/>
  <c r="Y592" i="2" s="1"/>
  <c r="X204" i="2"/>
  <c r="X216" i="2" s="1"/>
  <c r="U1251" i="2"/>
  <c r="U108" i="4" s="1"/>
  <c r="U1234" i="2"/>
  <c r="U1232" i="2" s="1"/>
  <c r="T1232" i="2"/>
  <c r="T1252" i="2"/>
  <c r="T130" i="4" s="1"/>
  <c r="V1243" i="2"/>
  <c r="V1258" i="2"/>
  <c r="W28" i="4"/>
  <c r="AD1235" i="2"/>
  <c r="W217" i="2"/>
  <c r="V208" i="2" s="1"/>
  <c r="AB746" i="2"/>
  <c r="AA627" i="2"/>
  <c r="AA626" i="2" s="1"/>
  <c r="AA184" i="4" s="1"/>
  <c r="AC741" i="2"/>
  <c r="AC744" i="2" s="1"/>
  <c r="AC946" i="2" s="1"/>
  <c r="AC172" i="4" s="1"/>
  <c r="AD737" i="2"/>
  <c r="AD743" i="2" s="1"/>
  <c r="AD945" i="2" s="1"/>
  <c r="AB963" i="2"/>
  <c r="AB139" i="4" s="1"/>
  <c r="AB142" i="4"/>
  <c r="AA678" i="2"/>
  <c r="AA934" i="2"/>
  <c r="AA941" i="2" s="1"/>
  <c r="AA985" i="2"/>
  <c r="AD896" i="2"/>
  <c r="AD890" i="2"/>
  <c r="AB928" i="2"/>
  <c r="AB85" i="4" s="1"/>
  <c r="Y306" i="7" s="1"/>
  <c r="AB984" i="2"/>
  <c r="AB978" i="2" s="1"/>
  <c r="AB140" i="4" s="1"/>
  <c r="AC357" i="2"/>
  <c r="AC358" i="2" s="1"/>
  <c r="AC902" i="2"/>
  <c r="AC905" i="2"/>
  <c r="AC904" i="2"/>
  <c r="AC915" i="2"/>
  <c r="AC909" i="2"/>
  <c r="AC899" i="2" s="1"/>
  <c r="AC82" i="4" s="1"/>
  <c r="Z303" i="7" s="1"/>
  <c r="AA730" i="2"/>
  <c r="AB910" i="2"/>
  <c r="AB906" i="2" s="1"/>
  <c r="AB916" i="2" s="1"/>
  <c r="AB911" i="2"/>
  <c r="AB912" i="2" s="1"/>
  <c r="AB907" i="2"/>
  <c r="AB908" i="2" s="1"/>
  <c r="AC940" i="2"/>
  <c r="AC988" i="2" s="1"/>
  <c r="AC933" i="2"/>
  <c r="AC981" i="2" s="1"/>
  <c r="AC937" i="2"/>
  <c r="AC931" i="2"/>
  <c r="AC932" i="2"/>
  <c r="AC980" i="2" s="1"/>
  <c r="AB938" i="2"/>
  <c r="AD923" i="2"/>
  <c r="AD925" i="2"/>
  <c r="AA876" i="2"/>
  <c r="AA886" i="2" s="1"/>
  <c r="AB869" i="2"/>
  <c r="AB81" i="4" s="1"/>
  <c r="Y302" i="7" s="1"/>
  <c r="AB880" i="2"/>
  <c r="AD866" i="2"/>
  <c r="AD860" i="2"/>
  <c r="AC872" i="2"/>
  <c r="AC875" i="2"/>
  <c r="AC874" i="2"/>
  <c r="AC966" i="2" s="1"/>
  <c r="AC885" i="2"/>
  <c r="AC879" i="2"/>
  <c r="AC378" i="2"/>
  <c r="AC379" i="2" s="1"/>
  <c r="AC403" i="2" s="1"/>
  <c r="AC366" i="2"/>
  <c r="AC367" i="2" s="1"/>
  <c r="AB70" i="2"/>
  <c r="AB8" i="4" s="1"/>
  <c r="AA123" i="2"/>
  <c r="AA124" i="2" s="1"/>
  <c r="AA111" i="2" s="1"/>
  <c r="AC69" i="2"/>
  <c r="AC309" i="2"/>
  <c r="AC310" i="2" s="1"/>
  <c r="X524" i="2"/>
  <c r="X554" i="2" s="1"/>
  <c r="X1302" i="2" s="1"/>
  <c r="X61" i="4"/>
  <c r="X553" i="2"/>
  <c r="X565" i="2" s="1"/>
  <c r="Y519" i="2"/>
  <c r="W559" i="2"/>
  <c r="V562" i="2"/>
  <c r="V564" i="2" s="1"/>
  <c r="W560" i="2"/>
  <c r="W552" i="2"/>
  <c r="W566" i="2" s="1"/>
  <c r="W565" i="2"/>
  <c r="T602" i="2"/>
  <c r="T183" i="4" s="1"/>
  <c r="W29" i="4"/>
  <c r="Y533" i="2"/>
  <c r="Y478" i="2"/>
  <c r="Y528" i="2" s="1"/>
  <c r="Y53" i="4"/>
  <c r="Y50" i="4" s="1"/>
  <c r="W536" i="2"/>
  <c r="W538" i="2" s="1"/>
  <c r="X526" i="2"/>
  <c r="X534" i="2"/>
  <c r="AB110" i="2"/>
  <c r="AB10" i="4" s="1"/>
  <c r="U253" i="2"/>
  <c r="U272" i="2" s="1"/>
  <c r="U607" i="2" s="1"/>
  <c r="W587" i="2"/>
  <c r="W588" i="2" s="1"/>
  <c r="W94" i="4"/>
  <c r="W98" i="4" s="1"/>
  <c r="T273" i="2"/>
  <c r="T127" i="4" s="1"/>
  <c r="T279" i="2"/>
  <c r="T611" i="2" s="1"/>
  <c r="T612" i="2" s="1"/>
  <c r="S609" i="2"/>
  <c r="S163" i="4" s="1"/>
  <c r="U459" i="4"/>
  <c r="U254" i="2"/>
  <c r="U278" i="2" s="1"/>
  <c r="U604" i="2" s="1"/>
  <c r="U605" i="2" s="1"/>
  <c r="U606" i="2" s="1"/>
  <c r="U269" i="2"/>
  <c r="U486" i="4"/>
  <c r="Z219" i="2"/>
  <c r="Z221" i="2" s="1"/>
  <c r="Z243" i="2"/>
  <c r="V234" i="2"/>
  <c r="W252" i="2"/>
  <c r="W271" i="2" s="1"/>
  <c r="Q163" i="4"/>
  <c r="Q631" i="2"/>
  <c r="W277" i="2"/>
  <c r="W598" i="2" s="1"/>
  <c r="W599" i="2" s="1"/>
  <c r="V584" i="2"/>
  <c r="V166" i="4" s="1"/>
  <c r="V262" i="4" s="1"/>
  <c r="V588" i="2"/>
  <c r="X248" i="2"/>
  <c r="X277" i="2" s="1"/>
  <c r="X246" i="2"/>
  <c r="X275" i="2" s="1"/>
  <c r="X586" i="2" s="1"/>
  <c r="W240" i="2"/>
  <c r="V30" i="4"/>
  <c r="V265" i="2"/>
  <c r="V254" i="2" s="1"/>
  <c r="V264" i="2"/>
  <c r="V274" i="2" s="1"/>
  <c r="V1292" i="2" s="1"/>
  <c r="Y245" i="2"/>
  <c r="W229" i="2"/>
  <c r="X228" i="2"/>
  <c r="X240" i="2" s="1"/>
  <c r="Y222" i="2"/>
  <c r="Y224" i="2"/>
  <c r="W230" i="2"/>
  <c r="AD262" i="2"/>
  <c r="AD244" i="2"/>
  <c r="AD260" i="2"/>
  <c r="AD250" i="2"/>
  <c r="AD238" i="2"/>
  <c r="AD236" i="2"/>
  <c r="AD220" i="2"/>
  <c r="AD226" i="2"/>
  <c r="AB488" i="2"/>
  <c r="AB54" i="4"/>
  <c r="AD485" i="2"/>
  <c r="AD486" i="2"/>
  <c r="AD482" i="2"/>
  <c r="Y418" i="2"/>
  <c r="AC109" i="2"/>
  <c r="AB195" i="2"/>
  <c r="AB194" i="2" s="1"/>
  <c r="AD475" i="2"/>
  <c r="AD476" i="2"/>
  <c r="AD472" i="2"/>
  <c r="Y128" i="4"/>
  <c r="AB468" i="2"/>
  <c r="AB52" i="4"/>
  <c r="AD465" i="2"/>
  <c r="AD466" i="2"/>
  <c r="AD462" i="2"/>
  <c r="AC463" i="2"/>
  <c r="AD521" i="2"/>
  <c r="AD522" i="2"/>
  <c r="AD518" i="2"/>
  <c r="Z111" i="2"/>
  <c r="AB458" i="2"/>
  <c r="AB51" i="4"/>
  <c r="Z529" i="2"/>
  <c r="AC453" i="2"/>
  <c r="AD455" i="2"/>
  <c r="AD456" i="2"/>
  <c r="AD452" i="2"/>
  <c r="AA402" i="2"/>
  <c r="AA409" i="2" s="1"/>
  <c r="AA103" i="2"/>
  <c r="AA104" i="2" s="1"/>
  <c r="AB90" i="2"/>
  <c r="AB9" i="4" s="1"/>
  <c r="Y458" i="4"/>
  <c r="AA384" i="2"/>
  <c r="AA46" i="4" s="1"/>
  <c r="AA45" i="4" s="1"/>
  <c r="Y431" i="4"/>
  <c r="AC89" i="2"/>
  <c r="Y131" i="2"/>
  <c r="Z413" i="2"/>
  <c r="Z416" i="2" s="1"/>
  <c r="Z1322" i="2" s="1"/>
  <c r="Z84" i="2"/>
  <c r="Z129" i="2" s="1"/>
  <c r="X397" i="2"/>
  <c r="W401" i="2"/>
  <c r="U596" i="2"/>
  <c r="U164" i="4" s="1"/>
  <c r="V599" i="2"/>
  <c r="V600" i="2" s="1"/>
  <c r="AB323" i="2"/>
  <c r="AB324" i="2" s="1"/>
  <c r="AB36" i="4" s="1"/>
  <c r="AD321" i="2"/>
  <c r="AD317" i="2"/>
  <c r="X419" i="2"/>
  <c r="X1323" i="2" s="1"/>
  <c r="X496" i="4" s="1"/>
  <c r="AA315" i="2"/>
  <c r="AA35" i="4" s="1"/>
  <c r="AA34" i="4" s="1"/>
  <c r="AB314" i="2"/>
  <c r="AD312" i="2"/>
  <c r="AD308" i="2"/>
  <c r="AA83" i="2"/>
  <c r="AA84" i="2" s="1"/>
  <c r="AB383" i="2"/>
  <c r="AB404" i="2" s="1"/>
  <c r="AD381" i="2"/>
  <c r="AD377" i="2"/>
  <c r="AD369" i="2"/>
  <c r="AD365" i="2"/>
  <c r="AB371" i="2"/>
  <c r="AB372" i="2" s="1"/>
  <c r="AB43" i="4" s="1"/>
  <c r="AA363" i="2"/>
  <c r="AA42" i="4" s="1"/>
  <c r="AA41" i="4" s="1"/>
  <c r="AD360" i="2"/>
  <c r="AD356" i="2"/>
  <c r="AB362" i="2"/>
  <c r="AE62" i="10"/>
  <c r="AE57" i="10"/>
  <c r="AF117" i="2"/>
  <c r="AF97" i="2"/>
  <c r="Z108" i="10"/>
  <c r="AA105" i="10" s="1"/>
  <c r="Y1106" i="2"/>
  <c r="Y1107" i="2" s="1"/>
  <c r="Y1105" i="2" s="1"/>
  <c r="X1200" i="2"/>
  <c r="Y1199" i="2" s="1"/>
  <c r="W260" i="4"/>
  <c r="V260" i="4"/>
  <c r="AC1280" i="2"/>
  <c r="AC1282" i="2" s="1"/>
  <c r="Z1118" i="2"/>
  <c r="Z1119" i="2" s="1"/>
  <c r="AA1118" i="2" s="1"/>
  <c r="Y179" i="2"/>
  <c r="Y178" i="2"/>
  <c r="Y154" i="2"/>
  <c r="AD121" i="2"/>
  <c r="AD118" i="2"/>
  <c r="AD108" i="2"/>
  <c r="AD98" i="2"/>
  <c r="AD101" i="2"/>
  <c r="AD88" i="2"/>
  <c r="Z91" i="2"/>
  <c r="Y153" i="2"/>
  <c r="Z165" i="2"/>
  <c r="Z154" i="2" s="1"/>
  <c r="X158" i="2"/>
  <c r="W158" i="2"/>
  <c r="Z189" i="2"/>
  <c r="Z178" i="2"/>
  <c r="Y181" i="2"/>
  <c r="Z179" i="2"/>
  <c r="Y1310" i="2"/>
  <c r="W594" i="2"/>
  <c r="AA152" i="2"/>
  <c r="AA165" i="2" s="1"/>
  <c r="AA154" i="2" s="1"/>
  <c r="AA177" i="2"/>
  <c r="AA189" i="2" s="1"/>
  <c r="AA110" i="10"/>
  <c r="AA108" i="10" s="1"/>
  <c r="AB105" i="10" s="1"/>
  <c r="AC729" i="2"/>
  <c r="AC722" i="2"/>
  <c r="AC726" i="2"/>
  <c r="AC717" i="2" s="1"/>
  <c r="AC28" i="2"/>
  <c r="AA546" i="2"/>
  <c r="AA539" i="2"/>
  <c r="Z549" i="2"/>
  <c r="Z551" i="2" s="1"/>
  <c r="AA547" i="2"/>
  <c r="AE1084" i="2"/>
  <c r="AF1083" i="2"/>
  <c r="AF1082" i="2" s="1"/>
  <c r="Z399" i="2"/>
  <c r="Y374" i="4"/>
  <c r="Y277" i="4"/>
  <c r="Y324" i="4"/>
  <c r="Y1264" i="2"/>
  <c r="Y1184" i="2"/>
  <c r="AC720" i="2"/>
  <c r="AC721" i="2"/>
  <c r="Y615" i="2"/>
  <c r="Y186" i="4" s="1"/>
  <c r="AC694" i="2"/>
  <c r="AC696" i="2"/>
  <c r="AC697" i="2"/>
  <c r="AA29" i="2"/>
  <c r="AC1274" i="2"/>
  <c r="AC1276" i="2" s="1"/>
  <c r="AC707" i="2"/>
  <c r="AC701" i="2"/>
  <c r="AC691" i="2" s="1"/>
  <c r="AC289" i="2"/>
  <c r="AC145" i="2"/>
  <c r="S84" i="10"/>
  <c r="S85" i="10" s="1"/>
  <c r="AB293" i="2"/>
  <c r="AB294" i="2" s="1"/>
  <c r="AB546" i="2"/>
  <c r="AD1278" i="2"/>
  <c r="AD1108" i="2"/>
  <c r="AD1109" i="2" s="1"/>
  <c r="AD1037" i="2"/>
  <c r="AD1029" i="2"/>
  <c r="AD712" i="2"/>
  <c r="AD389" i="2"/>
  <c r="AD187" i="2"/>
  <c r="AD144" i="2"/>
  <c r="AD81" i="2"/>
  <c r="AD1028" i="2"/>
  <c r="AD623" i="2"/>
  <c r="AD624" i="2" s="1"/>
  <c r="AD143" i="2"/>
  <c r="AD39" i="2"/>
  <c r="AD27" i="2" s="1"/>
  <c r="AD1272" i="2"/>
  <c r="AD1220" i="2"/>
  <c r="AD1221" i="2" s="1"/>
  <c r="AD1201" i="2"/>
  <c r="AD1202" i="2" s="1"/>
  <c r="AD1032" i="2"/>
  <c r="AD1031" i="2" s="1"/>
  <c r="AD714" i="2"/>
  <c r="AD296" i="2"/>
  <c r="AD162" i="2"/>
  <c r="AD78" i="2"/>
  <c r="AD8" i="2"/>
  <c r="AD1281" i="2"/>
  <c r="AD1136" i="2"/>
  <c r="AD1012" i="2"/>
  <c r="AD1011" i="2" s="1"/>
  <c r="AD628" i="2"/>
  <c r="AD629" i="2" s="1"/>
  <c r="AD443" i="2"/>
  <c r="AD431" i="2"/>
  <c r="AD160" i="2"/>
  <c r="AD1335" i="2"/>
  <c r="AD643" i="2"/>
  <c r="AD531" i="2"/>
  <c r="AD432" i="2"/>
  <c r="AD407" i="2"/>
  <c r="AD291" i="2"/>
  <c r="AD185" i="2"/>
  <c r="AD168" i="2"/>
  <c r="AD167" i="2" s="1"/>
  <c r="AD19" i="2"/>
  <c r="AD1033" i="2"/>
  <c r="AD659" i="2"/>
  <c r="AD428" i="2"/>
  <c r="AD405" i="2"/>
  <c r="AD288" i="2"/>
  <c r="AD17" i="2"/>
  <c r="AD1275" i="2"/>
  <c r="AD1150" i="2"/>
  <c r="AD1151" i="2" s="1"/>
  <c r="AD542" i="2"/>
  <c r="AD287" i="2"/>
  <c r="AD212" i="2"/>
  <c r="AD7" i="2"/>
  <c r="AD438" i="2"/>
  <c r="AD437" i="2" s="1"/>
  <c r="AD26" i="2"/>
  <c r="AD25" i="2" s="1"/>
  <c r="AD1017" i="2"/>
  <c r="AD688" i="2"/>
  <c r="AD1273" i="2"/>
  <c r="AD1146" i="2"/>
  <c r="AD1147" i="2" s="1"/>
  <c r="AD656" i="2"/>
  <c r="AD555" i="2"/>
  <c r="AD300" i="2"/>
  <c r="AD544" i="2"/>
  <c r="AD391" i="2"/>
  <c r="AD1279" i="2"/>
  <c r="AD1026" i="2"/>
  <c r="AD36" i="2"/>
  <c r="AD682" i="2"/>
  <c r="AD442" i="2"/>
  <c r="AD214" i="2"/>
  <c r="AD1120" i="2"/>
  <c r="AD1121" i="2" s="1"/>
  <c r="AD427" i="2"/>
  <c r="AD557" i="2"/>
  <c r="AD175" i="2"/>
  <c r="AD150" i="2"/>
  <c r="AD1208" i="2"/>
  <c r="AD1209" i="2" s="1"/>
  <c r="AD1178" i="2"/>
  <c r="AD197" i="4" s="1"/>
  <c r="AA991" i="2"/>
  <c r="AA1305" i="2" s="1"/>
  <c r="AA949" i="2"/>
  <c r="X593" i="2"/>
  <c r="X594" i="2" s="1"/>
  <c r="AB41" i="2"/>
  <c r="AB42" i="2" s="1"/>
  <c r="Z138" i="4"/>
  <c r="Z144" i="4" s="1"/>
  <c r="Z990" i="2"/>
  <c r="AK75" i="10"/>
  <c r="AD370" i="4"/>
  <c r="AD194" i="4"/>
  <c r="AD298" i="4"/>
  <c r="AD189" i="4"/>
  <c r="AD169" i="4"/>
  <c r="AD412" i="4"/>
  <c r="AD384" i="4"/>
  <c r="AD293" i="4"/>
  <c r="AD283" i="4"/>
  <c r="AD321" i="4"/>
  <c r="AD178" i="4"/>
  <c r="AD347" i="4"/>
  <c r="AD389" i="4"/>
  <c r="AD273" i="4"/>
  <c r="AD342" i="4"/>
  <c r="AD332" i="4"/>
  <c r="AD199" i="4"/>
  <c r="S127" i="4"/>
  <c r="S280" i="2"/>
  <c r="AB21" i="2"/>
  <c r="AB22" i="2" s="1"/>
  <c r="AB10" i="2" s="1"/>
  <c r="AB703" i="2"/>
  <c r="AB704" i="2" s="1"/>
  <c r="AB702" i="2"/>
  <c r="AB698" i="2" s="1"/>
  <c r="AB699" i="2"/>
  <c r="AB700" i="2" s="1"/>
  <c r="AK106" i="10"/>
  <c r="Z200" i="2"/>
  <c r="Z198" i="2"/>
  <c r="AB673" i="2"/>
  <c r="AB674" i="2" s="1"/>
  <c r="AB672" i="2"/>
  <c r="AB668" i="2" s="1"/>
  <c r="AB669" i="2"/>
  <c r="AB670" i="2" s="1"/>
  <c r="AG292" i="4"/>
  <c r="AG383" i="4"/>
  <c r="AG341" i="4"/>
  <c r="AG47" i="1"/>
  <c r="AG57" i="2" s="1"/>
  <c r="AG49" i="1"/>
  <c r="AG48" i="1"/>
  <c r="AG50" i="1"/>
  <c r="AH43" i="1"/>
  <c r="AB302" i="2"/>
  <c r="AB303" i="2" s="1"/>
  <c r="AA19" i="4"/>
  <c r="AA18" i="4" s="1"/>
  <c r="AA196" i="2"/>
  <c r="AF159" i="2"/>
  <c r="AF211" i="2"/>
  <c r="AF184" i="2"/>
  <c r="AK113" i="10"/>
  <c r="AE87" i="1"/>
  <c r="AD91" i="1"/>
  <c r="AK68" i="10"/>
  <c r="AB503" i="4"/>
  <c r="AB652" i="2"/>
  <c r="AB173" i="2"/>
  <c r="AB171" i="2"/>
  <c r="AL82" i="10"/>
  <c r="AC429" i="2"/>
  <c r="AC434" i="2" s="1"/>
  <c r="Z484" i="4"/>
  <c r="Z457" i="4"/>
  <c r="Z430" i="4"/>
  <c r="Z414" i="2"/>
  <c r="Z617" i="2" s="1"/>
  <c r="Z1307" i="2"/>
  <c r="AE2" i="5"/>
  <c r="AE2" i="4"/>
  <c r="AE2" i="2"/>
  <c r="AE2" i="10"/>
  <c r="AE2" i="1"/>
  <c r="AF25" i="1"/>
  <c r="AF290" i="2"/>
  <c r="AF299" i="2"/>
  <c r="AA412" i="2"/>
  <c r="AJ86" i="1"/>
  <c r="AB148" i="2"/>
  <c r="AB146" i="2"/>
  <c r="AC9" i="2"/>
  <c r="AC647" i="2"/>
  <c r="AC650" i="2" s="1"/>
  <c r="AC649" i="2"/>
  <c r="AC648" i="2"/>
  <c r="AB727" i="2"/>
  <c r="AB723" i="2" s="1"/>
  <c r="AB724" i="2"/>
  <c r="AB725" i="2" s="1"/>
  <c r="AF1063" i="2"/>
  <c r="AF1062" i="2" s="1"/>
  <c r="AE1061" i="2"/>
  <c r="Q77" i="10"/>
  <c r="X572" i="2"/>
  <c r="Z410" i="2"/>
  <c r="Z393" i="2"/>
  <c r="AJ61" i="1"/>
  <c r="AK60" i="1"/>
  <c r="AD146" i="1"/>
  <c r="AD59" i="1"/>
  <c r="AD120" i="1"/>
  <c r="AD45" i="1"/>
  <c r="AD44" i="1"/>
  <c r="AD53" i="1"/>
  <c r="AD131" i="1"/>
  <c r="AD123" i="1"/>
  <c r="AD140" i="1"/>
  <c r="AF430" i="2"/>
  <c r="AF441" i="2"/>
  <c r="X576" i="2"/>
  <c r="AC1039" i="2"/>
  <c r="AC1038" i="2"/>
  <c r="AC677" i="2"/>
  <c r="AC667" i="2"/>
  <c r="AC671" i="2"/>
  <c r="AC662" i="2" s="1"/>
  <c r="AC665" i="2"/>
  <c r="AC666" i="2"/>
  <c r="AE80" i="1"/>
  <c r="AF81" i="1"/>
  <c r="AJ55" i="1"/>
  <c r="AK54" i="1"/>
  <c r="AD65" i="10"/>
  <c r="AD133" i="10"/>
  <c r="AD135" i="10"/>
  <c r="AD97" i="10"/>
  <c r="AD176" i="4" s="1"/>
  <c r="AD93" i="10"/>
  <c r="AD168" i="4" s="1"/>
  <c r="AD136" i="10"/>
  <c r="AD188" i="4" s="1"/>
  <c r="AD70" i="10"/>
  <c r="AD71" i="10" s="1"/>
  <c r="AD72" i="10" s="1"/>
  <c r="AA177" i="4"/>
  <c r="AF77" i="2"/>
  <c r="AF35" i="2"/>
  <c r="AF16" i="2"/>
  <c r="AE1091" i="2"/>
  <c r="AE1090" i="2" s="1"/>
  <c r="AD1092" i="2"/>
  <c r="AA440" i="4"/>
  <c r="AA502" i="4"/>
  <c r="AA467" i="4"/>
  <c r="AD49" i="2" l="1"/>
  <c r="AC970" i="2"/>
  <c r="AD169" i="2"/>
  <c r="E8" i="7"/>
  <c r="E49" i="7"/>
  <c r="E213" i="7"/>
  <c r="E45" i="7"/>
  <c r="E53" i="7"/>
  <c r="E218" i="7"/>
  <c r="AD503" i="2"/>
  <c r="AC508" i="2"/>
  <c r="AC56" i="4"/>
  <c r="AB971" i="2"/>
  <c r="AE506" i="2"/>
  <c r="AE502" i="2"/>
  <c r="AE505" i="2"/>
  <c r="AE501" i="2"/>
  <c r="AD297" i="2"/>
  <c r="AD298" i="2" s="1"/>
  <c r="AD302" i="2" s="1"/>
  <c r="AD303" i="2" s="1"/>
  <c r="AC498" i="2"/>
  <c r="AC55" i="4"/>
  <c r="AC977" i="2"/>
  <c r="AC967" i="2"/>
  <c r="AE496" i="2"/>
  <c r="AE492" i="2"/>
  <c r="AE495" i="2"/>
  <c r="AE491" i="2"/>
  <c r="AD493" i="2"/>
  <c r="AA996" i="2"/>
  <c r="AD411" i="2"/>
  <c r="AB396" i="2"/>
  <c r="AB394" i="2" s="1"/>
  <c r="AC395" i="2"/>
  <c r="AB388" i="2"/>
  <c r="AB386" i="2" s="1"/>
  <c r="AB393" i="2" s="1"/>
  <c r="AC387" i="2"/>
  <c r="AD346" i="2"/>
  <c r="AE344" i="2"/>
  <c r="AE348" i="2"/>
  <c r="AE345" i="2" s="1"/>
  <c r="AC350" i="2"/>
  <c r="AC351" i="2" s="1"/>
  <c r="AC39" i="4" s="1"/>
  <c r="U1217" i="2"/>
  <c r="AE335" i="2"/>
  <c r="AE339" i="2"/>
  <c r="AE336" i="2" s="1"/>
  <c r="AC341" i="2"/>
  <c r="AC342" i="2" s="1"/>
  <c r="AC38" i="4" s="1"/>
  <c r="AD337" i="2"/>
  <c r="AE68" i="2"/>
  <c r="AE330" i="2"/>
  <c r="AE327" i="2" s="1"/>
  <c r="AE326" i="2"/>
  <c r="V1219" i="2"/>
  <c r="AD328" i="2"/>
  <c r="X97" i="4"/>
  <c r="X94" i="4" s="1"/>
  <c r="AB708" i="2"/>
  <c r="AD107" i="2"/>
  <c r="AD87" i="2"/>
  <c r="AB128" i="2"/>
  <c r="AB471" i="2" s="1"/>
  <c r="AA129" i="2"/>
  <c r="AA130" i="2"/>
  <c r="AA1291" i="2" s="1"/>
  <c r="AA431" i="4" s="1"/>
  <c r="I490" i="4"/>
  <c r="Y133" i="2"/>
  <c r="Y574" i="2" s="1"/>
  <c r="Y575" i="2" s="1"/>
  <c r="AA517" i="2"/>
  <c r="AA473" i="2"/>
  <c r="AA527" i="2" s="1"/>
  <c r="AD67" i="2"/>
  <c r="I435" i="4"/>
  <c r="AA92" i="2"/>
  <c r="AB6" i="4"/>
  <c r="AB93" i="4" s="1"/>
  <c r="AB236" i="4" s="1"/>
  <c r="J1326" i="2"/>
  <c r="K1327" i="2" s="1"/>
  <c r="L1330" i="2"/>
  <c r="AC962" i="2"/>
  <c r="W775" i="2"/>
  <c r="W995" i="2" s="1"/>
  <c r="W496" i="4"/>
  <c r="W464" i="4"/>
  <c r="Y117" i="10"/>
  <c r="Z116" i="10" s="1"/>
  <c r="AC955" i="2"/>
  <c r="O958" i="2"/>
  <c r="P770" i="2"/>
  <c r="P982" i="2"/>
  <c r="P936" i="2"/>
  <c r="N1314" i="2"/>
  <c r="N1315" i="2" s="1"/>
  <c r="N103" i="4"/>
  <c r="N104" i="4" s="1"/>
  <c r="N495" i="4"/>
  <c r="AG474" i="2"/>
  <c r="AG454" i="2"/>
  <c r="AG484" i="2"/>
  <c r="AG520" i="2"/>
  <c r="AG464" i="2"/>
  <c r="AB1014" i="2"/>
  <c r="AC1013" i="2"/>
  <c r="P881" i="2"/>
  <c r="P972" i="2" s="1"/>
  <c r="O954" i="2"/>
  <c r="P766" i="2"/>
  <c r="AG259" i="2"/>
  <c r="AG235" i="2"/>
  <c r="O107" i="4"/>
  <c r="O240" i="4" s="1"/>
  <c r="O65" i="4"/>
  <c r="M492" i="4"/>
  <c r="M1328" i="2"/>
  <c r="AC219" i="4"/>
  <c r="AB220" i="4"/>
  <c r="AG320" i="2"/>
  <c r="AG380" i="2"/>
  <c r="AG311" i="2"/>
  <c r="AG368" i="2"/>
  <c r="AG359" i="2"/>
  <c r="P878" i="2"/>
  <c r="P969" i="2" s="1"/>
  <c r="AB34" i="1"/>
  <c r="L1332" i="2"/>
  <c r="L1336" i="2"/>
  <c r="O174" i="4"/>
  <c r="O1318" i="2"/>
  <c r="AC28" i="1"/>
  <c r="AC27" i="1"/>
  <c r="AD26" i="1"/>
  <c r="AC29" i="1"/>
  <c r="AB956" i="2"/>
  <c r="AC952" i="2"/>
  <c r="AC951" i="2"/>
  <c r="AC848" i="2"/>
  <c r="AC849" i="2" s="1"/>
  <c r="AC847" i="2"/>
  <c r="AC843" i="2" s="1"/>
  <c r="AC853" i="2" s="1"/>
  <c r="AC844" i="2"/>
  <c r="AC845" i="2" s="1"/>
  <c r="AD840" i="2"/>
  <c r="AD841" i="2"/>
  <c r="AE831" i="2"/>
  <c r="AE834" i="2"/>
  <c r="AD852" i="2"/>
  <c r="AD842" i="2"/>
  <c r="AD846" i="2"/>
  <c r="AD837" i="2" s="1"/>
  <c r="AD78" i="4" s="1"/>
  <c r="AD439" i="2"/>
  <c r="AD440" i="2" s="1"/>
  <c r="AD445" i="2" s="1"/>
  <c r="AB765" i="2"/>
  <c r="AC822" i="2"/>
  <c r="AC823" i="2" s="1"/>
  <c r="AC821" i="2"/>
  <c r="AC817" i="2" s="1"/>
  <c r="AC827" i="2" s="1"/>
  <c r="AC818" i="2"/>
  <c r="AC819" i="2" s="1"/>
  <c r="AC759" i="2"/>
  <c r="AC75" i="4" s="1"/>
  <c r="Z296" i="7" s="1"/>
  <c r="AD814" i="2"/>
  <c r="AD815" i="2"/>
  <c r="AD826" i="2"/>
  <c r="AD820" i="2"/>
  <c r="AD811" i="2" s="1"/>
  <c r="AD77" i="4" s="1"/>
  <c r="AD816" i="2"/>
  <c r="AE808" i="2"/>
  <c r="AE805" i="2"/>
  <c r="AC796" i="2"/>
  <c r="AC797" i="2" s="1"/>
  <c r="AC795" i="2"/>
  <c r="AC791" i="2" s="1"/>
  <c r="AC801" i="2" s="1"/>
  <c r="AC792" i="2"/>
  <c r="AC793" i="2" s="1"/>
  <c r="AE779" i="2"/>
  <c r="AE782" i="2"/>
  <c r="AD788" i="2"/>
  <c r="AD789" i="2"/>
  <c r="AD800" i="2"/>
  <c r="AD794" i="2"/>
  <c r="AD785" i="2" s="1"/>
  <c r="AD76" i="4" s="1"/>
  <c r="AD790" i="2"/>
  <c r="AC769" i="2"/>
  <c r="AD762" i="2"/>
  <c r="AD763" i="2"/>
  <c r="AE753" i="2"/>
  <c r="AE756" i="2"/>
  <c r="AD774" i="2"/>
  <c r="AD764" i="2"/>
  <c r="AD768" i="2"/>
  <c r="V278" i="2"/>
  <c r="V604" i="2" s="1"/>
  <c r="V605" i="2" s="1"/>
  <c r="AB64" i="2"/>
  <c r="AB1299" i="2"/>
  <c r="AC7" i="4"/>
  <c r="AA52" i="2"/>
  <c r="AA51" i="2"/>
  <c r="AD50" i="2"/>
  <c r="AE47" i="2"/>
  <c r="AE58" i="2"/>
  <c r="AE61" i="2"/>
  <c r="AE49" i="2" s="1"/>
  <c r="Y416" i="2"/>
  <c r="Y1322" i="2" s="1"/>
  <c r="AC63" i="2"/>
  <c r="S222" i="4"/>
  <c r="S208" i="4"/>
  <c r="X60" i="4"/>
  <c r="S241" i="4"/>
  <c r="W206" i="2"/>
  <c r="AC963" i="2"/>
  <c r="AC139" i="4" s="1"/>
  <c r="AB730" i="2"/>
  <c r="X28" i="4"/>
  <c r="X217" i="2"/>
  <c r="X205" i="2" s="1"/>
  <c r="Z239" i="4"/>
  <c r="W238" i="4"/>
  <c r="V27" i="4"/>
  <c r="Y204" i="2"/>
  <c r="Y28" i="4" s="1"/>
  <c r="AD318" i="2"/>
  <c r="Y97" i="4"/>
  <c r="AA100" i="4"/>
  <c r="AA96" i="4"/>
  <c r="AA32" i="4"/>
  <c r="AA239" i="4" s="1"/>
  <c r="AB678" i="2"/>
  <c r="U1253" i="2"/>
  <c r="U1248" i="2" s="1"/>
  <c r="Z202" i="2"/>
  <c r="Z276" i="2" s="1"/>
  <c r="Z592" i="2" s="1"/>
  <c r="T1253" i="2"/>
  <c r="T192" i="4" s="1"/>
  <c r="V1257" i="2"/>
  <c r="W1242" i="2"/>
  <c r="T212" i="4"/>
  <c r="T373" i="4"/>
  <c r="T276" i="4"/>
  <c r="V1233" i="2"/>
  <c r="U1252" i="2"/>
  <c r="U130" i="4" s="1"/>
  <c r="W205" i="2"/>
  <c r="AE1235" i="2"/>
  <c r="AD741" i="2"/>
  <c r="AD744" i="2" s="1"/>
  <c r="AD946" i="2" s="1"/>
  <c r="AD172" i="4" s="1"/>
  <c r="AE737" i="2"/>
  <c r="AE742" i="2" s="1"/>
  <c r="AE944" i="2" s="1"/>
  <c r="AD742" i="2"/>
  <c r="AD944" i="2" s="1"/>
  <c r="AC746" i="2"/>
  <c r="AD357" i="2"/>
  <c r="AB627" i="2"/>
  <c r="AB626" i="2" s="1"/>
  <c r="AB184" i="4" s="1"/>
  <c r="AD902" i="2"/>
  <c r="AD904" i="2"/>
  <c r="AD905" i="2"/>
  <c r="AB83" i="2"/>
  <c r="AD915" i="2"/>
  <c r="AD909" i="2"/>
  <c r="AD899" i="2" s="1"/>
  <c r="AD82" i="4" s="1"/>
  <c r="AB934" i="2"/>
  <c r="AB941" i="2" s="1"/>
  <c r="AB985" i="2"/>
  <c r="AE896" i="2"/>
  <c r="AE890" i="2"/>
  <c r="AC928" i="2"/>
  <c r="AC85" i="4" s="1"/>
  <c r="Z306" i="7" s="1"/>
  <c r="AC984" i="2"/>
  <c r="AC978" i="2" s="1"/>
  <c r="AC140" i="4" s="1"/>
  <c r="AC911" i="2"/>
  <c r="AC912" i="2" s="1"/>
  <c r="AC910" i="2"/>
  <c r="AC906" i="2" s="1"/>
  <c r="AC916" i="2" s="1"/>
  <c r="AC907" i="2"/>
  <c r="AC908" i="2" s="1"/>
  <c r="AE923" i="2"/>
  <c r="AE925" i="2"/>
  <c r="AC938" i="2"/>
  <c r="AD940" i="2"/>
  <c r="AD988" i="2" s="1"/>
  <c r="AD933" i="2"/>
  <c r="AD981" i="2" s="1"/>
  <c r="AD937" i="2"/>
  <c r="AD931" i="2"/>
  <c r="AD932" i="2"/>
  <c r="AD980" i="2" s="1"/>
  <c r="AC869" i="2"/>
  <c r="AC81" i="4" s="1"/>
  <c r="Z302" i="7" s="1"/>
  <c r="AB876" i="2"/>
  <c r="AB886" i="2" s="1"/>
  <c r="AE860" i="2"/>
  <c r="AE866" i="2"/>
  <c r="AC880" i="2"/>
  <c r="AD872" i="2"/>
  <c r="AD874" i="2"/>
  <c r="AD875" i="2"/>
  <c r="AD885" i="2"/>
  <c r="AD977" i="2" s="1"/>
  <c r="AD879" i="2"/>
  <c r="AD970" i="2" s="1"/>
  <c r="AD378" i="2"/>
  <c r="AB197" i="2"/>
  <c r="AB19" i="4" s="1"/>
  <c r="AB18" i="4" s="1"/>
  <c r="AC70" i="2"/>
  <c r="AC8" i="4" s="1"/>
  <c r="AD69" i="2"/>
  <c r="AD366" i="2"/>
  <c r="AD309" i="2"/>
  <c r="T280" i="2"/>
  <c r="S631" i="2"/>
  <c r="Z519" i="2"/>
  <c r="Y61" i="4"/>
  <c r="Y60" i="4" s="1"/>
  <c r="Y102" i="4" s="1"/>
  <c r="Y553" i="2"/>
  <c r="Y524" i="2"/>
  <c r="Y554" i="2" s="1"/>
  <c r="Y1302" i="2" s="1"/>
  <c r="X552" i="2"/>
  <c r="X566" i="2" s="1"/>
  <c r="X559" i="2"/>
  <c r="W562" i="2"/>
  <c r="W564" i="2" s="1"/>
  <c r="X560" i="2"/>
  <c r="AB123" i="2"/>
  <c r="AB124" i="2" s="1"/>
  <c r="Z478" i="2"/>
  <c r="Z528" i="2" s="1"/>
  <c r="Z53" i="4"/>
  <c r="Z50" i="4" s="1"/>
  <c r="Z533" i="2"/>
  <c r="Y534" i="2"/>
  <c r="Y526" i="2"/>
  <c r="X536" i="2"/>
  <c r="X538" i="2" s="1"/>
  <c r="W30" i="4"/>
  <c r="W27" i="4" s="1"/>
  <c r="W584" i="2"/>
  <c r="W166" i="4" s="1"/>
  <c r="W262" i="4" s="1"/>
  <c r="W265" i="2"/>
  <c r="V256" i="2" s="1"/>
  <c r="V279" i="2" s="1"/>
  <c r="V611" i="2" s="1"/>
  <c r="X29" i="4"/>
  <c r="U270" i="2"/>
  <c r="U1301" i="2"/>
  <c r="U256" i="2"/>
  <c r="U258" i="2" s="1"/>
  <c r="U273" i="2" s="1"/>
  <c r="AA219" i="2"/>
  <c r="AA221" i="2" s="1"/>
  <c r="AA243" i="2"/>
  <c r="W264" i="2"/>
  <c r="W274" i="2" s="1"/>
  <c r="W1292" i="2" s="1"/>
  <c r="X587" i="2"/>
  <c r="X588" i="2" s="1"/>
  <c r="V486" i="4"/>
  <c r="V459" i="4"/>
  <c r="V432" i="4"/>
  <c r="Y246" i="2"/>
  <c r="Y275" i="2" s="1"/>
  <c r="Y586" i="2" s="1"/>
  <c r="Y587" i="2" s="1"/>
  <c r="Y584" i="2" s="1"/>
  <c r="Y166" i="4" s="1"/>
  <c r="Y248" i="2"/>
  <c r="Y277" i="2" s="1"/>
  <c r="Z245" i="2"/>
  <c r="X252" i="2"/>
  <c r="Y268" i="2"/>
  <c r="Y95" i="4" s="1"/>
  <c r="Y237" i="4" s="1"/>
  <c r="V253" i="2"/>
  <c r="V272" i="2" s="1"/>
  <c r="V607" i="2" s="1"/>
  <c r="V269" i="2"/>
  <c r="Y228" i="2"/>
  <c r="Y241" i="2" s="1"/>
  <c r="Y229" i="2" s="1"/>
  <c r="X241" i="2"/>
  <c r="X230" i="2" s="1"/>
  <c r="Z224" i="2"/>
  <c r="Z222" i="2"/>
  <c r="AE262" i="2"/>
  <c r="AE244" i="2"/>
  <c r="AE260" i="2"/>
  <c r="AE250" i="2"/>
  <c r="V210" i="2"/>
  <c r="AE238" i="2"/>
  <c r="AE220" i="2"/>
  <c r="AE236" i="2"/>
  <c r="AE226" i="2"/>
  <c r="AC488" i="2"/>
  <c r="AC54" i="4"/>
  <c r="AE486" i="2"/>
  <c r="AE482" i="2"/>
  <c r="AE485" i="2"/>
  <c r="AC110" i="2"/>
  <c r="AC10" i="4" s="1"/>
  <c r="AA236" i="4"/>
  <c r="AD109" i="2"/>
  <c r="AE476" i="2"/>
  <c r="AE472" i="2"/>
  <c r="AE475" i="2"/>
  <c r="AC468" i="2"/>
  <c r="AC52" i="4"/>
  <c r="AE466" i="2"/>
  <c r="AE462" i="2"/>
  <c r="AE465" i="2"/>
  <c r="AD463" i="2"/>
  <c r="AB103" i="2"/>
  <c r="AB104" i="2" s="1"/>
  <c r="AB91" i="2" s="1"/>
  <c r="AE522" i="2"/>
  <c r="AE518" i="2"/>
  <c r="AE521" i="2"/>
  <c r="AC458" i="2"/>
  <c r="AC51" i="4"/>
  <c r="AA529" i="2"/>
  <c r="AE456" i="2"/>
  <c r="AE452" i="2"/>
  <c r="AE455" i="2"/>
  <c r="AD453" i="2"/>
  <c r="AB402" i="2"/>
  <c r="AB409" i="2" s="1"/>
  <c r="AC90" i="2"/>
  <c r="AC9" i="4" s="1"/>
  <c r="AD89" i="2"/>
  <c r="Z485" i="4"/>
  <c r="Z131" i="2"/>
  <c r="AB384" i="2"/>
  <c r="AB46" i="4" s="1"/>
  <c r="AB45" i="4" s="1"/>
  <c r="Z71" i="2"/>
  <c r="Z458" i="4"/>
  <c r="Z72" i="2"/>
  <c r="Z133" i="2" s="1"/>
  <c r="Z1321" i="2"/>
  <c r="Z497" i="4" s="1"/>
  <c r="W600" i="2"/>
  <c r="AC195" i="2"/>
  <c r="AC194" i="2" s="1"/>
  <c r="X464" i="4"/>
  <c r="X437" i="4"/>
  <c r="U261" i="4"/>
  <c r="W596" i="2"/>
  <c r="W164" i="4" s="1"/>
  <c r="Y397" i="2"/>
  <c r="X401" i="2"/>
  <c r="X598" i="2"/>
  <c r="X599" i="2" s="1"/>
  <c r="X600" i="2" s="1"/>
  <c r="V596" i="2"/>
  <c r="V164" i="4" s="1"/>
  <c r="V261" i="4" s="1"/>
  <c r="AE321" i="2"/>
  <c r="AE317" i="2"/>
  <c r="AC323" i="2"/>
  <c r="AC324" i="2" s="1"/>
  <c r="AC36" i="4" s="1"/>
  <c r="AA413" i="2"/>
  <c r="AA1321" i="2" s="1"/>
  <c r="AB315" i="2"/>
  <c r="AB35" i="4" s="1"/>
  <c r="AB34" i="4" s="1"/>
  <c r="AA394" i="2"/>
  <c r="AA410" i="2" s="1"/>
  <c r="AC314" i="2"/>
  <c r="AE312" i="2"/>
  <c r="AE308" i="2"/>
  <c r="AE381" i="2"/>
  <c r="AE377" i="2"/>
  <c r="AC383" i="2"/>
  <c r="AC404" i="2" s="1"/>
  <c r="AE369" i="2"/>
  <c r="AE365" i="2"/>
  <c r="AC371" i="2"/>
  <c r="AC372" i="2" s="1"/>
  <c r="AC43" i="4" s="1"/>
  <c r="AB363" i="2"/>
  <c r="AB42" i="4" s="1"/>
  <c r="AB41" i="4" s="1"/>
  <c r="AE360" i="2"/>
  <c r="AE356" i="2"/>
  <c r="AC362" i="2"/>
  <c r="AG117" i="2"/>
  <c r="AG97" i="2"/>
  <c r="AB109" i="10"/>
  <c r="AB110" i="10" s="1"/>
  <c r="AC109" i="10" s="1"/>
  <c r="X1198" i="2"/>
  <c r="AF57" i="10"/>
  <c r="AF62" i="10"/>
  <c r="Y1200" i="2"/>
  <c r="Y183" i="2"/>
  <c r="Y156" i="2"/>
  <c r="Y158" i="2" s="1"/>
  <c r="Z1106" i="2"/>
  <c r="Z1107" i="2" s="1"/>
  <c r="AA1106" i="2" s="1"/>
  <c r="AA112" i="2"/>
  <c r="AE118" i="2"/>
  <c r="AE108" i="2"/>
  <c r="AE121" i="2"/>
  <c r="AE101" i="2"/>
  <c r="AE98" i="2"/>
  <c r="AE88" i="2"/>
  <c r="AA91" i="2"/>
  <c r="AA190" i="2"/>
  <c r="AA178" i="2" s="1"/>
  <c r="Z153" i="2"/>
  <c r="AB152" i="2"/>
  <c r="AB165" i="2" s="1"/>
  <c r="AA71" i="2"/>
  <c r="AA153" i="2"/>
  <c r="AB547" i="2"/>
  <c r="AA549" i="2"/>
  <c r="AA551" i="2" s="1"/>
  <c r="AB539" i="2"/>
  <c r="Z156" i="2"/>
  <c r="AA164" i="2"/>
  <c r="U602" i="2"/>
  <c r="U183" i="4" s="1"/>
  <c r="AB30" i="2"/>
  <c r="X590" i="2"/>
  <c r="X165" i="4" s="1"/>
  <c r="AB11" i="2"/>
  <c r="AB177" i="2"/>
  <c r="AB190" i="2" s="1"/>
  <c r="AB179" i="2" s="1"/>
  <c r="AD9" i="2"/>
  <c r="AD21" i="2" s="1"/>
  <c r="Z324" i="4"/>
  <c r="Z374" i="4"/>
  <c r="Z277" i="4"/>
  <c r="Z1184" i="2"/>
  <c r="Z1264" i="2"/>
  <c r="AA393" i="2"/>
  <c r="AE146" i="1"/>
  <c r="AE59" i="1"/>
  <c r="AE120" i="1"/>
  <c r="AE45" i="1"/>
  <c r="AE44" i="1"/>
  <c r="AE123" i="1"/>
  <c r="AE140" i="1"/>
  <c r="AE131" i="1"/>
  <c r="AE53" i="1"/>
  <c r="Z618" i="2"/>
  <c r="Z619" i="2" s="1"/>
  <c r="AD429" i="2"/>
  <c r="AD434" i="2" s="1"/>
  <c r="AD677" i="2"/>
  <c r="AD667" i="2"/>
  <c r="AD671" i="2"/>
  <c r="AD662" i="2" s="1"/>
  <c r="Y593" i="2"/>
  <c r="Y594" i="2" s="1"/>
  <c r="X162" i="4"/>
  <c r="AK55" i="1"/>
  <c r="AL54" i="1"/>
  <c r="AF80" i="1"/>
  <c r="AG81" i="1"/>
  <c r="AB991" i="2"/>
  <c r="AB1305" i="2" s="1"/>
  <c r="AB949" i="2"/>
  <c r="AA430" i="4"/>
  <c r="AA457" i="4"/>
  <c r="AA484" i="4"/>
  <c r="AA414" i="2"/>
  <c r="AA617" i="2" s="1"/>
  <c r="Z418" i="2"/>
  <c r="AL106" i="10"/>
  <c r="AD665" i="2"/>
  <c r="AD666" i="2"/>
  <c r="AD707" i="2"/>
  <c r="AD701" i="2"/>
  <c r="AD691" i="2" s="1"/>
  <c r="AD170" i="2"/>
  <c r="AD145" i="2"/>
  <c r="AD1039" i="2"/>
  <c r="AD1038" i="2"/>
  <c r="AC727" i="2"/>
  <c r="AC723" i="2" s="1"/>
  <c r="AC724" i="2"/>
  <c r="AC725" i="2" s="1"/>
  <c r="AA399" i="2"/>
  <c r="AC21" i="2"/>
  <c r="T613" i="2"/>
  <c r="AK61" i="1"/>
  <c r="AL60" i="1"/>
  <c r="AE136" i="10"/>
  <c r="AE188" i="4" s="1"/>
  <c r="AE93" i="10"/>
  <c r="AE168" i="4" s="1"/>
  <c r="AE135" i="10"/>
  <c r="AE133" i="10"/>
  <c r="AE65" i="10"/>
  <c r="AE97" i="10"/>
  <c r="AE176" i="4" s="1"/>
  <c r="AE70" i="10"/>
  <c r="AE71" i="10" s="1"/>
  <c r="AE72" i="10" s="1"/>
  <c r="AA138" i="4"/>
  <c r="AA144" i="4" s="1"/>
  <c r="AA990" i="2"/>
  <c r="AD647" i="2"/>
  <c r="AD650" i="2" s="1"/>
  <c r="AD648" i="2"/>
  <c r="AD649" i="2"/>
  <c r="AC142" i="4"/>
  <c r="T609" i="2"/>
  <c r="AE1275" i="2"/>
  <c r="AE1201" i="2"/>
  <c r="AE1202" i="2" s="1"/>
  <c r="AE1150" i="2"/>
  <c r="AE1151" i="2" s="1"/>
  <c r="AE1120" i="2"/>
  <c r="AE1121" i="2" s="1"/>
  <c r="AE1026" i="2"/>
  <c r="AE688" i="2"/>
  <c r="AE438" i="2"/>
  <c r="AE437" i="2" s="1"/>
  <c r="AE428" i="2"/>
  <c r="AE288" i="2"/>
  <c r="AE185" i="2"/>
  <c r="AE19" i="2"/>
  <c r="AE1012" i="2"/>
  <c r="AE1011" i="2" s="1"/>
  <c r="AE427" i="2"/>
  <c r="AE296" i="2"/>
  <c r="AE287" i="2"/>
  <c r="AE162" i="2"/>
  <c r="AE78" i="2"/>
  <c r="AE8" i="2"/>
  <c r="AE1037" i="2"/>
  <c r="AE628" i="2"/>
  <c r="AE443" i="2"/>
  <c r="AE431" i="2"/>
  <c r="AE17" i="2"/>
  <c r="AE1033" i="2"/>
  <c r="AE1017" i="2"/>
  <c r="AE544" i="2"/>
  <c r="AE407" i="2"/>
  <c r="AE391" i="2"/>
  <c r="AE291" i="2"/>
  <c r="AE214" i="2"/>
  <c r="AE144" i="2"/>
  <c r="AE26" i="2"/>
  <c r="AE25" i="2" s="1"/>
  <c r="AE1273" i="2"/>
  <c r="AE1108" i="2"/>
  <c r="AE1109" i="2" s="1"/>
  <c r="AE1335" i="2"/>
  <c r="AE1272" i="2"/>
  <c r="AE714" i="2"/>
  <c r="AE659" i="2"/>
  <c r="AE442" i="2"/>
  <c r="AE300" i="2"/>
  <c r="AE143" i="2"/>
  <c r="AE1279" i="2"/>
  <c r="AE623" i="2"/>
  <c r="AE624" i="2" s="1"/>
  <c r="AE555" i="2"/>
  <c r="AE168" i="2"/>
  <c r="AE167" i="2" s="1"/>
  <c r="AE36" i="2"/>
  <c r="AE682" i="2"/>
  <c r="AE542" i="2"/>
  <c r="AE1146" i="2"/>
  <c r="AE1147" i="2" s="1"/>
  <c r="AE1032" i="2"/>
  <c r="AE1031" i="2" s="1"/>
  <c r="AE405" i="2"/>
  <c r="AE1136" i="2"/>
  <c r="AE1029" i="2"/>
  <c r="AE643" i="2"/>
  <c r="AE557" i="2"/>
  <c r="AE389" i="2"/>
  <c r="AE1281" i="2"/>
  <c r="AE1178" i="2"/>
  <c r="AE197" i="4" s="1"/>
  <c r="AE212" i="2"/>
  <c r="AE160" i="2"/>
  <c r="AE1278" i="2"/>
  <c r="AE531" i="2"/>
  <c r="AE39" i="2"/>
  <c r="AE27" i="2" s="1"/>
  <c r="AE81" i="2"/>
  <c r="AE1028" i="2"/>
  <c r="AE1220" i="2"/>
  <c r="AE1221" i="2" s="1"/>
  <c r="AE187" i="2"/>
  <c r="AE169" i="2" s="1"/>
  <c r="AE7" i="2"/>
  <c r="AE656" i="2"/>
  <c r="AE712" i="2"/>
  <c r="AE432" i="2"/>
  <c r="AE175" i="2"/>
  <c r="AE150" i="2"/>
  <c r="AE1208" i="2"/>
  <c r="AE1209" i="2" s="1"/>
  <c r="AB177" i="4"/>
  <c r="AF87" i="1"/>
  <c r="AE91" i="1"/>
  <c r="AH341" i="4"/>
  <c r="AH292" i="4"/>
  <c r="AH383" i="4"/>
  <c r="AH47" i="1"/>
  <c r="AH57" i="2" s="1"/>
  <c r="AH49" i="1"/>
  <c r="AH50" i="1"/>
  <c r="AH48" i="1"/>
  <c r="AI43" i="1"/>
  <c r="Z1310" i="2"/>
  <c r="AB412" i="2"/>
  <c r="AC41" i="2"/>
  <c r="AC503" i="4"/>
  <c r="AE347" i="4"/>
  <c r="AE199" i="4"/>
  <c r="AE189" i="4"/>
  <c r="AE332" i="4"/>
  <c r="AE293" i="4"/>
  <c r="AE178" i="4"/>
  <c r="AE169" i="4"/>
  <c r="AE384" i="4"/>
  <c r="AE321" i="4"/>
  <c r="AE412" i="4"/>
  <c r="AE370" i="4"/>
  <c r="AE273" i="4"/>
  <c r="AE194" i="4"/>
  <c r="AE283" i="4"/>
  <c r="AE342" i="4"/>
  <c r="AE389" i="4"/>
  <c r="AE298" i="4"/>
  <c r="AC173" i="2"/>
  <c r="AC171" i="2"/>
  <c r="AM82" i="10"/>
  <c r="AL113" i="10"/>
  <c r="AG290" i="2"/>
  <c r="AG299" i="2"/>
  <c r="AD289" i="2"/>
  <c r="AB467" i="4"/>
  <c r="AB502" i="4"/>
  <c r="AB440" i="4"/>
  <c r="AL68" i="10"/>
  <c r="AA198" i="2"/>
  <c r="AA200" i="2"/>
  <c r="AG159" i="2"/>
  <c r="AG184" i="2"/>
  <c r="AG211" i="2"/>
  <c r="AB29" i="2"/>
  <c r="AD28" i="2"/>
  <c r="AD1274" i="2"/>
  <c r="AD1276" i="2" s="1"/>
  <c r="AD720" i="2"/>
  <c r="AD721" i="2"/>
  <c r="AC146" i="2"/>
  <c r="AC148" i="2"/>
  <c r="AA1307" i="2"/>
  <c r="AE1092" i="2"/>
  <c r="AF1091" i="2"/>
  <c r="AF1090" i="2" s="1"/>
  <c r="AG1063" i="2"/>
  <c r="AG1062" i="2" s="1"/>
  <c r="AF1061" i="2"/>
  <c r="Q78" i="10"/>
  <c r="AK86" i="1"/>
  <c r="AG430" i="2"/>
  <c r="AG441" i="2"/>
  <c r="AD694" i="2"/>
  <c r="AD696" i="2"/>
  <c r="AD697" i="2"/>
  <c r="AD1280" i="2"/>
  <c r="AD1282" i="2" s="1"/>
  <c r="S86" i="10"/>
  <c r="AC293" i="2"/>
  <c r="AC294" i="2" s="1"/>
  <c r="AF1084" i="2"/>
  <c r="AG1083" i="2"/>
  <c r="AG1082" i="2" s="1"/>
  <c r="AA1119" i="2"/>
  <c r="AB1118" i="2" s="1"/>
  <c r="AC672" i="2"/>
  <c r="AC668" i="2" s="1"/>
  <c r="AC673" i="2"/>
  <c r="AC674" i="2" s="1"/>
  <c r="AC669" i="2"/>
  <c r="AC670" i="2" s="1"/>
  <c r="Z1117" i="2"/>
  <c r="AC652" i="2"/>
  <c r="AF2" i="5"/>
  <c r="AF2" i="4"/>
  <c r="AF2" i="2"/>
  <c r="AF2" i="10"/>
  <c r="AF2" i="1"/>
  <c r="AG25" i="1"/>
  <c r="Z128" i="4"/>
  <c r="AG77" i="2"/>
  <c r="AG35" i="2"/>
  <c r="AG16" i="2"/>
  <c r="AL75" i="10"/>
  <c r="AD729" i="2"/>
  <c r="AD722" i="2"/>
  <c r="AD726" i="2"/>
  <c r="AD717" i="2" s="1"/>
  <c r="AC703" i="2"/>
  <c r="AC704" i="2" s="1"/>
  <c r="AC702" i="2"/>
  <c r="AC698" i="2" s="1"/>
  <c r="AC699" i="2"/>
  <c r="AC700" i="2" s="1"/>
  <c r="E147" i="7" l="1"/>
  <c r="AA303" i="7"/>
  <c r="E141" i="7"/>
  <c r="AA297" i="7"/>
  <c r="E142" i="7"/>
  <c r="AA298" i="7"/>
  <c r="AC971" i="2"/>
  <c r="E143" i="7"/>
  <c r="AA299" i="7"/>
  <c r="AE297" i="2"/>
  <c r="E64" i="7"/>
  <c r="E9" i="7"/>
  <c r="E13" i="7"/>
  <c r="E46" i="7"/>
  <c r="E71" i="7"/>
  <c r="E18" i="7"/>
  <c r="E41" i="7"/>
  <c r="E23" i="7"/>
  <c r="E37" i="7"/>
  <c r="E60" i="7"/>
  <c r="E50" i="7"/>
  <c r="E54" i="7"/>
  <c r="AE503" i="2"/>
  <c r="AD508" i="2"/>
  <c r="AD56" i="4"/>
  <c r="AF506" i="2"/>
  <c r="AF502" i="2"/>
  <c r="AF505" i="2"/>
  <c r="AF501" i="2"/>
  <c r="AE493" i="2"/>
  <c r="AD498" i="2"/>
  <c r="AD55" i="4"/>
  <c r="AC708" i="2"/>
  <c r="AF496" i="2"/>
  <c r="AF492" i="2"/>
  <c r="AF495" i="2"/>
  <c r="AF491" i="2"/>
  <c r="AD967" i="2"/>
  <c r="AD966" i="2"/>
  <c r="AB996" i="2"/>
  <c r="AE411" i="2"/>
  <c r="AC396" i="2"/>
  <c r="AC388" i="2"/>
  <c r="AC386" i="2" s="1"/>
  <c r="AC393" i="2" s="1"/>
  <c r="AF348" i="2"/>
  <c r="AF345" i="2" s="1"/>
  <c r="AF344" i="2"/>
  <c r="AE346" i="2"/>
  <c r="AD350" i="2"/>
  <c r="AD351" i="2" s="1"/>
  <c r="AD39" i="4" s="1"/>
  <c r="AD341" i="2"/>
  <c r="AD342" i="2" s="1"/>
  <c r="AD38" i="4" s="1"/>
  <c r="AF339" i="2"/>
  <c r="AF336" i="2" s="1"/>
  <c r="AF335" i="2"/>
  <c r="AE337" i="2"/>
  <c r="AE328" i="2"/>
  <c r="AC1299" i="2"/>
  <c r="AD332" i="2"/>
  <c r="AD333" i="2" s="1"/>
  <c r="AD37" i="4" s="1"/>
  <c r="AF68" i="2"/>
  <c r="AF330" i="2"/>
  <c r="AF327" i="2" s="1"/>
  <c r="AF326" i="2"/>
  <c r="V1217" i="2"/>
  <c r="W1218" i="2"/>
  <c r="X98" i="4"/>
  <c r="AE107" i="2"/>
  <c r="AE87" i="2"/>
  <c r="AC128" i="2"/>
  <c r="AC471" i="2" s="1"/>
  <c r="AB130" i="2"/>
  <c r="AB1291" i="2" s="1"/>
  <c r="AB485" i="4" s="1"/>
  <c r="AB517" i="2"/>
  <c r="AB473" i="2"/>
  <c r="AB527" i="2" s="1"/>
  <c r="AE67" i="2"/>
  <c r="L1333" i="2"/>
  <c r="M1331" i="2" s="1"/>
  <c r="AC6" i="4"/>
  <c r="AC93" i="4" s="1"/>
  <c r="J493" i="4"/>
  <c r="AA72" i="2"/>
  <c r="K462" i="4"/>
  <c r="K490" i="4"/>
  <c r="K435" i="4"/>
  <c r="J1327" i="2"/>
  <c r="X775" i="2"/>
  <c r="X995" i="2" s="1"/>
  <c r="X48" i="4"/>
  <c r="AD319" i="2"/>
  <c r="Y115" i="10"/>
  <c r="Z112" i="10" s="1"/>
  <c r="Z117" i="10"/>
  <c r="Z115" i="10" s="1"/>
  <c r="AA112" i="10" s="1"/>
  <c r="AD962" i="2"/>
  <c r="AD955" i="2"/>
  <c r="AD481" i="2"/>
  <c r="AD483" i="2" s="1"/>
  <c r="AD54" i="4" s="1"/>
  <c r="AC34" i="1"/>
  <c r="AB91" i="4"/>
  <c r="AB159" i="4"/>
  <c r="AB140" i="2"/>
  <c r="AB4" i="2"/>
  <c r="AB68" i="1"/>
  <c r="AB14" i="4"/>
  <c r="AB69" i="4"/>
  <c r="AB124" i="4"/>
  <c r="AB1168" i="2"/>
  <c r="AB638" i="2"/>
  <c r="AB38" i="1"/>
  <c r="AB4" i="4"/>
  <c r="AB1" i="4"/>
  <c r="AB284" i="2"/>
  <c r="AB233" i="4"/>
  <c r="AB55" i="10"/>
  <c r="AB570" i="2"/>
  <c r="AB102" i="10"/>
  <c r="AB90" i="10"/>
  <c r="AB1056" i="2"/>
  <c r="AB1269" i="2"/>
  <c r="AB4" i="5"/>
  <c r="AB1000" i="2"/>
  <c r="AB14" i="1"/>
  <c r="AB366" i="4"/>
  <c r="AB1" i="5"/>
  <c r="AB269" i="4"/>
  <c r="AB1" i="2"/>
  <c r="AB113" i="1"/>
  <c r="AB317" i="4"/>
  <c r="AB25" i="4"/>
  <c r="AB1096" i="2"/>
  <c r="AB1142" i="2"/>
  <c r="AB1" i="10"/>
  <c r="AB205" i="4"/>
  <c r="AB408" i="4"/>
  <c r="AB1189" i="2"/>
  <c r="AB423" i="2"/>
  <c r="AB1" i="1"/>
  <c r="AC1014" i="2"/>
  <c r="AD1013" i="2"/>
  <c r="N284" i="4"/>
  <c r="N207" i="4"/>
  <c r="N209" i="4" s="1"/>
  <c r="N109" i="4"/>
  <c r="N115" i="4" s="1"/>
  <c r="N247" i="4"/>
  <c r="N256" i="4"/>
  <c r="N333" i="4"/>
  <c r="AD28" i="1"/>
  <c r="AD27" i="1"/>
  <c r="AE26" i="1"/>
  <c r="AD29" i="1"/>
  <c r="Q877" i="2"/>
  <c r="Q968" i="2" s="1"/>
  <c r="N436" i="4"/>
  <c r="N494" i="4"/>
  <c r="N463" i="4"/>
  <c r="P983" i="2"/>
  <c r="P175" i="4" s="1"/>
  <c r="Q935" i="2"/>
  <c r="AH259" i="2"/>
  <c r="AH235" i="2"/>
  <c r="P953" i="2"/>
  <c r="P63" i="4" s="1"/>
  <c r="P767" i="2"/>
  <c r="P957" i="2"/>
  <c r="P771" i="2"/>
  <c r="AH320" i="2"/>
  <c r="AH380" i="2"/>
  <c r="AH311" i="2"/>
  <c r="AH368" i="2"/>
  <c r="AH359" i="2"/>
  <c r="AC220" i="4"/>
  <c r="AD219" i="4"/>
  <c r="O173" i="4"/>
  <c r="O179" i="4" s="1"/>
  <c r="O264" i="4" s="1"/>
  <c r="O1316" i="2"/>
  <c r="O1313" i="2" s="1"/>
  <c r="AH520" i="2"/>
  <c r="AH484" i="2"/>
  <c r="AH474" i="2"/>
  <c r="AH464" i="2"/>
  <c r="AH454" i="2"/>
  <c r="L1337" i="2"/>
  <c r="L1325" i="2" s="1"/>
  <c r="L1334" i="2"/>
  <c r="M1330" i="2"/>
  <c r="P882" i="2"/>
  <c r="P973" i="2" s="1"/>
  <c r="AD952" i="2"/>
  <c r="AE439" i="2"/>
  <c r="AE440" i="2" s="1"/>
  <c r="AE445" i="2" s="1"/>
  <c r="AC956" i="2"/>
  <c r="AD951" i="2"/>
  <c r="AE852" i="2"/>
  <c r="AE842" i="2"/>
  <c r="AE846" i="2"/>
  <c r="AE837" i="2" s="1"/>
  <c r="AE78" i="4" s="1"/>
  <c r="AB299" i="7" s="1"/>
  <c r="AE840" i="2"/>
  <c r="AE841" i="2"/>
  <c r="AF834" i="2"/>
  <c r="AF831" i="2"/>
  <c r="AD847" i="2"/>
  <c r="AD843" i="2" s="1"/>
  <c r="AD853" i="2" s="1"/>
  <c r="AD848" i="2"/>
  <c r="AD849" i="2" s="1"/>
  <c r="AD844" i="2"/>
  <c r="AD845" i="2" s="1"/>
  <c r="AF805" i="2"/>
  <c r="AF808" i="2"/>
  <c r="AC765" i="2"/>
  <c r="AD759" i="2"/>
  <c r="AD75" i="4" s="1"/>
  <c r="AD822" i="2"/>
  <c r="AD823" i="2" s="1"/>
  <c r="AD821" i="2"/>
  <c r="AD817" i="2" s="1"/>
  <c r="AD827" i="2" s="1"/>
  <c r="AD818" i="2"/>
  <c r="AD819" i="2" s="1"/>
  <c r="AE814" i="2"/>
  <c r="AE815" i="2"/>
  <c r="AE826" i="2"/>
  <c r="AE820" i="2"/>
  <c r="AE811" i="2" s="1"/>
  <c r="AE77" i="4" s="1"/>
  <c r="AB298" i="7" s="1"/>
  <c r="AE816" i="2"/>
  <c r="AC678" i="2"/>
  <c r="AD795" i="2"/>
  <c r="AD791" i="2" s="1"/>
  <c r="AD801" i="2" s="1"/>
  <c r="AD796" i="2"/>
  <c r="AD797" i="2" s="1"/>
  <c r="AD792" i="2"/>
  <c r="AD793" i="2" s="1"/>
  <c r="AE800" i="2"/>
  <c r="AE790" i="2"/>
  <c r="AE794" i="2"/>
  <c r="AE785" i="2" s="1"/>
  <c r="AE76" i="4" s="1"/>
  <c r="AB297" i="7" s="1"/>
  <c r="AF782" i="2"/>
  <c r="AF779" i="2"/>
  <c r="AE788" i="2"/>
  <c r="AE789" i="2"/>
  <c r="AD769" i="2"/>
  <c r="AE774" i="2"/>
  <c r="AE764" i="2"/>
  <c r="AE768" i="2"/>
  <c r="AF756" i="2"/>
  <c r="AF753" i="2"/>
  <c r="AE762" i="2"/>
  <c r="AE763" i="2"/>
  <c r="Z419" i="2"/>
  <c r="Z1323" i="2" s="1"/>
  <c r="Z464" i="4" s="1"/>
  <c r="Y419" i="2"/>
  <c r="Y1323" i="2" s="1"/>
  <c r="Y496" i="4" s="1"/>
  <c r="AB52" i="2"/>
  <c r="V602" i="2"/>
  <c r="V183" i="4" s="1"/>
  <c r="W208" i="2"/>
  <c r="W210" i="2" s="1"/>
  <c r="AB51" i="2"/>
  <c r="AB84" i="2"/>
  <c r="AB129" i="2" s="1"/>
  <c r="AC64" i="2"/>
  <c r="Z574" i="2"/>
  <c r="Z575" i="2" s="1"/>
  <c r="AD7" i="4"/>
  <c r="AE50" i="2"/>
  <c r="AD63" i="2"/>
  <c r="AF58" i="2"/>
  <c r="AF47" i="2"/>
  <c r="AF61" i="2"/>
  <c r="AF49" i="2" s="1"/>
  <c r="U192" i="4"/>
  <c r="U222" i="4" s="1"/>
  <c r="X102" i="4"/>
  <c r="Y217" i="2"/>
  <c r="X208" i="2" s="1"/>
  <c r="Y216" i="2"/>
  <c r="AE318" i="2"/>
  <c r="X206" i="2"/>
  <c r="AC730" i="2"/>
  <c r="AD310" i="2"/>
  <c r="AD367" i="2"/>
  <c r="AD358" i="2"/>
  <c r="AD379" i="2"/>
  <c r="Y48" i="4"/>
  <c r="Y238" i="4" s="1"/>
  <c r="Z97" i="4"/>
  <c r="AB100" i="4"/>
  <c r="AB96" i="4"/>
  <c r="AB32" i="4"/>
  <c r="AB239" i="4" s="1"/>
  <c r="AA202" i="2"/>
  <c r="AA276" i="2" s="1"/>
  <c r="AA592" i="2" s="1"/>
  <c r="Z204" i="2"/>
  <c r="Z28" i="4" s="1"/>
  <c r="T1248" i="2"/>
  <c r="AD746" i="2"/>
  <c r="AC627" i="2"/>
  <c r="AC626" i="2" s="1"/>
  <c r="AC184" i="4" s="1"/>
  <c r="T1259" i="2"/>
  <c r="T112" i="4" s="1"/>
  <c r="T195" i="4"/>
  <c r="T222" i="4"/>
  <c r="T208" i="4"/>
  <c r="W1243" i="2"/>
  <c r="W1258" i="2"/>
  <c r="U212" i="4"/>
  <c r="U373" i="4"/>
  <c r="U276" i="4"/>
  <c r="U1259" i="2"/>
  <c r="U112" i="4" s="1"/>
  <c r="U241" i="4" s="1"/>
  <c r="V1251" i="2"/>
  <c r="V108" i="4" s="1"/>
  <c r="V1234" i="2"/>
  <c r="AF1235" i="2"/>
  <c r="AE743" i="2"/>
  <c r="AE945" i="2" s="1"/>
  <c r="AE741" i="2"/>
  <c r="AE744" i="2" s="1"/>
  <c r="AE946" i="2" s="1"/>
  <c r="AE172" i="4" s="1"/>
  <c r="AE357" i="2"/>
  <c r="AF737" i="2"/>
  <c r="AF742" i="2" s="1"/>
  <c r="AF944" i="2" s="1"/>
  <c r="AB196" i="2"/>
  <c r="AB200" i="2" s="1"/>
  <c r="AD963" i="2"/>
  <c r="AD139" i="4" s="1"/>
  <c r="AD928" i="2"/>
  <c r="AD85" i="4" s="1"/>
  <c r="AD984" i="2"/>
  <c r="AD978" i="2" s="1"/>
  <c r="AD140" i="4" s="1"/>
  <c r="AF896" i="2"/>
  <c r="AF890" i="2"/>
  <c r="AE902" i="2"/>
  <c r="AE904" i="2"/>
  <c r="AE905" i="2"/>
  <c r="AD911" i="2"/>
  <c r="AD912" i="2" s="1"/>
  <c r="AD910" i="2"/>
  <c r="AD906" i="2" s="1"/>
  <c r="AD916" i="2" s="1"/>
  <c r="AD907" i="2"/>
  <c r="AD908" i="2" s="1"/>
  <c r="AC934" i="2"/>
  <c r="AC941" i="2" s="1"/>
  <c r="AC985" i="2"/>
  <c r="AE915" i="2"/>
  <c r="AE909" i="2"/>
  <c r="AE899" i="2" s="1"/>
  <c r="AE82" i="4" s="1"/>
  <c r="AB303" i="7" s="1"/>
  <c r="AF925" i="2"/>
  <c r="AF923" i="2"/>
  <c r="AD938" i="2"/>
  <c r="AE940" i="2"/>
  <c r="AE988" i="2" s="1"/>
  <c r="AE933" i="2"/>
  <c r="AE981" i="2" s="1"/>
  <c r="AE937" i="2"/>
  <c r="AE931" i="2"/>
  <c r="AE932" i="2"/>
  <c r="AE980" i="2" s="1"/>
  <c r="AD869" i="2"/>
  <c r="AD81" i="4" s="1"/>
  <c r="AC876" i="2"/>
  <c r="AC886" i="2" s="1"/>
  <c r="AF866" i="2"/>
  <c r="AF860" i="2"/>
  <c r="AE885" i="2"/>
  <c r="AE879" i="2"/>
  <c r="AD880" i="2"/>
  <c r="AE872" i="2"/>
  <c r="AE874" i="2"/>
  <c r="AE875" i="2"/>
  <c r="AE378" i="2"/>
  <c r="AE69" i="2"/>
  <c r="AD70" i="2"/>
  <c r="AC83" i="2"/>
  <c r="AC84" i="2" s="1"/>
  <c r="AE366" i="2"/>
  <c r="AE309" i="2"/>
  <c r="AB111" i="2"/>
  <c r="AB112" i="2"/>
  <c r="Y552" i="2"/>
  <c r="Y566" i="2" s="1"/>
  <c r="X562" i="2"/>
  <c r="X564" i="2" s="1"/>
  <c r="Y560" i="2"/>
  <c r="Y559" i="2"/>
  <c r="Y565" i="2"/>
  <c r="AA519" i="2"/>
  <c r="Z553" i="2"/>
  <c r="Z565" i="2" s="1"/>
  <c r="Z524" i="2"/>
  <c r="Z554" i="2" s="1"/>
  <c r="Z1302" i="2" s="1"/>
  <c r="Z61" i="4"/>
  <c r="Z60" i="4" s="1"/>
  <c r="Z102" i="4" s="1"/>
  <c r="W269" i="2"/>
  <c r="W1301" i="2" s="1"/>
  <c r="AA478" i="2"/>
  <c r="AA528" i="2" s="1"/>
  <c r="AA53" i="4"/>
  <c r="AA50" i="4" s="1"/>
  <c r="AA533" i="2"/>
  <c r="Z534" i="2"/>
  <c r="Y536" i="2"/>
  <c r="Y538" i="2" s="1"/>
  <c r="Z526" i="2"/>
  <c r="W254" i="2"/>
  <c r="W278" i="2" s="1"/>
  <c r="W604" i="2" s="1"/>
  <c r="W605" i="2" s="1"/>
  <c r="W606" i="2" s="1"/>
  <c r="V606" i="2"/>
  <c r="W253" i="2"/>
  <c r="W272" i="2" s="1"/>
  <c r="W607" i="2" s="1"/>
  <c r="Y588" i="2"/>
  <c r="X584" i="2"/>
  <c r="X166" i="4" s="1"/>
  <c r="X262" i="4" s="1"/>
  <c r="V258" i="2"/>
  <c r="V273" i="2" s="1"/>
  <c r="V127" i="4" s="1"/>
  <c r="Y94" i="4"/>
  <c r="U127" i="4"/>
  <c r="Y240" i="2"/>
  <c r="U279" i="2"/>
  <c r="U611" i="2" s="1"/>
  <c r="U612" i="2" s="1"/>
  <c r="W459" i="4"/>
  <c r="W432" i="4"/>
  <c r="W486" i="4"/>
  <c r="AB219" i="2"/>
  <c r="AB221" i="2" s="1"/>
  <c r="AB243" i="2"/>
  <c r="Y252" i="2"/>
  <c r="Y265" i="2" s="1"/>
  <c r="X30" i="4"/>
  <c r="X27" i="4" s="1"/>
  <c r="X264" i="2"/>
  <c r="X274" i="2" s="1"/>
  <c r="X1292" i="2" s="1"/>
  <c r="X459" i="4" s="1"/>
  <c r="X265" i="2"/>
  <c r="X253" i="2" s="1"/>
  <c r="Z248" i="2"/>
  <c r="Z277" i="2" s="1"/>
  <c r="Z246" i="2"/>
  <c r="Y29" i="4"/>
  <c r="AA245" i="2"/>
  <c r="AA268" i="2" s="1"/>
  <c r="AA95" i="4" s="1"/>
  <c r="AA237" i="4" s="1"/>
  <c r="Z268" i="2"/>
  <c r="Z95" i="4" s="1"/>
  <c r="Z237" i="4" s="1"/>
  <c r="V1301" i="2"/>
  <c r="V270" i="2"/>
  <c r="X271" i="2"/>
  <c r="Z228" i="2"/>
  <c r="Z240" i="2" s="1"/>
  <c r="W232" i="2"/>
  <c r="W234" i="2" s="1"/>
  <c r="X229" i="2"/>
  <c r="X232" i="2"/>
  <c r="Y230" i="2"/>
  <c r="AA222" i="2"/>
  <c r="AA224" i="2"/>
  <c r="AF262" i="2"/>
  <c r="AF260" i="2"/>
  <c r="AF244" i="2"/>
  <c r="AF250" i="2"/>
  <c r="AC123" i="2"/>
  <c r="AC124" i="2" s="1"/>
  <c r="AF238" i="2"/>
  <c r="AF236" i="2"/>
  <c r="AF220" i="2"/>
  <c r="AF226" i="2"/>
  <c r="AD110" i="2"/>
  <c r="AC103" i="2"/>
  <c r="AC104" i="2" s="1"/>
  <c r="AE109" i="2"/>
  <c r="AF486" i="2"/>
  <c r="AF482" i="2"/>
  <c r="AF485" i="2"/>
  <c r="AF476" i="2"/>
  <c r="AF472" i="2"/>
  <c r="AF475" i="2"/>
  <c r="AE463" i="2"/>
  <c r="AD468" i="2"/>
  <c r="AD52" i="4"/>
  <c r="AF466" i="2"/>
  <c r="AF462" i="2"/>
  <c r="AF465" i="2"/>
  <c r="AB92" i="2"/>
  <c r="AF522" i="2"/>
  <c r="AF518" i="2"/>
  <c r="AF521" i="2"/>
  <c r="AB529" i="2"/>
  <c r="AD458" i="2"/>
  <c r="AD51" i="4"/>
  <c r="AE453" i="2"/>
  <c r="AF456" i="2"/>
  <c r="AF452" i="2"/>
  <c r="AF455" i="2"/>
  <c r="AD90" i="2"/>
  <c r="AE89" i="2"/>
  <c r="AC402" i="2"/>
  <c r="AC409" i="2" s="1"/>
  <c r="AC384" i="2"/>
  <c r="AC46" i="4" s="1"/>
  <c r="AC45" i="4" s="1"/>
  <c r="AC412" i="2"/>
  <c r="AC414" i="2" s="1"/>
  <c r="AC617" i="2" s="1"/>
  <c r="AC197" i="2"/>
  <c r="AC196" i="2" s="1"/>
  <c r="AA131" i="2"/>
  <c r="AA458" i="4"/>
  <c r="AA416" i="2"/>
  <c r="AA1322" i="2" s="1"/>
  <c r="AA485" i="4"/>
  <c r="X596" i="2"/>
  <c r="X164" i="4" s="1"/>
  <c r="X261" i="4" s="1"/>
  <c r="Z397" i="2"/>
  <c r="Y401" i="2"/>
  <c r="Y598" i="2"/>
  <c r="W261" i="4"/>
  <c r="AF321" i="2"/>
  <c r="AF317" i="2"/>
  <c r="AC315" i="2"/>
  <c r="AC35" i="4" s="1"/>
  <c r="AC34" i="4" s="1"/>
  <c r="AB413" i="2"/>
  <c r="AB1321" i="2" s="1"/>
  <c r="AB497" i="4" s="1"/>
  <c r="AB410" i="2"/>
  <c r="AF312" i="2"/>
  <c r="AF308" i="2"/>
  <c r="AF381" i="2"/>
  <c r="AF377" i="2"/>
  <c r="AF369" i="2"/>
  <c r="AF365" i="2"/>
  <c r="AE1280" i="2"/>
  <c r="AE1282" i="2" s="1"/>
  <c r="AC363" i="2"/>
  <c r="AC42" i="4" s="1"/>
  <c r="AC41" i="4" s="1"/>
  <c r="AF360" i="2"/>
  <c r="AF356" i="2"/>
  <c r="AD195" i="2"/>
  <c r="AD197" i="2" s="1"/>
  <c r="AG57" i="10"/>
  <c r="AG62" i="10"/>
  <c r="AH117" i="2"/>
  <c r="AH97" i="2"/>
  <c r="AB108" i="10"/>
  <c r="AC105" i="10" s="1"/>
  <c r="Z1199" i="2"/>
  <c r="Y1198" i="2"/>
  <c r="X260" i="4"/>
  <c r="Z158" i="2"/>
  <c r="AF108" i="2"/>
  <c r="AF121" i="2"/>
  <c r="AF118" i="2"/>
  <c r="AE1274" i="2"/>
  <c r="AE1276" i="2" s="1"/>
  <c r="AF98" i="2"/>
  <c r="AF88" i="2"/>
  <c r="AF101" i="2"/>
  <c r="AB164" i="2"/>
  <c r="AB189" i="2"/>
  <c r="Z181" i="2"/>
  <c r="Z183" i="2" s="1"/>
  <c r="AA179" i="2"/>
  <c r="Y572" i="2"/>
  <c r="Y162" i="4" s="1"/>
  <c r="Y260" i="4" s="1"/>
  <c r="Y576" i="2"/>
  <c r="Z1105" i="2"/>
  <c r="AC152" i="2"/>
  <c r="AC164" i="2" s="1"/>
  <c r="AC177" i="2"/>
  <c r="AC190" i="2" s="1"/>
  <c r="AC178" i="2" s="1"/>
  <c r="AD539" i="2"/>
  <c r="AE9" i="2"/>
  <c r="AE21" i="2" s="1"/>
  <c r="AE22" i="2" s="1"/>
  <c r="AE145" i="2"/>
  <c r="AE148" i="2" s="1"/>
  <c r="AE170" i="2"/>
  <c r="AE171" i="2" s="1"/>
  <c r="AE429" i="2"/>
  <c r="AE434" i="2" s="1"/>
  <c r="AB1119" i="2"/>
  <c r="AB1117" i="2" s="1"/>
  <c r="AA1107" i="2"/>
  <c r="AA1105" i="2" s="1"/>
  <c r="AF370" i="4"/>
  <c r="AF194" i="4"/>
  <c r="AF298" i="4"/>
  <c r="AF321" i="4"/>
  <c r="AF199" i="4"/>
  <c r="AF169" i="4"/>
  <c r="AF293" i="4"/>
  <c r="AF273" i="4"/>
  <c r="AF389" i="4"/>
  <c r="AF332" i="4"/>
  <c r="AF384" i="4"/>
  <c r="AF178" i="4"/>
  <c r="AF342" i="4"/>
  <c r="AF283" i="4"/>
  <c r="AF347" i="4"/>
  <c r="AF412" i="4"/>
  <c r="AF189" i="4"/>
  <c r="AN82" i="10"/>
  <c r="AH77" i="2"/>
  <c r="AH16" i="2"/>
  <c r="AH35" i="2"/>
  <c r="AC502" i="4"/>
  <c r="AC440" i="4"/>
  <c r="AC467" i="4"/>
  <c r="AI292" i="4"/>
  <c r="AI341" i="4"/>
  <c r="AI383" i="4"/>
  <c r="AI47" i="1"/>
  <c r="AI57" i="2" s="1"/>
  <c r="AI49" i="1"/>
  <c r="AI48" i="1"/>
  <c r="AI50" i="1"/>
  <c r="AJ43" i="1"/>
  <c r="AA1117" i="2"/>
  <c r="T84" i="10"/>
  <c r="T85" i="10" s="1"/>
  <c r="AD727" i="2"/>
  <c r="AD723" i="2" s="1"/>
  <c r="AD724" i="2"/>
  <c r="AD725" i="2" s="1"/>
  <c r="AM113" i="10"/>
  <c r="AH211" i="2"/>
  <c r="AH184" i="2"/>
  <c r="AH159" i="2"/>
  <c r="AG87" i="1"/>
  <c r="AF91" i="1"/>
  <c r="AE720" i="2"/>
  <c r="AE721" i="2"/>
  <c r="AE677" i="2"/>
  <c r="AE667" i="2"/>
  <c r="AE671" i="2"/>
  <c r="AE662" i="2" s="1"/>
  <c r="AE289" i="2"/>
  <c r="AG80" i="1"/>
  <c r="AH81" i="1"/>
  <c r="AL55" i="1"/>
  <c r="AM54" i="1"/>
  <c r="AB153" i="2"/>
  <c r="AF65" i="10"/>
  <c r="AF133" i="10"/>
  <c r="AF136" i="10"/>
  <c r="AF188" i="4" s="1"/>
  <c r="AF93" i="10"/>
  <c r="AF168" i="4" s="1"/>
  <c r="AF135" i="10"/>
  <c r="AF97" i="10"/>
  <c r="AF176" i="4" s="1"/>
  <c r="AF70" i="10"/>
  <c r="AF71" i="10" s="1"/>
  <c r="AF72" i="10" s="1"/>
  <c r="AD503" i="4"/>
  <c r="AF1273" i="2"/>
  <c r="AF1146" i="2"/>
  <c r="AF1147" i="2" s="1"/>
  <c r="AF1033" i="2"/>
  <c r="AF682" i="2"/>
  <c r="AF557" i="2"/>
  <c r="AF36" i="2"/>
  <c r="AF26" i="2"/>
  <c r="AF25" i="2" s="1"/>
  <c r="AF17" i="2"/>
  <c r="AF7" i="2"/>
  <c r="AF1281" i="2"/>
  <c r="AF1272" i="2"/>
  <c r="AF1032" i="2"/>
  <c r="AF1031" i="2" s="1"/>
  <c r="AF659" i="2"/>
  <c r="AF628" i="2"/>
  <c r="AF629" i="2" s="1"/>
  <c r="AF555" i="2"/>
  <c r="AF544" i="2"/>
  <c r="AF443" i="2"/>
  <c r="AF407" i="2"/>
  <c r="AF214" i="2"/>
  <c r="AF160" i="2"/>
  <c r="AF162" i="2"/>
  <c r="AF78" i="2"/>
  <c r="AF1201" i="2"/>
  <c r="AF1202" i="2" s="1"/>
  <c r="AF1136" i="2"/>
  <c r="AF712" i="2"/>
  <c r="AF428" i="2"/>
  <c r="AF405" i="2"/>
  <c r="AF389" i="2"/>
  <c r="AF143" i="2"/>
  <c r="AF39" i="2"/>
  <c r="AF27" i="2" s="1"/>
  <c r="AF1220" i="2"/>
  <c r="AF1221" i="2" s="1"/>
  <c r="AF1028" i="2"/>
  <c r="AF623" i="2"/>
  <c r="AF624" i="2" s="1"/>
  <c r="AF442" i="2"/>
  <c r="AF427" i="2"/>
  <c r="AF168" i="2"/>
  <c r="AF167" i="2" s="1"/>
  <c r="AF19" i="2"/>
  <c r="AF1335" i="2"/>
  <c r="AF1275" i="2"/>
  <c r="AF1026" i="2"/>
  <c r="AF688" i="2"/>
  <c r="AF643" i="2"/>
  <c r="AF531" i="2"/>
  <c r="AF300" i="2"/>
  <c r="AF297" i="2" s="1"/>
  <c r="AF288" i="2"/>
  <c r="AF187" i="2"/>
  <c r="AF169" i="2" s="1"/>
  <c r="AF714" i="2"/>
  <c r="AF656" i="2"/>
  <c r="AF542" i="2"/>
  <c r="AF432" i="2"/>
  <c r="AF296" i="2"/>
  <c r="AF8" i="2"/>
  <c r="AF291" i="2"/>
  <c r="AF1279" i="2"/>
  <c r="AF1120" i="2"/>
  <c r="AF1121" i="2" s="1"/>
  <c r="AF287" i="2"/>
  <c r="AF212" i="2"/>
  <c r="AF185" i="2"/>
  <c r="AF1278" i="2"/>
  <c r="AF1108" i="2"/>
  <c r="AF1109" i="2" s="1"/>
  <c r="AF1029" i="2"/>
  <c r="AF431" i="2"/>
  <c r="AF391" i="2"/>
  <c r="AF81" i="2"/>
  <c r="AF1150" i="2"/>
  <c r="AF1151" i="2" s="1"/>
  <c r="AF1012" i="2"/>
  <c r="AF1011" i="2" s="1"/>
  <c r="AF144" i="2"/>
  <c r="AF1037" i="2"/>
  <c r="AF1017" i="2"/>
  <c r="AF438" i="2"/>
  <c r="AF437" i="2" s="1"/>
  <c r="AF1178" i="2"/>
  <c r="AF197" i="4" s="1"/>
  <c r="AF175" i="2"/>
  <c r="AF150" i="2"/>
  <c r="AF1208" i="2"/>
  <c r="AF1209" i="2" s="1"/>
  <c r="AG1091" i="2"/>
  <c r="AG1090" i="2" s="1"/>
  <c r="AF1092" i="2"/>
  <c r="AD293" i="2"/>
  <c r="AD294" i="2" s="1"/>
  <c r="AA497" i="4"/>
  <c r="AC42" i="2"/>
  <c r="AC29" i="2" s="1"/>
  <c r="AH299" i="2"/>
  <c r="AH290" i="2"/>
  <c r="AE665" i="2"/>
  <c r="AE666" i="2"/>
  <c r="AE729" i="2"/>
  <c r="AE722" i="2"/>
  <c r="AE726" i="2"/>
  <c r="AE717" i="2" s="1"/>
  <c r="AE28" i="2"/>
  <c r="AE298" i="2"/>
  <c r="T163" i="4"/>
  <c r="T631" i="2"/>
  <c r="AB399" i="2"/>
  <c r="AB1307" i="2"/>
  <c r="AB138" i="4"/>
  <c r="AB144" i="4" s="1"/>
  <c r="AB990" i="2"/>
  <c r="AD546" i="2"/>
  <c r="AE647" i="2"/>
  <c r="AE650" i="2" s="1"/>
  <c r="AE649" i="2"/>
  <c r="AE648" i="2"/>
  <c r="AD148" i="2"/>
  <c r="AD146" i="2"/>
  <c r="AL86" i="1"/>
  <c r="AH430" i="2"/>
  <c r="AH441" i="2"/>
  <c r="Z593" i="2"/>
  <c r="Z590" i="2" s="1"/>
  <c r="Z165" i="4" s="1"/>
  <c r="AA374" i="4"/>
  <c r="AA277" i="4"/>
  <c r="AA324" i="4"/>
  <c r="AA1184" i="2"/>
  <c r="AA1264" i="2"/>
  <c r="AC22" i="2"/>
  <c r="AC10" i="2" s="1"/>
  <c r="AM106" i="10"/>
  <c r="AH1063" i="2"/>
  <c r="AH1062" i="2" s="1"/>
  <c r="AG1061" i="2"/>
  <c r="AC110" i="10"/>
  <c r="AC108" i="10" s="1"/>
  <c r="AD105" i="10" s="1"/>
  <c r="AM68" i="10"/>
  <c r="AA1310" i="2"/>
  <c r="AB484" i="4"/>
  <c r="AB457" i="4"/>
  <c r="AB430" i="4"/>
  <c r="AB414" i="2"/>
  <c r="AB617" i="2" s="1"/>
  <c r="AD171" i="2"/>
  <c r="AD173" i="2"/>
  <c r="AA618" i="2"/>
  <c r="AA619" i="2" s="1"/>
  <c r="AC991" i="2"/>
  <c r="AC1305" i="2" s="1"/>
  <c r="AC949" i="2"/>
  <c r="AB154" i="2"/>
  <c r="AA181" i="2"/>
  <c r="AE629" i="2"/>
  <c r="AD652" i="2"/>
  <c r="AA128" i="4"/>
  <c r="Y590" i="2"/>
  <c r="AA156" i="2"/>
  <c r="AA158" i="2" s="1"/>
  <c r="AB178" i="2"/>
  <c r="AE707" i="2"/>
  <c r="AE701" i="2"/>
  <c r="AE691" i="2" s="1"/>
  <c r="AM75" i="10"/>
  <c r="AG2" i="5"/>
  <c r="AG2" i="4"/>
  <c r="AG2" i="2"/>
  <c r="AG2" i="10"/>
  <c r="AG2" i="1"/>
  <c r="AH25" i="1"/>
  <c r="AD142" i="4"/>
  <c r="AD703" i="2"/>
  <c r="AD704" i="2" s="1"/>
  <c r="AD702" i="2"/>
  <c r="AD698" i="2" s="1"/>
  <c r="AD708" i="2" s="1"/>
  <c r="AD699" i="2"/>
  <c r="AD700" i="2" s="1"/>
  <c r="Q79" i="10"/>
  <c r="AF146" i="1"/>
  <c r="AF59" i="1"/>
  <c r="AF120" i="1"/>
  <c r="AF45" i="1"/>
  <c r="AF44" i="1"/>
  <c r="AF53" i="1"/>
  <c r="AF131" i="1"/>
  <c r="AF123" i="1"/>
  <c r="AF140" i="1"/>
  <c r="AH1083" i="2"/>
  <c r="AH1082" i="2" s="1"/>
  <c r="AG1084" i="2"/>
  <c r="AD41" i="2"/>
  <c r="AD42" i="2" s="1"/>
  <c r="AC539" i="2"/>
  <c r="AC546" i="2"/>
  <c r="AB549" i="2"/>
  <c r="AB551" i="2" s="1"/>
  <c r="AC547" i="2"/>
  <c r="AE694" i="2"/>
  <c r="AE696" i="2"/>
  <c r="AE697" i="2"/>
  <c r="AE1038" i="2"/>
  <c r="AE1039" i="2"/>
  <c r="AD673" i="2"/>
  <c r="AD674" i="2" s="1"/>
  <c r="AD672" i="2"/>
  <c r="AD668" i="2" s="1"/>
  <c r="AD669" i="2"/>
  <c r="AD670" i="2" s="1"/>
  <c r="AA418" i="2"/>
  <c r="AL61" i="1"/>
  <c r="AM60" i="1"/>
  <c r="AD22" i="2"/>
  <c r="AD10" i="2" s="1"/>
  <c r="AC177" i="4"/>
  <c r="Z615" i="2"/>
  <c r="Z186" i="4" s="1"/>
  <c r="E146" i="7" l="1"/>
  <c r="AA302" i="7"/>
  <c r="E140" i="7"/>
  <c r="AA296" i="7"/>
  <c r="E150" i="7"/>
  <c r="AA306" i="7"/>
  <c r="X238" i="4"/>
  <c r="AD971" i="2"/>
  <c r="E106" i="7"/>
  <c r="E19" i="7"/>
  <c r="E42" i="7"/>
  <c r="E104" i="7"/>
  <c r="E24" i="7"/>
  <c r="E14" i="7"/>
  <c r="E72" i="7"/>
  <c r="E85" i="7"/>
  <c r="E61" i="7"/>
  <c r="E121" i="7"/>
  <c r="E65" i="7"/>
  <c r="E38" i="7"/>
  <c r="E123" i="7"/>
  <c r="E118" i="7"/>
  <c r="E119" i="7"/>
  <c r="E105" i="7"/>
  <c r="E122" i="7"/>
  <c r="AE332" i="2"/>
  <c r="AE333" i="2" s="1"/>
  <c r="AE37" i="4" s="1"/>
  <c r="AE508" i="2"/>
  <c r="AE56" i="4"/>
  <c r="AF503" i="2"/>
  <c r="AG502" i="2"/>
  <c r="AG505" i="2"/>
  <c r="AG501" i="2"/>
  <c r="AG506" i="2"/>
  <c r="AF493" i="2"/>
  <c r="AE498" i="2"/>
  <c r="AE55" i="4"/>
  <c r="AE966" i="2"/>
  <c r="AG492" i="2"/>
  <c r="AG495" i="2"/>
  <c r="AG491" i="2"/>
  <c r="AG496" i="2"/>
  <c r="AE970" i="2"/>
  <c r="AF411" i="2"/>
  <c r="AE977" i="2"/>
  <c r="AE967" i="2"/>
  <c r="AC996" i="2"/>
  <c r="AD395" i="2"/>
  <c r="AD387" i="2"/>
  <c r="AG348" i="2"/>
  <c r="AG345" i="2" s="1"/>
  <c r="AG344" i="2"/>
  <c r="AE350" i="2"/>
  <c r="AE351" i="2" s="1"/>
  <c r="AE39" i="4" s="1"/>
  <c r="AF346" i="2"/>
  <c r="AG339" i="2"/>
  <c r="AG336" i="2" s="1"/>
  <c r="AG335" i="2"/>
  <c r="AE341" i="2"/>
  <c r="AE342" i="2" s="1"/>
  <c r="AE38" i="4" s="1"/>
  <c r="AF337" i="2"/>
  <c r="AF328" i="2"/>
  <c r="AG68" i="2"/>
  <c r="AG330" i="2"/>
  <c r="AG327" i="2" s="1"/>
  <c r="AG326" i="2"/>
  <c r="W1219" i="2"/>
  <c r="W1217" i="2" s="1"/>
  <c r="AD678" i="2"/>
  <c r="AF107" i="2"/>
  <c r="AF87" i="2"/>
  <c r="AC129" i="2"/>
  <c r="AA133" i="2"/>
  <c r="AA574" i="2" s="1"/>
  <c r="AA575" i="2" s="1"/>
  <c r="AA576" i="2" s="1"/>
  <c r="AD128" i="2"/>
  <c r="AC130" i="2"/>
  <c r="AC1291" i="2" s="1"/>
  <c r="AC458" i="4" s="1"/>
  <c r="AC517" i="2"/>
  <c r="AC473" i="2"/>
  <c r="AC527" i="2" s="1"/>
  <c r="AF67" i="2"/>
  <c r="J490" i="4"/>
  <c r="J435" i="4"/>
  <c r="J462" i="4"/>
  <c r="AD323" i="2"/>
  <c r="AD324" i="2" s="1"/>
  <c r="AD36" i="4" s="1"/>
  <c r="AD34" i="1"/>
  <c r="AD570" i="2" s="1"/>
  <c r="AA116" i="10"/>
  <c r="Y775" i="2"/>
  <c r="Y995" i="2" s="1"/>
  <c r="AE319" i="2"/>
  <c r="AD403" i="2"/>
  <c r="AD488" i="2"/>
  <c r="AD627" i="2"/>
  <c r="AD626" i="2" s="1"/>
  <c r="AD184" i="4" s="1"/>
  <c r="AD730" i="2"/>
  <c r="AF439" i="2"/>
  <c r="AF440" i="2" s="1"/>
  <c r="AF445" i="2" s="1"/>
  <c r="AC124" i="4"/>
  <c r="AC4" i="5"/>
  <c r="AC408" i="4"/>
  <c r="AC25" i="4"/>
  <c r="AC1096" i="2"/>
  <c r="AC638" i="2"/>
  <c r="AC423" i="2"/>
  <c r="AC205" i="4"/>
  <c r="AC4" i="4"/>
  <c r="AC366" i="4"/>
  <c r="AC68" i="1"/>
  <c r="AC1" i="4"/>
  <c r="AC113" i="1"/>
  <c r="AC55" i="10"/>
  <c r="AC140" i="2"/>
  <c r="AC284" i="2"/>
  <c r="AC90" i="10"/>
  <c r="AC1000" i="2"/>
  <c r="AC1" i="10"/>
  <c r="AC1189" i="2"/>
  <c r="AC69" i="4"/>
  <c r="AC102" i="10"/>
  <c r="AC38" i="1"/>
  <c r="AC4" i="2"/>
  <c r="AC1142" i="2"/>
  <c r="AC233" i="4"/>
  <c r="AC1056" i="2"/>
  <c r="AC317" i="4"/>
  <c r="AC1269" i="2"/>
  <c r="AC91" i="4"/>
  <c r="AC14" i="1"/>
  <c r="AC269" i="4"/>
  <c r="AC159" i="4"/>
  <c r="AC14" i="4"/>
  <c r="AC1" i="1"/>
  <c r="AC1" i="2"/>
  <c r="AC570" i="2"/>
  <c r="AC1" i="5"/>
  <c r="AC1168" i="2"/>
  <c r="M1332" i="2"/>
  <c r="M1336" i="2"/>
  <c r="M1337" i="2" s="1"/>
  <c r="M1325" i="2" s="1"/>
  <c r="P958" i="2"/>
  <c r="Q770" i="2"/>
  <c r="AE955" i="2"/>
  <c r="O1314" i="2"/>
  <c r="O1315" i="2" s="1"/>
  <c r="O103" i="4"/>
  <c r="O104" i="4" s="1"/>
  <c r="O495" i="4"/>
  <c r="P954" i="2"/>
  <c r="Q766" i="2"/>
  <c r="Q878" i="2"/>
  <c r="Q969" i="2" s="1"/>
  <c r="AE962" i="2"/>
  <c r="AE142" i="4" s="1"/>
  <c r="L1326" i="2"/>
  <c r="L491" i="4"/>
  <c r="P107" i="4"/>
  <c r="P240" i="4" s="1"/>
  <c r="P65" i="4"/>
  <c r="Q982" i="2"/>
  <c r="Q936" i="2"/>
  <c r="P174" i="4"/>
  <c r="P1318" i="2"/>
  <c r="N1328" i="2"/>
  <c r="N492" i="4"/>
  <c r="AD220" i="4"/>
  <c r="AE219" i="4"/>
  <c r="AI259" i="2"/>
  <c r="AI235" i="2"/>
  <c r="AE29" i="1"/>
  <c r="AE28" i="1"/>
  <c r="AE27" i="1"/>
  <c r="AF26" i="1"/>
  <c r="AI474" i="2"/>
  <c r="AI464" i="2"/>
  <c r="AI454" i="2"/>
  <c r="AI520" i="2"/>
  <c r="AI484" i="2"/>
  <c r="AE481" i="2"/>
  <c r="AE483" i="2" s="1"/>
  <c r="AE488" i="2" s="1"/>
  <c r="Q881" i="2"/>
  <c r="Q972" i="2" s="1"/>
  <c r="AI320" i="2"/>
  <c r="AI380" i="2"/>
  <c r="AI311" i="2"/>
  <c r="AI368" i="2"/>
  <c r="AI359" i="2"/>
  <c r="AD1014" i="2"/>
  <c r="AE1013" i="2"/>
  <c r="Z437" i="4"/>
  <c r="Y464" i="4"/>
  <c r="AE952" i="2"/>
  <c r="AE951" i="2"/>
  <c r="AD956" i="2"/>
  <c r="AG831" i="2"/>
  <c r="AG834" i="2"/>
  <c r="AE848" i="2"/>
  <c r="AE849" i="2" s="1"/>
  <c r="AE847" i="2"/>
  <c r="AE843" i="2" s="1"/>
  <c r="AE853" i="2" s="1"/>
  <c r="AE844" i="2"/>
  <c r="AE845" i="2" s="1"/>
  <c r="AF840" i="2"/>
  <c r="AF841" i="2"/>
  <c r="AF852" i="2"/>
  <c r="AF842" i="2"/>
  <c r="AF846" i="2"/>
  <c r="AF837" i="2" s="1"/>
  <c r="AF78" i="4" s="1"/>
  <c r="AC299" i="7" s="1"/>
  <c r="AE759" i="2"/>
  <c r="AE75" i="4" s="1"/>
  <c r="AB296" i="7" s="1"/>
  <c r="AE821" i="2"/>
  <c r="AE817" i="2" s="1"/>
  <c r="AE827" i="2" s="1"/>
  <c r="AE822" i="2"/>
  <c r="AE823" i="2" s="1"/>
  <c r="AE818" i="2"/>
  <c r="AE819" i="2" s="1"/>
  <c r="AD765" i="2"/>
  <c r="AG808" i="2"/>
  <c r="AG805" i="2"/>
  <c r="AF826" i="2"/>
  <c r="AF816" i="2"/>
  <c r="AF820" i="2"/>
  <c r="AF811" i="2" s="1"/>
  <c r="AF77" i="4" s="1"/>
  <c r="AC298" i="7" s="1"/>
  <c r="AF814" i="2"/>
  <c r="AF815" i="2"/>
  <c r="Y437" i="4"/>
  <c r="AF788" i="2"/>
  <c r="AF789" i="2"/>
  <c r="AG782" i="2"/>
  <c r="AG779" i="2"/>
  <c r="AF800" i="2"/>
  <c r="AF794" i="2"/>
  <c r="AF785" i="2" s="1"/>
  <c r="AF76" i="4" s="1"/>
  <c r="AC297" i="7" s="1"/>
  <c r="AF790" i="2"/>
  <c r="AF481" i="2"/>
  <c r="AF483" i="2" s="1"/>
  <c r="AE796" i="2"/>
  <c r="AE797" i="2" s="1"/>
  <c r="AE795" i="2"/>
  <c r="AE791" i="2" s="1"/>
  <c r="AE801" i="2" s="1"/>
  <c r="AE792" i="2"/>
  <c r="AE793" i="2" s="1"/>
  <c r="Z496" i="4"/>
  <c r="AE769" i="2"/>
  <c r="AG753" i="2"/>
  <c r="AG756" i="2"/>
  <c r="AF762" i="2"/>
  <c r="AF763" i="2"/>
  <c r="AF774" i="2"/>
  <c r="AF764" i="2"/>
  <c r="AF768" i="2"/>
  <c r="AB71" i="2"/>
  <c r="Y206" i="2"/>
  <c r="AB72" i="2"/>
  <c r="AB133" i="2" s="1"/>
  <c r="U208" i="4"/>
  <c r="U195" i="4"/>
  <c r="AC52" i="2"/>
  <c r="AF741" i="2"/>
  <c r="AF744" i="2" s="1"/>
  <c r="AF946" i="2" s="1"/>
  <c r="AF172" i="4" s="1"/>
  <c r="AF743" i="2"/>
  <c r="AF945" i="2" s="1"/>
  <c r="Z572" i="2"/>
  <c r="Z162" i="4" s="1"/>
  <c r="Z260" i="4" s="1"/>
  <c r="Z576" i="2"/>
  <c r="AE7" i="4"/>
  <c r="AC51" i="2"/>
  <c r="AD64" i="2"/>
  <c r="AF50" i="2"/>
  <c r="AE63" i="2"/>
  <c r="AG61" i="2"/>
  <c r="AG49" i="2" s="1"/>
  <c r="AG58" i="2"/>
  <c r="AG47" i="2"/>
  <c r="AE746" i="2"/>
  <c r="Y205" i="2"/>
  <c r="AF318" i="2"/>
  <c r="AF319" i="2" s="1"/>
  <c r="AD362" i="2"/>
  <c r="AD371" i="2"/>
  <c r="AD372" i="2" s="1"/>
  <c r="AD43" i="4" s="1"/>
  <c r="T241" i="4"/>
  <c r="Y98" i="4"/>
  <c r="AD383" i="2"/>
  <c r="AD404" i="2" s="1"/>
  <c r="AD314" i="2"/>
  <c r="AE379" i="2"/>
  <c r="AE367" i="2"/>
  <c r="AE358" i="2"/>
  <c r="AD9" i="4"/>
  <c r="AD10" i="4"/>
  <c r="AE310" i="2"/>
  <c r="AD83" i="2"/>
  <c r="AD84" i="2" s="1"/>
  <c r="Z216" i="2"/>
  <c r="Z217" i="2"/>
  <c r="Z205" i="2" s="1"/>
  <c r="AB202" i="2"/>
  <c r="AB276" i="2" s="1"/>
  <c r="AB592" i="2" s="1"/>
  <c r="AA204" i="2"/>
  <c r="AA216" i="2" s="1"/>
  <c r="Z48" i="4"/>
  <c r="AA97" i="4"/>
  <c r="AA94" i="4" s="1"/>
  <c r="AC100" i="4"/>
  <c r="AC96" i="4"/>
  <c r="AC32" i="4"/>
  <c r="AC239" i="4" s="1"/>
  <c r="W1257" i="2"/>
  <c r="X1242" i="2"/>
  <c r="V1232" i="2"/>
  <c r="V1252" i="2"/>
  <c r="V130" i="4" s="1"/>
  <c r="AF357" i="2"/>
  <c r="AF358" i="2" s="1"/>
  <c r="W1233" i="2"/>
  <c r="AG1235" i="2"/>
  <c r="AE963" i="2"/>
  <c r="AE139" i="4" s="1"/>
  <c r="AB198" i="2"/>
  <c r="AG737" i="2"/>
  <c r="AG741" i="2" s="1"/>
  <c r="AD934" i="2"/>
  <c r="AD941" i="2" s="1"/>
  <c r="AD985" i="2"/>
  <c r="AE910" i="2"/>
  <c r="AE906" i="2" s="1"/>
  <c r="AE916" i="2" s="1"/>
  <c r="AE911" i="2"/>
  <c r="AE912" i="2" s="1"/>
  <c r="AE907" i="2"/>
  <c r="AE908" i="2" s="1"/>
  <c r="AG896" i="2"/>
  <c r="AG890" i="2"/>
  <c r="AF69" i="2"/>
  <c r="AF902" i="2"/>
  <c r="AF905" i="2"/>
  <c r="AF904" i="2"/>
  <c r="AD1299" i="2"/>
  <c r="AF915" i="2"/>
  <c r="AF909" i="2"/>
  <c r="AF899" i="2" s="1"/>
  <c r="AF82" i="4" s="1"/>
  <c r="AC303" i="7" s="1"/>
  <c r="AE928" i="2"/>
  <c r="AE85" i="4" s="1"/>
  <c r="AB306" i="7" s="1"/>
  <c r="AE984" i="2"/>
  <c r="AE978" i="2" s="1"/>
  <c r="AE140" i="4" s="1"/>
  <c r="AF378" i="2"/>
  <c r="AF379" i="2" s="1"/>
  <c r="AF403" i="2" s="1"/>
  <c r="AE938" i="2"/>
  <c r="AF931" i="2"/>
  <c r="AF932" i="2"/>
  <c r="AF980" i="2" s="1"/>
  <c r="AF940" i="2"/>
  <c r="AF988" i="2" s="1"/>
  <c r="AF933" i="2"/>
  <c r="AF981" i="2" s="1"/>
  <c r="AF937" i="2"/>
  <c r="AG923" i="2"/>
  <c r="AG925" i="2"/>
  <c r="AD8" i="4"/>
  <c r="AD876" i="2"/>
  <c r="AD886" i="2" s="1"/>
  <c r="AE869" i="2"/>
  <c r="AE81" i="4" s="1"/>
  <c r="AB302" i="7" s="1"/>
  <c r="W270" i="2"/>
  <c r="AG860" i="2"/>
  <c r="AG866" i="2"/>
  <c r="AE880" i="2"/>
  <c r="AF872" i="2"/>
  <c r="AF875" i="2"/>
  <c r="AF874" i="2"/>
  <c r="AF966" i="2" s="1"/>
  <c r="AF885" i="2"/>
  <c r="AF977" i="2" s="1"/>
  <c r="AF879" i="2"/>
  <c r="AE70" i="2"/>
  <c r="AF366" i="2"/>
  <c r="AF367" i="2" s="1"/>
  <c r="AF371" i="2" s="1"/>
  <c r="AF372" i="2" s="1"/>
  <c r="AF43" i="4" s="1"/>
  <c r="AF309" i="2"/>
  <c r="AF310" i="2" s="1"/>
  <c r="AB519" i="2"/>
  <c r="Z559" i="2"/>
  <c r="Z560" i="2"/>
  <c r="Z552" i="2"/>
  <c r="Z566" i="2" s="1"/>
  <c r="Y562" i="2"/>
  <c r="Y564" i="2" s="1"/>
  <c r="AA524" i="2"/>
  <c r="AA554" i="2" s="1"/>
  <c r="AA1302" i="2" s="1"/>
  <c r="AA553" i="2"/>
  <c r="AA565" i="2" s="1"/>
  <c r="AA61" i="4"/>
  <c r="AA60" i="4" s="1"/>
  <c r="AA102" i="4" s="1"/>
  <c r="V612" i="2"/>
  <c r="V609" i="2" s="1"/>
  <c r="V631" i="2" s="1"/>
  <c r="AB533" i="2"/>
  <c r="AB478" i="2"/>
  <c r="AB528" i="2" s="1"/>
  <c r="AB53" i="4"/>
  <c r="AB50" i="4" s="1"/>
  <c r="AA534" i="2"/>
  <c r="AA526" i="2"/>
  <c r="Z536" i="2"/>
  <c r="Z538" i="2" s="1"/>
  <c r="Y262" i="4"/>
  <c r="AC111" i="2"/>
  <c r="Z94" i="4"/>
  <c r="Z98" i="4" s="1"/>
  <c r="X269" i="2"/>
  <c r="X270" i="2" s="1"/>
  <c r="W256" i="2"/>
  <c r="W258" i="2" s="1"/>
  <c r="W273" i="2" s="1"/>
  <c r="W127" i="4" s="1"/>
  <c r="X486" i="4"/>
  <c r="U609" i="2"/>
  <c r="U613" i="2"/>
  <c r="Y264" i="2"/>
  <c r="Y274" i="2" s="1"/>
  <c r="Y1292" i="2" s="1"/>
  <c r="Y432" i="4" s="1"/>
  <c r="AC92" i="2"/>
  <c r="U280" i="2"/>
  <c r="V280" i="2"/>
  <c r="Y253" i="2"/>
  <c r="Y269" i="2"/>
  <c r="Z241" i="2"/>
  <c r="Z229" i="2" s="1"/>
  <c r="Y30" i="4"/>
  <c r="Y27" i="4" s="1"/>
  <c r="AC112" i="2"/>
  <c r="AC219" i="2"/>
  <c r="AC221" i="2" s="1"/>
  <c r="AC243" i="2"/>
  <c r="Z252" i="2"/>
  <c r="Z265" i="2" s="1"/>
  <c r="Y256" i="2" s="1"/>
  <c r="Y271" i="2"/>
  <c r="X432" i="4"/>
  <c r="X256" i="2"/>
  <c r="X279" i="2" s="1"/>
  <c r="X611" i="2" s="1"/>
  <c r="X254" i="2"/>
  <c r="X278" i="2" s="1"/>
  <c r="X604" i="2" s="1"/>
  <c r="X605" i="2" s="1"/>
  <c r="X606" i="2" s="1"/>
  <c r="AC430" i="4"/>
  <c r="AA248" i="2"/>
  <c r="AA277" i="2" s="1"/>
  <c r="AA246" i="2"/>
  <c r="AA275" i="2" s="1"/>
  <c r="AA586" i="2" s="1"/>
  <c r="AB245" i="2"/>
  <c r="Z29" i="4"/>
  <c r="Z275" i="2"/>
  <c r="Z586" i="2" s="1"/>
  <c r="Z587" i="2" s="1"/>
  <c r="Y254" i="2"/>
  <c r="X272" i="2"/>
  <c r="X607" i="2" s="1"/>
  <c r="X234" i="2"/>
  <c r="AA228" i="2"/>
  <c r="AA240" i="2" s="1"/>
  <c r="AB222" i="2"/>
  <c r="AB224" i="2"/>
  <c r="AC457" i="4"/>
  <c r="AF109" i="2"/>
  <c r="AC484" i="4"/>
  <c r="AC91" i="2"/>
  <c r="AG260" i="2"/>
  <c r="AG262" i="2"/>
  <c r="AG244" i="2"/>
  <c r="AG250" i="2"/>
  <c r="W602" i="2"/>
  <c r="W183" i="4" s="1"/>
  <c r="AE90" i="2"/>
  <c r="AC19" i="4"/>
  <c r="AC18" i="4" s="1"/>
  <c r="AB431" i="4"/>
  <c r="AB458" i="4"/>
  <c r="AD123" i="2"/>
  <c r="AD124" i="2" s="1"/>
  <c r="AE110" i="2"/>
  <c r="AG236" i="2"/>
  <c r="AG238" i="2"/>
  <c r="AG220" i="2"/>
  <c r="AG226" i="2"/>
  <c r="AG482" i="2"/>
  <c r="AG485" i="2"/>
  <c r="AG486" i="2"/>
  <c r="AE195" i="2"/>
  <c r="AE197" i="2" s="1"/>
  <c r="AF463" i="2"/>
  <c r="AF52" i="4" s="1"/>
  <c r="AG472" i="2"/>
  <c r="AG475" i="2"/>
  <c r="AG476" i="2"/>
  <c r="AE468" i="2"/>
  <c r="AE52" i="4"/>
  <c r="AG462" i="2"/>
  <c r="AG465" i="2"/>
  <c r="AG466" i="2"/>
  <c r="AB131" i="2"/>
  <c r="AG518" i="2"/>
  <c r="AG521" i="2"/>
  <c r="AG522" i="2"/>
  <c r="AC236" i="4"/>
  <c r="AE458" i="2"/>
  <c r="AE51" i="4"/>
  <c r="AF453" i="2"/>
  <c r="AC529" i="2"/>
  <c r="AF89" i="2"/>
  <c r="AG452" i="2"/>
  <c r="AG455" i="2"/>
  <c r="AG456" i="2"/>
  <c r="AD103" i="2"/>
  <c r="AD104" i="2" s="1"/>
  <c r="AD91" i="2" s="1"/>
  <c r="AA419" i="2"/>
  <c r="AA1323" i="2" s="1"/>
  <c r="AA496" i="4" s="1"/>
  <c r="AA397" i="2"/>
  <c r="Z598" i="2"/>
  <c r="Z401" i="2"/>
  <c r="Y599" i="2"/>
  <c r="Y600" i="2" s="1"/>
  <c r="AG317" i="2"/>
  <c r="AG321" i="2"/>
  <c r="AB416" i="2"/>
  <c r="AG308" i="2"/>
  <c r="AG312" i="2"/>
  <c r="AC413" i="2"/>
  <c r="AC416" i="2" s="1"/>
  <c r="AC1322" i="2" s="1"/>
  <c r="AG377" i="2"/>
  <c r="AG381" i="2"/>
  <c r="AC394" i="2"/>
  <c r="AC410" i="2" s="1"/>
  <c r="AG365" i="2"/>
  <c r="AG369" i="2"/>
  <c r="AD194" i="2"/>
  <c r="AG356" i="2"/>
  <c r="AG360" i="2"/>
  <c r="AH57" i="10"/>
  <c r="AH62" i="10"/>
  <c r="AI117" i="2"/>
  <c r="AI97" i="2"/>
  <c r="Z1200" i="2"/>
  <c r="Z1198" i="2" s="1"/>
  <c r="AD547" i="2"/>
  <c r="AF1280" i="2"/>
  <c r="AF1282" i="2" s="1"/>
  <c r="AG108" i="2"/>
  <c r="AG121" i="2"/>
  <c r="AG118" i="2"/>
  <c r="AC189" i="2"/>
  <c r="AA183" i="2"/>
  <c r="AC71" i="2"/>
  <c r="AG101" i="2"/>
  <c r="AG98" i="2"/>
  <c r="AG88" i="2"/>
  <c r="AC1118" i="2"/>
  <c r="AC1119" i="2" s="1"/>
  <c r="AD1118" i="2" s="1"/>
  <c r="AE146" i="2"/>
  <c r="AE152" i="2" s="1"/>
  <c r="AE164" i="2" s="1"/>
  <c r="AC30" i="2"/>
  <c r="AD30" i="2" s="1"/>
  <c r="AC165" i="2"/>
  <c r="AC154" i="2" s="1"/>
  <c r="AD152" i="2"/>
  <c r="AD165" i="2" s="1"/>
  <c r="AD154" i="2" s="1"/>
  <c r="AD177" i="2"/>
  <c r="AD189" i="2" s="1"/>
  <c r="Z594" i="2"/>
  <c r="AC549" i="2"/>
  <c r="AC551" i="2" s="1"/>
  <c r="AB128" i="4"/>
  <c r="AD177" i="4"/>
  <c r="AC179" i="2"/>
  <c r="AF28" i="2"/>
  <c r="AF41" i="2" s="1"/>
  <c r="AF42" i="2" s="1"/>
  <c r="AE173" i="2"/>
  <c r="AE177" i="2" s="1"/>
  <c r="AC418" i="2"/>
  <c r="AF289" i="2"/>
  <c r="AF293" i="2" s="1"/>
  <c r="AF294" i="2" s="1"/>
  <c r="AF145" i="2"/>
  <c r="AE10" i="2"/>
  <c r="AI1083" i="2"/>
  <c r="AI1082" i="2" s="1"/>
  <c r="AH1084" i="2"/>
  <c r="AG136" i="10"/>
  <c r="AG188" i="4" s="1"/>
  <c r="AG93" i="10"/>
  <c r="AG168" i="4" s="1"/>
  <c r="AG135" i="10"/>
  <c r="AG133" i="10"/>
  <c r="AG65" i="10"/>
  <c r="AG97" i="10"/>
  <c r="AG176" i="4" s="1"/>
  <c r="AG70" i="10"/>
  <c r="AG71" i="10" s="1"/>
  <c r="AG72" i="10" s="1"/>
  <c r="AD19" i="4"/>
  <c r="AD18" i="4" s="1"/>
  <c r="AD196" i="2"/>
  <c r="AC138" i="4"/>
  <c r="AC144" i="4" s="1"/>
  <c r="AC990" i="2"/>
  <c r="AA615" i="2"/>
  <c r="AA186" i="4" s="1"/>
  <c r="AC128" i="4"/>
  <c r="AG1092" i="2"/>
  <c r="AH1091" i="2"/>
  <c r="AH1090" i="2" s="1"/>
  <c r="AF647" i="2"/>
  <c r="AF650" i="2" s="1"/>
  <c r="AF649" i="2"/>
  <c r="AF648" i="2"/>
  <c r="AF720" i="2"/>
  <c r="AF721" i="2"/>
  <c r="AD467" i="4"/>
  <c r="AD502" i="4"/>
  <c r="AD440" i="4"/>
  <c r="AC11" i="2"/>
  <c r="AD11" i="2" s="1"/>
  <c r="AE11" i="2" s="1"/>
  <c r="AI184" i="2"/>
  <c r="AI159" i="2"/>
  <c r="AI211" i="2"/>
  <c r="AB1106" i="2"/>
  <c r="AB324" i="4"/>
  <c r="AB374" i="4"/>
  <c r="AB277" i="4"/>
  <c r="AB1184" i="2"/>
  <c r="AB1264" i="2"/>
  <c r="AI290" i="2"/>
  <c r="AI299" i="2"/>
  <c r="AC200" i="2"/>
  <c r="AC198" i="2"/>
  <c r="AD29" i="2"/>
  <c r="AG1017" i="2"/>
  <c r="AG656" i="2"/>
  <c r="AG643" i="2"/>
  <c r="AG542" i="2"/>
  <c r="AG531" i="2"/>
  <c r="AG442" i="2"/>
  <c r="AG432" i="2"/>
  <c r="AG405" i="2"/>
  <c r="AG168" i="2"/>
  <c r="AG167" i="2" s="1"/>
  <c r="AG1335" i="2"/>
  <c r="AG1279" i="2"/>
  <c r="AG1220" i="2"/>
  <c r="AG1221" i="2" s="1"/>
  <c r="AG1136" i="2"/>
  <c r="AG714" i="2"/>
  <c r="AG431" i="2"/>
  <c r="AG391" i="2"/>
  <c r="AG300" i="2"/>
  <c r="AG297" i="2" s="1"/>
  <c r="AG291" i="2"/>
  <c r="AG212" i="2"/>
  <c r="AG1028" i="2"/>
  <c r="AG623" i="2"/>
  <c r="AG624" i="2" s="1"/>
  <c r="AG1278" i="2"/>
  <c r="AG1033" i="2"/>
  <c r="AG162" i="2"/>
  <c r="AG19" i="2"/>
  <c r="AG7" i="2"/>
  <c r="AG1029" i="2"/>
  <c r="AG659" i="2"/>
  <c r="AG555" i="2"/>
  <c r="AG160" i="2"/>
  <c r="AG143" i="2"/>
  <c r="AG17" i="2"/>
  <c r="AG1272" i="2"/>
  <c r="AG1037" i="2"/>
  <c r="AG712" i="2"/>
  <c r="AG688" i="2"/>
  <c r="AG389" i="2"/>
  <c r="AG287" i="2"/>
  <c r="AG185" i="2"/>
  <c r="AG36" i="2"/>
  <c r="AG1120" i="2"/>
  <c r="AG1121" i="2" s="1"/>
  <c r="AG1012" i="2"/>
  <c r="AG1011" i="2" s="1"/>
  <c r="AG557" i="2"/>
  <c r="AG144" i="2"/>
  <c r="AG1281" i="2"/>
  <c r="AG78" i="2"/>
  <c r="AG39" i="2"/>
  <c r="AG27" i="2" s="1"/>
  <c r="AG8" i="2"/>
  <c r="AG544" i="2"/>
  <c r="AG438" i="2"/>
  <c r="AG437" i="2" s="1"/>
  <c r="AG407" i="2"/>
  <c r="AG26" i="2"/>
  <c r="AG25" i="2" s="1"/>
  <c r="AG296" i="2"/>
  <c r="AG1108" i="2"/>
  <c r="AG1109" i="2" s="1"/>
  <c r="AG1273" i="2"/>
  <c r="AG1201" i="2"/>
  <c r="AG1202" i="2" s="1"/>
  <c r="AG1146" i="2"/>
  <c r="AG1147" i="2" s="1"/>
  <c r="AG1026" i="2"/>
  <c r="AG427" i="2"/>
  <c r="AG288" i="2"/>
  <c r="AG81" i="2"/>
  <c r="AG1275" i="2"/>
  <c r="AG443" i="2"/>
  <c r="AG187" i="2"/>
  <c r="AG169" i="2" s="1"/>
  <c r="AG1032" i="2"/>
  <c r="AG1031" i="2" s="1"/>
  <c r="AG682" i="2"/>
  <c r="AG628" i="2"/>
  <c r="AG214" i="2"/>
  <c r="AG1150" i="2"/>
  <c r="AG1151" i="2" s="1"/>
  <c r="AG428" i="2"/>
  <c r="AG175" i="2"/>
  <c r="AG150" i="2"/>
  <c r="AG1178" i="2"/>
  <c r="AG197" i="4" s="1"/>
  <c r="AG1208" i="2"/>
  <c r="AG1209" i="2" s="1"/>
  <c r="AD109" i="10"/>
  <c r="AC618" i="2"/>
  <c r="AA593" i="2"/>
  <c r="AA590" i="2" s="1"/>
  <c r="AA165" i="4" s="1"/>
  <c r="AF665" i="2"/>
  <c r="AF666" i="2"/>
  <c r="AF707" i="2"/>
  <c r="AF701" i="2"/>
  <c r="AF691" i="2" s="1"/>
  <c r="AF694" i="2"/>
  <c r="AF696" i="2"/>
  <c r="AF697" i="2"/>
  <c r="AI430" i="2"/>
  <c r="AI441" i="2"/>
  <c r="AD991" i="2"/>
  <c r="AD1305" i="2" s="1"/>
  <c r="AD949" i="2"/>
  <c r="R77" i="10"/>
  <c r="R78" i="10" s="1"/>
  <c r="AG347" i="4"/>
  <c r="AG199" i="4"/>
  <c r="AG189" i="4"/>
  <c r="AG332" i="4"/>
  <c r="AG293" i="4"/>
  <c r="AG178" i="4"/>
  <c r="AG169" i="4"/>
  <c r="AG384" i="4"/>
  <c r="AG321" i="4"/>
  <c r="AG283" i="4"/>
  <c r="AG273" i="4"/>
  <c r="AG389" i="4"/>
  <c r="AG370" i="4"/>
  <c r="AG412" i="4"/>
  <c r="AG342" i="4"/>
  <c r="AG298" i="4"/>
  <c r="AG194" i="4"/>
  <c r="AM86" i="1"/>
  <c r="AE652" i="2"/>
  <c r="AC399" i="2"/>
  <c r="AE673" i="2"/>
  <c r="AE674" i="2" s="1"/>
  <c r="AE672" i="2"/>
  <c r="AE668" i="2" s="1"/>
  <c r="AE669" i="2"/>
  <c r="AE670" i="2" s="1"/>
  <c r="AC1307" i="2"/>
  <c r="AF729" i="2"/>
  <c r="AF722" i="2"/>
  <c r="AF726" i="2"/>
  <c r="AF717" i="2" s="1"/>
  <c r="AF170" i="2"/>
  <c r="AF677" i="2"/>
  <c r="AF667" i="2"/>
  <c r="AF671" i="2"/>
  <c r="AF662" i="2" s="1"/>
  <c r="AF9" i="2"/>
  <c r="T86" i="10"/>
  <c r="AI35" i="2"/>
  <c r="AI16" i="2"/>
  <c r="AI77" i="2"/>
  <c r="AE703" i="2"/>
  <c r="AE704" i="2" s="1"/>
  <c r="AE702" i="2"/>
  <c r="AE698" i="2" s="1"/>
  <c r="AE708" i="2" s="1"/>
  <c r="AE699" i="2"/>
  <c r="AE700" i="2" s="1"/>
  <c r="Y165" i="4"/>
  <c r="AN68" i="10"/>
  <c r="AE302" i="2"/>
  <c r="AE303" i="2" s="1"/>
  <c r="AN113" i="10"/>
  <c r="AM55" i="1"/>
  <c r="AN54" i="1"/>
  <c r="AE727" i="2"/>
  <c r="AE723" i="2" s="1"/>
  <c r="AE724" i="2"/>
  <c r="AE725" i="2" s="1"/>
  <c r="AE41" i="2"/>
  <c r="AE42" i="2" s="1"/>
  <c r="AF1039" i="2"/>
  <c r="AF1038" i="2"/>
  <c r="AF298" i="2"/>
  <c r="AB181" i="2"/>
  <c r="AB183" i="2" s="1"/>
  <c r="AH2" i="5"/>
  <c r="AH2" i="4"/>
  <c r="AH2" i="2"/>
  <c r="AH2" i="10"/>
  <c r="AH2" i="1"/>
  <c r="AI25" i="1"/>
  <c r="AB618" i="2"/>
  <c r="AB619" i="2" s="1"/>
  <c r="AI1063" i="2"/>
  <c r="AI1062" i="2" s="1"/>
  <c r="AH1061" i="2"/>
  <c r="AF429" i="2"/>
  <c r="AF434" i="2" s="1"/>
  <c r="AM61" i="1"/>
  <c r="AN60" i="1"/>
  <c r="X210" i="2"/>
  <c r="AG146" i="1"/>
  <c r="AG59" i="1"/>
  <c r="AG120" i="1"/>
  <c r="AG45" i="1"/>
  <c r="AG44" i="1"/>
  <c r="AG123" i="1"/>
  <c r="AG140" i="1"/>
  <c r="AG131" i="1"/>
  <c r="AG53" i="1"/>
  <c r="AN75" i="10"/>
  <c r="AE503" i="4"/>
  <c r="AB418" i="2"/>
  <c r="AN106" i="10"/>
  <c r="AF1274" i="2"/>
  <c r="AF1276" i="2" s="1"/>
  <c r="AB1310" i="2"/>
  <c r="AE293" i="2"/>
  <c r="AE294" i="2" s="1"/>
  <c r="AH87" i="1"/>
  <c r="AG91" i="1"/>
  <c r="AJ341" i="4"/>
  <c r="AJ292" i="4"/>
  <c r="AJ383" i="4"/>
  <c r="AJ47" i="1"/>
  <c r="AJ57" i="2" s="1"/>
  <c r="AJ49" i="1"/>
  <c r="AJ50" i="1"/>
  <c r="AJ48" i="1"/>
  <c r="AK43" i="1"/>
  <c r="AH80" i="1"/>
  <c r="AI81" i="1"/>
  <c r="AO82" i="10"/>
  <c r="E88" i="7" l="1"/>
  <c r="E86" i="7"/>
  <c r="E87" i="7"/>
  <c r="E110" i="7"/>
  <c r="E103" i="7"/>
  <c r="AD471" i="2"/>
  <c r="AD473" i="2" s="1"/>
  <c r="AD527" i="2" s="1"/>
  <c r="E27" i="7"/>
  <c r="AF508" i="2"/>
  <c r="AF56" i="4"/>
  <c r="AE971" i="2"/>
  <c r="AH505" i="2"/>
  <c r="AH501" i="2"/>
  <c r="AH506" i="2"/>
  <c r="AH502" i="2"/>
  <c r="AF970" i="2"/>
  <c r="AG503" i="2"/>
  <c r="AF498" i="2"/>
  <c r="AF55" i="4"/>
  <c r="AE678" i="2"/>
  <c r="AG493" i="2"/>
  <c r="AH495" i="2"/>
  <c r="AH491" i="2"/>
  <c r="AH492" i="2"/>
  <c r="AH496" i="2"/>
  <c r="AF967" i="2"/>
  <c r="AD996" i="2"/>
  <c r="AG411" i="2"/>
  <c r="AF395" i="2"/>
  <c r="AE395" i="2"/>
  <c r="AD363" i="2"/>
  <c r="AD42" i="4" s="1"/>
  <c r="AD396" i="2"/>
  <c r="AD394" i="2" s="1"/>
  <c r="AE387" i="2"/>
  <c r="AD388" i="2"/>
  <c r="AD386" i="2" s="1"/>
  <c r="AF387" i="2"/>
  <c r="AG346" i="2"/>
  <c r="AF350" i="2"/>
  <c r="AF351" i="2" s="1"/>
  <c r="AF39" i="4" s="1"/>
  <c r="AH348" i="2"/>
  <c r="AH345" i="2" s="1"/>
  <c r="AH344" i="2"/>
  <c r="AF341" i="2"/>
  <c r="AF342" i="2" s="1"/>
  <c r="AF38" i="4" s="1"/>
  <c r="AG337" i="2"/>
  <c r="AH339" i="2"/>
  <c r="AH336" i="2" s="1"/>
  <c r="AH335" i="2"/>
  <c r="AG328" i="2"/>
  <c r="AG332" i="2" s="1"/>
  <c r="AG333" i="2" s="1"/>
  <c r="AG37" i="4" s="1"/>
  <c r="X1218" i="2"/>
  <c r="AH68" i="2"/>
  <c r="AH330" i="2"/>
  <c r="AH327" i="2" s="1"/>
  <c r="AH326" i="2"/>
  <c r="AF332" i="2"/>
  <c r="AF333" i="2" s="1"/>
  <c r="AF37" i="4" s="1"/>
  <c r="AE730" i="2"/>
  <c r="AE323" i="2"/>
  <c r="AE324" i="2" s="1"/>
  <c r="AE36" i="4" s="1"/>
  <c r="AG107" i="2"/>
  <c r="AG87" i="2"/>
  <c r="AE128" i="2"/>
  <c r="AB574" i="2"/>
  <c r="AB575" i="2" s="1"/>
  <c r="AB576" i="2" s="1"/>
  <c r="AD130" i="2"/>
  <c r="AD1291" i="2" s="1"/>
  <c r="AD129" i="2"/>
  <c r="Z775" i="2"/>
  <c r="Z995" i="2" s="1"/>
  <c r="AD517" i="2"/>
  <c r="AG67" i="2"/>
  <c r="AD6" i="4"/>
  <c r="AD14" i="1"/>
  <c r="AC72" i="2"/>
  <c r="AD55" i="10"/>
  <c r="AD638" i="2"/>
  <c r="AD38" i="1"/>
  <c r="AD269" i="4"/>
  <c r="AD113" i="1"/>
  <c r="AD14" i="4"/>
  <c r="AD1168" i="2"/>
  <c r="AD68" i="1"/>
  <c r="AD102" i="10"/>
  <c r="AD124" i="4"/>
  <c r="AD366" i="4"/>
  <c r="AD1" i="1"/>
  <c r="AD1142" i="2"/>
  <c r="AD4" i="5"/>
  <c r="AD69" i="4"/>
  <c r="AD1189" i="2"/>
  <c r="AD91" i="4"/>
  <c r="AD1056" i="2"/>
  <c r="AD233" i="4"/>
  <c r="AA117" i="10"/>
  <c r="AA115" i="10" s="1"/>
  <c r="AB112" i="10" s="1"/>
  <c r="AB116" i="10"/>
  <c r="AB117" i="10" s="1"/>
  <c r="AB115" i="10" s="1"/>
  <c r="AC112" i="10" s="1"/>
  <c r="AD1" i="5"/>
  <c r="AD423" i="2"/>
  <c r="AD90" i="10"/>
  <c r="AD4" i="2"/>
  <c r="AD25" i="4"/>
  <c r="AD1096" i="2"/>
  <c r="AD1" i="2"/>
  <c r="AD1000" i="2"/>
  <c r="AD205" i="4"/>
  <c r="AD1" i="10"/>
  <c r="AD4" i="4"/>
  <c r="AD159" i="4"/>
  <c r="AD1269" i="2"/>
  <c r="AD140" i="2"/>
  <c r="AD284" i="2"/>
  <c r="AD408" i="4"/>
  <c r="AD1" i="4"/>
  <c r="AD317" i="4"/>
  <c r="AE403" i="2"/>
  <c r="AF955" i="2"/>
  <c r="AC116" i="10"/>
  <c r="AG439" i="2"/>
  <c r="AG440" i="2" s="1"/>
  <c r="AG445" i="2" s="1"/>
  <c r="AE54" i="4"/>
  <c r="L493" i="4"/>
  <c r="L1327" i="2"/>
  <c r="O436" i="4"/>
  <c r="O463" i="4"/>
  <c r="O494" i="4"/>
  <c r="N1330" i="2"/>
  <c r="AF962" i="2"/>
  <c r="AE34" i="1"/>
  <c r="R877" i="2"/>
  <c r="R968" i="2" s="1"/>
  <c r="Q957" i="2"/>
  <c r="Q771" i="2"/>
  <c r="AE1014" i="2"/>
  <c r="AF1013" i="2"/>
  <c r="AF1014" i="2" s="1"/>
  <c r="Q983" i="2"/>
  <c r="Q175" i="4" s="1"/>
  <c r="R935" i="2"/>
  <c r="AJ235" i="2"/>
  <c r="AJ259" i="2"/>
  <c r="Q953" i="2"/>
  <c r="Q63" i="4" s="1"/>
  <c r="Q767" i="2"/>
  <c r="M491" i="4"/>
  <c r="M1326" i="2"/>
  <c r="M493" i="4" s="1"/>
  <c r="P1316" i="2"/>
  <c r="P1313" i="2" s="1"/>
  <c r="P173" i="4"/>
  <c r="P179" i="4" s="1"/>
  <c r="P264" i="4" s="1"/>
  <c r="M1333" i="2"/>
  <c r="N1331" i="2" s="1"/>
  <c r="N1332" i="2" s="1"/>
  <c r="M1334" i="2"/>
  <c r="Q882" i="2"/>
  <c r="Q973" i="2" s="1"/>
  <c r="AE220" i="4"/>
  <c r="AF219" i="4"/>
  <c r="AJ311" i="2"/>
  <c r="AJ368" i="2"/>
  <c r="AJ359" i="2"/>
  <c r="AJ320" i="2"/>
  <c r="AJ380" i="2"/>
  <c r="AJ464" i="2"/>
  <c r="AJ484" i="2"/>
  <c r="AJ520" i="2"/>
  <c r="AJ454" i="2"/>
  <c r="AJ474" i="2"/>
  <c r="AF29" i="1"/>
  <c r="AF27" i="1"/>
  <c r="AG26" i="1"/>
  <c r="AF28" i="1"/>
  <c r="O284" i="4"/>
  <c r="O256" i="4"/>
  <c r="O109" i="4"/>
  <c r="O115" i="4" s="1"/>
  <c r="O333" i="4"/>
  <c r="O207" i="4"/>
  <c r="O209" i="4" s="1"/>
  <c r="O247" i="4"/>
  <c r="AF952" i="2"/>
  <c r="AE956" i="2"/>
  <c r="AF951" i="2"/>
  <c r="AF847" i="2"/>
  <c r="AF843" i="2" s="1"/>
  <c r="AF853" i="2" s="1"/>
  <c r="AF848" i="2"/>
  <c r="AF849" i="2" s="1"/>
  <c r="AF844" i="2"/>
  <c r="AF845" i="2" s="1"/>
  <c r="AH834" i="2"/>
  <c r="AH831" i="2"/>
  <c r="AG852" i="2"/>
  <c r="AG842" i="2"/>
  <c r="AG846" i="2"/>
  <c r="AG837" i="2" s="1"/>
  <c r="AG78" i="4" s="1"/>
  <c r="AD299" i="7" s="1"/>
  <c r="AG840" i="2"/>
  <c r="AG841" i="2"/>
  <c r="AH808" i="2"/>
  <c r="AH805" i="2"/>
  <c r="AE765" i="2"/>
  <c r="AG814" i="2"/>
  <c r="AG815" i="2"/>
  <c r="AF759" i="2"/>
  <c r="AF75" i="4" s="1"/>
  <c r="AC296" i="7" s="1"/>
  <c r="AG826" i="2"/>
  <c r="AG820" i="2"/>
  <c r="AG811" i="2" s="1"/>
  <c r="AG77" i="4" s="1"/>
  <c r="AD298" i="7" s="1"/>
  <c r="AG816" i="2"/>
  <c r="AF821" i="2"/>
  <c r="AF817" i="2" s="1"/>
  <c r="AF827" i="2" s="1"/>
  <c r="AF822" i="2"/>
  <c r="AF823" i="2" s="1"/>
  <c r="AF818" i="2"/>
  <c r="AF819" i="2" s="1"/>
  <c r="AH782" i="2"/>
  <c r="AH779" i="2"/>
  <c r="AG788" i="2"/>
  <c r="AG789" i="2"/>
  <c r="AG800" i="2"/>
  <c r="AG794" i="2"/>
  <c r="AG785" i="2" s="1"/>
  <c r="AG76" i="4" s="1"/>
  <c r="AD297" i="7" s="1"/>
  <c r="AG790" i="2"/>
  <c r="AF796" i="2"/>
  <c r="AF797" i="2" s="1"/>
  <c r="AF795" i="2"/>
  <c r="AF791" i="2" s="1"/>
  <c r="AF801" i="2" s="1"/>
  <c r="AF792" i="2"/>
  <c r="AF793" i="2" s="1"/>
  <c r="Y278" i="2"/>
  <c r="Y604" i="2" s="1"/>
  <c r="Y605" i="2" s="1"/>
  <c r="Y606" i="2" s="1"/>
  <c r="AG774" i="2"/>
  <c r="AG764" i="2"/>
  <c r="AG768" i="2"/>
  <c r="AH753" i="2"/>
  <c r="AH756" i="2"/>
  <c r="AG762" i="2"/>
  <c r="AG763" i="2"/>
  <c r="AE1299" i="2"/>
  <c r="AF769" i="2"/>
  <c r="AD315" i="2"/>
  <c r="AD35" i="4" s="1"/>
  <c r="Y272" i="2"/>
  <c r="Y607" i="2" s="1"/>
  <c r="AA572" i="2"/>
  <c r="AA162" i="4" s="1"/>
  <c r="AA260" i="4" s="1"/>
  <c r="AG318" i="2"/>
  <c r="AF746" i="2"/>
  <c r="AG744" i="2"/>
  <c r="AG946" i="2" s="1"/>
  <c r="AG172" i="4" s="1"/>
  <c r="AE64" i="2"/>
  <c r="AF7" i="4"/>
  <c r="AD52" i="2"/>
  <c r="AG50" i="2"/>
  <c r="AH61" i="2"/>
  <c r="AH49" i="2" s="1"/>
  <c r="AH58" i="2"/>
  <c r="AH47" i="2"/>
  <c r="AF63" i="2"/>
  <c r="AD51" i="2"/>
  <c r="AE371" i="2"/>
  <c r="AE372" i="2" s="1"/>
  <c r="AE43" i="4" s="1"/>
  <c r="AE314" i="2"/>
  <c r="AD384" i="2"/>
  <c r="AD46" i="4" s="1"/>
  <c r="Z206" i="2"/>
  <c r="AA217" i="2"/>
  <c r="AA206" i="2" s="1"/>
  <c r="AE362" i="2"/>
  <c r="AD412" i="2"/>
  <c r="AD414" i="2" s="1"/>
  <c r="AD617" i="2" s="1"/>
  <c r="AC202" i="2"/>
  <c r="AC276" i="2" s="1"/>
  <c r="AC592" i="2" s="1"/>
  <c r="Y208" i="2"/>
  <c r="Y210" i="2" s="1"/>
  <c r="AE383" i="2"/>
  <c r="AA28" i="4"/>
  <c r="AE9" i="4"/>
  <c r="Z238" i="4"/>
  <c r="AE10" i="4"/>
  <c r="AE8" i="4"/>
  <c r="AB204" i="2"/>
  <c r="AB217" i="2" s="1"/>
  <c r="AA48" i="4"/>
  <c r="AA238" i="4" s="1"/>
  <c r="AB97" i="4"/>
  <c r="AG357" i="2"/>
  <c r="AG358" i="2" s="1"/>
  <c r="V1253" i="2"/>
  <c r="V1259" i="2" s="1"/>
  <c r="V112" i="4" s="1"/>
  <c r="W1251" i="2"/>
  <c r="W108" i="4" s="1"/>
  <c r="W1234" i="2"/>
  <c r="W1252" i="2" s="1"/>
  <c r="W130" i="4" s="1"/>
  <c r="X1233" i="2"/>
  <c r="V212" i="4"/>
  <c r="V373" i="4"/>
  <c r="V276" i="4"/>
  <c r="X1258" i="2"/>
  <c r="X1243" i="2"/>
  <c r="AH1235" i="2"/>
  <c r="AG743" i="2"/>
  <c r="AG945" i="2" s="1"/>
  <c r="AG69" i="2"/>
  <c r="AG378" i="2"/>
  <c r="AH737" i="2"/>
  <c r="AH741" i="2" s="1"/>
  <c r="AH744" i="2" s="1"/>
  <c r="AH946" i="2" s="1"/>
  <c r="AG742" i="2"/>
  <c r="AG944" i="2" s="1"/>
  <c r="AF963" i="2"/>
  <c r="AF139" i="4" s="1"/>
  <c r="AF142" i="4"/>
  <c r="AF70" i="2"/>
  <c r="AF8" i="4" s="1"/>
  <c r="AE627" i="2"/>
  <c r="AE626" i="2" s="1"/>
  <c r="AE184" i="4" s="1"/>
  <c r="AE83" i="2"/>
  <c r="AE84" i="2" s="1"/>
  <c r="AG915" i="2"/>
  <c r="AG909" i="2"/>
  <c r="AG899" i="2" s="1"/>
  <c r="AG82" i="4" s="1"/>
  <c r="AD303" i="7" s="1"/>
  <c r="AF928" i="2"/>
  <c r="AF85" i="4" s="1"/>
  <c r="AC306" i="7" s="1"/>
  <c r="AF984" i="2"/>
  <c r="AF978" i="2" s="1"/>
  <c r="AF140" i="4" s="1"/>
  <c r="AF911" i="2"/>
  <c r="AF912" i="2" s="1"/>
  <c r="AF910" i="2"/>
  <c r="AF906" i="2" s="1"/>
  <c r="AF916" i="2" s="1"/>
  <c r="AF907" i="2"/>
  <c r="AF908" i="2" s="1"/>
  <c r="AH896" i="2"/>
  <c r="AH890" i="2"/>
  <c r="AE934" i="2"/>
  <c r="AE941" i="2" s="1"/>
  <c r="AE985" i="2"/>
  <c r="AG902" i="2"/>
  <c r="AG904" i="2"/>
  <c r="AG905" i="2"/>
  <c r="AH925" i="2"/>
  <c r="AH923" i="2"/>
  <c r="AG940" i="2"/>
  <c r="AG988" i="2" s="1"/>
  <c r="AG933" i="2"/>
  <c r="AG981" i="2" s="1"/>
  <c r="AG937" i="2"/>
  <c r="AF938" i="2"/>
  <c r="AG931" i="2"/>
  <c r="AG932" i="2"/>
  <c r="AG980" i="2" s="1"/>
  <c r="AE876" i="2"/>
  <c r="AE886" i="2" s="1"/>
  <c r="AF869" i="2"/>
  <c r="AF81" i="4" s="1"/>
  <c r="AC302" i="7" s="1"/>
  <c r="AF880" i="2"/>
  <c r="AH866" i="2"/>
  <c r="AH860" i="2"/>
  <c r="AG885" i="2"/>
  <c r="AG879" i="2"/>
  <c r="AG872" i="2"/>
  <c r="AG874" i="2"/>
  <c r="AG966" i="2" s="1"/>
  <c r="AG875" i="2"/>
  <c r="AG366" i="2"/>
  <c r="AG367" i="2" s="1"/>
  <c r="AG309" i="2"/>
  <c r="AE194" i="2"/>
  <c r="V163" i="4"/>
  <c r="V613" i="2"/>
  <c r="Z562" i="2"/>
  <c r="Z564" i="2" s="1"/>
  <c r="AA559" i="2"/>
  <c r="AA552" i="2"/>
  <c r="AA566" i="2" s="1"/>
  <c r="AA560" i="2"/>
  <c r="AB524" i="2"/>
  <c r="AB554" i="2" s="1"/>
  <c r="AB1302" i="2" s="1"/>
  <c r="AB553" i="2"/>
  <c r="AB565" i="2" s="1"/>
  <c r="AB61" i="4"/>
  <c r="AB60" i="4" s="1"/>
  <c r="AB102" i="4" s="1"/>
  <c r="AC519" i="2"/>
  <c r="W279" i="2"/>
  <c r="W611" i="2" s="1"/>
  <c r="W612" i="2" s="1"/>
  <c r="W609" i="2" s="1"/>
  <c r="AB534" i="2"/>
  <c r="AB526" i="2"/>
  <c r="AA536" i="2"/>
  <c r="AA538" i="2" s="1"/>
  <c r="X1301" i="2"/>
  <c r="AC478" i="2"/>
  <c r="AC528" i="2" s="1"/>
  <c r="AC53" i="4"/>
  <c r="AC50" i="4" s="1"/>
  <c r="AC533" i="2"/>
  <c r="Z264" i="2"/>
  <c r="Z274" i="2" s="1"/>
  <c r="Z1292" i="2" s="1"/>
  <c r="Z432" i="4" s="1"/>
  <c r="Y459" i="4"/>
  <c r="Z30" i="4"/>
  <c r="Z27" i="4" s="1"/>
  <c r="Y486" i="4"/>
  <c r="AA29" i="4"/>
  <c r="Z230" i="2"/>
  <c r="Z271" i="2"/>
  <c r="U631" i="2"/>
  <c r="U163" i="4"/>
  <c r="AD219" i="2"/>
  <c r="AD221" i="2" s="1"/>
  <c r="AD243" i="2"/>
  <c r="X258" i="2"/>
  <c r="X273" i="2" s="1"/>
  <c r="Z253" i="2"/>
  <c r="Z272" i="2" s="1"/>
  <c r="Z607" i="2" s="1"/>
  <c r="AB228" i="2"/>
  <c r="AB29" i="4" s="1"/>
  <c r="Z254" i="2"/>
  <c r="Y270" i="2"/>
  <c r="Y1301" i="2"/>
  <c r="Y232" i="2"/>
  <c r="Y234" i="2" s="1"/>
  <c r="Z269" i="2"/>
  <c r="Z1301" i="2" s="1"/>
  <c r="AA252" i="2"/>
  <c r="AA264" i="2" s="1"/>
  <c r="AA274" i="2" s="1"/>
  <c r="AA1292" i="2" s="1"/>
  <c r="AA587" i="2"/>
  <c r="AA588" i="2" s="1"/>
  <c r="AB248" i="2"/>
  <c r="AB277" i="2" s="1"/>
  <c r="AB246" i="2"/>
  <c r="AB275" i="2" s="1"/>
  <c r="AB586" i="2" s="1"/>
  <c r="AB587" i="2" s="1"/>
  <c r="AB584" i="2" s="1"/>
  <c r="AB166" i="4" s="1"/>
  <c r="AC245" i="2"/>
  <c r="AC268" i="2" s="1"/>
  <c r="AC95" i="4" s="1"/>
  <c r="AC237" i="4" s="1"/>
  <c r="AB268" i="2"/>
  <c r="AB95" i="4" s="1"/>
  <c r="AB237" i="4" s="1"/>
  <c r="Y258" i="2"/>
  <c r="Z584" i="2"/>
  <c r="Z166" i="4" s="1"/>
  <c r="Z262" i="4" s="1"/>
  <c r="Z588" i="2"/>
  <c r="AA241" i="2"/>
  <c r="AA229" i="2" s="1"/>
  <c r="AG109" i="2"/>
  <c r="AC224" i="2"/>
  <c r="AC222" i="2"/>
  <c r="AF110" i="2"/>
  <c r="AF10" i="4" s="1"/>
  <c r="AE123" i="2"/>
  <c r="AE124" i="2" s="1"/>
  <c r="AE111" i="2" s="1"/>
  <c r="AH260" i="2"/>
  <c r="AH244" i="2"/>
  <c r="AH262" i="2"/>
  <c r="AH250" i="2"/>
  <c r="AA437" i="4"/>
  <c r="AD112" i="2"/>
  <c r="AE103" i="2"/>
  <c r="AD111" i="2"/>
  <c r="AC431" i="4"/>
  <c r="AC485" i="4"/>
  <c r="AC131" i="2"/>
  <c r="X602" i="2"/>
  <c r="X183" i="4" s="1"/>
  <c r="AH236" i="2"/>
  <c r="AH220" i="2"/>
  <c r="AH238" i="2"/>
  <c r="AH226" i="2"/>
  <c r="AF488" i="2"/>
  <c r="AF54" i="4"/>
  <c r="AH485" i="2"/>
  <c r="AH486" i="2"/>
  <c r="AH482" i="2"/>
  <c r="AF468" i="2"/>
  <c r="AH475" i="2"/>
  <c r="AH476" i="2"/>
  <c r="AH472" i="2"/>
  <c r="AG463" i="2"/>
  <c r="AH465" i="2"/>
  <c r="AH466" i="2"/>
  <c r="AH462" i="2"/>
  <c r="AH521" i="2"/>
  <c r="AH522" i="2"/>
  <c r="AH518" i="2"/>
  <c r="AF90" i="2"/>
  <c r="AF9" i="4" s="1"/>
  <c r="AG89" i="2"/>
  <c r="AD529" i="2"/>
  <c r="AG453" i="2"/>
  <c r="AF458" i="2"/>
  <c r="AF51" i="4"/>
  <c r="AH455" i="2"/>
  <c r="AH456" i="2"/>
  <c r="AH452" i="2"/>
  <c r="AF383" i="2"/>
  <c r="AF404" i="2" s="1"/>
  <c r="AA464" i="4"/>
  <c r="AC419" i="2"/>
  <c r="AC1323" i="2" s="1"/>
  <c r="AC464" i="4" s="1"/>
  <c r="AB397" i="2"/>
  <c r="AA401" i="2"/>
  <c r="AA598" i="2"/>
  <c r="Y596" i="2"/>
  <c r="Y164" i="4" s="1"/>
  <c r="Z599" i="2"/>
  <c r="AH317" i="2"/>
  <c r="AH321" i="2"/>
  <c r="AF323" i="2"/>
  <c r="AF324" i="2" s="1"/>
  <c r="AF36" i="4" s="1"/>
  <c r="AD402" i="2"/>
  <c r="AB1322" i="2"/>
  <c r="AB419" i="2"/>
  <c r="AB1323" i="2" s="1"/>
  <c r="AF314" i="2"/>
  <c r="AH308" i="2"/>
  <c r="AH312" i="2"/>
  <c r="AC1321" i="2"/>
  <c r="AC497" i="4" s="1"/>
  <c r="AH377" i="2"/>
  <c r="AH381" i="2"/>
  <c r="AH365" i="2"/>
  <c r="AH369" i="2"/>
  <c r="AF362" i="2"/>
  <c r="AF396" i="2" s="1"/>
  <c r="AH356" i="2"/>
  <c r="AH360" i="2"/>
  <c r="AF195" i="2"/>
  <c r="AF194" i="2" s="1"/>
  <c r="AJ97" i="2"/>
  <c r="AJ117" i="2"/>
  <c r="AA1199" i="2"/>
  <c r="AA1200" i="2" s="1"/>
  <c r="AI57" i="10"/>
  <c r="AI62" i="10"/>
  <c r="AH121" i="2"/>
  <c r="AH118" i="2"/>
  <c r="AH108" i="2"/>
  <c r="AC153" i="2"/>
  <c r="AD164" i="2"/>
  <c r="AD92" i="2"/>
  <c r="AH101" i="2"/>
  <c r="AH98" i="2"/>
  <c r="AH88" i="2"/>
  <c r="AB156" i="2"/>
  <c r="AB158" i="2" s="1"/>
  <c r="AG1280" i="2"/>
  <c r="AG1282" i="2" s="1"/>
  <c r="AD190" i="2"/>
  <c r="AD179" i="2" s="1"/>
  <c r="AD1307" i="2"/>
  <c r="AE165" i="2"/>
  <c r="AE154" i="2" s="1"/>
  <c r="AF546" i="2"/>
  <c r="AD71" i="2"/>
  <c r="AC1310" i="2"/>
  <c r="AC156" i="2"/>
  <c r="AD153" i="2"/>
  <c r="AE190" i="2"/>
  <c r="AE179" i="2" s="1"/>
  <c r="AE189" i="2"/>
  <c r="AA594" i="2"/>
  <c r="AF146" i="2"/>
  <c r="AF148" i="2"/>
  <c r="AG298" i="2"/>
  <c r="AG302" i="2" s="1"/>
  <c r="AG303" i="2" s="1"/>
  <c r="AC619" i="2"/>
  <c r="AF29" i="2"/>
  <c r="AD1119" i="2"/>
  <c r="AD1117" i="2" s="1"/>
  <c r="AJ299" i="2"/>
  <c r="AJ290" i="2"/>
  <c r="AJ35" i="2"/>
  <c r="AJ16" i="2"/>
  <c r="AJ77" i="2"/>
  <c r="AB615" i="2"/>
  <c r="AB186" i="4" s="1"/>
  <c r="AH1028" i="2"/>
  <c r="AH1012" i="2"/>
  <c r="AH1011" i="2" s="1"/>
  <c r="AH1335" i="2"/>
  <c r="AH1273" i="2"/>
  <c r="AH1108" i="2"/>
  <c r="AH1109" i="2" s="1"/>
  <c r="AH712" i="2"/>
  <c r="AH389" i="2"/>
  <c r="AH187" i="2"/>
  <c r="AH169" i="2" s="1"/>
  <c r="AH144" i="2"/>
  <c r="AH81" i="2"/>
  <c r="AH1272" i="2"/>
  <c r="AH1220" i="2"/>
  <c r="AH1221" i="2" s="1"/>
  <c r="AH1201" i="2"/>
  <c r="AH1202" i="2" s="1"/>
  <c r="AH1136" i="2"/>
  <c r="AH623" i="2"/>
  <c r="AH624" i="2" s="1"/>
  <c r="AH143" i="2"/>
  <c r="AH39" i="2"/>
  <c r="AH27" i="2" s="1"/>
  <c r="AH1281" i="2"/>
  <c r="AH1120" i="2"/>
  <c r="AH1121" i="2" s="1"/>
  <c r="AH1037" i="2"/>
  <c r="AH427" i="2"/>
  <c r="AH296" i="2"/>
  <c r="AH287" i="2"/>
  <c r="AH162" i="2"/>
  <c r="AH78" i="2"/>
  <c r="AH8" i="2"/>
  <c r="AH1275" i="2"/>
  <c r="AH688" i="2"/>
  <c r="AH438" i="2"/>
  <c r="AH437" i="2" s="1"/>
  <c r="AH288" i="2"/>
  <c r="AH26" i="2"/>
  <c r="AH25" i="2" s="1"/>
  <c r="AH1033" i="2"/>
  <c r="AH682" i="2"/>
  <c r="AH531" i="2"/>
  <c r="AH300" i="2"/>
  <c r="AH297" i="2" s="1"/>
  <c r="AH1278" i="2"/>
  <c r="AH1150" i="2"/>
  <c r="AH1151" i="2" s="1"/>
  <c r="AH714" i="2"/>
  <c r="AH431" i="2"/>
  <c r="AH160" i="2"/>
  <c r="AH1146" i="2"/>
  <c r="AH1147" i="2" s="1"/>
  <c r="AH643" i="2"/>
  <c r="AH428" i="2"/>
  <c r="AH656" i="2"/>
  <c r="AH168" i="2"/>
  <c r="AH167" i="2" s="1"/>
  <c r="AH212" i="2"/>
  <c r="AH557" i="2"/>
  <c r="AH291" i="2"/>
  <c r="AH19" i="2"/>
  <c r="AH1279" i="2"/>
  <c r="AH1032" i="2"/>
  <c r="AH1031" i="2" s="1"/>
  <c r="AH555" i="2"/>
  <c r="AH17" i="2"/>
  <c r="AH1017" i="2"/>
  <c r="AH542" i="2"/>
  <c r="AH628" i="2"/>
  <c r="AH544" i="2"/>
  <c r="AH185" i="2"/>
  <c r="AH7" i="2"/>
  <c r="AH443" i="2"/>
  <c r="AH391" i="2"/>
  <c r="AH407" i="2"/>
  <c r="AH36" i="2"/>
  <c r="AH659" i="2"/>
  <c r="AH405" i="2"/>
  <c r="AH442" i="2"/>
  <c r="AH432" i="2"/>
  <c r="AH214" i="2"/>
  <c r="AH1026" i="2"/>
  <c r="AH175" i="2"/>
  <c r="AH150" i="2"/>
  <c r="AH1178" i="2"/>
  <c r="AH197" i="4" s="1"/>
  <c r="AH1208" i="2"/>
  <c r="AH1209" i="2" s="1"/>
  <c r="AC324" i="4"/>
  <c r="AC277" i="4"/>
  <c r="AC374" i="4"/>
  <c r="AC1184" i="2"/>
  <c r="AC1264" i="2"/>
  <c r="AI80" i="1"/>
  <c r="AJ81" i="1"/>
  <c r="AO106" i="10"/>
  <c r="AH370" i="4"/>
  <c r="AH194" i="4"/>
  <c r="AH298" i="4"/>
  <c r="AH178" i="4"/>
  <c r="AH389" i="4"/>
  <c r="AH347" i="4"/>
  <c r="AH283" i="4"/>
  <c r="AH412" i="4"/>
  <c r="AH384" i="4"/>
  <c r="AH321" i="4"/>
  <c r="AH169" i="4"/>
  <c r="AH273" i="4"/>
  <c r="AH293" i="4"/>
  <c r="AH199" i="4"/>
  <c r="AH342" i="4"/>
  <c r="AH189" i="4"/>
  <c r="AH332" i="4"/>
  <c r="AE30" i="2"/>
  <c r="AF30" i="2" s="1"/>
  <c r="AC1117" i="2"/>
  <c r="AE546" i="2"/>
  <c r="AE539" i="2"/>
  <c r="AD549" i="2"/>
  <c r="AD551" i="2" s="1"/>
  <c r="AE547" i="2"/>
  <c r="R79" i="10"/>
  <c r="AG429" i="2"/>
  <c r="AG434" i="2" s="1"/>
  <c r="AG28" i="2"/>
  <c r="AG729" i="2"/>
  <c r="AG722" i="2"/>
  <c r="AG726" i="2"/>
  <c r="AG717" i="2" s="1"/>
  <c r="AB1107" i="2"/>
  <c r="AB1105" i="2" s="1"/>
  <c r="AF503" i="4"/>
  <c r="AC117" i="10"/>
  <c r="AC115" i="10" s="1"/>
  <c r="AD112" i="10" s="1"/>
  <c r="AD198" i="2"/>
  <c r="AD200" i="2"/>
  <c r="AE19" i="4"/>
  <c r="AE18" i="4" s="1"/>
  <c r="AE196" i="2"/>
  <c r="AG707" i="2"/>
  <c r="AG701" i="2"/>
  <c r="AG691" i="2" s="1"/>
  <c r="AE440" i="4"/>
  <c r="AE467" i="4"/>
  <c r="AE502" i="4"/>
  <c r="AN61" i="1"/>
  <c r="AO60" i="1"/>
  <c r="AC615" i="2"/>
  <c r="AC186" i="4" s="1"/>
  <c r="AG694" i="2"/>
  <c r="AG696" i="2"/>
  <c r="AG697" i="2"/>
  <c r="AG720" i="2"/>
  <c r="AG721" i="2"/>
  <c r="AG145" i="2"/>
  <c r="AG677" i="2"/>
  <c r="AG667" i="2"/>
  <c r="AG671" i="2"/>
  <c r="AG662" i="2" s="1"/>
  <c r="AF727" i="2"/>
  <c r="AF723" i="2" s="1"/>
  <c r="AF730" i="2" s="1"/>
  <c r="AF724" i="2"/>
  <c r="AF725" i="2" s="1"/>
  <c r="AE177" i="4"/>
  <c r="AO113" i="10"/>
  <c r="AF171" i="2"/>
  <c r="AF173" i="2"/>
  <c r="AK292" i="4"/>
  <c r="AK383" i="4"/>
  <c r="AK341" i="4"/>
  <c r="AK47" i="1"/>
  <c r="AK57" i="2" s="1"/>
  <c r="AK49" i="1"/>
  <c r="AK48" i="1"/>
  <c r="AK50" i="1"/>
  <c r="AL43" i="1"/>
  <c r="AJ1063" i="2"/>
  <c r="AJ1062" i="2" s="1"/>
  <c r="AI1061" i="2"/>
  <c r="AI2" i="5"/>
  <c r="AI2" i="4"/>
  <c r="AI2" i="2"/>
  <c r="AI2" i="10"/>
  <c r="AI2" i="1"/>
  <c r="AJ25" i="1"/>
  <c r="AE29" i="2"/>
  <c r="AD399" i="2"/>
  <c r="AD138" i="4"/>
  <c r="AD144" i="4" s="1"/>
  <c r="AD990" i="2"/>
  <c r="AG9" i="2"/>
  <c r="AG170" i="2"/>
  <c r="AF652" i="2"/>
  <c r="AI1091" i="2"/>
  <c r="AI1090" i="2" s="1"/>
  <c r="AH1092" i="2"/>
  <c r="AJ1083" i="2"/>
  <c r="AJ1082" i="2" s="1"/>
  <c r="AI1084" i="2"/>
  <c r="U84" i="10"/>
  <c r="U85" i="10" s="1"/>
  <c r="AH146" i="1"/>
  <c r="AH59" i="1"/>
  <c r="AH120" i="1"/>
  <c r="AH45" i="1"/>
  <c r="AH44" i="1"/>
  <c r="AH53" i="1"/>
  <c r="AH131" i="1"/>
  <c r="AH123" i="1"/>
  <c r="AH140" i="1"/>
  <c r="AN55" i="1"/>
  <c r="AO54" i="1"/>
  <c r="AO68" i="10"/>
  <c r="AB593" i="2"/>
  <c r="AB594" i="2" s="1"/>
  <c r="AF702" i="2"/>
  <c r="AF698" i="2" s="1"/>
  <c r="AF708" i="2" s="1"/>
  <c r="AF703" i="2"/>
  <c r="AF704" i="2" s="1"/>
  <c r="AF699" i="2"/>
  <c r="AF700" i="2" s="1"/>
  <c r="AG1039" i="2"/>
  <c r="AG1038" i="2"/>
  <c r="AG647" i="2"/>
  <c r="AG650" i="2" s="1"/>
  <c r="AG649" i="2"/>
  <c r="AG648" i="2"/>
  <c r="AI87" i="1"/>
  <c r="AH91" i="1"/>
  <c r="AH65" i="10"/>
  <c r="AH133" i="10"/>
  <c r="AH136" i="10"/>
  <c r="AH188" i="4" s="1"/>
  <c r="AH135" i="10"/>
  <c r="AH97" i="10"/>
  <c r="AH176" i="4" s="1"/>
  <c r="AH93" i="10"/>
  <c r="AH168" i="4" s="1"/>
  <c r="AH70" i="10"/>
  <c r="AH71" i="10" s="1"/>
  <c r="AH72" i="10" s="1"/>
  <c r="AF302" i="2"/>
  <c r="AF303" i="2" s="1"/>
  <c r="AF21" i="2"/>
  <c r="AF672" i="2"/>
  <c r="AF668" i="2" s="1"/>
  <c r="AF678" i="2" s="1"/>
  <c r="AF673" i="2"/>
  <c r="AF674" i="2" s="1"/>
  <c r="AF669" i="2"/>
  <c r="AF670" i="2" s="1"/>
  <c r="AG629" i="2"/>
  <c r="AG665" i="2"/>
  <c r="AG666" i="2"/>
  <c r="AE991" i="2"/>
  <c r="AE1305" i="2" s="1"/>
  <c r="AE949" i="2"/>
  <c r="AP82" i="10"/>
  <c r="AJ211" i="2"/>
  <c r="AJ184" i="2"/>
  <c r="AJ159" i="2"/>
  <c r="AJ430" i="2"/>
  <c r="AJ441" i="2"/>
  <c r="AO75" i="10"/>
  <c r="AA98" i="4"/>
  <c r="AN86" i="1"/>
  <c r="AD110" i="10"/>
  <c r="AE109" i="10" s="1"/>
  <c r="AD108" i="10"/>
  <c r="AE105" i="10" s="1"/>
  <c r="AG289" i="2"/>
  <c r="AG1274" i="2"/>
  <c r="AG1276" i="2" s="1"/>
  <c r="AG970" i="2" l="1"/>
  <c r="AG350" i="2"/>
  <c r="AG351" i="2" s="1"/>
  <c r="AG39" i="4" s="1"/>
  <c r="E76" i="7"/>
  <c r="E113" i="7"/>
  <c r="E102" i="7"/>
  <c r="E74" i="7"/>
  <c r="E75" i="7"/>
  <c r="E109" i="7"/>
  <c r="E84" i="7"/>
  <c r="AE471" i="2"/>
  <c r="AE473" i="2" s="1"/>
  <c r="AE527" i="2" s="1"/>
  <c r="AG508" i="2"/>
  <c r="AG56" i="4"/>
  <c r="AH411" i="2"/>
  <c r="AG967" i="2"/>
  <c r="AH503" i="2"/>
  <c r="AI502" i="2"/>
  <c r="AI506" i="2"/>
  <c r="AI505" i="2"/>
  <c r="AI501" i="2"/>
  <c r="AF971" i="2"/>
  <c r="AG498" i="2"/>
  <c r="AG55" i="4"/>
  <c r="AH493" i="2"/>
  <c r="AG977" i="2"/>
  <c r="AI496" i="2"/>
  <c r="AI495" i="2"/>
  <c r="AI491" i="2"/>
  <c r="AI492" i="2"/>
  <c r="AG195" i="2"/>
  <c r="AG197" i="2" s="1"/>
  <c r="AE996" i="2"/>
  <c r="AD41" i="4"/>
  <c r="AG395" i="2"/>
  <c r="AE363" i="2"/>
  <c r="AE42" i="4" s="1"/>
  <c r="AE396" i="2"/>
  <c r="AE394" i="2" s="1"/>
  <c r="AF388" i="2"/>
  <c r="AF386" i="2" s="1"/>
  <c r="AE388" i="2"/>
  <c r="AE386" i="2" s="1"/>
  <c r="AH346" i="2"/>
  <c r="AI348" i="2"/>
  <c r="AI345" i="2" s="1"/>
  <c r="AI344" i="2"/>
  <c r="AH337" i="2"/>
  <c r="AI339" i="2"/>
  <c r="AI336" i="2" s="1"/>
  <c r="AI335" i="2"/>
  <c r="AG341" i="2"/>
  <c r="AG342" i="2" s="1"/>
  <c r="AG38" i="4" s="1"/>
  <c r="AH328" i="2"/>
  <c r="AI68" i="2"/>
  <c r="AI326" i="2"/>
  <c r="AI330" i="2"/>
  <c r="AI327" i="2" s="1"/>
  <c r="X1219" i="2"/>
  <c r="X1217" i="2" s="1"/>
  <c r="AA775" i="2"/>
  <c r="AA995" i="2" s="1"/>
  <c r="AG319" i="2"/>
  <c r="AH107" i="2"/>
  <c r="AH87" i="2"/>
  <c r="AC133" i="2"/>
  <c r="AC574" i="2" s="1"/>
  <c r="AC575" i="2" s="1"/>
  <c r="AC576" i="2" s="1"/>
  <c r="AF128" i="2"/>
  <c r="AF471" i="2" s="1"/>
  <c r="AE130" i="2"/>
  <c r="AE1291" i="2" s="1"/>
  <c r="AE517" i="2"/>
  <c r="AD72" i="2"/>
  <c r="AD133" i="2" s="1"/>
  <c r="AD574" i="2" s="1"/>
  <c r="AH67" i="2"/>
  <c r="AH195" i="2" s="1"/>
  <c r="AE6" i="4"/>
  <c r="AF6" i="4"/>
  <c r="AF93" i="4" s="1"/>
  <c r="AD34" i="4"/>
  <c r="AH439" i="2"/>
  <c r="AH440" i="2" s="1"/>
  <c r="AH445" i="2" s="1"/>
  <c r="AG962" i="2"/>
  <c r="N1333" i="2"/>
  <c r="O492" i="4"/>
  <c r="O1328" i="2"/>
  <c r="AG219" i="4"/>
  <c r="AF220" i="4"/>
  <c r="R878" i="2"/>
  <c r="R969" i="2" s="1"/>
  <c r="AK311" i="2"/>
  <c r="AK368" i="2"/>
  <c r="AK359" i="2"/>
  <c r="AK320" i="2"/>
  <c r="AK380" i="2"/>
  <c r="Q1318" i="2"/>
  <c r="Q174" i="4"/>
  <c r="L490" i="4"/>
  <c r="L462" i="4"/>
  <c r="L435" i="4"/>
  <c r="AG955" i="2"/>
  <c r="R881" i="2"/>
  <c r="R972" i="2" s="1"/>
  <c r="R936" i="2"/>
  <c r="R982" i="2"/>
  <c r="AE233" i="4"/>
  <c r="AE25" i="4"/>
  <c r="AE14" i="1"/>
  <c r="AE159" i="4"/>
  <c r="AE1269" i="2"/>
  <c r="AE638" i="2"/>
  <c r="AE1" i="4"/>
  <c r="AE1142" i="2"/>
  <c r="AE1" i="10"/>
  <c r="AE124" i="4"/>
  <c r="AE284" i="2"/>
  <c r="AE1" i="5"/>
  <c r="AE366" i="4"/>
  <c r="AE69" i="4"/>
  <c r="AE1096" i="2"/>
  <c r="AE1" i="1"/>
  <c r="AE4" i="4"/>
  <c r="AE570" i="2"/>
  <c r="AE4" i="5"/>
  <c r="AE90" i="10"/>
  <c r="AE102" i="10"/>
  <c r="AE1168" i="2"/>
  <c r="AE1056" i="2"/>
  <c r="AE317" i="4"/>
  <c r="AE38" i="1"/>
  <c r="AE55" i="10"/>
  <c r="AE1189" i="2"/>
  <c r="AE408" i="4"/>
  <c r="AE91" i="4"/>
  <c r="AE140" i="2"/>
  <c r="AE14" i="4"/>
  <c r="AE1" i="2"/>
  <c r="AE4" i="2"/>
  <c r="AE113" i="1"/>
  <c r="AE423" i="2"/>
  <c r="AE269" i="4"/>
  <c r="AE205" i="4"/>
  <c r="AE1000" i="2"/>
  <c r="AE68" i="1"/>
  <c r="P103" i="4"/>
  <c r="P104" i="4" s="1"/>
  <c r="P1314" i="2"/>
  <c r="P1315" i="2" s="1"/>
  <c r="P495" i="4"/>
  <c r="AK235" i="2"/>
  <c r="AK259" i="2"/>
  <c r="AG28" i="1"/>
  <c r="AG27" i="1"/>
  <c r="AH26" i="1"/>
  <c r="AG29" i="1"/>
  <c r="AK454" i="2"/>
  <c r="AK474" i="2"/>
  <c r="AK484" i="2"/>
  <c r="AK464" i="2"/>
  <c r="AK520" i="2"/>
  <c r="M1327" i="2"/>
  <c r="AG1013" i="2"/>
  <c r="AG481" i="2"/>
  <c r="AG483" i="2" s="1"/>
  <c r="AG488" i="2" s="1"/>
  <c r="AF34" i="1"/>
  <c r="Q954" i="2"/>
  <c r="R766" i="2"/>
  <c r="Q958" i="2"/>
  <c r="R770" i="2"/>
  <c r="AD116" i="10"/>
  <c r="AH1029" i="2"/>
  <c r="N1336" i="2"/>
  <c r="N1337" i="2" s="1"/>
  <c r="N1325" i="2" s="1"/>
  <c r="Q65" i="4"/>
  <c r="Q107" i="4"/>
  <c r="Q240" i="4" s="1"/>
  <c r="AF956" i="2"/>
  <c r="AG952" i="2"/>
  <c r="AG951" i="2"/>
  <c r="AG847" i="2"/>
  <c r="AG843" i="2" s="1"/>
  <c r="AG853" i="2" s="1"/>
  <c r="AG848" i="2"/>
  <c r="AG849" i="2" s="1"/>
  <c r="AG844" i="2"/>
  <c r="AG845" i="2" s="1"/>
  <c r="AH840" i="2"/>
  <c r="AH841" i="2"/>
  <c r="AI834" i="2"/>
  <c r="AI831" i="2"/>
  <c r="AH852" i="2"/>
  <c r="AH842" i="2"/>
  <c r="AH846" i="2"/>
  <c r="AH837" i="2" s="1"/>
  <c r="AH78" i="4" s="1"/>
  <c r="AE299" i="7" s="1"/>
  <c r="AI805" i="2"/>
  <c r="AI808" i="2"/>
  <c r="AF765" i="2"/>
  <c r="AG821" i="2"/>
  <c r="AG817" i="2" s="1"/>
  <c r="AG827" i="2" s="1"/>
  <c r="AG822" i="2"/>
  <c r="AG823" i="2" s="1"/>
  <c r="AG818" i="2"/>
  <c r="AG819" i="2" s="1"/>
  <c r="AH814" i="2"/>
  <c r="AH815" i="2"/>
  <c r="AG759" i="2"/>
  <c r="AG75" i="4" s="1"/>
  <c r="AD296" i="7" s="1"/>
  <c r="AH826" i="2"/>
  <c r="AH816" i="2"/>
  <c r="AH820" i="2"/>
  <c r="AH811" i="2" s="1"/>
  <c r="AH77" i="4" s="1"/>
  <c r="AE298" i="7" s="1"/>
  <c r="AH481" i="2"/>
  <c r="AH483" i="2" s="1"/>
  <c r="AG796" i="2"/>
  <c r="AG797" i="2" s="1"/>
  <c r="AG795" i="2"/>
  <c r="AG791" i="2" s="1"/>
  <c r="AG801" i="2" s="1"/>
  <c r="AG792" i="2"/>
  <c r="AG793" i="2" s="1"/>
  <c r="AH788" i="2"/>
  <c r="AH789" i="2"/>
  <c r="AH800" i="2"/>
  <c r="AH790" i="2"/>
  <c r="AH794" i="2"/>
  <c r="AH785" i="2" s="1"/>
  <c r="AH76" i="4" s="1"/>
  <c r="AE297" i="7" s="1"/>
  <c r="AI782" i="2"/>
  <c r="AI779" i="2"/>
  <c r="AG769" i="2"/>
  <c r="AH774" i="2"/>
  <c r="AH764" i="2"/>
  <c r="AH768" i="2"/>
  <c r="AH762" i="2"/>
  <c r="AH763" i="2"/>
  <c r="AI753" i="2"/>
  <c r="AI756" i="2"/>
  <c r="AE384" i="2"/>
  <c r="AE46" i="4" s="1"/>
  <c r="AE404" i="2"/>
  <c r="AE402" i="2" s="1"/>
  <c r="AF1299" i="2"/>
  <c r="AE315" i="2"/>
  <c r="AE35" i="4" s="1"/>
  <c r="AH318" i="2"/>
  <c r="AF64" i="2"/>
  <c r="AG63" i="2"/>
  <c r="AE52" i="2"/>
  <c r="AH50" i="2"/>
  <c r="V1248" i="2"/>
  <c r="AE51" i="2"/>
  <c r="AG7" i="4"/>
  <c r="AI61" i="2"/>
  <c r="AI49" i="2" s="1"/>
  <c r="AI58" i="2"/>
  <c r="AI47" i="2"/>
  <c r="AF627" i="2"/>
  <c r="AF626" i="2" s="1"/>
  <c r="AF184" i="4" s="1"/>
  <c r="Z208" i="2"/>
  <c r="Z210" i="2" s="1"/>
  <c r="W1232" i="2"/>
  <c r="W1253" i="2" s="1"/>
  <c r="W1248" i="2" s="1"/>
  <c r="AC204" i="2"/>
  <c r="AC28" i="4" s="1"/>
  <c r="AD393" i="2"/>
  <c r="AE412" i="2"/>
  <c r="AE414" i="2" s="1"/>
  <c r="AE617" i="2" s="1"/>
  <c r="AE618" i="2" s="1"/>
  <c r="AE615" i="2" s="1"/>
  <c r="AE186" i="4" s="1"/>
  <c r="AG310" i="2"/>
  <c r="AG379" i="2"/>
  <c r="AD45" i="4"/>
  <c r="AD430" i="4"/>
  <c r="AA205" i="2"/>
  <c r="AD457" i="4"/>
  <c r="AD484" i="4"/>
  <c r="AD413" i="2"/>
  <c r="AD1321" i="2" s="1"/>
  <c r="AD202" i="2"/>
  <c r="AD276" i="2" s="1"/>
  <c r="AD592" i="2" s="1"/>
  <c r="AB216" i="2"/>
  <c r="AB28" i="4"/>
  <c r="V241" i="4"/>
  <c r="V192" i="4"/>
  <c r="V222" i="4" s="1"/>
  <c r="AD409" i="2"/>
  <c r="AD93" i="4"/>
  <c r="AD485" i="4"/>
  <c r="AH357" i="2"/>
  <c r="AH743" i="2"/>
  <c r="AH945" i="2" s="1"/>
  <c r="AG746" i="2"/>
  <c r="AB48" i="4"/>
  <c r="AB238" i="4" s="1"/>
  <c r="AC97" i="4"/>
  <c r="AC94" i="4" s="1"/>
  <c r="AH742" i="2"/>
  <c r="AH944" i="2" s="1"/>
  <c r="AH69" i="2"/>
  <c r="AH378" i="2"/>
  <c r="X1251" i="2"/>
  <c r="X108" i="4" s="1"/>
  <c r="X1234" i="2"/>
  <c r="X1252" i="2" s="1"/>
  <c r="X130" i="4" s="1"/>
  <c r="X1257" i="2"/>
  <c r="Y1242" i="2"/>
  <c r="W373" i="4"/>
  <c r="W212" i="4"/>
  <c r="W276" i="4"/>
  <c r="AI1235" i="2"/>
  <c r="AI737" i="2"/>
  <c r="AI743" i="2" s="1"/>
  <c r="AI945" i="2" s="1"/>
  <c r="AF83" i="2"/>
  <c r="AF84" i="2" s="1"/>
  <c r="AG963" i="2"/>
  <c r="AG139" i="4" s="1"/>
  <c r="AH902" i="2"/>
  <c r="AH904" i="2"/>
  <c r="AH905" i="2"/>
  <c r="AF934" i="2"/>
  <c r="AF941" i="2" s="1"/>
  <c r="AF985" i="2"/>
  <c r="AH915" i="2"/>
  <c r="AH909" i="2"/>
  <c r="AH899" i="2" s="1"/>
  <c r="AH82" i="4" s="1"/>
  <c r="AE303" i="7" s="1"/>
  <c r="AG911" i="2"/>
  <c r="AG912" i="2" s="1"/>
  <c r="AG910" i="2"/>
  <c r="AG906" i="2" s="1"/>
  <c r="AG916" i="2" s="1"/>
  <c r="AG907" i="2"/>
  <c r="AG908" i="2" s="1"/>
  <c r="AG928" i="2"/>
  <c r="AG85" i="4" s="1"/>
  <c r="AD306" i="7" s="1"/>
  <c r="AG984" i="2"/>
  <c r="AG978" i="2" s="1"/>
  <c r="AG140" i="4" s="1"/>
  <c r="AI896" i="2"/>
  <c r="AI890" i="2"/>
  <c r="AI925" i="2"/>
  <c r="AI923" i="2"/>
  <c r="AG938" i="2"/>
  <c r="AH931" i="2"/>
  <c r="AH932" i="2"/>
  <c r="AH980" i="2" s="1"/>
  <c r="AH940" i="2"/>
  <c r="AH988" i="2" s="1"/>
  <c r="AH937" i="2"/>
  <c r="AH933" i="2"/>
  <c r="AH981" i="2" s="1"/>
  <c r="AF876" i="2"/>
  <c r="AF886" i="2" s="1"/>
  <c r="AG869" i="2"/>
  <c r="AG81" i="4" s="1"/>
  <c r="AD302" i="7" s="1"/>
  <c r="AI866" i="2"/>
  <c r="AI860" i="2"/>
  <c r="AG880" i="2"/>
  <c r="AH872" i="2"/>
  <c r="AH874" i="2"/>
  <c r="AH875" i="2"/>
  <c r="AH885" i="2"/>
  <c r="AH977" i="2" s="1"/>
  <c r="AH879" i="2"/>
  <c r="AH366" i="2"/>
  <c r="AH309" i="2"/>
  <c r="X612" i="2"/>
  <c r="X613" i="2" s="1"/>
  <c r="W280" i="2"/>
  <c r="W613" i="2"/>
  <c r="AB560" i="2"/>
  <c r="AA562" i="2"/>
  <c r="AA564" i="2" s="1"/>
  <c r="AB559" i="2"/>
  <c r="AB552" i="2"/>
  <c r="AB566" i="2" s="1"/>
  <c r="AD519" i="2"/>
  <c r="AC524" i="2"/>
  <c r="AC554" i="2" s="1"/>
  <c r="AC1302" i="2" s="1"/>
  <c r="AC553" i="2"/>
  <c r="AC565" i="2" s="1"/>
  <c r="AC61" i="4"/>
  <c r="AC60" i="4" s="1"/>
  <c r="AC102" i="4" s="1"/>
  <c r="W631" i="2"/>
  <c r="W163" i="4"/>
  <c r="AD533" i="2"/>
  <c r="AD478" i="2"/>
  <c r="AD528" i="2" s="1"/>
  <c r="AD53" i="4"/>
  <c r="AC534" i="2"/>
  <c r="AC526" i="2"/>
  <c r="Z459" i="4"/>
  <c r="AB536" i="2"/>
  <c r="AB538" i="2" s="1"/>
  <c r="AG110" i="2"/>
  <c r="Z486" i="4"/>
  <c r="Z270" i="2"/>
  <c r="Z278" i="2"/>
  <c r="Z604" i="2" s="1"/>
  <c r="Z605" i="2" s="1"/>
  <c r="Z606" i="2" s="1"/>
  <c r="AA265" i="2"/>
  <c r="AA253" i="2" s="1"/>
  <c r="Y602" i="2"/>
  <c r="Y183" i="4" s="1"/>
  <c r="AA30" i="4"/>
  <c r="AA27" i="4" s="1"/>
  <c r="AA271" i="2"/>
  <c r="Y273" i="2"/>
  <c r="AF123" i="2"/>
  <c r="AF124" i="2" s="1"/>
  <c r="AF111" i="2" s="1"/>
  <c r="X127" i="4"/>
  <c r="X280" i="2"/>
  <c r="AE219" i="2"/>
  <c r="AE221" i="2" s="1"/>
  <c r="AE243" i="2"/>
  <c r="AB241" i="2"/>
  <c r="AA232" i="2" s="1"/>
  <c r="Y279" i="2"/>
  <c r="Y611" i="2" s="1"/>
  <c r="Y612" i="2" s="1"/>
  <c r="AB240" i="2"/>
  <c r="AA230" i="2"/>
  <c r="AD245" i="2"/>
  <c r="AC246" i="2"/>
  <c r="AC275" i="2" s="1"/>
  <c r="AC586" i="2" s="1"/>
  <c r="AC587" i="2" s="1"/>
  <c r="AC248" i="2"/>
  <c r="AB252" i="2"/>
  <c r="AB588" i="2"/>
  <c r="Z232" i="2"/>
  <c r="Z234" i="2" s="1"/>
  <c r="AB94" i="4"/>
  <c r="AB98" i="4" s="1"/>
  <c r="AA584" i="2"/>
  <c r="AA166" i="4" s="1"/>
  <c r="AA262" i="4" s="1"/>
  <c r="AH109" i="2"/>
  <c r="AE112" i="2"/>
  <c r="AC228" i="2"/>
  <c r="AD222" i="2"/>
  <c r="AD224" i="2"/>
  <c r="AE104" i="2"/>
  <c r="AE129" i="2" s="1"/>
  <c r="AI262" i="2"/>
  <c r="AI260" i="2"/>
  <c r="AI244" i="2"/>
  <c r="AI250" i="2"/>
  <c r="AA432" i="4"/>
  <c r="AA486" i="4"/>
  <c r="AA459" i="4"/>
  <c r="AI238" i="2"/>
  <c r="AI236" i="2"/>
  <c r="AI220" i="2"/>
  <c r="AI226" i="2"/>
  <c r="AD458" i="4"/>
  <c r="AD131" i="2"/>
  <c r="AI485" i="2"/>
  <c r="AI486" i="2"/>
  <c r="AI482" i="2"/>
  <c r="AD431" i="4"/>
  <c r="AG90" i="2"/>
  <c r="AI475" i="2"/>
  <c r="AI476" i="2"/>
  <c r="AI472" i="2"/>
  <c r="AH89" i="2"/>
  <c r="AG468" i="2"/>
  <c r="AG52" i="4"/>
  <c r="AH463" i="2"/>
  <c r="AF103" i="2"/>
  <c r="AF104" i="2" s="1"/>
  <c r="AI465" i="2"/>
  <c r="AI466" i="2"/>
  <c r="AI462" i="2"/>
  <c r="AI521" i="2"/>
  <c r="AI522" i="2"/>
  <c r="AI518" i="2"/>
  <c r="AC496" i="4"/>
  <c r="AC437" i="4"/>
  <c r="AG458" i="2"/>
  <c r="AG51" i="4"/>
  <c r="AE529" i="2"/>
  <c r="AI455" i="2"/>
  <c r="AI456" i="2"/>
  <c r="AI452" i="2"/>
  <c r="AH453" i="2"/>
  <c r="AF197" i="2"/>
  <c r="AF19" i="4" s="1"/>
  <c r="AF18" i="4" s="1"/>
  <c r="AF384" i="2"/>
  <c r="AF46" i="4" s="1"/>
  <c r="AF45" i="4" s="1"/>
  <c r="AD410" i="2"/>
  <c r="AC397" i="2"/>
  <c r="AB401" i="2"/>
  <c r="AB598" i="2"/>
  <c r="Z600" i="2"/>
  <c r="AA599" i="2"/>
  <c r="AA596" i="2" s="1"/>
  <c r="AA164" i="4" s="1"/>
  <c r="Y261" i="4"/>
  <c r="Z596" i="2"/>
  <c r="Z164" i="4" s="1"/>
  <c r="AI317" i="2"/>
  <c r="AI321" i="2"/>
  <c r="AG70" i="2"/>
  <c r="AF315" i="2"/>
  <c r="AF35" i="4" s="1"/>
  <c r="AF34" i="4" s="1"/>
  <c r="AB464" i="4"/>
  <c r="AB496" i="4"/>
  <c r="AB437" i="4"/>
  <c r="AI308" i="2"/>
  <c r="AI312" i="2"/>
  <c r="AI377" i="2"/>
  <c r="AI381" i="2"/>
  <c r="AI365" i="2"/>
  <c r="AI369" i="2"/>
  <c r="AG371" i="2"/>
  <c r="AG372" i="2" s="1"/>
  <c r="AG43" i="4" s="1"/>
  <c r="AF402" i="2"/>
  <c r="AF409" i="2" s="1"/>
  <c r="AF363" i="2"/>
  <c r="AF42" i="4" s="1"/>
  <c r="AF41" i="4" s="1"/>
  <c r="AI356" i="2"/>
  <c r="AI360" i="2"/>
  <c r="AG362" i="2"/>
  <c r="AA1198" i="2"/>
  <c r="AB1199" i="2"/>
  <c r="AB1200" i="2" s="1"/>
  <c r="AG503" i="4"/>
  <c r="AK97" i="2"/>
  <c r="AK117" i="2"/>
  <c r="AJ57" i="10"/>
  <c r="AJ62" i="10"/>
  <c r="AD178" i="2"/>
  <c r="AD1310" i="2"/>
  <c r="AE1118" i="2"/>
  <c r="AE1119" i="2" s="1"/>
  <c r="AE1117" i="2" s="1"/>
  <c r="AI121" i="2"/>
  <c r="AI118" i="2"/>
  <c r="AI108" i="2"/>
  <c r="AI101" i="2"/>
  <c r="AI98" i="2"/>
  <c r="AI88" i="2"/>
  <c r="AC158" i="2"/>
  <c r="AF547" i="2"/>
  <c r="AE549" i="2"/>
  <c r="AE551" i="2" s="1"/>
  <c r="AB572" i="2"/>
  <c r="AB162" i="4" s="1"/>
  <c r="AF539" i="2"/>
  <c r="AE178" i="2"/>
  <c r="AH1274" i="2"/>
  <c r="AH1276" i="2" s="1"/>
  <c r="AC1106" i="2"/>
  <c r="AC1107" i="2" s="1"/>
  <c r="AD1106" i="2" s="1"/>
  <c r="AC181" i="2"/>
  <c r="AC183" i="2" s="1"/>
  <c r="AD156" i="2"/>
  <c r="AD158" i="2" s="1"/>
  <c r="AE153" i="2"/>
  <c r="AH289" i="2"/>
  <c r="AH293" i="2" s="1"/>
  <c r="AH294" i="2" s="1"/>
  <c r="AF394" i="2"/>
  <c r="AH170" i="2"/>
  <c r="AH171" i="2" s="1"/>
  <c r="AG652" i="2"/>
  <c r="AB590" i="2"/>
  <c r="AB165" i="4" s="1"/>
  <c r="AF177" i="2"/>
  <c r="AF190" i="2" s="1"/>
  <c r="AF152" i="2"/>
  <c r="AD181" i="2"/>
  <c r="AE72" i="2"/>
  <c r="AE71" i="2"/>
  <c r="AE110" i="10"/>
  <c r="AE108" i="10" s="1"/>
  <c r="AF105" i="10" s="1"/>
  <c r="AG727" i="2"/>
  <c r="AG723" i="2" s="1"/>
  <c r="AG730" i="2" s="1"/>
  <c r="AG724" i="2"/>
  <c r="AG725" i="2" s="1"/>
  <c r="AH9" i="2"/>
  <c r="AH1280" i="2"/>
  <c r="AH1282" i="2" s="1"/>
  <c r="AH28" i="2"/>
  <c r="AH707" i="2"/>
  <c r="AH701" i="2"/>
  <c r="AH691" i="2" s="1"/>
  <c r="AH145" i="2"/>
  <c r="AP68" i="10"/>
  <c r="U86" i="10"/>
  <c r="AI136" i="10"/>
  <c r="AI188" i="4" s="1"/>
  <c r="AI93" i="10"/>
  <c r="AI168" i="4" s="1"/>
  <c r="AI135" i="10"/>
  <c r="AI133" i="10"/>
  <c r="AI65" i="10"/>
  <c r="AI97" i="10"/>
  <c r="AI176" i="4" s="1"/>
  <c r="AI70" i="10"/>
  <c r="AI71" i="10" s="1"/>
  <c r="AI72" i="10" s="1"/>
  <c r="AG703" i="2"/>
  <c r="AG704" i="2" s="1"/>
  <c r="AG702" i="2"/>
  <c r="AG698" i="2" s="1"/>
  <c r="AG708" i="2" s="1"/>
  <c r="AG699" i="2"/>
  <c r="AG700" i="2" s="1"/>
  <c r="AO61" i="1"/>
  <c r="AP60" i="1"/>
  <c r="AQ82" i="10"/>
  <c r="AJ1084" i="2"/>
  <c r="AK1083" i="2"/>
  <c r="AK1082" i="2" s="1"/>
  <c r="AG142" i="4"/>
  <c r="AE399" i="2"/>
  <c r="AI1012" i="2"/>
  <c r="AI1011" i="2" s="1"/>
  <c r="AI427" i="2"/>
  <c r="AI296" i="2"/>
  <c r="AI287" i="2"/>
  <c r="AI162" i="2"/>
  <c r="AI78" i="2"/>
  <c r="AI8" i="2"/>
  <c r="AI1281" i="2"/>
  <c r="AI1272" i="2"/>
  <c r="AI1032" i="2"/>
  <c r="AI1031" i="2" s="1"/>
  <c r="AI659" i="2"/>
  <c r="AI628" i="2"/>
  <c r="AI555" i="2"/>
  <c r="AI544" i="2"/>
  <c r="AI443" i="2"/>
  <c r="AI407" i="2"/>
  <c r="AI214" i="2"/>
  <c r="AI160" i="2"/>
  <c r="AI1029" i="2"/>
  <c r="AI712" i="2"/>
  <c r="AI7" i="2"/>
  <c r="AI1279" i="2"/>
  <c r="AI1028" i="2"/>
  <c r="AI682" i="2"/>
  <c r="AI432" i="2"/>
  <c r="AI19" i="2"/>
  <c r="AI1335" i="2"/>
  <c r="AI187" i="2"/>
  <c r="AI169" i="2" s="1"/>
  <c r="AI144" i="2"/>
  <c r="AI1275" i="2"/>
  <c r="AI1026" i="2"/>
  <c r="AI656" i="2"/>
  <c r="AI391" i="2"/>
  <c r="AI1178" i="2"/>
  <c r="AI197" i="4" s="1"/>
  <c r="AI714" i="2"/>
  <c r="AI623" i="2"/>
  <c r="AI624" i="2" s="1"/>
  <c r="AI542" i="2"/>
  <c r="AI438" i="2"/>
  <c r="AI437" i="2" s="1"/>
  <c r="AI26" i="2"/>
  <c r="AI25" i="2" s="1"/>
  <c r="AI1146" i="2"/>
  <c r="AI1147" i="2" s="1"/>
  <c r="AI405" i="2"/>
  <c r="AI39" i="2"/>
  <c r="AI27" i="2" s="1"/>
  <c r="AI17" i="2"/>
  <c r="AI1201" i="2"/>
  <c r="AI1202" i="2" s="1"/>
  <c r="AI1136" i="2"/>
  <c r="AI1037" i="2"/>
  <c r="AI531" i="2"/>
  <c r="AI291" i="2"/>
  <c r="AI185" i="2"/>
  <c r="AI1278" i="2"/>
  <c r="AI428" i="2"/>
  <c r="AI300" i="2"/>
  <c r="AI297" i="2" s="1"/>
  <c r="AI688" i="2"/>
  <c r="AI143" i="2"/>
  <c r="AI1150" i="2"/>
  <c r="AI1151" i="2" s="1"/>
  <c r="AI1017" i="2"/>
  <c r="AI36" i="2"/>
  <c r="AI1108" i="2"/>
  <c r="AI1109" i="2" s="1"/>
  <c r="AI389" i="2"/>
  <c r="AI1220" i="2"/>
  <c r="AI1221" i="2" s="1"/>
  <c r="AI1120" i="2"/>
  <c r="AI1121" i="2" s="1"/>
  <c r="AI288" i="2"/>
  <c r="AI1033" i="2"/>
  <c r="AI557" i="2"/>
  <c r="AI442" i="2"/>
  <c r="AI643" i="2"/>
  <c r="AI212" i="2"/>
  <c r="AI168" i="2"/>
  <c r="AI167" i="2" s="1"/>
  <c r="AI431" i="2"/>
  <c r="AI81" i="2"/>
  <c r="AI1273" i="2"/>
  <c r="AI175" i="2"/>
  <c r="AI150" i="2"/>
  <c r="AI1208" i="2"/>
  <c r="AI1209" i="2" s="1"/>
  <c r="AG148" i="2"/>
  <c r="AG146" i="2"/>
  <c r="AG440" i="4"/>
  <c r="AG467" i="4"/>
  <c r="AG502" i="4"/>
  <c r="AF440" i="4"/>
  <c r="AF502" i="4"/>
  <c r="AF467" i="4"/>
  <c r="AG293" i="2"/>
  <c r="AG294" i="2" s="1"/>
  <c r="AO86" i="1"/>
  <c r="AE138" i="4"/>
  <c r="AE144" i="4" s="1"/>
  <c r="AE990" i="2"/>
  <c r="AG673" i="2"/>
  <c r="AG674" i="2" s="1"/>
  <c r="AG672" i="2"/>
  <c r="AG668" i="2" s="1"/>
  <c r="AG678" i="2" s="1"/>
  <c r="AG669" i="2"/>
  <c r="AG670" i="2" s="1"/>
  <c r="AC593" i="2"/>
  <c r="AC594" i="2" s="1"/>
  <c r="AI347" i="4"/>
  <c r="AI199" i="4"/>
  <c r="AI189" i="4"/>
  <c r="AI332" i="4"/>
  <c r="AI293" i="4"/>
  <c r="AI178" i="4"/>
  <c r="AI169" i="4"/>
  <c r="AI384" i="4"/>
  <c r="AI321" i="4"/>
  <c r="AI412" i="4"/>
  <c r="AI370" i="4"/>
  <c r="AI273" i="4"/>
  <c r="AI194" i="4"/>
  <c r="AI342" i="4"/>
  <c r="AI389" i="4"/>
  <c r="AI298" i="4"/>
  <c r="AI283" i="4"/>
  <c r="AH677" i="2"/>
  <c r="AH667" i="2"/>
  <c r="AH671" i="2"/>
  <c r="AH662" i="2" s="1"/>
  <c r="AH172" i="4"/>
  <c r="AG41" i="2"/>
  <c r="AG42" i="2" s="1"/>
  <c r="AG30" i="2" s="1"/>
  <c r="AJ80" i="1"/>
  <c r="AK81" i="1"/>
  <c r="AH1039" i="2"/>
  <c r="AH1038" i="2"/>
  <c r="AH720" i="2"/>
  <c r="AH721" i="2"/>
  <c r="AL341" i="4"/>
  <c r="AL292" i="4"/>
  <c r="AL383" i="4"/>
  <c r="AL47" i="1"/>
  <c r="AL57" i="2" s="1"/>
  <c r="AL49" i="1"/>
  <c r="AL50" i="1"/>
  <c r="AL48" i="1"/>
  <c r="AM43" i="1"/>
  <c r="AD618" i="2"/>
  <c r="AD619" i="2" s="1"/>
  <c r="AH647" i="2"/>
  <c r="AH650" i="2" s="1"/>
  <c r="AH649" i="2"/>
  <c r="AH648" i="2"/>
  <c r="AH694" i="2"/>
  <c r="AH696" i="2"/>
  <c r="AH697" i="2"/>
  <c r="AH298" i="2"/>
  <c r="AG171" i="2"/>
  <c r="AG173" i="2"/>
  <c r="AG194" i="2"/>
  <c r="AJ2" i="5"/>
  <c r="AJ2" i="4"/>
  <c r="AJ2" i="2"/>
  <c r="AJ2" i="10"/>
  <c r="AJ2" i="1"/>
  <c r="AK25" i="1"/>
  <c r="AK1063" i="2"/>
  <c r="AK1062" i="2" s="1"/>
  <c r="AJ1061" i="2"/>
  <c r="AK184" i="2"/>
  <c r="AK211" i="2"/>
  <c r="AK159" i="2"/>
  <c r="AE200" i="2"/>
  <c r="AE198" i="2"/>
  <c r="AB206" i="2"/>
  <c r="AD117" i="10"/>
  <c r="AD115" i="10" s="1"/>
  <c r="AE112" i="10" s="1"/>
  <c r="AD128" i="4"/>
  <c r="AK299" i="2"/>
  <c r="AK290" i="2"/>
  <c r="AF22" i="2"/>
  <c r="AJ87" i="1"/>
  <c r="AI91" i="1"/>
  <c r="AO55" i="1"/>
  <c r="AP54" i="1"/>
  <c r="AG21" i="2"/>
  <c r="AG22" i="2" s="1"/>
  <c r="AF177" i="4"/>
  <c r="AI146" i="1"/>
  <c r="AI59" i="1"/>
  <c r="AI120" i="1"/>
  <c r="AI45" i="1"/>
  <c r="AI44" i="1"/>
  <c r="AI123" i="1"/>
  <c r="AI131" i="1"/>
  <c r="AI53" i="1"/>
  <c r="AI140" i="1"/>
  <c r="AF412" i="2"/>
  <c r="AK430" i="2"/>
  <c r="AK441" i="2"/>
  <c r="AP113" i="10"/>
  <c r="AA208" i="2"/>
  <c r="S77" i="10"/>
  <c r="S78" i="10" s="1"/>
  <c r="AD418" i="2"/>
  <c r="AH665" i="2"/>
  <c r="AH666" i="2"/>
  <c r="AH729" i="2"/>
  <c r="AH722" i="2"/>
  <c r="AH726" i="2"/>
  <c r="AH717" i="2" s="1"/>
  <c r="AF991" i="2"/>
  <c r="AF1305" i="2" s="1"/>
  <c r="AF949" i="2"/>
  <c r="AP75" i="10"/>
  <c r="AE1307" i="2"/>
  <c r="AJ1091" i="2"/>
  <c r="AJ1090" i="2" s="1"/>
  <c r="AI1092" i="2"/>
  <c r="AD324" i="4"/>
  <c r="AD277" i="4"/>
  <c r="E197" i="7" s="1"/>
  <c r="AD374" i="4"/>
  <c r="AD1264" i="2"/>
  <c r="AD1184" i="2"/>
  <c r="AK16" i="2"/>
  <c r="AK35" i="2"/>
  <c r="AK77" i="2"/>
  <c r="AB205" i="2"/>
  <c r="AP106" i="10"/>
  <c r="AH629" i="2"/>
  <c r="AH429" i="2"/>
  <c r="AH434" i="2" s="1"/>
  <c r="AH970" i="2" l="1"/>
  <c r="AH350" i="2"/>
  <c r="AH351" i="2" s="1"/>
  <c r="AH39" i="4" s="1"/>
  <c r="E112" i="7"/>
  <c r="E77" i="7"/>
  <c r="E120" i="7"/>
  <c r="E108" i="7"/>
  <c r="E158" i="7"/>
  <c r="E101" i="7"/>
  <c r="AE41" i="4"/>
  <c r="AI503" i="2"/>
  <c r="AI508" i="2" s="1"/>
  <c r="AH508" i="2"/>
  <c r="AH56" i="4"/>
  <c r="AG971" i="2"/>
  <c r="AJ505" i="2"/>
  <c r="AJ501" i="2"/>
  <c r="AJ502" i="2"/>
  <c r="AJ506" i="2"/>
  <c r="AH498" i="2"/>
  <c r="AH55" i="4"/>
  <c r="AH966" i="2"/>
  <c r="AI493" i="2"/>
  <c r="AJ492" i="2"/>
  <c r="AJ496" i="2"/>
  <c r="AJ491" i="2"/>
  <c r="AJ495" i="2"/>
  <c r="AH967" i="2"/>
  <c r="AF996" i="2"/>
  <c r="AI411" i="2"/>
  <c r="AI481" i="2" s="1"/>
  <c r="AI483" i="2" s="1"/>
  <c r="AG396" i="2"/>
  <c r="AG394" i="2" s="1"/>
  <c r="AG387" i="2"/>
  <c r="AJ348" i="2"/>
  <c r="AJ345" i="2" s="1"/>
  <c r="AJ344" i="2"/>
  <c r="AI346" i="2"/>
  <c r="AI337" i="2"/>
  <c r="AI341" i="2" s="1"/>
  <c r="AI342" i="2" s="1"/>
  <c r="AI38" i="4" s="1"/>
  <c r="AJ339" i="2"/>
  <c r="AJ336" i="2" s="1"/>
  <c r="AJ335" i="2"/>
  <c r="AB775" i="2"/>
  <c r="AB995" i="2" s="1"/>
  <c r="AH341" i="2"/>
  <c r="AH342" i="2" s="1"/>
  <c r="AH38" i="4" s="1"/>
  <c r="AJ68" i="2"/>
  <c r="AJ326" i="2"/>
  <c r="AJ330" i="2"/>
  <c r="AJ327" i="2" s="1"/>
  <c r="AI328" i="2"/>
  <c r="Y1218" i="2"/>
  <c r="AH332" i="2"/>
  <c r="AH333" i="2" s="1"/>
  <c r="AH37" i="4" s="1"/>
  <c r="AH310" i="2"/>
  <c r="AH314" i="2" s="1"/>
  <c r="AG10" i="4"/>
  <c r="AG323" i="2"/>
  <c r="AG324" i="2" s="1"/>
  <c r="AG36" i="4" s="1"/>
  <c r="AH358" i="2"/>
  <c r="AI107" i="2"/>
  <c r="AI87" i="2"/>
  <c r="AF129" i="2"/>
  <c r="AG128" i="2"/>
  <c r="AD575" i="2"/>
  <c r="AD572" i="2" s="1"/>
  <c r="AD162" i="4" s="1"/>
  <c r="AF130" i="2"/>
  <c r="AF1291" i="2" s="1"/>
  <c r="AF431" i="4" s="1"/>
  <c r="AG627" i="2"/>
  <c r="AG626" i="2" s="1"/>
  <c r="AG184" i="4" s="1"/>
  <c r="AF517" i="2"/>
  <c r="AF473" i="2"/>
  <c r="AF527" i="2" s="1"/>
  <c r="AI67" i="2"/>
  <c r="AD96" i="4"/>
  <c r="AF52" i="2"/>
  <c r="AI439" i="2"/>
  <c r="AI440" i="2" s="1"/>
  <c r="AI445" i="2" s="1"/>
  <c r="AH319" i="2"/>
  <c r="AD100" i="4"/>
  <c r="AG403" i="2"/>
  <c r="AE34" i="4"/>
  <c r="AE45" i="4"/>
  <c r="AH962" i="2"/>
  <c r="AG34" i="1"/>
  <c r="AG1" i="1" s="1"/>
  <c r="N1334" i="2"/>
  <c r="AG54" i="4"/>
  <c r="AG1014" i="2"/>
  <c r="AH1013" i="2"/>
  <c r="AH1014" i="2" s="1"/>
  <c r="AH219" i="4"/>
  <c r="AG220" i="4"/>
  <c r="AL474" i="2"/>
  <c r="AL464" i="2"/>
  <c r="AL520" i="2"/>
  <c r="AL454" i="2"/>
  <c r="AL484" i="2"/>
  <c r="R957" i="2"/>
  <c r="R771" i="2"/>
  <c r="M490" i="4"/>
  <c r="M462" i="4"/>
  <c r="M435" i="4"/>
  <c r="AH28" i="1"/>
  <c r="AH29" i="1"/>
  <c r="AH27" i="1"/>
  <c r="AI26" i="1"/>
  <c r="AJ1029" i="2" s="1"/>
  <c r="P494" i="4"/>
  <c r="P463" i="4"/>
  <c r="P436" i="4"/>
  <c r="O1330" i="2"/>
  <c r="O1331" i="2" s="1"/>
  <c r="P207" i="4"/>
  <c r="P209" i="4" s="1"/>
  <c r="P284" i="4"/>
  <c r="P333" i="4"/>
  <c r="P247" i="4"/>
  <c r="P256" i="4"/>
  <c r="P109" i="4"/>
  <c r="P115" i="4" s="1"/>
  <c r="AF109" i="10"/>
  <c r="R953" i="2"/>
  <c r="R63" i="4" s="1"/>
  <c r="R767" i="2"/>
  <c r="R983" i="2"/>
  <c r="R175" i="4" s="1"/>
  <c r="S935" i="2"/>
  <c r="Q1316" i="2"/>
  <c r="Q1313" i="2" s="1"/>
  <c r="Q173" i="4"/>
  <c r="Q179" i="4" s="1"/>
  <c r="Q264" i="4" s="1"/>
  <c r="R882" i="2"/>
  <c r="R973" i="2" s="1"/>
  <c r="AF408" i="4"/>
  <c r="AF14" i="1"/>
  <c r="AF1168" i="2"/>
  <c r="AF1056" i="2"/>
  <c r="AF113" i="1"/>
  <c r="AF423" i="2"/>
  <c r="AF140" i="2"/>
  <c r="AF1096" i="2"/>
  <c r="AF1" i="2"/>
  <c r="AF38" i="1"/>
  <c r="AF159" i="4"/>
  <c r="AF317" i="4"/>
  <c r="AF1" i="5"/>
  <c r="AF1000" i="2"/>
  <c r="AF1269" i="2"/>
  <c r="AF4" i="5"/>
  <c r="AF638" i="2"/>
  <c r="AF90" i="10"/>
  <c r="AF1" i="4"/>
  <c r="AF4" i="4"/>
  <c r="AF570" i="2"/>
  <c r="AF25" i="4"/>
  <c r="AF68" i="1"/>
  <c r="AF14" i="4"/>
  <c r="AF269" i="4"/>
  <c r="AF124" i="4"/>
  <c r="AF102" i="10"/>
  <c r="AF1142" i="2"/>
  <c r="AF1189" i="2"/>
  <c r="AF91" i="4"/>
  <c r="AF69" i="4"/>
  <c r="AF4" i="2"/>
  <c r="AF284" i="2"/>
  <c r="AF55" i="10"/>
  <c r="AF1" i="10"/>
  <c r="AF366" i="4"/>
  <c r="AF1" i="1"/>
  <c r="AF205" i="4"/>
  <c r="AF233" i="4"/>
  <c r="S877" i="2"/>
  <c r="S968" i="2" s="1"/>
  <c r="AL235" i="2"/>
  <c r="AL259" i="2"/>
  <c r="AH955" i="2"/>
  <c r="N491" i="4"/>
  <c r="N1326" i="2"/>
  <c r="AL311" i="2"/>
  <c r="AL368" i="2"/>
  <c r="AL359" i="2"/>
  <c r="AL320" i="2"/>
  <c r="AL380" i="2"/>
  <c r="AH951" i="2"/>
  <c r="AH952" i="2"/>
  <c r="AG956" i="2"/>
  <c r="AI840" i="2"/>
  <c r="AI841" i="2"/>
  <c r="AI852" i="2"/>
  <c r="AI846" i="2"/>
  <c r="AI837" i="2" s="1"/>
  <c r="AI78" i="4" s="1"/>
  <c r="AF299" i="7" s="1"/>
  <c r="AI842" i="2"/>
  <c r="AJ834" i="2"/>
  <c r="AJ831" i="2"/>
  <c r="AH847" i="2"/>
  <c r="AH843" i="2" s="1"/>
  <c r="AH853" i="2" s="1"/>
  <c r="AH848" i="2"/>
  <c r="AH849" i="2" s="1"/>
  <c r="AH844" i="2"/>
  <c r="AH845" i="2" s="1"/>
  <c r="AG765" i="2"/>
  <c r="AH822" i="2"/>
  <c r="AH823" i="2" s="1"/>
  <c r="AH821" i="2"/>
  <c r="AH817" i="2" s="1"/>
  <c r="AH827" i="2" s="1"/>
  <c r="AH818" i="2"/>
  <c r="AH819" i="2" s="1"/>
  <c r="AJ805" i="2"/>
  <c r="AJ808" i="2"/>
  <c r="AI826" i="2"/>
  <c r="AI816" i="2"/>
  <c r="AI820" i="2"/>
  <c r="AI811" i="2" s="1"/>
  <c r="AI77" i="4" s="1"/>
  <c r="AF298" i="7" s="1"/>
  <c r="AH759" i="2"/>
  <c r="AH75" i="4" s="1"/>
  <c r="AE296" i="7" s="1"/>
  <c r="AI814" i="2"/>
  <c r="AI815" i="2"/>
  <c r="AI800" i="2"/>
  <c r="AI790" i="2"/>
  <c r="AI794" i="2"/>
  <c r="AI785" i="2" s="1"/>
  <c r="AI76" i="4" s="1"/>
  <c r="AF297" i="7" s="1"/>
  <c r="AH795" i="2"/>
  <c r="AH791" i="2" s="1"/>
  <c r="AH801" i="2" s="1"/>
  <c r="AH796" i="2"/>
  <c r="AH797" i="2" s="1"/>
  <c r="AH792" i="2"/>
  <c r="AH793" i="2" s="1"/>
  <c r="AJ782" i="2"/>
  <c r="AJ779" i="2"/>
  <c r="AI788" i="2"/>
  <c r="AI789" i="2"/>
  <c r="AJ756" i="2"/>
  <c r="AJ753" i="2"/>
  <c r="AI774" i="2"/>
  <c r="AI764" i="2"/>
  <c r="AI768" i="2"/>
  <c r="AI762" i="2"/>
  <c r="AI763" i="2"/>
  <c r="AH769" i="2"/>
  <c r="AG1299" i="2"/>
  <c r="AG314" i="2"/>
  <c r="AI318" i="2"/>
  <c r="AC217" i="2"/>
  <c r="AC206" i="2" s="1"/>
  <c r="AG383" i="2"/>
  <c r="AG64" i="2"/>
  <c r="V208" i="4"/>
  <c r="AF51" i="2"/>
  <c r="AH63" i="2"/>
  <c r="AD32" i="4"/>
  <c r="AH7" i="4"/>
  <c r="V195" i="4"/>
  <c r="AE128" i="4"/>
  <c r="AE418" i="2"/>
  <c r="AE457" i="4"/>
  <c r="AE430" i="4"/>
  <c r="AI50" i="2"/>
  <c r="AJ61" i="2"/>
  <c r="AJ49" i="2" s="1"/>
  <c r="AJ58" i="2"/>
  <c r="AJ47" i="2"/>
  <c r="AE484" i="4"/>
  <c r="AC216" i="2"/>
  <c r="AA272" i="2"/>
  <c r="AA607" i="2" s="1"/>
  <c r="AI357" i="2"/>
  <c r="AD204" i="2"/>
  <c r="AD28" i="4" s="1"/>
  <c r="AH367" i="2"/>
  <c r="AE393" i="2"/>
  <c r="AE409" i="2"/>
  <c r="AE410" i="2"/>
  <c r="AD416" i="2"/>
  <c r="AD1322" i="2" s="1"/>
  <c r="AD497" i="4"/>
  <c r="AE413" i="2"/>
  <c r="AE1321" i="2" s="1"/>
  <c r="AE202" i="2"/>
  <c r="AE276" i="2" s="1"/>
  <c r="AE592" i="2" s="1"/>
  <c r="W192" i="4"/>
  <c r="W222" i="4" s="1"/>
  <c r="AG9" i="4"/>
  <c r="AH379" i="2"/>
  <c r="AE485" i="4"/>
  <c r="AD50" i="4"/>
  <c r="AE93" i="4"/>
  <c r="AD236" i="4"/>
  <c r="AI378" i="2"/>
  <c r="AH746" i="2"/>
  <c r="AC48" i="4"/>
  <c r="AC238" i="4" s="1"/>
  <c r="AF100" i="4"/>
  <c r="AF96" i="4"/>
  <c r="AF32" i="4"/>
  <c r="AF239" i="4" s="1"/>
  <c r="AI69" i="2"/>
  <c r="W1259" i="2"/>
  <c r="W112" i="4" s="1"/>
  <c r="Y1233" i="2"/>
  <c r="Y1234" i="2" s="1"/>
  <c r="X1232" i="2"/>
  <c r="Y1243" i="2"/>
  <c r="Y1258" i="2"/>
  <c r="X212" i="4"/>
  <c r="X373" i="4"/>
  <c r="X276" i="4"/>
  <c r="Z1233" i="2"/>
  <c r="AI741" i="2"/>
  <c r="AI744" i="2" s="1"/>
  <c r="AI946" i="2" s="1"/>
  <c r="AI172" i="4" s="1"/>
  <c r="AJ1235" i="2"/>
  <c r="AI742" i="2"/>
  <c r="AJ737" i="2"/>
  <c r="AJ743" i="2" s="1"/>
  <c r="AJ945" i="2" s="1"/>
  <c r="AH963" i="2"/>
  <c r="AH139" i="4" s="1"/>
  <c r="AG934" i="2"/>
  <c r="AG941" i="2" s="1"/>
  <c r="AG985" i="2"/>
  <c r="AJ896" i="2"/>
  <c r="AJ890" i="2"/>
  <c r="AH928" i="2"/>
  <c r="AH85" i="4" s="1"/>
  <c r="AE306" i="7" s="1"/>
  <c r="AH984" i="2"/>
  <c r="AH978" i="2" s="1"/>
  <c r="AH140" i="4" s="1"/>
  <c r="AI902" i="2"/>
  <c r="AI905" i="2"/>
  <c r="AI904" i="2"/>
  <c r="AI915" i="2"/>
  <c r="AI909" i="2"/>
  <c r="AI899" i="2" s="1"/>
  <c r="AI82" i="4" s="1"/>
  <c r="AF303" i="7" s="1"/>
  <c r="AH910" i="2"/>
  <c r="AH906" i="2" s="1"/>
  <c r="AH916" i="2" s="1"/>
  <c r="AH911" i="2"/>
  <c r="AH912" i="2" s="1"/>
  <c r="AH907" i="2"/>
  <c r="AH908" i="2" s="1"/>
  <c r="AJ925" i="2"/>
  <c r="AJ923" i="2"/>
  <c r="AH938" i="2"/>
  <c r="AI931" i="2"/>
  <c r="AI932" i="2"/>
  <c r="AI980" i="2" s="1"/>
  <c r="AI940" i="2"/>
  <c r="AI988" i="2" s="1"/>
  <c r="AI937" i="2"/>
  <c r="AI933" i="2"/>
  <c r="AI981" i="2" s="1"/>
  <c r="AI309" i="2"/>
  <c r="AI310" i="2" s="1"/>
  <c r="AH869" i="2"/>
  <c r="AH81" i="4" s="1"/>
  <c r="AE302" i="7" s="1"/>
  <c r="AG876" i="2"/>
  <c r="AG886" i="2" s="1"/>
  <c r="AJ860" i="2"/>
  <c r="AJ866" i="2"/>
  <c r="AH880" i="2"/>
  <c r="AH971" i="2" s="1"/>
  <c r="AI872" i="2"/>
  <c r="AI874" i="2"/>
  <c r="AI966" i="2" s="1"/>
  <c r="AI875" i="2"/>
  <c r="AI885" i="2"/>
  <c r="AI879" i="2"/>
  <c r="AI366" i="2"/>
  <c r="X609" i="2"/>
  <c r="X163" i="4" s="1"/>
  <c r="Y613" i="2"/>
  <c r="AE91" i="2"/>
  <c r="AE431" i="4"/>
  <c r="AD61" i="4"/>
  <c r="AD524" i="2"/>
  <c r="AD554" i="2" s="1"/>
  <c r="AD1302" i="2" s="1"/>
  <c r="AD553" i="2"/>
  <c r="AD565" i="2" s="1"/>
  <c r="AE519" i="2"/>
  <c r="AC559" i="2"/>
  <c r="AC552" i="2"/>
  <c r="AC566" i="2" s="1"/>
  <c r="AC560" i="2"/>
  <c r="AB562" i="2"/>
  <c r="AB564" i="2" s="1"/>
  <c r="AG123" i="2"/>
  <c r="AG124" i="2" s="1"/>
  <c r="AC536" i="2"/>
  <c r="AC538" i="2" s="1"/>
  <c r="AD534" i="2"/>
  <c r="AD526" i="2"/>
  <c r="AE478" i="2"/>
  <c r="AE528" i="2" s="1"/>
  <c r="AE53" i="4"/>
  <c r="AE533" i="2"/>
  <c r="AE458" i="4"/>
  <c r="Z602" i="2"/>
  <c r="Z183" i="4" s="1"/>
  <c r="AE131" i="2"/>
  <c r="AA269" i="2"/>
  <c r="AA270" i="2" s="1"/>
  <c r="AA254" i="2"/>
  <c r="AA278" i="2" s="1"/>
  <c r="AA604" i="2" s="1"/>
  <c r="AA605" i="2" s="1"/>
  <c r="AA606" i="2" s="1"/>
  <c r="Y609" i="2"/>
  <c r="Y631" i="2" s="1"/>
  <c r="Y280" i="2"/>
  <c r="AF236" i="4"/>
  <c r="AI109" i="2"/>
  <c r="Y127" i="4"/>
  <c r="Z256" i="2"/>
  <c r="Z258" i="2" s="1"/>
  <c r="Z273" i="2" s="1"/>
  <c r="AA234" i="2"/>
  <c r="AH110" i="2"/>
  <c r="AB230" i="2"/>
  <c r="AF219" i="2"/>
  <c r="AF221" i="2" s="1"/>
  <c r="AF243" i="2"/>
  <c r="AB229" i="2"/>
  <c r="AC584" i="2"/>
  <c r="AC166" i="4" s="1"/>
  <c r="AC262" i="4" s="1"/>
  <c r="AC588" i="2"/>
  <c r="AC252" i="2"/>
  <c r="AE245" i="2"/>
  <c r="AB262" i="4"/>
  <c r="AD248" i="2"/>
  <c r="AD277" i="2" s="1"/>
  <c r="AD246" i="2"/>
  <c r="AD275" i="2" s="1"/>
  <c r="AD586" i="2" s="1"/>
  <c r="AD587" i="2" s="1"/>
  <c r="AD588" i="2" s="1"/>
  <c r="AC277" i="2"/>
  <c r="AC598" i="2" s="1"/>
  <c r="AB30" i="4"/>
  <c r="AB27" i="4" s="1"/>
  <c r="AB264" i="2"/>
  <c r="AB274" i="2" s="1"/>
  <c r="AB1292" i="2" s="1"/>
  <c r="AB432" i="4" s="1"/>
  <c r="AB265" i="2"/>
  <c r="AB254" i="2" s="1"/>
  <c r="AB271" i="2"/>
  <c r="AD268" i="2"/>
  <c r="AD95" i="4" s="1"/>
  <c r="AD228" i="2"/>
  <c r="AD240" i="2" s="1"/>
  <c r="AC29" i="4"/>
  <c r="AC241" i="2"/>
  <c r="AC230" i="2" s="1"/>
  <c r="AC240" i="2"/>
  <c r="AE224" i="2"/>
  <c r="AE222" i="2"/>
  <c r="AE92" i="2"/>
  <c r="AE133" i="2" s="1"/>
  <c r="AJ260" i="2"/>
  <c r="AJ262" i="2"/>
  <c r="AJ244" i="2"/>
  <c r="AJ250" i="2"/>
  <c r="AJ236" i="2"/>
  <c r="AJ220" i="2"/>
  <c r="AJ238" i="2"/>
  <c r="AJ226" i="2"/>
  <c r="AH488" i="2"/>
  <c r="AH54" i="4"/>
  <c r="AG103" i="2"/>
  <c r="AG104" i="2" s="1"/>
  <c r="AG91" i="2" s="1"/>
  <c r="AJ485" i="2"/>
  <c r="AJ486" i="2"/>
  <c r="AJ482" i="2"/>
  <c r="AI89" i="2"/>
  <c r="AH90" i="2"/>
  <c r="AJ475" i="2"/>
  <c r="AJ476" i="2"/>
  <c r="AJ472" i="2"/>
  <c r="AF196" i="2"/>
  <c r="AG8" i="4"/>
  <c r="AH468" i="2"/>
  <c r="AH52" i="4"/>
  <c r="AF91" i="2"/>
  <c r="AI463" i="2"/>
  <c r="AJ465" i="2"/>
  <c r="AJ466" i="2"/>
  <c r="AJ462" i="2"/>
  <c r="AJ521" i="2"/>
  <c r="AJ522" i="2"/>
  <c r="AJ518" i="2"/>
  <c r="AF529" i="2"/>
  <c r="AH458" i="2"/>
  <c r="AH51" i="4"/>
  <c r="AJ455" i="2"/>
  <c r="AJ456" i="2"/>
  <c r="AJ452" i="2"/>
  <c r="AI453" i="2"/>
  <c r="AH70" i="2"/>
  <c r="AA600" i="2"/>
  <c r="AG83" i="2"/>
  <c r="AA261" i="4"/>
  <c r="Z261" i="4"/>
  <c r="AD397" i="2"/>
  <c r="AC401" i="2"/>
  <c r="AB599" i="2"/>
  <c r="AJ321" i="2"/>
  <c r="AJ317" i="2"/>
  <c r="AJ312" i="2"/>
  <c r="AJ308" i="2"/>
  <c r="AJ381" i="2"/>
  <c r="AJ377" i="2"/>
  <c r="AF413" i="2"/>
  <c r="AF416" i="2" s="1"/>
  <c r="AF1322" i="2" s="1"/>
  <c r="AJ369" i="2"/>
  <c r="AJ365" i="2"/>
  <c r="AG363" i="2"/>
  <c r="AG42" i="4" s="1"/>
  <c r="AJ360" i="2"/>
  <c r="AJ356" i="2"/>
  <c r="AL117" i="2"/>
  <c r="AL97" i="2"/>
  <c r="AE116" i="10"/>
  <c r="AE117" i="10" s="1"/>
  <c r="AE115" i="10" s="1"/>
  <c r="AF112" i="10" s="1"/>
  <c r="AK57" i="10"/>
  <c r="AK62" i="10"/>
  <c r="AC1199" i="2"/>
  <c r="AB1198" i="2"/>
  <c r="AB260" i="4"/>
  <c r="AJ121" i="2"/>
  <c r="AJ118" i="2"/>
  <c r="AJ108" i="2"/>
  <c r="AF112" i="2"/>
  <c r="AF71" i="2"/>
  <c r="AJ101" i="2"/>
  <c r="AJ98" i="2"/>
  <c r="AJ88" i="2"/>
  <c r="AH173" i="2"/>
  <c r="AH177" i="2" s="1"/>
  <c r="AH190" i="2" s="1"/>
  <c r="AH179" i="2" s="1"/>
  <c r="AC572" i="2"/>
  <c r="AC162" i="4" s="1"/>
  <c r="AD183" i="2"/>
  <c r="AF189" i="2"/>
  <c r="AF72" i="2"/>
  <c r="AC590" i="2"/>
  <c r="AC165" i="4" s="1"/>
  <c r="AG10" i="2"/>
  <c r="AE1310" i="2"/>
  <c r="AG177" i="2"/>
  <c r="AG190" i="2" s="1"/>
  <c r="AF181" i="2" s="1"/>
  <c r="AF178" i="2"/>
  <c r="AE181" i="2"/>
  <c r="AE183" i="2" s="1"/>
  <c r="AF179" i="2"/>
  <c r="AI145" i="2"/>
  <c r="AF165" i="2"/>
  <c r="AF154" i="2" s="1"/>
  <c r="AF164" i="2"/>
  <c r="AI289" i="2"/>
  <c r="AI293" i="2" s="1"/>
  <c r="AI294" i="2" s="1"/>
  <c r="AG152" i="2"/>
  <c r="AG164" i="2" s="1"/>
  <c r="AD1107" i="2"/>
  <c r="AE1106" i="2" s="1"/>
  <c r="S79" i="10"/>
  <c r="AH503" i="4"/>
  <c r="AI665" i="2"/>
  <c r="AI666" i="2"/>
  <c r="AI694" i="2"/>
  <c r="AI696" i="2"/>
  <c r="AI697" i="2"/>
  <c r="AI9" i="2"/>
  <c r="AI1274" i="2"/>
  <c r="AI1276" i="2" s="1"/>
  <c r="AH21" i="2"/>
  <c r="AL299" i="2"/>
  <c r="AL290" i="2"/>
  <c r="AC1105" i="2"/>
  <c r="AF138" i="4"/>
  <c r="AF144" i="4" s="1"/>
  <c r="AF990" i="2"/>
  <c r="AF484" i="4"/>
  <c r="AF430" i="4"/>
  <c r="AF457" i="4"/>
  <c r="AF414" i="2"/>
  <c r="AF617" i="2" s="1"/>
  <c r="AP55" i="1"/>
  <c r="AQ54" i="1"/>
  <c r="AG29" i="2"/>
  <c r="AC98" i="4"/>
  <c r="AE619" i="2"/>
  <c r="AJ1281" i="2"/>
  <c r="AJ1272" i="2"/>
  <c r="AJ1032" i="2"/>
  <c r="AJ1031" i="2" s="1"/>
  <c r="AJ659" i="2"/>
  <c r="AJ628" i="2"/>
  <c r="AJ629" i="2" s="1"/>
  <c r="AJ555" i="2"/>
  <c r="AJ544" i="2"/>
  <c r="AJ443" i="2"/>
  <c r="AJ407" i="2"/>
  <c r="AJ214" i="2"/>
  <c r="AJ160" i="2"/>
  <c r="AJ1335" i="2"/>
  <c r="AJ1279" i="2"/>
  <c r="AJ1220" i="2"/>
  <c r="AJ1221" i="2" s="1"/>
  <c r="AJ1136" i="2"/>
  <c r="AJ714" i="2"/>
  <c r="AJ431" i="2"/>
  <c r="AJ391" i="2"/>
  <c r="AJ300" i="2"/>
  <c r="AJ297" i="2" s="1"/>
  <c r="AJ291" i="2"/>
  <c r="AJ212" i="2"/>
  <c r="AJ1201" i="2"/>
  <c r="AJ1202" i="2" s="1"/>
  <c r="AJ1178" i="2"/>
  <c r="AJ197" i="4" s="1"/>
  <c r="AJ1146" i="2"/>
  <c r="AJ1147" i="2" s="1"/>
  <c r="AJ1108" i="2"/>
  <c r="AJ1109" i="2" s="1"/>
  <c r="AJ1033" i="2"/>
  <c r="AJ288" i="2"/>
  <c r="AJ168" i="2"/>
  <c r="AJ167" i="2" s="1"/>
  <c r="AJ26" i="2"/>
  <c r="AJ25" i="2" s="1"/>
  <c r="AJ712" i="2"/>
  <c r="AJ682" i="2"/>
  <c r="AJ287" i="2"/>
  <c r="AJ1278" i="2"/>
  <c r="AJ1028" i="2"/>
  <c r="AJ1012" i="2"/>
  <c r="AJ1011" i="2" s="1"/>
  <c r="AJ531" i="2"/>
  <c r="AJ442" i="2"/>
  <c r="AJ296" i="2"/>
  <c r="AJ8" i="2"/>
  <c r="AJ557" i="2"/>
  <c r="AJ427" i="2"/>
  <c r="AJ185" i="2"/>
  <c r="AJ162" i="2"/>
  <c r="AJ39" i="2"/>
  <c r="AJ27" i="2" s="1"/>
  <c r="AJ19" i="2"/>
  <c r="AJ1150" i="2"/>
  <c r="AJ1151" i="2" s="1"/>
  <c r="AJ1026" i="2"/>
  <c r="AJ656" i="2"/>
  <c r="AJ438" i="2"/>
  <c r="AJ437" i="2" s="1"/>
  <c r="AJ389" i="2"/>
  <c r="AJ17" i="2"/>
  <c r="AJ1017" i="2"/>
  <c r="AJ187" i="2"/>
  <c r="AJ169" i="2" s="1"/>
  <c r="AJ1275" i="2"/>
  <c r="AJ432" i="2"/>
  <c r="AJ542" i="2"/>
  <c r="AJ143" i="2"/>
  <c r="AJ643" i="2"/>
  <c r="AJ623" i="2"/>
  <c r="AJ624" i="2" s="1"/>
  <c r="AJ405" i="2"/>
  <c r="AJ7" i="2"/>
  <c r="AJ144" i="2"/>
  <c r="AJ1120" i="2"/>
  <c r="AJ1121" i="2" s="1"/>
  <c r="AJ1037" i="2"/>
  <c r="AJ1273" i="2"/>
  <c r="AJ428" i="2"/>
  <c r="AJ36" i="2"/>
  <c r="AJ688" i="2"/>
  <c r="AJ81" i="2"/>
  <c r="AJ78" i="2"/>
  <c r="AJ150" i="2"/>
  <c r="AJ1208" i="2"/>
  <c r="AJ1209" i="2" s="1"/>
  <c r="AJ175" i="2"/>
  <c r="AH302" i="2"/>
  <c r="AH303" i="2" s="1"/>
  <c r="AH652" i="2"/>
  <c r="AD615" i="2"/>
  <c r="AD186" i="4" s="1"/>
  <c r="AK80" i="1"/>
  <c r="AL81" i="1"/>
  <c r="AE374" i="4"/>
  <c r="AE277" i="4"/>
  <c r="AE324" i="4"/>
  <c r="AE1184" i="2"/>
  <c r="AE1264" i="2"/>
  <c r="AF399" i="2"/>
  <c r="AR82" i="10"/>
  <c r="AQ68" i="10"/>
  <c r="AF11" i="2"/>
  <c r="AG11" i="2" s="1"/>
  <c r="AD593" i="2"/>
  <c r="AD590" i="2" s="1"/>
  <c r="AD165" i="4" s="1"/>
  <c r="AG991" i="2"/>
  <c r="AG1305" i="2" s="1"/>
  <c r="AG949" i="2"/>
  <c r="AF1118" i="2"/>
  <c r="AL184" i="2"/>
  <c r="AL211" i="2"/>
  <c r="AL159" i="2"/>
  <c r="AI729" i="2"/>
  <c r="AI722" i="2"/>
  <c r="AI726" i="2"/>
  <c r="AI717" i="2" s="1"/>
  <c r="AI298" i="2"/>
  <c r="AH146" i="2"/>
  <c r="AH148" i="2"/>
  <c r="AF10" i="2"/>
  <c r="AF110" i="10"/>
  <c r="AF108" i="10" s="1"/>
  <c r="AG105" i="10" s="1"/>
  <c r="AI677" i="2"/>
  <c r="AI667" i="2"/>
  <c r="AI671" i="2"/>
  <c r="AI662" i="2" s="1"/>
  <c r="AH197" i="2"/>
  <c r="AH194" i="2"/>
  <c r="AQ106" i="10"/>
  <c r="AK1091" i="2"/>
  <c r="AK1090" i="2" s="1"/>
  <c r="AJ1092" i="2"/>
  <c r="AQ75" i="10"/>
  <c r="AK87" i="1"/>
  <c r="AJ91" i="1"/>
  <c r="AK2" i="5"/>
  <c r="AK2" i="4"/>
  <c r="AK2" i="2"/>
  <c r="AK2" i="10"/>
  <c r="AK2" i="1"/>
  <c r="AL25" i="1"/>
  <c r="AG19" i="4"/>
  <c r="AG18" i="4" s="1"/>
  <c r="AG196" i="2"/>
  <c r="AH702" i="2"/>
  <c r="AH698" i="2" s="1"/>
  <c r="AH708" i="2" s="1"/>
  <c r="AH703" i="2"/>
  <c r="AH704" i="2" s="1"/>
  <c r="AH699" i="2"/>
  <c r="AH700" i="2" s="1"/>
  <c r="AL430" i="2"/>
  <c r="AL441" i="2"/>
  <c r="AH727" i="2"/>
  <c r="AH723" i="2" s="1"/>
  <c r="AH730" i="2" s="1"/>
  <c r="AH724" i="2"/>
  <c r="AH725" i="2" s="1"/>
  <c r="AI170" i="2"/>
  <c r="AI1039" i="2"/>
  <c r="AI1038" i="2"/>
  <c r="AI28" i="2"/>
  <c r="AI720" i="2"/>
  <c r="AI721" i="2"/>
  <c r="AL1083" i="2"/>
  <c r="AL1082" i="2" s="1"/>
  <c r="AK1084" i="2"/>
  <c r="AP61" i="1"/>
  <c r="AQ60" i="1"/>
  <c r="V84" i="10"/>
  <c r="V85" i="10" s="1"/>
  <c r="AJ146" i="1"/>
  <c r="AJ59" i="1"/>
  <c r="AJ120" i="1"/>
  <c r="AJ45" i="1"/>
  <c r="AJ44" i="1"/>
  <c r="AJ53" i="1"/>
  <c r="AJ131" i="1"/>
  <c r="AJ123" i="1"/>
  <c r="AJ140" i="1"/>
  <c r="AL35" i="2"/>
  <c r="AL77" i="2"/>
  <c r="AL16" i="2"/>
  <c r="AF1307" i="2"/>
  <c r="AI707" i="2"/>
  <c r="AI701" i="2"/>
  <c r="AI691" i="2" s="1"/>
  <c r="AI429" i="2"/>
  <c r="AI434" i="2" s="1"/>
  <c r="AG539" i="2"/>
  <c r="AG546" i="2"/>
  <c r="AF549" i="2"/>
  <c r="AF551" i="2" s="1"/>
  <c r="AG547" i="2"/>
  <c r="AH41" i="2"/>
  <c r="AH42" i="2" s="1"/>
  <c r="AH30" i="2" s="1"/>
  <c r="AA210" i="2"/>
  <c r="AJ370" i="4"/>
  <c r="AJ194" i="4"/>
  <c r="AJ298" i="4"/>
  <c r="AJ412" i="4"/>
  <c r="AJ384" i="4"/>
  <c r="AJ342" i="4"/>
  <c r="AJ293" i="4"/>
  <c r="AJ273" i="4"/>
  <c r="AJ332" i="4"/>
  <c r="AJ199" i="4"/>
  <c r="AJ389" i="4"/>
  <c r="AJ347" i="4"/>
  <c r="AJ283" i="4"/>
  <c r="AJ178" i="4"/>
  <c r="AJ189" i="4"/>
  <c r="AJ321" i="4"/>
  <c r="AJ169" i="4"/>
  <c r="AM292" i="4"/>
  <c r="AM341" i="4"/>
  <c r="AM383" i="4"/>
  <c r="AM47" i="1"/>
  <c r="AM57" i="2" s="1"/>
  <c r="AM49" i="1"/>
  <c r="AM48" i="1"/>
  <c r="AN43" i="1"/>
  <c r="AM50" i="1"/>
  <c r="AG177" i="4"/>
  <c r="AL1063" i="2"/>
  <c r="AL1062" i="2" s="1"/>
  <c r="AK1061" i="2"/>
  <c r="AH672" i="2"/>
  <c r="AH668" i="2" s="1"/>
  <c r="AH678" i="2" s="1"/>
  <c r="AH673" i="2"/>
  <c r="AH674" i="2" s="1"/>
  <c r="AH669" i="2"/>
  <c r="AH670" i="2" s="1"/>
  <c r="AQ113" i="10"/>
  <c r="AF393" i="2"/>
  <c r="AF410" i="2"/>
  <c r="AJ65" i="10"/>
  <c r="AJ133" i="10"/>
  <c r="AJ136" i="10"/>
  <c r="AJ188" i="4" s="1"/>
  <c r="AJ93" i="10"/>
  <c r="AJ168" i="4" s="1"/>
  <c r="AJ135" i="10"/>
  <c r="AJ97" i="10"/>
  <c r="AJ176" i="4" s="1"/>
  <c r="AJ70" i="10"/>
  <c r="AJ71" i="10" s="1"/>
  <c r="AJ72" i="10" s="1"/>
  <c r="AP86" i="1"/>
  <c r="AI647" i="2"/>
  <c r="AI650" i="2" s="1"/>
  <c r="AI648" i="2"/>
  <c r="AI649" i="2"/>
  <c r="AI1280" i="2"/>
  <c r="AI1282" i="2" s="1"/>
  <c r="AI629" i="2"/>
  <c r="AI967" i="2" l="1"/>
  <c r="AI56" i="4"/>
  <c r="E165" i="7"/>
  <c r="E117" i="7"/>
  <c r="D128" i="7"/>
  <c r="AG471" i="2"/>
  <c r="AG473" i="2" s="1"/>
  <c r="AG527" i="2" s="1"/>
  <c r="E126" i="7"/>
  <c r="E161" i="7"/>
  <c r="E99" i="7"/>
  <c r="E95" i="7"/>
  <c r="E160" i="7"/>
  <c r="AI977" i="2"/>
  <c r="AJ503" i="2"/>
  <c r="AK506" i="2"/>
  <c r="AK505" i="2"/>
  <c r="AK501" i="2"/>
  <c r="AK502" i="2"/>
  <c r="AI498" i="2"/>
  <c r="AI55" i="4"/>
  <c r="AJ493" i="2"/>
  <c r="AJ55" i="4" s="1"/>
  <c r="AG996" i="2"/>
  <c r="AK495" i="2"/>
  <c r="AK496" i="2"/>
  <c r="AK492" i="2"/>
  <c r="AK491" i="2"/>
  <c r="AI970" i="2"/>
  <c r="AI195" i="2"/>
  <c r="AI197" i="2" s="1"/>
  <c r="AJ411" i="2"/>
  <c r="AH395" i="2"/>
  <c r="AH1299" i="2"/>
  <c r="AG388" i="2"/>
  <c r="AG386" i="2" s="1"/>
  <c r="AH387" i="2"/>
  <c r="AI1013" i="2"/>
  <c r="AI1014" i="2" s="1"/>
  <c r="AC775" i="2"/>
  <c r="AC995" i="2" s="1"/>
  <c r="AK344" i="2"/>
  <c r="AK348" i="2"/>
  <c r="AK345" i="2" s="1"/>
  <c r="AI350" i="2"/>
  <c r="AI351" i="2" s="1"/>
  <c r="AI39" i="4" s="1"/>
  <c r="AJ346" i="2"/>
  <c r="AJ337" i="2"/>
  <c r="AJ341" i="2" s="1"/>
  <c r="AJ342" i="2" s="1"/>
  <c r="AJ38" i="4" s="1"/>
  <c r="AK335" i="2"/>
  <c r="AK339" i="2"/>
  <c r="AK336" i="2" s="1"/>
  <c r="AG315" i="2"/>
  <c r="AG35" i="4" s="1"/>
  <c r="AK68" i="2"/>
  <c r="AK326" i="2"/>
  <c r="AK330" i="2"/>
  <c r="AK327" i="2" s="1"/>
  <c r="Y1219" i="2"/>
  <c r="Y1217" i="2" s="1"/>
  <c r="AI332" i="2"/>
  <c r="AI333" i="2" s="1"/>
  <c r="AI37" i="4" s="1"/>
  <c r="AJ328" i="2"/>
  <c r="AH362" i="2"/>
  <c r="AI358" i="2"/>
  <c r="AG41" i="4"/>
  <c r="AH9" i="4"/>
  <c r="AI319" i="2"/>
  <c r="AH323" i="2"/>
  <c r="AH324" i="2" s="1"/>
  <c r="AH36" i="4" s="1"/>
  <c r="AE100" i="4"/>
  <c r="AE96" i="4"/>
  <c r="AD576" i="2"/>
  <c r="AJ107" i="2"/>
  <c r="AJ87" i="2"/>
  <c r="AH128" i="2"/>
  <c r="AH471" i="2" s="1"/>
  <c r="AG130" i="2"/>
  <c r="AG1291" i="2" s="1"/>
  <c r="AH64" i="2"/>
  <c r="AH51" i="2" s="1"/>
  <c r="AG517" i="2"/>
  <c r="AJ67" i="2"/>
  <c r="AG6" i="4"/>
  <c r="O1336" i="2"/>
  <c r="O1334" i="2" s="1"/>
  <c r="AJ439" i="2"/>
  <c r="AJ440" i="2" s="1"/>
  <c r="AJ445" i="2" s="1"/>
  <c r="AF92" i="2"/>
  <c r="AG92" i="2" s="1"/>
  <c r="AH142" i="4"/>
  <c r="AG412" i="2"/>
  <c r="AG484" i="4" s="1"/>
  <c r="AE32" i="4"/>
  <c r="AH371" i="2"/>
  <c r="AH372" i="2" s="1"/>
  <c r="AH43" i="4" s="1"/>
  <c r="AG55" i="10"/>
  <c r="AG205" i="4"/>
  <c r="AG68" i="1"/>
  <c r="AG284" i="2"/>
  <c r="AG1" i="4"/>
  <c r="AG1" i="2"/>
  <c r="AG366" i="4"/>
  <c r="AG4" i="5"/>
  <c r="AG638" i="2"/>
  <c r="AG233" i="4"/>
  <c r="AG4" i="4"/>
  <c r="AG1" i="10"/>
  <c r="AG1189" i="2"/>
  <c r="AG1142" i="2"/>
  <c r="AG1056" i="2"/>
  <c r="AG1000" i="2"/>
  <c r="AG423" i="2"/>
  <c r="AG69" i="4"/>
  <c r="AG102" i="10"/>
  <c r="AG408" i="4"/>
  <c r="AG90" i="10"/>
  <c r="AG38" i="1"/>
  <c r="AG1" i="5"/>
  <c r="AG25" i="4"/>
  <c r="AG1168" i="2"/>
  <c r="AG4" i="2"/>
  <c r="AG1269" i="2"/>
  <c r="AG1096" i="2"/>
  <c r="AG269" i="4"/>
  <c r="AG317" i="4"/>
  <c r="AG140" i="2"/>
  <c r="AG570" i="2"/>
  <c r="AG14" i="1"/>
  <c r="AG159" i="4"/>
  <c r="AI955" i="2"/>
  <c r="AG14" i="4"/>
  <c r="AG124" i="4"/>
  <c r="AG91" i="4"/>
  <c r="AG113" i="1"/>
  <c r="AM311" i="2"/>
  <c r="AM368" i="2"/>
  <c r="AM359" i="2"/>
  <c r="AM320" i="2"/>
  <c r="AM380" i="2"/>
  <c r="R174" i="4"/>
  <c r="R1318" i="2"/>
  <c r="R107" i="4"/>
  <c r="R65" i="4"/>
  <c r="S881" i="2"/>
  <c r="S972" i="2" s="1"/>
  <c r="O1332" i="2"/>
  <c r="O1333" i="2" s="1"/>
  <c r="AI962" i="2"/>
  <c r="N1327" i="2"/>
  <c r="N493" i="4"/>
  <c r="P1328" i="2"/>
  <c r="P492" i="4"/>
  <c r="Q495" i="4"/>
  <c r="Q103" i="4"/>
  <c r="Q104" i="4" s="1"/>
  <c r="Q247" i="4" s="1"/>
  <c r="Q1314" i="2"/>
  <c r="Q1315" i="2" s="1"/>
  <c r="R958" i="2"/>
  <c r="S770" i="2"/>
  <c r="AI219" i="4"/>
  <c r="AH220" i="4"/>
  <c r="AH956" i="2"/>
  <c r="S936" i="2"/>
  <c r="S982" i="2"/>
  <c r="AI29" i="1"/>
  <c r="AI27" i="1"/>
  <c r="AI28" i="1"/>
  <c r="AJ26" i="1"/>
  <c r="AM259" i="2"/>
  <c r="AM235" i="2"/>
  <c r="AM474" i="2"/>
  <c r="AM484" i="2"/>
  <c r="AM520" i="2"/>
  <c r="AM464" i="2"/>
  <c r="AM454" i="2"/>
  <c r="S878" i="2"/>
  <c r="S969" i="2" s="1"/>
  <c r="R954" i="2"/>
  <c r="S766" i="2"/>
  <c r="AH34" i="1"/>
  <c r="AI951" i="2"/>
  <c r="AI952" i="2"/>
  <c r="AJ852" i="2"/>
  <c r="AJ846" i="2"/>
  <c r="AJ837" i="2" s="1"/>
  <c r="AJ78" i="4" s="1"/>
  <c r="AG299" i="7" s="1"/>
  <c r="AJ842" i="2"/>
  <c r="AK834" i="2"/>
  <c r="AK831" i="2"/>
  <c r="AI847" i="2"/>
  <c r="AI843" i="2" s="1"/>
  <c r="AI853" i="2" s="1"/>
  <c r="AI848" i="2"/>
  <c r="AI849" i="2" s="1"/>
  <c r="AI844" i="2"/>
  <c r="AI845" i="2" s="1"/>
  <c r="AJ840" i="2"/>
  <c r="AJ841" i="2"/>
  <c r="AH765" i="2"/>
  <c r="AK808" i="2"/>
  <c r="AK805" i="2"/>
  <c r="AI759" i="2"/>
  <c r="AI75" i="4" s="1"/>
  <c r="AF296" i="7" s="1"/>
  <c r="AJ826" i="2"/>
  <c r="AJ816" i="2"/>
  <c r="AJ820" i="2"/>
  <c r="AJ811" i="2" s="1"/>
  <c r="AJ77" i="4" s="1"/>
  <c r="AG298" i="7" s="1"/>
  <c r="AJ814" i="2"/>
  <c r="AJ815" i="2"/>
  <c r="AI821" i="2"/>
  <c r="AI817" i="2" s="1"/>
  <c r="AI827" i="2" s="1"/>
  <c r="AI822" i="2"/>
  <c r="AI823" i="2" s="1"/>
  <c r="AI818" i="2"/>
  <c r="AI819" i="2" s="1"/>
  <c r="AJ318" i="2"/>
  <c r="AJ319" i="2" s="1"/>
  <c r="AB208" i="2"/>
  <c r="AB210" i="2" s="1"/>
  <c r="AJ788" i="2"/>
  <c r="AJ789" i="2"/>
  <c r="AJ800" i="2"/>
  <c r="AJ790" i="2"/>
  <c r="AJ794" i="2"/>
  <c r="AJ785" i="2" s="1"/>
  <c r="AJ76" i="4" s="1"/>
  <c r="AG297" i="7" s="1"/>
  <c r="AK782" i="2"/>
  <c r="AK779" i="2"/>
  <c r="AI795" i="2"/>
  <c r="AI791" i="2" s="1"/>
  <c r="AI801" i="2" s="1"/>
  <c r="AI796" i="2"/>
  <c r="AI797" i="2" s="1"/>
  <c r="AI792" i="2"/>
  <c r="AI793" i="2" s="1"/>
  <c r="AI769" i="2"/>
  <c r="AJ481" i="2"/>
  <c r="AJ483" i="2" s="1"/>
  <c r="AK753" i="2"/>
  <c r="AK756" i="2"/>
  <c r="AJ762" i="2"/>
  <c r="AJ763" i="2"/>
  <c r="AJ774" i="2"/>
  <c r="AJ768" i="2"/>
  <c r="AJ764" i="2"/>
  <c r="AH383" i="2"/>
  <c r="AH404" i="2" s="1"/>
  <c r="AH403" i="2"/>
  <c r="AG384" i="2"/>
  <c r="AG46" i="4" s="1"/>
  <c r="AG404" i="2"/>
  <c r="AG402" i="2" s="1"/>
  <c r="AC205" i="2"/>
  <c r="AD239" i="4"/>
  <c r="AD216" i="2"/>
  <c r="AJ357" i="2"/>
  <c r="AD217" i="2"/>
  <c r="AD205" i="2" s="1"/>
  <c r="AG51" i="2"/>
  <c r="AG52" i="2"/>
  <c r="W195" i="4"/>
  <c r="W208" i="4"/>
  <c r="AI7" i="4"/>
  <c r="AE574" i="2"/>
  <c r="AE575" i="2" s="1"/>
  <c r="AE576" i="2" s="1"/>
  <c r="AE416" i="2"/>
  <c r="AE1322" i="2" s="1"/>
  <c r="AK61" i="2"/>
  <c r="AK49" i="2" s="1"/>
  <c r="AK58" i="2"/>
  <c r="AK47" i="2"/>
  <c r="AI63" i="2"/>
  <c r="AJ50" i="2"/>
  <c r="AF202" i="2"/>
  <c r="AF276" i="2" s="1"/>
  <c r="AF592" i="2" s="1"/>
  <c r="AD419" i="2"/>
  <c r="AD1323" i="2" s="1"/>
  <c r="AD464" i="4" s="1"/>
  <c r="AI379" i="2"/>
  <c r="AI403" i="2" s="1"/>
  <c r="AE497" i="4"/>
  <c r="AE204" i="2"/>
  <c r="AE217" i="2" s="1"/>
  <c r="W241" i="4"/>
  <c r="Y1251" i="2"/>
  <c r="Y108" i="4" s="1"/>
  <c r="AH10" i="4"/>
  <c r="AJ378" i="2"/>
  <c r="AJ379" i="2" s="1"/>
  <c r="AJ403" i="2" s="1"/>
  <c r="AD97" i="4"/>
  <c r="AD60" i="4"/>
  <c r="AI367" i="2"/>
  <c r="AI371" i="2" s="1"/>
  <c r="AI372" i="2" s="1"/>
  <c r="AI43" i="4" s="1"/>
  <c r="AE50" i="4"/>
  <c r="AD237" i="4"/>
  <c r="AE236" i="4"/>
  <c r="AI746" i="2"/>
  <c r="AJ69" i="2"/>
  <c r="AI944" i="2"/>
  <c r="AJ741" i="2"/>
  <c r="AJ744" i="2" s="1"/>
  <c r="AJ946" i="2" s="1"/>
  <c r="AJ172" i="4" s="1"/>
  <c r="X1253" i="2"/>
  <c r="Y1257" i="2"/>
  <c r="Z1242" i="2"/>
  <c r="Y1232" i="2"/>
  <c r="Y1252" i="2"/>
  <c r="Y130" i="4" s="1"/>
  <c r="Z1251" i="2"/>
  <c r="Z108" i="4" s="1"/>
  <c r="Z1234" i="2"/>
  <c r="AK1235" i="2"/>
  <c r="X631" i="2"/>
  <c r="AK737" i="2"/>
  <c r="AK742" i="2" s="1"/>
  <c r="AK944" i="2" s="1"/>
  <c r="AJ742" i="2"/>
  <c r="AJ944" i="2" s="1"/>
  <c r="AI963" i="2"/>
  <c r="AI139" i="4" s="1"/>
  <c r="AH934" i="2"/>
  <c r="AH941" i="2" s="1"/>
  <c r="AH985" i="2"/>
  <c r="AI910" i="2"/>
  <c r="AI906" i="2" s="1"/>
  <c r="AI916" i="2" s="1"/>
  <c r="AI911" i="2"/>
  <c r="AI912" i="2" s="1"/>
  <c r="AI907" i="2"/>
  <c r="AI908" i="2" s="1"/>
  <c r="AI928" i="2"/>
  <c r="AI85" i="4" s="1"/>
  <c r="AF306" i="7" s="1"/>
  <c r="AI984" i="2"/>
  <c r="AI978" i="2" s="1"/>
  <c r="AI140" i="4" s="1"/>
  <c r="AK896" i="2"/>
  <c r="AK890" i="2"/>
  <c r="AJ902" i="2"/>
  <c r="AJ904" i="2"/>
  <c r="AJ905" i="2"/>
  <c r="AJ915" i="2"/>
  <c r="AJ909" i="2"/>
  <c r="AJ899" i="2" s="1"/>
  <c r="AJ82" i="4" s="1"/>
  <c r="AG303" i="7" s="1"/>
  <c r="AJ309" i="2"/>
  <c r="AK923" i="2"/>
  <c r="AK925" i="2"/>
  <c r="AH627" i="2"/>
  <c r="AH626" i="2" s="1"/>
  <c r="AH184" i="4" s="1"/>
  <c r="AI938" i="2"/>
  <c r="AJ931" i="2"/>
  <c r="AJ932" i="2"/>
  <c r="AJ980" i="2" s="1"/>
  <c r="AJ940" i="2"/>
  <c r="AJ988" i="2" s="1"/>
  <c r="AJ937" i="2"/>
  <c r="AJ933" i="2"/>
  <c r="AJ981" i="2" s="1"/>
  <c r="AI869" i="2"/>
  <c r="AI81" i="4" s="1"/>
  <c r="AF302" i="7" s="1"/>
  <c r="AH876" i="2"/>
  <c r="AH886" i="2" s="1"/>
  <c r="Y163" i="4"/>
  <c r="AJ366" i="2"/>
  <c r="AJ367" i="2" s="1"/>
  <c r="AK866" i="2"/>
  <c r="AK860" i="2"/>
  <c r="AJ885" i="2"/>
  <c r="AJ879" i="2"/>
  <c r="AI880" i="2"/>
  <c r="AJ872" i="2"/>
  <c r="AJ874" i="2"/>
  <c r="AJ875" i="2"/>
  <c r="AJ967" i="2" s="1"/>
  <c r="AG112" i="2"/>
  <c r="AG111" i="2"/>
  <c r="AF519" i="2"/>
  <c r="AE61" i="4"/>
  <c r="AE553" i="2"/>
  <c r="AE565" i="2" s="1"/>
  <c r="AE524" i="2"/>
  <c r="AE554" i="2" s="1"/>
  <c r="AE1302" i="2" s="1"/>
  <c r="AD559" i="2"/>
  <c r="AD552" i="2"/>
  <c r="AD566" i="2" s="1"/>
  <c r="AD560" i="2"/>
  <c r="AC562" i="2"/>
  <c r="AC564" i="2" s="1"/>
  <c r="AF53" i="4"/>
  <c r="AF50" i="4" s="1"/>
  <c r="AF533" i="2"/>
  <c r="AF478" i="2"/>
  <c r="AF528" i="2" s="1"/>
  <c r="AE526" i="2"/>
  <c r="AE534" i="2"/>
  <c r="AD536" i="2"/>
  <c r="AD538" i="2" s="1"/>
  <c r="AA1301" i="2"/>
  <c r="AD252" i="2"/>
  <c r="AD30" i="4" s="1"/>
  <c r="AH123" i="2"/>
  <c r="AH124" i="2" s="1"/>
  <c r="AI110" i="2"/>
  <c r="AI10" i="4" s="1"/>
  <c r="AJ109" i="2"/>
  <c r="AB253" i="2"/>
  <c r="AB272" i="2" s="1"/>
  <c r="AB607" i="2" s="1"/>
  <c r="AA602" i="2"/>
  <c r="AA183" i="4" s="1"/>
  <c r="Z127" i="4"/>
  <c r="AB459" i="4"/>
  <c r="Z279" i="2"/>
  <c r="Z611" i="2" s="1"/>
  <c r="Z612" i="2" s="1"/>
  <c r="Z609" i="2" s="1"/>
  <c r="Z631" i="2" s="1"/>
  <c r="AB278" i="2"/>
  <c r="AB604" i="2" s="1"/>
  <c r="AB605" i="2" s="1"/>
  <c r="AB606" i="2" s="1"/>
  <c r="AB486" i="4"/>
  <c r="AG219" i="2"/>
  <c r="AG221" i="2" s="1"/>
  <c r="AG243" i="2"/>
  <c r="AD584" i="2"/>
  <c r="AD166" i="4" s="1"/>
  <c r="AD262" i="4" s="1"/>
  <c r="AF245" i="2"/>
  <c r="AF268" i="2" s="1"/>
  <c r="AF95" i="4" s="1"/>
  <c r="AF237" i="4" s="1"/>
  <c r="AE248" i="2"/>
  <c r="AE277" i="2" s="1"/>
  <c r="AE246" i="2"/>
  <c r="AE275" i="2" s="1"/>
  <c r="AE586" i="2" s="1"/>
  <c r="AC30" i="4"/>
  <c r="AC27" i="4" s="1"/>
  <c r="AC265" i="2"/>
  <c r="AC254" i="2" s="1"/>
  <c r="AC278" i="2" s="1"/>
  <c r="AC604" i="2" s="1"/>
  <c r="AC264" i="2"/>
  <c r="AC274" i="2" s="1"/>
  <c r="AC1292" i="2" s="1"/>
  <c r="AA256" i="2"/>
  <c r="AB269" i="2"/>
  <c r="AC271" i="2"/>
  <c r="AE268" i="2"/>
  <c r="AE95" i="4" s="1"/>
  <c r="AC229" i="2"/>
  <c r="AB232" i="2"/>
  <c r="AB234" i="2" s="1"/>
  <c r="AD29" i="4"/>
  <c r="AD241" i="2"/>
  <c r="AF222" i="2"/>
  <c r="AF224" i="2"/>
  <c r="AE228" i="2"/>
  <c r="AK260" i="2"/>
  <c r="AK262" i="2"/>
  <c r="AK244" i="2"/>
  <c r="AK250" i="2"/>
  <c r="AJ89" i="2"/>
  <c r="AF485" i="4"/>
  <c r="AF458" i="4"/>
  <c r="AF200" i="2"/>
  <c r="AK236" i="2"/>
  <c r="AK238" i="2"/>
  <c r="AK220" i="2"/>
  <c r="AK226" i="2"/>
  <c r="AI488" i="2"/>
  <c r="AI54" i="4"/>
  <c r="AF198" i="2"/>
  <c r="AI90" i="2"/>
  <c r="AI9" i="4" s="1"/>
  <c r="AK485" i="2"/>
  <c r="AK486" i="2"/>
  <c r="AK482" i="2"/>
  <c r="AH8" i="4"/>
  <c r="AH103" i="2"/>
  <c r="AH104" i="2" s="1"/>
  <c r="AF131" i="2"/>
  <c r="AK475" i="2"/>
  <c r="AK476" i="2"/>
  <c r="AK472" i="2"/>
  <c r="AH83" i="2"/>
  <c r="AI468" i="2"/>
  <c r="AI52" i="4"/>
  <c r="AK465" i="2"/>
  <c r="AK466" i="2"/>
  <c r="AK462" i="2"/>
  <c r="AJ463" i="2"/>
  <c r="AK521" i="2"/>
  <c r="AK522" i="2"/>
  <c r="AK518" i="2"/>
  <c r="AI458" i="2"/>
  <c r="AI51" i="4"/>
  <c r="AG529" i="2"/>
  <c r="AK455" i="2"/>
  <c r="AK456" i="2"/>
  <c r="AK452" i="2"/>
  <c r="AJ453" i="2"/>
  <c r="AG84" i="2"/>
  <c r="AG129" i="2" s="1"/>
  <c r="AB600" i="2"/>
  <c r="AE397" i="2"/>
  <c r="AD598" i="2"/>
  <c r="AD401" i="2"/>
  <c r="AC599" i="2"/>
  <c r="AC596" i="2" s="1"/>
  <c r="AC164" i="4" s="1"/>
  <c r="AB596" i="2"/>
  <c r="AB164" i="4" s="1"/>
  <c r="AK321" i="2"/>
  <c r="AK317" i="2"/>
  <c r="AH315" i="2"/>
  <c r="AH35" i="4" s="1"/>
  <c r="AK312" i="2"/>
  <c r="AK308" i="2"/>
  <c r="AI314" i="2"/>
  <c r="AF1321" i="2"/>
  <c r="AK381" i="2"/>
  <c r="AK377" i="2"/>
  <c r="AK369" i="2"/>
  <c r="AK365" i="2"/>
  <c r="AI70" i="2"/>
  <c r="AK360" i="2"/>
  <c r="AK356" i="2"/>
  <c r="AM117" i="2"/>
  <c r="AM97" i="2"/>
  <c r="AL62" i="10"/>
  <c r="AL57" i="10"/>
  <c r="AC1200" i="2"/>
  <c r="AD1199" i="2" s="1"/>
  <c r="AD260" i="4"/>
  <c r="AC260" i="4"/>
  <c r="AK121" i="2"/>
  <c r="AK118" i="2"/>
  <c r="AK108" i="2"/>
  <c r="AK88" i="2"/>
  <c r="AK98" i="2"/>
  <c r="AK101" i="2"/>
  <c r="AJ1280" i="2"/>
  <c r="AJ1282" i="2" s="1"/>
  <c r="AF183" i="2"/>
  <c r="AG189" i="2"/>
  <c r="AH189" i="2"/>
  <c r="AD594" i="2"/>
  <c r="AE156" i="2"/>
  <c r="AE158" i="2" s="1"/>
  <c r="AG179" i="2"/>
  <c r="AG181" i="2"/>
  <c r="AF153" i="2"/>
  <c r="AG178" i="2"/>
  <c r="AI652" i="2"/>
  <c r="AF1310" i="2"/>
  <c r="AG165" i="2"/>
  <c r="AF156" i="2" s="1"/>
  <c r="AJ28" i="2"/>
  <c r="AJ41" i="2" s="1"/>
  <c r="AJ42" i="2" s="1"/>
  <c r="AJ289" i="2"/>
  <c r="AJ293" i="2" s="1"/>
  <c r="AJ294" i="2" s="1"/>
  <c r="AI148" i="2"/>
  <c r="AI146" i="2"/>
  <c r="AF128" i="4"/>
  <c r="AF418" i="2"/>
  <c r="AH152" i="2"/>
  <c r="AH164" i="2" s="1"/>
  <c r="AE1107" i="2"/>
  <c r="AE1105" i="2" s="1"/>
  <c r="AM184" i="2"/>
  <c r="AM159" i="2"/>
  <c r="AM211" i="2"/>
  <c r="AH29" i="2"/>
  <c r="AF277" i="4"/>
  <c r="AF324" i="4"/>
  <c r="AF374" i="4"/>
  <c r="AF1264" i="2"/>
  <c r="AF1184" i="2"/>
  <c r="AH22" i="2"/>
  <c r="AH10" i="2" s="1"/>
  <c r="AH440" i="4"/>
  <c r="AH467" i="4"/>
  <c r="AH502" i="4"/>
  <c r="AG399" i="2"/>
  <c r="AJ1038" i="2"/>
  <c r="AJ1039" i="2"/>
  <c r="AM441" i="2"/>
  <c r="AM430" i="2"/>
  <c r="AH991" i="2"/>
  <c r="AH1305" i="2" s="1"/>
  <c r="AH949" i="2"/>
  <c r="AF116" i="10"/>
  <c r="AH177" i="4"/>
  <c r="AK136" i="10"/>
  <c r="AK188" i="4" s="1"/>
  <c r="AK93" i="10"/>
  <c r="AK168" i="4" s="1"/>
  <c r="AK135" i="10"/>
  <c r="AK133" i="10"/>
  <c r="AK65" i="10"/>
  <c r="AK97" i="10"/>
  <c r="AK176" i="4" s="1"/>
  <c r="AK70" i="10"/>
  <c r="AK71" i="10" s="1"/>
  <c r="AK72" i="10" s="1"/>
  <c r="AJ145" i="2"/>
  <c r="AJ429" i="2"/>
  <c r="AJ434" i="2" s="1"/>
  <c r="AJ1274" i="2"/>
  <c r="AJ1276" i="2" s="1"/>
  <c r="AF618" i="2"/>
  <c r="AF619" i="2" s="1"/>
  <c r="AI672" i="2"/>
  <c r="AI668" i="2" s="1"/>
  <c r="AI678" i="2" s="1"/>
  <c r="AI673" i="2"/>
  <c r="AI674" i="2" s="1"/>
  <c r="AI669" i="2"/>
  <c r="AI670" i="2" s="1"/>
  <c r="AD1105" i="2"/>
  <c r="AH178" i="2"/>
  <c r="AR113" i="10"/>
  <c r="AM77" i="2"/>
  <c r="AM35" i="2"/>
  <c r="AM16" i="2"/>
  <c r="AI194" i="2"/>
  <c r="AQ61" i="1"/>
  <c r="AR60" i="1"/>
  <c r="AI173" i="2"/>
  <c r="AI171" i="2"/>
  <c r="AK1335" i="2"/>
  <c r="AK1279" i="2"/>
  <c r="AK1220" i="2"/>
  <c r="AK1221" i="2" s="1"/>
  <c r="AK1136" i="2"/>
  <c r="AK714" i="2"/>
  <c r="AK431" i="2"/>
  <c r="AK391" i="2"/>
  <c r="AK300" i="2"/>
  <c r="AK297" i="2" s="1"/>
  <c r="AK291" i="2"/>
  <c r="AK212" i="2"/>
  <c r="AK1028" i="2"/>
  <c r="AK623" i="2"/>
  <c r="AK624" i="2" s="1"/>
  <c r="AK143" i="2"/>
  <c r="AK39" i="2"/>
  <c r="AK27" i="2" s="1"/>
  <c r="AK1278" i="2"/>
  <c r="AK1150" i="2"/>
  <c r="AK1151" i="2" s="1"/>
  <c r="AK688" i="2"/>
  <c r="AK659" i="2"/>
  <c r="AK555" i="2"/>
  <c r="AK288" i="2"/>
  <c r="AK26" i="2"/>
  <c r="AK25" i="2" s="1"/>
  <c r="AK1275" i="2"/>
  <c r="AK1033" i="2"/>
  <c r="AK1017" i="2"/>
  <c r="AK656" i="2"/>
  <c r="AK287" i="2"/>
  <c r="AK168" i="2"/>
  <c r="AK167" i="2" s="1"/>
  <c r="AK1273" i="2"/>
  <c r="AK1201" i="2"/>
  <c r="AK1202" i="2" s="1"/>
  <c r="AK1108" i="2"/>
  <c r="AK1109" i="2" s="1"/>
  <c r="AK712" i="2"/>
  <c r="AK432" i="2"/>
  <c r="AK296" i="2"/>
  <c r="AK81" i="2"/>
  <c r="AK542" i="2"/>
  <c r="AK405" i="2"/>
  <c r="AK214" i="2"/>
  <c r="AK1281" i="2"/>
  <c r="AK643" i="2"/>
  <c r="AK427" i="2"/>
  <c r="AK185" i="2"/>
  <c r="AK162" i="2"/>
  <c r="AK78" i="2"/>
  <c r="AK36" i="2"/>
  <c r="AK1032" i="2"/>
  <c r="AK1031" i="2" s="1"/>
  <c r="AK407" i="2"/>
  <c r="AK1146" i="2"/>
  <c r="AK1147" i="2" s="1"/>
  <c r="AK1029" i="2"/>
  <c r="AK531" i="2"/>
  <c r="AK438" i="2"/>
  <c r="AK437" i="2" s="1"/>
  <c r="AK187" i="2"/>
  <c r="AK169" i="2" s="1"/>
  <c r="AK160" i="2"/>
  <c r="AK19" i="2"/>
  <c r="AK389" i="2"/>
  <c r="AK144" i="2"/>
  <c r="AK7" i="2"/>
  <c r="AK1120" i="2"/>
  <c r="AK1121" i="2" s="1"/>
  <c r="AK544" i="2"/>
  <c r="AK8" i="2"/>
  <c r="AK1272" i="2"/>
  <c r="AK1037" i="2"/>
  <c r="AK682" i="2"/>
  <c r="AK628" i="2"/>
  <c r="AK443" i="2"/>
  <c r="AK1026" i="2"/>
  <c r="AK442" i="2"/>
  <c r="AK428" i="2"/>
  <c r="AK1012" i="2"/>
  <c r="AK1011" i="2" s="1"/>
  <c r="AK17" i="2"/>
  <c r="AK557" i="2"/>
  <c r="AK150" i="2"/>
  <c r="AK1178" i="2"/>
  <c r="AK197" i="4" s="1"/>
  <c r="AK1208" i="2"/>
  <c r="AK1209" i="2" s="1"/>
  <c r="AK175" i="2"/>
  <c r="AL87" i="1"/>
  <c r="AK91" i="1"/>
  <c r="AR106" i="10"/>
  <c r="AJ694" i="2"/>
  <c r="AJ696" i="2"/>
  <c r="AJ697" i="2"/>
  <c r="AH539" i="2"/>
  <c r="AH546" i="2"/>
  <c r="AG549" i="2"/>
  <c r="AG551" i="2" s="1"/>
  <c r="AH547" i="2"/>
  <c r="AK347" i="4"/>
  <c r="AK199" i="4"/>
  <c r="AK189" i="4"/>
  <c r="AK332" i="4"/>
  <c r="AK293" i="4"/>
  <c r="AK178" i="4"/>
  <c r="AK169" i="4"/>
  <c r="AK384" i="4"/>
  <c r="AK321" i="4"/>
  <c r="AK412" i="4"/>
  <c r="AK370" i="4"/>
  <c r="AK273" i="4"/>
  <c r="AK194" i="4"/>
  <c r="AK389" i="4"/>
  <c r="AK342" i="4"/>
  <c r="AK298" i="4"/>
  <c r="AK283" i="4"/>
  <c r="AJ298" i="2"/>
  <c r="AJ720" i="2"/>
  <c r="AJ721" i="2"/>
  <c r="AJ729" i="2"/>
  <c r="AJ722" i="2"/>
  <c r="AJ726" i="2"/>
  <c r="AJ717" i="2" s="1"/>
  <c r="AG138" i="4"/>
  <c r="AG144" i="4" s="1"/>
  <c r="AG990" i="2"/>
  <c r="AI727" i="2"/>
  <c r="AI723" i="2" s="1"/>
  <c r="AI730" i="2" s="1"/>
  <c r="AI724" i="2"/>
  <c r="AI725" i="2" s="1"/>
  <c r="AG200" i="2"/>
  <c r="AG198" i="2"/>
  <c r="AI21" i="2"/>
  <c r="AR75" i="10"/>
  <c r="AH19" i="4"/>
  <c r="AH18" i="4" s="1"/>
  <c r="AH196" i="2"/>
  <c r="AF1119" i="2"/>
  <c r="AF1117" i="2" s="1"/>
  <c r="AS82" i="10"/>
  <c r="AL80" i="1"/>
  <c r="AM81" i="1"/>
  <c r="AJ707" i="2"/>
  <c r="AJ701" i="2"/>
  <c r="AJ691" i="2" s="1"/>
  <c r="AJ170" i="2"/>
  <c r="AJ677" i="2"/>
  <c r="AJ667" i="2"/>
  <c r="AJ671" i="2"/>
  <c r="AJ662" i="2" s="1"/>
  <c r="T77" i="10"/>
  <c r="T78" i="10" s="1"/>
  <c r="AM299" i="2"/>
  <c r="AM290" i="2"/>
  <c r="V86" i="10"/>
  <c r="AM1083" i="2"/>
  <c r="AM1082" i="2" s="1"/>
  <c r="AL1084" i="2"/>
  <c r="AI41" i="2"/>
  <c r="AI42" i="2" s="1"/>
  <c r="AI30" i="2" s="1"/>
  <c r="AL2" i="5"/>
  <c r="AL2" i="4"/>
  <c r="AL2" i="2"/>
  <c r="AL2" i="10"/>
  <c r="AL2" i="1"/>
  <c r="AM25" i="1"/>
  <c r="AG109" i="10"/>
  <c r="AJ665" i="2"/>
  <c r="AJ666" i="2"/>
  <c r="AQ86" i="1"/>
  <c r="AM1063" i="2"/>
  <c r="AM1062" i="2" s="1"/>
  <c r="AL1061" i="2"/>
  <c r="AN341" i="4"/>
  <c r="AN383" i="4"/>
  <c r="AN292" i="4"/>
  <c r="AN47" i="1"/>
  <c r="AN57" i="2" s="1"/>
  <c r="AN49" i="1"/>
  <c r="AN50" i="1"/>
  <c r="AN48" i="1"/>
  <c r="AO43" i="1"/>
  <c r="AI503" i="4"/>
  <c r="AK146" i="1"/>
  <c r="AK59" i="1"/>
  <c r="AK120" i="1"/>
  <c r="AK45" i="1"/>
  <c r="AK44" i="1"/>
  <c r="AK123" i="1"/>
  <c r="AK140" i="1"/>
  <c r="AK131" i="1"/>
  <c r="AK53" i="1"/>
  <c r="AK1092" i="2"/>
  <c r="AL1091" i="2"/>
  <c r="AL1090" i="2" s="1"/>
  <c r="AI142" i="4"/>
  <c r="AI302" i="2"/>
  <c r="AI303" i="2" s="1"/>
  <c r="AR68" i="10"/>
  <c r="AE593" i="2"/>
  <c r="AE590" i="2" s="1"/>
  <c r="AE165" i="4" s="1"/>
  <c r="AJ9" i="2"/>
  <c r="AJ647" i="2"/>
  <c r="AJ650" i="2" s="1"/>
  <c r="AJ649" i="2"/>
  <c r="AJ648" i="2"/>
  <c r="AQ55" i="1"/>
  <c r="AR54" i="1"/>
  <c r="AG1307" i="2"/>
  <c r="AI703" i="2"/>
  <c r="AI704" i="2" s="1"/>
  <c r="AI702" i="2"/>
  <c r="AI698" i="2" s="1"/>
  <c r="AI708" i="2" s="1"/>
  <c r="AI699" i="2"/>
  <c r="AI700" i="2" s="1"/>
  <c r="D172" i="7" l="1"/>
  <c r="AI387" i="2"/>
  <c r="E125" i="7"/>
  <c r="E96" i="7"/>
  <c r="E162" i="7"/>
  <c r="D130" i="7"/>
  <c r="AG34" i="4"/>
  <c r="E97" i="7"/>
  <c r="AJ508" i="2"/>
  <c r="AJ56" i="4"/>
  <c r="AJ970" i="2"/>
  <c r="AJ977" i="2"/>
  <c r="AK503" i="2"/>
  <c r="AJ966" i="2"/>
  <c r="AL505" i="2"/>
  <c r="AL501" i="2"/>
  <c r="AL506" i="2"/>
  <c r="AL502" i="2"/>
  <c r="AI971" i="2"/>
  <c r="AK493" i="2"/>
  <c r="AK55" i="4" s="1"/>
  <c r="AJ498" i="2"/>
  <c r="AL496" i="2"/>
  <c r="AL495" i="2"/>
  <c r="AL492" i="2"/>
  <c r="AL491" i="2"/>
  <c r="AH996" i="2"/>
  <c r="AJ1013" i="2"/>
  <c r="AJ1014" i="2" s="1"/>
  <c r="AK411" i="2"/>
  <c r="AK481" i="2" s="1"/>
  <c r="AK483" i="2" s="1"/>
  <c r="AI362" i="2"/>
  <c r="AI396" i="2" s="1"/>
  <c r="AI395" i="2"/>
  <c r="AH363" i="2"/>
  <c r="AH42" i="4" s="1"/>
  <c r="AH396" i="2"/>
  <c r="AH388" i="2"/>
  <c r="AD775" i="2"/>
  <c r="AJ350" i="2"/>
  <c r="AJ351" i="2" s="1"/>
  <c r="AJ39" i="4" s="1"/>
  <c r="AL344" i="2"/>
  <c r="AL348" i="2"/>
  <c r="AL345" i="2" s="1"/>
  <c r="AK346" i="2"/>
  <c r="Z1218" i="2"/>
  <c r="Z1219" i="2" s="1"/>
  <c r="AA1218" i="2" s="1"/>
  <c r="AL335" i="2"/>
  <c r="AL339" i="2"/>
  <c r="AL336" i="2" s="1"/>
  <c r="AK337" i="2"/>
  <c r="AK1013" i="2"/>
  <c r="AK1014" i="2" s="1"/>
  <c r="AL68" i="2"/>
  <c r="AL330" i="2"/>
  <c r="AL327" i="2" s="1"/>
  <c r="AL326" i="2"/>
  <c r="AJ332" i="2"/>
  <c r="AJ333" i="2" s="1"/>
  <c r="AJ37" i="4" s="1"/>
  <c r="AK328" i="2"/>
  <c r="AI323" i="2"/>
  <c r="AI324" i="2" s="1"/>
  <c r="AI36" i="4" s="1"/>
  <c r="AH34" i="4"/>
  <c r="AH96" i="4" s="1"/>
  <c r="AJ358" i="2"/>
  <c r="AJ395" i="2" s="1"/>
  <c r="O1337" i="2"/>
  <c r="O1325" i="2" s="1"/>
  <c r="O491" i="4" s="1"/>
  <c r="AE239" i="4"/>
  <c r="AK107" i="2"/>
  <c r="AK87" i="2"/>
  <c r="AH130" i="2"/>
  <c r="AH1291" i="2" s="1"/>
  <c r="AH485" i="4" s="1"/>
  <c r="AI128" i="2"/>
  <c r="AI471" i="2" s="1"/>
  <c r="AH52" i="2"/>
  <c r="AF133" i="2"/>
  <c r="AF574" i="2" s="1"/>
  <c r="AF575" i="2" s="1"/>
  <c r="AF572" i="2" s="1"/>
  <c r="AH517" i="2"/>
  <c r="AH473" i="2"/>
  <c r="AH527" i="2" s="1"/>
  <c r="AK67" i="2"/>
  <c r="AK439" i="2"/>
  <c r="AK440" i="2" s="1"/>
  <c r="AK445" i="2" s="1"/>
  <c r="AH6" i="4"/>
  <c r="AH93" i="4" s="1"/>
  <c r="AH236" i="4" s="1"/>
  <c r="AG457" i="4"/>
  <c r="AG430" i="4"/>
  <c r="AG414" i="2"/>
  <c r="AG617" i="2" s="1"/>
  <c r="AG618" i="2" s="1"/>
  <c r="AG615" i="2" s="1"/>
  <c r="AG186" i="4" s="1"/>
  <c r="AJ30" i="2"/>
  <c r="AH112" i="2"/>
  <c r="AD94" i="4"/>
  <c r="AG409" i="2"/>
  <c r="AG45" i="4"/>
  <c r="AJ955" i="2"/>
  <c r="Q207" i="4"/>
  <c r="Q209" i="4" s="1"/>
  <c r="Q109" i="4"/>
  <c r="Q115" i="4" s="1"/>
  <c r="Q492" i="4" s="1"/>
  <c r="Q256" i="4"/>
  <c r="Q333" i="4"/>
  <c r="Q284" i="4"/>
  <c r="AH384" i="2"/>
  <c r="AH46" i="4" s="1"/>
  <c r="AH45" i="4" s="1"/>
  <c r="AJ962" i="2"/>
  <c r="S983" i="2"/>
  <c r="S175" i="4" s="1"/>
  <c r="T935" i="2"/>
  <c r="S882" i="2"/>
  <c r="S973" i="2" s="1"/>
  <c r="AN320" i="2"/>
  <c r="AN380" i="2"/>
  <c r="AN311" i="2"/>
  <c r="AN368" i="2"/>
  <c r="AN359" i="2"/>
  <c r="AN464" i="2"/>
  <c r="AN520" i="2"/>
  <c r="AN454" i="2"/>
  <c r="AN484" i="2"/>
  <c r="AN474" i="2"/>
  <c r="P1330" i="2"/>
  <c r="P1331" i="2"/>
  <c r="AH4" i="5"/>
  <c r="AH4" i="4"/>
  <c r="AH1096" i="2"/>
  <c r="AH1189" i="2"/>
  <c r="AH1" i="1"/>
  <c r="AH269" i="4"/>
  <c r="AH1168" i="2"/>
  <c r="AH1" i="10"/>
  <c r="AH1000" i="2"/>
  <c r="AH124" i="4"/>
  <c r="AH91" i="4"/>
  <c r="AH4" i="2"/>
  <c r="AH1269" i="2"/>
  <c r="AH408" i="4"/>
  <c r="AH25" i="4"/>
  <c r="AH1" i="2"/>
  <c r="AH140" i="2"/>
  <c r="AH90" i="10"/>
  <c r="AH366" i="4"/>
  <c r="AH1056" i="2"/>
  <c r="AH113" i="1"/>
  <c r="AH14" i="4"/>
  <c r="AH102" i="10"/>
  <c r="AH317" i="4"/>
  <c r="AH159" i="4"/>
  <c r="AH570" i="2"/>
  <c r="AH38" i="1"/>
  <c r="AH205" i="4"/>
  <c r="AH1142" i="2"/>
  <c r="AH55" i="10"/>
  <c r="AH233" i="4"/>
  <c r="AH68" i="1"/>
  <c r="AH69" i="4"/>
  <c r="AH1" i="4"/>
  <c r="AH423" i="2"/>
  <c r="AH14" i="1"/>
  <c r="AH1" i="5"/>
  <c r="AH638" i="2"/>
  <c r="AH284" i="2"/>
  <c r="AJ29" i="1"/>
  <c r="AJ28" i="1"/>
  <c r="AJ27" i="1"/>
  <c r="AK26" i="1"/>
  <c r="AI220" i="4"/>
  <c r="AJ219" i="4"/>
  <c r="S953" i="2"/>
  <c r="S63" i="4" s="1"/>
  <c r="S767" i="2"/>
  <c r="S957" i="2"/>
  <c r="S771" i="2"/>
  <c r="N435" i="4"/>
  <c r="N490" i="4"/>
  <c r="N462" i="4"/>
  <c r="R240" i="4"/>
  <c r="R173" i="4"/>
  <c r="R179" i="4" s="1"/>
  <c r="R264" i="4" s="1"/>
  <c r="R1316" i="2"/>
  <c r="R1313" i="2" s="1"/>
  <c r="AN259" i="2"/>
  <c r="AN235" i="2"/>
  <c r="T877" i="2"/>
  <c r="T968" i="2" s="1"/>
  <c r="AI34" i="1"/>
  <c r="Q436" i="4"/>
  <c r="Q494" i="4"/>
  <c r="Q463" i="4"/>
  <c r="AJ951" i="2"/>
  <c r="AJ952" i="2"/>
  <c r="AI956" i="2"/>
  <c r="AJ847" i="2"/>
  <c r="AJ843" i="2" s="1"/>
  <c r="AJ853" i="2" s="1"/>
  <c r="AJ848" i="2"/>
  <c r="AJ849" i="2" s="1"/>
  <c r="AJ844" i="2"/>
  <c r="AJ845" i="2" s="1"/>
  <c r="AK840" i="2"/>
  <c r="AK841" i="2"/>
  <c r="AK852" i="2"/>
  <c r="AK842" i="2"/>
  <c r="AK846" i="2"/>
  <c r="AK837" i="2" s="1"/>
  <c r="AK78" i="4" s="1"/>
  <c r="AH299" i="7" s="1"/>
  <c r="AL834" i="2"/>
  <c r="AL831" i="2"/>
  <c r="AI765" i="2"/>
  <c r="AL805" i="2"/>
  <c r="AL808" i="2"/>
  <c r="AJ821" i="2"/>
  <c r="AJ817" i="2" s="1"/>
  <c r="AJ827" i="2" s="1"/>
  <c r="AJ822" i="2"/>
  <c r="AJ823" i="2" s="1"/>
  <c r="AJ818" i="2"/>
  <c r="AJ819" i="2" s="1"/>
  <c r="AK826" i="2"/>
  <c r="AK816" i="2"/>
  <c r="AK820" i="2"/>
  <c r="AK811" i="2" s="1"/>
  <c r="AK77" i="4" s="1"/>
  <c r="AH298" i="7" s="1"/>
  <c r="AJ759" i="2"/>
  <c r="AJ75" i="4" s="1"/>
  <c r="AG296" i="7" s="1"/>
  <c r="AI1299" i="2"/>
  <c r="AK318" i="2"/>
  <c r="AK741" i="2"/>
  <c r="AK744" i="2" s="1"/>
  <c r="AK946" i="2" s="1"/>
  <c r="AK172" i="4" s="1"/>
  <c r="AK814" i="2"/>
  <c r="AK815" i="2"/>
  <c r="AK800" i="2"/>
  <c r="AK790" i="2"/>
  <c r="AK794" i="2"/>
  <c r="AK785" i="2" s="1"/>
  <c r="AK76" i="4" s="1"/>
  <c r="AH297" i="7" s="1"/>
  <c r="AL782" i="2"/>
  <c r="AL779" i="2"/>
  <c r="AJ795" i="2"/>
  <c r="AJ791" i="2" s="1"/>
  <c r="AJ801" i="2" s="1"/>
  <c r="AJ796" i="2"/>
  <c r="AJ797" i="2" s="1"/>
  <c r="AJ792" i="2"/>
  <c r="AJ793" i="2" s="1"/>
  <c r="AK788" i="2"/>
  <c r="AK789" i="2"/>
  <c r="AK762" i="2"/>
  <c r="AK763" i="2"/>
  <c r="AL756" i="2"/>
  <c r="AL753" i="2"/>
  <c r="AJ769" i="2"/>
  <c r="AK774" i="2"/>
  <c r="AK764" i="2"/>
  <c r="AK768" i="2"/>
  <c r="AK357" i="2"/>
  <c r="AK358" i="2" s="1"/>
  <c r="AD496" i="4"/>
  <c r="AC208" i="2"/>
  <c r="AC210" i="2" s="1"/>
  <c r="AD206" i="2"/>
  <c r="AI383" i="2"/>
  <c r="AD437" i="4"/>
  <c r="AE419" i="2"/>
  <c r="AE1323" i="2" s="1"/>
  <c r="AE437" i="4" s="1"/>
  <c r="AG202" i="2"/>
  <c r="AG276" i="2" s="1"/>
  <c r="AG592" i="2" s="1"/>
  <c r="AF419" i="2"/>
  <c r="AF1323" i="2" s="1"/>
  <c r="AF496" i="4" s="1"/>
  <c r="AK378" i="2"/>
  <c r="AK379" i="2" s="1"/>
  <c r="AK403" i="2" s="1"/>
  <c r="AJ7" i="4"/>
  <c r="AI64" i="2"/>
  <c r="AJ63" i="2"/>
  <c r="AK50" i="2"/>
  <c r="AL61" i="2"/>
  <c r="AL49" i="2" s="1"/>
  <c r="AL58" i="2"/>
  <c r="AL47" i="2"/>
  <c r="AI627" i="2"/>
  <c r="AI626" i="2" s="1"/>
  <c r="AI184" i="4" s="1"/>
  <c r="AH412" i="2"/>
  <c r="AH457" i="4" s="1"/>
  <c r="AE216" i="2"/>
  <c r="AE28" i="4"/>
  <c r="AH402" i="2"/>
  <c r="AH409" i="2" s="1"/>
  <c r="AG393" i="2"/>
  <c r="AJ310" i="2"/>
  <c r="AJ387" i="2" s="1"/>
  <c r="AJ70" i="2"/>
  <c r="AJ83" i="2" s="1"/>
  <c r="AG410" i="2"/>
  <c r="AG413" i="2"/>
  <c r="AG1321" i="2" s="1"/>
  <c r="AG497" i="4" s="1"/>
  <c r="AG96" i="4"/>
  <c r="AK69" i="2"/>
  <c r="AE97" i="4"/>
  <c r="AG485" i="4"/>
  <c r="AE237" i="4"/>
  <c r="AG93" i="4"/>
  <c r="AD102" i="4"/>
  <c r="AF497" i="4"/>
  <c r="AD48" i="4"/>
  <c r="AE60" i="4"/>
  <c r="AK743" i="2"/>
  <c r="AK945" i="2" s="1"/>
  <c r="AF97" i="4"/>
  <c r="AF94" i="4" s="1"/>
  <c r="AD27" i="4"/>
  <c r="Y1253" i="2"/>
  <c r="Y192" i="4" s="1"/>
  <c r="X1248" i="2"/>
  <c r="X1259" i="2"/>
  <c r="X112" i="4" s="1"/>
  <c r="X192" i="4"/>
  <c r="Y373" i="4"/>
  <c r="Y212" i="4"/>
  <c r="Y276" i="4"/>
  <c r="Z1258" i="2"/>
  <c r="Z1243" i="2"/>
  <c r="AA1233" i="2"/>
  <c r="Z1252" i="2"/>
  <c r="Z130" i="4" s="1"/>
  <c r="Z1232" i="2"/>
  <c r="AL1235" i="2"/>
  <c r="AL737" i="2"/>
  <c r="AL741" i="2" s="1"/>
  <c r="AJ746" i="2"/>
  <c r="AJ963" i="2"/>
  <c r="AJ139" i="4" s="1"/>
  <c r="AK309" i="2"/>
  <c r="AK310" i="2" s="1"/>
  <c r="AI934" i="2"/>
  <c r="AI941" i="2" s="1"/>
  <c r="AI985" i="2"/>
  <c r="AJ928" i="2"/>
  <c r="AJ85" i="4" s="1"/>
  <c r="AG306" i="7" s="1"/>
  <c r="AJ984" i="2"/>
  <c r="AJ978" i="2" s="1"/>
  <c r="AJ140" i="4" s="1"/>
  <c r="AJ910" i="2"/>
  <c r="AJ906" i="2" s="1"/>
  <c r="AJ916" i="2" s="1"/>
  <c r="AJ911" i="2"/>
  <c r="AJ912" i="2" s="1"/>
  <c r="AJ907" i="2"/>
  <c r="AJ908" i="2" s="1"/>
  <c r="AK902" i="2"/>
  <c r="AK904" i="2"/>
  <c r="AK905" i="2"/>
  <c r="AK915" i="2"/>
  <c r="AK909" i="2"/>
  <c r="AK899" i="2" s="1"/>
  <c r="AK82" i="4" s="1"/>
  <c r="AH303" i="7" s="1"/>
  <c r="AL896" i="2"/>
  <c r="AL890" i="2"/>
  <c r="AJ938" i="2"/>
  <c r="AL923" i="2"/>
  <c r="AL925" i="2"/>
  <c r="AK940" i="2"/>
  <c r="AK988" i="2" s="1"/>
  <c r="AK933" i="2"/>
  <c r="AK981" i="2" s="1"/>
  <c r="AK937" i="2"/>
  <c r="AK931" i="2"/>
  <c r="AK932" i="2"/>
  <c r="AK980" i="2" s="1"/>
  <c r="AK366" i="2"/>
  <c r="AK367" i="2" s="1"/>
  <c r="AI876" i="2"/>
  <c r="AI886" i="2" s="1"/>
  <c r="AJ869" i="2"/>
  <c r="AJ81" i="4" s="1"/>
  <c r="AG302" i="7" s="1"/>
  <c r="AJ880" i="2"/>
  <c r="AK872" i="2"/>
  <c r="AK874" i="2"/>
  <c r="AK875" i="2"/>
  <c r="AL860" i="2"/>
  <c r="AL866" i="2"/>
  <c r="AK885" i="2"/>
  <c r="AK879" i="2"/>
  <c r="AK109" i="2"/>
  <c r="AE559" i="2"/>
  <c r="AD562" i="2"/>
  <c r="AD564" i="2" s="1"/>
  <c r="AE560" i="2"/>
  <c r="AE552" i="2"/>
  <c r="AE566" i="2" s="1"/>
  <c r="AF524" i="2"/>
  <c r="AF554" i="2" s="1"/>
  <c r="AF1302" i="2" s="1"/>
  <c r="AF61" i="4"/>
  <c r="AF60" i="4" s="1"/>
  <c r="AF102" i="4" s="1"/>
  <c r="AF553" i="2"/>
  <c r="AF565" i="2" s="1"/>
  <c r="AG519" i="2"/>
  <c r="AD271" i="2"/>
  <c r="AD264" i="2"/>
  <c r="AD274" i="2" s="1"/>
  <c r="AD1292" i="2" s="1"/>
  <c r="AF526" i="2"/>
  <c r="AF534" i="2"/>
  <c r="AE536" i="2"/>
  <c r="AE538" i="2" s="1"/>
  <c r="AD265" i="2"/>
  <c r="AC256" i="2" s="1"/>
  <c r="AG478" i="2"/>
  <c r="AG528" i="2" s="1"/>
  <c r="AG533" i="2"/>
  <c r="AG53" i="4"/>
  <c r="AI123" i="2"/>
  <c r="AI124" i="2" s="1"/>
  <c r="AI111" i="2" s="1"/>
  <c r="AJ110" i="2"/>
  <c r="Z163" i="4"/>
  <c r="Z613" i="2"/>
  <c r="AG431" i="4"/>
  <c r="AB602" i="2"/>
  <c r="AB183" i="4" s="1"/>
  <c r="AG458" i="4"/>
  <c r="AC269" i="2"/>
  <c r="AC270" i="2" s="1"/>
  <c r="AC432" i="4"/>
  <c r="AC459" i="4"/>
  <c r="Z280" i="2"/>
  <c r="AB256" i="2"/>
  <c r="AB258" i="2" s="1"/>
  <c r="AB273" i="2" s="1"/>
  <c r="AE587" i="2"/>
  <c r="AE588" i="2" s="1"/>
  <c r="AH219" i="2"/>
  <c r="AH221" i="2" s="1"/>
  <c r="AH243" i="2"/>
  <c r="AE252" i="2"/>
  <c r="AE271" i="2" s="1"/>
  <c r="AC253" i="2"/>
  <c r="AC272" i="2" s="1"/>
  <c r="AC607" i="2" s="1"/>
  <c r="AB1301" i="2"/>
  <c r="AB270" i="2"/>
  <c r="AC486" i="4"/>
  <c r="AA258" i="2"/>
  <c r="AA273" i="2" s="1"/>
  <c r="AA279" i="2"/>
  <c r="AA611" i="2" s="1"/>
  <c r="AA612" i="2" s="1"/>
  <c r="AA609" i="2" s="1"/>
  <c r="AA631" i="2" s="1"/>
  <c r="AF228" i="2"/>
  <c r="AF29" i="4" s="1"/>
  <c r="AF246" i="2"/>
  <c r="AF275" i="2" s="1"/>
  <c r="AF586" i="2" s="1"/>
  <c r="AF248" i="2"/>
  <c r="AG245" i="2"/>
  <c r="AD229" i="2"/>
  <c r="AC232" i="2"/>
  <c r="AC234" i="2" s="1"/>
  <c r="AD230" i="2"/>
  <c r="AE29" i="4"/>
  <c r="AE241" i="2"/>
  <c r="AE229" i="2" s="1"/>
  <c r="AE240" i="2"/>
  <c r="AG224" i="2"/>
  <c r="AG222" i="2"/>
  <c r="AJ90" i="2"/>
  <c r="AJ9" i="4" s="1"/>
  <c r="AF204" i="2"/>
  <c r="AF217" i="2" s="1"/>
  <c r="AK89" i="2"/>
  <c r="AL262" i="2"/>
  <c r="AL260" i="2"/>
  <c r="AL244" i="2"/>
  <c r="AL250" i="2"/>
  <c r="AC605" i="2"/>
  <c r="AC606" i="2" s="1"/>
  <c r="AL238" i="2"/>
  <c r="AL236" i="2"/>
  <c r="AL220" i="2"/>
  <c r="AL226" i="2"/>
  <c r="AG131" i="2"/>
  <c r="AI103" i="2"/>
  <c r="AI104" i="2" s="1"/>
  <c r="AJ488" i="2"/>
  <c r="AJ54" i="4"/>
  <c r="AL485" i="2"/>
  <c r="AL486" i="2"/>
  <c r="AL482" i="2"/>
  <c r="AH84" i="2"/>
  <c r="AH129" i="2" s="1"/>
  <c r="AL475" i="2"/>
  <c r="AL476" i="2"/>
  <c r="AL472" i="2"/>
  <c r="AJ468" i="2"/>
  <c r="AJ52" i="4"/>
  <c r="AK463" i="2"/>
  <c r="AL465" i="2"/>
  <c r="AL466" i="2"/>
  <c r="AL462" i="2"/>
  <c r="AL521" i="2"/>
  <c r="AL522" i="2"/>
  <c r="AL518" i="2"/>
  <c r="AH529" i="2"/>
  <c r="AJ458" i="2"/>
  <c r="AJ51" i="4"/>
  <c r="AL455" i="2"/>
  <c r="AL456" i="2"/>
  <c r="AL452" i="2"/>
  <c r="AK453" i="2"/>
  <c r="AG71" i="2"/>
  <c r="AG72" i="2"/>
  <c r="AG133" i="2" s="1"/>
  <c r="AI8" i="4"/>
  <c r="AI83" i="2"/>
  <c r="AJ195" i="2"/>
  <c r="AJ197" i="2" s="1"/>
  <c r="AF397" i="2"/>
  <c r="AE598" i="2"/>
  <c r="AE401" i="2"/>
  <c r="AB261" i="4"/>
  <c r="AC261" i="4"/>
  <c r="AD599" i="2"/>
  <c r="AD596" i="2" s="1"/>
  <c r="AD164" i="4" s="1"/>
  <c r="AD261" i="4" s="1"/>
  <c r="AC600" i="2"/>
  <c r="AL321" i="2"/>
  <c r="AL317" i="2"/>
  <c r="AJ323" i="2"/>
  <c r="AJ324" i="2" s="1"/>
  <c r="AJ36" i="4" s="1"/>
  <c r="AI315" i="2"/>
  <c r="AI35" i="4" s="1"/>
  <c r="AL312" i="2"/>
  <c r="AL308" i="2"/>
  <c r="AL381" i="2"/>
  <c r="AL377" i="2"/>
  <c r="AJ383" i="2"/>
  <c r="AJ404" i="2" s="1"/>
  <c r="AJ371" i="2"/>
  <c r="AJ372" i="2" s="1"/>
  <c r="AJ43" i="4" s="1"/>
  <c r="AL369" i="2"/>
  <c r="AL365" i="2"/>
  <c r="AC1198" i="2"/>
  <c r="AL360" i="2"/>
  <c r="AL356" i="2"/>
  <c r="AN117" i="2"/>
  <c r="AN97" i="2"/>
  <c r="AM57" i="10"/>
  <c r="AM62" i="10"/>
  <c r="AD1200" i="2"/>
  <c r="AL108" i="2"/>
  <c r="AL121" i="2"/>
  <c r="AL118" i="2"/>
  <c r="AG1118" i="2"/>
  <c r="AG1119" i="2" s="1"/>
  <c r="AH1118" i="2" s="1"/>
  <c r="AF1106" i="2"/>
  <c r="AF1107" i="2" s="1"/>
  <c r="AF1105" i="2" s="1"/>
  <c r="AH111" i="2"/>
  <c r="AJ546" i="2"/>
  <c r="AL88" i="2"/>
  <c r="AL98" i="2"/>
  <c r="AL101" i="2"/>
  <c r="AH92" i="2"/>
  <c r="AH91" i="2"/>
  <c r="AG154" i="2"/>
  <c r="AG153" i="2"/>
  <c r="AE572" i="2"/>
  <c r="AE162" i="4" s="1"/>
  <c r="AK1274" i="2"/>
  <c r="AK1276" i="2" s="1"/>
  <c r="AI152" i="2"/>
  <c r="AI165" i="2" s="1"/>
  <c r="AI153" i="2" s="1"/>
  <c r="AH1307" i="2"/>
  <c r="AF158" i="2"/>
  <c r="AG183" i="2"/>
  <c r="AI177" i="2"/>
  <c r="AI189" i="2" s="1"/>
  <c r="AK170" i="2"/>
  <c r="AK171" i="2" s="1"/>
  <c r="AH165" i="2"/>
  <c r="AH153" i="2" s="1"/>
  <c r="AJ29" i="2"/>
  <c r="AD208" i="2"/>
  <c r="AF615" i="2"/>
  <c r="AF186" i="4" s="1"/>
  <c r="AI440" i="4"/>
  <c r="AI467" i="4"/>
  <c r="AI502" i="4"/>
  <c r="AI546" i="2"/>
  <c r="AI539" i="2"/>
  <c r="AH549" i="2"/>
  <c r="AH551" i="2" s="1"/>
  <c r="AI547" i="2"/>
  <c r="T79" i="10"/>
  <c r="AS75" i="10"/>
  <c r="AJ727" i="2"/>
  <c r="AJ723" i="2" s="1"/>
  <c r="AJ730" i="2" s="1"/>
  <c r="AJ724" i="2"/>
  <c r="AJ725" i="2" s="1"/>
  <c r="AM87" i="1"/>
  <c r="AL91" i="1"/>
  <c r="AK694" i="2"/>
  <c r="AK696" i="2"/>
  <c r="AK697" i="2"/>
  <c r="AK720" i="2"/>
  <c r="AK721" i="2"/>
  <c r="AK665" i="2"/>
  <c r="AK666" i="2"/>
  <c r="AR55" i="1"/>
  <c r="AS54" i="1"/>
  <c r="AJ652" i="2"/>
  <c r="AL1028" i="2"/>
  <c r="AL623" i="2"/>
  <c r="AL624" i="2" s="1"/>
  <c r="AL143" i="2"/>
  <c r="AL39" i="2"/>
  <c r="AL27" i="2" s="1"/>
  <c r="AL1275" i="2"/>
  <c r="AL1201" i="2"/>
  <c r="AL1202" i="2" s="1"/>
  <c r="AL1150" i="2"/>
  <c r="AL1151" i="2" s="1"/>
  <c r="AL1120" i="2"/>
  <c r="AL1121" i="2" s="1"/>
  <c r="AL1026" i="2"/>
  <c r="AL1012" i="2"/>
  <c r="AL1011" i="2" s="1"/>
  <c r="AL427" i="2"/>
  <c r="AL296" i="2"/>
  <c r="AL287" i="2"/>
  <c r="AL162" i="2"/>
  <c r="AL78" i="2"/>
  <c r="AL8" i="2"/>
  <c r="AL1108" i="2"/>
  <c r="AL1109" i="2" s="1"/>
  <c r="AL1037" i="2"/>
  <c r="AL1017" i="2"/>
  <c r="AL659" i="2"/>
  <c r="AL555" i="2"/>
  <c r="AL438" i="2"/>
  <c r="AL437" i="2" s="1"/>
  <c r="AL300" i="2"/>
  <c r="AL297" i="2" s="1"/>
  <c r="AL288" i="2"/>
  <c r="AL212" i="2"/>
  <c r="AL1033" i="2"/>
  <c r="AL688" i="2"/>
  <c r="AL656" i="2"/>
  <c r="AL81" i="2"/>
  <c r="AL682" i="2"/>
  <c r="AL432" i="2"/>
  <c r="AL19" i="2"/>
  <c r="AL1273" i="2"/>
  <c r="AL389" i="2"/>
  <c r="AL291" i="2"/>
  <c r="AL1272" i="2"/>
  <c r="AL1146" i="2"/>
  <c r="AL1147" i="2" s="1"/>
  <c r="AL544" i="2"/>
  <c r="AL407" i="2"/>
  <c r="AL1136" i="2"/>
  <c r="AL542" i="2"/>
  <c r="AL431" i="2"/>
  <c r="AL405" i="2"/>
  <c r="AL214" i="2"/>
  <c r="AL168" i="2"/>
  <c r="AL167" i="2" s="1"/>
  <c r="AL144" i="2"/>
  <c r="AL160" i="2"/>
  <c r="AL1335" i="2"/>
  <c r="AL1029" i="2"/>
  <c r="AL531" i="2"/>
  <c r="AL36" i="2"/>
  <c r="AL1281" i="2"/>
  <c r="AL443" i="2"/>
  <c r="AL1279" i="2"/>
  <c r="AL1178" i="2"/>
  <c r="AL197" i="4" s="1"/>
  <c r="AL1278" i="2"/>
  <c r="AL442" i="2"/>
  <c r="AL391" i="2"/>
  <c r="AL7" i="2"/>
  <c r="AL1220" i="2"/>
  <c r="AL1221" i="2" s="1"/>
  <c r="AL187" i="2"/>
  <c r="AL169" i="2" s="1"/>
  <c r="AL1032" i="2"/>
  <c r="AL1031" i="2" s="1"/>
  <c r="AL643" i="2"/>
  <c r="AL428" i="2"/>
  <c r="AL185" i="2"/>
  <c r="AL628" i="2"/>
  <c r="AL629" i="2" s="1"/>
  <c r="AL26" i="2"/>
  <c r="AL25" i="2" s="1"/>
  <c r="AL712" i="2"/>
  <c r="AL17" i="2"/>
  <c r="AL714" i="2"/>
  <c r="AL557" i="2"/>
  <c r="AL175" i="2"/>
  <c r="AL1208" i="2"/>
  <c r="AL1209" i="2" s="1"/>
  <c r="AL150" i="2"/>
  <c r="AN1083" i="2"/>
  <c r="AN1082" i="2" s="1"/>
  <c r="AM1084" i="2"/>
  <c r="AG374" i="4"/>
  <c r="AG324" i="4"/>
  <c r="AG277" i="4"/>
  <c r="AG1184" i="2"/>
  <c r="AG1264" i="2"/>
  <c r="AJ302" i="2"/>
  <c r="AJ303" i="2" s="1"/>
  <c r="AK1038" i="2"/>
  <c r="AK1039" i="2"/>
  <c r="AI177" i="4"/>
  <c r="AJ672" i="2"/>
  <c r="AJ668" i="2" s="1"/>
  <c r="AJ678" i="2" s="1"/>
  <c r="AJ673" i="2"/>
  <c r="AJ674" i="2" s="1"/>
  <c r="AJ669" i="2"/>
  <c r="AJ670" i="2" s="1"/>
  <c r="AG110" i="10"/>
  <c r="AG108" i="10" s="1"/>
  <c r="AH105" i="10" s="1"/>
  <c r="AL370" i="4"/>
  <c r="AL194" i="4"/>
  <c r="AL298" i="4"/>
  <c r="AL293" i="4"/>
  <c r="AL273" i="4"/>
  <c r="AL332" i="4"/>
  <c r="AL389" i="4"/>
  <c r="AL347" i="4"/>
  <c r="AL283" i="4"/>
  <c r="AL199" i="4"/>
  <c r="AL384" i="4"/>
  <c r="AL321" i="4"/>
  <c r="AL189" i="4"/>
  <c r="AL169" i="4"/>
  <c r="AL178" i="4"/>
  <c r="AL412" i="4"/>
  <c r="AL342" i="4"/>
  <c r="W84" i="10"/>
  <c r="W85" i="10" s="1"/>
  <c r="AJ173" i="2"/>
  <c r="AJ171" i="2"/>
  <c r="AS113" i="10"/>
  <c r="AJ146" i="2"/>
  <c r="AJ148" i="2"/>
  <c r="AK289" i="2"/>
  <c r="AK1280" i="2"/>
  <c r="AK1282" i="2" s="1"/>
  <c r="AK729" i="2"/>
  <c r="AK722" i="2"/>
  <c r="AK726" i="2"/>
  <c r="AK717" i="2" s="1"/>
  <c r="AR61" i="1"/>
  <c r="AS60" i="1"/>
  <c r="AF117" i="10"/>
  <c r="AF115" i="10" s="1"/>
  <c r="AG112" i="10" s="1"/>
  <c r="AO292" i="4"/>
  <c r="AO341" i="4"/>
  <c r="AO383" i="4"/>
  <c r="AO47" i="1"/>
  <c r="AO57" i="2" s="1"/>
  <c r="AO49" i="1"/>
  <c r="AO48" i="1"/>
  <c r="AO50" i="1"/>
  <c r="AP43" i="1"/>
  <c r="AJ702" i="2"/>
  <c r="AJ698" i="2" s="1"/>
  <c r="AJ708" i="2" s="1"/>
  <c r="AJ703" i="2"/>
  <c r="AJ704" i="2" s="1"/>
  <c r="AJ699" i="2"/>
  <c r="AJ700" i="2" s="1"/>
  <c r="AK298" i="2"/>
  <c r="AN159" i="2"/>
  <c r="AN211" i="2"/>
  <c r="AN184" i="2"/>
  <c r="AN1063" i="2"/>
  <c r="AN1062" i="2" s="1"/>
  <c r="AM1061" i="2"/>
  <c r="AE206" i="2"/>
  <c r="AM2" i="5"/>
  <c r="AM2" i="4"/>
  <c r="AM2" i="2"/>
  <c r="AM2" i="10"/>
  <c r="AM2" i="1"/>
  <c r="AN25" i="1"/>
  <c r="AI29" i="2"/>
  <c r="AI991" i="2"/>
  <c r="AI1305" i="2" s="1"/>
  <c r="AI949" i="2"/>
  <c r="AI22" i="2"/>
  <c r="AK9" i="2"/>
  <c r="AJ503" i="4"/>
  <c r="AH138" i="4"/>
  <c r="AH144" i="4" s="1"/>
  <c r="AH990" i="2"/>
  <c r="AH399" i="2"/>
  <c r="AM80" i="1"/>
  <c r="AN81" i="1"/>
  <c r="AJ21" i="2"/>
  <c r="AJ22" i="2" s="1"/>
  <c r="AS68" i="10"/>
  <c r="AN299" i="2"/>
  <c r="AN290" i="2"/>
  <c r="AE594" i="2"/>
  <c r="AM1091" i="2"/>
  <c r="AM1090" i="2" s="1"/>
  <c r="AL1092" i="2"/>
  <c r="AN430" i="2"/>
  <c r="AN441" i="2"/>
  <c r="AR86" i="1"/>
  <c r="AG1310" i="2"/>
  <c r="AE205" i="2"/>
  <c r="AL146" i="1"/>
  <c r="AL59" i="1"/>
  <c r="AL120" i="1"/>
  <c r="AL45" i="1"/>
  <c r="AL44" i="1"/>
  <c r="AL53" i="1"/>
  <c r="AL131" i="1"/>
  <c r="AL123" i="1"/>
  <c r="AL140" i="1"/>
  <c r="AH198" i="2"/>
  <c r="AH200" i="2"/>
  <c r="AK429" i="2"/>
  <c r="AK434" i="2" s="1"/>
  <c r="AK677" i="2"/>
  <c r="AK667" i="2"/>
  <c r="AK671" i="2"/>
  <c r="AK662" i="2" s="1"/>
  <c r="AK145" i="2"/>
  <c r="AF593" i="2"/>
  <c r="AF594" i="2" s="1"/>
  <c r="AN35" i="2"/>
  <c r="AN16" i="2"/>
  <c r="AN77" i="2"/>
  <c r="AL65" i="10"/>
  <c r="AL133" i="10"/>
  <c r="AL136" i="10"/>
  <c r="AL188" i="4" s="1"/>
  <c r="AL135" i="10"/>
  <c r="AL97" i="10"/>
  <c r="AL176" i="4" s="1"/>
  <c r="AL93" i="10"/>
  <c r="AL168" i="4" s="1"/>
  <c r="AL70" i="10"/>
  <c r="AL71" i="10" s="1"/>
  <c r="AL72" i="10" s="1"/>
  <c r="AT82" i="10"/>
  <c r="AJ142" i="4"/>
  <c r="AS106" i="10"/>
  <c r="AK647" i="2"/>
  <c r="AK650" i="2" s="1"/>
  <c r="AK649" i="2"/>
  <c r="AK648" i="2"/>
  <c r="AK629" i="2"/>
  <c r="AK28" i="2"/>
  <c r="AK707" i="2"/>
  <c r="AK701" i="2"/>
  <c r="AK691" i="2" s="1"/>
  <c r="AI19" i="4"/>
  <c r="AI18" i="4" s="1"/>
  <c r="AI196" i="2"/>
  <c r="AH11" i="2"/>
  <c r="M389" i="4"/>
  <c r="E159" i="7" l="1"/>
  <c r="E115" i="7"/>
  <c r="E167" i="7"/>
  <c r="E94" i="7"/>
  <c r="AH41" i="4"/>
  <c r="AK371" i="2"/>
  <c r="AK372" i="2" s="1"/>
  <c r="AK43" i="4" s="1"/>
  <c r="AK498" i="2"/>
  <c r="AK508" i="2"/>
  <c r="AK56" i="4"/>
  <c r="AM506" i="2"/>
  <c r="AM505" i="2"/>
  <c r="AM501" i="2"/>
  <c r="AM502" i="2"/>
  <c r="AL503" i="2"/>
  <c r="AK970" i="2"/>
  <c r="AK977" i="2"/>
  <c r="AL493" i="2"/>
  <c r="AK967" i="2"/>
  <c r="AK966" i="2"/>
  <c r="AM496" i="2"/>
  <c r="AM492" i="2"/>
  <c r="AM495" i="2"/>
  <c r="AM491" i="2"/>
  <c r="AJ971" i="2"/>
  <c r="AI363" i="2"/>
  <c r="AI42" i="4" s="1"/>
  <c r="AI41" i="4" s="1"/>
  <c r="AI996" i="2"/>
  <c r="AE775" i="2"/>
  <c r="AE995" i="2" s="1"/>
  <c r="AD995" i="2"/>
  <c r="AH413" i="2"/>
  <c r="AH1321" i="2" s="1"/>
  <c r="AH497" i="4" s="1"/>
  <c r="AL411" i="2"/>
  <c r="AK395" i="2"/>
  <c r="AH386" i="2"/>
  <c r="AI388" i="2"/>
  <c r="AI386" i="2" s="1"/>
  <c r="AI393" i="2" s="1"/>
  <c r="AL1013" i="2"/>
  <c r="AL1014" i="2" s="1"/>
  <c r="AK350" i="2"/>
  <c r="AK351" i="2" s="1"/>
  <c r="AK39" i="4" s="1"/>
  <c r="AL346" i="2"/>
  <c r="AM344" i="2"/>
  <c r="AM348" i="2"/>
  <c r="AM345" i="2" s="1"/>
  <c r="AK341" i="2"/>
  <c r="AK342" i="2" s="1"/>
  <c r="AK38" i="4" s="1"/>
  <c r="AM335" i="2"/>
  <c r="AM339" i="2"/>
  <c r="AM336" i="2" s="1"/>
  <c r="Z1217" i="2"/>
  <c r="AL337" i="2"/>
  <c r="AL328" i="2"/>
  <c r="AL332" i="2" s="1"/>
  <c r="AL333" i="2" s="1"/>
  <c r="AL37" i="4" s="1"/>
  <c r="AJ362" i="2"/>
  <c r="AJ396" i="2" s="1"/>
  <c r="AM68" i="2"/>
  <c r="AM330" i="2"/>
  <c r="AM327" i="2" s="1"/>
  <c r="AM326" i="2"/>
  <c r="AK332" i="2"/>
  <c r="AK333" i="2" s="1"/>
  <c r="AK37" i="4" s="1"/>
  <c r="AA1219" i="2"/>
  <c r="O1326" i="2"/>
  <c r="O1327" i="2" s="1"/>
  <c r="O462" i="4" s="1"/>
  <c r="AG50" i="4"/>
  <c r="AI412" i="2"/>
  <c r="AI414" i="2" s="1"/>
  <c r="AI617" i="2" s="1"/>
  <c r="AG32" i="4"/>
  <c r="AL107" i="2"/>
  <c r="AL87" i="2"/>
  <c r="AI130" i="2"/>
  <c r="AI1291" i="2" s="1"/>
  <c r="AI485" i="4" s="1"/>
  <c r="AJ128" i="2"/>
  <c r="AJ471" i="2" s="1"/>
  <c r="AI517" i="2"/>
  <c r="AI473" i="2"/>
  <c r="AI527" i="2" s="1"/>
  <c r="AL439" i="2"/>
  <c r="AL440" i="2" s="1"/>
  <c r="AL445" i="2" s="1"/>
  <c r="AL67" i="2"/>
  <c r="AI6" i="4"/>
  <c r="AG619" i="2"/>
  <c r="AH394" i="2"/>
  <c r="AG128" i="4"/>
  <c r="AG418" i="2"/>
  <c r="AI11" i="2"/>
  <c r="AJ11" i="2" s="1"/>
  <c r="AD98" i="4"/>
  <c r="AK319" i="2"/>
  <c r="AK323" i="2" s="1"/>
  <c r="AK324" i="2" s="1"/>
  <c r="AK36" i="4" s="1"/>
  <c r="AG100" i="4"/>
  <c r="Q1328" i="2"/>
  <c r="Q1330" i="2" s="1"/>
  <c r="AJ34" i="1"/>
  <c r="AJ638" i="2" s="1"/>
  <c r="AK962" i="2"/>
  <c r="R1314" i="2"/>
  <c r="R1315" i="2" s="1"/>
  <c r="R495" i="4"/>
  <c r="R103" i="4"/>
  <c r="P1336" i="2"/>
  <c r="P1334" i="2" s="1"/>
  <c r="P1332" i="2"/>
  <c r="P1333" i="2" s="1"/>
  <c r="AK955" i="2"/>
  <c r="AI317" i="4"/>
  <c r="AI4" i="4"/>
  <c r="AI423" i="2"/>
  <c r="AI55" i="10"/>
  <c r="AI1142" i="2"/>
  <c r="AI1269" i="2"/>
  <c r="AI102" i="10"/>
  <c r="AI1" i="5"/>
  <c r="AI38" i="1"/>
  <c r="AI69" i="4"/>
  <c r="AI4" i="5"/>
  <c r="AI408" i="4"/>
  <c r="AI25" i="4"/>
  <c r="AI140" i="2"/>
  <c r="AI1" i="1"/>
  <c r="AI4" i="2"/>
  <c r="AI233" i="4"/>
  <c r="AI1189" i="2"/>
  <c r="AI366" i="4"/>
  <c r="AI1096" i="2"/>
  <c r="AI638" i="2"/>
  <c r="AI124" i="4"/>
  <c r="AI1" i="4"/>
  <c r="AI90" i="10"/>
  <c r="AI570" i="2"/>
  <c r="AI205" i="4"/>
  <c r="AI1056" i="2"/>
  <c r="AI1" i="10"/>
  <c r="AI14" i="4"/>
  <c r="AI284" i="2"/>
  <c r="AI14" i="1"/>
  <c r="AI269" i="4"/>
  <c r="AI91" i="4"/>
  <c r="AI1168" i="2"/>
  <c r="AI1" i="2"/>
  <c r="AI113" i="1"/>
  <c r="AI1000" i="2"/>
  <c r="AI68" i="1"/>
  <c r="AI159" i="4"/>
  <c r="S954" i="2"/>
  <c r="T766" i="2"/>
  <c r="T878" i="2"/>
  <c r="T969" i="2" s="1"/>
  <c r="S65" i="4"/>
  <c r="S107" i="4"/>
  <c r="S1318" i="2"/>
  <c r="S174" i="4"/>
  <c r="AK219" i="4"/>
  <c r="AJ220" i="4"/>
  <c r="T881" i="2"/>
  <c r="T972" i="2" s="1"/>
  <c r="AO259" i="2"/>
  <c r="AO235" i="2"/>
  <c r="AL26" i="1"/>
  <c r="AK27" i="1"/>
  <c r="AK29" i="1"/>
  <c r="AK28" i="1"/>
  <c r="T936" i="2"/>
  <c r="T982" i="2"/>
  <c r="AO320" i="2"/>
  <c r="AO380" i="2"/>
  <c r="AO311" i="2"/>
  <c r="AO368" i="2"/>
  <c r="AO359" i="2"/>
  <c r="AO464" i="2"/>
  <c r="AO474" i="2"/>
  <c r="AO454" i="2"/>
  <c r="AO484" i="2"/>
  <c r="AO520" i="2"/>
  <c r="S958" i="2"/>
  <c r="T770" i="2"/>
  <c r="AK952" i="2"/>
  <c r="AJ956" i="2"/>
  <c r="AK951" i="2"/>
  <c r="AL840" i="2"/>
  <c r="AL841" i="2"/>
  <c r="AK848" i="2"/>
  <c r="AK849" i="2" s="1"/>
  <c r="AK847" i="2"/>
  <c r="AK843" i="2" s="1"/>
  <c r="AK853" i="2" s="1"/>
  <c r="AK844" i="2"/>
  <c r="AK845" i="2" s="1"/>
  <c r="AL852" i="2"/>
  <c r="AL842" i="2"/>
  <c r="AL846" i="2"/>
  <c r="AL837" i="2" s="1"/>
  <c r="AL78" i="4" s="1"/>
  <c r="AI299" i="7" s="1"/>
  <c r="AM831" i="2"/>
  <c r="AM834" i="2"/>
  <c r="AJ765" i="2"/>
  <c r="AK822" i="2"/>
  <c r="AK823" i="2" s="1"/>
  <c r="AK821" i="2"/>
  <c r="AK817" i="2" s="1"/>
  <c r="AK827" i="2" s="1"/>
  <c r="AK818" i="2"/>
  <c r="AK819" i="2" s="1"/>
  <c r="AM808" i="2"/>
  <c r="AM805" i="2"/>
  <c r="AL318" i="2"/>
  <c r="AL319" i="2" s="1"/>
  <c r="AL826" i="2"/>
  <c r="AL816" i="2"/>
  <c r="AL820" i="2"/>
  <c r="AL811" i="2" s="1"/>
  <c r="AL77" i="4" s="1"/>
  <c r="AI298" i="7" s="1"/>
  <c r="AL814" i="2"/>
  <c r="AL815" i="2"/>
  <c r="AK759" i="2"/>
  <c r="AK75" i="4" s="1"/>
  <c r="AH296" i="7" s="1"/>
  <c r="AL744" i="2"/>
  <c r="AL946" i="2" s="1"/>
  <c r="AL481" i="2"/>
  <c r="AL483" i="2" s="1"/>
  <c r="AK796" i="2"/>
  <c r="AK797" i="2" s="1"/>
  <c r="AK795" i="2"/>
  <c r="AK791" i="2" s="1"/>
  <c r="AK801" i="2" s="1"/>
  <c r="AK792" i="2"/>
  <c r="AK793" i="2" s="1"/>
  <c r="AL788" i="2"/>
  <c r="AL789" i="2"/>
  <c r="AL800" i="2"/>
  <c r="AL790" i="2"/>
  <c r="AL794" i="2"/>
  <c r="AL785" i="2" s="1"/>
  <c r="AL76" i="4" s="1"/>
  <c r="AI297" i="7" s="1"/>
  <c r="AM779" i="2"/>
  <c r="AM782" i="2"/>
  <c r="AL357" i="2"/>
  <c r="AL358" i="2" s="1"/>
  <c r="AM753" i="2"/>
  <c r="AM756" i="2"/>
  <c r="AL762" i="2"/>
  <c r="AL763" i="2"/>
  <c r="AL774" i="2"/>
  <c r="AL764" i="2"/>
  <c r="AL768" i="2"/>
  <c r="AK769" i="2"/>
  <c r="AI404" i="2"/>
  <c r="AI402" i="2" s="1"/>
  <c r="AI409" i="2" s="1"/>
  <c r="AE496" i="4"/>
  <c r="AH430" i="4"/>
  <c r="AJ314" i="2"/>
  <c r="AJ388" i="2" s="1"/>
  <c r="AJ412" i="2"/>
  <c r="AH202" i="2"/>
  <c r="AH276" i="2" s="1"/>
  <c r="AH592" i="2" s="1"/>
  <c r="AG204" i="2"/>
  <c r="AG217" i="2" s="1"/>
  <c r="AE464" i="4"/>
  <c r="AF576" i="2"/>
  <c r="AI384" i="2"/>
  <c r="AI46" i="4" s="1"/>
  <c r="AF464" i="4"/>
  <c r="AL378" i="2"/>
  <c r="AL379" i="2" s="1"/>
  <c r="AL403" i="2" s="1"/>
  <c r="AH414" i="2"/>
  <c r="AH617" i="2" s="1"/>
  <c r="AH618" i="2" s="1"/>
  <c r="AH619" i="2" s="1"/>
  <c r="AH484" i="4"/>
  <c r="AI51" i="2"/>
  <c r="AF437" i="4"/>
  <c r="AK746" i="2"/>
  <c r="AG574" i="2"/>
  <c r="AG575" i="2" s="1"/>
  <c r="AG576" i="2" s="1"/>
  <c r="AK7" i="4"/>
  <c r="AI52" i="2"/>
  <c r="AL50" i="2"/>
  <c r="AJ64" i="2"/>
  <c r="AM61" i="2"/>
  <c r="AM49" i="2" s="1"/>
  <c r="AM58" i="2"/>
  <c r="AM47" i="2"/>
  <c r="AK63" i="2"/>
  <c r="AJ8" i="4"/>
  <c r="AE48" i="4"/>
  <c r="AK70" i="2"/>
  <c r="AK8" i="4" s="1"/>
  <c r="AG416" i="2"/>
  <c r="AG1322" i="2" s="1"/>
  <c r="AL69" i="2"/>
  <c r="X241" i="4"/>
  <c r="AE94" i="4"/>
  <c r="AD238" i="4"/>
  <c r="AJ10" i="4"/>
  <c r="AE102" i="4"/>
  <c r="AG236" i="4"/>
  <c r="AI34" i="4"/>
  <c r="AD459" i="4"/>
  <c r="AF48" i="4"/>
  <c r="AF238" i="4" s="1"/>
  <c r="Y1248" i="2"/>
  <c r="Y1259" i="2"/>
  <c r="Y112" i="4" s="1"/>
  <c r="Y241" i="4" s="1"/>
  <c r="Z1253" i="2"/>
  <c r="Z192" i="4" s="1"/>
  <c r="X222" i="4"/>
  <c r="X208" i="4"/>
  <c r="X195" i="4"/>
  <c r="Y222" i="4"/>
  <c r="Y195" i="4"/>
  <c r="Y208" i="4"/>
  <c r="Z212" i="4"/>
  <c r="Z373" i="4"/>
  <c r="Z276" i="4"/>
  <c r="AA1251" i="2"/>
  <c r="AA108" i="4" s="1"/>
  <c r="AA1234" i="2"/>
  <c r="AA1252" i="2" s="1"/>
  <c r="AA130" i="4" s="1"/>
  <c r="Z1257" i="2"/>
  <c r="AA1242" i="2"/>
  <c r="AJ627" i="2"/>
  <c r="AJ626" i="2" s="1"/>
  <c r="AJ184" i="4" s="1"/>
  <c r="AM1235" i="2"/>
  <c r="AL309" i="2"/>
  <c r="AL310" i="2" s="1"/>
  <c r="AM737" i="2"/>
  <c r="AM743" i="2" s="1"/>
  <c r="AM945" i="2" s="1"/>
  <c r="AL743" i="2"/>
  <c r="AL945" i="2" s="1"/>
  <c r="AL742" i="2"/>
  <c r="AL944" i="2" s="1"/>
  <c r="AJ1299" i="2"/>
  <c r="AK963" i="2"/>
  <c r="AK139" i="4" s="1"/>
  <c r="AJ934" i="2"/>
  <c r="AJ941" i="2" s="1"/>
  <c r="AJ985" i="2"/>
  <c r="AK928" i="2"/>
  <c r="AK85" i="4" s="1"/>
  <c r="AH306" i="7" s="1"/>
  <c r="AK984" i="2"/>
  <c r="AK978" i="2" s="1"/>
  <c r="AK140" i="4" s="1"/>
  <c r="AK911" i="2"/>
  <c r="AK912" i="2" s="1"/>
  <c r="AK910" i="2"/>
  <c r="AK906" i="2" s="1"/>
  <c r="AK916" i="2" s="1"/>
  <c r="AK907" i="2"/>
  <c r="AK908" i="2" s="1"/>
  <c r="AL902" i="2"/>
  <c r="AL904" i="2"/>
  <c r="AL905" i="2"/>
  <c r="AM896" i="2"/>
  <c r="AM890" i="2"/>
  <c r="AL915" i="2"/>
  <c r="AL909" i="2"/>
  <c r="AL899" i="2" s="1"/>
  <c r="AL82" i="4" s="1"/>
  <c r="AI303" i="7" s="1"/>
  <c r="AL366" i="2"/>
  <c r="AL367" i="2" s="1"/>
  <c r="AL371" i="2" s="1"/>
  <c r="AL372" i="2" s="1"/>
  <c r="AL43" i="4" s="1"/>
  <c r="AL940" i="2"/>
  <c r="AL988" i="2" s="1"/>
  <c r="AL933" i="2"/>
  <c r="AL981" i="2" s="1"/>
  <c r="AL937" i="2"/>
  <c r="AM923" i="2"/>
  <c r="AM925" i="2"/>
  <c r="AL931" i="2"/>
  <c r="AL932" i="2"/>
  <c r="AL980" i="2" s="1"/>
  <c r="AK938" i="2"/>
  <c r="AJ876" i="2"/>
  <c r="AJ886" i="2" s="1"/>
  <c r="AK869" i="2"/>
  <c r="AK81" i="4" s="1"/>
  <c r="AH302" i="7" s="1"/>
  <c r="AK880" i="2"/>
  <c r="AM860" i="2"/>
  <c r="AM866" i="2"/>
  <c r="AL885" i="2"/>
  <c r="AL879" i="2"/>
  <c r="AL872" i="2"/>
  <c r="AL874" i="2"/>
  <c r="AL966" i="2" s="1"/>
  <c r="AL875" i="2"/>
  <c r="AL109" i="2"/>
  <c r="AK110" i="2"/>
  <c r="AK10" i="4" s="1"/>
  <c r="AD432" i="4"/>
  <c r="AH519" i="2"/>
  <c r="AE562" i="2"/>
  <c r="AE564" i="2" s="1"/>
  <c r="AF559" i="2"/>
  <c r="AF560" i="2"/>
  <c r="AF552" i="2"/>
  <c r="AF566" i="2" s="1"/>
  <c r="AD486" i="4"/>
  <c r="AA163" i="4"/>
  <c r="AG524" i="2"/>
  <c r="AG554" i="2" s="1"/>
  <c r="AG1302" i="2" s="1"/>
  <c r="AG61" i="4"/>
  <c r="AG553" i="2"/>
  <c r="AJ123" i="2"/>
  <c r="AJ124" i="2" s="1"/>
  <c r="AE30" i="4"/>
  <c r="AD253" i="2"/>
  <c r="AD272" i="2" s="1"/>
  <c r="AD607" i="2" s="1"/>
  <c r="AD269" i="2"/>
  <c r="AD1301" i="2" s="1"/>
  <c r="AD254" i="2"/>
  <c r="AD278" i="2" s="1"/>
  <c r="AD604" i="2" s="1"/>
  <c r="AD605" i="2" s="1"/>
  <c r="AD606" i="2" s="1"/>
  <c r="AF536" i="2"/>
  <c r="AF538" i="2" s="1"/>
  <c r="AG534" i="2"/>
  <c r="AG526" i="2"/>
  <c r="AH53" i="4"/>
  <c r="AH478" i="2"/>
  <c r="AH528" i="2" s="1"/>
  <c r="AF216" i="2"/>
  <c r="AL89" i="2"/>
  <c r="AC1301" i="2"/>
  <c r="AB279" i="2"/>
  <c r="AB611" i="2" s="1"/>
  <c r="AB612" i="2" s="1"/>
  <c r="AB613" i="2" s="1"/>
  <c r="AE584" i="2"/>
  <c r="AE166" i="4" s="1"/>
  <c r="AE262" i="4" s="1"/>
  <c r="AC258" i="2"/>
  <c r="AC273" i="2" s="1"/>
  <c r="AC127" i="4" s="1"/>
  <c r="AE264" i="2"/>
  <c r="AE274" i="2" s="1"/>
  <c r="AE1292" i="2" s="1"/>
  <c r="AF252" i="2"/>
  <c r="AF264" i="2" s="1"/>
  <c r="AE265" i="2"/>
  <c r="AE254" i="2" s="1"/>
  <c r="AI219" i="2"/>
  <c r="AI221" i="2" s="1"/>
  <c r="AI243" i="2"/>
  <c r="AB127" i="4"/>
  <c r="AH245" i="2"/>
  <c r="AH268" i="2" s="1"/>
  <c r="AH95" i="4" s="1"/>
  <c r="AH237" i="4" s="1"/>
  <c r="AF277" i="2"/>
  <c r="AF598" i="2" s="1"/>
  <c r="AG246" i="2"/>
  <c r="AG275" i="2" s="1"/>
  <c r="AG586" i="2" s="1"/>
  <c r="AG248" i="2"/>
  <c r="AG277" i="2" s="1"/>
  <c r="AG268" i="2"/>
  <c r="AG95" i="4" s="1"/>
  <c r="AA127" i="4"/>
  <c r="AA280" i="2"/>
  <c r="AA613" i="2"/>
  <c r="AF241" i="2"/>
  <c r="AF229" i="2" s="1"/>
  <c r="AF240" i="2"/>
  <c r="AE230" i="2"/>
  <c r="AD232" i="2"/>
  <c r="AC279" i="2"/>
  <c r="AC611" i="2" s="1"/>
  <c r="AC602" i="2"/>
  <c r="AC183" i="4" s="1"/>
  <c r="AH222" i="2"/>
  <c r="AH224" i="2"/>
  <c r="AG228" i="2"/>
  <c r="AF28" i="4"/>
  <c r="AI92" i="2"/>
  <c r="AJ103" i="2"/>
  <c r="AJ104" i="2" s="1"/>
  <c r="AI91" i="2"/>
  <c r="AK90" i="2"/>
  <c r="AK9" i="4" s="1"/>
  <c r="AM262" i="2"/>
  <c r="AM260" i="2"/>
  <c r="AM244" i="2"/>
  <c r="AM250" i="2"/>
  <c r="AF587" i="2"/>
  <c r="AH131" i="2"/>
  <c r="AH431" i="4"/>
  <c r="AH458" i="4"/>
  <c r="AH71" i="2"/>
  <c r="AM238" i="2"/>
  <c r="AM236" i="2"/>
  <c r="AM220" i="2"/>
  <c r="AM226" i="2"/>
  <c r="AK488" i="2"/>
  <c r="AK54" i="4"/>
  <c r="AM486" i="2"/>
  <c r="AM482" i="2"/>
  <c r="AM485" i="2"/>
  <c r="AH72" i="2"/>
  <c r="AH133" i="2" s="1"/>
  <c r="AM476" i="2"/>
  <c r="AM472" i="2"/>
  <c r="AM475" i="2"/>
  <c r="AK468" i="2"/>
  <c r="AK52" i="4"/>
  <c r="AL463" i="2"/>
  <c r="AM466" i="2"/>
  <c r="AM462" i="2"/>
  <c r="AM465" i="2"/>
  <c r="AM522" i="2"/>
  <c r="AM518" i="2"/>
  <c r="AM521" i="2"/>
  <c r="AK458" i="2"/>
  <c r="AK51" i="4"/>
  <c r="AI529" i="2"/>
  <c r="AM456" i="2"/>
  <c r="AM452" i="2"/>
  <c r="AM455" i="2"/>
  <c r="AL453" i="2"/>
  <c r="AJ194" i="2"/>
  <c r="AJ402" i="2"/>
  <c r="AJ409" i="2" s="1"/>
  <c r="AJ384" i="2"/>
  <c r="AJ46" i="4" s="1"/>
  <c r="AJ45" i="4" s="1"/>
  <c r="AI84" i="2"/>
  <c r="AI129" i="2" s="1"/>
  <c r="AD600" i="2"/>
  <c r="AG397" i="2"/>
  <c r="AF401" i="2"/>
  <c r="AE599" i="2"/>
  <c r="AM321" i="2"/>
  <c r="AM317" i="2"/>
  <c r="AK314" i="2"/>
  <c r="AM312" i="2"/>
  <c r="AM308" i="2"/>
  <c r="AI394" i="2"/>
  <c r="AM381" i="2"/>
  <c r="AM377" i="2"/>
  <c r="AK195" i="2"/>
  <c r="AK197" i="2" s="1"/>
  <c r="AK383" i="2"/>
  <c r="AK404" i="2" s="1"/>
  <c r="AM369" i="2"/>
  <c r="AM365" i="2"/>
  <c r="AK362" i="2"/>
  <c r="AM360" i="2"/>
  <c r="AM356" i="2"/>
  <c r="AO117" i="2"/>
  <c r="AO97" i="2"/>
  <c r="AN57" i="10"/>
  <c r="AN62" i="10"/>
  <c r="AE1199" i="2"/>
  <c r="AD1198" i="2"/>
  <c r="AE260" i="4"/>
  <c r="AJ547" i="2"/>
  <c r="AI549" i="2"/>
  <c r="AI551" i="2" s="1"/>
  <c r="AJ539" i="2"/>
  <c r="AI164" i="2"/>
  <c r="AH1310" i="2"/>
  <c r="AI112" i="2"/>
  <c r="AM108" i="2"/>
  <c r="AM121" i="2"/>
  <c r="AM118" i="2"/>
  <c r="AL1280" i="2"/>
  <c r="AL1282" i="2" s="1"/>
  <c r="AM101" i="2"/>
  <c r="AM98" i="2"/>
  <c r="AM88" i="2"/>
  <c r="AK173" i="2"/>
  <c r="AK177" i="2" s="1"/>
  <c r="AL1274" i="2"/>
  <c r="AL1276" i="2" s="1"/>
  <c r="AG156" i="2"/>
  <c r="AG158" i="2" s="1"/>
  <c r="AH154" i="2"/>
  <c r="AH156" i="2"/>
  <c r="AI190" i="2"/>
  <c r="AH181" i="2" s="1"/>
  <c r="AH183" i="2" s="1"/>
  <c r="AJ152" i="2"/>
  <c r="AJ164" i="2" s="1"/>
  <c r="AD210" i="2"/>
  <c r="AL170" i="2"/>
  <c r="AL171" i="2" s="1"/>
  <c r="AF206" i="2"/>
  <c r="AJ84" i="2"/>
  <c r="AJ177" i="2"/>
  <c r="AJ189" i="2" s="1"/>
  <c r="AL298" i="2"/>
  <c r="AJ10" i="2"/>
  <c r="AM146" i="1"/>
  <c r="AM59" i="1"/>
  <c r="AM120" i="1"/>
  <c r="AM45" i="1"/>
  <c r="AM44" i="1"/>
  <c r="AM123" i="1"/>
  <c r="AM140" i="1"/>
  <c r="AM131" i="1"/>
  <c r="AM53" i="1"/>
  <c r="AK302" i="2"/>
  <c r="AK303" i="2" s="1"/>
  <c r="AS61" i="1"/>
  <c r="AT60" i="1"/>
  <c r="AF205" i="2"/>
  <c r="W86" i="10"/>
  <c r="AH109" i="10"/>
  <c r="AL729" i="2"/>
  <c r="AL722" i="2"/>
  <c r="AL726" i="2"/>
  <c r="AL717" i="2" s="1"/>
  <c r="AN87" i="1"/>
  <c r="AM91" i="1"/>
  <c r="U77" i="10"/>
  <c r="U78" i="10" s="1"/>
  <c r="AI399" i="2"/>
  <c r="AI138" i="4"/>
  <c r="AI144" i="4" s="1"/>
  <c r="AI990" i="2"/>
  <c r="AI154" i="2"/>
  <c r="AL289" i="2"/>
  <c r="AG593" i="2"/>
  <c r="AG590" i="2" s="1"/>
  <c r="AG165" i="4" s="1"/>
  <c r="AJ440" i="4"/>
  <c r="AJ502" i="4"/>
  <c r="AJ467" i="4"/>
  <c r="AK21" i="2"/>
  <c r="AK22" i="2" s="1"/>
  <c r="AM136" i="10"/>
  <c r="AM188" i="4" s="1"/>
  <c r="AM93" i="10"/>
  <c r="AM168" i="4" s="1"/>
  <c r="AM135" i="10"/>
  <c r="AM133" i="10"/>
  <c r="AM65" i="10"/>
  <c r="AM97" i="10"/>
  <c r="AM176" i="4" s="1"/>
  <c r="AM70" i="10"/>
  <c r="AM71" i="10" s="1"/>
  <c r="AM72" i="10" s="1"/>
  <c r="AP292" i="4"/>
  <c r="AP383" i="4"/>
  <c r="AP341" i="4"/>
  <c r="AP47" i="1"/>
  <c r="AP57" i="2" s="1"/>
  <c r="AP49" i="1"/>
  <c r="AP50" i="1"/>
  <c r="AP48" i="1"/>
  <c r="AQ43" i="1"/>
  <c r="AL677" i="2"/>
  <c r="AL667" i="2"/>
  <c r="AL671" i="2"/>
  <c r="AL662" i="2" s="1"/>
  <c r="AS55" i="1"/>
  <c r="AT54" i="1"/>
  <c r="AL9" i="2"/>
  <c r="AL665" i="2"/>
  <c r="AL666" i="2"/>
  <c r="AM1012" i="2"/>
  <c r="AM1011" i="2" s="1"/>
  <c r="AM427" i="2"/>
  <c r="AM296" i="2"/>
  <c r="AM287" i="2"/>
  <c r="AM162" i="2"/>
  <c r="AM78" i="2"/>
  <c r="AM8" i="2"/>
  <c r="AM1273" i="2"/>
  <c r="AM1178" i="2"/>
  <c r="AM197" i="4" s="1"/>
  <c r="AM1146" i="2"/>
  <c r="AM1147" i="2" s="1"/>
  <c r="AM1033" i="2"/>
  <c r="AM682" i="2"/>
  <c r="AM557" i="2"/>
  <c r="AM36" i="2"/>
  <c r="AM26" i="2"/>
  <c r="AM25" i="2" s="1"/>
  <c r="AM17" i="2"/>
  <c r="AM7" i="2"/>
  <c r="AM1281" i="2"/>
  <c r="AM1272" i="2"/>
  <c r="AM1032" i="2"/>
  <c r="AM1031" i="2" s="1"/>
  <c r="AM659" i="2"/>
  <c r="AM628" i="2"/>
  <c r="AM629" i="2" s="1"/>
  <c r="AM555" i="2"/>
  <c r="AM544" i="2"/>
  <c r="AM443" i="2"/>
  <c r="AM407" i="2"/>
  <c r="AM214" i="2"/>
  <c r="AM160" i="2"/>
  <c r="AM1037" i="2"/>
  <c r="AM1017" i="2"/>
  <c r="AM431" i="2"/>
  <c r="AM389" i="2"/>
  <c r="AM185" i="2"/>
  <c r="AM1335" i="2"/>
  <c r="AM1279" i="2"/>
  <c r="AM1136" i="2"/>
  <c r="AM531" i="2"/>
  <c r="AM442" i="2"/>
  <c r="AM405" i="2"/>
  <c r="AM688" i="2"/>
  <c r="AM428" i="2"/>
  <c r="AM291" i="2"/>
  <c r="AM212" i="2"/>
  <c r="AM143" i="2"/>
  <c r="AM1013" i="2"/>
  <c r="AM1014" i="2" s="1"/>
  <c r="AM300" i="2"/>
  <c r="AM297" i="2" s="1"/>
  <c r="AM81" i="2"/>
  <c r="AM39" i="2"/>
  <c r="AM27" i="2" s="1"/>
  <c r="AM438" i="2"/>
  <c r="AM437" i="2" s="1"/>
  <c r="AM144" i="2"/>
  <c r="AM1201" i="2"/>
  <c r="AM1202" i="2" s="1"/>
  <c r="AM1150" i="2"/>
  <c r="AM1151" i="2" s="1"/>
  <c r="AM643" i="2"/>
  <c r="AM168" i="2"/>
  <c r="AM167" i="2" s="1"/>
  <c r="AM1220" i="2"/>
  <c r="AM1221" i="2" s="1"/>
  <c r="AM1108" i="2"/>
  <c r="AM1109" i="2" s="1"/>
  <c r="AM1029" i="2"/>
  <c r="AM432" i="2"/>
  <c r="AM391" i="2"/>
  <c r="AM1028" i="2"/>
  <c r="AM1278" i="2"/>
  <c r="AM1120" i="2"/>
  <c r="AM1121" i="2" s="1"/>
  <c r="AM712" i="2"/>
  <c r="AM656" i="2"/>
  <c r="AM187" i="2"/>
  <c r="AM169" i="2" s="1"/>
  <c r="AM1275" i="2"/>
  <c r="AM542" i="2"/>
  <c r="AM714" i="2"/>
  <c r="AM623" i="2"/>
  <c r="AM624" i="2" s="1"/>
  <c r="AM19" i="2"/>
  <c r="AM1026" i="2"/>
  <c r="AM288" i="2"/>
  <c r="AM175" i="2"/>
  <c r="AM150" i="2"/>
  <c r="AM1208" i="2"/>
  <c r="AM1209" i="2" s="1"/>
  <c r="AK503" i="4"/>
  <c r="AG1117" i="2"/>
  <c r="AN1084" i="2"/>
  <c r="AO1083" i="2"/>
  <c r="AO1082" i="2" s="1"/>
  <c r="AL720" i="2"/>
  <c r="AL721" i="2"/>
  <c r="AL647" i="2"/>
  <c r="AL650" i="2" s="1"/>
  <c r="AL648" i="2"/>
  <c r="AL649" i="2"/>
  <c r="AL694" i="2"/>
  <c r="AL696" i="2"/>
  <c r="AL697" i="2"/>
  <c r="AL707" i="2"/>
  <c r="AL701" i="2"/>
  <c r="AL691" i="2" s="1"/>
  <c r="AG1106" i="2"/>
  <c r="AH1119" i="2"/>
  <c r="AH1117" i="2" s="1"/>
  <c r="AN80" i="1"/>
  <c r="AO81" i="1"/>
  <c r="AO211" i="2"/>
  <c r="AO184" i="2"/>
  <c r="AO159" i="2"/>
  <c r="AE208" i="2"/>
  <c r="AK652" i="2"/>
  <c r="AT106" i="10"/>
  <c r="AI10" i="2"/>
  <c r="AO430" i="2"/>
  <c r="AO441" i="2"/>
  <c r="AG116" i="10"/>
  <c r="AT113" i="10"/>
  <c r="AL28" i="2"/>
  <c r="AL1039" i="2"/>
  <c r="AL1038" i="2"/>
  <c r="AL429" i="2"/>
  <c r="AL434" i="2" s="1"/>
  <c r="AL145" i="2"/>
  <c r="AK672" i="2"/>
  <c r="AK668" i="2" s="1"/>
  <c r="AK678" i="2" s="1"/>
  <c r="AK673" i="2"/>
  <c r="AK674" i="2" s="1"/>
  <c r="AK669" i="2"/>
  <c r="AK670" i="2" s="1"/>
  <c r="AK146" i="2"/>
  <c r="AK148" i="2"/>
  <c r="AF590" i="2"/>
  <c r="AF165" i="4" s="1"/>
  <c r="AO299" i="2"/>
  <c r="AO290" i="2"/>
  <c r="AF98" i="4"/>
  <c r="AS86" i="1"/>
  <c r="AN1091" i="2"/>
  <c r="AN1090" i="2" s="1"/>
  <c r="AM1092" i="2"/>
  <c r="AJ177" i="4"/>
  <c r="AM347" i="4"/>
  <c r="AM199" i="4"/>
  <c r="AM189" i="4"/>
  <c r="AM332" i="4"/>
  <c r="AM293" i="4"/>
  <c r="AM178" i="4"/>
  <c r="AM169" i="4"/>
  <c r="AM384" i="4"/>
  <c r="AM321" i="4"/>
  <c r="AM298" i="4"/>
  <c r="AM283" i="4"/>
  <c r="AM194" i="4"/>
  <c r="AM389" i="4"/>
  <c r="AM370" i="4"/>
  <c r="AM273" i="4"/>
  <c r="AM412" i="4"/>
  <c r="AM342" i="4"/>
  <c r="AO1063" i="2"/>
  <c r="AO1062" i="2" s="1"/>
  <c r="AN1061" i="2"/>
  <c r="AI198" i="2"/>
  <c r="AI200" i="2"/>
  <c r="AU82" i="10"/>
  <c r="AH374" i="4"/>
  <c r="AH324" i="4"/>
  <c r="AH277" i="4"/>
  <c r="AH1184" i="2"/>
  <c r="AH1264" i="2"/>
  <c r="AO35" i="2"/>
  <c r="AO16" i="2"/>
  <c r="AO77" i="2"/>
  <c r="AI1307" i="2"/>
  <c r="AK702" i="2"/>
  <c r="AK698" i="2" s="1"/>
  <c r="AK708" i="2" s="1"/>
  <c r="AK703" i="2"/>
  <c r="AK704" i="2" s="1"/>
  <c r="AK699" i="2"/>
  <c r="AK700" i="2" s="1"/>
  <c r="AK41" i="2"/>
  <c r="AK42" i="2" s="1"/>
  <c r="AT68" i="10"/>
  <c r="AF162" i="4"/>
  <c r="AF260" i="4" s="1"/>
  <c r="AJ19" i="4"/>
  <c r="AJ18" i="4" s="1"/>
  <c r="AJ196" i="2"/>
  <c r="AJ991" i="2"/>
  <c r="AJ1305" i="2" s="1"/>
  <c r="AJ949" i="2"/>
  <c r="AN2" i="5"/>
  <c r="AN2" i="4"/>
  <c r="AN2" i="2"/>
  <c r="AN2" i="10"/>
  <c r="AN2" i="1"/>
  <c r="AO25" i="1"/>
  <c r="AK293" i="2"/>
  <c r="AK294" i="2" s="1"/>
  <c r="AL172" i="4"/>
  <c r="AK727" i="2"/>
  <c r="AK723" i="2" s="1"/>
  <c r="AK730" i="2" s="1"/>
  <c r="AK724" i="2"/>
  <c r="AK725" i="2" s="1"/>
  <c r="AT75" i="10"/>
  <c r="M347" i="4"/>
  <c r="M298" i="4"/>
  <c r="AL967" i="2" l="1"/>
  <c r="AH32" i="4"/>
  <c r="AH239" i="4" s="1"/>
  <c r="AF775" i="2"/>
  <c r="AF995" i="2" s="1"/>
  <c r="AK396" i="2"/>
  <c r="D168" i="7"/>
  <c r="E163" i="7"/>
  <c r="AH100" i="4"/>
  <c r="AH393" i="2"/>
  <c r="AL508" i="2"/>
  <c r="AL56" i="4"/>
  <c r="AN506" i="2"/>
  <c r="AN502" i="2"/>
  <c r="AN505" i="2"/>
  <c r="AN501" i="2"/>
  <c r="AL977" i="2"/>
  <c r="AM503" i="2"/>
  <c r="AL498" i="2"/>
  <c r="AL55" i="4"/>
  <c r="AM493" i="2"/>
  <c r="AK971" i="2"/>
  <c r="AN496" i="2"/>
  <c r="AN492" i="2"/>
  <c r="AN495" i="2"/>
  <c r="AN491" i="2"/>
  <c r="AL970" i="2"/>
  <c r="AL963" i="2" s="1"/>
  <c r="AL139" i="4" s="1"/>
  <c r="AH416" i="2"/>
  <c r="AH1322" i="2" s="1"/>
  <c r="AJ996" i="2"/>
  <c r="AM411" i="2"/>
  <c r="AK388" i="2"/>
  <c r="AL395" i="2"/>
  <c r="AL387" i="2"/>
  <c r="AJ363" i="2"/>
  <c r="AJ42" i="4" s="1"/>
  <c r="AK387" i="2"/>
  <c r="AK412" i="2" s="1"/>
  <c r="AI484" i="4"/>
  <c r="AN348" i="2"/>
  <c r="AN345" i="2" s="1"/>
  <c r="AN344" i="2"/>
  <c r="AM346" i="2"/>
  <c r="AL350" i="2"/>
  <c r="AL351" i="2" s="1"/>
  <c r="AL39" i="4" s="1"/>
  <c r="AL341" i="2"/>
  <c r="AL342" i="2" s="1"/>
  <c r="AL38" i="4" s="1"/>
  <c r="AM337" i="2"/>
  <c r="AN339" i="2"/>
  <c r="AN336" i="2" s="1"/>
  <c r="AN335" i="2"/>
  <c r="AI457" i="4"/>
  <c r="O435" i="4"/>
  <c r="O493" i="4"/>
  <c r="O490" i="4"/>
  <c r="AM328" i="2"/>
  <c r="AN68" i="2"/>
  <c r="AN330" i="2"/>
  <c r="AN327" i="2" s="1"/>
  <c r="AN326" i="2"/>
  <c r="AA1217" i="2"/>
  <c r="AB1218" i="2"/>
  <c r="AI430" i="4"/>
  <c r="AG97" i="4"/>
  <c r="AH410" i="2"/>
  <c r="AG239" i="4"/>
  <c r="AM439" i="2"/>
  <c r="AM440" i="2" s="1"/>
  <c r="AM445" i="2" s="1"/>
  <c r="AM107" i="2"/>
  <c r="AM87" i="2"/>
  <c r="AJ129" i="2"/>
  <c r="AJ130" i="2"/>
  <c r="AJ1291" i="2" s="1"/>
  <c r="AJ485" i="4" s="1"/>
  <c r="AK128" i="2"/>
  <c r="AK471" i="2" s="1"/>
  <c r="AJ517" i="2"/>
  <c r="AJ473" i="2"/>
  <c r="AJ527" i="2" s="1"/>
  <c r="AM67" i="2"/>
  <c r="AM195" i="2" s="1"/>
  <c r="AJ6" i="4"/>
  <c r="AJ93" i="4" s="1"/>
  <c r="AJ236" i="4" s="1"/>
  <c r="AK6" i="4"/>
  <c r="AK93" i="4" s="1"/>
  <c r="AJ92" i="2"/>
  <c r="AJ112" i="2"/>
  <c r="AK142" i="4"/>
  <c r="AK34" i="1"/>
  <c r="AK205" i="4" s="1"/>
  <c r="Q1331" i="2"/>
  <c r="Q1336" i="2" s="1"/>
  <c r="Q1334" i="2" s="1"/>
  <c r="AI45" i="4"/>
  <c r="AE238" i="4"/>
  <c r="S240" i="4"/>
  <c r="AG60" i="4"/>
  <c r="AJ113" i="1"/>
  <c r="AJ38" i="1"/>
  <c r="AJ423" i="2"/>
  <c r="AJ1168" i="2"/>
  <c r="AJ90" i="10"/>
  <c r="AJ124" i="4"/>
  <c r="AJ284" i="2"/>
  <c r="AJ205" i="4"/>
  <c r="AJ1" i="1"/>
  <c r="AJ1" i="4"/>
  <c r="AJ1189" i="2"/>
  <c r="AJ159" i="4"/>
  <c r="AJ4" i="4"/>
  <c r="AJ140" i="2"/>
  <c r="AJ4" i="2"/>
  <c r="AJ68" i="1"/>
  <c r="AJ269" i="4"/>
  <c r="AJ1096" i="2"/>
  <c r="AJ317" i="4"/>
  <c r="AJ25" i="4"/>
  <c r="AJ1" i="2"/>
  <c r="AJ1000" i="2"/>
  <c r="AJ1" i="10"/>
  <c r="AJ233" i="4"/>
  <c r="AJ91" i="4"/>
  <c r="AJ570" i="2"/>
  <c r="AJ1269" i="2"/>
  <c r="AJ69" i="4"/>
  <c r="AJ1" i="5"/>
  <c r="AJ1142" i="2"/>
  <c r="AJ14" i="4"/>
  <c r="AJ14" i="1"/>
  <c r="AJ1056" i="2"/>
  <c r="AJ4" i="5"/>
  <c r="AJ55" i="10"/>
  <c r="AJ366" i="4"/>
  <c r="AJ102" i="10"/>
  <c r="AJ408" i="4"/>
  <c r="P1337" i="2"/>
  <c r="P1325" i="2" s="1"/>
  <c r="P491" i="4" s="1"/>
  <c r="AL29" i="1"/>
  <c r="AL34" i="1" s="1"/>
  <c r="AL27" i="1"/>
  <c r="AL28" i="1"/>
  <c r="AM26" i="1"/>
  <c r="AL219" i="4"/>
  <c r="AK220" i="4"/>
  <c r="S173" i="4"/>
  <c r="S179" i="4" s="1"/>
  <c r="S264" i="4" s="1"/>
  <c r="S1316" i="2"/>
  <c r="S1313" i="2" s="1"/>
  <c r="AP520" i="2"/>
  <c r="AP484" i="2"/>
  <c r="AP474" i="2"/>
  <c r="AP464" i="2"/>
  <c r="AP454" i="2"/>
  <c r="AL962" i="2"/>
  <c r="T957" i="2"/>
  <c r="T771" i="2"/>
  <c r="T882" i="2"/>
  <c r="T973" i="2" s="1"/>
  <c r="R104" i="4"/>
  <c r="AP320" i="2"/>
  <c r="AP380" i="2"/>
  <c r="AP311" i="2"/>
  <c r="AP368" i="2"/>
  <c r="AP359" i="2"/>
  <c r="T983" i="2"/>
  <c r="T175" i="4" s="1"/>
  <c r="U935" i="2"/>
  <c r="U877" i="2"/>
  <c r="U968" i="2" s="1"/>
  <c r="R494" i="4"/>
  <c r="R436" i="4"/>
  <c r="R463" i="4"/>
  <c r="AP259" i="2"/>
  <c r="AP235" i="2"/>
  <c r="AL955" i="2"/>
  <c r="T953" i="2"/>
  <c r="T63" i="4" s="1"/>
  <c r="T767" i="2"/>
  <c r="AM318" i="2"/>
  <c r="AM319" i="2" s="1"/>
  <c r="AK83" i="2"/>
  <c r="AK84" i="2" s="1"/>
  <c r="AI413" i="2"/>
  <c r="AI1321" i="2" s="1"/>
  <c r="AI497" i="4" s="1"/>
  <c r="AK956" i="2"/>
  <c r="AL951" i="2"/>
  <c r="AL952" i="2"/>
  <c r="AN834" i="2"/>
  <c r="AN831" i="2"/>
  <c r="AM852" i="2"/>
  <c r="AM842" i="2"/>
  <c r="AM846" i="2"/>
  <c r="AM837" i="2" s="1"/>
  <c r="AM78" i="4" s="1"/>
  <c r="AJ299" i="7" s="1"/>
  <c r="AM840" i="2"/>
  <c r="AM841" i="2"/>
  <c r="AL847" i="2"/>
  <c r="AL843" i="2" s="1"/>
  <c r="AL853" i="2" s="1"/>
  <c r="AL848" i="2"/>
  <c r="AL849" i="2" s="1"/>
  <c r="AL844" i="2"/>
  <c r="AL845" i="2" s="1"/>
  <c r="AK765" i="2"/>
  <c r="AL759" i="2"/>
  <c r="AL75" i="4" s="1"/>
  <c r="AI296" i="7" s="1"/>
  <c r="AL821" i="2"/>
  <c r="AL817" i="2" s="1"/>
  <c r="AL827" i="2" s="1"/>
  <c r="AL822" i="2"/>
  <c r="AL823" i="2" s="1"/>
  <c r="AL818" i="2"/>
  <c r="AL819" i="2" s="1"/>
  <c r="AN808" i="2"/>
  <c r="AN805" i="2"/>
  <c r="AM814" i="2"/>
  <c r="AM815" i="2"/>
  <c r="AM826" i="2"/>
  <c r="AM816" i="2"/>
  <c r="AM820" i="2"/>
  <c r="AM811" i="2" s="1"/>
  <c r="AM77" i="4" s="1"/>
  <c r="AJ298" i="7" s="1"/>
  <c r="AI418" i="2"/>
  <c r="AH128" i="4"/>
  <c r="AM357" i="2"/>
  <c r="AM358" i="2" s="1"/>
  <c r="AH204" i="2"/>
  <c r="AH217" i="2" s="1"/>
  <c r="AM800" i="2"/>
  <c r="AM790" i="2"/>
  <c r="AM794" i="2"/>
  <c r="AM785" i="2" s="1"/>
  <c r="AM76" i="4" s="1"/>
  <c r="AJ297" i="7" s="1"/>
  <c r="AL795" i="2"/>
  <c r="AL791" i="2" s="1"/>
  <c r="AL801" i="2" s="1"/>
  <c r="AL796" i="2"/>
  <c r="AL797" i="2" s="1"/>
  <c r="AL792" i="2"/>
  <c r="AL793" i="2" s="1"/>
  <c r="AM788" i="2"/>
  <c r="AM789" i="2"/>
  <c r="AN782" i="2"/>
  <c r="AN779" i="2"/>
  <c r="AI128" i="4"/>
  <c r="AI618" i="2"/>
  <c r="AI615" i="2" s="1"/>
  <c r="AI186" i="4" s="1"/>
  <c r="AL769" i="2"/>
  <c r="AM774" i="2"/>
  <c r="AM768" i="2"/>
  <c r="AM764" i="2"/>
  <c r="AN753" i="2"/>
  <c r="AN756" i="2"/>
  <c r="AM762" i="2"/>
  <c r="AM763" i="2"/>
  <c r="AG216" i="2"/>
  <c r="AJ315" i="2"/>
  <c r="AJ35" i="4" s="1"/>
  <c r="AJ34" i="4" s="1"/>
  <c r="AI410" i="2"/>
  <c r="AK1299" i="2"/>
  <c r="AG28" i="4"/>
  <c r="AI202" i="2"/>
  <c r="AI276" i="2" s="1"/>
  <c r="AI592" i="2" s="1"/>
  <c r="AH418" i="2"/>
  <c r="AM378" i="2"/>
  <c r="AM379" i="2" s="1"/>
  <c r="AM403" i="2" s="1"/>
  <c r="AK64" i="2"/>
  <c r="AH574" i="2"/>
  <c r="AH575" i="2" s="1"/>
  <c r="AH576" i="2" s="1"/>
  <c r="AJ51" i="2"/>
  <c r="AL7" i="4"/>
  <c r="AM50" i="2"/>
  <c r="AL63" i="2"/>
  <c r="AJ52" i="2"/>
  <c r="AN61" i="2"/>
  <c r="AN49" i="2" s="1"/>
  <c r="AN58" i="2"/>
  <c r="AN47" i="2"/>
  <c r="Z1259" i="2"/>
  <c r="Z112" i="4" s="1"/>
  <c r="Z241" i="4" s="1"/>
  <c r="AM69" i="2"/>
  <c r="AE98" i="4"/>
  <c r="AG419" i="2"/>
  <c r="AG1323" i="2" s="1"/>
  <c r="AG437" i="4" s="1"/>
  <c r="AJ386" i="2"/>
  <c r="AL70" i="2"/>
  <c r="AL8" i="4" s="1"/>
  <c r="AH50" i="4"/>
  <c r="AI96" i="4"/>
  <c r="AE27" i="4"/>
  <c r="AI93" i="4"/>
  <c r="AG237" i="4"/>
  <c r="Z1248" i="2"/>
  <c r="AM309" i="2"/>
  <c r="AM310" i="2" s="1"/>
  <c r="AA1232" i="2"/>
  <c r="AB1233" i="2"/>
  <c r="AA1243" i="2"/>
  <c r="AA1258" i="2"/>
  <c r="AA373" i="4"/>
  <c r="AA212" i="4"/>
  <c r="AA276" i="4"/>
  <c r="Z195" i="4"/>
  <c r="Z222" i="4"/>
  <c r="Z208" i="4"/>
  <c r="AN1235" i="2"/>
  <c r="AM741" i="2"/>
  <c r="AM744" i="2" s="1"/>
  <c r="AM946" i="2" s="1"/>
  <c r="AM172" i="4" s="1"/>
  <c r="AL746" i="2"/>
  <c r="AM742" i="2"/>
  <c r="AM944" i="2" s="1"/>
  <c r="AN737" i="2"/>
  <c r="AN741" i="2" s="1"/>
  <c r="AK627" i="2"/>
  <c r="AK626" i="2" s="1"/>
  <c r="AK184" i="4" s="1"/>
  <c r="AM366" i="2"/>
  <c r="AM367" i="2" s="1"/>
  <c r="AM371" i="2" s="1"/>
  <c r="AM372" i="2" s="1"/>
  <c r="AM43" i="4" s="1"/>
  <c r="AM915" i="2"/>
  <c r="AM909" i="2"/>
  <c r="AM899" i="2" s="1"/>
  <c r="AM82" i="4" s="1"/>
  <c r="AJ303" i="7" s="1"/>
  <c r="AL910" i="2"/>
  <c r="AL906" i="2" s="1"/>
  <c r="AL916" i="2" s="1"/>
  <c r="AL911" i="2"/>
  <c r="AL912" i="2" s="1"/>
  <c r="AL907" i="2"/>
  <c r="AL908" i="2" s="1"/>
  <c r="AL928" i="2"/>
  <c r="AL85" i="4" s="1"/>
  <c r="AI306" i="7" s="1"/>
  <c r="AL984" i="2"/>
  <c r="AL978" i="2" s="1"/>
  <c r="AL140" i="4" s="1"/>
  <c r="AN890" i="2"/>
  <c r="AN896" i="2"/>
  <c r="AK934" i="2"/>
  <c r="AK941" i="2" s="1"/>
  <c r="AK985" i="2"/>
  <c r="AM902" i="2"/>
  <c r="AM904" i="2"/>
  <c r="AM905" i="2"/>
  <c r="AL938" i="2"/>
  <c r="AM940" i="2"/>
  <c r="AM988" i="2" s="1"/>
  <c r="AM933" i="2"/>
  <c r="AM981" i="2" s="1"/>
  <c r="AM937" i="2"/>
  <c r="AN925" i="2"/>
  <c r="AN923" i="2"/>
  <c r="AM931" i="2"/>
  <c r="AM932" i="2"/>
  <c r="AM980" i="2" s="1"/>
  <c r="AK876" i="2"/>
  <c r="AK886" i="2" s="1"/>
  <c r="AL869" i="2"/>
  <c r="AL81" i="4" s="1"/>
  <c r="AI302" i="7" s="1"/>
  <c r="AM885" i="2"/>
  <c r="AM879" i="2"/>
  <c r="AM872" i="2"/>
  <c r="AM874" i="2"/>
  <c r="AM966" i="2" s="1"/>
  <c r="AM875" i="2"/>
  <c r="AL880" i="2"/>
  <c r="AN860" i="2"/>
  <c r="AN866" i="2"/>
  <c r="AL110" i="2"/>
  <c r="AL10" i="4" s="1"/>
  <c r="AM109" i="2"/>
  <c r="AK123" i="2"/>
  <c r="AK124" i="2" s="1"/>
  <c r="AK112" i="2" s="1"/>
  <c r="AG559" i="2"/>
  <c r="AF562" i="2"/>
  <c r="AF564" i="2" s="1"/>
  <c r="AG552" i="2"/>
  <c r="AG566" i="2" s="1"/>
  <c r="AG560" i="2"/>
  <c r="AG565" i="2"/>
  <c r="AI519" i="2"/>
  <c r="AH524" i="2"/>
  <c r="AH554" i="2" s="1"/>
  <c r="AH1302" i="2" s="1"/>
  <c r="AH61" i="4"/>
  <c r="AH553" i="2"/>
  <c r="AH565" i="2" s="1"/>
  <c r="AD270" i="2"/>
  <c r="AM89" i="2"/>
  <c r="AL90" i="2"/>
  <c r="AL9" i="4" s="1"/>
  <c r="AC612" i="2"/>
  <c r="AC609" i="2" s="1"/>
  <c r="AC631" i="2" s="1"/>
  <c r="AJ243" i="2"/>
  <c r="AH534" i="2"/>
  <c r="AH526" i="2"/>
  <c r="AG536" i="2"/>
  <c r="AG538" i="2" s="1"/>
  <c r="AH533" i="2"/>
  <c r="AI478" i="2"/>
  <c r="AI528" i="2" s="1"/>
  <c r="AI53" i="4"/>
  <c r="AI533" i="2"/>
  <c r="AJ219" i="2"/>
  <c r="AJ221" i="2" s="1"/>
  <c r="AK103" i="2"/>
  <c r="AK104" i="2" s="1"/>
  <c r="AE486" i="4"/>
  <c r="AE432" i="4"/>
  <c r="AE459" i="4"/>
  <c r="AB280" i="2"/>
  <c r="AB609" i="2"/>
  <c r="AF265" i="2"/>
  <c r="AF254" i="2" s="1"/>
  <c r="AF30" i="4"/>
  <c r="AF27" i="4" s="1"/>
  <c r="AE269" i="2"/>
  <c r="AE1301" i="2" s="1"/>
  <c r="AF271" i="2"/>
  <c r="AG587" i="2"/>
  <c r="AG584" i="2" s="1"/>
  <c r="AG166" i="4" s="1"/>
  <c r="AF274" i="2"/>
  <c r="AF1292" i="2" s="1"/>
  <c r="AF459" i="4" s="1"/>
  <c r="AG252" i="2"/>
  <c r="AG271" i="2" s="1"/>
  <c r="AF230" i="2"/>
  <c r="AE232" i="2"/>
  <c r="AE234" i="2" s="1"/>
  <c r="AE253" i="2"/>
  <c r="AE272" i="2" s="1"/>
  <c r="AE607" i="2" s="1"/>
  <c r="AE278" i="2"/>
  <c r="AE604" i="2" s="1"/>
  <c r="AE605" i="2" s="1"/>
  <c r="AE606" i="2" s="1"/>
  <c r="AD602" i="2"/>
  <c r="AD183" i="4" s="1"/>
  <c r="AD256" i="2"/>
  <c r="AD258" i="2" s="1"/>
  <c r="AI245" i="2"/>
  <c r="AC280" i="2"/>
  <c r="AH246" i="2"/>
  <c r="AH275" i="2" s="1"/>
  <c r="AH586" i="2" s="1"/>
  <c r="AH248" i="2"/>
  <c r="AH277" i="2" s="1"/>
  <c r="AD234" i="2"/>
  <c r="AH228" i="2"/>
  <c r="AH29" i="4" s="1"/>
  <c r="AG29" i="4"/>
  <c r="AG241" i="2"/>
  <c r="AG230" i="2" s="1"/>
  <c r="AG240" i="2"/>
  <c r="AI224" i="2"/>
  <c r="AI222" i="2"/>
  <c r="AN262" i="2"/>
  <c r="AN260" i="2"/>
  <c r="AN244" i="2"/>
  <c r="AN250" i="2"/>
  <c r="AI458" i="4"/>
  <c r="AI131" i="2"/>
  <c r="AI431" i="4"/>
  <c r="AF584" i="2"/>
  <c r="AF166" i="4" s="1"/>
  <c r="AF262" i="4" s="1"/>
  <c r="AF588" i="2"/>
  <c r="AN238" i="2"/>
  <c r="AN236" i="2"/>
  <c r="AN220" i="2"/>
  <c r="AN226" i="2"/>
  <c r="AL488" i="2"/>
  <c r="AL54" i="4"/>
  <c r="AN486" i="2"/>
  <c r="AN482" i="2"/>
  <c r="AN485" i="2"/>
  <c r="AN476" i="2"/>
  <c r="AN472" i="2"/>
  <c r="AN475" i="2"/>
  <c r="AL468" i="2"/>
  <c r="AL52" i="4"/>
  <c r="AM463" i="2"/>
  <c r="AN466" i="2"/>
  <c r="AN462" i="2"/>
  <c r="AN465" i="2"/>
  <c r="AN522" i="2"/>
  <c r="AN518" i="2"/>
  <c r="AN521" i="2"/>
  <c r="AJ529" i="2"/>
  <c r="AL458" i="2"/>
  <c r="AL51" i="4"/>
  <c r="AM453" i="2"/>
  <c r="AN456" i="2"/>
  <c r="AN452" i="2"/>
  <c r="AN455" i="2"/>
  <c r="AM481" i="2"/>
  <c r="AM483" i="2" s="1"/>
  <c r="AK402" i="2"/>
  <c r="AK409" i="2" s="1"/>
  <c r="AK384" i="2"/>
  <c r="AK46" i="4" s="1"/>
  <c r="AK45" i="4" s="1"/>
  <c r="AI71" i="2"/>
  <c r="AI72" i="2"/>
  <c r="AI133" i="2" s="1"/>
  <c r="AE600" i="2"/>
  <c r="AH397" i="2"/>
  <c r="AG598" i="2"/>
  <c r="AG401" i="2"/>
  <c r="AF599" i="2"/>
  <c r="AF600" i="2" s="1"/>
  <c r="AE596" i="2"/>
  <c r="AE164" i="4" s="1"/>
  <c r="AL323" i="2"/>
  <c r="AL324" i="2" s="1"/>
  <c r="AL36" i="4" s="1"/>
  <c r="AN321" i="2"/>
  <c r="AN317" i="2"/>
  <c r="AK315" i="2"/>
  <c r="AK35" i="4" s="1"/>
  <c r="AL314" i="2"/>
  <c r="AN312" i="2"/>
  <c r="AN308" i="2"/>
  <c r="AN381" i="2"/>
  <c r="AN377" i="2"/>
  <c r="AL383" i="2"/>
  <c r="AL404" i="2" s="1"/>
  <c r="AK194" i="2"/>
  <c r="AN369" i="2"/>
  <c r="AN365" i="2"/>
  <c r="AJ394" i="2"/>
  <c r="AK363" i="2"/>
  <c r="AK42" i="4" s="1"/>
  <c r="AK41" i="4" s="1"/>
  <c r="AN360" i="2"/>
  <c r="AN356" i="2"/>
  <c r="AL362" i="2"/>
  <c r="AL396" i="2" s="1"/>
  <c r="AL195" i="2"/>
  <c r="AL197" i="2" s="1"/>
  <c r="AP117" i="2"/>
  <c r="AP97" i="2"/>
  <c r="AO57" i="10"/>
  <c r="AO62" i="10"/>
  <c r="AE1200" i="2"/>
  <c r="AE1198" i="2" s="1"/>
  <c r="AL173" i="2"/>
  <c r="AL177" i="2" s="1"/>
  <c r="AL189" i="2" s="1"/>
  <c r="AJ111" i="2"/>
  <c r="AG572" i="2"/>
  <c r="AG162" i="4" s="1"/>
  <c r="AN108" i="2"/>
  <c r="AN121" i="2"/>
  <c r="AN118" i="2"/>
  <c r="AN88" i="2"/>
  <c r="AN98" i="2"/>
  <c r="AN101" i="2"/>
  <c r="AJ91" i="2"/>
  <c r="AH158" i="2"/>
  <c r="AJ71" i="2"/>
  <c r="AI178" i="2"/>
  <c r="AK549" i="2"/>
  <c r="AK190" i="2"/>
  <c r="AK178" i="2" s="1"/>
  <c r="AK189" i="2"/>
  <c r="AM9" i="2"/>
  <c r="AM21" i="2" s="1"/>
  <c r="AM22" i="2" s="1"/>
  <c r="AM10" i="2" s="1"/>
  <c r="AM1274" i="2"/>
  <c r="AM1276" i="2" s="1"/>
  <c r="AJ165" i="2"/>
  <c r="AJ153" i="2" s="1"/>
  <c r="AI179" i="2"/>
  <c r="AI1310" i="2"/>
  <c r="AJ190" i="2"/>
  <c r="AI181" i="2" s="1"/>
  <c r="AG205" i="2"/>
  <c r="AG206" i="2"/>
  <c r="AF208" i="2"/>
  <c r="AL302" i="2"/>
  <c r="AL303" i="2" s="1"/>
  <c r="AK10" i="2"/>
  <c r="AK11" i="2"/>
  <c r="AM298" i="2"/>
  <c r="AM302" i="2" s="1"/>
  <c r="AM303" i="2" s="1"/>
  <c r="AK152" i="2"/>
  <c r="AK164" i="2" s="1"/>
  <c r="AH615" i="2"/>
  <c r="AH186" i="4" s="1"/>
  <c r="AK29" i="2"/>
  <c r="AK30" i="2"/>
  <c r="AJ138" i="4"/>
  <c r="AJ144" i="4" s="1"/>
  <c r="AJ990" i="2"/>
  <c r="AK394" i="2"/>
  <c r="AG117" i="10"/>
  <c r="AG115" i="10" s="1"/>
  <c r="AH112" i="10" s="1"/>
  <c r="AM170" i="2"/>
  <c r="AM145" i="2"/>
  <c r="AM707" i="2"/>
  <c r="AM701" i="2"/>
  <c r="AM691" i="2" s="1"/>
  <c r="AM677" i="2"/>
  <c r="AM667" i="2"/>
  <c r="AM671" i="2"/>
  <c r="AM662" i="2" s="1"/>
  <c r="AM289" i="2"/>
  <c r="AT61" i="1"/>
  <c r="AU60" i="1"/>
  <c r="AH110" i="10"/>
  <c r="AI109" i="10" s="1"/>
  <c r="AJ484" i="4"/>
  <c r="AJ430" i="4"/>
  <c r="AJ457" i="4"/>
  <c r="AJ414" i="2"/>
  <c r="AJ617" i="2" s="1"/>
  <c r="AL727" i="2"/>
  <c r="AL723" i="2" s="1"/>
  <c r="AL730" i="2" s="1"/>
  <c r="AL724" i="2"/>
  <c r="AL725" i="2" s="1"/>
  <c r="AL672" i="2"/>
  <c r="AL668" i="2" s="1"/>
  <c r="AL678" i="2" s="1"/>
  <c r="AL673" i="2"/>
  <c r="AL674" i="2" s="1"/>
  <c r="AL669" i="2"/>
  <c r="AL670" i="2" s="1"/>
  <c r="AK991" i="2"/>
  <c r="AK1305" i="2" s="1"/>
  <c r="AK949" i="2"/>
  <c r="AN146" i="1"/>
  <c r="AN59" i="1"/>
  <c r="AN120" i="1"/>
  <c r="AN45" i="1"/>
  <c r="AN44" i="1"/>
  <c r="AN53" i="1"/>
  <c r="AN131" i="1"/>
  <c r="AN123" i="1"/>
  <c r="AN140" i="1"/>
  <c r="AJ200" i="2"/>
  <c r="AJ198" i="2"/>
  <c r="AO80" i="1"/>
  <c r="AP81" i="1"/>
  <c r="AI1118" i="2"/>
  <c r="AP1083" i="2"/>
  <c r="AP1082" i="2" s="1"/>
  <c r="AO1084" i="2"/>
  <c r="AM647" i="2"/>
  <c r="AM650" i="2" s="1"/>
  <c r="AM648" i="2"/>
  <c r="AM649" i="2"/>
  <c r="AM28" i="2"/>
  <c r="AG594" i="2"/>
  <c r="AL293" i="2"/>
  <c r="AL294" i="2" s="1"/>
  <c r="X84" i="10"/>
  <c r="X85" i="10" s="1"/>
  <c r="AN65" i="10"/>
  <c r="AN133" i="10"/>
  <c r="AN136" i="10"/>
  <c r="AN188" i="4" s="1"/>
  <c r="AN93" i="10"/>
  <c r="AN168" i="4" s="1"/>
  <c r="AN135" i="10"/>
  <c r="AN97" i="10"/>
  <c r="AN176" i="4" s="1"/>
  <c r="AN70" i="10"/>
  <c r="AN71" i="10" s="1"/>
  <c r="AN72" i="10" s="1"/>
  <c r="AG1107" i="2"/>
  <c r="AG1105" i="2" s="1"/>
  <c r="AL703" i="2"/>
  <c r="AL704" i="2" s="1"/>
  <c r="AL702" i="2"/>
  <c r="AL698" i="2" s="1"/>
  <c r="AL708" i="2" s="1"/>
  <c r="AL699" i="2"/>
  <c r="AL700" i="2" s="1"/>
  <c r="AM729" i="2"/>
  <c r="AM722" i="2"/>
  <c r="AM726" i="2"/>
  <c r="AM717" i="2" s="1"/>
  <c r="AM665" i="2"/>
  <c r="AM666" i="2"/>
  <c r="AL21" i="2"/>
  <c r="AT55" i="1"/>
  <c r="AU54" i="1"/>
  <c r="AQ383" i="4"/>
  <c r="AQ341" i="4"/>
  <c r="AQ292" i="4"/>
  <c r="AQ47" i="1"/>
  <c r="AQ57" i="2" s="1"/>
  <c r="AQ49" i="1"/>
  <c r="AQ48" i="1"/>
  <c r="AQ50" i="1"/>
  <c r="AR43" i="1"/>
  <c r="AH593" i="2"/>
  <c r="AH594" i="2" s="1"/>
  <c r="AO87" i="1"/>
  <c r="AN91" i="1"/>
  <c r="AU75" i="10"/>
  <c r="AM1039" i="2"/>
  <c r="AM1038" i="2"/>
  <c r="AM429" i="2"/>
  <c r="AM434" i="2" s="1"/>
  <c r="AP184" i="2"/>
  <c r="AP211" i="2"/>
  <c r="AP159" i="2"/>
  <c r="AI374" i="4"/>
  <c r="AI324" i="4"/>
  <c r="AI277" i="4"/>
  <c r="AI1264" i="2"/>
  <c r="AI1184" i="2"/>
  <c r="AJ399" i="2"/>
  <c r="AO2" i="5"/>
  <c r="AO2" i="4"/>
  <c r="AO2" i="2"/>
  <c r="AO2" i="10"/>
  <c r="AO2" i="1"/>
  <c r="AP25" i="1"/>
  <c r="AP1063" i="2"/>
  <c r="AP1062" i="2" s="1"/>
  <c r="AO1061" i="2"/>
  <c r="AJ1307" i="2"/>
  <c r="AL503" i="4"/>
  <c r="AU106" i="10"/>
  <c r="AL546" i="2"/>
  <c r="AP290" i="2"/>
  <c r="AP299" i="2"/>
  <c r="AK19" i="4"/>
  <c r="AK18" i="4" s="1"/>
  <c r="AK196" i="2"/>
  <c r="AN1281" i="2"/>
  <c r="AN1272" i="2"/>
  <c r="AN1032" i="2"/>
  <c r="AN1031" i="2" s="1"/>
  <c r="AN659" i="2"/>
  <c r="AN628" i="2"/>
  <c r="AN629" i="2" s="1"/>
  <c r="AN555" i="2"/>
  <c r="AN544" i="2"/>
  <c r="AN443" i="2"/>
  <c r="AN407" i="2"/>
  <c r="AN214" i="2"/>
  <c r="AN160" i="2"/>
  <c r="AN1017" i="2"/>
  <c r="AN656" i="2"/>
  <c r="AN643" i="2"/>
  <c r="AN542" i="2"/>
  <c r="AN531" i="2"/>
  <c r="AN442" i="2"/>
  <c r="AN432" i="2"/>
  <c r="AN405" i="2"/>
  <c r="AN168" i="2"/>
  <c r="AN167" i="2" s="1"/>
  <c r="AN1335" i="2"/>
  <c r="AN1279" i="2"/>
  <c r="AN1220" i="2"/>
  <c r="AN1221" i="2" s="1"/>
  <c r="AN1136" i="2"/>
  <c r="AN714" i="2"/>
  <c r="AN431" i="2"/>
  <c r="AN391" i="2"/>
  <c r="AN300" i="2"/>
  <c r="AN297" i="2" s="1"/>
  <c r="AN291" i="2"/>
  <c r="AN212" i="2"/>
  <c r="AN1201" i="2"/>
  <c r="AN1202" i="2" s="1"/>
  <c r="AN81" i="2"/>
  <c r="AN17" i="2"/>
  <c r="AN1273" i="2"/>
  <c r="AN1120" i="2"/>
  <c r="AN1121" i="2" s="1"/>
  <c r="AN1033" i="2"/>
  <c r="AN1013" i="2"/>
  <c r="AN1014" i="2" s="1"/>
  <c r="AN712" i="2"/>
  <c r="AN428" i="2"/>
  <c r="AN288" i="2"/>
  <c r="AN187" i="2"/>
  <c r="AN169" i="2" s="1"/>
  <c r="AN1028" i="2"/>
  <c r="AN438" i="2"/>
  <c r="AN437" i="2" s="1"/>
  <c r="AN185" i="2"/>
  <c r="AN78" i="2"/>
  <c r="AN39" i="2"/>
  <c r="AN27" i="2" s="1"/>
  <c r="AN26" i="2"/>
  <c r="AN25" i="2" s="1"/>
  <c r="AN1275" i="2"/>
  <c r="AN1108" i="2"/>
  <c r="AN1109" i="2" s="1"/>
  <c r="AN296" i="2"/>
  <c r="AN144" i="2"/>
  <c r="AN36" i="2"/>
  <c r="AN8" i="2"/>
  <c r="AN688" i="2"/>
  <c r="AN427" i="2"/>
  <c r="AN143" i="2"/>
  <c r="AN7" i="2"/>
  <c r="AN287" i="2"/>
  <c r="AN1146" i="2"/>
  <c r="AN1147" i="2" s="1"/>
  <c r="AN623" i="2"/>
  <c r="AN624" i="2" s="1"/>
  <c r="AN1029" i="2"/>
  <c r="AN1278" i="2"/>
  <c r="AN1026" i="2"/>
  <c r="AN682" i="2"/>
  <c r="AN1012" i="2"/>
  <c r="AN1011" i="2" s="1"/>
  <c r="AN1178" i="2"/>
  <c r="AN197" i="4" s="1"/>
  <c r="AN557" i="2"/>
  <c r="AN162" i="2"/>
  <c r="AN19" i="2"/>
  <c r="AN1150" i="2"/>
  <c r="AN1151" i="2" s="1"/>
  <c r="AN1037" i="2"/>
  <c r="AN389" i="2"/>
  <c r="AN150" i="2"/>
  <c r="AN175" i="2"/>
  <c r="AN1208" i="2"/>
  <c r="AN1209" i="2" s="1"/>
  <c r="AN370" i="4"/>
  <c r="AN194" i="4"/>
  <c r="AN298" i="4"/>
  <c r="AN389" i="4"/>
  <c r="AN347" i="4"/>
  <c r="AN283" i="4"/>
  <c r="AN189" i="4"/>
  <c r="AN384" i="4"/>
  <c r="AN342" i="4"/>
  <c r="AN169" i="4"/>
  <c r="AN412" i="4"/>
  <c r="AN273" i="4"/>
  <c r="AN321" i="4"/>
  <c r="AN293" i="4"/>
  <c r="AN199" i="4"/>
  <c r="AN332" i="4"/>
  <c r="AN178" i="4"/>
  <c r="AO1091" i="2"/>
  <c r="AO1090" i="2" s="1"/>
  <c r="AN1092" i="2"/>
  <c r="AL41" i="2"/>
  <c r="AL652" i="2"/>
  <c r="AK440" i="4"/>
  <c r="AK467" i="4"/>
  <c r="AK502" i="4"/>
  <c r="AM1280" i="2"/>
  <c r="AM1282" i="2" s="1"/>
  <c r="AP441" i="2"/>
  <c r="AP430" i="2"/>
  <c r="AK539" i="2"/>
  <c r="AK546" i="2"/>
  <c r="AJ549" i="2"/>
  <c r="AJ551" i="2" s="1"/>
  <c r="AK547" i="2"/>
  <c r="AE210" i="2"/>
  <c r="AU68" i="10"/>
  <c r="AV82" i="10"/>
  <c r="AU113" i="10"/>
  <c r="AL146" i="2"/>
  <c r="AL148" i="2"/>
  <c r="AM720" i="2"/>
  <c r="AM721" i="2"/>
  <c r="AM503" i="4"/>
  <c r="AL142" i="4"/>
  <c r="AT86" i="1"/>
  <c r="AM694" i="2"/>
  <c r="AM696" i="2"/>
  <c r="AM697" i="2"/>
  <c r="AP16" i="2"/>
  <c r="AP77" i="2"/>
  <c r="AP35" i="2"/>
  <c r="AK177" i="4"/>
  <c r="U79" i="10"/>
  <c r="AG775" i="2" l="1"/>
  <c r="AG995" i="2" s="1"/>
  <c r="AM967" i="2"/>
  <c r="AH775" i="2"/>
  <c r="AH995" i="2" s="1"/>
  <c r="AH419" i="2"/>
  <c r="AH1323" i="2" s="1"/>
  <c r="AH437" i="4" s="1"/>
  <c r="D169" i="7"/>
  <c r="AN503" i="2"/>
  <c r="AN508" i="2" s="1"/>
  <c r="AJ96" i="4"/>
  <c r="AJ41" i="4"/>
  <c r="AJ100" i="4" s="1"/>
  <c r="AM508" i="2"/>
  <c r="AM56" i="4"/>
  <c r="AM970" i="2"/>
  <c r="AO502" i="2"/>
  <c r="AO505" i="2"/>
  <c r="AO501" i="2"/>
  <c r="AO506" i="2"/>
  <c r="AM498" i="2"/>
  <c r="AM55" i="4"/>
  <c r="AN493" i="2"/>
  <c r="AK996" i="2"/>
  <c r="AM977" i="2"/>
  <c r="AO492" i="2"/>
  <c r="AO495" i="2"/>
  <c r="AO491" i="2"/>
  <c r="AO496" i="2"/>
  <c r="AL971" i="2"/>
  <c r="AM395" i="2"/>
  <c r="AN411" i="2"/>
  <c r="AL388" i="2"/>
  <c r="AL386" i="2" s="1"/>
  <c r="AM387" i="2"/>
  <c r="AK386" i="2"/>
  <c r="AK393" i="2" s="1"/>
  <c r="AM350" i="2"/>
  <c r="AM351" i="2" s="1"/>
  <c r="AM39" i="4" s="1"/>
  <c r="AO348" i="2"/>
  <c r="AO345" i="2" s="1"/>
  <c r="AO344" i="2"/>
  <c r="AN346" i="2"/>
  <c r="AN337" i="2"/>
  <c r="AN341" i="2" s="1"/>
  <c r="AN342" i="2" s="1"/>
  <c r="AN38" i="4" s="1"/>
  <c r="AO339" i="2"/>
  <c r="AO336" i="2" s="1"/>
  <c r="AO335" i="2"/>
  <c r="AM341" i="2"/>
  <c r="AM342" i="2" s="1"/>
  <c r="AM38" i="4" s="1"/>
  <c r="AB1219" i="2"/>
  <c r="AC1218" i="2" s="1"/>
  <c r="AO68" i="2"/>
  <c r="AO330" i="2"/>
  <c r="AO327" i="2" s="1"/>
  <c r="AO326" i="2"/>
  <c r="AN328" i="2"/>
  <c r="AM332" i="2"/>
  <c r="AM333" i="2" s="1"/>
  <c r="AM37" i="4" s="1"/>
  <c r="AG94" i="4"/>
  <c r="AI50" i="4"/>
  <c r="AN439" i="2"/>
  <c r="AN440" i="2" s="1"/>
  <c r="AN445" i="2" s="1"/>
  <c r="AH60" i="4"/>
  <c r="AH102" i="4" s="1"/>
  <c r="AG48" i="4"/>
  <c r="AN107" i="2"/>
  <c r="AN87" i="2"/>
  <c r="AL128" i="2"/>
  <c r="AL471" i="2" s="1"/>
  <c r="AK129" i="2"/>
  <c r="AK130" i="2"/>
  <c r="AK1291" i="2" s="1"/>
  <c r="AK431" i="4" s="1"/>
  <c r="AK517" i="2"/>
  <c r="AK473" i="2"/>
  <c r="AK527" i="2" s="1"/>
  <c r="AN67" i="2"/>
  <c r="AN195" i="2" s="1"/>
  <c r="AL6" i="4"/>
  <c r="AL93" i="4" s="1"/>
  <c r="AL236" i="4" s="1"/>
  <c r="Q1332" i="2"/>
  <c r="Q1333" i="2" s="1"/>
  <c r="AK102" i="10"/>
  <c r="Q1337" i="2"/>
  <c r="Q1325" i="2" s="1"/>
  <c r="AK90" i="10"/>
  <c r="AK1096" i="2"/>
  <c r="AK233" i="4"/>
  <c r="AK14" i="1"/>
  <c r="AJ72" i="2"/>
  <c r="AK72" i="2" s="1"/>
  <c r="AK69" i="4"/>
  <c r="AK1" i="2"/>
  <c r="AK4" i="5"/>
  <c r="AK1" i="1"/>
  <c r="AK25" i="4"/>
  <c r="AK91" i="4"/>
  <c r="AK1269" i="2"/>
  <c r="AK366" i="4"/>
  <c r="AK1" i="5"/>
  <c r="AM955" i="2"/>
  <c r="AK1142" i="2"/>
  <c r="AK408" i="4"/>
  <c r="AK124" i="4"/>
  <c r="AK638" i="2"/>
  <c r="AK423" i="2"/>
  <c r="AK140" i="2"/>
  <c r="AK159" i="4"/>
  <c r="AK1" i="10"/>
  <c r="AK4" i="4"/>
  <c r="AK269" i="4"/>
  <c r="AK14" i="4"/>
  <c r="AK284" i="2"/>
  <c r="AK68" i="1"/>
  <c r="AK38" i="1"/>
  <c r="AK570" i="2"/>
  <c r="AK55" i="10"/>
  <c r="AK1056" i="2"/>
  <c r="AK1168" i="2"/>
  <c r="AK4" i="2"/>
  <c r="AK1189" i="2"/>
  <c r="AK113" i="1"/>
  <c r="AK317" i="4"/>
  <c r="AK1" i="4"/>
  <c r="AK1000" i="2"/>
  <c r="AI100" i="4"/>
  <c r="AI32" i="4"/>
  <c r="AG102" i="4"/>
  <c r="AI775" i="2"/>
  <c r="AI995" i="2" s="1"/>
  <c r="AH108" i="10"/>
  <c r="AI105" i="10" s="1"/>
  <c r="P1326" i="2"/>
  <c r="AN318" i="2"/>
  <c r="AN319" i="2" s="1"/>
  <c r="AQ259" i="2"/>
  <c r="AQ235" i="2"/>
  <c r="T1318" i="2"/>
  <c r="T174" i="4"/>
  <c r="T958" i="2"/>
  <c r="U770" i="2"/>
  <c r="S103" i="4"/>
  <c r="S1314" i="2"/>
  <c r="S1315" i="2" s="1"/>
  <c r="S495" i="4"/>
  <c r="U982" i="2"/>
  <c r="U936" i="2"/>
  <c r="AM219" i="4"/>
  <c r="AL220" i="4"/>
  <c r="AM962" i="2"/>
  <c r="AN26" i="1"/>
  <c r="AO1029" i="2" s="1"/>
  <c r="AM29" i="1"/>
  <c r="AM28" i="1"/>
  <c r="AM27" i="1"/>
  <c r="R109" i="4"/>
  <c r="R207" i="4"/>
  <c r="R209" i="4" s="1"/>
  <c r="R247" i="4"/>
  <c r="R333" i="4"/>
  <c r="R256" i="4"/>
  <c r="R284" i="4"/>
  <c r="T954" i="2"/>
  <c r="U766" i="2"/>
  <c r="U881" i="2"/>
  <c r="U972" i="2" s="1"/>
  <c r="AQ474" i="2"/>
  <c r="AQ464" i="2"/>
  <c r="AQ454" i="2"/>
  <c r="AQ520" i="2"/>
  <c r="AQ484" i="2"/>
  <c r="AQ320" i="2"/>
  <c r="AQ380" i="2"/>
  <c r="AQ311" i="2"/>
  <c r="AQ368" i="2"/>
  <c r="AQ359" i="2"/>
  <c r="T107" i="4"/>
  <c r="T65" i="4"/>
  <c r="U878" i="2"/>
  <c r="U969" i="2" s="1"/>
  <c r="AL205" i="4"/>
  <c r="AL1" i="4"/>
  <c r="AL638" i="2"/>
  <c r="AL140" i="2"/>
  <c r="AL68" i="1"/>
  <c r="AL423" i="2"/>
  <c r="AL408" i="4"/>
  <c r="AL14" i="4"/>
  <c r="AL1000" i="2"/>
  <c r="AL113" i="1"/>
  <c r="AL366" i="4"/>
  <c r="AL1096" i="2"/>
  <c r="AL38" i="1"/>
  <c r="AL570" i="2"/>
  <c r="AL1" i="5"/>
  <c r="AL69" i="4"/>
  <c r="AL124" i="4"/>
  <c r="AL4" i="4"/>
  <c r="AL1269" i="2"/>
  <c r="AL4" i="5"/>
  <c r="AL233" i="4"/>
  <c r="AL1189" i="2"/>
  <c r="AL1168" i="2"/>
  <c r="AL1" i="10"/>
  <c r="AL91" i="4"/>
  <c r="AL284" i="2"/>
  <c r="AL14" i="1"/>
  <c r="AL1" i="2"/>
  <c r="AL1" i="1"/>
  <c r="AL317" i="4"/>
  <c r="AL25" i="4"/>
  <c r="AL1142" i="2"/>
  <c r="AL1056" i="2"/>
  <c r="AL90" i="10"/>
  <c r="AL269" i="4"/>
  <c r="AL55" i="10"/>
  <c r="AL4" i="2"/>
  <c r="AL159" i="4"/>
  <c r="AL102" i="10"/>
  <c r="AI416" i="2"/>
  <c r="AI1322" i="2" s="1"/>
  <c r="AL956" i="2"/>
  <c r="AM952" i="2"/>
  <c r="AM951" i="2"/>
  <c r="AH28" i="4"/>
  <c r="AM848" i="2"/>
  <c r="AM849" i="2" s="1"/>
  <c r="AM847" i="2"/>
  <c r="AM843" i="2" s="1"/>
  <c r="AM853" i="2" s="1"/>
  <c r="AM844" i="2"/>
  <c r="AM845" i="2" s="1"/>
  <c r="AO831" i="2"/>
  <c r="AO834" i="2"/>
  <c r="AN840" i="2"/>
  <c r="AN841" i="2"/>
  <c r="AN852" i="2"/>
  <c r="AN842" i="2"/>
  <c r="AN846" i="2"/>
  <c r="AN837" i="2" s="1"/>
  <c r="AN78" i="4" s="1"/>
  <c r="AK299" i="7" s="1"/>
  <c r="AM822" i="2"/>
  <c r="AM823" i="2" s="1"/>
  <c r="AM821" i="2"/>
  <c r="AM817" i="2" s="1"/>
  <c r="AM827" i="2" s="1"/>
  <c r="AM818" i="2"/>
  <c r="AM819" i="2" s="1"/>
  <c r="AN814" i="2"/>
  <c r="AN815" i="2"/>
  <c r="AM759" i="2"/>
  <c r="AM75" i="4" s="1"/>
  <c r="AJ296" i="7" s="1"/>
  <c r="AN826" i="2"/>
  <c r="AN816" i="2"/>
  <c r="AN820" i="2"/>
  <c r="AN811" i="2" s="1"/>
  <c r="AN77" i="4" s="1"/>
  <c r="AK298" i="7" s="1"/>
  <c r="AO808" i="2"/>
  <c r="AO805" i="2"/>
  <c r="AL765" i="2"/>
  <c r="AN357" i="2"/>
  <c r="AN358" i="2" s="1"/>
  <c r="AH216" i="2"/>
  <c r="AI619" i="2"/>
  <c r="AN788" i="2"/>
  <c r="AN789" i="2"/>
  <c r="AO779" i="2"/>
  <c r="AO782" i="2"/>
  <c r="AN800" i="2"/>
  <c r="AN794" i="2"/>
  <c r="AN785" i="2" s="1"/>
  <c r="AN76" i="4" s="1"/>
  <c r="AK297" i="7" s="1"/>
  <c r="AN790" i="2"/>
  <c r="AM796" i="2"/>
  <c r="AM797" i="2" s="1"/>
  <c r="AM795" i="2"/>
  <c r="AM791" i="2" s="1"/>
  <c r="AM801" i="2" s="1"/>
  <c r="AM792" i="2"/>
  <c r="AM793" i="2" s="1"/>
  <c r="AN481" i="2"/>
  <c r="AN483" i="2" s="1"/>
  <c r="AM769" i="2"/>
  <c r="AN774" i="2"/>
  <c r="AN764" i="2"/>
  <c r="AN768" i="2"/>
  <c r="AN762" i="2"/>
  <c r="AN763" i="2"/>
  <c r="AO756" i="2"/>
  <c r="AO753" i="2"/>
  <c r="AI204" i="2"/>
  <c r="AI217" i="2" s="1"/>
  <c r="AJ202" i="2"/>
  <c r="AJ276" i="2" s="1"/>
  <c r="AJ592" i="2" s="1"/>
  <c r="AL1299" i="2"/>
  <c r="AN378" i="2"/>
  <c r="AN379" i="2" s="1"/>
  <c r="AN403" i="2" s="1"/>
  <c r="AN69" i="2"/>
  <c r="AK52" i="2"/>
  <c r="AN50" i="2"/>
  <c r="AM7" i="4"/>
  <c r="AK51" i="2"/>
  <c r="AI574" i="2"/>
  <c r="AI575" i="2" s="1"/>
  <c r="AO61" i="2"/>
  <c r="AO49" i="2" s="1"/>
  <c r="AO47" i="2"/>
  <c r="AO58" i="2"/>
  <c r="AL64" i="2"/>
  <c r="AM63" i="2"/>
  <c r="AG496" i="4"/>
  <c r="AG464" i="4"/>
  <c r="AJ413" i="2"/>
  <c r="AJ416" i="2" s="1"/>
  <c r="AJ1322" i="2" s="1"/>
  <c r="AL83" i="2"/>
  <c r="AL84" i="2" s="1"/>
  <c r="AJ410" i="2"/>
  <c r="AH97" i="4"/>
  <c r="AJ393" i="2"/>
  <c r="AK34" i="4"/>
  <c r="AK96" i="4" s="1"/>
  <c r="AI236" i="4"/>
  <c r="AN309" i="2"/>
  <c r="AN310" i="2" s="1"/>
  <c r="AN743" i="2"/>
  <c r="AN945" i="2" s="1"/>
  <c r="AN742" i="2"/>
  <c r="AN944" i="2" s="1"/>
  <c r="AK100" i="4"/>
  <c r="AL627" i="2"/>
  <c r="AL626" i="2" s="1"/>
  <c r="AL184" i="4" s="1"/>
  <c r="AN744" i="2"/>
  <c r="AN946" i="2" s="1"/>
  <c r="AA1253" i="2"/>
  <c r="AA1257" i="2"/>
  <c r="AB1242" i="2"/>
  <c r="AB1251" i="2"/>
  <c r="AB108" i="4" s="1"/>
  <c r="AB1234" i="2"/>
  <c r="AB1232" i="2" s="1"/>
  <c r="AO1235" i="2"/>
  <c r="AN366" i="2"/>
  <c r="AN367" i="2" s="1"/>
  <c r="AM142" i="4"/>
  <c r="AO737" i="2"/>
  <c r="AO741" i="2" s="1"/>
  <c r="AO744" i="2" s="1"/>
  <c r="AO946" i="2" s="1"/>
  <c r="AM963" i="2"/>
  <c r="AM139" i="4" s="1"/>
  <c r="AM746" i="2"/>
  <c r="AM928" i="2"/>
  <c r="AM85" i="4" s="1"/>
  <c r="AJ306" i="7" s="1"/>
  <c r="AM984" i="2"/>
  <c r="AM978" i="2" s="1"/>
  <c r="AM140" i="4" s="1"/>
  <c r="AM910" i="2"/>
  <c r="AM906" i="2" s="1"/>
  <c r="AM916" i="2" s="1"/>
  <c r="AM911" i="2"/>
  <c r="AM912" i="2" s="1"/>
  <c r="AM907" i="2"/>
  <c r="AM908" i="2" s="1"/>
  <c r="AL934" i="2"/>
  <c r="AL941" i="2" s="1"/>
  <c r="AL985" i="2"/>
  <c r="AN902" i="2"/>
  <c r="AN904" i="2"/>
  <c r="AN905" i="2"/>
  <c r="AN915" i="2"/>
  <c r="AN909" i="2"/>
  <c r="AN899" i="2" s="1"/>
  <c r="AN82" i="4" s="1"/>
  <c r="AK303" i="7" s="1"/>
  <c r="AO890" i="2"/>
  <c r="AO896" i="2"/>
  <c r="AN940" i="2"/>
  <c r="AN988" i="2" s="1"/>
  <c r="AN933" i="2"/>
  <c r="AN981" i="2" s="1"/>
  <c r="AN937" i="2"/>
  <c r="AM938" i="2"/>
  <c r="AO923" i="2"/>
  <c r="AO925" i="2"/>
  <c r="AN931" i="2"/>
  <c r="AN932" i="2"/>
  <c r="AN980" i="2" s="1"/>
  <c r="AL876" i="2"/>
  <c r="AL886" i="2" s="1"/>
  <c r="AM869" i="2"/>
  <c r="AM81" i="4" s="1"/>
  <c r="AJ302" i="7" s="1"/>
  <c r="AN885" i="2"/>
  <c r="AN879" i="2"/>
  <c r="AN872" i="2"/>
  <c r="AN874" i="2"/>
  <c r="AN875" i="2"/>
  <c r="AM880" i="2"/>
  <c r="AO860" i="2"/>
  <c r="AO866" i="2"/>
  <c r="AL123" i="2"/>
  <c r="AL124" i="2" s="1"/>
  <c r="AN109" i="2"/>
  <c r="AM110" i="2"/>
  <c r="AM10" i="4" s="1"/>
  <c r="AM90" i="2"/>
  <c r="AM9" i="4" s="1"/>
  <c r="AL103" i="2"/>
  <c r="AK91" i="2"/>
  <c r="AF278" i="2"/>
  <c r="AF604" i="2" s="1"/>
  <c r="AF605" i="2" s="1"/>
  <c r="AF606" i="2" s="1"/>
  <c r="AI524" i="2"/>
  <c r="AI554" i="2" s="1"/>
  <c r="AI1302" i="2" s="1"/>
  <c r="AI553" i="2"/>
  <c r="AI565" i="2" s="1"/>
  <c r="AI61" i="4"/>
  <c r="AI60" i="4" s="1"/>
  <c r="AI102" i="4" s="1"/>
  <c r="AN89" i="2"/>
  <c r="AH559" i="2"/>
  <c r="AH560" i="2"/>
  <c r="AG562" i="2"/>
  <c r="AG564" i="2" s="1"/>
  <c r="AH552" i="2"/>
  <c r="AH566" i="2" s="1"/>
  <c r="AC613" i="2"/>
  <c r="AK92" i="2"/>
  <c r="AJ519" i="2"/>
  <c r="AJ533" i="2"/>
  <c r="AJ478" i="2"/>
  <c r="AJ528" i="2" s="1"/>
  <c r="AJ53" i="4"/>
  <c r="AJ50" i="4" s="1"/>
  <c r="AJ431" i="4"/>
  <c r="AH536" i="2"/>
  <c r="AH538" i="2" s="1"/>
  <c r="AI526" i="2"/>
  <c r="AI534" i="2"/>
  <c r="AJ458" i="4"/>
  <c r="AE602" i="2"/>
  <c r="AE183" i="4" s="1"/>
  <c r="AC163" i="4"/>
  <c r="AG588" i="2"/>
  <c r="AF269" i="2"/>
  <c r="AF270" i="2" s="1"/>
  <c r="AF486" i="4"/>
  <c r="AE270" i="2"/>
  <c r="AE256" i="2"/>
  <c r="AE258" i="2" s="1"/>
  <c r="AE273" i="2" s="1"/>
  <c r="AF253" i="2"/>
  <c r="AF272" i="2" s="1"/>
  <c r="AF607" i="2" s="1"/>
  <c r="AB163" i="4"/>
  <c r="AB631" i="2"/>
  <c r="AG229" i="2"/>
  <c r="AD273" i="2"/>
  <c r="AD127" i="4" s="1"/>
  <c r="AF432" i="4"/>
  <c r="AG265" i="2"/>
  <c r="AG254" i="2" s="1"/>
  <c r="AG264" i="2"/>
  <c r="AG274" i="2" s="1"/>
  <c r="AG1292" i="2" s="1"/>
  <c r="AK219" i="2"/>
  <c r="AK221" i="2" s="1"/>
  <c r="AK243" i="2"/>
  <c r="AG30" i="4"/>
  <c r="AD279" i="2"/>
  <c r="AD611" i="2" s="1"/>
  <c r="AD612" i="2" s="1"/>
  <c r="AH587" i="2"/>
  <c r="AH588" i="2" s="1"/>
  <c r="AH252" i="2"/>
  <c r="AI246" i="2"/>
  <c r="AI275" i="2" s="1"/>
  <c r="AI586" i="2" s="1"/>
  <c r="AI587" i="2" s="1"/>
  <c r="AI248" i="2"/>
  <c r="AI277" i="2" s="1"/>
  <c r="AJ131" i="2"/>
  <c r="AJ245" i="2"/>
  <c r="AI268" i="2"/>
  <c r="AI95" i="4" s="1"/>
  <c r="AH240" i="2"/>
  <c r="AH241" i="2"/>
  <c r="AH229" i="2" s="1"/>
  <c r="AF232" i="2"/>
  <c r="AF234" i="2" s="1"/>
  <c r="AI228" i="2"/>
  <c r="AI29" i="4" s="1"/>
  <c r="AJ224" i="2"/>
  <c r="AJ222" i="2"/>
  <c r="AK236" i="4"/>
  <c r="AO260" i="2"/>
  <c r="AO262" i="2"/>
  <c r="AO244" i="2"/>
  <c r="AO250" i="2"/>
  <c r="AG262" i="4"/>
  <c r="AG208" i="2"/>
  <c r="AH205" i="2"/>
  <c r="AH206" i="2"/>
  <c r="AO236" i="2"/>
  <c r="AO238" i="2"/>
  <c r="AO220" i="2"/>
  <c r="AO226" i="2"/>
  <c r="AM488" i="2"/>
  <c r="AM54" i="4"/>
  <c r="AO482" i="2"/>
  <c r="AO485" i="2"/>
  <c r="AO486" i="2"/>
  <c r="AO472" i="2"/>
  <c r="AO475" i="2"/>
  <c r="AO476" i="2"/>
  <c r="AN463" i="2"/>
  <c r="AN52" i="4" s="1"/>
  <c r="AM468" i="2"/>
  <c r="AM52" i="4"/>
  <c r="AO462" i="2"/>
  <c r="AO465" i="2"/>
  <c r="AO466" i="2"/>
  <c r="AO518" i="2"/>
  <c r="AO521" i="2"/>
  <c r="AO522" i="2"/>
  <c r="AM458" i="2"/>
  <c r="AM51" i="4"/>
  <c r="AN453" i="2"/>
  <c r="AK529" i="2"/>
  <c r="AO452" i="2"/>
  <c r="AO455" i="2"/>
  <c r="AO456" i="2"/>
  <c r="AL402" i="2"/>
  <c r="AL409" i="2" s="1"/>
  <c r="AL194" i="2"/>
  <c r="AL384" i="2"/>
  <c r="AL46" i="4" s="1"/>
  <c r="AL45" i="4" s="1"/>
  <c r="AM314" i="2"/>
  <c r="AF596" i="2"/>
  <c r="AF164" i="4" s="1"/>
  <c r="AF261" i="4" s="1"/>
  <c r="AI397" i="2"/>
  <c r="AH598" i="2"/>
  <c r="AH599" i="2" s="1"/>
  <c r="AH401" i="2"/>
  <c r="AE261" i="4"/>
  <c r="AG599" i="2"/>
  <c r="AG596" i="2" s="1"/>
  <c r="AG164" i="4" s="1"/>
  <c r="AM70" i="2"/>
  <c r="AM323" i="2"/>
  <c r="AM324" i="2" s="1"/>
  <c r="AM36" i="4" s="1"/>
  <c r="AO317" i="2"/>
  <c r="AO321" i="2"/>
  <c r="AL315" i="2"/>
  <c r="AL35" i="4" s="1"/>
  <c r="AL34" i="4" s="1"/>
  <c r="AO308" i="2"/>
  <c r="AO312" i="2"/>
  <c r="AM383" i="2"/>
  <c r="AM404" i="2" s="1"/>
  <c r="AO377" i="2"/>
  <c r="AO381" i="2"/>
  <c r="AL394" i="2"/>
  <c r="AO365" i="2"/>
  <c r="AO369" i="2"/>
  <c r="AL363" i="2"/>
  <c r="AL42" i="4" s="1"/>
  <c r="AL41" i="4" s="1"/>
  <c r="AO356" i="2"/>
  <c r="AO360" i="2"/>
  <c r="AF1199" i="2"/>
  <c r="AF1200" i="2" s="1"/>
  <c r="AM362" i="2"/>
  <c r="AM396" i="2" s="1"/>
  <c r="AH116" i="10"/>
  <c r="AH117" i="10" s="1"/>
  <c r="AH115" i="10" s="1"/>
  <c r="AI112" i="10" s="1"/>
  <c r="AQ117" i="2"/>
  <c r="AQ97" i="2"/>
  <c r="AP62" i="10"/>
  <c r="AP57" i="10"/>
  <c r="AG260" i="4"/>
  <c r="AL190" i="2"/>
  <c r="AL178" i="2" s="1"/>
  <c r="AH1106" i="2"/>
  <c r="AH1107" i="2" s="1"/>
  <c r="AH1105" i="2" s="1"/>
  <c r="AI156" i="2"/>
  <c r="AI158" i="2" s="1"/>
  <c r="AO108" i="2"/>
  <c r="AO121" i="2"/>
  <c r="AO118" i="2"/>
  <c r="AK111" i="2"/>
  <c r="AI183" i="2"/>
  <c r="AL547" i="2"/>
  <c r="AL539" i="2"/>
  <c r="AO98" i="2"/>
  <c r="AO101" i="2"/>
  <c r="AO88" i="2"/>
  <c r="AK179" i="2"/>
  <c r="AJ181" i="2"/>
  <c r="AJ154" i="2"/>
  <c r="AH572" i="2"/>
  <c r="AH162" i="4" s="1"/>
  <c r="AN1280" i="2"/>
  <c r="AN1282" i="2" s="1"/>
  <c r="AN1274" i="2"/>
  <c r="AN1276" i="2" s="1"/>
  <c r="AM539" i="2"/>
  <c r="AJ179" i="2"/>
  <c r="AJ178" i="2"/>
  <c r="AN429" i="2"/>
  <c r="AN434" i="2" s="1"/>
  <c r="AF210" i="2"/>
  <c r="AK551" i="2"/>
  <c r="AJ418" i="2"/>
  <c r="AK165" i="2"/>
  <c r="AK154" i="2" s="1"/>
  <c r="AN298" i="2"/>
  <c r="AN302" i="2" s="1"/>
  <c r="AL152" i="2"/>
  <c r="AL164" i="2" s="1"/>
  <c r="AO136" i="10"/>
  <c r="AO188" i="4" s="1"/>
  <c r="AO93" i="10"/>
  <c r="AO168" i="4" s="1"/>
  <c r="AO135" i="10"/>
  <c r="AO133" i="10"/>
  <c r="AO65" i="10"/>
  <c r="AO97" i="10"/>
  <c r="AO176" i="4" s="1"/>
  <c r="AO70" i="10"/>
  <c r="AO71" i="10" s="1"/>
  <c r="AO72" i="10" s="1"/>
  <c r="AK399" i="2"/>
  <c r="AQ430" i="2"/>
  <c r="AQ441" i="2"/>
  <c r="AL412" i="2"/>
  <c r="AI1119" i="2"/>
  <c r="AJ1118" i="2" s="1"/>
  <c r="AM148" i="2"/>
  <c r="AM146" i="2"/>
  <c r="AK430" i="4"/>
  <c r="AK484" i="4"/>
  <c r="AK457" i="4"/>
  <c r="AK414" i="2"/>
  <c r="AK617" i="2" s="1"/>
  <c r="AL42" i="2"/>
  <c r="AL30" i="2" s="1"/>
  <c r="AN707" i="2"/>
  <c r="AN701" i="2"/>
  <c r="AN691" i="2" s="1"/>
  <c r="AN647" i="2"/>
  <c r="AN650" i="2" s="1"/>
  <c r="AN649" i="2"/>
  <c r="AN648" i="2"/>
  <c r="AK200" i="2"/>
  <c r="AK198" i="2"/>
  <c r="AO1335" i="2"/>
  <c r="AO1279" i="2"/>
  <c r="AO1220" i="2"/>
  <c r="AO1221" i="2" s="1"/>
  <c r="AO1136" i="2"/>
  <c r="AO714" i="2"/>
  <c r="AO431" i="2"/>
  <c r="AO391" i="2"/>
  <c r="AO300" i="2"/>
  <c r="AO297" i="2" s="1"/>
  <c r="AO291" i="2"/>
  <c r="AO212" i="2"/>
  <c r="AO1278" i="2"/>
  <c r="AO1108" i="2"/>
  <c r="AO1109" i="2" s="1"/>
  <c r="AO1037" i="2"/>
  <c r="AO712" i="2"/>
  <c r="AO389" i="2"/>
  <c r="AO187" i="2"/>
  <c r="AO169" i="2" s="1"/>
  <c r="AO144" i="2"/>
  <c r="AO81" i="2"/>
  <c r="AO1028" i="2"/>
  <c r="AO623" i="2"/>
  <c r="AO624" i="2" s="1"/>
  <c r="AO143" i="2"/>
  <c r="AO39" i="2"/>
  <c r="AO27" i="2" s="1"/>
  <c r="AO1150" i="2"/>
  <c r="AO1151" i="2" s="1"/>
  <c r="AO1026" i="2"/>
  <c r="AO659" i="2"/>
  <c r="AO557" i="2"/>
  <c r="AO442" i="2"/>
  <c r="AO36" i="2"/>
  <c r="AO7" i="2"/>
  <c r="AO688" i="2"/>
  <c r="AO656" i="2"/>
  <c r="AO555" i="2"/>
  <c r="AO438" i="2"/>
  <c r="AO437" i="2" s="1"/>
  <c r="AO160" i="2"/>
  <c r="AO19" i="2"/>
  <c r="AO682" i="2"/>
  <c r="AO628" i="2"/>
  <c r="AO629" i="2" s="1"/>
  <c r="AO287" i="2"/>
  <c r="AO17" i="2"/>
  <c r="AO1146" i="2"/>
  <c r="AO1147" i="2" s="1"/>
  <c r="AO1013" i="2"/>
  <c r="AO1014" i="2" s="1"/>
  <c r="AO407" i="2"/>
  <c r="AO296" i="2"/>
  <c r="AO78" i="2"/>
  <c r="AO544" i="2"/>
  <c r="AO288" i="2"/>
  <c r="AO214" i="2"/>
  <c r="AO542" i="2"/>
  <c r="AO432" i="2"/>
  <c r="AO8" i="2"/>
  <c r="AO1281" i="2"/>
  <c r="AO1017" i="2"/>
  <c r="AO531" i="2"/>
  <c r="AO428" i="2"/>
  <c r="AO26" i="2"/>
  <c r="AO25" i="2" s="1"/>
  <c r="AO643" i="2"/>
  <c r="AO405" i="2"/>
  <c r="AO162" i="2"/>
  <c r="AO1275" i="2"/>
  <c r="AO185" i="2"/>
  <c r="AO1273" i="2"/>
  <c r="AO427" i="2"/>
  <c r="AO1272" i="2"/>
  <c r="AO1032" i="2"/>
  <c r="AO1031" i="2" s="1"/>
  <c r="AO1012" i="2"/>
  <c r="AO1011" i="2" s="1"/>
  <c r="AO1120" i="2"/>
  <c r="AO1121" i="2" s="1"/>
  <c r="AO1201" i="2"/>
  <c r="AO1202" i="2" s="1"/>
  <c r="AO1033" i="2"/>
  <c r="AO443" i="2"/>
  <c r="AO168" i="2"/>
  <c r="AO167" i="2" s="1"/>
  <c r="AO1178" i="2"/>
  <c r="AO197" i="4" s="1"/>
  <c r="AO175" i="2"/>
  <c r="AO150" i="2"/>
  <c r="AO1208" i="2"/>
  <c r="AO1209" i="2" s="1"/>
  <c r="AQ77" i="2"/>
  <c r="AQ35" i="2"/>
  <c r="AQ16" i="2"/>
  <c r="AU61" i="1"/>
  <c r="AV60" i="1"/>
  <c r="AM171" i="2"/>
  <c r="AM173" i="2"/>
  <c r="AL502" i="4"/>
  <c r="AL440" i="4"/>
  <c r="AL467" i="4"/>
  <c r="AM440" i="4"/>
  <c r="AM467" i="4"/>
  <c r="AM502" i="4"/>
  <c r="AN665" i="2"/>
  <c r="AN666" i="2"/>
  <c r="AQ1063" i="2"/>
  <c r="AQ1062" i="2" s="1"/>
  <c r="AP1061" i="2"/>
  <c r="AO347" i="4"/>
  <c r="AO199" i="4"/>
  <c r="AO189" i="4"/>
  <c r="AO332" i="4"/>
  <c r="AO293" i="4"/>
  <c r="AO178" i="4"/>
  <c r="AO169" i="4"/>
  <c r="AO384" i="4"/>
  <c r="AO321" i="4"/>
  <c r="AO389" i="4"/>
  <c r="AO342" i="4"/>
  <c r="AO370" i="4"/>
  <c r="AO273" i="4"/>
  <c r="AO298" i="4"/>
  <c r="AO194" i="4"/>
  <c r="AO412" i="4"/>
  <c r="AO283" i="4"/>
  <c r="AM652" i="2"/>
  <c r="AP80" i="1"/>
  <c r="AQ81" i="1"/>
  <c r="AJ324" i="4"/>
  <c r="AJ277" i="4"/>
  <c r="AJ374" i="4"/>
  <c r="AJ1264" i="2"/>
  <c r="AJ1184" i="2"/>
  <c r="AN694" i="2"/>
  <c r="AN696" i="2"/>
  <c r="AN697" i="2"/>
  <c r="AN503" i="4"/>
  <c r="AK1307" i="2"/>
  <c r="AN170" i="2"/>
  <c r="V77" i="10"/>
  <c r="V78" i="10" s="1"/>
  <c r="AP1091" i="2"/>
  <c r="AP1090" i="2" s="1"/>
  <c r="AO1092" i="2"/>
  <c r="X86" i="10"/>
  <c r="AI110" i="10"/>
  <c r="AI108" i="10" s="1"/>
  <c r="AJ105" i="10" s="1"/>
  <c r="AU86" i="1"/>
  <c r="AM194" i="2"/>
  <c r="AM197" i="2"/>
  <c r="AM727" i="2"/>
  <c r="AM723" i="2" s="1"/>
  <c r="AM730" i="2" s="1"/>
  <c r="AM724" i="2"/>
  <c r="AM725" i="2" s="1"/>
  <c r="AL19" i="4"/>
  <c r="AL18" i="4" s="1"/>
  <c r="AL196" i="2"/>
  <c r="AN289" i="2"/>
  <c r="AM702" i="2"/>
  <c r="AM698" i="2" s="1"/>
  <c r="AM708" i="2" s="1"/>
  <c r="AM703" i="2"/>
  <c r="AM704" i="2" s="1"/>
  <c r="AM699" i="2"/>
  <c r="AM700" i="2" s="1"/>
  <c r="AW82" i="10"/>
  <c r="AN9" i="2"/>
  <c r="AJ1310" i="2"/>
  <c r="AL22" i="2"/>
  <c r="AM672" i="2"/>
  <c r="AM668" i="2" s="1"/>
  <c r="AM678" i="2" s="1"/>
  <c r="AM673" i="2"/>
  <c r="AM674" i="2" s="1"/>
  <c r="AM669" i="2"/>
  <c r="AM670" i="2" s="1"/>
  <c r="AM41" i="2"/>
  <c r="AK138" i="4"/>
  <c r="AK144" i="4" s="1"/>
  <c r="AK990" i="2"/>
  <c r="AV68" i="10"/>
  <c r="AN172" i="4"/>
  <c r="AN677" i="2"/>
  <c r="AN667" i="2"/>
  <c r="AN671" i="2"/>
  <c r="AN662" i="2" s="1"/>
  <c r="AN1039" i="2"/>
  <c r="AN1038" i="2"/>
  <c r="AL991" i="2"/>
  <c r="AL1305" i="2" s="1"/>
  <c r="AL949" i="2"/>
  <c r="AN145" i="2"/>
  <c r="AN720" i="2"/>
  <c r="AN721" i="2"/>
  <c r="AN729" i="2"/>
  <c r="AN722" i="2"/>
  <c r="AN726" i="2"/>
  <c r="AN717" i="2" s="1"/>
  <c r="AP2" i="5"/>
  <c r="AP2" i="4"/>
  <c r="AP2" i="2"/>
  <c r="AP2" i="10"/>
  <c r="AP2" i="1"/>
  <c r="AQ25" i="1"/>
  <c r="AV75" i="10"/>
  <c r="AP87" i="1"/>
  <c r="AO91" i="1"/>
  <c r="AR292" i="4"/>
  <c r="AR383" i="4"/>
  <c r="AR341" i="4"/>
  <c r="AR47" i="1"/>
  <c r="AR57" i="2" s="1"/>
  <c r="AR49" i="1"/>
  <c r="AR50" i="1"/>
  <c r="AR48" i="1"/>
  <c r="AS43" i="1"/>
  <c r="AV106" i="10"/>
  <c r="AO146" i="1"/>
  <c r="AO59" i="1"/>
  <c r="AO120" i="1"/>
  <c r="AO45" i="1"/>
  <c r="AO44" i="1"/>
  <c r="AO123" i="1"/>
  <c r="AO131" i="1"/>
  <c r="AO53" i="1"/>
  <c r="AO140" i="1"/>
  <c r="AQ290" i="2"/>
  <c r="AQ299" i="2"/>
  <c r="AQ1083" i="2"/>
  <c r="AQ1082" i="2" s="1"/>
  <c r="AP1084" i="2"/>
  <c r="AJ618" i="2"/>
  <c r="AJ619" i="2" s="1"/>
  <c r="AM293" i="2"/>
  <c r="AM294" i="2" s="1"/>
  <c r="AV113" i="10"/>
  <c r="AN28" i="2"/>
  <c r="AI593" i="2"/>
  <c r="AH590" i="2"/>
  <c r="AH165" i="4" s="1"/>
  <c r="AQ184" i="2"/>
  <c r="AQ211" i="2"/>
  <c r="AQ159" i="2"/>
  <c r="AU55" i="1"/>
  <c r="AV54" i="1"/>
  <c r="AK71" i="2"/>
  <c r="AL177" i="4"/>
  <c r="AJ128" i="4"/>
  <c r="AH464" i="4" l="1"/>
  <c r="AH496" i="4"/>
  <c r="AN56" i="4"/>
  <c r="AG27" i="4"/>
  <c r="AI97" i="4"/>
  <c r="AI94" i="4" s="1"/>
  <c r="AJ32" i="4"/>
  <c r="AJ239" i="4" s="1"/>
  <c r="D174" i="7"/>
  <c r="D204" i="7"/>
  <c r="AO503" i="2"/>
  <c r="AO508" i="2" s="1"/>
  <c r="AG98" i="4"/>
  <c r="AN970" i="2"/>
  <c r="AN977" i="2"/>
  <c r="AP505" i="2"/>
  <c r="AP501" i="2"/>
  <c r="AP502" i="2"/>
  <c r="AP506" i="2"/>
  <c r="AM971" i="2"/>
  <c r="AN498" i="2"/>
  <c r="AN55" i="4"/>
  <c r="AO493" i="2"/>
  <c r="AN967" i="2"/>
  <c r="AP495" i="2"/>
  <c r="AP491" i="2"/>
  <c r="AP492" i="2"/>
  <c r="AP496" i="2"/>
  <c r="AN966" i="2"/>
  <c r="AL996" i="2"/>
  <c r="AO411" i="2"/>
  <c r="AN395" i="2"/>
  <c r="AM388" i="2"/>
  <c r="AM386" i="2" s="1"/>
  <c r="AN387" i="2"/>
  <c r="AN350" i="2"/>
  <c r="AN351" i="2" s="1"/>
  <c r="AN39" i="4" s="1"/>
  <c r="AO346" i="2"/>
  <c r="AP348" i="2"/>
  <c r="AP345" i="2" s="1"/>
  <c r="AP344" i="2"/>
  <c r="AB1217" i="2"/>
  <c r="AO337" i="2"/>
  <c r="AP339" i="2"/>
  <c r="AP336" i="2" s="1"/>
  <c r="AP335" i="2"/>
  <c r="AP68" i="2"/>
  <c r="AP330" i="2"/>
  <c r="AP327" i="2" s="1"/>
  <c r="AP326" i="2"/>
  <c r="AO328" i="2"/>
  <c r="AN332" i="2"/>
  <c r="AN333" i="2" s="1"/>
  <c r="AN37" i="4" s="1"/>
  <c r="AC1219" i="2"/>
  <c r="AO439" i="2"/>
  <c r="AO440" i="2" s="1"/>
  <c r="AO445" i="2" s="1"/>
  <c r="AH48" i="4"/>
  <c r="AH238" i="4" s="1"/>
  <c r="AI239" i="4"/>
  <c r="AG238" i="4"/>
  <c r="AO107" i="2"/>
  <c r="AO87" i="2"/>
  <c r="AM128" i="2"/>
  <c r="AM471" i="2" s="1"/>
  <c r="AL130" i="2"/>
  <c r="AL1291" i="2" s="1"/>
  <c r="AL485" i="4" s="1"/>
  <c r="AK133" i="2"/>
  <c r="AK574" i="2" s="1"/>
  <c r="AJ133" i="2"/>
  <c r="AJ574" i="2" s="1"/>
  <c r="AJ575" i="2" s="1"/>
  <c r="AJ576" i="2" s="1"/>
  <c r="AL517" i="2"/>
  <c r="AO67" i="2"/>
  <c r="AO195" i="2" s="1"/>
  <c r="AM177" i="4"/>
  <c r="AM34" i="1"/>
  <c r="AM284" i="2" s="1"/>
  <c r="AH94" i="4"/>
  <c r="T240" i="4"/>
  <c r="S104" i="4"/>
  <c r="AJ775" i="2"/>
  <c r="AJ995" i="2" s="1"/>
  <c r="AJ109" i="10"/>
  <c r="AN962" i="2"/>
  <c r="AO318" i="2"/>
  <c r="AO319" i="2" s="1"/>
  <c r="AI419" i="2"/>
  <c r="AI1323" i="2" s="1"/>
  <c r="AI464" i="4" s="1"/>
  <c r="P1327" i="2"/>
  <c r="P493" i="4"/>
  <c r="AR311" i="2"/>
  <c r="AR368" i="2"/>
  <c r="AR359" i="2"/>
  <c r="AR320" i="2"/>
  <c r="AR380" i="2"/>
  <c r="S494" i="4"/>
  <c r="S463" i="4"/>
  <c r="S436" i="4"/>
  <c r="AO26" i="1"/>
  <c r="AN29" i="1"/>
  <c r="AN28" i="1"/>
  <c r="AN27" i="1"/>
  <c r="U882" i="2"/>
  <c r="U973" i="2" s="1"/>
  <c r="U957" i="2"/>
  <c r="U771" i="2"/>
  <c r="U953" i="2"/>
  <c r="U63" i="4" s="1"/>
  <c r="U767" i="2"/>
  <c r="R115" i="4"/>
  <c r="AM220" i="4"/>
  <c r="AN219" i="4"/>
  <c r="AR235" i="2"/>
  <c r="AR259" i="2"/>
  <c r="T173" i="4"/>
  <c r="T179" i="4" s="1"/>
  <c r="T264" i="4" s="1"/>
  <c r="T1316" i="2"/>
  <c r="T1313" i="2" s="1"/>
  <c r="U983" i="2"/>
  <c r="U175" i="4" s="1"/>
  <c r="V935" i="2"/>
  <c r="V877" i="2"/>
  <c r="V968" i="2" s="1"/>
  <c r="AR454" i="2"/>
  <c r="AR484" i="2"/>
  <c r="AR474" i="2"/>
  <c r="AR464" i="2"/>
  <c r="AR520" i="2"/>
  <c r="AN955" i="2"/>
  <c r="AM956" i="2"/>
  <c r="AN951" i="2"/>
  <c r="AN952" i="2"/>
  <c r="AO852" i="2"/>
  <c r="AO842" i="2"/>
  <c r="AO846" i="2"/>
  <c r="AO837" i="2" s="1"/>
  <c r="AO78" i="4" s="1"/>
  <c r="AL299" i="7" s="1"/>
  <c r="AO840" i="2"/>
  <c r="AO841" i="2"/>
  <c r="AN847" i="2"/>
  <c r="AN843" i="2" s="1"/>
  <c r="AN853" i="2" s="1"/>
  <c r="AN848" i="2"/>
  <c r="AN849" i="2" s="1"/>
  <c r="AN844" i="2"/>
  <c r="AN845" i="2" s="1"/>
  <c r="AP834" i="2"/>
  <c r="AP831" i="2"/>
  <c r="AI216" i="2"/>
  <c r="AO814" i="2"/>
  <c r="AO815" i="2"/>
  <c r="AN822" i="2"/>
  <c r="AN823" i="2" s="1"/>
  <c r="AN821" i="2"/>
  <c r="AN817" i="2" s="1"/>
  <c r="AN827" i="2" s="1"/>
  <c r="AN818" i="2"/>
  <c r="AN819" i="2" s="1"/>
  <c r="AO826" i="2"/>
  <c r="AO820" i="2"/>
  <c r="AO811" i="2" s="1"/>
  <c r="AO77" i="4" s="1"/>
  <c r="AL298" i="7" s="1"/>
  <c r="AO816" i="2"/>
  <c r="AN759" i="2"/>
  <c r="AN75" i="4" s="1"/>
  <c r="AK296" i="7" s="1"/>
  <c r="AP805" i="2"/>
  <c r="AP808" i="2"/>
  <c r="AM765" i="2"/>
  <c r="AO357" i="2"/>
  <c r="AO358" i="2" s="1"/>
  <c r="AK202" i="2"/>
  <c r="AK276" i="2" s="1"/>
  <c r="AK592" i="2" s="1"/>
  <c r="AI28" i="4"/>
  <c r="AP779" i="2"/>
  <c r="AP782" i="2"/>
  <c r="AO800" i="2"/>
  <c r="AO790" i="2"/>
  <c r="AO794" i="2"/>
  <c r="AO785" i="2" s="1"/>
  <c r="AO76" i="4" s="1"/>
  <c r="AL297" i="7" s="1"/>
  <c r="AJ204" i="2"/>
  <c r="AJ216" i="2" s="1"/>
  <c r="AO788" i="2"/>
  <c r="AO789" i="2"/>
  <c r="AN795" i="2"/>
  <c r="AN791" i="2" s="1"/>
  <c r="AN801" i="2" s="1"/>
  <c r="AN796" i="2"/>
  <c r="AN797" i="2" s="1"/>
  <c r="AN792" i="2"/>
  <c r="AN793" i="2" s="1"/>
  <c r="AO762" i="2"/>
  <c r="AO763" i="2"/>
  <c r="AO774" i="2"/>
  <c r="AO764" i="2"/>
  <c r="AO768" i="2"/>
  <c r="AP756" i="2"/>
  <c r="AP753" i="2"/>
  <c r="AN769" i="2"/>
  <c r="AO481" i="2"/>
  <c r="AO483" i="2" s="1"/>
  <c r="AO378" i="2"/>
  <c r="AO379" i="2" s="1"/>
  <c r="AO403" i="2" s="1"/>
  <c r="AM1299" i="2"/>
  <c r="AO69" i="2"/>
  <c r="AN63" i="2"/>
  <c r="AM627" i="2"/>
  <c r="AM626" i="2" s="1"/>
  <c r="AM184" i="4" s="1"/>
  <c r="AL51" i="2"/>
  <c r="AM64" i="2"/>
  <c r="AI572" i="2"/>
  <c r="AI162" i="4" s="1"/>
  <c r="AI260" i="4" s="1"/>
  <c r="AI576" i="2"/>
  <c r="AL52" i="2"/>
  <c r="AJ1321" i="2"/>
  <c r="AJ497" i="4" s="1"/>
  <c r="AN7" i="4"/>
  <c r="AP61" i="2"/>
  <c r="AP49" i="2" s="1"/>
  <c r="AP58" i="2"/>
  <c r="AP47" i="2"/>
  <c r="AO50" i="2"/>
  <c r="AN746" i="2"/>
  <c r="AK32" i="4"/>
  <c r="AK239" i="4" s="1"/>
  <c r="AK413" i="2"/>
  <c r="AK1321" i="2" s="1"/>
  <c r="AK497" i="4" s="1"/>
  <c r="AK410" i="2"/>
  <c r="AO309" i="2"/>
  <c r="AO310" i="2" s="1"/>
  <c r="AI237" i="4"/>
  <c r="AO742" i="2"/>
  <c r="AO944" i="2" s="1"/>
  <c r="AO743" i="2"/>
  <c r="AO945" i="2" s="1"/>
  <c r="AI48" i="4"/>
  <c r="AJ97" i="4"/>
  <c r="AL100" i="4"/>
  <c r="AL96" i="4"/>
  <c r="AL32" i="4"/>
  <c r="AL239" i="4" s="1"/>
  <c r="AB1253" i="2"/>
  <c r="AB1248" i="2" s="1"/>
  <c r="AA1259" i="2"/>
  <c r="AA112" i="4" s="1"/>
  <c r="AA241" i="4" s="1"/>
  <c r="AA192" i="4"/>
  <c r="AA1248" i="2"/>
  <c r="AO366" i="2"/>
  <c r="AO367" i="2" s="1"/>
  <c r="AB1243" i="2"/>
  <c r="AB1258" i="2"/>
  <c r="AC1233" i="2"/>
  <c r="AB1252" i="2"/>
  <c r="AB130" i="4" s="1"/>
  <c r="AP1235" i="2"/>
  <c r="AN142" i="4"/>
  <c r="AP737" i="2"/>
  <c r="AP741" i="2" s="1"/>
  <c r="AP744" i="2" s="1"/>
  <c r="AP946" i="2" s="1"/>
  <c r="AN963" i="2"/>
  <c r="AN139" i="4" s="1"/>
  <c r="AO902" i="2"/>
  <c r="AO904" i="2"/>
  <c r="AO905" i="2"/>
  <c r="AP890" i="2"/>
  <c r="AP896" i="2"/>
  <c r="AM934" i="2"/>
  <c r="AM941" i="2" s="1"/>
  <c r="AM985" i="2"/>
  <c r="AN911" i="2"/>
  <c r="AN912" i="2" s="1"/>
  <c r="AN910" i="2"/>
  <c r="AN906" i="2" s="1"/>
  <c r="AN916" i="2" s="1"/>
  <c r="AN907" i="2"/>
  <c r="AN908" i="2" s="1"/>
  <c r="AN928" i="2"/>
  <c r="AN85" i="4" s="1"/>
  <c r="AK306" i="7" s="1"/>
  <c r="AN984" i="2"/>
  <c r="AN978" i="2" s="1"/>
  <c r="AN140" i="4" s="1"/>
  <c r="AO915" i="2"/>
  <c r="AO909" i="2"/>
  <c r="AO899" i="2" s="1"/>
  <c r="AO82" i="4" s="1"/>
  <c r="AL303" i="7" s="1"/>
  <c r="AN938" i="2"/>
  <c r="AP925" i="2"/>
  <c r="AP923" i="2"/>
  <c r="AO940" i="2"/>
  <c r="AO988" i="2" s="1"/>
  <c r="AO933" i="2"/>
  <c r="AO981" i="2" s="1"/>
  <c r="AO937" i="2"/>
  <c r="AO931" i="2"/>
  <c r="AO932" i="2"/>
  <c r="AO980" i="2" s="1"/>
  <c r="AM876" i="2"/>
  <c r="AM886" i="2" s="1"/>
  <c r="AN869" i="2"/>
  <c r="AN81" i="4" s="1"/>
  <c r="AK302" i="7" s="1"/>
  <c r="AL111" i="2"/>
  <c r="AO885" i="2"/>
  <c r="AO879" i="2"/>
  <c r="AP866" i="2"/>
  <c r="AP860" i="2"/>
  <c r="AO872" i="2"/>
  <c r="AO874" i="2"/>
  <c r="AO875" i="2"/>
  <c r="AN880" i="2"/>
  <c r="AN971" i="2" s="1"/>
  <c r="AL112" i="2"/>
  <c r="AO109" i="2"/>
  <c r="AN110" i="2"/>
  <c r="AN10" i="4" s="1"/>
  <c r="AM123" i="2"/>
  <c r="AM124" i="2" s="1"/>
  <c r="AM111" i="2" s="1"/>
  <c r="AL104" i="2"/>
  <c r="AL129" i="2" s="1"/>
  <c r="AK131" i="2"/>
  <c r="AK485" i="4"/>
  <c r="AM103" i="2"/>
  <c r="AM104" i="2" s="1"/>
  <c r="AK458" i="4"/>
  <c r="AL243" i="2"/>
  <c r="AL219" i="2"/>
  <c r="AL221" i="2" s="1"/>
  <c r="AN90" i="2"/>
  <c r="AN9" i="4" s="1"/>
  <c r="AO89" i="2"/>
  <c r="AK519" i="2"/>
  <c r="AJ61" i="4"/>
  <c r="AJ60" i="4" s="1"/>
  <c r="AJ553" i="2"/>
  <c r="AJ524" i="2"/>
  <c r="AJ554" i="2" s="1"/>
  <c r="AJ1302" i="2" s="1"/>
  <c r="AI559" i="2"/>
  <c r="AI552" i="2"/>
  <c r="AI566" i="2" s="1"/>
  <c r="AH562" i="2"/>
  <c r="AH564" i="2" s="1"/>
  <c r="AI560" i="2"/>
  <c r="AL473" i="2"/>
  <c r="AL527" i="2" s="1"/>
  <c r="AK53" i="4"/>
  <c r="AK50" i="4" s="1"/>
  <c r="AK533" i="2"/>
  <c r="AK478" i="2"/>
  <c r="AK528" i="2" s="1"/>
  <c r="AJ534" i="2"/>
  <c r="AI536" i="2"/>
  <c r="AI538" i="2" s="1"/>
  <c r="AJ526" i="2"/>
  <c r="AF1301" i="2"/>
  <c r="AE279" i="2"/>
  <c r="AE611" i="2" s="1"/>
  <c r="AE612" i="2" s="1"/>
  <c r="AI588" i="2"/>
  <c r="AE127" i="4"/>
  <c r="AG269" i="2"/>
  <c r="AG1301" i="2" s="1"/>
  <c r="AG232" i="2"/>
  <c r="AG234" i="2" s="1"/>
  <c r="AH230" i="2"/>
  <c r="AI584" i="2"/>
  <c r="AI166" i="4" s="1"/>
  <c r="AI252" i="2"/>
  <c r="AI271" i="2" s="1"/>
  <c r="AG253" i="2"/>
  <c r="AG272" i="2" s="1"/>
  <c r="AG607" i="2" s="1"/>
  <c r="AF256" i="2"/>
  <c r="AF258" i="2" s="1"/>
  <c r="AF273" i="2" s="1"/>
  <c r="AG486" i="4"/>
  <c r="AG459" i="4"/>
  <c r="AG432" i="4"/>
  <c r="AD609" i="2"/>
  <c r="AD613" i="2"/>
  <c r="AD280" i="2"/>
  <c r="AK245" i="2"/>
  <c r="AG278" i="2"/>
  <c r="AG604" i="2" s="1"/>
  <c r="AG605" i="2" s="1"/>
  <c r="AG606" i="2" s="1"/>
  <c r="AJ248" i="2"/>
  <c r="AJ246" i="2"/>
  <c r="AJ275" i="2" s="1"/>
  <c r="AJ586" i="2" s="1"/>
  <c r="AH30" i="4"/>
  <c r="AH265" i="2"/>
  <c r="AH254" i="2" s="1"/>
  <c r="AH264" i="2"/>
  <c r="AH274" i="2" s="1"/>
  <c r="AH1292" i="2" s="1"/>
  <c r="AH271" i="2"/>
  <c r="AJ268" i="2"/>
  <c r="AJ95" i="4" s="1"/>
  <c r="AJ237" i="4" s="1"/>
  <c r="AH584" i="2"/>
  <c r="AH166" i="4" s="1"/>
  <c r="AH262" i="4" s="1"/>
  <c r="AI241" i="2"/>
  <c r="AI230" i="2" s="1"/>
  <c r="AI240" i="2"/>
  <c r="AJ228" i="2"/>
  <c r="AK222" i="2"/>
  <c r="AK224" i="2"/>
  <c r="AG210" i="2"/>
  <c r="AP260" i="2"/>
  <c r="AP262" i="2"/>
  <c r="AP244" i="2"/>
  <c r="AP250" i="2"/>
  <c r="AF602" i="2"/>
  <c r="AF183" i="4" s="1"/>
  <c r="AP236" i="2"/>
  <c r="AP238" i="2"/>
  <c r="AP220" i="2"/>
  <c r="AP226" i="2"/>
  <c r="AN488" i="2"/>
  <c r="AN54" i="4"/>
  <c r="AP485" i="2"/>
  <c r="AP486" i="2"/>
  <c r="AP482" i="2"/>
  <c r="AP475" i="2"/>
  <c r="AP476" i="2"/>
  <c r="AP472" i="2"/>
  <c r="AN468" i="2"/>
  <c r="AO463" i="2"/>
  <c r="AP465" i="2"/>
  <c r="AP466" i="2"/>
  <c r="AP462" i="2"/>
  <c r="AP521" i="2"/>
  <c r="AP522" i="2"/>
  <c r="AP518" i="2"/>
  <c r="AL529" i="2"/>
  <c r="AN458" i="2"/>
  <c r="AN51" i="4"/>
  <c r="AO453" i="2"/>
  <c r="AP455" i="2"/>
  <c r="AP456" i="2"/>
  <c r="AP452" i="2"/>
  <c r="AM402" i="2"/>
  <c r="AM409" i="2" s="1"/>
  <c r="AM384" i="2"/>
  <c r="AM46" i="4" s="1"/>
  <c r="AM45" i="4" s="1"/>
  <c r="AM83" i="2"/>
  <c r="AM8" i="4"/>
  <c r="AM315" i="2"/>
  <c r="AM35" i="4" s="1"/>
  <c r="AM34" i="4" s="1"/>
  <c r="AG261" i="4"/>
  <c r="AH600" i="2"/>
  <c r="AG600" i="2"/>
  <c r="AJ397" i="2"/>
  <c r="AI598" i="2"/>
  <c r="AI401" i="2"/>
  <c r="AN314" i="2"/>
  <c r="AH596" i="2"/>
  <c r="AH164" i="4" s="1"/>
  <c r="AH261" i="4" s="1"/>
  <c r="AJ419" i="2"/>
  <c r="AJ1323" i="2" s="1"/>
  <c r="AL413" i="2"/>
  <c r="AL1321" i="2" s="1"/>
  <c r="AP317" i="2"/>
  <c r="AP321" i="2"/>
  <c r="AN323" i="2"/>
  <c r="AN324" i="2" s="1"/>
  <c r="AN36" i="4" s="1"/>
  <c r="AN70" i="2"/>
  <c r="AP308" i="2"/>
  <c r="AP312" i="2"/>
  <c r="AP377" i="2"/>
  <c r="AP381" i="2"/>
  <c r="AN383" i="2"/>
  <c r="AN404" i="2" s="1"/>
  <c r="AM394" i="2"/>
  <c r="AP365" i="2"/>
  <c r="AP369" i="2"/>
  <c r="AN371" i="2"/>
  <c r="AN372" i="2" s="1"/>
  <c r="AN43" i="4" s="1"/>
  <c r="AM363" i="2"/>
  <c r="AM42" i="4" s="1"/>
  <c r="AM41" i="4" s="1"/>
  <c r="AP356" i="2"/>
  <c r="AP360" i="2"/>
  <c r="AN362" i="2"/>
  <c r="AR117" i="2"/>
  <c r="AR97" i="2"/>
  <c r="AQ57" i="10"/>
  <c r="AQ62" i="10"/>
  <c r="AG1199" i="2"/>
  <c r="AF1198" i="2"/>
  <c r="AK181" i="2"/>
  <c r="AK183" i="2" s="1"/>
  <c r="AH260" i="4"/>
  <c r="AL179" i="2"/>
  <c r="AP121" i="2"/>
  <c r="AP118" i="2"/>
  <c r="AP108" i="2"/>
  <c r="AJ183" i="2"/>
  <c r="AP101" i="2"/>
  <c r="AP98" i="2"/>
  <c r="AP88" i="2"/>
  <c r="AO1274" i="2"/>
  <c r="AO1276" i="2" s="1"/>
  <c r="AM546" i="2"/>
  <c r="AL71" i="2"/>
  <c r="AI206" i="2"/>
  <c r="AL72" i="2"/>
  <c r="AM547" i="2"/>
  <c r="AI205" i="2"/>
  <c r="AL549" i="2"/>
  <c r="AL551" i="2" s="1"/>
  <c r="AH208" i="2"/>
  <c r="AI1117" i="2"/>
  <c r="AJ156" i="2"/>
  <c r="AJ158" i="2" s="1"/>
  <c r="AM177" i="2"/>
  <c r="AM189" i="2" s="1"/>
  <c r="AL165" i="2"/>
  <c r="AK156" i="2" s="1"/>
  <c r="AK1310" i="2"/>
  <c r="AO289" i="2"/>
  <c r="AO293" i="2" s="1"/>
  <c r="AO294" i="2" s="1"/>
  <c r="AN652" i="2"/>
  <c r="AL1307" i="2"/>
  <c r="AO429" i="2"/>
  <c r="AO434" i="2" s="1"/>
  <c r="AL29" i="2"/>
  <c r="AK128" i="4"/>
  <c r="AN303" i="2"/>
  <c r="AK418" i="2"/>
  <c r="AK153" i="2"/>
  <c r="AM152" i="2"/>
  <c r="AM164" i="2" s="1"/>
  <c r="AJ1119" i="2"/>
  <c r="AJ1117" i="2" s="1"/>
  <c r="Y84" i="10"/>
  <c r="Y85" i="10" s="1"/>
  <c r="AR1083" i="2"/>
  <c r="AR1082" i="2" s="1"/>
  <c r="AQ1084" i="2"/>
  <c r="AN727" i="2"/>
  <c r="AN723" i="2" s="1"/>
  <c r="AN730" i="2" s="1"/>
  <c r="AN724" i="2"/>
  <c r="AN725" i="2" s="1"/>
  <c r="AK374" i="4"/>
  <c r="AK324" i="4"/>
  <c r="AK277" i="4"/>
  <c r="AK1184" i="2"/>
  <c r="AK1264" i="2"/>
  <c r="AP1092" i="2"/>
  <c r="AQ1091" i="2"/>
  <c r="AQ1090" i="2" s="1"/>
  <c r="AN41" i="2"/>
  <c r="AN42" i="2" s="1"/>
  <c r="AI590" i="2"/>
  <c r="AI165" i="4" s="1"/>
  <c r="AJ615" i="2"/>
  <c r="AJ186" i="4" s="1"/>
  <c r="AS341" i="4"/>
  <c r="AS292" i="4"/>
  <c r="AS383" i="4"/>
  <c r="AS47" i="1"/>
  <c r="AS57" i="2" s="1"/>
  <c r="AS49" i="1"/>
  <c r="AS48" i="1"/>
  <c r="AS50" i="1"/>
  <c r="AT43" i="1"/>
  <c r="AP146" i="1"/>
  <c r="AP59" i="1"/>
  <c r="AP120" i="1"/>
  <c r="AP45" i="1"/>
  <c r="AP44" i="1"/>
  <c r="AP53" i="1"/>
  <c r="AP131" i="1"/>
  <c r="AP123" i="1"/>
  <c r="AP140" i="1"/>
  <c r="AN146" i="2"/>
  <c r="AN148" i="2"/>
  <c r="AM42" i="2"/>
  <c r="AM29" i="2" s="1"/>
  <c r="Q491" i="4"/>
  <c r="Q1326" i="2"/>
  <c r="AN467" i="4"/>
  <c r="AN502" i="4"/>
  <c r="AN440" i="4"/>
  <c r="AN703" i="2"/>
  <c r="AN704" i="2" s="1"/>
  <c r="AN702" i="2"/>
  <c r="AN698" i="2" s="1"/>
  <c r="AN708" i="2" s="1"/>
  <c r="AN699" i="2"/>
  <c r="AN700" i="2" s="1"/>
  <c r="AQ80" i="1"/>
  <c r="AR81" i="1"/>
  <c r="AV61" i="1"/>
  <c r="AW60" i="1"/>
  <c r="AO707" i="2"/>
  <c r="AO701" i="2"/>
  <c r="AO691" i="2" s="1"/>
  <c r="AO720" i="2"/>
  <c r="AO721" i="2"/>
  <c r="AL410" i="2"/>
  <c r="AL393" i="2"/>
  <c r="AR299" i="2"/>
  <c r="AR290" i="2"/>
  <c r="AW75" i="10"/>
  <c r="AW113" i="10"/>
  <c r="AR159" i="2"/>
  <c r="AR184" i="2"/>
  <c r="AR211" i="2"/>
  <c r="AQ87" i="1"/>
  <c r="AP91" i="1"/>
  <c r="AP65" i="10"/>
  <c r="AP133" i="10"/>
  <c r="AP97" i="10"/>
  <c r="AP176" i="4" s="1"/>
  <c r="AP93" i="10"/>
  <c r="AP168" i="4" s="1"/>
  <c r="AP136" i="10"/>
  <c r="AP188" i="4" s="1"/>
  <c r="AP135" i="10"/>
  <c r="AP70" i="10"/>
  <c r="AP71" i="10" s="1"/>
  <c r="AP72" i="10" s="1"/>
  <c r="AX82" i="10"/>
  <c r="AO694" i="2"/>
  <c r="AO696" i="2"/>
  <c r="AO697" i="2"/>
  <c r="AO1280" i="2"/>
  <c r="AO1282" i="2" s="1"/>
  <c r="AJ593" i="2"/>
  <c r="AI1106" i="2"/>
  <c r="AL399" i="2"/>
  <c r="AJ110" i="10"/>
  <c r="AJ108" i="10" s="1"/>
  <c r="AK105" i="10" s="1"/>
  <c r="AO677" i="2"/>
  <c r="AO667" i="2"/>
  <c r="AO671" i="2"/>
  <c r="AO662" i="2" s="1"/>
  <c r="AW106" i="10"/>
  <c r="AR1063" i="2"/>
  <c r="AR1062" i="2" s="1"/>
  <c r="AQ1061" i="2"/>
  <c r="AR35" i="2"/>
  <c r="AR16" i="2"/>
  <c r="AR77" i="2"/>
  <c r="AP384" i="4"/>
  <c r="AP321" i="4"/>
  <c r="AP412" i="4"/>
  <c r="AP342" i="4"/>
  <c r="AP370" i="4"/>
  <c r="AP194" i="4"/>
  <c r="AP332" i="4"/>
  <c r="AP293" i="4"/>
  <c r="AP273" i="4"/>
  <c r="AP298" i="4"/>
  <c r="AP199" i="4"/>
  <c r="AP169" i="4"/>
  <c r="AP178" i="4"/>
  <c r="AP389" i="4"/>
  <c r="AP347" i="4"/>
  <c r="AP283" i="4"/>
  <c r="AP189" i="4"/>
  <c r="AL138" i="4"/>
  <c r="AL144" i="4" s="1"/>
  <c r="AL990" i="2"/>
  <c r="AM19" i="4"/>
  <c r="AM18" i="4" s="1"/>
  <c r="AM196" i="2"/>
  <c r="AI116" i="10"/>
  <c r="AN173" i="2"/>
  <c r="AN171" i="2"/>
  <c r="AL11" i="2"/>
  <c r="AM11" i="2" s="1"/>
  <c r="AO170" i="2"/>
  <c r="AO9" i="2"/>
  <c r="AO145" i="2"/>
  <c r="AO1038" i="2"/>
  <c r="AO1039" i="2"/>
  <c r="AO729" i="2"/>
  <c r="AO722" i="2"/>
  <c r="AO726" i="2"/>
  <c r="AO717" i="2" s="1"/>
  <c r="AI594" i="2"/>
  <c r="AO28" i="2"/>
  <c r="AO298" i="2"/>
  <c r="AN21" i="2"/>
  <c r="AP1028" i="2"/>
  <c r="AP623" i="2"/>
  <c r="AP624" i="2" s="1"/>
  <c r="AP143" i="2"/>
  <c r="AP39" i="2"/>
  <c r="AP27" i="2" s="1"/>
  <c r="AP1275" i="2"/>
  <c r="AP1201" i="2"/>
  <c r="AP1202" i="2" s="1"/>
  <c r="AP1150" i="2"/>
  <c r="AP1151" i="2" s="1"/>
  <c r="AP1120" i="2"/>
  <c r="AP1121" i="2" s="1"/>
  <c r="AP1026" i="2"/>
  <c r="AP1013" i="2"/>
  <c r="AP1014" i="2" s="1"/>
  <c r="AP688" i="2"/>
  <c r="AP438" i="2"/>
  <c r="AP437" i="2" s="1"/>
  <c r="AP428" i="2"/>
  <c r="AP288" i="2"/>
  <c r="AP185" i="2"/>
  <c r="AP19" i="2"/>
  <c r="AP1012" i="2"/>
  <c r="AP1011" i="2" s="1"/>
  <c r="AP427" i="2"/>
  <c r="AP296" i="2"/>
  <c r="AP287" i="2"/>
  <c r="AP162" i="2"/>
  <c r="AP78" i="2"/>
  <c r="AP8" i="2"/>
  <c r="AP1279" i="2"/>
  <c r="AP714" i="2"/>
  <c r="AP557" i="2"/>
  <c r="AP442" i="2"/>
  <c r="AP212" i="2"/>
  <c r="AP160" i="2"/>
  <c r="AP144" i="2"/>
  <c r="AP17" i="2"/>
  <c r="AP1335" i="2"/>
  <c r="AP1278" i="2"/>
  <c r="AP1029" i="2"/>
  <c r="AP712" i="2"/>
  <c r="AP659" i="2"/>
  <c r="AP555" i="2"/>
  <c r="AP291" i="2"/>
  <c r="AP1272" i="2"/>
  <c r="AP1146" i="2"/>
  <c r="AP1147" i="2" s="1"/>
  <c r="AP628" i="2"/>
  <c r="AP629" i="2" s="1"/>
  <c r="AP187" i="2"/>
  <c r="AP169" i="2" s="1"/>
  <c r="AP168" i="2"/>
  <c r="AP167" i="2" s="1"/>
  <c r="AP1281" i="2"/>
  <c r="AP1220" i="2"/>
  <c r="AP1221" i="2" s="1"/>
  <c r="AP391" i="2"/>
  <c r="AP214" i="2"/>
  <c r="AP682" i="2"/>
  <c r="AP656" i="2"/>
  <c r="AP544" i="2"/>
  <c r="AP405" i="2"/>
  <c r="AP7" i="2"/>
  <c r="AP1108" i="2"/>
  <c r="AP1109" i="2" s="1"/>
  <c r="AP542" i="2"/>
  <c r="AP81" i="2"/>
  <c r="AP1037" i="2"/>
  <c r="AP432" i="2"/>
  <c r="AP26" i="2"/>
  <c r="AP25" i="2" s="1"/>
  <c r="AP1273" i="2"/>
  <c r="AP1032" i="2"/>
  <c r="AP1031" i="2" s="1"/>
  <c r="AP389" i="2"/>
  <c r="AP36" i="2"/>
  <c r="AP443" i="2"/>
  <c r="AP1017" i="2"/>
  <c r="AP643" i="2"/>
  <c r="AP407" i="2"/>
  <c r="AP1033" i="2"/>
  <c r="AP300" i="2"/>
  <c r="AP297" i="2" s="1"/>
  <c r="AP1136" i="2"/>
  <c r="AP531" i="2"/>
  <c r="AP431" i="2"/>
  <c r="AP150" i="2"/>
  <c r="AP175" i="2"/>
  <c r="AP1178" i="2"/>
  <c r="AP197" i="4" s="1"/>
  <c r="AP1208" i="2"/>
  <c r="AP1209" i="2" s="1"/>
  <c r="AN194" i="2"/>
  <c r="AN197" i="2"/>
  <c r="AO647" i="2"/>
  <c r="AO650" i="2" s="1"/>
  <c r="AO648" i="2"/>
  <c r="AO649" i="2"/>
  <c r="AO172" i="4"/>
  <c r="AL10" i="2"/>
  <c r="AR430" i="2"/>
  <c r="AR441" i="2"/>
  <c r="AL200" i="2"/>
  <c r="AL198" i="2"/>
  <c r="AV86" i="1"/>
  <c r="V79" i="10"/>
  <c r="AV55" i="1"/>
  <c r="AW54" i="1"/>
  <c r="AM991" i="2"/>
  <c r="AM1305" i="2" s="1"/>
  <c r="AM949" i="2"/>
  <c r="AQ2" i="5"/>
  <c r="AQ2" i="4"/>
  <c r="AQ2" i="2"/>
  <c r="AQ2" i="10"/>
  <c r="AQ2" i="1"/>
  <c r="AR25" i="1"/>
  <c r="AW68" i="10"/>
  <c r="AN293" i="2"/>
  <c r="AN294" i="2" s="1"/>
  <c r="AM412" i="2"/>
  <c r="AN673" i="2"/>
  <c r="AN674" i="2" s="1"/>
  <c r="AN672" i="2"/>
  <c r="AN668" i="2" s="1"/>
  <c r="AN678" i="2" s="1"/>
  <c r="AN669" i="2"/>
  <c r="AN670" i="2" s="1"/>
  <c r="AO665" i="2"/>
  <c r="AO666" i="2"/>
  <c r="AK618" i="2"/>
  <c r="AK619" i="2" s="1"/>
  <c r="AL484" i="4"/>
  <c r="AL457" i="4"/>
  <c r="AL430" i="4"/>
  <c r="AL414" i="2"/>
  <c r="AL617" i="2" s="1"/>
  <c r="F213" i="7" l="1"/>
  <c r="D180" i="7"/>
  <c r="F49" i="7"/>
  <c r="F8" i="7"/>
  <c r="F218" i="7"/>
  <c r="F53" i="7"/>
  <c r="F45" i="7"/>
  <c r="AO56" i="4"/>
  <c r="AQ506" i="2"/>
  <c r="AQ505" i="2"/>
  <c r="AQ501" i="2"/>
  <c r="AQ502" i="2"/>
  <c r="AP503" i="2"/>
  <c r="AO966" i="2"/>
  <c r="AO498" i="2"/>
  <c r="AO55" i="4"/>
  <c r="AM996" i="2"/>
  <c r="AO970" i="2"/>
  <c r="AP493" i="2"/>
  <c r="AQ496" i="2"/>
  <c r="AQ491" i="2"/>
  <c r="AQ492" i="2"/>
  <c r="AQ495" i="2"/>
  <c r="AO977" i="2"/>
  <c r="AO967" i="2"/>
  <c r="AP411" i="2"/>
  <c r="AN396" i="2"/>
  <c r="AO395" i="2"/>
  <c r="AO387" i="2"/>
  <c r="AN388" i="2"/>
  <c r="AN386" i="2" s="1"/>
  <c r="AP439" i="2"/>
  <c r="AP440" i="2" s="1"/>
  <c r="AP445" i="2" s="1"/>
  <c r="AP346" i="2"/>
  <c r="AO350" i="2"/>
  <c r="AO351" i="2" s="1"/>
  <c r="AO39" i="4" s="1"/>
  <c r="AQ348" i="2"/>
  <c r="AQ345" i="2" s="1"/>
  <c r="AQ344" i="2"/>
  <c r="AP337" i="2"/>
  <c r="AO341" i="2"/>
  <c r="AO342" i="2" s="1"/>
  <c r="AO38" i="4" s="1"/>
  <c r="AQ335" i="2"/>
  <c r="AQ339" i="2"/>
  <c r="AQ336" i="2" s="1"/>
  <c r="AP328" i="2"/>
  <c r="AC1217" i="2"/>
  <c r="AD1218" i="2"/>
  <c r="AO332" i="2"/>
  <c r="AO333" i="2" s="1"/>
  <c r="AO37" i="4" s="1"/>
  <c r="AQ68" i="2"/>
  <c r="AQ326" i="2"/>
  <c r="AQ330" i="2"/>
  <c r="AQ327" i="2" s="1"/>
  <c r="AH27" i="4"/>
  <c r="S284" i="4"/>
  <c r="AP107" i="2"/>
  <c r="AP87" i="2"/>
  <c r="AM130" i="2"/>
  <c r="AM1291" i="2" s="1"/>
  <c r="AM485" i="4" s="1"/>
  <c r="AN128" i="2"/>
  <c r="AN471" i="2" s="1"/>
  <c r="AM517" i="2"/>
  <c r="AM473" i="2"/>
  <c r="AM527" i="2" s="1"/>
  <c r="AK575" i="2"/>
  <c r="AK576" i="2" s="1"/>
  <c r="AP67" i="2"/>
  <c r="AM6" i="4"/>
  <c r="AM93" i="4" s="1"/>
  <c r="AM236" i="4" s="1"/>
  <c r="AM68" i="1"/>
  <c r="AM25" i="4"/>
  <c r="AM638" i="2"/>
  <c r="AM1096" i="2"/>
  <c r="AM1189" i="2"/>
  <c r="AM1168" i="2"/>
  <c r="AM38" i="1"/>
  <c r="AM4" i="2"/>
  <c r="AM4" i="4"/>
  <c r="AM159" i="4"/>
  <c r="AM124" i="4"/>
  <c r="AM14" i="1"/>
  <c r="AM269" i="4"/>
  <c r="AM1269" i="2"/>
  <c r="AM14" i="4"/>
  <c r="AM1056" i="2"/>
  <c r="AM113" i="1"/>
  <c r="AM4" i="5"/>
  <c r="AM1" i="10"/>
  <c r="AM102" i="10"/>
  <c r="AM205" i="4"/>
  <c r="AM90" i="10"/>
  <c r="AM1" i="4"/>
  <c r="AM91" i="4"/>
  <c r="AM423" i="2"/>
  <c r="AM55" i="10"/>
  <c r="AM570" i="2"/>
  <c r="AM140" i="2"/>
  <c r="AM1" i="1"/>
  <c r="AM69" i="4"/>
  <c r="AM1" i="2"/>
  <c r="AM408" i="4"/>
  <c r="AM1142" i="2"/>
  <c r="AM1000" i="2"/>
  <c r="AM1" i="5"/>
  <c r="AM317" i="4"/>
  <c r="AM233" i="4"/>
  <c r="AM366" i="4"/>
  <c r="S247" i="4"/>
  <c r="S109" i="4"/>
  <c r="S333" i="4"/>
  <c r="AH98" i="4"/>
  <c r="S256" i="4"/>
  <c r="S207" i="4"/>
  <c r="S209" i="4" s="1"/>
  <c r="AK775" i="2"/>
  <c r="AK995" i="2" s="1"/>
  <c r="AP318" i="2"/>
  <c r="AI496" i="4"/>
  <c r="AI437" i="4"/>
  <c r="AO955" i="2"/>
  <c r="AN34" i="1"/>
  <c r="AN1" i="4" s="1"/>
  <c r="P490" i="4"/>
  <c r="P462" i="4"/>
  <c r="P435" i="4"/>
  <c r="AS464" i="2"/>
  <c r="AS474" i="2"/>
  <c r="AS454" i="2"/>
  <c r="AS484" i="2"/>
  <c r="AS520" i="2"/>
  <c r="V878" i="2"/>
  <c r="V969" i="2" s="1"/>
  <c r="U958" i="2"/>
  <c r="V770" i="2"/>
  <c r="AO29" i="1"/>
  <c r="AO28" i="1"/>
  <c r="AP26" i="1"/>
  <c r="AO27" i="1"/>
  <c r="U174" i="4"/>
  <c r="U1318" i="2"/>
  <c r="AN220" i="4"/>
  <c r="AO219" i="4"/>
  <c r="V982" i="2"/>
  <c r="V936" i="2"/>
  <c r="V881" i="2"/>
  <c r="V972" i="2" s="1"/>
  <c r="AO962" i="2"/>
  <c r="T1314" i="2"/>
  <c r="T1315" i="2" s="1"/>
  <c r="T495" i="4"/>
  <c r="T103" i="4"/>
  <c r="R492" i="4"/>
  <c r="R1328" i="2"/>
  <c r="AS311" i="2"/>
  <c r="AS368" i="2"/>
  <c r="AS359" i="2"/>
  <c r="AS320" i="2"/>
  <c r="AS380" i="2"/>
  <c r="U954" i="2"/>
  <c r="V766" i="2"/>
  <c r="AS235" i="2"/>
  <c r="AS259" i="2"/>
  <c r="U107" i="4"/>
  <c r="U65" i="4"/>
  <c r="AO952" i="2"/>
  <c r="AP357" i="2"/>
  <c r="AK204" i="2"/>
  <c r="AK28" i="4" s="1"/>
  <c r="AL202" i="2"/>
  <c r="AL276" i="2" s="1"/>
  <c r="AL592" i="2" s="1"/>
  <c r="AO951" i="2"/>
  <c r="AN956" i="2"/>
  <c r="AP852" i="2"/>
  <c r="AP842" i="2"/>
  <c r="AP846" i="2"/>
  <c r="AP837" i="2" s="1"/>
  <c r="AP78" i="4" s="1"/>
  <c r="AO848" i="2"/>
  <c r="AO849" i="2" s="1"/>
  <c r="AO847" i="2"/>
  <c r="AO843" i="2" s="1"/>
  <c r="AO853" i="2" s="1"/>
  <c r="AO844" i="2"/>
  <c r="AO845" i="2" s="1"/>
  <c r="AQ834" i="2"/>
  <c r="AQ831" i="2"/>
  <c r="AP840" i="2"/>
  <c r="AP841" i="2"/>
  <c r="AJ217" i="2"/>
  <c r="AJ206" i="2" s="1"/>
  <c r="AJ28" i="4"/>
  <c r="AN765" i="2"/>
  <c r="AP814" i="2"/>
  <c r="AP815" i="2"/>
  <c r="AO759" i="2"/>
  <c r="AO75" i="4" s="1"/>
  <c r="AL296" i="7" s="1"/>
  <c r="AQ808" i="2"/>
  <c r="AQ805" i="2"/>
  <c r="AP826" i="2"/>
  <c r="AP816" i="2"/>
  <c r="AP820" i="2"/>
  <c r="AP811" i="2" s="1"/>
  <c r="AP77" i="4" s="1"/>
  <c r="AO821" i="2"/>
  <c r="AO817" i="2" s="1"/>
  <c r="AO827" i="2" s="1"/>
  <c r="AO822" i="2"/>
  <c r="AO823" i="2" s="1"/>
  <c r="AO818" i="2"/>
  <c r="AO819" i="2" s="1"/>
  <c r="AP378" i="2"/>
  <c r="AQ779" i="2"/>
  <c r="AQ782" i="2"/>
  <c r="AO795" i="2"/>
  <c r="AO791" i="2" s="1"/>
  <c r="AO801" i="2" s="1"/>
  <c r="AO796" i="2"/>
  <c r="AO797" i="2" s="1"/>
  <c r="AO792" i="2"/>
  <c r="AO793" i="2" s="1"/>
  <c r="AP800" i="2"/>
  <c r="AP790" i="2"/>
  <c r="AP794" i="2"/>
  <c r="AP785" i="2" s="1"/>
  <c r="AP76" i="4" s="1"/>
  <c r="AP788" i="2"/>
  <c r="AP789" i="2"/>
  <c r="AP762" i="2"/>
  <c r="AP763" i="2"/>
  <c r="AP774" i="2"/>
  <c r="AP764" i="2"/>
  <c r="AP768" i="2"/>
  <c r="AQ756" i="2"/>
  <c r="AQ753" i="2"/>
  <c r="AO769" i="2"/>
  <c r="AN1299" i="2"/>
  <c r="AP69" i="2"/>
  <c r="AK416" i="2"/>
  <c r="AK1322" i="2" s="1"/>
  <c r="AM52" i="2"/>
  <c r="AN64" i="2"/>
  <c r="AM51" i="2"/>
  <c r="AO7" i="4"/>
  <c r="AQ61" i="2"/>
  <c r="AQ49" i="2" s="1"/>
  <c r="AQ58" i="2"/>
  <c r="AQ47" i="2"/>
  <c r="AP50" i="2"/>
  <c r="AO746" i="2"/>
  <c r="AN627" i="2"/>
  <c r="AN626" i="2" s="1"/>
  <c r="AN184" i="4" s="1"/>
  <c r="AO63" i="2"/>
  <c r="AP309" i="2"/>
  <c r="AB192" i="4"/>
  <c r="AB222" i="4" s="1"/>
  <c r="AI238" i="4"/>
  <c r="AJ102" i="4"/>
  <c r="AI98" i="4"/>
  <c r="AP742" i="2"/>
  <c r="AP944" i="2" s="1"/>
  <c r="AJ48" i="4"/>
  <c r="AK97" i="4"/>
  <c r="AM100" i="4"/>
  <c r="AM96" i="4"/>
  <c r="AM32" i="4"/>
  <c r="AB1259" i="2"/>
  <c r="AB112" i="4" s="1"/>
  <c r="AB241" i="4" s="1"/>
  <c r="AP366" i="2"/>
  <c r="AA208" i="4"/>
  <c r="AA222" i="4"/>
  <c r="AA195" i="4"/>
  <c r="AB1257" i="2"/>
  <c r="AC1242" i="2"/>
  <c r="AB212" i="4"/>
  <c r="AB373" i="4"/>
  <c r="AB276" i="4"/>
  <c r="AC1251" i="2"/>
  <c r="AC108" i="4" s="1"/>
  <c r="AC1234" i="2"/>
  <c r="AC1232" i="2" s="1"/>
  <c r="AQ1235" i="2"/>
  <c r="AP743" i="2"/>
  <c r="AP945" i="2" s="1"/>
  <c r="AQ737" i="2"/>
  <c r="AQ741" i="2" s="1"/>
  <c r="AQ744" i="2" s="1"/>
  <c r="AQ946" i="2" s="1"/>
  <c r="AO963" i="2"/>
  <c r="AO139" i="4" s="1"/>
  <c r="AN934" i="2"/>
  <c r="AN941" i="2" s="1"/>
  <c r="AN985" i="2"/>
  <c r="AP915" i="2"/>
  <c r="AP909" i="2"/>
  <c r="AP899" i="2" s="1"/>
  <c r="AP82" i="4" s="1"/>
  <c r="AO928" i="2"/>
  <c r="AO85" i="4" s="1"/>
  <c r="AL306" i="7" s="1"/>
  <c r="AO984" i="2"/>
  <c r="AO978" i="2" s="1"/>
  <c r="AO140" i="4" s="1"/>
  <c r="AP902" i="2"/>
  <c r="AP904" i="2"/>
  <c r="AP905" i="2"/>
  <c r="AQ890" i="2"/>
  <c r="AQ896" i="2"/>
  <c r="AO910" i="2"/>
  <c r="AO906" i="2" s="1"/>
  <c r="AO916" i="2" s="1"/>
  <c r="AO911" i="2"/>
  <c r="AO912" i="2" s="1"/>
  <c r="AO907" i="2"/>
  <c r="AO908" i="2" s="1"/>
  <c r="AL458" i="4"/>
  <c r="AL431" i="4"/>
  <c r="AQ925" i="2"/>
  <c r="AQ923" i="2"/>
  <c r="AP931" i="2"/>
  <c r="AP932" i="2"/>
  <c r="AP980" i="2" s="1"/>
  <c r="AP940" i="2"/>
  <c r="AP988" i="2" s="1"/>
  <c r="AP933" i="2"/>
  <c r="AP981" i="2" s="1"/>
  <c r="AP937" i="2"/>
  <c r="AO938" i="2"/>
  <c r="AN123" i="2"/>
  <c r="AN124" i="2" s="1"/>
  <c r="AO869" i="2"/>
  <c r="AO81" i="4" s="1"/>
  <c r="AL302" i="7" s="1"/>
  <c r="AN876" i="2"/>
  <c r="AN886" i="2" s="1"/>
  <c r="AL131" i="2"/>
  <c r="AM112" i="2"/>
  <c r="AP109" i="2"/>
  <c r="AO110" i="2"/>
  <c r="AO10" i="4" s="1"/>
  <c r="AQ866" i="2"/>
  <c r="AQ860" i="2"/>
  <c r="AO880" i="2"/>
  <c r="AP872" i="2"/>
  <c r="AP874" i="2"/>
  <c r="AP966" i="2" s="1"/>
  <c r="AP875" i="2"/>
  <c r="AP885" i="2"/>
  <c r="AP879" i="2"/>
  <c r="AL92" i="2"/>
  <c r="AL133" i="2" s="1"/>
  <c r="AL91" i="2"/>
  <c r="AM91" i="2"/>
  <c r="AN103" i="2"/>
  <c r="AN104" i="2" s="1"/>
  <c r="AM243" i="2"/>
  <c r="AM219" i="2"/>
  <c r="AM221" i="2" s="1"/>
  <c r="AO90" i="2"/>
  <c r="AO9" i="4" s="1"/>
  <c r="AP89" i="2"/>
  <c r="AJ559" i="2"/>
  <c r="AI562" i="2"/>
  <c r="AI564" i="2" s="1"/>
  <c r="AJ560" i="2"/>
  <c r="AJ552" i="2"/>
  <c r="AJ566" i="2" s="1"/>
  <c r="AL519" i="2"/>
  <c r="AK524" i="2"/>
  <c r="AK554" i="2" s="1"/>
  <c r="AK1302" i="2" s="1"/>
  <c r="AK553" i="2"/>
  <c r="AK565" i="2" s="1"/>
  <c r="AK61" i="4"/>
  <c r="AK60" i="4" s="1"/>
  <c r="AK102" i="4" s="1"/>
  <c r="AJ565" i="2"/>
  <c r="AJ94" i="4"/>
  <c r="AJ98" i="4" s="1"/>
  <c r="AJ536" i="2"/>
  <c r="AJ538" i="2" s="1"/>
  <c r="AK526" i="2"/>
  <c r="AK534" i="2"/>
  <c r="AE280" i="2"/>
  <c r="AL533" i="2"/>
  <c r="AL478" i="2"/>
  <c r="AL528" i="2" s="1"/>
  <c r="AL53" i="4"/>
  <c r="AL50" i="4" s="1"/>
  <c r="AG270" i="2"/>
  <c r="AI265" i="2"/>
  <c r="AI253" i="2" s="1"/>
  <c r="AH278" i="2"/>
  <c r="AH604" i="2" s="1"/>
  <c r="AH605" i="2" s="1"/>
  <c r="AH606" i="2" s="1"/>
  <c r="AI30" i="4"/>
  <c r="AI27" i="4" s="1"/>
  <c r="AG256" i="2"/>
  <c r="AG258" i="2" s="1"/>
  <c r="AG273" i="2" s="1"/>
  <c r="AG127" i="4" s="1"/>
  <c r="AI264" i="2"/>
  <c r="AI274" i="2" s="1"/>
  <c r="AI1292" i="2" s="1"/>
  <c r="AF279" i="2"/>
  <c r="AF611" i="2" s="1"/>
  <c r="AF612" i="2" s="1"/>
  <c r="AJ587" i="2"/>
  <c r="AJ588" i="2" s="1"/>
  <c r="AE609" i="2"/>
  <c r="AE613" i="2"/>
  <c r="AJ252" i="2"/>
  <c r="AJ30" i="4" s="1"/>
  <c r="AJ277" i="2"/>
  <c r="AJ598" i="2" s="1"/>
  <c r="AJ599" i="2" s="1"/>
  <c r="AD163" i="4"/>
  <c r="AD631" i="2"/>
  <c r="AI262" i="4"/>
  <c r="AH432" i="4"/>
  <c r="AH459" i="4"/>
  <c r="AH486" i="4"/>
  <c r="AK246" i="2"/>
  <c r="AK275" i="2" s="1"/>
  <c r="AK586" i="2" s="1"/>
  <c r="AK587" i="2" s="1"/>
  <c r="AK248" i="2"/>
  <c r="AK277" i="2" s="1"/>
  <c r="AH253" i="2"/>
  <c r="AH272" i="2" s="1"/>
  <c r="AH607" i="2" s="1"/>
  <c r="AH269" i="2"/>
  <c r="AL245" i="2"/>
  <c r="AH232" i="2"/>
  <c r="AH234" i="2" s="1"/>
  <c r="AK268" i="2"/>
  <c r="AK95" i="4" s="1"/>
  <c r="AK237" i="4" s="1"/>
  <c r="AI229" i="2"/>
  <c r="AK228" i="2"/>
  <c r="AK240" i="2" s="1"/>
  <c r="AJ29" i="4"/>
  <c r="AJ241" i="2"/>
  <c r="AI232" i="2" s="1"/>
  <c r="AJ240" i="2"/>
  <c r="AL224" i="2"/>
  <c r="AL222" i="2"/>
  <c r="AG602" i="2"/>
  <c r="AG183" i="4" s="1"/>
  <c r="AQ262" i="2"/>
  <c r="AQ260" i="2"/>
  <c r="AQ244" i="2"/>
  <c r="AQ250" i="2"/>
  <c r="AF127" i="4"/>
  <c r="AQ238" i="2"/>
  <c r="AQ220" i="2"/>
  <c r="AQ236" i="2"/>
  <c r="AQ226" i="2"/>
  <c r="AO488" i="2"/>
  <c r="AO54" i="4"/>
  <c r="AQ485" i="2"/>
  <c r="AQ486" i="2"/>
  <c r="AQ482" i="2"/>
  <c r="AQ475" i="2"/>
  <c r="AQ476" i="2"/>
  <c r="AQ472" i="2"/>
  <c r="AO468" i="2"/>
  <c r="AO52" i="4"/>
  <c r="AQ465" i="2"/>
  <c r="AQ466" i="2"/>
  <c r="AQ462" i="2"/>
  <c r="AP463" i="2"/>
  <c r="AL416" i="2"/>
  <c r="AL1322" i="2" s="1"/>
  <c r="AQ521" i="2"/>
  <c r="AQ522" i="2"/>
  <c r="AQ518" i="2"/>
  <c r="AO458" i="2"/>
  <c r="AO51" i="4"/>
  <c r="AM529" i="2"/>
  <c r="AP453" i="2"/>
  <c r="AQ455" i="2"/>
  <c r="AQ456" i="2"/>
  <c r="AQ452" i="2"/>
  <c r="AN402" i="2"/>
  <c r="AN409" i="2" s="1"/>
  <c r="AN384" i="2"/>
  <c r="AN46" i="4" s="1"/>
  <c r="AN45" i="4" s="1"/>
  <c r="AM84" i="2"/>
  <c r="AM129" i="2" s="1"/>
  <c r="AN8" i="4"/>
  <c r="AN6" i="4" s="1"/>
  <c r="AI599" i="2"/>
  <c r="AI596" i="2" s="1"/>
  <c r="AI164" i="4" s="1"/>
  <c r="AI261" i="4" s="1"/>
  <c r="AK397" i="2"/>
  <c r="AJ401" i="2"/>
  <c r="AN315" i="2"/>
  <c r="AN35" i="4" s="1"/>
  <c r="AN34" i="4" s="1"/>
  <c r="AJ464" i="4"/>
  <c r="AJ496" i="4"/>
  <c r="AJ437" i="4"/>
  <c r="AO70" i="2"/>
  <c r="AN83" i="2"/>
  <c r="AM413" i="2"/>
  <c r="AM416" i="2" s="1"/>
  <c r="AM1322" i="2" s="1"/>
  <c r="AO323" i="2"/>
  <c r="AO324" i="2" s="1"/>
  <c r="AO36" i="4" s="1"/>
  <c r="AQ317" i="2"/>
  <c r="AQ321" i="2"/>
  <c r="AQ308" i="2"/>
  <c r="AQ312" i="2"/>
  <c r="AO314" i="2"/>
  <c r="AQ377" i="2"/>
  <c r="AQ381" i="2"/>
  <c r="AO383" i="2"/>
  <c r="AO404" i="2" s="1"/>
  <c r="AQ365" i="2"/>
  <c r="AQ369" i="2"/>
  <c r="AO371" i="2"/>
  <c r="AO372" i="2" s="1"/>
  <c r="AO43" i="4" s="1"/>
  <c r="AN363" i="2"/>
  <c r="AN42" i="4" s="1"/>
  <c r="AN41" i="4" s="1"/>
  <c r="AQ356" i="2"/>
  <c r="AQ360" i="2"/>
  <c r="AO362" i="2"/>
  <c r="AS117" i="2"/>
  <c r="AS97" i="2"/>
  <c r="AR57" i="10"/>
  <c r="AR62" i="10"/>
  <c r="AG1200" i="2"/>
  <c r="AH1199" i="2" s="1"/>
  <c r="AH1200" i="2" s="1"/>
  <c r="AH1198" i="2" s="1"/>
  <c r="AP1280" i="2"/>
  <c r="AP1282" i="2" s="1"/>
  <c r="AQ121" i="2"/>
  <c r="AQ118" i="2"/>
  <c r="AQ108" i="2"/>
  <c r="AQ101" i="2"/>
  <c r="AQ98" i="2"/>
  <c r="AQ88" i="2"/>
  <c r="AJ572" i="2"/>
  <c r="AJ162" i="4" s="1"/>
  <c r="AK158" i="2"/>
  <c r="AL1310" i="2"/>
  <c r="AK1118" i="2"/>
  <c r="AK1119" i="2" s="1"/>
  <c r="AL1118" i="2" s="1"/>
  <c r="AH210" i="2"/>
  <c r="AM190" i="2"/>
  <c r="AM178" i="2" s="1"/>
  <c r="AN177" i="2"/>
  <c r="AN189" i="2" s="1"/>
  <c r="AP28" i="2"/>
  <c r="AP41" i="2" s="1"/>
  <c r="AL153" i="2"/>
  <c r="AL154" i="2"/>
  <c r="AP429" i="2"/>
  <c r="AP434" i="2" s="1"/>
  <c r="AM165" i="2"/>
  <c r="AM153" i="2" s="1"/>
  <c r="AP145" i="2"/>
  <c r="AP146" i="2" s="1"/>
  <c r="AN152" i="2"/>
  <c r="AN164" i="2" s="1"/>
  <c r="AL418" i="2"/>
  <c r="AO197" i="2"/>
  <c r="AO194" i="2"/>
  <c r="AP289" i="2"/>
  <c r="AI117" i="10"/>
  <c r="AI115" i="10" s="1"/>
  <c r="AJ112" i="10" s="1"/>
  <c r="AL374" i="4"/>
  <c r="AL277" i="4"/>
  <c r="AL324" i="4"/>
  <c r="AL1184" i="2"/>
  <c r="AL1264" i="2"/>
  <c r="AX106" i="10"/>
  <c r="AK109" i="10"/>
  <c r="AI1107" i="2"/>
  <c r="AJ1106" i="2" s="1"/>
  <c r="AO702" i="2"/>
  <c r="AO698" i="2" s="1"/>
  <c r="AO708" i="2" s="1"/>
  <c r="AO703" i="2"/>
  <c r="AO704" i="2" s="1"/>
  <c r="AO699" i="2"/>
  <c r="AO700" i="2" s="1"/>
  <c r="AX75" i="10"/>
  <c r="AT292" i="4"/>
  <c r="AT341" i="4"/>
  <c r="AT383" i="4"/>
  <c r="AT47" i="1"/>
  <c r="AT57" i="2" s="1"/>
  <c r="AT49" i="1"/>
  <c r="AT50" i="1"/>
  <c r="AT48" i="1"/>
  <c r="AU43" i="1"/>
  <c r="Y86" i="10"/>
  <c r="AO673" i="2"/>
  <c r="AO674" i="2" s="1"/>
  <c r="AO672" i="2"/>
  <c r="AO668" i="2" s="1"/>
  <c r="AO678" i="2" s="1"/>
  <c r="AO669" i="2"/>
  <c r="AO670" i="2" s="1"/>
  <c r="AM138" i="4"/>
  <c r="AM144" i="4" s="1"/>
  <c r="AM990" i="2"/>
  <c r="AP1274" i="2"/>
  <c r="AP1276" i="2" s="1"/>
  <c r="AP298" i="2"/>
  <c r="AO148" i="2"/>
  <c r="AO146" i="2"/>
  <c r="AM200" i="2"/>
  <c r="AM198" i="2"/>
  <c r="AS299" i="2"/>
  <c r="AS290" i="2"/>
  <c r="AN29" i="2"/>
  <c r="AR2" i="5"/>
  <c r="AR2" i="4"/>
  <c r="AR2" i="2"/>
  <c r="AR2" i="10"/>
  <c r="AR2" i="1"/>
  <c r="AS25" i="1"/>
  <c r="AP170" i="2"/>
  <c r="AO21" i="2"/>
  <c r="AO503" i="4"/>
  <c r="AO727" i="2"/>
  <c r="AO723" i="2" s="1"/>
  <c r="AO730" i="2" s="1"/>
  <c r="AO724" i="2"/>
  <c r="AO725" i="2" s="1"/>
  <c r="Q493" i="4"/>
  <c r="AS184" i="2"/>
  <c r="AS159" i="2"/>
  <c r="AS211" i="2"/>
  <c r="AM30" i="2"/>
  <c r="AN30" i="2" s="1"/>
  <c r="AJ590" i="2"/>
  <c r="AJ165" i="4" s="1"/>
  <c r="AX113" i="10"/>
  <c r="AS441" i="2"/>
  <c r="AS430" i="2"/>
  <c r="AN991" i="2"/>
  <c r="AN1305" i="2" s="1"/>
  <c r="AN949" i="2"/>
  <c r="AO652" i="2"/>
  <c r="AL497" i="4"/>
  <c r="AO171" i="2"/>
  <c r="AO173" i="2"/>
  <c r="AY82" i="10"/>
  <c r="AP665" i="2"/>
  <c r="AP666" i="2"/>
  <c r="AP503" i="4"/>
  <c r="AP172" i="4"/>
  <c r="AN22" i="2"/>
  <c r="AN10" i="2" s="1"/>
  <c r="AO302" i="2"/>
  <c r="AO303" i="2" s="1"/>
  <c r="AW86" i="1"/>
  <c r="AP694" i="2"/>
  <c r="AP696" i="2"/>
  <c r="AP697" i="2"/>
  <c r="AO41" i="2"/>
  <c r="AR80" i="1"/>
  <c r="AS81" i="1"/>
  <c r="AJ594" i="2"/>
  <c r="AR1091" i="2"/>
  <c r="AR1090" i="2" s="1"/>
  <c r="AQ1092" i="2"/>
  <c r="AQ146" i="1"/>
  <c r="AQ59" i="1"/>
  <c r="AQ120" i="1"/>
  <c r="AQ45" i="1"/>
  <c r="AQ44" i="1"/>
  <c r="AQ123" i="1"/>
  <c r="AQ140" i="1"/>
  <c r="AQ131" i="1"/>
  <c r="AQ53" i="1"/>
  <c r="AP707" i="2"/>
  <c r="AP701" i="2"/>
  <c r="AP691" i="2" s="1"/>
  <c r="AP677" i="2"/>
  <c r="AP667" i="2"/>
  <c r="AP671" i="2"/>
  <c r="AP662" i="2" s="1"/>
  <c r="AP729" i="2"/>
  <c r="AP722" i="2"/>
  <c r="AP726" i="2"/>
  <c r="AP717" i="2" s="1"/>
  <c r="AK593" i="2"/>
  <c r="AK594" i="2" s="1"/>
  <c r="AW61" i="1"/>
  <c r="AX60" i="1"/>
  <c r="W77" i="10"/>
  <c r="W78" i="10" s="1"/>
  <c r="AP647" i="2"/>
  <c r="AP650" i="2" s="1"/>
  <c r="AP648" i="2"/>
  <c r="AP649" i="2"/>
  <c r="AR87" i="1"/>
  <c r="AQ91" i="1"/>
  <c r="Q1327" i="2"/>
  <c r="AS77" i="2"/>
  <c r="AS16" i="2"/>
  <c r="AS35" i="2"/>
  <c r="AK615" i="2"/>
  <c r="AK186" i="4" s="1"/>
  <c r="AM430" i="4"/>
  <c r="AM457" i="4"/>
  <c r="AM484" i="4"/>
  <c r="AM414" i="2"/>
  <c r="AM617" i="2" s="1"/>
  <c r="AX68" i="10"/>
  <c r="AQ136" i="10"/>
  <c r="AQ188" i="4" s="1"/>
  <c r="AQ93" i="10"/>
  <c r="AQ168" i="4" s="1"/>
  <c r="AQ135" i="10"/>
  <c r="AQ133" i="10"/>
  <c r="AQ65" i="10"/>
  <c r="AQ97" i="10"/>
  <c r="AQ176" i="4" s="1"/>
  <c r="AQ70" i="10"/>
  <c r="AQ71" i="10" s="1"/>
  <c r="AQ72" i="10" s="1"/>
  <c r="AL618" i="2"/>
  <c r="AL619" i="2" s="1"/>
  <c r="AM410" i="2"/>
  <c r="AM393" i="2"/>
  <c r="AQ1012" i="2"/>
  <c r="AQ1011" i="2" s="1"/>
  <c r="AQ427" i="2"/>
  <c r="AQ296" i="2"/>
  <c r="AQ287" i="2"/>
  <c r="AQ162" i="2"/>
  <c r="AQ78" i="2"/>
  <c r="AQ8" i="2"/>
  <c r="AQ1273" i="2"/>
  <c r="AQ1178" i="2"/>
  <c r="AQ197" i="4" s="1"/>
  <c r="AQ1146" i="2"/>
  <c r="AQ1147" i="2" s="1"/>
  <c r="AQ1033" i="2"/>
  <c r="AQ682" i="2"/>
  <c r="AQ557" i="2"/>
  <c r="AQ36" i="2"/>
  <c r="AQ26" i="2"/>
  <c r="AQ25" i="2" s="1"/>
  <c r="AQ17" i="2"/>
  <c r="AQ7" i="2"/>
  <c r="AQ1281" i="2"/>
  <c r="AQ1272" i="2"/>
  <c r="AQ1032" i="2"/>
  <c r="AQ1031" i="2" s="1"/>
  <c r="AQ659" i="2"/>
  <c r="AQ628" i="2"/>
  <c r="AQ629" i="2" s="1"/>
  <c r="AQ555" i="2"/>
  <c r="AQ544" i="2"/>
  <c r="AQ443" i="2"/>
  <c r="AQ407" i="2"/>
  <c r="AQ214" i="2"/>
  <c r="AQ160" i="2"/>
  <c r="AQ1275" i="2"/>
  <c r="AQ1220" i="2"/>
  <c r="AQ1221" i="2" s="1"/>
  <c r="AQ1201" i="2"/>
  <c r="AQ1202" i="2" s="1"/>
  <c r="AQ1120" i="2"/>
  <c r="AQ1121" i="2" s="1"/>
  <c r="AQ1013" i="2"/>
  <c r="AQ1014" i="2" s="1"/>
  <c r="AQ714" i="2"/>
  <c r="AQ643" i="2"/>
  <c r="AQ623" i="2"/>
  <c r="AQ624" i="2" s="1"/>
  <c r="AQ542" i="2"/>
  <c r="AQ81" i="2"/>
  <c r="AQ712" i="2"/>
  <c r="AQ438" i="2"/>
  <c r="AQ437" i="2" s="1"/>
  <c r="AQ1150" i="2"/>
  <c r="AQ1151" i="2" s="1"/>
  <c r="AQ1108" i="2"/>
  <c r="AQ1109" i="2" s="1"/>
  <c r="AQ1026" i="2"/>
  <c r="AQ656" i="2"/>
  <c r="AQ432" i="2"/>
  <c r="AQ391" i="2"/>
  <c r="AQ39" i="2"/>
  <c r="AQ27" i="2" s="1"/>
  <c r="AQ1037" i="2"/>
  <c r="AQ389" i="2"/>
  <c r="AQ212" i="2"/>
  <c r="AQ185" i="2"/>
  <c r="AQ19" i="2"/>
  <c r="AQ1335" i="2"/>
  <c r="AQ1028" i="2"/>
  <c r="AQ1279" i="2"/>
  <c r="AQ431" i="2"/>
  <c r="AQ300" i="2"/>
  <c r="AQ297" i="2" s="1"/>
  <c r="AQ187" i="2"/>
  <c r="AQ169" i="2" s="1"/>
  <c r="AQ1278" i="2"/>
  <c r="AQ1136" i="2"/>
  <c r="AQ531" i="2"/>
  <c r="AQ144" i="2"/>
  <c r="AQ688" i="2"/>
  <c r="AQ428" i="2"/>
  <c r="AQ143" i="2"/>
  <c r="AQ405" i="2"/>
  <c r="AQ288" i="2"/>
  <c r="AQ1017" i="2"/>
  <c r="AQ291" i="2"/>
  <c r="AQ168" i="2"/>
  <c r="AQ167" i="2" s="1"/>
  <c r="AQ442" i="2"/>
  <c r="AQ150" i="2"/>
  <c r="AQ175" i="2"/>
  <c r="AQ1208" i="2"/>
  <c r="AQ1209" i="2" s="1"/>
  <c r="AW55" i="1"/>
  <c r="AX54" i="1"/>
  <c r="AL128" i="4"/>
  <c r="AQ298" i="4"/>
  <c r="AQ389" i="4"/>
  <c r="AQ283" i="4"/>
  <c r="AQ273" i="4"/>
  <c r="AQ347" i="4"/>
  <c r="AQ199" i="4"/>
  <c r="AQ189" i="4"/>
  <c r="AQ384" i="4"/>
  <c r="AQ342" i="4"/>
  <c r="AQ321" i="4"/>
  <c r="AQ293" i="4"/>
  <c r="AQ169" i="4"/>
  <c r="AQ370" i="4"/>
  <c r="AQ178" i="4"/>
  <c r="AQ332" i="4"/>
  <c r="AQ194" i="4"/>
  <c r="AQ412" i="4"/>
  <c r="AN19" i="4"/>
  <c r="AN18" i="4" s="1"/>
  <c r="AN196" i="2"/>
  <c r="AP1038" i="2"/>
  <c r="AP1039" i="2"/>
  <c r="AP9" i="2"/>
  <c r="AP720" i="2"/>
  <c r="AP721" i="2"/>
  <c r="AN177" i="4"/>
  <c r="AS1063" i="2"/>
  <c r="AS1062" i="2" s="1"/>
  <c r="AR1061" i="2"/>
  <c r="AM399" i="2"/>
  <c r="AM1307" i="2"/>
  <c r="AN412" i="2"/>
  <c r="AN539" i="2"/>
  <c r="AN546" i="2"/>
  <c r="AM549" i="2"/>
  <c r="AM551" i="2" s="1"/>
  <c r="AN547" i="2"/>
  <c r="AS1083" i="2"/>
  <c r="AS1082" i="2" s="1"/>
  <c r="AR1084" i="2"/>
  <c r="F147" i="7" l="1"/>
  <c r="AM303" i="7"/>
  <c r="F143" i="7"/>
  <c r="AM299" i="7"/>
  <c r="F141" i="7"/>
  <c r="AM297" i="7"/>
  <c r="F142" i="7"/>
  <c r="AM298" i="7"/>
  <c r="F23" i="7"/>
  <c r="F37" i="7"/>
  <c r="F71" i="7"/>
  <c r="F41" i="7"/>
  <c r="F54" i="7"/>
  <c r="F13" i="7"/>
  <c r="F64" i="7"/>
  <c r="F9" i="7"/>
  <c r="F60" i="7"/>
  <c r="F50" i="7"/>
  <c r="F18" i="7"/>
  <c r="AP332" i="2"/>
  <c r="AP333" i="2" s="1"/>
  <c r="AP37" i="4" s="1"/>
  <c r="F46" i="7"/>
  <c r="AQ439" i="2"/>
  <c r="AQ440" i="2" s="1"/>
  <c r="AQ445" i="2" s="1"/>
  <c r="AP508" i="2"/>
  <c r="AP56" i="4"/>
  <c r="AP967" i="2"/>
  <c r="AQ503" i="2"/>
  <c r="AP970" i="2"/>
  <c r="AR506" i="2"/>
  <c r="AR505" i="2"/>
  <c r="AR502" i="2"/>
  <c r="AR501" i="2"/>
  <c r="AP977" i="2"/>
  <c r="AP498" i="2"/>
  <c r="AP55" i="4"/>
  <c r="AR492" i="2"/>
  <c r="AR496" i="2"/>
  <c r="AR491" i="2"/>
  <c r="AR495" i="2"/>
  <c r="AQ411" i="2"/>
  <c r="AO971" i="2"/>
  <c r="AQ493" i="2"/>
  <c r="AN996" i="2"/>
  <c r="AO396" i="2"/>
  <c r="AO394" i="2" s="1"/>
  <c r="AO388" i="2"/>
  <c r="AO386" i="2" s="1"/>
  <c r="AO393" i="2" s="1"/>
  <c r="AR348" i="2"/>
  <c r="AR345" i="2" s="1"/>
  <c r="AR344" i="2"/>
  <c r="AQ346" i="2"/>
  <c r="AP350" i="2"/>
  <c r="AP351" i="2" s="1"/>
  <c r="AP39" i="4" s="1"/>
  <c r="AQ337" i="2"/>
  <c r="AR339" i="2"/>
  <c r="AR336" i="2" s="1"/>
  <c r="AR335" i="2"/>
  <c r="AP341" i="2"/>
  <c r="AP342" i="2" s="1"/>
  <c r="AP38" i="4" s="1"/>
  <c r="AR68" i="2"/>
  <c r="AR326" i="2"/>
  <c r="AR330" i="2"/>
  <c r="AR327" i="2" s="1"/>
  <c r="AP481" i="2"/>
  <c r="AP483" i="2" s="1"/>
  <c r="AP488" i="2" s="1"/>
  <c r="AD1219" i="2"/>
  <c r="AE1218" i="2" s="1"/>
  <c r="AE1219" i="2" s="1"/>
  <c r="AF1218" i="2" s="1"/>
  <c r="AF1219" i="2" s="1"/>
  <c r="AF1217" i="2" s="1"/>
  <c r="AQ328" i="2"/>
  <c r="AJ238" i="4"/>
  <c r="AK572" i="2"/>
  <c r="AK162" i="4" s="1"/>
  <c r="AK260" i="4" s="1"/>
  <c r="S115" i="4"/>
  <c r="AO128" i="2"/>
  <c r="AO471" i="2" s="1"/>
  <c r="AQ107" i="2"/>
  <c r="AQ87" i="2"/>
  <c r="AN130" i="2"/>
  <c r="AN1291" i="2" s="1"/>
  <c r="AN485" i="4" s="1"/>
  <c r="AN51" i="2"/>
  <c r="AN517" i="2"/>
  <c r="AQ67" i="2"/>
  <c r="AM239" i="4"/>
  <c r="AN93" i="4"/>
  <c r="AN236" i="4" s="1"/>
  <c r="AN112" i="2"/>
  <c r="AM92" i="2"/>
  <c r="AN92" i="2" s="1"/>
  <c r="AQ318" i="2"/>
  <c r="AP319" i="2"/>
  <c r="U240" i="4"/>
  <c r="T104" i="4"/>
  <c r="AP310" i="2"/>
  <c r="AL775" i="2"/>
  <c r="AL995" i="2" s="1"/>
  <c r="AN14" i="1"/>
  <c r="AN124" i="4"/>
  <c r="AN14" i="4"/>
  <c r="AN1189" i="2"/>
  <c r="AN113" i="1"/>
  <c r="AN4" i="4"/>
  <c r="AN68" i="1"/>
  <c r="AN233" i="4"/>
  <c r="AN423" i="2"/>
  <c r="AN317" i="4"/>
  <c r="AN1" i="5"/>
  <c r="AN102" i="10"/>
  <c r="AN408" i="4"/>
  <c r="AN4" i="2"/>
  <c r="AN1" i="2"/>
  <c r="AN4" i="5"/>
  <c r="AN269" i="4"/>
  <c r="AN284" i="2"/>
  <c r="AN205" i="4"/>
  <c r="AN1096" i="2"/>
  <c r="AN90" i="10"/>
  <c r="AN366" i="4"/>
  <c r="AN1269" i="2"/>
  <c r="AN1" i="10"/>
  <c r="AP962" i="2"/>
  <c r="AO34" i="1"/>
  <c r="AO159" i="4" s="1"/>
  <c r="AN55" i="10"/>
  <c r="AN1000" i="2"/>
  <c r="AN38" i="1"/>
  <c r="AN159" i="4"/>
  <c r="AN1056" i="2"/>
  <c r="AP951" i="2"/>
  <c r="AN638" i="2"/>
  <c r="AN25" i="4"/>
  <c r="AN140" i="2"/>
  <c r="AN91" i="4"/>
  <c r="AN570" i="2"/>
  <c r="AO142" i="4"/>
  <c r="AN1142" i="2"/>
  <c r="AN69" i="4"/>
  <c r="AN1168" i="2"/>
  <c r="AN1" i="1"/>
  <c r="AP358" i="2"/>
  <c r="AQ357" i="2"/>
  <c r="U1316" i="2"/>
  <c r="U1313" i="2" s="1"/>
  <c r="U173" i="4"/>
  <c r="U179" i="4" s="1"/>
  <c r="U264" i="4" s="1"/>
  <c r="V882" i="2"/>
  <c r="V973" i="2" s="1"/>
  <c r="W877" i="2"/>
  <c r="W968" i="2" s="1"/>
  <c r="AK217" i="2"/>
  <c r="AK206" i="2" s="1"/>
  <c r="AP955" i="2"/>
  <c r="R1330" i="2"/>
  <c r="R1331" i="2"/>
  <c r="R1332" i="2" s="1"/>
  <c r="AT235" i="2"/>
  <c r="AT259" i="2"/>
  <c r="AT311" i="2"/>
  <c r="AT368" i="2"/>
  <c r="AT359" i="2"/>
  <c r="AT320" i="2"/>
  <c r="AT380" i="2"/>
  <c r="AP27" i="1"/>
  <c r="AQ26" i="1"/>
  <c r="AP29" i="1"/>
  <c r="AP28" i="1"/>
  <c r="W935" i="2"/>
  <c r="V983" i="2"/>
  <c r="V175" i="4" s="1"/>
  <c r="AT484" i="2"/>
  <c r="AT520" i="2"/>
  <c r="AT464" i="2"/>
  <c r="AT474" i="2"/>
  <c r="AT454" i="2"/>
  <c r="AQ1029" i="2"/>
  <c r="AO956" i="2"/>
  <c r="V953" i="2"/>
  <c r="V63" i="4" s="1"/>
  <c r="V767" i="2"/>
  <c r="T436" i="4"/>
  <c r="T494" i="4"/>
  <c r="T463" i="4"/>
  <c r="AP219" i="4"/>
  <c r="AO220" i="4"/>
  <c r="V957" i="2"/>
  <c r="V771" i="2"/>
  <c r="AK216" i="2"/>
  <c r="AM202" i="2"/>
  <c r="AM276" i="2" s="1"/>
  <c r="AM592" i="2" s="1"/>
  <c r="AL204" i="2"/>
  <c r="AL217" i="2" s="1"/>
  <c r="AJ205" i="2"/>
  <c r="AI208" i="2"/>
  <c r="AI210" i="2" s="1"/>
  <c r="AP379" i="2"/>
  <c r="AP952" i="2"/>
  <c r="AQ378" i="2"/>
  <c r="AP847" i="2"/>
  <c r="AP843" i="2" s="1"/>
  <c r="AP853" i="2" s="1"/>
  <c r="AP848" i="2"/>
  <c r="AP849" i="2" s="1"/>
  <c r="AP844" i="2"/>
  <c r="AP845" i="2" s="1"/>
  <c r="AQ840" i="2"/>
  <c r="AQ841" i="2"/>
  <c r="AQ852" i="2"/>
  <c r="AQ842" i="2"/>
  <c r="AQ846" i="2"/>
  <c r="AQ837" i="2" s="1"/>
  <c r="AQ78" i="4" s="1"/>
  <c r="AN299" i="7" s="1"/>
  <c r="AR834" i="2"/>
  <c r="AR831" i="2"/>
  <c r="AQ814" i="2"/>
  <c r="AQ815" i="2"/>
  <c r="AQ826" i="2"/>
  <c r="AQ816" i="2"/>
  <c r="AQ820" i="2"/>
  <c r="AQ811" i="2" s="1"/>
  <c r="AQ77" i="4" s="1"/>
  <c r="AN298" i="7" s="1"/>
  <c r="AO765" i="2"/>
  <c r="AP822" i="2"/>
  <c r="AP823" i="2" s="1"/>
  <c r="AP821" i="2"/>
  <c r="AP817" i="2" s="1"/>
  <c r="AP827" i="2" s="1"/>
  <c r="AP818" i="2"/>
  <c r="AP819" i="2" s="1"/>
  <c r="AR808" i="2"/>
  <c r="AR805" i="2"/>
  <c r="AP759" i="2"/>
  <c r="AP75" i="4" s="1"/>
  <c r="AP795" i="2"/>
  <c r="AP791" i="2" s="1"/>
  <c r="AP801" i="2" s="1"/>
  <c r="AP796" i="2"/>
  <c r="AP797" i="2" s="1"/>
  <c r="AP792" i="2"/>
  <c r="AP793" i="2" s="1"/>
  <c r="AR782" i="2"/>
  <c r="AR779" i="2"/>
  <c r="AQ800" i="2"/>
  <c r="AQ790" i="2"/>
  <c r="AQ794" i="2"/>
  <c r="AQ785" i="2" s="1"/>
  <c r="AQ76" i="4" s="1"/>
  <c r="AN297" i="7" s="1"/>
  <c r="AQ788" i="2"/>
  <c r="AQ789" i="2"/>
  <c r="AR756" i="2"/>
  <c r="AR753" i="2"/>
  <c r="AQ762" i="2"/>
  <c r="AQ763" i="2"/>
  <c r="AQ774" i="2"/>
  <c r="AQ764" i="2"/>
  <c r="AQ768" i="2"/>
  <c r="AP769" i="2"/>
  <c r="AQ69" i="2"/>
  <c r="AQ309" i="2"/>
  <c r="AP70" i="2"/>
  <c r="AK419" i="2"/>
  <c r="AK1323" i="2" s="1"/>
  <c r="AK437" i="4" s="1"/>
  <c r="AN52" i="2"/>
  <c r="AB195" i="4"/>
  <c r="AQ50" i="2"/>
  <c r="AP7" i="4"/>
  <c r="AN84" i="2"/>
  <c r="AN129" i="2" s="1"/>
  <c r="AB208" i="4"/>
  <c r="AL574" i="2"/>
  <c r="AL575" i="2" s="1"/>
  <c r="AL576" i="2" s="1"/>
  <c r="AO64" i="2"/>
  <c r="AP63" i="2"/>
  <c r="AR61" i="2"/>
  <c r="AR49" i="2" s="1"/>
  <c r="AR58" i="2"/>
  <c r="AR47" i="2"/>
  <c r="AP367" i="2"/>
  <c r="AQ743" i="2"/>
  <c r="AQ945" i="2" s="1"/>
  <c r="AQ366" i="2"/>
  <c r="AJ27" i="4"/>
  <c r="AK48" i="4"/>
  <c r="AK238" i="4" s="1"/>
  <c r="AL97" i="4"/>
  <c r="AN100" i="4"/>
  <c r="AN96" i="4"/>
  <c r="AN32" i="4"/>
  <c r="AO1299" i="2"/>
  <c r="AC1253" i="2"/>
  <c r="AC1248" i="2" s="1"/>
  <c r="AD1233" i="2"/>
  <c r="AC1252" i="2"/>
  <c r="AC130" i="4" s="1"/>
  <c r="AC1258" i="2"/>
  <c r="AC1243" i="2"/>
  <c r="AR1235" i="2"/>
  <c r="AQ742" i="2"/>
  <c r="AP746" i="2"/>
  <c r="AP963" i="2"/>
  <c r="AP139" i="4" s="1"/>
  <c r="AN111" i="2"/>
  <c r="AR737" i="2"/>
  <c r="AR742" i="2" s="1"/>
  <c r="AO934" i="2"/>
  <c r="AO941" i="2" s="1"/>
  <c r="AO985" i="2"/>
  <c r="AP910" i="2"/>
  <c r="AP906" i="2" s="1"/>
  <c r="AP916" i="2" s="1"/>
  <c r="AP911" i="2"/>
  <c r="AP912" i="2" s="1"/>
  <c r="AP907" i="2"/>
  <c r="AP908" i="2" s="1"/>
  <c r="AR896" i="2"/>
  <c r="AR890" i="2"/>
  <c r="AP928" i="2"/>
  <c r="AP85" i="4" s="1"/>
  <c r="AP984" i="2"/>
  <c r="AP978" i="2" s="1"/>
  <c r="AP140" i="4" s="1"/>
  <c r="AQ915" i="2"/>
  <c r="AQ909" i="2"/>
  <c r="AQ899" i="2" s="1"/>
  <c r="AQ82" i="4" s="1"/>
  <c r="AN303" i="7" s="1"/>
  <c r="AQ902" i="2"/>
  <c r="AQ904" i="2"/>
  <c r="AQ905" i="2"/>
  <c r="AO627" i="2"/>
  <c r="AO626" i="2" s="1"/>
  <c r="AO184" i="4" s="1"/>
  <c r="AP938" i="2"/>
  <c r="AR925" i="2"/>
  <c r="AR923" i="2"/>
  <c r="AQ931" i="2"/>
  <c r="AQ932" i="2"/>
  <c r="AQ980" i="2" s="1"/>
  <c r="AQ940" i="2"/>
  <c r="AQ988" i="2" s="1"/>
  <c r="AQ933" i="2"/>
  <c r="AQ981" i="2" s="1"/>
  <c r="AQ937" i="2"/>
  <c r="AO123" i="2"/>
  <c r="AO124" i="2" s="1"/>
  <c r="AO111" i="2" s="1"/>
  <c r="AQ109" i="2"/>
  <c r="AO876" i="2"/>
  <c r="AO886" i="2" s="1"/>
  <c r="AP869" i="2"/>
  <c r="AP81" i="4" s="1"/>
  <c r="AP110" i="2"/>
  <c r="AR866" i="2"/>
  <c r="AR860" i="2"/>
  <c r="AQ872" i="2"/>
  <c r="AQ874" i="2"/>
  <c r="AQ875" i="2"/>
  <c r="AP880" i="2"/>
  <c r="AP971" i="2" s="1"/>
  <c r="AQ885" i="2"/>
  <c r="AQ977" i="2" s="1"/>
  <c r="AQ879" i="2"/>
  <c r="AQ89" i="2"/>
  <c r="AM458" i="4"/>
  <c r="AM431" i="4"/>
  <c r="AO103" i="2"/>
  <c r="AO104" i="2" s="1"/>
  <c r="AP90" i="2"/>
  <c r="AM131" i="2"/>
  <c r="AN243" i="2"/>
  <c r="AN219" i="2"/>
  <c r="AN221" i="2" s="1"/>
  <c r="AL553" i="2"/>
  <c r="AL565" i="2" s="1"/>
  <c r="AL61" i="4"/>
  <c r="AL60" i="4" s="1"/>
  <c r="AL102" i="4" s="1"/>
  <c r="AL524" i="2"/>
  <c r="AL554" i="2" s="1"/>
  <c r="AL1302" i="2" s="1"/>
  <c r="AM519" i="2"/>
  <c r="AK560" i="2"/>
  <c r="AK559" i="2"/>
  <c r="AK552" i="2"/>
  <c r="AK566" i="2" s="1"/>
  <c r="AJ562" i="2"/>
  <c r="AJ564" i="2" s="1"/>
  <c r="AI272" i="2"/>
  <c r="AI607" i="2" s="1"/>
  <c r="AI254" i="2"/>
  <c r="AI278" i="2" s="1"/>
  <c r="AI604" i="2" s="1"/>
  <c r="AI605" i="2" s="1"/>
  <c r="AI606" i="2" s="1"/>
  <c r="AK94" i="4"/>
  <c r="AK98" i="4" s="1"/>
  <c r="AM533" i="2"/>
  <c r="AM478" i="2"/>
  <c r="AM528" i="2" s="1"/>
  <c r="AM53" i="4"/>
  <c r="AM50" i="4" s="1"/>
  <c r="AN473" i="2"/>
  <c r="AN527" i="2" s="1"/>
  <c r="AH256" i="2"/>
  <c r="AH258" i="2" s="1"/>
  <c r="AH273" i="2" s="1"/>
  <c r="AH127" i="4" s="1"/>
  <c r="AI269" i="2"/>
  <c r="AI270" i="2" s="1"/>
  <c r="AL526" i="2"/>
  <c r="AL534" i="2"/>
  <c r="AK536" i="2"/>
  <c r="AK538" i="2" s="1"/>
  <c r="AI486" i="4"/>
  <c r="AI459" i="4"/>
  <c r="AI432" i="4"/>
  <c r="AJ265" i="2"/>
  <c r="AJ253" i="2" s="1"/>
  <c r="AI234" i="2"/>
  <c r="AJ584" i="2"/>
  <c r="AJ166" i="4" s="1"/>
  <c r="AJ262" i="4" s="1"/>
  <c r="AF609" i="2"/>
  <c r="AF613" i="2"/>
  <c r="AG279" i="2"/>
  <c r="AF280" i="2"/>
  <c r="AK588" i="2"/>
  <c r="AK584" i="2"/>
  <c r="AK166" i="4" s="1"/>
  <c r="AK241" i="2"/>
  <c r="AK230" i="2" s="1"/>
  <c r="AJ271" i="2"/>
  <c r="AJ264" i="2"/>
  <c r="AJ274" i="2" s="1"/>
  <c r="AJ1292" i="2" s="1"/>
  <c r="AE163" i="4"/>
  <c r="AE631" i="2"/>
  <c r="AK252" i="2"/>
  <c r="AK30" i="4" s="1"/>
  <c r="AL248" i="2"/>
  <c r="AL277" i="2" s="1"/>
  <c r="AL246" i="2"/>
  <c r="AL275" i="2" s="1"/>
  <c r="AL586" i="2" s="1"/>
  <c r="AM245" i="2"/>
  <c r="AL268" i="2"/>
  <c r="AL95" i="4" s="1"/>
  <c r="AH1301" i="2"/>
  <c r="AH270" i="2"/>
  <c r="AK29" i="4"/>
  <c r="AL228" i="2"/>
  <c r="AL29" i="4" s="1"/>
  <c r="AJ229" i="2"/>
  <c r="AJ230" i="2"/>
  <c r="AM224" i="2"/>
  <c r="AM222" i="2"/>
  <c r="AR260" i="2"/>
  <c r="AR244" i="2"/>
  <c r="AR262" i="2"/>
  <c r="AR250" i="2"/>
  <c r="AH602" i="2"/>
  <c r="AH183" i="4" s="1"/>
  <c r="AR238" i="2"/>
  <c r="AR220" i="2"/>
  <c r="AR236" i="2"/>
  <c r="AR226" i="2"/>
  <c r="AP195" i="2"/>
  <c r="AP197" i="2" s="1"/>
  <c r="AR485" i="2"/>
  <c r="AR486" i="2"/>
  <c r="AR482" i="2"/>
  <c r="AR475" i="2"/>
  <c r="AR476" i="2"/>
  <c r="AR472" i="2"/>
  <c r="AP468" i="2"/>
  <c r="AP52" i="4"/>
  <c r="AR465" i="2"/>
  <c r="AR466" i="2"/>
  <c r="AR462" i="2"/>
  <c r="AQ463" i="2"/>
  <c r="AL419" i="2"/>
  <c r="AL1323" i="2" s="1"/>
  <c r="AL464" i="4" s="1"/>
  <c r="AR521" i="2"/>
  <c r="AR522" i="2"/>
  <c r="AR518" i="2"/>
  <c r="AM72" i="2"/>
  <c r="AP458" i="2"/>
  <c r="AP51" i="4"/>
  <c r="AN529" i="2"/>
  <c r="AR455" i="2"/>
  <c r="AR456" i="2"/>
  <c r="AR452" i="2"/>
  <c r="AM71" i="2"/>
  <c r="AQ453" i="2"/>
  <c r="AO402" i="2"/>
  <c r="AO409" i="2" s="1"/>
  <c r="AO384" i="2"/>
  <c r="AO46" i="4" s="1"/>
  <c r="AO45" i="4" s="1"/>
  <c r="AM1321" i="2"/>
  <c r="AM497" i="4" s="1"/>
  <c r="AO83" i="2"/>
  <c r="AO84" i="2" s="1"/>
  <c r="AO8" i="4"/>
  <c r="AL397" i="2"/>
  <c r="AK401" i="2"/>
  <c r="AK598" i="2"/>
  <c r="AK599" i="2" s="1"/>
  <c r="AK600" i="2" s="1"/>
  <c r="AO315" i="2"/>
  <c r="AO35" i="4" s="1"/>
  <c r="AO34" i="4" s="1"/>
  <c r="AI600" i="2"/>
  <c r="AJ600" i="2"/>
  <c r="AJ596" i="2"/>
  <c r="AJ164" i="4" s="1"/>
  <c r="AJ261" i="4" s="1"/>
  <c r="AR321" i="2"/>
  <c r="AR317" i="2"/>
  <c r="AR312" i="2"/>
  <c r="AR308" i="2"/>
  <c r="AR381" i="2"/>
  <c r="AR377" i="2"/>
  <c r="AR369" i="2"/>
  <c r="AR365" i="2"/>
  <c r="AG1198" i="2"/>
  <c r="AN394" i="2"/>
  <c r="AN410" i="2" s="1"/>
  <c r="AN413" i="2"/>
  <c r="AO363" i="2"/>
  <c r="AO42" i="4" s="1"/>
  <c r="AO41" i="4" s="1"/>
  <c r="AR360" i="2"/>
  <c r="AR356" i="2"/>
  <c r="AS57" i="10"/>
  <c r="AS62" i="10"/>
  <c r="AI1199" i="2"/>
  <c r="AI1200" i="2" s="1"/>
  <c r="AI1198" i="2" s="1"/>
  <c r="AT117" i="2"/>
  <c r="AT97" i="2"/>
  <c r="AJ260" i="4"/>
  <c r="AR121" i="2"/>
  <c r="AR118" i="2"/>
  <c r="AR108" i="2"/>
  <c r="AN165" i="2"/>
  <c r="AM156" i="2" s="1"/>
  <c r="AP148" i="2"/>
  <c r="AP152" i="2" s="1"/>
  <c r="AL181" i="2"/>
  <c r="AL183" i="2" s="1"/>
  <c r="AM179" i="2"/>
  <c r="AK1117" i="2"/>
  <c r="AN91" i="2"/>
  <c r="AQ1280" i="2"/>
  <c r="AQ1282" i="2" s="1"/>
  <c r="AL156" i="2"/>
  <c r="AL158" i="2" s="1"/>
  <c r="AR101" i="2"/>
  <c r="AR98" i="2"/>
  <c r="AR88" i="2"/>
  <c r="AO539" i="2"/>
  <c r="AI1105" i="2"/>
  <c r="AQ1274" i="2"/>
  <c r="AQ1276" i="2" s="1"/>
  <c r="AN549" i="2"/>
  <c r="AN551" i="2" s="1"/>
  <c r="AO547" i="2"/>
  <c r="AO546" i="2"/>
  <c r="AN190" i="2"/>
  <c r="AM181" i="2" s="1"/>
  <c r="AM154" i="2"/>
  <c r="AQ429" i="2"/>
  <c r="AQ434" i="2" s="1"/>
  <c r="AO412" i="2"/>
  <c r="AO430" i="4" s="1"/>
  <c r="AO177" i="2"/>
  <c r="AO189" i="2" s="1"/>
  <c r="AP652" i="2"/>
  <c r="AM128" i="4"/>
  <c r="AO152" i="2"/>
  <c r="AO164" i="2" s="1"/>
  <c r="AQ28" i="2"/>
  <c r="AQ41" i="2" s="1"/>
  <c r="AQ42" i="2" s="1"/>
  <c r="AO22" i="2"/>
  <c r="AS2" i="5"/>
  <c r="AS2" i="4"/>
  <c r="AS2" i="2"/>
  <c r="AS2" i="10"/>
  <c r="AS2" i="1"/>
  <c r="AT25" i="1"/>
  <c r="AP42" i="2"/>
  <c r="AO42" i="2"/>
  <c r="AO29" i="2" s="1"/>
  <c r="AP702" i="2"/>
  <c r="AP698" i="2" s="1"/>
  <c r="AP708" i="2" s="1"/>
  <c r="AP703" i="2"/>
  <c r="AP704" i="2" s="1"/>
  <c r="AP699" i="2"/>
  <c r="AP700" i="2" s="1"/>
  <c r="AO440" i="4"/>
  <c r="AO467" i="4"/>
  <c r="AO502" i="4"/>
  <c r="AR1028" i="2"/>
  <c r="AR1275" i="2"/>
  <c r="AR1201" i="2"/>
  <c r="AR1202" i="2" s="1"/>
  <c r="AR1150" i="2"/>
  <c r="AR1151" i="2" s="1"/>
  <c r="AR1120" i="2"/>
  <c r="AR1121" i="2" s="1"/>
  <c r="AR1026" i="2"/>
  <c r="AR1013" i="2"/>
  <c r="AR1014" i="2" s="1"/>
  <c r="AR688" i="2"/>
  <c r="AR1273" i="2"/>
  <c r="AR1146" i="2"/>
  <c r="AR1147" i="2" s="1"/>
  <c r="AR1033" i="2"/>
  <c r="AR682" i="2"/>
  <c r="AR557" i="2"/>
  <c r="AR1272" i="2"/>
  <c r="AR428" i="2"/>
  <c r="AR160" i="2"/>
  <c r="AR1108" i="2"/>
  <c r="AR1109" i="2" s="1"/>
  <c r="AR1037" i="2"/>
  <c r="AR1017" i="2"/>
  <c r="AR438" i="2"/>
  <c r="AR437" i="2" s="1"/>
  <c r="AR427" i="2"/>
  <c r="AR407" i="2"/>
  <c r="AR288" i="2"/>
  <c r="AR168" i="2"/>
  <c r="AR167" i="2" s="1"/>
  <c r="AR643" i="2"/>
  <c r="AR623" i="2"/>
  <c r="AR624" i="2" s="1"/>
  <c r="AR405" i="2"/>
  <c r="AR391" i="2"/>
  <c r="AR287" i="2"/>
  <c r="AR214" i="2"/>
  <c r="AR1278" i="2"/>
  <c r="AR542" i="2"/>
  <c r="AR442" i="2"/>
  <c r="AR8" i="2"/>
  <c r="AR1136" i="2"/>
  <c r="AR1032" i="2"/>
  <c r="AR1031" i="2" s="1"/>
  <c r="AR300" i="2"/>
  <c r="AR297" i="2" s="1"/>
  <c r="AR144" i="2"/>
  <c r="AR7" i="2"/>
  <c r="AR714" i="2"/>
  <c r="AR659" i="2"/>
  <c r="AR555" i="2"/>
  <c r="AR212" i="2"/>
  <c r="AR1281" i="2"/>
  <c r="AR1335" i="2"/>
  <c r="AR81" i="2"/>
  <c r="AR39" i="2"/>
  <c r="AR27" i="2" s="1"/>
  <c r="AR17" i="2"/>
  <c r="AR656" i="2"/>
  <c r="AR291" i="2"/>
  <c r="AR187" i="2"/>
  <c r="AR169" i="2" s="1"/>
  <c r="AR78" i="2"/>
  <c r="AR1279" i="2"/>
  <c r="AR1012" i="2"/>
  <c r="AR1011" i="2" s="1"/>
  <c r="AR531" i="2"/>
  <c r="AR162" i="2"/>
  <c r="AR26" i="2"/>
  <c r="AR25" i="2" s="1"/>
  <c r="AR544" i="2"/>
  <c r="AR19" i="2"/>
  <c r="AR443" i="2"/>
  <c r="AR143" i="2"/>
  <c r="AR1220" i="2"/>
  <c r="AR1221" i="2" s="1"/>
  <c r="AR389" i="2"/>
  <c r="AR432" i="2"/>
  <c r="AR185" i="2"/>
  <c r="AR712" i="2"/>
  <c r="AR296" i="2"/>
  <c r="AR431" i="2"/>
  <c r="AR1029" i="2"/>
  <c r="AR628" i="2"/>
  <c r="AR629" i="2" s="1"/>
  <c r="AR36" i="2"/>
  <c r="AR1208" i="2"/>
  <c r="AR1209" i="2" s="1"/>
  <c r="AR150" i="2"/>
  <c r="AR175" i="2"/>
  <c r="AR1178" i="2"/>
  <c r="AR197" i="4" s="1"/>
  <c r="AY75" i="10"/>
  <c r="AK110" i="10"/>
  <c r="AK108" i="10" s="1"/>
  <c r="AL105" i="10" s="1"/>
  <c r="AJ116" i="10"/>
  <c r="AX55" i="1"/>
  <c r="AY54" i="1"/>
  <c r="AQ1038" i="2"/>
  <c r="AQ1039" i="2"/>
  <c r="AQ647" i="2"/>
  <c r="AQ650" i="2" s="1"/>
  <c r="AQ649" i="2"/>
  <c r="AQ648" i="2"/>
  <c r="AN399" i="2"/>
  <c r="AL593" i="2"/>
  <c r="AP727" i="2"/>
  <c r="AP723" i="2" s="1"/>
  <c r="AP730" i="2" s="1"/>
  <c r="AP724" i="2"/>
  <c r="AP725" i="2" s="1"/>
  <c r="AQ720" i="2"/>
  <c r="AQ721" i="2"/>
  <c r="AQ677" i="2"/>
  <c r="AQ667" i="2"/>
  <c r="AQ671" i="2"/>
  <c r="AQ662" i="2" s="1"/>
  <c r="AQ9" i="2"/>
  <c r="AQ289" i="2"/>
  <c r="AS87" i="1"/>
  <c r="AR91" i="1"/>
  <c r="AX61" i="1"/>
  <c r="AY60" i="1"/>
  <c r="AT1083" i="2"/>
  <c r="AT1082" i="2" s="1"/>
  <c r="AS1084" i="2"/>
  <c r="AP21" i="2"/>
  <c r="AP22" i="2" s="1"/>
  <c r="AP10" i="2" s="1"/>
  <c r="AQ707" i="2"/>
  <c r="AQ701" i="2"/>
  <c r="AQ691" i="2" s="1"/>
  <c r="AQ298" i="2"/>
  <c r="AK590" i="2"/>
  <c r="AK165" i="4" s="1"/>
  <c r="AS80" i="1"/>
  <c r="AT81" i="1"/>
  <c r="AR384" i="4"/>
  <c r="AR321" i="4"/>
  <c r="AR412" i="4"/>
  <c r="AR342" i="4"/>
  <c r="AR370" i="4"/>
  <c r="AR194" i="4"/>
  <c r="AR389" i="4"/>
  <c r="AR347" i="4"/>
  <c r="AR178" i="4"/>
  <c r="AR283" i="4"/>
  <c r="AR189" i="4"/>
  <c r="AR169" i="4"/>
  <c r="AR332" i="4"/>
  <c r="AR273" i="4"/>
  <c r="AR298" i="4"/>
  <c r="AR293" i="4"/>
  <c r="AR199" i="4"/>
  <c r="AN1307" i="2"/>
  <c r="Z84" i="10"/>
  <c r="Z85" i="10" s="1"/>
  <c r="AJ1107" i="2"/>
  <c r="AK1106" i="2" s="1"/>
  <c r="AT1063" i="2"/>
  <c r="AT1062" i="2" s="1"/>
  <c r="AS1061" i="2"/>
  <c r="AN138" i="4"/>
  <c r="AN144" i="4" s="1"/>
  <c r="AN990" i="2"/>
  <c r="AP173" i="2"/>
  <c r="AP171" i="2"/>
  <c r="AU292" i="4"/>
  <c r="AU383" i="4"/>
  <c r="AU341" i="4"/>
  <c r="AU47" i="1"/>
  <c r="AU57" i="2" s="1"/>
  <c r="AU49" i="1"/>
  <c r="AU48" i="1"/>
  <c r="AU50" i="1"/>
  <c r="AV43" i="1"/>
  <c r="AN198" i="2"/>
  <c r="AN200" i="2"/>
  <c r="AN484" i="4"/>
  <c r="AN457" i="4"/>
  <c r="AN430" i="4"/>
  <c r="AN414" i="2"/>
  <c r="AN617" i="2" s="1"/>
  <c r="AQ172" i="4"/>
  <c r="AY68" i="10"/>
  <c r="AS1091" i="2"/>
  <c r="AS1090" i="2" s="1"/>
  <c r="AR1092" i="2"/>
  <c r="AZ82" i="10"/>
  <c r="AT159" i="2"/>
  <c r="AT211" i="2"/>
  <c r="AT184" i="2"/>
  <c r="AY106" i="10"/>
  <c r="AO19" i="4"/>
  <c r="AO18" i="4" s="1"/>
  <c r="AO196" i="2"/>
  <c r="AT299" i="2"/>
  <c r="AT290" i="2"/>
  <c r="AP293" i="2"/>
  <c r="AP294" i="2" s="1"/>
  <c r="AL1119" i="2"/>
  <c r="AM1118" i="2" s="1"/>
  <c r="AN393" i="2"/>
  <c r="AP502" i="4"/>
  <c r="AP440" i="4"/>
  <c r="AP467" i="4"/>
  <c r="AN11" i="2"/>
  <c r="AO177" i="4"/>
  <c r="AL615" i="2"/>
  <c r="AL186" i="4" s="1"/>
  <c r="AM618" i="2"/>
  <c r="AM619" i="2" s="1"/>
  <c r="AM419" i="2"/>
  <c r="AM1323" i="2" s="1"/>
  <c r="AO991" i="2"/>
  <c r="AO1305" i="2" s="1"/>
  <c r="AO949" i="2"/>
  <c r="AX86" i="1"/>
  <c r="AY113" i="10"/>
  <c r="AR146" i="1"/>
  <c r="AR59" i="1"/>
  <c r="AR120" i="1"/>
  <c r="AR45" i="1"/>
  <c r="AR44" i="1"/>
  <c r="AR53" i="1"/>
  <c r="AR131" i="1"/>
  <c r="AR123" i="1"/>
  <c r="AR140" i="1"/>
  <c r="AM374" i="4"/>
  <c r="AM324" i="4"/>
  <c r="AM277" i="4"/>
  <c r="AM1184" i="2"/>
  <c r="AM1264" i="2"/>
  <c r="AT441" i="2"/>
  <c r="AT430" i="2"/>
  <c r="AQ665" i="2"/>
  <c r="AQ666" i="2"/>
  <c r="AM418" i="2"/>
  <c r="Q435" i="4"/>
  <c r="Q490" i="4"/>
  <c r="Q462" i="4"/>
  <c r="AR65" i="10"/>
  <c r="AR133" i="10"/>
  <c r="AR136" i="10"/>
  <c r="AR188" i="4" s="1"/>
  <c r="AR93" i="10"/>
  <c r="AR168" i="4" s="1"/>
  <c r="AR135" i="10"/>
  <c r="AR97" i="10"/>
  <c r="AR176" i="4" s="1"/>
  <c r="AR70" i="10"/>
  <c r="AR71" i="10" s="1"/>
  <c r="AR72" i="10" s="1"/>
  <c r="AT35" i="2"/>
  <c r="AT16" i="2"/>
  <c r="AT77" i="2"/>
  <c r="AQ170" i="2"/>
  <c r="AQ145" i="2"/>
  <c r="AQ729" i="2"/>
  <c r="AQ722" i="2"/>
  <c r="AQ726" i="2"/>
  <c r="AQ717" i="2" s="1"/>
  <c r="AQ694" i="2"/>
  <c r="AQ696" i="2"/>
  <c r="AQ697" i="2"/>
  <c r="W79" i="10"/>
  <c r="AM1310" i="2"/>
  <c r="AP673" i="2"/>
  <c r="AP674" i="2" s="1"/>
  <c r="AP672" i="2"/>
  <c r="AP668" i="2" s="1"/>
  <c r="AP678" i="2" s="1"/>
  <c r="AP669" i="2"/>
  <c r="AP670" i="2" s="1"/>
  <c r="AP302" i="2"/>
  <c r="AP303" i="2" s="1"/>
  <c r="AP142" i="4"/>
  <c r="F150" i="7" l="1"/>
  <c r="AM306" i="7"/>
  <c r="F146" i="7"/>
  <c r="AM302" i="7"/>
  <c r="F140" i="7"/>
  <c r="AM296" i="7"/>
  <c r="AR439" i="2"/>
  <c r="AR440" i="2" s="1"/>
  <c r="AR445" i="2" s="1"/>
  <c r="F118" i="7"/>
  <c r="F85" i="7"/>
  <c r="F38" i="7"/>
  <c r="F105" i="7"/>
  <c r="F104" i="7"/>
  <c r="F19" i="7"/>
  <c r="F72" i="7"/>
  <c r="F119" i="7"/>
  <c r="F14" i="7"/>
  <c r="F42" i="7"/>
  <c r="F122" i="7"/>
  <c r="F61" i="7"/>
  <c r="F24" i="7"/>
  <c r="F65" i="7"/>
  <c r="F106" i="7"/>
  <c r="F123" i="7"/>
  <c r="AQ508" i="2"/>
  <c r="AQ56" i="4"/>
  <c r="AQ970" i="2"/>
  <c r="AS502" i="2"/>
  <c r="AS506" i="2"/>
  <c r="AS505" i="2"/>
  <c r="AS501" i="2"/>
  <c r="AR503" i="2"/>
  <c r="AR493" i="2"/>
  <c r="AR55" i="4" s="1"/>
  <c r="AQ498" i="2"/>
  <c r="AQ55" i="4"/>
  <c r="AS495" i="2"/>
  <c r="AS491" i="2"/>
  <c r="AS492" i="2"/>
  <c r="AS496" i="2"/>
  <c r="AQ967" i="2"/>
  <c r="AQ966" i="2"/>
  <c r="AO996" i="2"/>
  <c r="AR411" i="2"/>
  <c r="AR481" i="2" s="1"/>
  <c r="AR483" i="2" s="1"/>
  <c r="AP395" i="2"/>
  <c r="AP387" i="2"/>
  <c r="AR346" i="2"/>
  <c r="AR350" i="2" s="1"/>
  <c r="AR351" i="2" s="1"/>
  <c r="AR39" i="4" s="1"/>
  <c r="AS344" i="2"/>
  <c r="AS348" i="2"/>
  <c r="AS345" i="2" s="1"/>
  <c r="AQ350" i="2"/>
  <c r="AQ351" i="2" s="1"/>
  <c r="AQ39" i="4" s="1"/>
  <c r="AR337" i="2"/>
  <c r="AR341" i="2" s="1"/>
  <c r="AR342" i="2" s="1"/>
  <c r="AR38" i="4" s="1"/>
  <c r="AD1217" i="2"/>
  <c r="AS335" i="2"/>
  <c r="AS339" i="2"/>
  <c r="AS336" i="2" s="1"/>
  <c r="AQ341" i="2"/>
  <c r="AQ342" i="2" s="1"/>
  <c r="AQ38" i="4" s="1"/>
  <c r="AP54" i="4"/>
  <c r="AG1218" i="2"/>
  <c r="AQ332" i="2"/>
  <c r="AQ333" i="2" s="1"/>
  <c r="AQ37" i="4" s="1"/>
  <c r="AS68" i="2"/>
  <c r="AS326" i="2"/>
  <c r="AS330" i="2"/>
  <c r="AS327" i="2" s="1"/>
  <c r="AR328" i="2"/>
  <c r="AE1217" i="2"/>
  <c r="S492" i="4"/>
  <c r="AM133" i="2"/>
  <c r="AM574" i="2" s="1"/>
  <c r="AM575" i="2" s="1"/>
  <c r="T333" i="4"/>
  <c r="S1328" i="2"/>
  <c r="S1330" i="2" s="1"/>
  <c r="AQ319" i="2"/>
  <c r="AR107" i="2"/>
  <c r="AR87" i="2"/>
  <c r="AO130" i="2"/>
  <c r="AO1291" i="2" s="1"/>
  <c r="AO485" i="4" s="1"/>
  <c r="AO129" i="2"/>
  <c r="AP128" i="2"/>
  <c r="AP1299" i="2"/>
  <c r="AO517" i="2"/>
  <c r="AN239" i="4"/>
  <c r="AR67" i="2"/>
  <c r="AR318" i="2"/>
  <c r="AR319" i="2" s="1"/>
  <c r="AO6" i="4"/>
  <c r="AO93" i="4" s="1"/>
  <c r="AO236" i="4" s="1"/>
  <c r="AP323" i="2"/>
  <c r="AP324" i="2" s="1"/>
  <c r="AP36" i="4" s="1"/>
  <c r="AO11" i="2"/>
  <c r="AP11" i="2" s="1"/>
  <c r="AO92" i="2"/>
  <c r="T109" i="4"/>
  <c r="AP314" i="2"/>
  <c r="T247" i="4"/>
  <c r="T207" i="4"/>
  <c r="T209" i="4" s="1"/>
  <c r="AQ379" i="2"/>
  <c r="AP403" i="2"/>
  <c r="T284" i="4"/>
  <c r="AQ310" i="2"/>
  <c r="AQ358" i="2"/>
  <c r="T256" i="4"/>
  <c r="AM775" i="2"/>
  <c r="AM995" i="2" s="1"/>
  <c r="AO570" i="2"/>
  <c r="AO14" i="1"/>
  <c r="AO113" i="1"/>
  <c r="AO408" i="4"/>
  <c r="AO638" i="2"/>
  <c r="AO205" i="4"/>
  <c r="AO233" i="4"/>
  <c r="AO1" i="1"/>
  <c r="AO140" i="2"/>
  <c r="AO423" i="2"/>
  <c r="AO1" i="10"/>
  <c r="AO4" i="2"/>
  <c r="AO4" i="4"/>
  <c r="AP362" i="2"/>
  <c r="AO1096" i="2"/>
  <c r="AO25" i="4"/>
  <c r="AO90" i="10"/>
  <c r="AO284" i="2"/>
  <c r="AO1269" i="2"/>
  <c r="AO366" i="4"/>
  <c r="AO91" i="4"/>
  <c r="AO1056" i="2"/>
  <c r="AO1000" i="2"/>
  <c r="AO4" i="5"/>
  <c r="AO1142" i="2"/>
  <c r="AO124" i="4"/>
  <c r="AO1189" i="2"/>
  <c r="AO1168" i="2"/>
  <c r="AO1" i="2"/>
  <c r="AO269" i="4"/>
  <c r="AO102" i="10"/>
  <c r="AO1" i="4"/>
  <c r="AO38" i="1"/>
  <c r="AO317" i="4"/>
  <c r="AO69" i="4"/>
  <c r="AR357" i="2"/>
  <c r="AR358" i="2" s="1"/>
  <c r="AO14" i="4"/>
  <c r="AO55" i="10"/>
  <c r="AO1" i="5"/>
  <c r="AO68" i="1"/>
  <c r="AQ955" i="2"/>
  <c r="AQ962" i="2"/>
  <c r="AP34" i="1"/>
  <c r="AP205" i="4" s="1"/>
  <c r="AJ208" i="2"/>
  <c r="AJ210" i="2" s="1"/>
  <c r="R1333" i="2"/>
  <c r="AM204" i="2"/>
  <c r="AM28" i="4" s="1"/>
  <c r="AK205" i="2"/>
  <c r="AN202" i="2"/>
  <c r="AN276" i="2" s="1"/>
  <c r="AN592" i="2" s="1"/>
  <c r="AL216" i="2"/>
  <c r="AL28" i="4"/>
  <c r="AU484" i="2"/>
  <c r="AU520" i="2"/>
  <c r="AU454" i="2"/>
  <c r="AU464" i="2"/>
  <c r="AU474" i="2"/>
  <c r="AQ219" i="4"/>
  <c r="AP220" i="4"/>
  <c r="AQ481" i="2"/>
  <c r="AQ483" i="2" s="1"/>
  <c r="AQ488" i="2" s="1"/>
  <c r="W878" i="2"/>
  <c r="W969" i="2" s="1"/>
  <c r="AQ28" i="1"/>
  <c r="AQ27" i="1"/>
  <c r="AR26" i="1"/>
  <c r="AS1029" i="2" s="1"/>
  <c r="AQ29" i="1"/>
  <c r="V1318" i="2"/>
  <c r="V174" i="4"/>
  <c r="R1336" i="2"/>
  <c r="W881" i="2"/>
  <c r="W972" i="2" s="1"/>
  <c r="V954" i="2"/>
  <c r="W766" i="2"/>
  <c r="V958" i="2"/>
  <c r="W770" i="2"/>
  <c r="V107" i="4"/>
  <c r="V65" i="4"/>
  <c r="AU311" i="2"/>
  <c r="AU368" i="2"/>
  <c r="AU359" i="2"/>
  <c r="AU320" i="2"/>
  <c r="AU380" i="2"/>
  <c r="W936" i="2"/>
  <c r="W982" i="2"/>
  <c r="AU259" i="2"/>
  <c r="AU235" i="2"/>
  <c r="U103" i="4"/>
  <c r="U1314" i="2"/>
  <c r="U1315" i="2" s="1"/>
  <c r="U495" i="4"/>
  <c r="AP383" i="2"/>
  <c r="AP404" i="2" s="1"/>
  <c r="AR378" i="2"/>
  <c r="AR379" i="2" s="1"/>
  <c r="AR403" i="2" s="1"/>
  <c r="AP83" i="2"/>
  <c r="AP84" i="2" s="1"/>
  <c r="AP956" i="2"/>
  <c r="AQ952" i="2"/>
  <c r="AQ951" i="2"/>
  <c r="AP8" i="4"/>
  <c r="AN72" i="2"/>
  <c r="AN133" i="2" s="1"/>
  <c r="AS834" i="2"/>
  <c r="AS831" i="2"/>
  <c r="AR840" i="2"/>
  <c r="AR841" i="2"/>
  <c r="AR852" i="2"/>
  <c r="AR842" i="2"/>
  <c r="AR846" i="2"/>
  <c r="AR837" i="2" s="1"/>
  <c r="AR78" i="4" s="1"/>
  <c r="AO299" i="7" s="1"/>
  <c r="AQ847" i="2"/>
  <c r="AQ843" i="2" s="1"/>
  <c r="AQ853" i="2" s="1"/>
  <c r="AQ848" i="2"/>
  <c r="AQ849" i="2" s="1"/>
  <c r="AQ844" i="2"/>
  <c r="AQ845" i="2" s="1"/>
  <c r="AS808" i="2"/>
  <c r="AS805" i="2"/>
  <c r="AR814" i="2"/>
  <c r="AR815" i="2"/>
  <c r="AR826" i="2"/>
  <c r="AR816" i="2"/>
  <c r="AR820" i="2"/>
  <c r="AR811" i="2" s="1"/>
  <c r="AR77" i="4" s="1"/>
  <c r="AO298" i="7" s="1"/>
  <c r="AP765" i="2"/>
  <c r="AQ759" i="2"/>
  <c r="AQ75" i="4" s="1"/>
  <c r="AN296" i="7" s="1"/>
  <c r="AQ821" i="2"/>
  <c r="AQ817" i="2" s="1"/>
  <c r="AQ827" i="2" s="1"/>
  <c r="AQ822" i="2"/>
  <c r="AQ823" i="2" s="1"/>
  <c r="AQ818" i="2"/>
  <c r="AQ819" i="2" s="1"/>
  <c r="AQ70" i="2"/>
  <c r="AQ795" i="2"/>
  <c r="AQ791" i="2" s="1"/>
  <c r="AQ801" i="2" s="1"/>
  <c r="AQ796" i="2"/>
  <c r="AQ797" i="2" s="1"/>
  <c r="AQ792" i="2"/>
  <c r="AQ793" i="2" s="1"/>
  <c r="AR309" i="2"/>
  <c r="AR310" i="2" s="1"/>
  <c r="AS782" i="2"/>
  <c r="AS779" i="2"/>
  <c r="AR788" i="2"/>
  <c r="AR789" i="2"/>
  <c r="AR800" i="2"/>
  <c r="AR790" i="2"/>
  <c r="AR794" i="2"/>
  <c r="AR785" i="2" s="1"/>
  <c r="AR76" i="4" s="1"/>
  <c r="AO297" i="7" s="1"/>
  <c r="AS753" i="2"/>
  <c r="AS756" i="2"/>
  <c r="AQ769" i="2"/>
  <c r="AR762" i="2"/>
  <c r="AR763" i="2"/>
  <c r="AR69" i="2"/>
  <c r="AR774" i="2"/>
  <c r="AR764" i="2"/>
  <c r="AR768" i="2"/>
  <c r="AL572" i="2"/>
  <c r="AL162" i="4" s="1"/>
  <c r="AL260" i="4" s="1"/>
  <c r="AK464" i="4"/>
  <c r="AK496" i="4"/>
  <c r="AQ7" i="4"/>
  <c r="AN71" i="2"/>
  <c r="AQ63" i="2"/>
  <c r="AO51" i="2"/>
  <c r="AR743" i="2"/>
  <c r="AR945" i="2" s="1"/>
  <c r="AO52" i="2"/>
  <c r="AP64" i="2"/>
  <c r="AR741" i="2"/>
  <c r="AR744" i="2" s="1"/>
  <c r="AR946" i="2" s="1"/>
  <c r="AQ746" i="2"/>
  <c r="AR50" i="2"/>
  <c r="AS47" i="2"/>
  <c r="AS61" i="2"/>
  <c r="AS49" i="2" s="1"/>
  <c r="AS58" i="2"/>
  <c r="AC192" i="4"/>
  <c r="AC208" i="4" s="1"/>
  <c r="AQ367" i="2"/>
  <c r="AP371" i="2"/>
  <c r="AP372" i="2" s="1"/>
  <c r="AP43" i="4" s="1"/>
  <c r="AR366" i="2"/>
  <c r="AR367" i="2" s="1"/>
  <c r="AP9" i="4"/>
  <c r="AP10" i="4"/>
  <c r="AL237" i="4"/>
  <c r="AL48" i="4"/>
  <c r="AL238" i="4" s="1"/>
  <c r="AO100" i="4"/>
  <c r="AM97" i="4"/>
  <c r="AO96" i="4"/>
  <c r="AO32" i="4"/>
  <c r="AK27" i="4"/>
  <c r="AQ944" i="2"/>
  <c r="AP627" i="2"/>
  <c r="AP626" i="2" s="1"/>
  <c r="AP184" i="4" s="1"/>
  <c r="AC212" i="4"/>
  <c r="AC373" i="4"/>
  <c r="AC276" i="4"/>
  <c r="AD1251" i="2"/>
  <c r="AD108" i="4" s="1"/>
  <c r="E173" i="7" s="1"/>
  <c r="AD1234" i="2"/>
  <c r="AD1252" i="2" s="1"/>
  <c r="AD130" i="4" s="1"/>
  <c r="AC1259" i="2"/>
  <c r="AC112" i="4" s="1"/>
  <c r="AC241" i="4" s="1"/>
  <c r="AC1257" i="2"/>
  <c r="AD1242" i="2"/>
  <c r="AS1235" i="2"/>
  <c r="AO112" i="2"/>
  <c r="AP123" i="2"/>
  <c r="AP124" i="2" s="1"/>
  <c r="AS737" i="2"/>
  <c r="AS743" i="2" s="1"/>
  <c r="AS945" i="2" s="1"/>
  <c r="AR944" i="2"/>
  <c r="AQ963" i="2"/>
  <c r="AQ139" i="4" s="1"/>
  <c r="AR109" i="2"/>
  <c r="AQ110" i="2"/>
  <c r="AR915" i="2"/>
  <c r="AR909" i="2"/>
  <c r="AR899" i="2" s="1"/>
  <c r="AR82" i="4" s="1"/>
  <c r="AO303" i="7" s="1"/>
  <c r="AQ928" i="2"/>
  <c r="AQ85" i="4" s="1"/>
  <c r="AN306" i="7" s="1"/>
  <c r="AQ984" i="2"/>
  <c r="AQ978" i="2" s="1"/>
  <c r="AQ140" i="4" s="1"/>
  <c r="AP934" i="2"/>
  <c r="AP941" i="2" s="1"/>
  <c r="AP985" i="2"/>
  <c r="AQ910" i="2"/>
  <c r="AQ906" i="2" s="1"/>
  <c r="AQ916" i="2" s="1"/>
  <c r="AQ911" i="2"/>
  <c r="AQ912" i="2" s="1"/>
  <c r="AQ907" i="2"/>
  <c r="AQ908" i="2" s="1"/>
  <c r="AS896" i="2"/>
  <c r="AS890" i="2"/>
  <c r="AR902" i="2"/>
  <c r="AR904" i="2"/>
  <c r="AR905" i="2"/>
  <c r="AQ938" i="2"/>
  <c r="AR931" i="2"/>
  <c r="AR932" i="2"/>
  <c r="AR980" i="2" s="1"/>
  <c r="AR940" i="2"/>
  <c r="AR988" i="2" s="1"/>
  <c r="AR933" i="2"/>
  <c r="AR981" i="2" s="1"/>
  <c r="AR937" i="2"/>
  <c r="AS923" i="2"/>
  <c r="AS925" i="2"/>
  <c r="AR89" i="2"/>
  <c r="AP876" i="2"/>
  <c r="AP886" i="2" s="1"/>
  <c r="AQ869" i="2"/>
  <c r="AQ81" i="4" s="1"/>
  <c r="AN302" i="7" s="1"/>
  <c r="AQ880" i="2"/>
  <c r="AR872" i="2"/>
  <c r="AR874" i="2"/>
  <c r="AR966" i="2" s="1"/>
  <c r="AR875" i="2"/>
  <c r="AS866" i="2"/>
  <c r="AS860" i="2"/>
  <c r="AR885" i="2"/>
  <c r="AR977" i="2" s="1"/>
  <c r="AR879" i="2"/>
  <c r="AQ90" i="2"/>
  <c r="AP103" i="2"/>
  <c r="AP104" i="2" s="1"/>
  <c r="AO219" i="2"/>
  <c r="AO221" i="2" s="1"/>
  <c r="AO243" i="2"/>
  <c r="AP194" i="2"/>
  <c r="AM524" i="2"/>
  <c r="AM554" i="2" s="1"/>
  <c r="AM1302" i="2" s="1"/>
  <c r="AM61" i="4"/>
  <c r="AM60" i="4" s="1"/>
  <c r="AM102" i="4" s="1"/>
  <c r="AM553" i="2"/>
  <c r="AM565" i="2" s="1"/>
  <c r="AN519" i="2"/>
  <c r="AK562" i="2"/>
  <c r="AK564" i="2" s="1"/>
  <c r="AL560" i="2"/>
  <c r="AL552" i="2"/>
  <c r="AL566" i="2" s="1"/>
  <c r="AL559" i="2"/>
  <c r="AH279" i="2"/>
  <c r="AH611" i="2" s="1"/>
  <c r="AI1301" i="2"/>
  <c r="AO473" i="2"/>
  <c r="AO527" i="2" s="1"/>
  <c r="AN533" i="2"/>
  <c r="AN478" i="2"/>
  <c r="AN528" i="2" s="1"/>
  <c r="AN53" i="4"/>
  <c r="AN50" i="4" s="1"/>
  <c r="AK262" i="4"/>
  <c r="AM534" i="2"/>
  <c r="AL536" i="2"/>
  <c r="AL538" i="2" s="1"/>
  <c r="AM526" i="2"/>
  <c r="AJ272" i="2"/>
  <c r="AJ607" i="2" s="1"/>
  <c r="AJ269" i="2"/>
  <c r="AJ1301" i="2" s="1"/>
  <c r="AL496" i="4"/>
  <c r="AK265" i="2"/>
  <c r="AJ256" i="2" s="1"/>
  <c r="AJ254" i="2"/>
  <c r="AI256" i="2"/>
  <c r="AK264" i="2"/>
  <c r="AK274" i="2" s="1"/>
  <c r="AK1292" i="2" s="1"/>
  <c r="AK432" i="4" s="1"/>
  <c r="AL94" i="4"/>
  <c r="AL98" i="4" s="1"/>
  <c r="AG611" i="2"/>
  <c r="AG612" i="2" s="1"/>
  <c r="AG280" i="2"/>
  <c r="AF631" i="2"/>
  <c r="AF163" i="4"/>
  <c r="AK229" i="2"/>
  <c r="AJ486" i="4"/>
  <c r="AJ432" i="4"/>
  <c r="AJ459" i="4"/>
  <c r="AJ232" i="2"/>
  <c r="AK271" i="2"/>
  <c r="AL587" i="2"/>
  <c r="AL588" i="2" s="1"/>
  <c r="AN245" i="2"/>
  <c r="AN268" i="2" s="1"/>
  <c r="AN95" i="4" s="1"/>
  <c r="AN237" i="4" s="1"/>
  <c r="AM248" i="2"/>
  <c r="AM277" i="2" s="1"/>
  <c r="AM246" i="2"/>
  <c r="AM275" i="2" s="1"/>
  <c r="AM586" i="2" s="1"/>
  <c r="AM587" i="2" s="1"/>
  <c r="AL252" i="2"/>
  <c r="AM268" i="2"/>
  <c r="AM95" i="4" s="1"/>
  <c r="AM237" i="4" s="1"/>
  <c r="AL241" i="2"/>
  <c r="AL229" i="2" s="1"/>
  <c r="AL240" i="2"/>
  <c r="AM228" i="2"/>
  <c r="AN224" i="2"/>
  <c r="AN222" i="2"/>
  <c r="AS260" i="2"/>
  <c r="AS244" i="2"/>
  <c r="AS262" i="2"/>
  <c r="AS250" i="2"/>
  <c r="AI602" i="2"/>
  <c r="AI183" i="4" s="1"/>
  <c r="AL437" i="4"/>
  <c r="AS236" i="2"/>
  <c r="AS238" i="2"/>
  <c r="AS226" i="2"/>
  <c r="AS220" i="2"/>
  <c r="AS485" i="2"/>
  <c r="AS486" i="2"/>
  <c r="AS482" i="2"/>
  <c r="AS475" i="2"/>
  <c r="AS476" i="2"/>
  <c r="AS472" i="2"/>
  <c r="AQ468" i="2"/>
  <c r="AQ52" i="4"/>
  <c r="AQ195" i="2"/>
  <c r="AQ197" i="2" s="1"/>
  <c r="AS465" i="2"/>
  <c r="AS466" i="2"/>
  <c r="AS462" i="2"/>
  <c r="AR463" i="2"/>
  <c r="AS521" i="2"/>
  <c r="AS522" i="2"/>
  <c r="AS518" i="2"/>
  <c r="AO529" i="2"/>
  <c r="AQ458" i="2"/>
  <c r="AQ51" i="4"/>
  <c r="AS455" i="2"/>
  <c r="AS456" i="2"/>
  <c r="AS452" i="2"/>
  <c r="AR453" i="2"/>
  <c r="AN131" i="2"/>
  <c r="AN431" i="4"/>
  <c r="AN458" i="4"/>
  <c r="AK596" i="2"/>
  <c r="AK164" i="4" s="1"/>
  <c r="AM397" i="2"/>
  <c r="AL401" i="2"/>
  <c r="AL598" i="2"/>
  <c r="AS321" i="2"/>
  <c r="AS317" i="2"/>
  <c r="AS312" i="2"/>
  <c r="AS308" i="2"/>
  <c r="AS381" i="2"/>
  <c r="AS377" i="2"/>
  <c r="AO413" i="2"/>
  <c r="AO410" i="2"/>
  <c r="AS369" i="2"/>
  <c r="AS365" i="2"/>
  <c r="AN1321" i="2"/>
  <c r="AN497" i="4" s="1"/>
  <c r="AN416" i="2"/>
  <c r="AJ1199" i="2"/>
  <c r="AJ1200" i="2" s="1"/>
  <c r="AK1199" i="2" s="1"/>
  <c r="AS360" i="2"/>
  <c r="AS356" i="2"/>
  <c r="AT57" i="10"/>
  <c r="AT62" i="10"/>
  <c r="AU117" i="2"/>
  <c r="AU97" i="2"/>
  <c r="AL109" i="10"/>
  <c r="AL110" i="10" s="1"/>
  <c r="AL108" i="10" s="1"/>
  <c r="AM105" i="10" s="1"/>
  <c r="AN179" i="2"/>
  <c r="AN153" i="2"/>
  <c r="AS121" i="2"/>
  <c r="AS118" i="2"/>
  <c r="AS108" i="2"/>
  <c r="AN154" i="2"/>
  <c r="AM183" i="2"/>
  <c r="AM158" i="2"/>
  <c r="AS98" i="2"/>
  <c r="AS101" i="2"/>
  <c r="AS88" i="2"/>
  <c r="AO91" i="2"/>
  <c r="AR1280" i="2"/>
  <c r="AR1282" i="2" s="1"/>
  <c r="AL1117" i="2"/>
  <c r="AN178" i="2"/>
  <c r="AO414" i="2"/>
  <c r="AO617" i="2" s="1"/>
  <c r="AO618" i="2" s="1"/>
  <c r="AO615" i="2" s="1"/>
  <c r="AO186" i="4" s="1"/>
  <c r="AR1274" i="2"/>
  <c r="AR1276" i="2" s="1"/>
  <c r="AO190" i="2"/>
  <c r="AO178" i="2" s="1"/>
  <c r="AO484" i="4"/>
  <c r="AO457" i="4"/>
  <c r="AP29" i="2"/>
  <c r="AO165" i="2"/>
  <c r="AN156" i="2" s="1"/>
  <c r="AL205" i="2"/>
  <c r="AR28" i="2"/>
  <c r="AR41" i="2" s="1"/>
  <c r="AR42" i="2" s="1"/>
  <c r="AO10" i="2"/>
  <c r="AM615" i="2"/>
  <c r="AM186" i="4" s="1"/>
  <c r="AN128" i="4"/>
  <c r="AP177" i="2"/>
  <c r="AP189" i="2" s="1"/>
  <c r="AT80" i="1"/>
  <c r="AU81" i="1"/>
  <c r="AY61" i="1"/>
  <c r="AZ60" i="1"/>
  <c r="AM593" i="2"/>
  <c r="AM594" i="2" s="1"/>
  <c r="AR707" i="2"/>
  <c r="AR701" i="2"/>
  <c r="AR691" i="2" s="1"/>
  <c r="AS1012" i="2"/>
  <c r="AS1011" i="2" s="1"/>
  <c r="AS427" i="2"/>
  <c r="AS296" i="2"/>
  <c r="AS287" i="2"/>
  <c r="AS162" i="2"/>
  <c r="AS78" i="2"/>
  <c r="AS8" i="2"/>
  <c r="AS1273" i="2"/>
  <c r="AS1146" i="2"/>
  <c r="AS1147" i="2" s="1"/>
  <c r="AS1033" i="2"/>
  <c r="AS682" i="2"/>
  <c r="AS557" i="2"/>
  <c r="AS36" i="2"/>
  <c r="AS26" i="2"/>
  <c r="AS25" i="2" s="1"/>
  <c r="AS17" i="2"/>
  <c r="AS7" i="2"/>
  <c r="AS1017" i="2"/>
  <c r="AS656" i="2"/>
  <c r="AS643" i="2"/>
  <c r="AS542" i="2"/>
  <c r="AS531" i="2"/>
  <c r="AS442" i="2"/>
  <c r="AS432" i="2"/>
  <c r="AS405" i="2"/>
  <c r="AS168" i="2"/>
  <c r="AS167" i="2" s="1"/>
  <c r="AS1281" i="2"/>
  <c r="AS1136" i="2"/>
  <c r="AS1032" i="2"/>
  <c r="AS1031" i="2" s="1"/>
  <c r="AS628" i="2"/>
  <c r="AS629" i="2" s="1"/>
  <c r="AS443" i="2"/>
  <c r="AS288" i="2"/>
  <c r="AS187" i="2"/>
  <c r="AS169" i="2" s="1"/>
  <c r="AS1279" i="2"/>
  <c r="AS1013" i="2"/>
  <c r="AS1014" i="2" s="1"/>
  <c r="AS428" i="2"/>
  <c r="AS39" i="2"/>
  <c r="AS27" i="2" s="1"/>
  <c r="AS1335" i="2"/>
  <c r="AS1278" i="2"/>
  <c r="AS688" i="2"/>
  <c r="AS185" i="2"/>
  <c r="AS1108" i="2"/>
  <c r="AS1109" i="2" s="1"/>
  <c r="AS555" i="2"/>
  <c r="AS438" i="2"/>
  <c r="AS437" i="2" s="1"/>
  <c r="AS407" i="2"/>
  <c r="AS1037" i="2"/>
  <c r="AS81" i="2"/>
  <c r="AS714" i="2"/>
  <c r="AS143" i="2"/>
  <c r="AS1275" i="2"/>
  <c r="AS1120" i="2"/>
  <c r="AS1121" i="2" s="1"/>
  <c r="AS1026" i="2"/>
  <c r="AS389" i="2"/>
  <c r="AS291" i="2"/>
  <c r="AS623" i="2"/>
  <c r="AS624" i="2" s="1"/>
  <c r="AS300" i="2"/>
  <c r="AS297" i="2" s="1"/>
  <c r="AS212" i="2"/>
  <c r="AS160" i="2"/>
  <c r="AS431" i="2"/>
  <c r="AS1272" i="2"/>
  <c r="AS659" i="2"/>
  <c r="AS1220" i="2"/>
  <c r="AS1221" i="2" s="1"/>
  <c r="AS544" i="2"/>
  <c r="AS1028" i="2"/>
  <c r="AS144" i="2"/>
  <c r="AS1201" i="2"/>
  <c r="AS1202" i="2" s="1"/>
  <c r="AS214" i="2"/>
  <c r="AS391" i="2"/>
  <c r="AS1150" i="2"/>
  <c r="AS1151" i="2" s="1"/>
  <c r="AS712" i="2"/>
  <c r="AS19" i="2"/>
  <c r="AS1178" i="2"/>
  <c r="AS197" i="4" s="1"/>
  <c r="AS175" i="2"/>
  <c r="AS150" i="2"/>
  <c r="AS1208" i="2"/>
  <c r="AS1209" i="2" s="1"/>
  <c r="AQ672" i="2"/>
  <c r="AQ668" i="2" s="1"/>
  <c r="AQ678" i="2" s="1"/>
  <c r="AQ673" i="2"/>
  <c r="AQ674" i="2" s="1"/>
  <c r="AQ669" i="2"/>
  <c r="AQ670" i="2" s="1"/>
  <c r="AK1107" i="2"/>
  <c r="AL1106" i="2" s="1"/>
  <c r="AQ302" i="2"/>
  <c r="AQ303" i="2" s="1"/>
  <c r="AO399" i="2"/>
  <c r="AR665" i="2"/>
  <c r="AR666" i="2"/>
  <c r="AR429" i="2"/>
  <c r="AR434" i="2" s="1"/>
  <c r="AS298" i="4"/>
  <c r="AS389" i="4"/>
  <c r="AS283" i="4"/>
  <c r="AS273" i="4"/>
  <c r="AS347" i="4"/>
  <c r="AS199" i="4"/>
  <c r="AS189" i="4"/>
  <c r="AS178" i="4"/>
  <c r="AS194" i="4"/>
  <c r="AS412" i="4"/>
  <c r="AS370" i="4"/>
  <c r="AS332" i="4"/>
  <c r="AS293" i="4"/>
  <c r="AS384" i="4"/>
  <c r="AS321" i="4"/>
  <c r="AS169" i="4"/>
  <c r="AS342" i="4"/>
  <c r="AU35" i="2"/>
  <c r="AU16" i="2"/>
  <c r="AU77" i="2"/>
  <c r="AS1092" i="2"/>
  <c r="AT1091" i="2"/>
  <c r="AT1090" i="2" s="1"/>
  <c r="AP19" i="4"/>
  <c r="AP18" i="4" s="1"/>
  <c r="AP196" i="2"/>
  <c r="AN618" i="2"/>
  <c r="AN619" i="2" s="1"/>
  <c r="AQ503" i="4"/>
  <c r="AO198" i="2"/>
  <c r="AO200" i="2"/>
  <c r="AZ68" i="10"/>
  <c r="AN418" i="2"/>
  <c r="AN324" i="4"/>
  <c r="AN374" i="4"/>
  <c r="AN277" i="4"/>
  <c r="AN1184" i="2"/>
  <c r="AN1264" i="2"/>
  <c r="AJ1105" i="2"/>
  <c r="AZ75" i="10"/>
  <c r="AR145" i="2"/>
  <c r="AR9" i="2"/>
  <c r="AR1038" i="2"/>
  <c r="AR1039" i="2"/>
  <c r="AP539" i="2"/>
  <c r="AP546" i="2"/>
  <c r="AO549" i="2"/>
  <c r="AO551" i="2" s="1"/>
  <c r="AP547" i="2"/>
  <c r="Z86" i="10"/>
  <c r="AQ142" i="4"/>
  <c r="AV383" i="4"/>
  <c r="AV341" i="4"/>
  <c r="AV292" i="4"/>
  <c r="AV47" i="1"/>
  <c r="AV57" i="2" s="1"/>
  <c r="AV49" i="1"/>
  <c r="AV50" i="1"/>
  <c r="AV48" i="1"/>
  <c r="AW43" i="1"/>
  <c r="AM1119" i="2"/>
  <c r="AM1117" i="2" s="1"/>
  <c r="AQ293" i="2"/>
  <c r="AQ294" i="2" s="1"/>
  <c r="AY55" i="1"/>
  <c r="AZ54" i="1"/>
  <c r="AT2" i="5"/>
  <c r="AT2" i="4"/>
  <c r="AT2" i="2"/>
  <c r="AT2" i="10"/>
  <c r="AT2" i="1"/>
  <c r="AU25" i="1"/>
  <c r="AQ29" i="2"/>
  <c r="AU299" i="2"/>
  <c r="AU290" i="2"/>
  <c r="AU1063" i="2"/>
  <c r="AU1062" i="2" s="1"/>
  <c r="AT1061" i="2"/>
  <c r="AQ21" i="2"/>
  <c r="AQ727" i="2"/>
  <c r="AQ723" i="2" s="1"/>
  <c r="AQ730" i="2" s="1"/>
  <c r="AQ724" i="2"/>
  <c r="AQ725" i="2" s="1"/>
  <c r="AL590" i="2"/>
  <c r="AL165" i="4" s="1"/>
  <c r="AR298" i="2"/>
  <c r="AR647" i="2"/>
  <c r="AR650" i="2" s="1"/>
  <c r="AR648" i="2"/>
  <c r="AR649" i="2"/>
  <c r="AR170" i="2"/>
  <c r="AS146" i="1"/>
  <c r="AS59" i="1"/>
  <c r="AS120" i="1"/>
  <c r="AS45" i="1"/>
  <c r="AS44" i="1"/>
  <c r="AS123" i="1"/>
  <c r="AS140" i="1"/>
  <c r="AS131" i="1"/>
  <c r="AS53" i="1"/>
  <c r="AO30" i="2"/>
  <c r="AP30" i="2" s="1"/>
  <c r="AQ30" i="2" s="1"/>
  <c r="X77" i="10"/>
  <c r="X78" i="10" s="1"/>
  <c r="AZ113" i="10"/>
  <c r="AO138" i="4"/>
  <c r="AO144" i="4" s="1"/>
  <c r="AO990" i="2"/>
  <c r="BA82" i="10"/>
  <c r="AP177" i="4"/>
  <c r="AL206" i="2"/>
  <c r="AZ106" i="10"/>
  <c r="AU211" i="2"/>
  <c r="AU184" i="2"/>
  <c r="AU159" i="2"/>
  <c r="AP164" i="2"/>
  <c r="AP165" i="2"/>
  <c r="AP153" i="2" s="1"/>
  <c r="AO71" i="2"/>
  <c r="AU1083" i="2"/>
  <c r="AU1082" i="2" s="1"/>
  <c r="AT1084" i="2"/>
  <c r="AQ652" i="2"/>
  <c r="AN1310" i="2"/>
  <c r="AR720" i="2"/>
  <c r="AR721" i="2"/>
  <c r="AR677" i="2"/>
  <c r="AR667" i="2"/>
  <c r="AR671" i="2"/>
  <c r="AR662" i="2" s="1"/>
  <c r="AR694" i="2"/>
  <c r="AR696" i="2"/>
  <c r="AR697" i="2"/>
  <c r="AR172" i="4"/>
  <c r="AQ148" i="2"/>
  <c r="AQ146" i="2"/>
  <c r="AQ173" i="2"/>
  <c r="AQ171" i="2"/>
  <c r="AQ702" i="2"/>
  <c r="AQ698" i="2" s="1"/>
  <c r="AQ708" i="2" s="1"/>
  <c r="AQ703" i="2"/>
  <c r="AQ704" i="2" s="1"/>
  <c r="AQ699" i="2"/>
  <c r="AQ700" i="2" s="1"/>
  <c r="AP991" i="2"/>
  <c r="AP1305" i="2" s="1"/>
  <c r="AP949" i="2"/>
  <c r="AY86" i="1"/>
  <c r="AM496" i="4"/>
  <c r="AM437" i="4"/>
  <c r="AM464" i="4"/>
  <c r="AK208" i="2"/>
  <c r="AU441" i="2"/>
  <c r="AU430" i="2"/>
  <c r="AO1307" i="2"/>
  <c r="AL594" i="2"/>
  <c r="AT87" i="1"/>
  <c r="AS91" i="1"/>
  <c r="AJ117" i="10"/>
  <c r="AK116" i="10" s="1"/>
  <c r="AR729" i="2"/>
  <c r="AR722" i="2"/>
  <c r="AR726" i="2"/>
  <c r="AR717" i="2" s="1"/>
  <c r="AR289" i="2"/>
  <c r="AS136" i="10"/>
  <c r="AS188" i="4" s="1"/>
  <c r="AS93" i="10"/>
  <c r="AS168" i="4" s="1"/>
  <c r="AS135" i="10"/>
  <c r="AS133" i="10"/>
  <c r="AS65" i="10"/>
  <c r="AS97" i="10"/>
  <c r="AS176" i="4" s="1"/>
  <c r="AS70" i="10"/>
  <c r="AS71" i="10" s="1"/>
  <c r="AS72" i="10" s="1"/>
  <c r="AR498" i="2" l="1"/>
  <c r="AS439" i="2"/>
  <c r="AR970" i="2"/>
  <c r="F88" i="7"/>
  <c r="F87" i="7"/>
  <c r="F86" i="7"/>
  <c r="F103" i="7"/>
  <c r="F121" i="7"/>
  <c r="F110" i="7"/>
  <c r="AP471" i="2"/>
  <c r="AP473" i="2" s="1"/>
  <c r="AP527" i="2" s="1"/>
  <c r="F27" i="7"/>
  <c r="AR508" i="2"/>
  <c r="AR56" i="4"/>
  <c r="AS503" i="2"/>
  <c r="AT502" i="2"/>
  <c r="AT501" i="2"/>
  <c r="AT506" i="2"/>
  <c r="AT505" i="2"/>
  <c r="AR967" i="2"/>
  <c r="AQ971" i="2"/>
  <c r="AS493" i="2"/>
  <c r="AT496" i="2"/>
  <c r="AT491" i="2"/>
  <c r="AT492" i="2"/>
  <c r="AT495" i="2"/>
  <c r="AP996" i="2"/>
  <c r="AP388" i="2"/>
  <c r="AP386" i="2" s="1"/>
  <c r="AS411" i="2"/>
  <c r="AP363" i="2"/>
  <c r="AP42" i="4" s="1"/>
  <c r="AP396" i="2"/>
  <c r="AP394" i="2" s="1"/>
  <c r="AQ395" i="2"/>
  <c r="AR395" i="2"/>
  <c r="AR387" i="2"/>
  <c r="AQ387" i="2"/>
  <c r="AT344" i="2"/>
  <c r="AT348" i="2"/>
  <c r="AT345" i="2" s="1"/>
  <c r="AS346" i="2"/>
  <c r="AT335" i="2"/>
  <c r="AT339" i="2"/>
  <c r="AT336" i="2" s="1"/>
  <c r="AS337" i="2"/>
  <c r="AP315" i="2"/>
  <c r="AP35" i="4" s="1"/>
  <c r="AT68" i="2"/>
  <c r="AT330" i="2"/>
  <c r="AT327" i="2" s="1"/>
  <c r="AT326" i="2"/>
  <c r="AS328" i="2"/>
  <c r="AR332" i="2"/>
  <c r="AR333" i="2" s="1"/>
  <c r="AR37" i="4" s="1"/>
  <c r="AG1219" i="2"/>
  <c r="AQ323" i="2"/>
  <c r="AQ324" i="2" s="1"/>
  <c r="AQ36" i="4" s="1"/>
  <c r="AQ314" i="2"/>
  <c r="T115" i="4"/>
  <c r="S1331" i="2"/>
  <c r="S1332" i="2" s="1"/>
  <c r="S1333" i="2" s="1"/>
  <c r="AQ362" i="2"/>
  <c r="AS107" i="2"/>
  <c r="AS87" i="2"/>
  <c r="AQ128" i="2"/>
  <c r="AP129" i="2"/>
  <c r="AN574" i="2"/>
  <c r="AN575" i="2" s="1"/>
  <c r="AN572" i="2" s="1"/>
  <c r="AN162" i="4" s="1"/>
  <c r="AP130" i="2"/>
  <c r="AP1291" i="2" s="1"/>
  <c r="AP517" i="2"/>
  <c r="AS318" i="2"/>
  <c r="AS67" i="2"/>
  <c r="AS195" i="2" s="1"/>
  <c r="AO239" i="4"/>
  <c r="AP6" i="4"/>
  <c r="AP112" i="2"/>
  <c r="AO72" i="2"/>
  <c r="AR30" i="2"/>
  <c r="AQ403" i="2"/>
  <c r="AQ83" i="2"/>
  <c r="AQ84" i="2" s="1"/>
  <c r="AQ383" i="2"/>
  <c r="AQ404" i="2" s="1"/>
  <c r="U104" i="4"/>
  <c r="V240" i="4"/>
  <c r="AP402" i="2"/>
  <c r="AN775" i="2"/>
  <c r="AN995" i="2" s="1"/>
  <c r="AM216" i="2"/>
  <c r="AS357" i="2"/>
  <c r="AP412" i="2"/>
  <c r="AP430" i="4" s="1"/>
  <c r="AP91" i="4"/>
  <c r="AP1096" i="2"/>
  <c r="AP1" i="4"/>
  <c r="AP14" i="4"/>
  <c r="AP1" i="1"/>
  <c r="AP113" i="1"/>
  <c r="AP38" i="1"/>
  <c r="AP1000" i="2"/>
  <c r="AP366" i="4"/>
  <c r="AP269" i="4"/>
  <c r="AP408" i="4"/>
  <c r="AP55" i="10"/>
  <c r="AP1168" i="2"/>
  <c r="AP69" i="4"/>
  <c r="AP68" i="1"/>
  <c r="AP159" i="4"/>
  <c r="AP317" i="4"/>
  <c r="AP1" i="2"/>
  <c r="AP124" i="4"/>
  <c r="AP4" i="5"/>
  <c r="AP1" i="5"/>
  <c r="AP140" i="2"/>
  <c r="AP102" i="10"/>
  <c r="AP284" i="2"/>
  <c r="AP4" i="4"/>
  <c r="AP1269" i="2"/>
  <c r="AP1056" i="2"/>
  <c r="AP570" i="2"/>
  <c r="AP14" i="1"/>
  <c r="AP423" i="2"/>
  <c r="AP25" i="4"/>
  <c r="AP1" i="10"/>
  <c r="AP90" i="10"/>
  <c r="AP233" i="4"/>
  <c r="AP1189" i="2"/>
  <c r="AP1142" i="2"/>
  <c r="AP638" i="2"/>
  <c r="AP4" i="2"/>
  <c r="AM217" i="2"/>
  <c r="AM205" i="2" s="1"/>
  <c r="AO202" i="2"/>
  <c r="AO276" i="2" s="1"/>
  <c r="AO592" i="2" s="1"/>
  <c r="AN204" i="2"/>
  <c r="AN216" i="2" s="1"/>
  <c r="AS378" i="2"/>
  <c r="AS379" i="2" s="1"/>
  <c r="AS403" i="2" s="1"/>
  <c r="AQ54" i="4"/>
  <c r="AQ8" i="4"/>
  <c r="AR955" i="2"/>
  <c r="V173" i="4"/>
  <c r="V179" i="4" s="1"/>
  <c r="V264" i="4" s="1"/>
  <c r="V1316" i="2"/>
  <c r="V1313" i="2" s="1"/>
  <c r="W882" i="2"/>
  <c r="W973" i="2" s="1"/>
  <c r="AR962" i="2"/>
  <c r="U463" i="4"/>
  <c r="U436" i="4"/>
  <c r="U494" i="4"/>
  <c r="X877" i="2"/>
  <c r="X968" i="2" s="1"/>
  <c r="AP384" i="2"/>
  <c r="AP46" i="4" s="1"/>
  <c r="R1337" i="2"/>
  <c r="R1325" i="2" s="1"/>
  <c r="R1334" i="2"/>
  <c r="AV259" i="2"/>
  <c r="AV235" i="2"/>
  <c r="W957" i="2"/>
  <c r="W771" i="2"/>
  <c r="AJ115" i="10"/>
  <c r="AK112" i="10" s="1"/>
  <c r="AV320" i="2"/>
  <c r="AV380" i="2"/>
  <c r="AV311" i="2"/>
  <c r="AV368" i="2"/>
  <c r="AV359" i="2"/>
  <c r="AQ34" i="1"/>
  <c r="AR219" i="4"/>
  <c r="AQ220" i="4"/>
  <c r="AV484" i="2"/>
  <c r="AV454" i="2"/>
  <c r="AV464" i="2"/>
  <c r="AV520" i="2"/>
  <c r="AV474" i="2"/>
  <c r="X935" i="2"/>
  <c r="W983" i="2"/>
  <c r="W175" i="4" s="1"/>
  <c r="W953" i="2"/>
  <c r="W63" i="4" s="1"/>
  <c r="W767" i="2"/>
  <c r="AR29" i="1"/>
  <c r="AR27" i="1"/>
  <c r="AR28" i="1"/>
  <c r="AS26" i="1"/>
  <c r="AR952" i="2"/>
  <c r="AQ956" i="2"/>
  <c r="AR951" i="2"/>
  <c r="AT834" i="2"/>
  <c r="AT831" i="2"/>
  <c r="AR847" i="2"/>
  <c r="AR843" i="2" s="1"/>
  <c r="AR853" i="2" s="1"/>
  <c r="AR848" i="2"/>
  <c r="AR849" i="2" s="1"/>
  <c r="AR844" i="2"/>
  <c r="AR845" i="2" s="1"/>
  <c r="AS840" i="2"/>
  <c r="AS841" i="2"/>
  <c r="AS852" i="2"/>
  <c r="AS842" i="2"/>
  <c r="AS846" i="2"/>
  <c r="AS837" i="2" s="1"/>
  <c r="AS78" i="4" s="1"/>
  <c r="AP299" i="7" s="1"/>
  <c r="AS69" i="2"/>
  <c r="AT805" i="2"/>
  <c r="AT808" i="2"/>
  <c r="AR821" i="2"/>
  <c r="AR817" i="2" s="1"/>
  <c r="AR827" i="2" s="1"/>
  <c r="AR822" i="2"/>
  <c r="AR823" i="2" s="1"/>
  <c r="AR818" i="2"/>
  <c r="AR819" i="2" s="1"/>
  <c r="AQ765" i="2"/>
  <c r="AS814" i="2"/>
  <c r="AS815" i="2"/>
  <c r="AR759" i="2"/>
  <c r="AR75" i="4" s="1"/>
  <c r="AO296" i="7" s="1"/>
  <c r="AS826" i="2"/>
  <c r="AS816" i="2"/>
  <c r="AS820" i="2"/>
  <c r="AS811" i="2" s="1"/>
  <c r="AS77" i="4" s="1"/>
  <c r="AP298" i="7" s="1"/>
  <c r="AS309" i="2"/>
  <c r="AR795" i="2"/>
  <c r="AR791" i="2" s="1"/>
  <c r="AR801" i="2" s="1"/>
  <c r="AR796" i="2"/>
  <c r="AR797" i="2" s="1"/>
  <c r="AR792" i="2"/>
  <c r="AR793" i="2" s="1"/>
  <c r="AS741" i="2"/>
  <c r="AS744" i="2" s="1"/>
  <c r="AS946" i="2" s="1"/>
  <c r="AS172" i="4" s="1"/>
  <c r="AS788" i="2"/>
  <c r="AS789" i="2"/>
  <c r="AS800" i="2"/>
  <c r="AS790" i="2"/>
  <c r="AS794" i="2"/>
  <c r="AS785" i="2" s="1"/>
  <c r="AS76" i="4" s="1"/>
  <c r="AP297" i="7" s="1"/>
  <c r="AT782" i="2"/>
  <c r="AT779" i="2"/>
  <c r="AR746" i="2"/>
  <c r="AT756" i="2"/>
  <c r="AT753" i="2"/>
  <c r="AR769" i="2"/>
  <c r="AS774" i="2"/>
  <c r="AS764" i="2"/>
  <c r="AS768" i="2"/>
  <c r="AR70" i="2"/>
  <c r="AR83" i="2" s="1"/>
  <c r="AS762" i="2"/>
  <c r="AS763" i="2"/>
  <c r="AQ64" i="2"/>
  <c r="AM572" i="2"/>
  <c r="AM162" i="4" s="1"/>
  <c r="AM260" i="4" s="1"/>
  <c r="AM576" i="2"/>
  <c r="AP51" i="2"/>
  <c r="AR7" i="4"/>
  <c r="AT61" i="2"/>
  <c r="AT49" i="2" s="1"/>
  <c r="AT47" i="2"/>
  <c r="AT58" i="2"/>
  <c r="AP52" i="2"/>
  <c r="AQ627" i="2"/>
  <c r="AQ626" i="2" s="1"/>
  <c r="AQ184" i="4" s="1"/>
  <c r="AS50" i="2"/>
  <c r="AR63" i="2"/>
  <c r="AC195" i="4"/>
  <c r="AC222" i="4"/>
  <c r="AQ371" i="2"/>
  <c r="AQ372" i="2" s="1"/>
  <c r="AQ43" i="4" s="1"/>
  <c r="AS366" i="2"/>
  <c r="AS367" i="2" s="1"/>
  <c r="AQ10" i="4"/>
  <c r="AP219" i="2"/>
  <c r="AP221" i="2" s="1"/>
  <c r="AQ9" i="4"/>
  <c r="AS742" i="2"/>
  <c r="AS944" i="2" s="1"/>
  <c r="AM48" i="4"/>
  <c r="AM238" i="4" s="1"/>
  <c r="AN97" i="4"/>
  <c r="AN94" i="4" s="1"/>
  <c r="AD1232" i="2"/>
  <c r="AD1253" i="2" s="1"/>
  <c r="AE1233" i="2"/>
  <c r="AD1243" i="2"/>
  <c r="AD1258" i="2"/>
  <c r="AD212" i="4"/>
  <c r="AD373" i="4"/>
  <c r="AD276" i="4"/>
  <c r="E196" i="7" s="1"/>
  <c r="AT1235" i="2"/>
  <c r="AP111" i="2"/>
  <c r="AR110" i="2"/>
  <c r="AR10" i="4" s="1"/>
  <c r="AT737" i="2"/>
  <c r="AT743" i="2" s="1"/>
  <c r="AT945" i="2" s="1"/>
  <c r="AS109" i="2"/>
  <c r="AQ1299" i="2"/>
  <c r="AR963" i="2"/>
  <c r="AR139" i="4" s="1"/>
  <c r="AQ123" i="2"/>
  <c r="AQ124" i="2" s="1"/>
  <c r="AQ111" i="2" s="1"/>
  <c r="AR910" i="2"/>
  <c r="AR906" i="2" s="1"/>
  <c r="AR916" i="2" s="1"/>
  <c r="AR911" i="2"/>
  <c r="AR912" i="2" s="1"/>
  <c r="AR907" i="2"/>
  <c r="AR908" i="2" s="1"/>
  <c r="AT896" i="2"/>
  <c r="AT890" i="2"/>
  <c r="AS902" i="2"/>
  <c r="AS904" i="2"/>
  <c r="AS905" i="2"/>
  <c r="AS915" i="2"/>
  <c r="AS909" i="2"/>
  <c r="AS899" i="2" s="1"/>
  <c r="AS82" i="4" s="1"/>
  <c r="AP303" i="7" s="1"/>
  <c r="AQ934" i="2"/>
  <c r="AQ941" i="2" s="1"/>
  <c r="AQ985" i="2"/>
  <c r="AR928" i="2"/>
  <c r="AR85" i="4" s="1"/>
  <c r="AO306" i="7" s="1"/>
  <c r="AR984" i="2"/>
  <c r="AR978" i="2" s="1"/>
  <c r="AR140" i="4" s="1"/>
  <c r="AS89" i="2"/>
  <c r="AR90" i="2"/>
  <c r="AR9" i="4" s="1"/>
  <c r="AT923" i="2"/>
  <c r="AT925" i="2"/>
  <c r="AS940" i="2"/>
  <c r="AS988" i="2" s="1"/>
  <c r="AS933" i="2"/>
  <c r="AS981" i="2" s="1"/>
  <c r="AS937" i="2"/>
  <c r="AS931" i="2"/>
  <c r="AS932" i="2"/>
  <c r="AS980" i="2" s="1"/>
  <c r="AR938" i="2"/>
  <c r="AQ876" i="2"/>
  <c r="AQ886" i="2" s="1"/>
  <c r="AR869" i="2"/>
  <c r="AR81" i="4" s="1"/>
  <c r="AO302" i="7" s="1"/>
  <c r="AQ103" i="2"/>
  <c r="AQ104" i="2" s="1"/>
  <c r="AQ91" i="2" s="1"/>
  <c r="AT866" i="2"/>
  <c r="AT860" i="2"/>
  <c r="AR880" i="2"/>
  <c r="AS872" i="2"/>
  <c r="AS874" i="2"/>
  <c r="AS875" i="2"/>
  <c r="AS885" i="2"/>
  <c r="AS879" i="2"/>
  <c r="AP91" i="2"/>
  <c r="AP92" i="2"/>
  <c r="AP243" i="2"/>
  <c r="AQ194" i="2"/>
  <c r="AN553" i="2"/>
  <c r="AN565" i="2" s="1"/>
  <c r="AN61" i="4"/>
  <c r="AN60" i="4" s="1"/>
  <c r="AN102" i="4" s="1"/>
  <c r="AN524" i="2"/>
  <c r="AN554" i="2" s="1"/>
  <c r="AN1302" i="2" s="1"/>
  <c r="AO519" i="2"/>
  <c r="AM559" i="2"/>
  <c r="AM552" i="2"/>
  <c r="AM566" i="2" s="1"/>
  <c r="AL562" i="2"/>
  <c r="AL564" i="2" s="1"/>
  <c r="AM560" i="2"/>
  <c r="AH280" i="2"/>
  <c r="AM94" i="4"/>
  <c r="AM98" i="4" s="1"/>
  <c r="AJ270" i="2"/>
  <c r="AN534" i="2"/>
  <c r="AM536" i="2"/>
  <c r="AM538" i="2" s="1"/>
  <c r="AN526" i="2"/>
  <c r="AK253" i="2"/>
  <c r="AK272" i="2" s="1"/>
  <c r="AK607" i="2" s="1"/>
  <c r="AO533" i="2"/>
  <c r="AO478" i="2"/>
  <c r="AO528" i="2" s="1"/>
  <c r="AO53" i="4"/>
  <c r="AO50" i="4" s="1"/>
  <c r="AK254" i="2"/>
  <c r="AK278" i="2" s="1"/>
  <c r="AK604" i="2" s="1"/>
  <c r="AK269" i="2"/>
  <c r="AK270" i="2" s="1"/>
  <c r="AJ279" i="2"/>
  <c r="AJ611" i="2" s="1"/>
  <c r="AK459" i="4"/>
  <c r="AJ258" i="2"/>
  <c r="AK486" i="4"/>
  <c r="AJ278" i="2"/>
  <c r="AJ604" i="2" s="1"/>
  <c r="AJ605" i="2" s="1"/>
  <c r="AJ606" i="2" s="1"/>
  <c r="AK232" i="2"/>
  <c r="AK234" i="2" s="1"/>
  <c r="AI258" i="2"/>
  <c r="AI273" i="2" s="1"/>
  <c r="AI279" i="2"/>
  <c r="AI611" i="2" s="1"/>
  <c r="AI612" i="2" s="1"/>
  <c r="AH612" i="2"/>
  <c r="AH609" i="2" s="1"/>
  <c r="AG609" i="2"/>
  <c r="AG613" i="2"/>
  <c r="AL584" i="2"/>
  <c r="AL166" i="4" s="1"/>
  <c r="AL262" i="4" s="1"/>
  <c r="AJ234" i="2"/>
  <c r="AL230" i="2"/>
  <c r="AM584" i="2"/>
  <c r="AM166" i="4" s="1"/>
  <c r="AM588" i="2"/>
  <c r="AL30" i="4"/>
  <c r="AL27" i="4" s="1"/>
  <c r="AL265" i="2"/>
  <c r="AL254" i="2" s="1"/>
  <c r="AL264" i="2"/>
  <c r="AL274" i="2" s="1"/>
  <c r="AL1292" i="2" s="1"/>
  <c r="AL271" i="2"/>
  <c r="AM252" i="2"/>
  <c r="AM271" i="2" s="1"/>
  <c r="AO245" i="2"/>
  <c r="AO268" i="2" s="1"/>
  <c r="AO95" i="4" s="1"/>
  <c r="AO237" i="4" s="1"/>
  <c r="AN246" i="2"/>
  <c r="AN248" i="2"/>
  <c r="AN277" i="2" s="1"/>
  <c r="AN228" i="2"/>
  <c r="AO222" i="2"/>
  <c r="AO224" i="2"/>
  <c r="AM29" i="4"/>
  <c r="AM240" i="2"/>
  <c r="AM241" i="2"/>
  <c r="AM230" i="2" s="1"/>
  <c r="AT262" i="2"/>
  <c r="AT244" i="2"/>
  <c r="AT260" i="2"/>
  <c r="AT250" i="2"/>
  <c r="AT238" i="2"/>
  <c r="AT236" i="2"/>
  <c r="AT220" i="2"/>
  <c r="AT226" i="2"/>
  <c r="AR488" i="2"/>
  <c r="AR54" i="4"/>
  <c r="AT485" i="2"/>
  <c r="AT486" i="2"/>
  <c r="AT482" i="2"/>
  <c r="AT475" i="2"/>
  <c r="AT476" i="2"/>
  <c r="AT472" i="2"/>
  <c r="AR468" i="2"/>
  <c r="AR52" i="4"/>
  <c r="AT465" i="2"/>
  <c r="AT466" i="2"/>
  <c r="AT462" i="2"/>
  <c r="AS463" i="2"/>
  <c r="AT521" i="2"/>
  <c r="AT522" i="2"/>
  <c r="AT518" i="2"/>
  <c r="AR458" i="2"/>
  <c r="AR51" i="4"/>
  <c r="AP529" i="2"/>
  <c r="AT455" i="2"/>
  <c r="AT456" i="2"/>
  <c r="AT452" i="2"/>
  <c r="AS453" i="2"/>
  <c r="AO431" i="4"/>
  <c r="AO458" i="4"/>
  <c r="AN397" i="2"/>
  <c r="AM598" i="2"/>
  <c r="AM401" i="2"/>
  <c r="AK261" i="4"/>
  <c r="AL599" i="2"/>
  <c r="AT321" i="2"/>
  <c r="AT317" i="2"/>
  <c r="AR323" i="2"/>
  <c r="AR324" i="2" s="1"/>
  <c r="AR36" i="4" s="1"/>
  <c r="AT312" i="2"/>
  <c r="AT308" i="2"/>
  <c r="AR314" i="2"/>
  <c r="AT381" i="2"/>
  <c r="AT377" i="2"/>
  <c r="AR383" i="2"/>
  <c r="AR404" i="2" s="1"/>
  <c r="AO416" i="2"/>
  <c r="AO1322" i="2" s="1"/>
  <c r="AO1321" i="2"/>
  <c r="AO497" i="4" s="1"/>
  <c r="AT369" i="2"/>
  <c r="AT365" i="2"/>
  <c r="AR371" i="2"/>
  <c r="AR372" i="2" s="1"/>
  <c r="AR43" i="4" s="1"/>
  <c r="AN1322" i="2"/>
  <c r="AN419" i="2"/>
  <c r="AN1323" i="2" s="1"/>
  <c r="AT360" i="2"/>
  <c r="AT356" i="2"/>
  <c r="AR362" i="2"/>
  <c r="AR195" i="2"/>
  <c r="AR197" i="2" s="1"/>
  <c r="AJ1198" i="2"/>
  <c r="AV117" i="2"/>
  <c r="AV97" i="2"/>
  <c r="AU62" i="10"/>
  <c r="AU57" i="10"/>
  <c r="AM109" i="10"/>
  <c r="AK1200" i="2"/>
  <c r="AK1198" i="2" s="1"/>
  <c r="AO418" i="2"/>
  <c r="AO128" i="4"/>
  <c r="AN1118" i="2"/>
  <c r="AN1119" i="2" s="1"/>
  <c r="AN1117" i="2" s="1"/>
  <c r="AT121" i="2"/>
  <c r="AT118" i="2"/>
  <c r="AT108" i="2"/>
  <c r="AN158" i="2"/>
  <c r="AN181" i="2"/>
  <c r="AN183" i="2" s="1"/>
  <c r="AS1280" i="2"/>
  <c r="AS1282" i="2" s="1"/>
  <c r="AT98" i="2"/>
  <c r="AT101" i="2"/>
  <c r="AT88" i="2"/>
  <c r="AO179" i="2"/>
  <c r="AK1105" i="2"/>
  <c r="AR547" i="2"/>
  <c r="AP71" i="2"/>
  <c r="AQ152" i="2"/>
  <c r="AQ164" i="2" s="1"/>
  <c r="AS9" i="2"/>
  <c r="AS21" i="2" s="1"/>
  <c r="AS22" i="2" s="1"/>
  <c r="AS10" i="2" s="1"/>
  <c r="AR652" i="2"/>
  <c r="AO153" i="2"/>
  <c r="AO154" i="2"/>
  <c r="AQ177" i="2"/>
  <c r="AQ190" i="2" s="1"/>
  <c r="AP181" i="2" s="1"/>
  <c r="AP190" i="2"/>
  <c r="AP179" i="2" s="1"/>
  <c r="AS28" i="2"/>
  <c r="AS41" i="2" s="1"/>
  <c r="AL1107" i="2"/>
  <c r="AL1105" i="2" s="1"/>
  <c r="AT65" i="10"/>
  <c r="AT133" i="10"/>
  <c r="AT135" i="10"/>
  <c r="AT97" i="10"/>
  <c r="AT176" i="4" s="1"/>
  <c r="AT93" i="10"/>
  <c r="AT168" i="4" s="1"/>
  <c r="AT136" i="10"/>
  <c r="AT188" i="4" s="1"/>
  <c r="AT70" i="10"/>
  <c r="AT71" i="10" s="1"/>
  <c r="AT72" i="10" s="1"/>
  <c r="AP1307" i="2"/>
  <c r="AR703" i="2"/>
  <c r="AR704" i="2" s="1"/>
  <c r="AR702" i="2"/>
  <c r="AR698" i="2" s="1"/>
  <c r="AR708" i="2" s="1"/>
  <c r="AR699" i="2"/>
  <c r="AR700" i="2" s="1"/>
  <c r="AT298" i="4"/>
  <c r="AT389" i="4"/>
  <c r="AT283" i="4"/>
  <c r="AT273" i="4"/>
  <c r="AT347" i="4"/>
  <c r="AT199" i="4"/>
  <c r="AT189" i="4"/>
  <c r="AT178" i="4"/>
  <c r="AT194" i="4"/>
  <c r="AT332" i="4"/>
  <c r="AT293" i="4"/>
  <c r="AT370" i="4"/>
  <c r="AT321" i="4"/>
  <c r="AT412" i="4"/>
  <c r="AT342" i="4"/>
  <c r="AT169" i="4"/>
  <c r="AT384" i="4"/>
  <c r="AV290" i="2"/>
  <c r="AV299" i="2"/>
  <c r="AR29" i="2"/>
  <c r="AR21" i="2"/>
  <c r="AR293" i="2"/>
  <c r="AR294" i="2" s="1"/>
  <c r="AQ19" i="4"/>
  <c r="AQ18" i="4" s="1"/>
  <c r="AQ196" i="2"/>
  <c r="AQ22" i="2"/>
  <c r="AQ11" i="2" s="1"/>
  <c r="AV430" i="2"/>
  <c r="AV441" i="2"/>
  <c r="BA68" i="10"/>
  <c r="AU1091" i="2"/>
  <c r="AU1090" i="2" s="1"/>
  <c r="AT1092" i="2"/>
  <c r="AP399" i="2"/>
  <c r="AS720" i="2"/>
  <c r="AS721" i="2"/>
  <c r="AZ86" i="1"/>
  <c r="AO131" i="2"/>
  <c r="AO619" i="2"/>
  <c r="AV77" i="2"/>
  <c r="AV16" i="2"/>
  <c r="AV35" i="2"/>
  <c r="AQ440" i="4"/>
  <c r="AQ502" i="4"/>
  <c r="AQ467" i="4"/>
  <c r="AN593" i="2"/>
  <c r="AN594" i="2" s="1"/>
  <c r="AK210" i="2"/>
  <c r="AR142" i="4"/>
  <c r="AU80" i="1"/>
  <c r="AV81" i="1"/>
  <c r="AP138" i="4"/>
  <c r="AP144" i="4" s="1"/>
  <c r="AP990" i="2"/>
  <c r="AU1084" i="2"/>
  <c r="AV1083" i="2"/>
  <c r="AV1082" i="2" s="1"/>
  <c r="AP154" i="2"/>
  <c r="AO374" i="4"/>
  <c r="AO277" i="4"/>
  <c r="AO324" i="4"/>
  <c r="AO1184" i="2"/>
  <c r="AO1264" i="2"/>
  <c r="AR302" i="2"/>
  <c r="AR303" i="2" s="1"/>
  <c r="AV1063" i="2"/>
  <c r="AV1062" i="2" s="1"/>
  <c r="AU1061" i="2"/>
  <c r="AQ177" i="4"/>
  <c r="AT146" i="1"/>
  <c r="AT59" i="1"/>
  <c r="AT120" i="1"/>
  <c r="AT45" i="1"/>
  <c r="AT44" i="1"/>
  <c r="AT53" i="1"/>
  <c r="AT131" i="1"/>
  <c r="AT123" i="1"/>
  <c r="AT140" i="1"/>
  <c r="AR148" i="2"/>
  <c r="AR146" i="2"/>
  <c r="AN615" i="2"/>
  <c r="AN186" i="4" s="1"/>
  <c r="AQ546" i="2"/>
  <c r="AQ539" i="2"/>
  <c r="AP549" i="2"/>
  <c r="AP551" i="2" s="1"/>
  <c r="AQ547" i="2"/>
  <c r="AQ991" i="2"/>
  <c r="AQ1305" i="2" s="1"/>
  <c r="AQ949" i="2"/>
  <c r="AS694" i="2"/>
  <c r="AS696" i="2"/>
  <c r="AS697" i="2"/>
  <c r="AS289" i="2"/>
  <c r="AU87" i="1"/>
  <c r="AT91" i="1"/>
  <c r="AU2" i="5"/>
  <c r="AU2" i="4"/>
  <c r="AU2" i="2"/>
  <c r="AU2" i="10"/>
  <c r="AU2" i="1"/>
  <c r="AV25" i="1"/>
  <c r="AO156" i="2"/>
  <c r="BA106" i="10"/>
  <c r="AR673" i="2"/>
  <c r="AR674" i="2" s="1"/>
  <c r="AR672" i="2"/>
  <c r="AR668" i="2" s="1"/>
  <c r="AR678" i="2" s="1"/>
  <c r="AR669" i="2"/>
  <c r="AR670" i="2" s="1"/>
  <c r="AS677" i="2"/>
  <c r="AS667" i="2"/>
  <c r="AS671" i="2"/>
  <c r="AS662" i="2" s="1"/>
  <c r="AS298" i="2"/>
  <c r="AM110" i="10"/>
  <c r="AM108" i="10" s="1"/>
  <c r="AN105" i="10" s="1"/>
  <c r="AW292" i="4"/>
  <c r="AW341" i="4"/>
  <c r="AW383" i="4"/>
  <c r="AW47" i="1"/>
  <c r="AW57" i="2" s="1"/>
  <c r="AW49" i="1"/>
  <c r="AW48" i="1"/>
  <c r="AW50" i="1"/>
  <c r="AX43" i="1"/>
  <c r="AS1274" i="2"/>
  <c r="AS1276" i="2" s="1"/>
  <c r="AS145" i="2"/>
  <c r="AS170" i="2"/>
  <c r="AM590" i="2"/>
  <c r="BA113" i="10"/>
  <c r="AZ55" i="1"/>
  <c r="BA54" i="1"/>
  <c r="AO1310" i="2"/>
  <c r="X79" i="10"/>
  <c r="AR171" i="2"/>
  <c r="AR173" i="2"/>
  <c r="AK117" i="10"/>
  <c r="AL116" i="10" s="1"/>
  <c r="AR727" i="2"/>
  <c r="AR723" i="2" s="1"/>
  <c r="AR730" i="2" s="1"/>
  <c r="AR724" i="2"/>
  <c r="AR725" i="2" s="1"/>
  <c r="AT1281" i="2"/>
  <c r="AT1272" i="2"/>
  <c r="AT1032" i="2"/>
  <c r="AT1031" i="2" s="1"/>
  <c r="AT659" i="2"/>
  <c r="AT628" i="2"/>
  <c r="AT629" i="2" s="1"/>
  <c r="AT555" i="2"/>
  <c r="AT544" i="2"/>
  <c r="AT443" i="2"/>
  <c r="AT439" i="2" s="1"/>
  <c r="AT407" i="2"/>
  <c r="AT214" i="2"/>
  <c r="AT160" i="2"/>
  <c r="AT1017" i="2"/>
  <c r="AT656" i="2"/>
  <c r="AT643" i="2"/>
  <c r="AT542" i="2"/>
  <c r="AT531" i="2"/>
  <c r="AT442" i="2"/>
  <c r="AT432" i="2"/>
  <c r="AT405" i="2"/>
  <c r="AT168" i="2"/>
  <c r="AT167" i="2" s="1"/>
  <c r="AT1278" i="2"/>
  <c r="AT1108" i="2"/>
  <c r="AT1109" i="2" s="1"/>
  <c r="AT1037" i="2"/>
  <c r="AT712" i="2"/>
  <c r="AT389" i="2"/>
  <c r="AT187" i="2"/>
  <c r="AT169" i="2" s="1"/>
  <c r="AT144" i="2"/>
  <c r="AT81" i="2"/>
  <c r="AT1275" i="2"/>
  <c r="AT1146" i="2"/>
  <c r="AT1147" i="2" s="1"/>
  <c r="AT212" i="2"/>
  <c r="AT1220" i="2"/>
  <c r="AT1221" i="2" s="1"/>
  <c r="AT1178" i="2"/>
  <c r="AT197" i="4" s="1"/>
  <c r="AT1136" i="2"/>
  <c r="AT682" i="2"/>
  <c r="AT623" i="2"/>
  <c r="AT624" i="2" s="1"/>
  <c r="AT391" i="2"/>
  <c r="AT291" i="2"/>
  <c r="AT17" i="2"/>
  <c r="AT1273" i="2"/>
  <c r="AT1201" i="2"/>
  <c r="AT1202" i="2" s="1"/>
  <c r="AT431" i="2"/>
  <c r="AT1335" i="2"/>
  <c r="AT1120" i="2"/>
  <c r="AT1121" i="2" s="1"/>
  <c r="AT1033" i="2"/>
  <c r="AT688" i="2"/>
  <c r="AT287" i="2"/>
  <c r="AT185" i="2"/>
  <c r="AT162" i="2"/>
  <c r="AT438" i="2"/>
  <c r="AT437" i="2" s="1"/>
  <c r="AT300" i="2"/>
  <c r="AT297" i="2" s="1"/>
  <c r="AT1026" i="2"/>
  <c r="AT557" i="2"/>
  <c r="AT1279" i="2"/>
  <c r="AT1013" i="2"/>
  <c r="AT1014" i="2" s="1"/>
  <c r="AT428" i="2"/>
  <c r="AT143" i="2"/>
  <c r="AT36" i="2"/>
  <c r="AT8" i="2"/>
  <c r="AT1028" i="2"/>
  <c r="AT7" i="2"/>
  <c r="AT1150" i="2"/>
  <c r="AT1151" i="2" s="1"/>
  <c r="AT26" i="2"/>
  <c r="AT25" i="2" s="1"/>
  <c r="AT427" i="2"/>
  <c r="AT19" i="2"/>
  <c r="AT78" i="2"/>
  <c r="AT1012" i="2"/>
  <c r="AT1011" i="2" s="1"/>
  <c r="AT714" i="2"/>
  <c r="AT296" i="2"/>
  <c r="AT39" i="2"/>
  <c r="AT27" i="2" s="1"/>
  <c r="AT288" i="2"/>
  <c r="AT175" i="2"/>
  <c r="AT150" i="2"/>
  <c r="AT1208" i="2"/>
  <c r="AT1209" i="2" s="1"/>
  <c r="AR546" i="2"/>
  <c r="AV211" i="2"/>
  <c r="AV159" i="2"/>
  <c r="AV184" i="2"/>
  <c r="AA84" i="10"/>
  <c r="AA85" i="10" s="1"/>
  <c r="AR503" i="4"/>
  <c r="AP198" i="2"/>
  <c r="AP200" i="2"/>
  <c r="AS440" i="2"/>
  <c r="AS445" i="2" s="1"/>
  <c r="AS707" i="2"/>
  <c r="AS701" i="2"/>
  <c r="AS691" i="2" s="1"/>
  <c r="AS647" i="2"/>
  <c r="AS650" i="2" s="1"/>
  <c r="AS649" i="2"/>
  <c r="AS648" i="2"/>
  <c r="AZ61" i="1"/>
  <c r="BA60" i="1"/>
  <c r="BB82" i="10"/>
  <c r="BA75" i="10"/>
  <c r="AS729" i="2"/>
  <c r="AS722" i="2"/>
  <c r="AS726" i="2"/>
  <c r="AS717" i="2" s="1"/>
  <c r="AS1039" i="2"/>
  <c r="AS1038" i="2"/>
  <c r="AS665" i="2"/>
  <c r="AS666" i="2"/>
  <c r="AS429" i="2"/>
  <c r="AS434" i="2" s="1"/>
  <c r="F75" i="7" l="1"/>
  <c r="F109" i="7"/>
  <c r="F113" i="7"/>
  <c r="F74" i="7"/>
  <c r="F76" i="7"/>
  <c r="F102" i="7"/>
  <c r="F84" i="7"/>
  <c r="AQ471" i="2"/>
  <c r="AQ473" i="2" s="1"/>
  <c r="AQ527" i="2" s="1"/>
  <c r="AS508" i="2"/>
  <c r="AS56" i="4"/>
  <c r="AU506" i="2"/>
  <c r="AU502" i="2"/>
  <c r="AU501" i="2"/>
  <c r="AU505" i="2"/>
  <c r="AS966" i="2"/>
  <c r="AT503" i="2"/>
  <c r="AS967" i="2"/>
  <c r="AS498" i="2"/>
  <c r="AS55" i="4"/>
  <c r="AS970" i="2"/>
  <c r="AS977" i="2"/>
  <c r="AT493" i="2"/>
  <c r="AU496" i="2"/>
  <c r="AU492" i="2"/>
  <c r="AU495" i="2"/>
  <c r="AU491" i="2"/>
  <c r="AR971" i="2"/>
  <c r="AQ996" i="2"/>
  <c r="AP41" i="4"/>
  <c r="AT411" i="2"/>
  <c r="AR396" i="2"/>
  <c r="AQ363" i="2"/>
  <c r="AQ42" i="4" s="1"/>
  <c r="AQ396" i="2"/>
  <c r="AQ394" i="2" s="1"/>
  <c r="AR388" i="2"/>
  <c r="AR386" i="2" s="1"/>
  <c r="AR393" i="2" s="1"/>
  <c r="AQ388" i="2"/>
  <c r="AQ386" i="2" s="1"/>
  <c r="AU344" i="2"/>
  <c r="AU348" i="2"/>
  <c r="AU345" i="2" s="1"/>
  <c r="AS350" i="2"/>
  <c r="AS351" i="2" s="1"/>
  <c r="AS39" i="4" s="1"/>
  <c r="AT346" i="2"/>
  <c r="AT481" i="2"/>
  <c r="AT483" i="2" s="1"/>
  <c r="AP34" i="4"/>
  <c r="AU335" i="2"/>
  <c r="AU339" i="2"/>
  <c r="AU336" i="2" s="1"/>
  <c r="AS341" i="2"/>
  <c r="AS342" i="2" s="1"/>
  <c r="AS38" i="4" s="1"/>
  <c r="AT337" i="2"/>
  <c r="AT328" i="2"/>
  <c r="AT332" i="2" s="1"/>
  <c r="AT333" i="2" s="1"/>
  <c r="AT37" i="4" s="1"/>
  <c r="AQ315" i="2"/>
  <c r="AQ35" i="4" s="1"/>
  <c r="AG1217" i="2"/>
  <c r="AH1218" i="2"/>
  <c r="AS332" i="2"/>
  <c r="AS333" i="2" s="1"/>
  <c r="AS37" i="4" s="1"/>
  <c r="AU68" i="2"/>
  <c r="AU330" i="2"/>
  <c r="AU327" i="2" s="1"/>
  <c r="AU326" i="2"/>
  <c r="T1328" i="2"/>
  <c r="T1331" i="2" s="1"/>
  <c r="AS319" i="2"/>
  <c r="T492" i="4"/>
  <c r="AS358" i="2"/>
  <c r="U207" i="4"/>
  <c r="U209" i="4" s="1"/>
  <c r="AT107" i="2"/>
  <c r="AT87" i="2"/>
  <c r="AT318" i="2"/>
  <c r="AQ130" i="2"/>
  <c r="AQ1291" i="2" s="1"/>
  <c r="AO133" i="2"/>
  <c r="AO574" i="2" s="1"/>
  <c r="AO575" i="2" s="1"/>
  <c r="AQ129" i="2"/>
  <c r="AR128" i="2"/>
  <c r="AR471" i="2" s="1"/>
  <c r="AQ517" i="2"/>
  <c r="AT67" i="2"/>
  <c r="AT195" i="2" s="1"/>
  <c r="AQ6" i="4"/>
  <c r="AP72" i="2"/>
  <c r="AQ52" i="2"/>
  <c r="AS481" i="2"/>
  <c r="AS483" i="2" s="1"/>
  <c r="AS54" i="4" s="1"/>
  <c r="AP409" i="2"/>
  <c r="U284" i="4"/>
  <c r="U333" i="4"/>
  <c r="AQ384" i="2"/>
  <c r="AQ46" i="4" s="1"/>
  <c r="AQ402" i="2"/>
  <c r="AP45" i="4"/>
  <c r="U256" i="4"/>
  <c r="AS310" i="2"/>
  <c r="U109" i="4"/>
  <c r="U247" i="4"/>
  <c r="AT357" i="2"/>
  <c r="AP414" i="2"/>
  <c r="AP617" i="2" s="1"/>
  <c r="AP618" i="2" s="1"/>
  <c r="AP619" i="2" s="1"/>
  <c r="AP457" i="4"/>
  <c r="AP484" i="4"/>
  <c r="AO775" i="2"/>
  <c r="AO995" i="2" s="1"/>
  <c r="AL208" i="2"/>
  <c r="AL210" i="2" s="1"/>
  <c r="AM206" i="2"/>
  <c r="AT378" i="2"/>
  <c r="AP202" i="2"/>
  <c r="AP276" i="2" s="1"/>
  <c r="AP592" i="2" s="1"/>
  <c r="AN28" i="4"/>
  <c r="AN217" i="2"/>
  <c r="AN206" i="2" s="1"/>
  <c r="AO204" i="2"/>
  <c r="AO28" i="4" s="1"/>
  <c r="AR8" i="4"/>
  <c r="S1336" i="2"/>
  <c r="S1337" i="2" s="1"/>
  <c r="S1325" i="2" s="1"/>
  <c r="X878" i="2"/>
  <c r="X969" i="2" s="1"/>
  <c r="AS962" i="2"/>
  <c r="AS28" i="1"/>
  <c r="AS29" i="1"/>
  <c r="AS27" i="1"/>
  <c r="AT26" i="1"/>
  <c r="AQ366" i="4"/>
  <c r="AQ124" i="4"/>
  <c r="AQ38" i="1"/>
  <c r="AQ317" i="4"/>
  <c r="AQ4" i="4"/>
  <c r="AQ1" i="1"/>
  <c r="AQ1096" i="2"/>
  <c r="AQ1168" i="2"/>
  <c r="AQ570" i="2"/>
  <c r="AQ102" i="10"/>
  <c r="AQ638" i="2"/>
  <c r="AQ159" i="4"/>
  <c r="AQ68" i="1"/>
  <c r="AQ1189" i="2"/>
  <c r="AQ1269" i="2"/>
  <c r="AQ423" i="2"/>
  <c r="AQ90" i="10"/>
  <c r="AQ1000" i="2"/>
  <c r="AQ284" i="2"/>
  <c r="AQ14" i="4"/>
  <c r="AQ408" i="4"/>
  <c r="AQ113" i="1"/>
  <c r="AQ1056" i="2"/>
  <c r="AQ91" i="4"/>
  <c r="AQ1142" i="2"/>
  <c r="AQ140" i="2"/>
  <c r="AQ4" i="2"/>
  <c r="AQ1" i="5"/>
  <c r="AQ1" i="4"/>
  <c r="AQ205" i="4"/>
  <c r="AQ1" i="10"/>
  <c r="AQ14" i="1"/>
  <c r="AQ1" i="2"/>
  <c r="AQ69" i="4"/>
  <c r="AQ4" i="5"/>
  <c r="AQ233" i="4"/>
  <c r="AQ269" i="4"/>
  <c r="AQ25" i="4"/>
  <c r="AQ55" i="10"/>
  <c r="W1318" i="2"/>
  <c r="W174" i="4"/>
  <c r="AR220" i="4"/>
  <c r="AS219" i="4"/>
  <c r="AW464" i="2"/>
  <c r="AW474" i="2"/>
  <c r="AW454" i="2"/>
  <c r="AW484" i="2"/>
  <c r="AW520" i="2"/>
  <c r="X881" i="2"/>
  <c r="X972" i="2" s="1"/>
  <c r="V495" i="4"/>
  <c r="V103" i="4"/>
  <c r="V1314" i="2"/>
  <c r="V1315" i="2" s="1"/>
  <c r="AR34" i="1"/>
  <c r="W954" i="2"/>
  <c r="X766" i="2"/>
  <c r="W958" i="2"/>
  <c r="X770" i="2"/>
  <c r="X936" i="2"/>
  <c r="X982" i="2"/>
  <c r="AT1029" i="2"/>
  <c r="AW320" i="2"/>
  <c r="AW380" i="2"/>
  <c r="AW311" i="2"/>
  <c r="AW368" i="2"/>
  <c r="AW359" i="2"/>
  <c r="W107" i="4"/>
  <c r="W65" i="4"/>
  <c r="R491" i="4"/>
  <c r="R1326" i="2"/>
  <c r="R1327" i="2" s="1"/>
  <c r="AW259" i="2"/>
  <c r="AW235" i="2"/>
  <c r="AN109" i="10"/>
  <c r="AN110" i="10" s="1"/>
  <c r="AN108" i="10" s="1"/>
  <c r="AO105" i="10" s="1"/>
  <c r="AS955" i="2"/>
  <c r="AT309" i="2"/>
  <c r="AS951" i="2"/>
  <c r="AS952" i="2"/>
  <c r="AR956" i="2"/>
  <c r="AT69" i="2"/>
  <c r="AS848" i="2"/>
  <c r="AS849" i="2" s="1"/>
  <c r="AS847" i="2"/>
  <c r="AS843" i="2" s="1"/>
  <c r="AS853" i="2" s="1"/>
  <c r="AS844" i="2"/>
  <c r="AS845" i="2" s="1"/>
  <c r="AT840" i="2"/>
  <c r="AT841" i="2"/>
  <c r="AU831" i="2"/>
  <c r="AU834" i="2"/>
  <c r="AT852" i="2"/>
  <c r="AT842" i="2"/>
  <c r="AT846" i="2"/>
  <c r="AT837" i="2" s="1"/>
  <c r="AT78" i="4" s="1"/>
  <c r="AQ299" i="7" s="1"/>
  <c r="AS759" i="2"/>
  <c r="AS75" i="4" s="1"/>
  <c r="AP296" i="7" s="1"/>
  <c r="AR765" i="2"/>
  <c r="AT826" i="2"/>
  <c r="AT816" i="2"/>
  <c r="AT820" i="2"/>
  <c r="AT811" i="2" s="1"/>
  <c r="AT77" i="4" s="1"/>
  <c r="AQ298" i="7" s="1"/>
  <c r="AU805" i="2"/>
  <c r="AU808" i="2"/>
  <c r="AT814" i="2"/>
  <c r="AT815" i="2"/>
  <c r="AS822" i="2"/>
  <c r="AS823" i="2" s="1"/>
  <c r="AS821" i="2"/>
  <c r="AS817" i="2" s="1"/>
  <c r="AS827" i="2" s="1"/>
  <c r="AS818" i="2"/>
  <c r="AS819" i="2" s="1"/>
  <c r="AN576" i="2"/>
  <c r="AU779" i="2"/>
  <c r="AU782" i="2"/>
  <c r="AT788" i="2"/>
  <c r="AT789" i="2"/>
  <c r="AS796" i="2"/>
  <c r="AS797" i="2" s="1"/>
  <c r="AS795" i="2"/>
  <c r="AS791" i="2" s="1"/>
  <c r="AS801" i="2" s="1"/>
  <c r="AS792" i="2"/>
  <c r="AS793" i="2" s="1"/>
  <c r="AT800" i="2"/>
  <c r="AT790" i="2"/>
  <c r="AT794" i="2"/>
  <c r="AT785" i="2" s="1"/>
  <c r="AT76" i="4" s="1"/>
  <c r="AQ297" i="7" s="1"/>
  <c r="AU753" i="2"/>
  <c r="AU756" i="2"/>
  <c r="AS769" i="2"/>
  <c r="AT762" i="2"/>
  <c r="AT763" i="2"/>
  <c r="AT774" i="2"/>
  <c r="AT764" i="2"/>
  <c r="AT768" i="2"/>
  <c r="AQ51" i="2"/>
  <c r="AS746" i="2"/>
  <c r="AR64" i="2"/>
  <c r="AQ412" i="2"/>
  <c r="AQ414" i="2" s="1"/>
  <c r="AQ617" i="2" s="1"/>
  <c r="AT50" i="2"/>
  <c r="AS7" i="4"/>
  <c r="AS63" i="2"/>
  <c r="AU58" i="2"/>
  <c r="AU47" i="2"/>
  <c r="AU61" i="2"/>
  <c r="AU49" i="2" s="1"/>
  <c r="AP93" i="4"/>
  <c r="AP410" i="2"/>
  <c r="AT366" i="2"/>
  <c r="AD1248" i="2"/>
  <c r="AD1259" i="2"/>
  <c r="AD112" i="4" s="1"/>
  <c r="E177" i="7" s="1"/>
  <c r="AD192" i="4"/>
  <c r="AD222" i="4" s="1"/>
  <c r="AP393" i="2"/>
  <c r="AP413" i="2"/>
  <c r="AP1321" i="2" s="1"/>
  <c r="AP458" i="4"/>
  <c r="AQ243" i="2"/>
  <c r="AT742" i="2"/>
  <c r="AT944" i="2" s="1"/>
  <c r="AT741" i="2"/>
  <c r="AT744" i="2" s="1"/>
  <c r="AT946" i="2" s="1"/>
  <c r="AN48" i="4"/>
  <c r="AN238" i="4" s="1"/>
  <c r="AO97" i="4"/>
  <c r="AO94" i="4" s="1"/>
  <c r="AD1257" i="2"/>
  <c r="AE1242" i="2"/>
  <c r="AE1251" i="2"/>
  <c r="AE108" i="4" s="1"/>
  <c r="AE1234" i="2"/>
  <c r="AF1233" i="2" s="1"/>
  <c r="AU1235" i="2"/>
  <c r="AR627" i="2"/>
  <c r="AR626" i="2" s="1"/>
  <c r="AR184" i="4" s="1"/>
  <c r="AT109" i="2"/>
  <c r="AR123" i="2"/>
  <c r="AR124" i="2" s="1"/>
  <c r="AS110" i="2"/>
  <c r="AQ112" i="2"/>
  <c r="AR103" i="2"/>
  <c r="AR104" i="2" s="1"/>
  <c r="AP131" i="2"/>
  <c r="AU737" i="2"/>
  <c r="AU743" i="2" s="1"/>
  <c r="AU945" i="2" s="1"/>
  <c r="AQ92" i="2"/>
  <c r="AS963" i="2"/>
  <c r="AS139" i="4" s="1"/>
  <c r="AR1299" i="2"/>
  <c r="AT89" i="2"/>
  <c r="AS90" i="2"/>
  <c r="AT902" i="2"/>
  <c r="AT904" i="2"/>
  <c r="AT905" i="2"/>
  <c r="AU896" i="2"/>
  <c r="AU890" i="2"/>
  <c r="AR934" i="2"/>
  <c r="AR941" i="2" s="1"/>
  <c r="AR985" i="2"/>
  <c r="AT915" i="2"/>
  <c r="AT909" i="2"/>
  <c r="AT899" i="2" s="1"/>
  <c r="AT82" i="4" s="1"/>
  <c r="AQ303" i="7" s="1"/>
  <c r="AS928" i="2"/>
  <c r="AS85" i="4" s="1"/>
  <c r="AP306" i="7" s="1"/>
  <c r="AS984" i="2"/>
  <c r="AS978" i="2" s="1"/>
  <c r="AS140" i="4" s="1"/>
  <c r="AS911" i="2"/>
  <c r="AS912" i="2" s="1"/>
  <c r="AS910" i="2"/>
  <c r="AS906" i="2" s="1"/>
  <c r="AS916" i="2" s="1"/>
  <c r="AS907" i="2"/>
  <c r="AS908" i="2" s="1"/>
  <c r="AQ219" i="2"/>
  <c r="AQ221" i="2" s="1"/>
  <c r="AP431" i="4"/>
  <c r="AP485" i="4"/>
  <c r="AS938" i="2"/>
  <c r="AU923" i="2"/>
  <c r="AU925" i="2"/>
  <c r="AT940" i="2"/>
  <c r="AT988" i="2" s="1"/>
  <c r="AT933" i="2"/>
  <c r="AT981" i="2" s="1"/>
  <c r="AT937" i="2"/>
  <c r="AT931" i="2"/>
  <c r="AT932" i="2"/>
  <c r="AT980" i="2" s="1"/>
  <c r="AR876" i="2"/>
  <c r="AR886" i="2" s="1"/>
  <c r="AS869" i="2"/>
  <c r="AS81" i="4" s="1"/>
  <c r="AP302" i="7" s="1"/>
  <c r="AS880" i="2"/>
  <c r="AU860" i="2"/>
  <c r="AU866" i="2"/>
  <c r="AT872" i="2"/>
  <c r="AT874" i="2"/>
  <c r="AT875" i="2"/>
  <c r="AT885" i="2"/>
  <c r="AT977" i="2" s="1"/>
  <c r="AT879" i="2"/>
  <c r="AJ602" i="2"/>
  <c r="AJ183" i="4" s="1"/>
  <c r="AO524" i="2"/>
  <c r="AO554" i="2" s="1"/>
  <c r="AO1302" i="2" s="1"/>
  <c r="AO61" i="4"/>
  <c r="AO60" i="4" s="1"/>
  <c r="AO102" i="4" s="1"/>
  <c r="AO553" i="2"/>
  <c r="AO565" i="2" s="1"/>
  <c r="AP519" i="2"/>
  <c r="AN559" i="2"/>
  <c r="AN552" i="2"/>
  <c r="AN566" i="2" s="1"/>
  <c r="AM562" i="2"/>
  <c r="AM564" i="2" s="1"/>
  <c r="AN560" i="2"/>
  <c r="AK1301" i="2"/>
  <c r="AO526" i="2"/>
  <c r="AO534" i="2"/>
  <c r="AN536" i="2"/>
  <c r="AN538" i="2" s="1"/>
  <c r="AP478" i="2"/>
  <c r="AP528" i="2" s="1"/>
  <c r="AP53" i="4"/>
  <c r="AJ273" i="2"/>
  <c r="AJ127" i="4" s="1"/>
  <c r="AK605" i="2"/>
  <c r="AK606" i="2" s="1"/>
  <c r="AI609" i="2"/>
  <c r="AI163" i="4" s="1"/>
  <c r="AJ612" i="2"/>
  <c r="AJ609" i="2" s="1"/>
  <c r="AM262" i="4"/>
  <c r="AI127" i="4"/>
  <c r="AI280" i="2"/>
  <c r="AH631" i="2"/>
  <c r="AH163" i="4"/>
  <c r="AH613" i="2"/>
  <c r="AI613" i="2"/>
  <c r="AG163" i="4"/>
  <c r="AG631" i="2"/>
  <c r="AL253" i="2"/>
  <c r="AL272" i="2" s="1"/>
  <c r="AL607" i="2" s="1"/>
  <c r="AL269" i="2"/>
  <c r="AL270" i="2" s="1"/>
  <c r="AK256" i="2"/>
  <c r="AK258" i="2" s="1"/>
  <c r="AK273" i="2" s="1"/>
  <c r="AK127" i="4" s="1"/>
  <c r="AL432" i="4"/>
  <c r="AL486" i="4"/>
  <c r="AL459" i="4"/>
  <c r="AO228" i="2"/>
  <c r="AN252" i="2"/>
  <c r="AN30" i="4" s="1"/>
  <c r="AL278" i="2"/>
  <c r="AL604" i="2" s="1"/>
  <c r="AL605" i="2" s="1"/>
  <c r="AP245" i="2"/>
  <c r="AP268" i="2" s="1"/>
  <c r="AP95" i="4" s="1"/>
  <c r="AO248" i="2"/>
  <c r="AO277" i="2" s="1"/>
  <c r="AO246" i="2"/>
  <c r="AO275" i="2" s="1"/>
  <c r="AO586" i="2" s="1"/>
  <c r="AN275" i="2"/>
  <c r="AN586" i="2" s="1"/>
  <c r="AN587" i="2" s="1"/>
  <c r="AN588" i="2" s="1"/>
  <c r="AM30" i="4"/>
  <c r="AM27" i="4" s="1"/>
  <c r="AM265" i="2"/>
  <c r="AL256" i="2" s="1"/>
  <c r="AM264" i="2"/>
  <c r="AM274" i="2" s="1"/>
  <c r="AM1292" i="2" s="1"/>
  <c r="AP224" i="2"/>
  <c r="AP222" i="2"/>
  <c r="AN29" i="4"/>
  <c r="AN241" i="2"/>
  <c r="AN230" i="2" s="1"/>
  <c r="AN240" i="2"/>
  <c r="AM229" i="2"/>
  <c r="AL232" i="2"/>
  <c r="AL234" i="2" s="1"/>
  <c r="AU262" i="2"/>
  <c r="AU260" i="2"/>
  <c r="AU244" i="2"/>
  <c r="AU250" i="2"/>
  <c r="AU238" i="2"/>
  <c r="AU236" i="2"/>
  <c r="AU220" i="2"/>
  <c r="AU226" i="2"/>
  <c r="AU486" i="2"/>
  <c r="AU482" i="2"/>
  <c r="AU485" i="2"/>
  <c r="AS70" i="2"/>
  <c r="AU476" i="2"/>
  <c r="AU472" i="2"/>
  <c r="AU475" i="2"/>
  <c r="AS468" i="2"/>
  <c r="AS52" i="4"/>
  <c r="AU466" i="2"/>
  <c r="AU462" i="2"/>
  <c r="AU465" i="2"/>
  <c r="AT463" i="2"/>
  <c r="AU522" i="2"/>
  <c r="AU518" i="2"/>
  <c r="AU521" i="2"/>
  <c r="AR402" i="2"/>
  <c r="AR409" i="2" s="1"/>
  <c r="AQ529" i="2"/>
  <c r="AS458" i="2"/>
  <c r="AS51" i="4"/>
  <c r="AU456" i="2"/>
  <c r="AU452" i="2"/>
  <c r="AU455" i="2"/>
  <c r="AT453" i="2"/>
  <c r="AR194" i="2"/>
  <c r="AR384" i="2"/>
  <c r="AR46" i="4" s="1"/>
  <c r="AR45" i="4" s="1"/>
  <c r="AO397" i="2"/>
  <c r="AN401" i="2"/>
  <c r="AN598" i="2"/>
  <c r="AL596" i="2"/>
  <c r="AL164" i="4" s="1"/>
  <c r="AL261" i="4" s="1"/>
  <c r="AL600" i="2"/>
  <c r="AM599" i="2"/>
  <c r="AM596" i="2" s="1"/>
  <c r="AM164" i="4" s="1"/>
  <c r="AU321" i="2"/>
  <c r="AU317" i="2"/>
  <c r="AR315" i="2"/>
  <c r="AR35" i="4" s="1"/>
  <c r="AR34" i="4" s="1"/>
  <c r="AU312" i="2"/>
  <c r="AU308" i="2"/>
  <c r="AU381" i="2"/>
  <c r="AU377" i="2"/>
  <c r="AS383" i="2"/>
  <c r="AS404" i="2" s="1"/>
  <c r="AO419" i="2"/>
  <c r="AO1323" i="2" s="1"/>
  <c r="AO496" i="4" s="1"/>
  <c r="AU369" i="2"/>
  <c r="AU365" i="2"/>
  <c r="AS371" i="2"/>
  <c r="AS372" i="2" s="1"/>
  <c r="AS43" i="4" s="1"/>
  <c r="AN464" i="4"/>
  <c r="AN496" i="4"/>
  <c r="AN437" i="4"/>
  <c r="AR363" i="2"/>
  <c r="AR42" i="4" s="1"/>
  <c r="AR41" i="4" s="1"/>
  <c r="AU360" i="2"/>
  <c r="AU356" i="2"/>
  <c r="AL1199" i="2"/>
  <c r="AL1200" i="2" s="1"/>
  <c r="AW117" i="2"/>
  <c r="AW97" i="2"/>
  <c r="AK115" i="10"/>
  <c r="AL112" i="10" s="1"/>
  <c r="AV57" i="10"/>
  <c r="AV62" i="10"/>
  <c r="AN260" i="4"/>
  <c r="AQ549" i="2"/>
  <c r="AQ551" i="2" s="1"/>
  <c r="AU118" i="2"/>
  <c r="AU108" i="2"/>
  <c r="AU121" i="2"/>
  <c r="AT1274" i="2"/>
  <c r="AT1276" i="2" s="1"/>
  <c r="AR539" i="2"/>
  <c r="AU101" i="2"/>
  <c r="AU98" i="2"/>
  <c r="AU88" i="2"/>
  <c r="AQ165" i="2"/>
  <c r="AQ153" i="2" s="1"/>
  <c r="AO1118" i="2"/>
  <c r="AO1119" i="2" s="1"/>
  <c r="AP1118" i="2" s="1"/>
  <c r="AQ71" i="2"/>
  <c r="AQ10" i="2"/>
  <c r="AS547" i="2"/>
  <c r="AQ189" i="2"/>
  <c r="AO181" i="2"/>
  <c r="AO183" i="2" s="1"/>
  <c r="AT289" i="2"/>
  <c r="AT293" i="2" s="1"/>
  <c r="AT294" i="2" s="1"/>
  <c r="AP178" i="2"/>
  <c r="AT9" i="2"/>
  <c r="AT21" i="2" s="1"/>
  <c r="AT22" i="2" s="1"/>
  <c r="AS652" i="2"/>
  <c r="AT429" i="2"/>
  <c r="AT434" i="2" s="1"/>
  <c r="AR177" i="2"/>
  <c r="AR189" i="2" s="1"/>
  <c r="AQ1307" i="2"/>
  <c r="AP1310" i="2"/>
  <c r="AO158" i="2"/>
  <c r="AT28" i="2"/>
  <c r="AT41" i="2" s="1"/>
  <c r="AT42" i="2" s="1"/>
  <c r="AR152" i="2"/>
  <c r="AR165" i="2" s="1"/>
  <c r="AQ178" i="2"/>
  <c r="AL117" i="10"/>
  <c r="AL115" i="10" s="1"/>
  <c r="AM112" i="10" s="1"/>
  <c r="AT145" i="2"/>
  <c r="AT647" i="2"/>
  <c r="AT650" i="2" s="1"/>
  <c r="AT649" i="2"/>
  <c r="AT648" i="2"/>
  <c r="AS194" i="2"/>
  <c r="AS197" i="2"/>
  <c r="AS142" i="4"/>
  <c r="AT665" i="2"/>
  <c r="AT666" i="2"/>
  <c r="AS148" i="2"/>
  <c r="AS146" i="2"/>
  <c r="AT707" i="2"/>
  <c r="AT701" i="2"/>
  <c r="AT691" i="2" s="1"/>
  <c r="AS672" i="2"/>
  <c r="AS668" i="2" s="1"/>
  <c r="AS678" i="2" s="1"/>
  <c r="AS673" i="2"/>
  <c r="AS674" i="2" s="1"/>
  <c r="AS669" i="2"/>
  <c r="AS670" i="2" s="1"/>
  <c r="AR19" i="4"/>
  <c r="AR18" i="4" s="1"/>
  <c r="AR196" i="2"/>
  <c r="BB75" i="10"/>
  <c r="AR502" i="4"/>
  <c r="AR467" i="4"/>
  <c r="AR440" i="4"/>
  <c r="AT1280" i="2"/>
  <c r="AT1282" i="2" s="1"/>
  <c r="AW299" i="2"/>
  <c r="AW290" i="2"/>
  <c r="AU146" i="1"/>
  <c r="AU59" i="1"/>
  <c r="AU120" i="1"/>
  <c r="AU45" i="1"/>
  <c r="AU44" i="1"/>
  <c r="AU123" i="1"/>
  <c r="AU140" i="1"/>
  <c r="AU131" i="1"/>
  <c r="AU53" i="1"/>
  <c r="AQ399" i="2"/>
  <c r="AQ72" i="2"/>
  <c r="AT677" i="2"/>
  <c r="AT667" i="2"/>
  <c r="AT671" i="2"/>
  <c r="AT662" i="2" s="1"/>
  <c r="AW184" i="2"/>
  <c r="AW159" i="2"/>
  <c r="AW211" i="2"/>
  <c r="AQ138" i="4"/>
  <c r="AQ144" i="4" s="1"/>
  <c r="AQ990" i="2"/>
  <c r="AN98" i="4"/>
  <c r="AW1063" i="2"/>
  <c r="AW1062" i="2" s="1"/>
  <c r="AV1061" i="2"/>
  <c r="AP277" i="4"/>
  <c r="F197" i="7" s="1"/>
  <c r="AP374" i="4"/>
  <c r="AP324" i="4"/>
  <c r="AP1264" i="2"/>
  <c r="AP1184" i="2"/>
  <c r="AQ198" i="2"/>
  <c r="AQ200" i="2"/>
  <c r="AT172" i="4"/>
  <c r="AS503" i="4"/>
  <c r="AW441" i="2"/>
  <c r="AW430" i="2"/>
  <c r="AS302" i="2"/>
  <c r="AS303" i="2" s="1"/>
  <c r="AU136" i="10"/>
  <c r="AU188" i="4" s="1"/>
  <c r="AU93" i="10"/>
  <c r="AU168" i="4" s="1"/>
  <c r="AU135" i="10"/>
  <c r="AU133" i="10"/>
  <c r="AU65" i="10"/>
  <c r="AU97" i="10"/>
  <c r="AU176" i="4" s="1"/>
  <c r="AU70" i="10"/>
  <c r="AU71" i="10" s="1"/>
  <c r="AU72" i="10" s="1"/>
  <c r="AS293" i="2"/>
  <c r="AS294" i="2" s="1"/>
  <c r="AW1083" i="2"/>
  <c r="AW1082" i="2" s="1"/>
  <c r="AV1084" i="2"/>
  <c r="BA86" i="1"/>
  <c r="AU1092" i="2"/>
  <c r="AV1091" i="2"/>
  <c r="AV1090" i="2" s="1"/>
  <c r="AS42" i="2"/>
  <c r="AS30" i="2" s="1"/>
  <c r="AA86" i="10"/>
  <c r="AT298" i="2"/>
  <c r="AT440" i="2"/>
  <c r="AT445" i="2" s="1"/>
  <c r="AT1039" i="2"/>
  <c r="AT1038" i="2"/>
  <c r="AT170" i="2"/>
  <c r="BA55" i="1"/>
  <c r="BB54" i="1"/>
  <c r="AS173" i="2"/>
  <c r="AS171" i="2"/>
  <c r="AW77" i="2"/>
  <c r="AW16" i="2"/>
  <c r="AW35" i="2"/>
  <c r="AU1335" i="2"/>
  <c r="AU1279" i="2"/>
  <c r="AU1220" i="2"/>
  <c r="AU1221" i="2" s="1"/>
  <c r="AU1136" i="2"/>
  <c r="AU714" i="2"/>
  <c r="AU431" i="2"/>
  <c r="AU391" i="2"/>
  <c r="AU300" i="2"/>
  <c r="AU297" i="2" s="1"/>
  <c r="AU291" i="2"/>
  <c r="AU212" i="2"/>
  <c r="AU1278" i="2"/>
  <c r="AU1108" i="2"/>
  <c r="AU1109" i="2" s="1"/>
  <c r="AU1037" i="2"/>
  <c r="AU1029" i="2"/>
  <c r="AU712" i="2"/>
  <c r="AU389" i="2"/>
  <c r="AU187" i="2"/>
  <c r="AU169" i="2" s="1"/>
  <c r="AU144" i="2"/>
  <c r="AU81" i="2"/>
  <c r="AU1275" i="2"/>
  <c r="AU1201" i="2"/>
  <c r="AU1202" i="2" s="1"/>
  <c r="AU1150" i="2"/>
  <c r="AU1151" i="2" s="1"/>
  <c r="AU1120" i="2"/>
  <c r="AU1121" i="2" s="1"/>
  <c r="AU1026" i="2"/>
  <c r="AU1013" i="2"/>
  <c r="AU1014" i="2" s="1"/>
  <c r="AU688" i="2"/>
  <c r="AU438" i="2"/>
  <c r="AU437" i="2" s="1"/>
  <c r="AU428" i="2"/>
  <c r="AU288" i="2"/>
  <c r="AU185" i="2"/>
  <c r="AU19" i="2"/>
  <c r="AU1272" i="2"/>
  <c r="AU1028" i="2"/>
  <c r="AU643" i="2"/>
  <c r="AU542" i="2"/>
  <c r="AU443" i="2"/>
  <c r="AU439" i="2" s="1"/>
  <c r="AU427" i="2"/>
  <c r="AU405" i="2"/>
  <c r="AU214" i="2"/>
  <c r="AU39" i="2"/>
  <c r="AU27" i="2" s="1"/>
  <c r="AU8" i="2"/>
  <c r="AU659" i="2"/>
  <c r="AU557" i="2"/>
  <c r="AU442" i="2"/>
  <c r="AU162" i="2"/>
  <c r="AU7" i="2"/>
  <c r="AU656" i="2"/>
  <c r="AU555" i="2"/>
  <c r="AU143" i="2"/>
  <c r="AU36" i="2"/>
  <c r="AU1032" i="2"/>
  <c r="AU1031" i="2" s="1"/>
  <c r="AU287" i="2"/>
  <c r="AU544" i="2"/>
  <c r="AU160" i="2"/>
  <c r="AU26" i="2"/>
  <c r="AU25" i="2" s="1"/>
  <c r="AU1273" i="2"/>
  <c r="AU1017" i="2"/>
  <c r="AU1012" i="2"/>
  <c r="AU1011" i="2" s="1"/>
  <c r="AU296" i="2"/>
  <c r="AU531" i="2"/>
  <c r="AU168" i="2"/>
  <c r="AU167" i="2" s="1"/>
  <c r="AU17" i="2"/>
  <c r="AU78" i="2"/>
  <c r="AU682" i="2"/>
  <c r="AU628" i="2"/>
  <c r="AU1146" i="2"/>
  <c r="AU1147" i="2" s="1"/>
  <c r="AU623" i="2"/>
  <c r="AU624" i="2" s="1"/>
  <c r="AU432" i="2"/>
  <c r="AU1033" i="2"/>
  <c r="AU407" i="2"/>
  <c r="AU1281" i="2"/>
  <c r="AU1178" i="2"/>
  <c r="AU197" i="4" s="1"/>
  <c r="AU175" i="2"/>
  <c r="AU150" i="2"/>
  <c r="AU1208" i="2"/>
  <c r="AU1209" i="2" s="1"/>
  <c r="AV80" i="1"/>
  <c r="AW81" i="1"/>
  <c r="AN590" i="2"/>
  <c r="AN165" i="4" s="1"/>
  <c r="AM1106" i="2"/>
  <c r="AS727" i="2"/>
  <c r="AS723" i="2" s="1"/>
  <c r="AS730" i="2" s="1"/>
  <c r="AS724" i="2"/>
  <c r="AS725" i="2" s="1"/>
  <c r="AR412" i="2"/>
  <c r="AT503" i="4"/>
  <c r="BA61" i="1"/>
  <c r="BB60" i="1"/>
  <c r="AT694" i="2"/>
  <c r="AT696" i="2"/>
  <c r="AT697" i="2"/>
  <c r="AT729" i="2"/>
  <c r="AT722" i="2"/>
  <c r="AT726" i="2"/>
  <c r="AT717" i="2" s="1"/>
  <c r="Y77" i="10"/>
  <c r="Y78" i="10" s="1"/>
  <c r="BB113" i="10"/>
  <c r="BB106" i="10"/>
  <c r="AS703" i="2"/>
  <c r="AS704" i="2" s="1"/>
  <c r="AS702" i="2"/>
  <c r="AS698" i="2" s="1"/>
  <c r="AS708" i="2" s="1"/>
  <c r="AS699" i="2"/>
  <c r="AS700" i="2" s="1"/>
  <c r="AR177" i="4"/>
  <c r="AR991" i="2"/>
  <c r="AR1305" i="2" s="1"/>
  <c r="AR949" i="2"/>
  <c r="AR22" i="2"/>
  <c r="AR11" i="2" s="1"/>
  <c r="AS11" i="2" s="1"/>
  <c r="AQ179" i="2"/>
  <c r="AU384" i="4"/>
  <c r="AU321" i="4"/>
  <c r="AU412" i="4"/>
  <c r="AU342" i="4"/>
  <c r="AU370" i="4"/>
  <c r="AU194" i="4"/>
  <c r="AU199" i="4"/>
  <c r="AU169" i="4"/>
  <c r="AU332" i="4"/>
  <c r="AU293" i="4"/>
  <c r="AU273" i="4"/>
  <c r="AU298" i="4"/>
  <c r="AU178" i="4"/>
  <c r="AU389" i="4"/>
  <c r="AU283" i="4"/>
  <c r="AU189" i="4"/>
  <c r="AU347" i="4"/>
  <c r="AT720" i="2"/>
  <c r="AT721" i="2"/>
  <c r="AM165" i="4"/>
  <c r="AR84" i="2"/>
  <c r="AX292" i="4"/>
  <c r="AX341" i="4"/>
  <c r="AX383" i="4"/>
  <c r="AX47" i="1"/>
  <c r="AX57" i="2" s="1"/>
  <c r="AX49" i="1"/>
  <c r="AX50" i="1"/>
  <c r="AX48" i="1"/>
  <c r="AY43" i="1"/>
  <c r="AS546" i="2"/>
  <c r="AV2" i="5"/>
  <c r="AV2" i="4"/>
  <c r="AV2" i="2"/>
  <c r="AV2" i="10"/>
  <c r="AV2" i="1"/>
  <c r="AW25" i="1"/>
  <c r="AV87" i="1"/>
  <c r="AU91" i="1"/>
  <c r="AO593" i="2"/>
  <c r="AO594" i="2" s="1"/>
  <c r="BB68" i="10"/>
  <c r="AT970" i="2" l="1"/>
  <c r="AT310" i="2"/>
  <c r="AS9" i="4"/>
  <c r="AS971" i="2"/>
  <c r="F112" i="7"/>
  <c r="F108" i="7"/>
  <c r="F120" i="7"/>
  <c r="F77" i="7"/>
  <c r="F101" i="7"/>
  <c r="F160" i="7"/>
  <c r="F158" i="7"/>
  <c r="AS395" i="2"/>
  <c r="AQ41" i="4"/>
  <c r="AQ34" i="4"/>
  <c r="AQ96" i="4" s="1"/>
  <c r="AT508" i="2"/>
  <c r="AT56" i="4"/>
  <c r="AV506" i="2"/>
  <c r="AV502" i="2"/>
  <c r="AV505" i="2"/>
  <c r="AV501" i="2"/>
  <c r="AU503" i="2"/>
  <c r="AT498" i="2"/>
  <c r="AT55" i="4"/>
  <c r="AV496" i="2"/>
  <c r="AV492" i="2"/>
  <c r="AV495" i="2"/>
  <c r="AV491" i="2"/>
  <c r="AU493" i="2"/>
  <c r="AT967" i="2"/>
  <c r="AT966" i="2"/>
  <c r="AR996" i="2"/>
  <c r="AP96" i="4"/>
  <c r="AU411" i="2"/>
  <c r="AS387" i="2"/>
  <c r="AV348" i="2"/>
  <c r="AV345" i="2" s="1"/>
  <c r="AV344" i="2"/>
  <c r="AT350" i="2"/>
  <c r="AT351" i="2" s="1"/>
  <c r="AT39" i="4" s="1"/>
  <c r="AU346" i="2"/>
  <c r="AT341" i="2"/>
  <c r="AT342" i="2" s="1"/>
  <c r="AT38" i="4" s="1"/>
  <c r="AV339" i="2"/>
  <c r="AV336" i="2" s="1"/>
  <c r="AV335" i="2"/>
  <c r="AU481" i="2"/>
  <c r="AU483" i="2" s="1"/>
  <c r="AU488" i="2" s="1"/>
  <c r="AU337" i="2"/>
  <c r="AU328" i="2"/>
  <c r="AV68" i="2"/>
  <c r="AV330" i="2"/>
  <c r="AV327" i="2" s="1"/>
  <c r="AV326" i="2"/>
  <c r="AH1219" i="2"/>
  <c r="AH1217" i="2" s="1"/>
  <c r="AT319" i="2"/>
  <c r="AT323" i="2" s="1"/>
  <c r="AT324" i="2" s="1"/>
  <c r="AT36" i="4" s="1"/>
  <c r="AT358" i="2"/>
  <c r="AS323" i="2"/>
  <c r="AS324" i="2" s="1"/>
  <c r="AS36" i="4" s="1"/>
  <c r="T1330" i="2"/>
  <c r="AS362" i="2"/>
  <c r="AT379" i="2"/>
  <c r="AU318" i="2"/>
  <c r="AU319" i="2" s="1"/>
  <c r="AQ409" i="2"/>
  <c r="AQ45" i="4"/>
  <c r="AU107" i="2"/>
  <c r="AU87" i="2"/>
  <c r="AS128" i="2"/>
  <c r="AS471" i="2" s="1"/>
  <c r="AQ133" i="2"/>
  <c r="AQ574" i="2" s="1"/>
  <c r="AR51" i="2"/>
  <c r="AR129" i="2"/>
  <c r="AP133" i="2"/>
  <c r="AP574" i="2" s="1"/>
  <c r="AP575" i="2" s="1"/>
  <c r="AR130" i="2"/>
  <c r="AR1291" i="2" s="1"/>
  <c r="AR458" i="4" s="1"/>
  <c r="AR243" i="2"/>
  <c r="AR517" i="2"/>
  <c r="AS488" i="2"/>
  <c r="AU67" i="2"/>
  <c r="AU195" i="2" s="1"/>
  <c r="AR6" i="4"/>
  <c r="AR93" i="4" s="1"/>
  <c r="AR236" i="4" s="1"/>
  <c r="AS314" i="2"/>
  <c r="AU357" i="2"/>
  <c r="AU358" i="2" s="1"/>
  <c r="AT962" i="2"/>
  <c r="AQ618" i="2"/>
  <c r="AQ619" i="2" s="1"/>
  <c r="AO217" i="2"/>
  <c r="AN208" i="2" s="1"/>
  <c r="AO216" i="2"/>
  <c r="AP128" i="4"/>
  <c r="AP418" i="2"/>
  <c r="AP32" i="4"/>
  <c r="AP615" i="2"/>
  <c r="AP186" i="4" s="1"/>
  <c r="V104" i="4"/>
  <c r="AT367" i="2"/>
  <c r="T1332" i="2"/>
  <c r="W240" i="4"/>
  <c r="U115" i="4"/>
  <c r="AP100" i="4"/>
  <c r="AM208" i="2"/>
  <c r="AM210" i="2" s="1"/>
  <c r="AU378" i="2"/>
  <c r="AP775" i="2"/>
  <c r="AP995" i="2" s="1"/>
  <c r="AQ202" i="2"/>
  <c r="AQ276" i="2" s="1"/>
  <c r="AQ592" i="2" s="1"/>
  <c r="AN205" i="2"/>
  <c r="AP204" i="2"/>
  <c r="AP217" i="2" s="1"/>
  <c r="AT951" i="2"/>
  <c r="AS34" i="1"/>
  <c r="AS69" i="4" s="1"/>
  <c r="AU309" i="2"/>
  <c r="AU310" i="2" s="1"/>
  <c r="S1326" i="2"/>
  <c r="S493" i="4" s="1"/>
  <c r="S491" i="4"/>
  <c r="S1334" i="2"/>
  <c r="R435" i="4"/>
  <c r="R490" i="4"/>
  <c r="R462" i="4"/>
  <c r="AT955" i="2"/>
  <c r="V463" i="4"/>
  <c r="V436" i="4"/>
  <c r="V494" i="4"/>
  <c r="X983" i="2"/>
  <c r="X175" i="4" s="1"/>
  <c r="Y935" i="2"/>
  <c r="AX259" i="2"/>
  <c r="AX235" i="2"/>
  <c r="R493" i="4"/>
  <c r="X957" i="2"/>
  <c r="X771" i="2"/>
  <c r="AX320" i="2"/>
  <c r="AX380" i="2"/>
  <c r="AX311" i="2"/>
  <c r="AX368" i="2"/>
  <c r="AX359" i="2"/>
  <c r="AX520" i="2"/>
  <c r="AX484" i="2"/>
  <c r="AX474" i="2"/>
  <c r="AX464" i="2"/>
  <c r="AX454" i="2"/>
  <c r="X953" i="2"/>
  <c r="X63" i="4" s="1"/>
  <c r="X767" i="2"/>
  <c r="AS220" i="4"/>
  <c r="AT219" i="4"/>
  <c r="Y877" i="2"/>
  <c r="Y968" i="2" s="1"/>
  <c r="W173" i="4"/>
  <c r="W179" i="4" s="1"/>
  <c r="W264" i="4" s="1"/>
  <c r="W1316" i="2"/>
  <c r="W1313" i="2" s="1"/>
  <c r="X882" i="2"/>
  <c r="X973" i="2" s="1"/>
  <c r="AR317" i="4"/>
  <c r="AR284" i="2"/>
  <c r="AR90" i="10"/>
  <c r="AR68" i="1"/>
  <c r="AR1168" i="2"/>
  <c r="AR113" i="1"/>
  <c r="AR102" i="10"/>
  <c r="AR638" i="2"/>
  <c r="AR1189" i="2"/>
  <c r="AR4" i="2"/>
  <c r="AR408" i="4"/>
  <c r="AR1142" i="2"/>
  <c r="AR1" i="1"/>
  <c r="AR1056" i="2"/>
  <c r="AR570" i="2"/>
  <c r="AR366" i="4"/>
  <c r="AR205" i="4"/>
  <c r="AR159" i="4"/>
  <c r="AR1" i="4"/>
  <c r="AR233" i="4"/>
  <c r="AR423" i="2"/>
  <c r="AR14" i="1"/>
  <c r="AR1000" i="2"/>
  <c r="AR1" i="5"/>
  <c r="AR69" i="4"/>
  <c r="AR1269" i="2"/>
  <c r="AR1096" i="2"/>
  <c r="AR4" i="4"/>
  <c r="AR4" i="5"/>
  <c r="AR55" i="10"/>
  <c r="AR38" i="1"/>
  <c r="AR269" i="4"/>
  <c r="AR140" i="2"/>
  <c r="AR1" i="2"/>
  <c r="AR124" i="4"/>
  <c r="AR25" i="4"/>
  <c r="AR1" i="10"/>
  <c r="AR91" i="4"/>
  <c r="AR14" i="4"/>
  <c r="AU26" i="1"/>
  <c r="AT29" i="1"/>
  <c r="AT27" i="1"/>
  <c r="AT28" i="1"/>
  <c r="AS956" i="2"/>
  <c r="AU69" i="2"/>
  <c r="AT952" i="2"/>
  <c r="AQ128" i="4"/>
  <c r="AQ418" i="2"/>
  <c r="AU852" i="2"/>
  <c r="AU842" i="2"/>
  <c r="AU846" i="2"/>
  <c r="AU837" i="2" s="1"/>
  <c r="AU78" i="4" s="1"/>
  <c r="AR299" i="7" s="1"/>
  <c r="AU840" i="2"/>
  <c r="AU841" i="2"/>
  <c r="AV834" i="2"/>
  <c r="AV831" i="2"/>
  <c r="AT847" i="2"/>
  <c r="AT843" i="2" s="1"/>
  <c r="AT853" i="2" s="1"/>
  <c r="AT848" i="2"/>
  <c r="AT849" i="2" s="1"/>
  <c r="AT844" i="2"/>
  <c r="AT845" i="2" s="1"/>
  <c r="AV805" i="2"/>
  <c r="AV808" i="2"/>
  <c r="AS765" i="2"/>
  <c r="AT759" i="2"/>
  <c r="AT75" i="4" s="1"/>
  <c r="AQ296" i="7" s="1"/>
  <c r="AT821" i="2"/>
  <c r="AT817" i="2" s="1"/>
  <c r="AT827" i="2" s="1"/>
  <c r="AT822" i="2"/>
  <c r="AT823" i="2" s="1"/>
  <c r="AT818" i="2"/>
  <c r="AT819" i="2" s="1"/>
  <c r="AU826" i="2"/>
  <c r="AU816" i="2"/>
  <c r="AU820" i="2"/>
  <c r="AU811" i="2" s="1"/>
  <c r="AU77" i="4" s="1"/>
  <c r="AR298" i="7" s="1"/>
  <c r="AU814" i="2"/>
  <c r="AU815" i="2"/>
  <c r="AV782" i="2"/>
  <c r="AV779" i="2"/>
  <c r="AU800" i="2"/>
  <c r="AU790" i="2"/>
  <c r="AU794" i="2"/>
  <c r="AU785" i="2" s="1"/>
  <c r="AU76" i="4" s="1"/>
  <c r="AR297" i="7" s="1"/>
  <c r="AU788" i="2"/>
  <c r="AU789" i="2"/>
  <c r="AT795" i="2"/>
  <c r="AT791" i="2" s="1"/>
  <c r="AT801" i="2" s="1"/>
  <c r="AT796" i="2"/>
  <c r="AT797" i="2" s="1"/>
  <c r="AT792" i="2"/>
  <c r="AT793" i="2" s="1"/>
  <c r="AV753" i="2"/>
  <c r="AV756" i="2"/>
  <c r="AU774" i="2"/>
  <c r="AU768" i="2"/>
  <c r="AU764" i="2"/>
  <c r="AT769" i="2"/>
  <c r="AU762" i="2"/>
  <c r="AU763" i="2"/>
  <c r="AS627" i="2"/>
  <c r="AS626" i="2" s="1"/>
  <c r="AS184" i="4" s="1"/>
  <c r="AS1299" i="2"/>
  <c r="AQ457" i="4"/>
  <c r="AQ410" i="2"/>
  <c r="AR52" i="2"/>
  <c r="AD195" i="4"/>
  <c r="AQ393" i="2"/>
  <c r="AD208" i="4"/>
  <c r="AQ413" i="2"/>
  <c r="AQ416" i="2" s="1"/>
  <c r="AQ1322" i="2" s="1"/>
  <c r="AT746" i="2"/>
  <c r="AQ430" i="4"/>
  <c r="AQ484" i="4"/>
  <c r="AS64" i="2"/>
  <c r="AT7" i="4"/>
  <c r="AT63" i="2"/>
  <c r="AU50" i="2"/>
  <c r="AV58" i="2"/>
  <c r="AV61" i="2"/>
  <c r="AV49" i="2" s="1"/>
  <c r="AV47" i="2"/>
  <c r="AP416" i="2"/>
  <c r="AP1322" i="2" s="1"/>
  <c r="AP236" i="4"/>
  <c r="AU366" i="2"/>
  <c r="AU367" i="2" s="1"/>
  <c r="AU371" i="2" s="1"/>
  <c r="AU372" i="2" s="1"/>
  <c r="AU43" i="4" s="1"/>
  <c r="AS10" i="4"/>
  <c r="AQ93" i="4"/>
  <c r="AP497" i="4"/>
  <c r="AD241" i="4"/>
  <c r="AS83" i="2"/>
  <c r="AQ431" i="4"/>
  <c r="AP50" i="4"/>
  <c r="AP237" i="4"/>
  <c r="AU742" i="2"/>
  <c r="AU944" i="2" s="1"/>
  <c r="AO48" i="4"/>
  <c r="AO238" i="4" s="1"/>
  <c r="AR100" i="4"/>
  <c r="AR32" i="4"/>
  <c r="AR96" i="4"/>
  <c r="AN27" i="4"/>
  <c r="AT110" i="2"/>
  <c r="AU109" i="2"/>
  <c r="AR473" i="2"/>
  <c r="AR527" i="2" s="1"/>
  <c r="AE1243" i="2"/>
  <c r="AE1258" i="2"/>
  <c r="AF1251" i="2"/>
  <c r="AF108" i="4" s="1"/>
  <c r="AF1234" i="2"/>
  <c r="AE1232" i="2"/>
  <c r="AE1252" i="2"/>
  <c r="AE130" i="4" s="1"/>
  <c r="AV1235" i="2"/>
  <c r="AU741" i="2"/>
  <c r="AU744" i="2" s="1"/>
  <c r="AU946" i="2" s="1"/>
  <c r="AR219" i="2"/>
  <c r="AR221" i="2" s="1"/>
  <c r="AS123" i="2"/>
  <c r="AS124" i="2" s="1"/>
  <c r="AT90" i="2"/>
  <c r="AS103" i="2"/>
  <c r="AS104" i="2" s="1"/>
  <c r="AS91" i="2" s="1"/>
  <c r="AQ458" i="4"/>
  <c r="AU89" i="2"/>
  <c r="AV737" i="2"/>
  <c r="AV743" i="2" s="1"/>
  <c r="AV945" i="2" s="1"/>
  <c r="AT1299" i="2"/>
  <c r="AT963" i="2"/>
  <c r="AT139" i="4" s="1"/>
  <c r="AT928" i="2"/>
  <c r="AT85" i="4" s="1"/>
  <c r="AQ306" i="7" s="1"/>
  <c r="AT984" i="2"/>
  <c r="AT978" i="2" s="1"/>
  <c r="AT140" i="4" s="1"/>
  <c r="AU902" i="2"/>
  <c r="AU904" i="2"/>
  <c r="AU905" i="2"/>
  <c r="AU915" i="2"/>
  <c r="AU909" i="2"/>
  <c r="AU899" i="2" s="1"/>
  <c r="AU82" i="4" s="1"/>
  <c r="AR303" i="7" s="1"/>
  <c r="AV896" i="2"/>
  <c r="AV890" i="2"/>
  <c r="AS934" i="2"/>
  <c r="AS941" i="2" s="1"/>
  <c r="AS985" i="2"/>
  <c r="AT911" i="2"/>
  <c r="AT912" i="2" s="1"/>
  <c r="AT910" i="2"/>
  <c r="AT906" i="2" s="1"/>
  <c r="AT916" i="2" s="1"/>
  <c r="AT907" i="2"/>
  <c r="AT908" i="2" s="1"/>
  <c r="AQ485" i="4"/>
  <c r="AU940" i="2"/>
  <c r="AU988" i="2" s="1"/>
  <c r="AU933" i="2"/>
  <c r="AU981" i="2" s="1"/>
  <c r="AU937" i="2"/>
  <c r="AU931" i="2"/>
  <c r="AU932" i="2"/>
  <c r="AU980" i="2" s="1"/>
  <c r="AT938" i="2"/>
  <c r="AV925" i="2"/>
  <c r="AV923" i="2"/>
  <c r="AS876" i="2"/>
  <c r="AS886" i="2" s="1"/>
  <c r="AT869" i="2"/>
  <c r="AT81" i="4" s="1"/>
  <c r="AQ302" i="7" s="1"/>
  <c r="AU885" i="2"/>
  <c r="AU879" i="2"/>
  <c r="AV860" i="2"/>
  <c r="AV866" i="2"/>
  <c r="AU872" i="2"/>
  <c r="AU874" i="2"/>
  <c r="AU875" i="2"/>
  <c r="AT880" i="2"/>
  <c r="AK602" i="2"/>
  <c r="AK183" i="4" s="1"/>
  <c r="AL606" i="2"/>
  <c r="AJ280" i="2"/>
  <c r="AQ519" i="2"/>
  <c r="AP524" i="2"/>
  <c r="AP554" i="2" s="1"/>
  <c r="AP1302" i="2" s="1"/>
  <c r="AP61" i="4"/>
  <c r="AP553" i="2"/>
  <c r="AP565" i="2" s="1"/>
  <c r="AO552" i="2"/>
  <c r="AO566" i="2" s="1"/>
  <c r="AO559" i="2"/>
  <c r="AO560" i="2"/>
  <c r="AN562" i="2"/>
  <c r="AN564" i="2" s="1"/>
  <c r="AQ53" i="4"/>
  <c r="AQ533" i="2"/>
  <c r="AQ478" i="2"/>
  <c r="AQ528" i="2" s="1"/>
  <c r="AP534" i="2"/>
  <c r="AO536" i="2"/>
  <c r="AO538" i="2" s="1"/>
  <c r="AP526" i="2"/>
  <c r="AP533" i="2"/>
  <c r="AL258" i="2"/>
  <c r="AL273" i="2" s="1"/>
  <c r="AI631" i="2"/>
  <c r="AO587" i="2"/>
  <c r="AO588" i="2" s="1"/>
  <c r="AN264" i="2"/>
  <c r="AN274" i="2" s="1"/>
  <c r="AN1292" i="2" s="1"/>
  <c r="AN486" i="4" s="1"/>
  <c r="AJ163" i="4"/>
  <c r="AJ631" i="2"/>
  <c r="AJ613" i="2"/>
  <c r="AN271" i="2"/>
  <c r="AK279" i="2"/>
  <c r="AK611" i="2" s="1"/>
  <c r="AK612" i="2" s="1"/>
  <c r="AK613" i="2" s="1"/>
  <c r="AM269" i="2"/>
  <c r="AM270" i="2" s="1"/>
  <c r="AL1301" i="2"/>
  <c r="AO252" i="2"/>
  <c r="AO271" i="2" s="1"/>
  <c r="AM459" i="4"/>
  <c r="AM486" i="4"/>
  <c r="AO241" i="2"/>
  <c r="AO229" i="2" s="1"/>
  <c r="AN584" i="2"/>
  <c r="AN166" i="4" s="1"/>
  <c r="AN262" i="4" s="1"/>
  <c r="AN265" i="2"/>
  <c r="AN269" i="2" s="1"/>
  <c r="AO240" i="2"/>
  <c r="AO29" i="4"/>
  <c r="AM253" i="2"/>
  <c r="AM272" i="2" s="1"/>
  <c r="AM607" i="2" s="1"/>
  <c r="AM254" i="2"/>
  <c r="AM278" i="2" s="1"/>
  <c r="AM604" i="2" s="1"/>
  <c r="AP248" i="2"/>
  <c r="AP277" i="2" s="1"/>
  <c r="AP246" i="2"/>
  <c r="AM432" i="4"/>
  <c r="AQ245" i="2"/>
  <c r="AQ268" i="2" s="1"/>
  <c r="AQ95" i="4" s="1"/>
  <c r="AN229" i="2"/>
  <c r="AM232" i="2"/>
  <c r="AM234" i="2" s="1"/>
  <c r="AL279" i="2"/>
  <c r="AL611" i="2" s="1"/>
  <c r="AP228" i="2"/>
  <c r="AQ224" i="2"/>
  <c r="AQ222" i="2"/>
  <c r="AS8" i="4"/>
  <c r="AV262" i="2"/>
  <c r="AV260" i="2"/>
  <c r="AV244" i="2"/>
  <c r="AV250" i="2"/>
  <c r="AV238" i="2"/>
  <c r="AV236" i="2"/>
  <c r="AV220" i="2"/>
  <c r="AV226" i="2"/>
  <c r="AT488" i="2"/>
  <c r="AT54" i="4"/>
  <c r="AV486" i="2"/>
  <c r="AV482" i="2"/>
  <c r="AV485" i="2"/>
  <c r="AU463" i="2"/>
  <c r="AU468" i="2" s="1"/>
  <c r="AV476" i="2"/>
  <c r="AV472" i="2"/>
  <c r="AV475" i="2"/>
  <c r="AT468" i="2"/>
  <c r="AT52" i="4"/>
  <c r="AV466" i="2"/>
  <c r="AV462" i="2"/>
  <c r="AV465" i="2"/>
  <c r="AV522" i="2"/>
  <c r="AV518" i="2"/>
  <c r="AV521" i="2"/>
  <c r="AT458" i="2"/>
  <c r="AT51" i="4"/>
  <c r="AU453" i="2"/>
  <c r="AR529" i="2"/>
  <c r="AV456" i="2"/>
  <c r="AV452" i="2"/>
  <c r="AV455" i="2"/>
  <c r="AS402" i="2"/>
  <c r="AS409" i="2" s="1"/>
  <c r="AS384" i="2"/>
  <c r="AS46" i="4" s="1"/>
  <c r="AS45" i="4" s="1"/>
  <c r="AM261" i="4"/>
  <c r="AP397" i="2"/>
  <c r="AO401" i="2"/>
  <c r="AO598" i="2"/>
  <c r="AM600" i="2"/>
  <c r="AN599" i="2"/>
  <c r="AN600" i="2" s="1"/>
  <c r="AV321" i="2"/>
  <c r="AV317" i="2"/>
  <c r="AR413" i="2"/>
  <c r="AR416" i="2" s="1"/>
  <c r="AR1322" i="2" s="1"/>
  <c r="AR394" i="2"/>
  <c r="AO437" i="4"/>
  <c r="AV312" i="2"/>
  <c r="AV308" i="2"/>
  <c r="AT314" i="2"/>
  <c r="AO464" i="4"/>
  <c r="AV381" i="2"/>
  <c r="AV377" i="2"/>
  <c r="AV369" i="2"/>
  <c r="AV365" i="2"/>
  <c r="AV360" i="2"/>
  <c r="AV356" i="2"/>
  <c r="AT70" i="2"/>
  <c r="AX117" i="2"/>
  <c r="AX97" i="2"/>
  <c r="AW62" i="10"/>
  <c r="AW57" i="10"/>
  <c r="AO109" i="10"/>
  <c r="AO110" i="10" s="1"/>
  <c r="AO108" i="10" s="1"/>
  <c r="AP105" i="10" s="1"/>
  <c r="AM116" i="10"/>
  <c r="AM117" i="10" s="1"/>
  <c r="AN116" i="10" s="1"/>
  <c r="AM1199" i="2"/>
  <c r="AL1198" i="2"/>
  <c r="AQ154" i="2"/>
  <c r="AS539" i="2"/>
  <c r="AR549" i="2"/>
  <c r="AR551" i="2" s="1"/>
  <c r="AQ1310" i="2"/>
  <c r="AP156" i="2"/>
  <c r="AP158" i="2" s="1"/>
  <c r="AV108" i="2"/>
  <c r="AV121" i="2"/>
  <c r="AV118" i="2"/>
  <c r="AR112" i="2"/>
  <c r="AR111" i="2"/>
  <c r="AV98" i="2"/>
  <c r="AV88" i="2"/>
  <c r="AV101" i="2"/>
  <c r="AR92" i="2"/>
  <c r="AR91" i="2"/>
  <c r="AO1117" i="2"/>
  <c r="AO572" i="2"/>
  <c r="AO162" i="4" s="1"/>
  <c r="AO576" i="2"/>
  <c r="AU1274" i="2"/>
  <c r="AU1276" i="2" s="1"/>
  <c r="AU1280" i="2"/>
  <c r="AU1282" i="2" s="1"/>
  <c r="AP183" i="2"/>
  <c r="AU289" i="2"/>
  <c r="AU293" i="2" s="1"/>
  <c r="AU294" i="2" s="1"/>
  <c r="AR190" i="2"/>
  <c r="AR178" i="2" s="1"/>
  <c r="AR164" i="2"/>
  <c r="AS152" i="2"/>
  <c r="AS165" i="2" s="1"/>
  <c r="AS153" i="2" s="1"/>
  <c r="AR154" i="2"/>
  <c r="AR153" i="2"/>
  <c r="AQ156" i="2"/>
  <c r="AT30" i="2"/>
  <c r="AU145" i="2"/>
  <c r="AU148" i="2" s="1"/>
  <c r="AU440" i="2"/>
  <c r="AU445" i="2" s="1"/>
  <c r="AR10" i="2"/>
  <c r="AS177" i="2"/>
  <c r="AS190" i="2" s="1"/>
  <c r="AX1083" i="2"/>
  <c r="AX1082" i="2" s="1"/>
  <c r="AW1084" i="2"/>
  <c r="AP1119" i="2"/>
  <c r="AQ1118" i="2" s="1"/>
  <c r="Y79" i="10"/>
  <c r="AV65" i="10"/>
  <c r="AV133" i="10"/>
  <c r="AV136" i="10"/>
  <c r="AV188" i="4" s="1"/>
  <c r="AV93" i="10"/>
  <c r="AV168" i="4" s="1"/>
  <c r="AV135" i="10"/>
  <c r="AV97" i="10"/>
  <c r="AV176" i="4" s="1"/>
  <c r="AV70" i="10"/>
  <c r="AV71" i="10" s="1"/>
  <c r="AV72" i="10" s="1"/>
  <c r="AR138" i="4"/>
  <c r="AR144" i="4" s="1"/>
  <c r="AR990" i="2"/>
  <c r="AT10" i="2"/>
  <c r="AW80" i="1"/>
  <c r="AX81" i="1"/>
  <c r="AU707" i="2"/>
  <c r="AU701" i="2"/>
  <c r="AU691" i="2" s="1"/>
  <c r="AU1038" i="2"/>
  <c r="AU1039" i="2"/>
  <c r="AU729" i="2"/>
  <c r="AU722" i="2"/>
  <c r="AU726" i="2"/>
  <c r="AU717" i="2" s="1"/>
  <c r="AB84" i="10"/>
  <c r="AB85" i="10" s="1"/>
  <c r="AO98" i="4"/>
  <c r="AQ324" i="4"/>
  <c r="AQ374" i="4"/>
  <c r="AQ277" i="4"/>
  <c r="AQ1264" i="2"/>
  <c r="AQ1184" i="2"/>
  <c r="AP593" i="2"/>
  <c r="AP594" i="2" s="1"/>
  <c r="AT727" i="2"/>
  <c r="AT723" i="2" s="1"/>
  <c r="AT730" i="2" s="1"/>
  <c r="AT724" i="2"/>
  <c r="AT725" i="2" s="1"/>
  <c r="AT440" i="4"/>
  <c r="AT467" i="4"/>
  <c r="AT502" i="4"/>
  <c r="AR71" i="2"/>
  <c r="AW1091" i="2"/>
  <c r="AW1090" i="2" s="1"/>
  <c r="AV1092" i="2"/>
  <c r="AT29" i="2"/>
  <c r="AU665" i="2"/>
  <c r="AU666" i="2"/>
  <c r="AV1028" i="2"/>
  <c r="AV623" i="2"/>
  <c r="AV624" i="2" s="1"/>
  <c r="AV143" i="2"/>
  <c r="AV39" i="2"/>
  <c r="AV27" i="2" s="1"/>
  <c r="AV1275" i="2"/>
  <c r="AV1201" i="2"/>
  <c r="AV1202" i="2" s="1"/>
  <c r="AV1150" i="2"/>
  <c r="AV1151" i="2" s="1"/>
  <c r="AV1120" i="2"/>
  <c r="AV1121" i="2" s="1"/>
  <c r="AV1026" i="2"/>
  <c r="AV1013" i="2"/>
  <c r="AV1014" i="2" s="1"/>
  <c r="AV688" i="2"/>
  <c r="AV438" i="2"/>
  <c r="AV437" i="2" s="1"/>
  <c r="AV428" i="2"/>
  <c r="AV288" i="2"/>
  <c r="AV185" i="2"/>
  <c r="AV19" i="2"/>
  <c r="AV1273" i="2"/>
  <c r="AV1146" i="2"/>
  <c r="AV1147" i="2" s="1"/>
  <c r="AV1033" i="2"/>
  <c r="AV682" i="2"/>
  <c r="AV557" i="2"/>
  <c r="AV36" i="2"/>
  <c r="AV26" i="2"/>
  <c r="AV25" i="2" s="1"/>
  <c r="AV17" i="2"/>
  <c r="AV7" i="2"/>
  <c r="AV1335" i="2"/>
  <c r="AV1220" i="2"/>
  <c r="AV1221" i="2" s="1"/>
  <c r="AV531" i="2"/>
  <c r="AV442" i="2"/>
  <c r="AV427" i="2"/>
  <c r="AV162" i="2"/>
  <c r="AV1272" i="2"/>
  <c r="AV291" i="2"/>
  <c r="AV212" i="2"/>
  <c r="AV160" i="2"/>
  <c r="AV144" i="2"/>
  <c r="AV1108" i="2"/>
  <c r="AV1109" i="2" s="1"/>
  <c r="AV1037" i="2"/>
  <c r="AV1017" i="2"/>
  <c r="AV544" i="2"/>
  <c r="AV1136" i="2"/>
  <c r="AV407" i="2"/>
  <c r="AV81" i="2"/>
  <c r="AV1032" i="2"/>
  <c r="AV1031" i="2" s="1"/>
  <c r="AV643" i="2"/>
  <c r="AV405" i="2"/>
  <c r="AV296" i="2"/>
  <c r="AV168" i="2"/>
  <c r="AV167" i="2" s="1"/>
  <c r="AV78" i="2"/>
  <c r="AV1281" i="2"/>
  <c r="AV431" i="2"/>
  <c r="AV8" i="2"/>
  <c r="AV1279" i="2"/>
  <c r="AV712" i="2"/>
  <c r="AV659" i="2"/>
  <c r="AV628" i="2"/>
  <c r="AV629" i="2" s="1"/>
  <c r="AV391" i="2"/>
  <c r="AV214" i="2"/>
  <c r="AV542" i="2"/>
  <c r="AV443" i="2"/>
  <c r="AV439" i="2" s="1"/>
  <c r="AV389" i="2"/>
  <c r="AV1278" i="2"/>
  <c r="AV555" i="2"/>
  <c r="AV432" i="2"/>
  <c r="AV300" i="2"/>
  <c r="AV297" i="2" s="1"/>
  <c r="AV187" i="2"/>
  <c r="AV169" i="2" s="1"/>
  <c r="AV1012" i="2"/>
  <c r="AV1011" i="2" s="1"/>
  <c r="AV287" i="2"/>
  <c r="AV656" i="2"/>
  <c r="AV714" i="2"/>
  <c r="AV175" i="2"/>
  <c r="AV150" i="2"/>
  <c r="AV1178" i="2"/>
  <c r="AV197" i="4" s="1"/>
  <c r="AV1208" i="2"/>
  <c r="AV1209" i="2" s="1"/>
  <c r="AT194" i="2"/>
  <c r="AT197" i="2"/>
  <c r="AT11" i="2"/>
  <c r="AR430" i="4"/>
  <c r="AR457" i="4"/>
  <c r="AR484" i="4"/>
  <c r="AR414" i="2"/>
  <c r="AR617" i="2" s="1"/>
  <c r="AU28" i="2"/>
  <c r="BB86" i="1"/>
  <c r="AL602" i="2"/>
  <c r="AL183" i="4" s="1"/>
  <c r="AS177" i="4"/>
  <c r="AU170" i="2"/>
  <c r="AU647" i="2"/>
  <c r="AU650" i="2" s="1"/>
  <c r="AU648" i="2"/>
  <c r="AU649" i="2"/>
  <c r="AU720" i="2"/>
  <c r="AU721" i="2"/>
  <c r="AS991" i="2"/>
  <c r="AS1305" i="2" s="1"/>
  <c r="AS949" i="2"/>
  <c r="AS440" i="4"/>
  <c r="AS467" i="4"/>
  <c r="AS502" i="4"/>
  <c r="AS19" i="4"/>
  <c r="AS18" i="4" s="1"/>
  <c r="AS196" i="2"/>
  <c r="AW87" i="1"/>
  <c r="AV91" i="1"/>
  <c r="AU298" i="2"/>
  <c r="AU9" i="2"/>
  <c r="AU429" i="2"/>
  <c r="AU434" i="2" s="1"/>
  <c r="BB55" i="1"/>
  <c r="AS29" i="2"/>
  <c r="AQ131" i="2"/>
  <c r="AR1307" i="2"/>
  <c r="AT673" i="2"/>
  <c r="AT674" i="2" s="1"/>
  <c r="AT672" i="2"/>
  <c r="AT668" i="2" s="1"/>
  <c r="AT678" i="2" s="1"/>
  <c r="AT669" i="2"/>
  <c r="AT670" i="2" s="1"/>
  <c r="AU677" i="2"/>
  <c r="AU667" i="2"/>
  <c r="AU671" i="2"/>
  <c r="AU662" i="2" s="1"/>
  <c r="AV298" i="4"/>
  <c r="AV389" i="4"/>
  <c r="AV283" i="4"/>
  <c r="AV273" i="4"/>
  <c r="AV347" i="4"/>
  <c r="AV199" i="4"/>
  <c r="AV189" i="4"/>
  <c r="AV384" i="4"/>
  <c r="AV342" i="4"/>
  <c r="AV321" i="4"/>
  <c r="AV293" i="4"/>
  <c r="AV169" i="4"/>
  <c r="AV370" i="4"/>
  <c r="AV178" i="4"/>
  <c r="AV412" i="4"/>
  <c r="AV332" i="4"/>
  <c r="AV194" i="4"/>
  <c r="AY341" i="4"/>
  <c r="AY292" i="4"/>
  <c r="AY383" i="4"/>
  <c r="AY47" i="1"/>
  <c r="AY57" i="2" s="1"/>
  <c r="AY49" i="1"/>
  <c r="AY48" i="1"/>
  <c r="AY50" i="1"/>
  <c r="AZ43" i="1"/>
  <c r="AR72" i="2"/>
  <c r="AX430" i="2"/>
  <c r="AX441" i="2"/>
  <c r="BB61" i="1"/>
  <c r="AU172" i="4"/>
  <c r="AX159" i="2"/>
  <c r="AX211" i="2"/>
  <c r="AX184" i="2"/>
  <c r="AT703" i="2"/>
  <c r="AT704" i="2" s="1"/>
  <c r="AT702" i="2"/>
  <c r="AT698" i="2" s="1"/>
  <c r="AT708" i="2" s="1"/>
  <c r="AT699" i="2"/>
  <c r="AT700" i="2" s="1"/>
  <c r="AT146" i="2"/>
  <c r="AT148" i="2"/>
  <c r="AX299" i="2"/>
  <c r="AX290" i="2"/>
  <c r="AW2" i="5"/>
  <c r="AW2" i="4"/>
  <c r="AW2" i="2"/>
  <c r="AW2" i="10"/>
  <c r="AW2" i="1"/>
  <c r="AX25" i="1"/>
  <c r="AO590" i="2"/>
  <c r="AV146" i="1"/>
  <c r="AV59" i="1"/>
  <c r="AV120" i="1"/>
  <c r="AV45" i="1"/>
  <c r="AV44" i="1"/>
  <c r="AV53" i="1"/>
  <c r="AV131" i="1"/>
  <c r="AV123" i="1"/>
  <c r="AV140" i="1"/>
  <c r="AX35" i="2"/>
  <c r="AX16" i="2"/>
  <c r="AX77" i="2"/>
  <c r="AM1107" i="2"/>
  <c r="AM1105" i="2" s="1"/>
  <c r="AU694" i="2"/>
  <c r="AU696" i="2"/>
  <c r="AU697" i="2"/>
  <c r="AU629" i="2"/>
  <c r="AT173" i="2"/>
  <c r="AT171" i="2"/>
  <c r="AT302" i="2"/>
  <c r="AT303" i="2" s="1"/>
  <c r="AX1063" i="2"/>
  <c r="AX1062" i="2" s="1"/>
  <c r="AW1061" i="2"/>
  <c r="AR399" i="2"/>
  <c r="AR198" i="2"/>
  <c r="AR200" i="2"/>
  <c r="AT652" i="2"/>
  <c r="AS996" i="2" l="1"/>
  <c r="F126" i="7"/>
  <c r="F117" i="7"/>
  <c r="F161" i="7"/>
  <c r="F99" i="7"/>
  <c r="F165" i="7"/>
  <c r="AU379" i="2"/>
  <c r="AU403" i="2" s="1"/>
  <c r="AV503" i="2"/>
  <c r="AV493" i="2"/>
  <c r="AV498" i="2" s="1"/>
  <c r="AU508" i="2"/>
  <c r="AU56" i="4"/>
  <c r="AW502" i="2"/>
  <c r="AW505" i="2"/>
  <c r="AW501" i="2"/>
  <c r="AW506" i="2"/>
  <c r="AU977" i="2"/>
  <c r="AU970" i="2"/>
  <c r="AU498" i="2"/>
  <c r="AU55" i="4"/>
  <c r="AT971" i="2"/>
  <c r="AU967" i="2"/>
  <c r="AW492" i="2"/>
  <c r="AW495" i="2"/>
  <c r="AW491" i="2"/>
  <c r="AW496" i="2"/>
  <c r="AU966" i="2"/>
  <c r="AT388" i="2"/>
  <c r="AS388" i="2"/>
  <c r="AS386" i="2" s="1"/>
  <c r="AV411" i="2"/>
  <c r="AU395" i="2"/>
  <c r="AS363" i="2"/>
  <c r="AS42" i="4" s="1"/>
  <c r="AS396" i="2"/>
  <c r="AS394" i="2" s="1"/>
  <c r="AT395" i="2"/>
  <c r="AU387" i="2"/>
  <c r="AT387" i="2"/>
  <c r="AU350" i="2"/>
  <c r="AU351" i="2" s="1"/>
  <c r="AU39" i="4" s="1"/>
  <c r="AW348" i="2"/>
  <c r="AW345" i="2" s="1"/>
  <c r="AW344" i="2"/>
  <c r="AV346" i="2"/>
  <c r="AV337" i="2"/>
  <c r="AV341" i="2" s="1"/>
  <c r="AV342" i="2" s="1"/>
  <c r="AV38" i="4" s="1"/>
  <c r="AU341" i="2"/>
  <c r="AU342" i="2" s="1"/>
  <c r="AU38" i="4" s="1"/>
  <c r="AW339" i="2"/>
  <c r="AW336" i="2" s="1"/>
  <c r="AW335" i="2"/>
  <c r="AV328" i="2"/>
  <c r="AV332" i="2" s="1"/>
  <c r="AV333" i="2" s="1"/>
  <c r="AV37" i="4" s="1"/>
  <c r="AI1218" i="2"/>
  <c r="AW68" i="2"/>
  <c r="AW330" i="2"/>
  <c r="AW327" i="2" s="1"/>
  <c r="AW326" i="2"/>
  <c r="AU332" i="2"/>
  <c r="AU333" i="2" s="1"/>
  <c r="AU37" i="4" s="1"/>
  <c r="AT362" i="2"/>
  <c r="AS412" i="2"/>
  <c r="AS430" i="4" s="1"/>
  <c r="AQ100" i="4"/>
  <c r="T1333" i="2"/>
  <c r="AV318" i="2"/>
  <c r="AV319" i="2" s="1"/>
  <c r="AT383" i="2"/>
  <c r="AT404" i="2" s="1"/>
  <c r="AT403" i="2"/>
  <c r="AQ32" i="4"/>
  <c r="AT371" i="2"/>
  <c r="AT372" i="2" s="1"/>
  <c r="AT43" i="4" s="1"/>
  <c r="V109" i="4"/>
  <c r="AV107" i="2"/>
  <c r="AV87" i="2"/>
  <c r="AS130" i="2"/>
  <c r="AS1291" i="2" s="1"/>
  <c r="AS485" i="4" s="1"/>
  <c r="AT128" i="2"/>
  <c r="AP572" i="2"/>
  <c r="AP162" i="4" s="1"/>
  <c r="AP260" i="4" s="1"/>
  <c r="AP576" i="2"/>
  <c r="AR133" i="2"/>
  <c r="AR574" i="2" s="1"/>
  <c r="AR575" i="2" s="1"/>
  <c r="AR572" i="2" s="1"/>
  <c r="AQ575" i="2"/>
  <c r="AQ572" i="2" s="1"/>
  <c r="AQ162" i="4" s="1"/>
  <c r="AS517" i="2"/>
  <c r="AS473" i="2"/>
  <c r="AS527" i="2" s="1"/>
  <c r="AS315" i="2"/>
  <c r="AS35" i="4" s="1"/>
  <c r="AV357" i="2"/>
  <c r="AV358" i="2" s="1"/>
  <c r="AV67" i="2"/>
  <c r="AV195" i="2" s="1"/>
  <c r="AS6" i="4"/>
  <c r="AR239" i="4"/>
  <c r="AO206" i="2"/>
  <c r="AO205" i="2"/>
  <c r="T1336" i="2"/>
  <c r="T1337" i="2" s="1"/>
  <c r="T1325" i="2" s="1"/>
  <c r="T1326" i="2" s="1"/>
  <c r="T493" i="4" s="1"/>
  <c r="AQ615" i="2"/>
  <c r="AQ186" i="4" s="1"/>
  <c r="AV309" i="2"/>
  <c r="AV310" i="2" s="1"/>
  <c r="AP239" i="4"/>
  <c r="AT142" i="4"/>
  <c r="AT34" i="1"/>
  <c r="AT1" i="2" s="1"/>
  <c r="V333" i="4"/>
  <c r="V207" i="4"/>
  <c r="V209" i="4" s="1"/>
  <c r="V256" i="4"/>
  <c r="V284" i="4"/>
  <c r="U492" i="4"/>
  <c r="U1328" i="2"/>
  <c r="AV378" i="2"/>
  <c r="AV379" i="2" s="1"/>
  <c r="AV403" i="2" s="1"/>
  <c r="AQ236" i="4"/>
  <c r="V247" i="4"/>
  <c r="AQ204" i="2"/>
  <c r="AQ217" i="2" s="1"/>
  <c r="AQ206" i="2" s="1"/>
  <c r="AR202" i="2"/>
  <c r="AR276" i="2" s="1"/>
  <c r="AR592" i="2" s="1"/>
  <c r="AP216" i="2"/>
  <c r="AP28" i="4"/>
  <c r="AQ775" i="2"/>
  <c r="AQ995" i="2" s="1"/>
  <c r="AS124" i="4"/>
  <c r="AS1000" i="2"/>
  <c r="AS4" i="2"/>
  <c r="AS68" i="1"/>
  <c r="S1327" i="2"/>
  <c r="S435" i="4" s="1"/>
  <c r="AS366" i="4"/>
  <c r="AS90" i="10"/>
  <c r="AS570" i="2"/>
  <c r="AS55" i="10"/>
  <c r="AS1" i="4"/>
  <c r="AS113" i="1"/>
  <c r="AS1" i="5"/>
  <c r="AS205" i="4"/>
  <c r="AS1096" i="2"/>
  <c r="AS4" i="4"/>
  <c r="AS1" i="1"/>
  <c r="AS269" i="4"/>
  <c r="AS91" i="4"/>
  <c r="AS1142" i="2"/>
  <c r="AS1" i="2"/>
  <c r="AS38" i="1"/>
  <c r="AS4" i="5"/>
  <c r="AS1" i="10"/>
  <c r="AS284" i="2"/>
  <c r="AS423" i="2"/>
  <c r="AS102" i="10"/>
  <c r="AS1269" i="2"/>
  <c r="AS233" i="4"/>
  <c r="AS159" i="4"/>
  <c r="AS14" i="1"/>
  <c r="AS14" i="4"/>
  <c r="AS140" i="2"/>
  <c r="AS408" i="4"/>
  <c r="AS1189" i="2"/>
  <c r="AS638" i="2"/>
  <c r="AS317" i="4"/>
  <c r="AS1056" i="2"/>
  <c r="AS25" i="4"/>
  <c r="AS1168" i="2"/>
  <c r="AV69" i="2"/>
  <c r="AY474" i="2"/>
  <c r="AY464" i="2"/>
  <c r="AY454" i="2"/>
  <c r="AY520" i="2"/>
  <c r="AY484" i="2"/>
  <c r="AP109" i="10"/>
  <c r="AU955" i="2"/>
  <c r="W495" i="4"/>
  <c r="W103" i="4"/>
  <c r="W1314" i="2"/>
  <c r="W1315" i="2" s="1"/>
  <c r="X954" i="2"/>
  <c r="Y766" i="2"/>
  <c r="X958" i="2"/>
  <c r="Y770" i="2"/>
  <c r="AY259" i="2"/>
  <c r="AY235" i="2"/>
  <c r="AU962" i="2"/>
  <c r="X65" i="4"/>
  <c r="X107" i="4"/>
  <c r="X240" i="4" s="1"/>
  <c r="Y878" i="2"/>
  <c r="Y969" i="2" s="1"/>
  <c r="AU28" i="1"/>
  <c r="AU27" i="1"/>
  <c r="AV26" i="1"/>
  <c r="AU29" i="1"/>
  <c r="X1318" i="2"/>
  <c r="X174" i="4"/>
  <c r="AU219" i="4"/>
  <c r="AT220" i="4"/>
  <c r="Y881" i="2"/>
  <c r="Y972" i="2" s="1"/>
  <c r="Y936" i="2"/>
  <c r="Y982" i="2"/>
  <c r="AY320" i="2"/>
  <c r="AY380" i="2"/>
  <c r="AY311" i="2"/>
  <c r="AY368" i="2"/>
  <c r="AY359" i="2"/>
  <c r="AV1029" i="2"/>
  <c r="AU952" i="2"/>
  <c r="AT956" i="2"/>
  <c r="AU951" i="2"/>
  <c r="AU848" i="2"/>
  <c r="AU849" i="2" s="1"/>
  <c r="AU847" i="2"/>
  <c r="AU843" i="2" s="1"/>
  <c r="AU853" i="2" s="1"/>
  <c r="AU844" i="2"/>
  <c r="AU845" i="2" s="1"/>
  <c r="AW831" i="2"/>
  <c r="AW834" i="2"/>
  <c r="AV840" i="2"/>
  <c r="AV841" i="2"/>
  <c r="AV852" i="2"/>
  <c r="AV846" i="2"/>
  <c r="AV837" i="2" s="1"/>
  <c r="AV78" i="4" s="1"/>
  <c r="AS299" i="7" s="1"/>
  <c r="AV842" i="2"/>
  <c r="AW808" i="2"/>
  <c r="AW805" i="2"/>
  <c r="AT765" i="2"/>
  <c r="AU822" i="2"/>
  <c r="AU823" i="2" s="1"/>
  <c r="AU821" i="2"/>
  <c r="AU817" i="2" s="1"/>
  <c r="AU827" i="2" s="1"/>
  <c r="AU818" i="2"/>
  <c r="AU819" i="2" s="1"/>
  <c r="AV826" i="2"/>
  <c r="AV816" i="2"/>
  <c r="AV820" i="2"/>
  <c r="AV811" i="2" s="1"/>
  <c r="AV77" i="4" s="1"/>
  <c r="AS298" i="7" s="1"/>
  <c r="AU759" i="2"/>
  <c r="AU75" i="4" s="1"/>
  <c r="AR296" i="7" s="1"/>
  <c r="AV814" i="2"/>
  <c r="AV815" i="2"/>
  <c r="AU796" i="2"/>
  <c r="AU797" i="2" s="1"/>
  <c r="AU795" i="2"/>
  <c r="AU791" i="2" s="1"/>
  <c r="AU801" i="2" s="1"/>
  <c r="AU792" i="2"/>
  <c r="AU793" i="2" s="1"/>
  <c r="AV788" i="2"/>
  <c r="AV789" i="2"/>
  <c r="AV800" i="2"/>
  <c r="AV790" i="2"/>
  <c r="AV794" i="2"/>
  <c r="AV785" i="2" s="1"/>
  <c r="AV76" i="4" s="1"/>
  <c r="AS297" i="7" s="1"/>
  <c r="AW782" i="2"/>
  <c r="AW779" i="2"/>
  <c r="AV481" i="2"/>
  <c r="AV483" i="2" s="1"/>
  <c r="AW753" i="2"/>
  <c r="AW756" i="2"/>
  <c r="AU769" i="2"/>
  <c r="AV774" i="2"/>
  <c r="AV768" i="2"/>
  <c r="AV764" i="2"/>
  <c r="AV762" i="2"/>
  <c r="AV763" i="2"/>
  <c r="AS84" i="2"/>
  <c r="AS129" i="2" s="1"/>
  <c r="AQ1321" i="2"/>
  <c r="AQ497" i="4" s="1"/>
  <c r="AQ419" i="2"/>
  <c r="AQ1323" i="2" s="1"/>
  <c r="AQ464" i="4" s="1"/>
  <c r="AT64" i="2"/>
  <c r="AP419" i="2"/>
  <c r="AP1323" i="2" s="1"/>
  <c r="AP464" i="4" s="1"/>
  <c r="AS51" i="2"/>
  <c r="AU7" i="4"/>
  <c r="AS52" i="2"/>
  <c r="AU63" i="2"/>
  <c r="AW58" i="2"/>
  <c r="AW61" i="2"/>
  <c r="AW49" i="2" s="1"/>
  <c r="AW47" i="2"/>
  <c r="AV50" i="2"/>
  <c r="AV366" i="2"/>
  <c r="AV367" i="2" s="1"/>
  <c r="AU110" i="2"/>
  <c r="AU123" i="2" s="1"/>
  <c r="AU124" i="2" s="1"/>
  <c r="AT10" i="4"/>
  <c r="AR410" i="2"/>
  <c r="AT9" i="4"/>
  <c r="AP60" i="4"/>
  <c r="AP97" i="4"/>
  <c r="AQ237" i="4"/>
  <c r="AQ50" i="4"/>
  <c r="AV742" i="2"/>
  <c r="AV944" i="2" s="1"/>
  <c r="AV109" i="2"/>
  <c r="AT123" i="2"/>
  <c r="AT124" i="2" s="1"/>
  <c r="AT111" i="2" s="1"/>
  <c r="AR431" i="4"/>
  <c r="AV741" i="2"/>
  <c r="AV744" i="2" s="1"/>
  <c r="AV946" i="2" s="1"/>
  <c r="AV172" i="4" s="1"/>
  <c r="AU746" i="2"/>
  <c r="AR485" i="4"/>
  <c r="AE1253" i="2"/>
  <c r="AE1248" i="2" s="1"/>
  <c r="AE373" i="4"/>
  <c r="AE212" i="4"/>
  <c r="AE276" i="4"/>
  <c r="AF1232" i="2"/>
  <c r="AF1252" i="2"/>
  <c r="AF130" i="4" s="1"/>
  <c r="AG1233" i="2"/>
  <c r="AE1257" i="2"/>
  <c r="AF1242" i="2"/>
  <c r="AW1235" i="2"/>
  <c r="AT103" i="2"/>
  <c r="AT104" i="2" s="1"/>
  <c r="AT627" i="2"/>
  <c r="AT626" i="2" s="1"/>
  <c r="AT184" i="4" s="1"/>
  <c r="AS112" i="2"/>
  <c r="AS111" i="2"/>
  <c r="AV89" i="2"/>
  <c r="AU90" i="2"/>
  <c r="AU9" i="4" s="1"/>
  <c r="AU963" i="2"/>
  <c r="AU139" i="4" s="1"/>
  <c r="AW737" i="2"/>
  <c r="AW741" i="2" s="1"/>
  <c r="AV915" i="2"/>
  <c r="AV909" i="2"/>
  <c r="AV899" i="2" s="1"/>
  <c r="AV82" i="4" s="1"/>
  <c r="AS303" i="7" s="1"/>
  <c r="AT934" i="2"/>
  <c r="AT941" i="2" s="1"/>
  <c r="AT985" i="2"/>
  <c r="AU910" i="2"/>
  <c r="AU906" i="2" s="1"/>
  <c r="AU916" i="2" s="1"/>
  <c r="AU911" i="2"/>
  <c r="AU912" i="2" s="1"/>
  <c r="AU907" i="2"/>
  <c r="AU908" i="2" s="1"/>
  <c r="AW890" i="2"/>
  <c r="AW896" i="2"/>
  <c r="AU928" i="2"/>
  <c r="AU85" i="4" s="1"/>
  <c r="AR306" i="7" s="1"/>
  <c r="AU984" i="2"/>
  <c r="AU978" i="2" s="1"/>
  <c r="AU140" i="4" s="1"/>
  <c r="AV902" i="2"/>
  <c r="AV904" i="2"/>
  <c r="AV905" i="2"/>
  <c r="AU938" i="2"/>
  <c r="AV931" i="2"/>
  <c r="AV932" i="2"/>
  <c r="AV980" i="2" s="1"/>
  <c r="AV940" i="2"/>
  <c r="AV988" i="2" s="1"/>
  <c r="AV933" i="2"/>
  <c r="AV981" i="2" s="1"/>
  <c r="AV937" i="2"/>
  <c r="AW923" i="2"/>
  <c r="AW925" i="2"/>
  <c r="AT876" i="2"/>
  <c r="AT886" i="2" s="1"/>
  <c r="AU869" i="2"/>
  <c r="AU81" i="4" s="1"/>
  <c r="AR302" i="7" s="1"/>
  <c r="AW866" i="2"/>
  <c r="AW860" i="2"/>
  <c r="AU880" i="2"/>
  <c r="AV885" i="2"/>
  <c r="AV879" i="2"/>
  <c r="AV872" i="2"/>
  <c r="AV875" i="2"/>
  <c r="AV874" i="2"/>
  <c r="AK609" i="2"/>
  <c r="AK163" i="4" s="1"/>
  <c r="AP560" i="2"/>
  <c r="AO562" i="2"/>
  <c r="AO564" i="2" s="1"/>
  <c r="AP559" i="2"/>
  <c r="AP552" i="2"/>
  <c r="AP566" i="2" s="1"/>
  <c r="AQ524" i="2"/>
  <c r="AQ554" i="2" s="1"/>
  <c r="AQ1302" i="2" s="1"/>
  <c r="AQ553" i="2"/>
  <c r="AQ61" i="4"/>
  <c r="AR519" i="2"/>
  <c r="AO584" i="2"/>
  <c r="AO166" i="4" s="1"/>
  <c r="AO262" i="4" s="1"/>
  <c r="AQ534" i="2"/>
  <c r="AR478" i="2"/>
  <c r="AR528" i="2" s="1"/>
  <c r="AR53" i="4"/>
  <c r="AR50" i="4" s="1"/>
  <c r="AQ526" i="2"/>
  <c r="AP536" i="2"/>
  <c r="AP538" i="2" s="1"/>
  <c r="AN432" i="4"/>
  <c r="AM1301" i="2"/>
  <c r="AL612" i="2"/>
  <c r="AK280" i="2"/>
  <c r="AN459" i="4"/>
  <c r="AO264" i="2"/>
  <c r="AO274" i="2" s="1"/>
  <c r="AO1292" i="2" s="1"/>
  <c r="AO486" i="4" s="1"/>
  <c r="AO265" i="2"/>
  <c r="AO253" i="2" s="1"/>
  <c r="AO30" i="4"/>
  <c r="AO27" i="4" s="1"/>
  <c r="AP252" i="2"/>
  <c r="AP264" i="2" s="1"/>
  <c r="AN254" i="2"/>
  <c r="AN278" i="2" s="1"/>
  <c r="AN604" i="2" s="1"/>
  <c r="AN605" i="2" s="1"/>
  <c r="AN602" i="2" s="1"/>
  <c r="AN183" i="4" s="1"/>
  <c r="AM256" i="2"/>
  <c r="AM258" i="2" s="1"/>
  <c r="AM273" i="2" s="1"/>
  <c r="AN253" i="2"/>
  <c r="AN272" i="2" s="1"/>
  <c r="AN607" i="2" s="1"/>
  <c r="AM605" i="2"/>
  <c r="AM606" i="2" s="1"/>
  <c r="AS219" i="2"/>
  <c r="AS221" i="2" s="1"/>
  <c r="AS243" i="2"/>
  <c r="AN232" i="2"/>
  <c r="AN234" i="2" s="1"/>
  <c r="AO230" i="2"/>
  <c r="AQ248" i="2"/>
  <c r="AQ277" i="2" s="1"/>
  <c r="AQ246" i="2"/>
  <c r="AQ275" i="2" s="1"/>
  <c r="AQ586" i="2" s="1"/>
  <c r="AR245" i="2"/>
  <c r="AP275" i="2"/>
  <c r="AP586" i="2" s="1"/>
  <c r="AQ228" i="2"/>
  <c r="AQ29" i="4" s="1"/>
  <c r="AL127" i="4"/>
  <c r="AL280" i="2"/>
  <c r="AP29" i="4"/>
  <c r="AP240" i="2"/>
  <c r="AP241" i="2"/>
  <c r="AP229" i="2" s="1"/>
  <c r="AR224" i="2"/>
  <c r="AR222" i="2"/>
  <c r="AN270" i="2"/>
  <c r="AN1301" i="2"/>
  <c r="AW260" i="2"/>
  <c r="AW262" i="2"/>
  <c r="AW244" i="2"/>
  <c r="AW250" i="2"/>
  <c r="AU54" i="4"/>
  <c r="AU52" i="4"/>
  <c r="AW236" i="2"/>
  <c r="AW238" i="2"/>
  <c r="AW220" i="2"/>
  <c r="AW226" i="2"/>
  <c r="AW482" i="2"/>
  <c r="AW485" i="2"/>
  <c r="AW486" i="2"/>
  <c r="AW472" i="2"/>
  <c r="AW475" i="2"/>
  <c r="AW476" i="2"/>
  <c r="AV463" i="2"/>
  <c r="AW462" i="2"/>
  <c r="AW465" i="2"/>
  <c r="AW466" i="2"/>
  <c r="AW518" i="2"/>
  <c r="AW521" i="2"/>
  <c r="AW522" i="2"/>
  <c r="AS529" i="2"/>
  <c r="AU458" i="2"/>
  <c r="AU51" i="4"/>
  <c r="AV453" i="2"/>
  <c r="AW452" i="2"/>
  <c r="AW455" i="2"/>
  <c r="AW456" i="2"/>
  <c r="AR419" i="2"/>
  <c r="AR1323" i="2" s="1"/>
  <c r="AR437" i="4" s="1"/>
  <c r="AR1321" i="2"/>
  <c r="AR497" i="4" s="1"/>
  <c r="AQ397" i="2"/>
  <c r="AP598" i="2"/>
  <c r="AP401" i="2"/>
  <c r="AN596" i="2"/>
  <c r="AN164" i="4" s="1"/>
  <c r="AN261" i="4" s="1"/>
  <c r="AO599" i="2"/>
  <c r="AW317" i="2"/>
  <c r="AW321" i="2"/>
  <c r="AU323" i="2"/>
  <c r="AU324" i="2" s="1"/>
  <c r="AU36" i="4" s="1"/>
  <c r="AT315" i="2"/>
  <c r="AT35" i="4" s="1"/>
  <c r="AU314" i="2"/>
  <c r="AW308" i="2"/>
  <c r="AW312" i="2"/>
  <c r="AW377" i="2"/>
  <c r="AW381" i="2"/>
  <c r="AT83" i="2"/>
  <c r="AT8" i="4"/>
  <c r="AW365" i="2"/>
  <c r="AW369" i="2"/>
  <c r="AU362" i="2"/>
  <c r="AU396" i="2" s="1"/>
  <c r="AU70" i="2"/>
  <c r="AW356" i="2"/>
  <c r="AW360" i="2"/>
  <c r="AX62" i="10"/>
  <c r="AX57" i="10"/>
  <c r="AY117" i="2"/>
  <c r="AY97" i="2"/>
  <c r="AM115" i="10"/>
  <c r="AN112" i="10" s="1"/>
  <c r="AM1200" i="2"/>
  <c r="AM1198" i="2" s="1"/>
  <c r="AO260" i="4"/>
  <c r="AQ158" i="2"/>
  <c r="AV1274" i="2"/>
  <c r="AV1276" i="2" s="1"/>
  <c r="AQ181" i="2"/>
  <c r="AQ183" i="2" s="1"/>
  <c r="AS92" i="2"/>
  <c r="AW108" i="2"/>
  <c r="AW121" i="2"/>
  <c r="AW118" i="2"/>
  <c r="AW101" i="2"/>
  <c r="AW98" i="2"/>
  <c r="AW88" i="2"/>
  <c r="AS164" i="2"/>
  <c r="AT177" i="2"/>
  <c r="AT189" i="2" s="1"/>
  <c r="AR179" i="2"/>
  <c r="AV289" i="2"/>
  <c r="AV293" i="2" s="1"/>
  <c r="AV294" i="2" s="1"/>
  <c r="AS189" i="2"/>
  <c r="AS178" i="2"/>
  <c r="AR181" i="2"/>
  <c r="AS179" i="2"/>
  <c r="AT152" i="2"/>
  <c r="AT165" i="2" s="1"/>
  <c r="AT153" i="2" s="1"/>
  <c r="AU146" i="2"/>
  <c r="AU152" i="2" s="1"/>
  <c r="AU164" i="2" s="1"/>
  <c r="AR418" i="2"/>
  <c r="AR156" i="2"/>
  <c r="AR158" i="2" s="1"/>
  <c r="AN117" i="10"/>
  <c r="AN115" i="10" s="1"/>
  <c r="AO112" i="10" s="1"/>
  <c r="AY211" i="2"/>
  <c r="AY184" i="2"/>
  <c r="AY159" i="2"/>
  <c r="AP110" i="10"/>
  <c r="AQ109" i="10" s="1"/>
  <c r="AU727" i="2"/>
  <c r="AU723" i="2" s="1"/>
  <c r="AU730" i="2" s="1"/>
  <c r="AU724" i="2"/>
  <c r="AU725" i="2" s="1"/>
  <c r="AR1310" i="2"/>
  <c r="AZ292" i="4"/>
  <c r="AZ341" i="4"/>
  <c r="AZ383" i="4"/>
  <c r="AZ47" i="1"/>
  <c r="AZ57" i="2" s="1"/>
  <c r="AZ49" i="1"/>
  <c r="AZ50" i="1"/>
  <c r="AZ48" i="1"/>
  <c r="BA43" i="1"/>
  <c r="AU652" i="2"/>
  <c r="AX1084" i="2"/>
  <c r="AY1083" i="2"/>
  <c r="AY1082" i="2" s="1"/>
  <c r="AV170" i="2"/>
  <c r="AS399" i="2"/>
  <c r="AT177" i="4"/>
  <c r="AN1106" i="2"/>
  <c r="AY299" i="2"/>
  <c r="AY290" i="2"/>
  <c r="AU21" i="2"/>
  <c r="AX87" i="1"/>
  <c r="AW91" i="1"/>
  <c r="AU41" i="2"/>
  <c r="AU42" i="2" s="1"/>
  <c r="AU29" i="2" s="1"/>
  <c r="AR128" i="4"/>
  <c r="AT19" i="4"/>
  <c r="AT18" i="4" s="1"/>
  <c r="AT196" i="2"/>
  <c r="AV1280" i="2"/>
  <c r="AV1282" i="2" s="1"/>
  <c r="AV677" i="2"/>
  <c r="AV667" i="2"/>
  <c r="AV671" i="2"/>
  <c r="AV662" i="2" s="1"/>
  <c r="AS154" i="2"/>
  <c r="AU173" i="2"/>
  <c r="AU171" i="2"/>
  <c r="AR618" i="2"/>
  <c r="AR619" i="2" s="1"/>
  <c r="AV720" i="2"/>
  <c r="AV721" i="2"/>
  <c r="AV145" i="2"/>
  <c r="AB86" i="10"/>
  <c r="AT546" i="2"/>
  <c r="AT539" i="2"/>
  <c r="AS549" i="2"/>
  <c r="AS551" i="2" s="1"/>
  <c r="AT547" i="2"/>
  <c r="AU503" i="4"/>
  <c r="AX2" i="5"/>
  <c r="AX2" i="4"/>
  <c r="AX2" i="2"/>
  <c r="AX2" i="10"/>
  <c r="AX2" i="1"/>
  <c r="AY25" i="1"/>
  <c r="AV707" i="2"/>
  <c r="AV701" i="2"/>
  <c r="AV691" i="2" s="1"/>
  <c r="AW1092" i="2"/>
  <c r="AX1091" i="2"/>
  <c r="AX1090" i="2" s="1"/>
  <c r="AU302" i="2"/>
  <c r="AU303" i="2" s="1"/>
  <c r="AS138" i="4"/>
  <c r="AS144" i="4" s="1"/>
  <c r="AS990" i="2"/>
  <c r="AX80" i="1"/>
  <c r="AY81" i="1"/>
  <c r="AR277" i="4"/>
  <c r="AR324" i="4"/>
  <c r="AR374" i="4"/>
  <c r="AR1184" i="2"/>
  <c r="AR1264" i="2"/>
  <c r="AW146" i="1"/>
  <c r="AW59" i="1"/>
  <c r="AW120" i="1"/>
  <c r="AW45" i="1"/>
  <c r="AW44" i="1"/>
  <c r="AW123" i="1"/>
  <c r="AW140" i="1"/>
  <c r="AW131" i="1"/>
  <c r="AW53" i="1"/>
  <c r="AP206" i="2"/>
  <c r="AU142" i="4"/>
  <c r="AV298" i="2"/>
  <c r="AV694" i="2"/>
  <c r="AV696" i="2"/>
  <c r="AV697" i="2"/>
  <c r="AQ593" i="2"/>
  <c r="AQ594" i="2" s="1"/>
  <c r="AW136" i="10"/>
  <c r="AW188" i="4" s="1"/>
  <c r="AW93" i="10"/>
  <c r="AW168" i="4" s="1"/>
  <c r="AW135" i="10"/>
  <c r="AW133" i="10"/>
  <c r="AW65" i="10"/>
  <c r="AW97" i="10"/>
  <c r="AW176" i="4" s="1"/>
  <c r="AW70" i="10"/>
  <c r="AW71" i="10" s="1"/>
  <c r="AW72" i="10" s="1"/>
  <c r="AS200" i="2"/>
  <c r="AS198" i="2"/>
  <c r="AT991" i="2"/>
  <c r="AT1305" i="2" s="1"/>
  <c r="AT949" i="2"/>
  <c r="AU194" i="2"/>
  <c r="AU197" i="2"/>
  <c r="AV1039" i="2"/>
  <c r="AV1038" i="2"/>
  <c r="AV9" i="2"/>
  <c r="AU673" i="2"/>
  <c r="AU674" i="2" s="1"/>
  <c r="AU672" i="2"/>
  <c r="AU668" i="2" s="1"/>
  <c r="AU678" i="2" s="1"/>
  <c r="AU669" i="2"/>
  <c r="AU670" i="2" s="1"/>
  <c r="AP590" i="2"/>
  <c r="AP165" i="4" s="1"/>
  <c r="AQ1119" i="2"/>
  <c r="AR1118" i="2" s="1"/>
  <c r="AY441" i="2"/>
  <c r="AY430" i="2"/>
  <c r="AU702" i="2"/>
  <c r="AU698" i="2" s="1"/>
  <c r="AU708" i="2" s="1"/>
  <c r="AU703" i="2"/>
  <c r="AU704" i="2" s="1"/>
  <c r="AU699" i="2"/>
  <c r="AU700" i="2" s="1"/>
  <c r="AW1012" i="2"/>
  <c r="AW1011" i="2" s="1"/>
  <c r="AW427" i="2"/>
  <c r="AW296" i="2"/>
  <c r="AW287" i="2"/>
  <c r="AW162" i="2"/>
  <c r="AW78" i="2"/>
  <c r="AW8" i="2"/>
  <c r="AW1273" i="2"/>
  <c r="AW1146" i="2"/>
  <c r="AW1147" i="2" s="1"/>
  <c r="AW1033" i="2"/>
  <c r="AW682" i="2"/>
  <c r="AW557" i="2"/>
  <c r="AW36" i="2"/>
  <c r="AW26" i="2"/>
  <c r="AW25" i="2" s="1"/>
  <c r="AW17" i="2"/>
  <c r="AW7" i="2"/>
  <c r="AW1017" i="2"/>
  <c r="AW656" i="2"/>
  <c r="AW643" i="2"/>
  <c r="AW542" i="2"/>
  <c r="AW531" i="2"/>
  <c r="AW442" i="2"/>
  <c r="AW432" i="2"/>
  <c r="AW405" i="2"/>
  <c r="AW168" i="2"/>
  <c r="AW167" i="2" s="1"/>
  <c r="AW1150" i="2"/>
  <c r="AW1151" i="2" s="1"/>
  <c r="AW1108" i="2"/>
  <c r="AW1109" i="2" s="1"/>
  <c r="AW407" i="2"/>
  <c r="AW300" i="2"/>
  <c r="AW297" i="2" s="1"/>
  <c r="AW628" i="2"/>
  <c r="AW629" i="2" s="1"/>
  <c r="AW443" i="2"/>
  <c r="AW439" i="2" s="1"/>
  <c r="AW288" i="2"/>
  <c r="AW187" i="2"/>
  <c r="AW169" i="2" s="1"/>
  <c r="AW1281" i="2"/>
  <c r="AW1136" i="2"/>
  <c r="AW1032" i="2"/>
  <c r="AW1031" i="2" s="1"/>
  <c r="AW428" i="2"/>
  <c r="AW39" i="2"/>
  <c r="AW27" i="2" s="1"/>
  <c r="AW1220" i="2"/>
  <c r="AW1221" i="2" s="1"/>
  <c r="AW1120" i="2"/>
  <c r="AW1121" i="2" s="1"/>
  <c r="AW1028" i="2"/>
  <c r="AW143" i="2"/>
  <c r="AW1279" i="2"/>
  <c r="AW1026" i="2"/>
  <c r="AW688" i="2"/>
  <c r="AW391" i="2"/>
  <c r="AW291" i="2"/>
  <c r="AW1278" i="2"/>
  <c r="AW1013" i="2"/>
  <c r="AW1014" i="2" s="1"/>
  <c r="AW212" i="2"/>
  <c r="AW185" i="2"/>
  <c r="AW160" i="2"/>
  <c r="AW1335" i="2"/>
  <c r="AW1272" i="2"/>
  <c r="AW1037" i="2"/>
  <c r="AW438" i="2"/>
  <c r="AW437" i="2" s="1"/>
  <c r="AW712" i="2"/>
  <c r="AW623" i="2"/>
  <c r="AW624" i="2" s="1"/>
  <c r="AW214" i="2"/>
  <c r="AW555" i="2"/>
  <c r="AW431" i="2"/>
  <c r="AW1029" i="2"/>
  <c r="AW659" i="2"/>
  <c r="AW544" i="2"/>
  <c r="AW389" i="2"/>
  <c r="AW1201" i="2"/>
  <c r="AW1202" i="2" s="1"/>
  <c r="AW144" i="2"/>
  <c r="AW19" i="2"/>
  <c r="AW1275" i="2"/>
  <c r="AW714" i="2"/>
  <c r="AW81" i="2"/>
  <c r="AW175" i="2"/>
  <c r="AW150" i="2"/>
  <c r="AW1178" i="2"/>
  <c r="AW197" i="4" s="1"/>
  <c r="AW1208" i="2"/>
  <c r="AW1209" i="2" s="1"/>
  <c r="AV729" i="2"/>
  <c r="AV722" i="2"/>
  <c r="AV726" i="2"/>
  <c r="AV717" i="2" s="1"/>
  <c r="AP1117" i="2"/>
  <c r="AY77" i="2"/>
  <c r="AY35" i="2"/>
  <c r="AY16" i="2"/>
  <c r="AO208" i="2"/>
  <c r="AP205" i="2"/>
  <c r="AY1063" i="2"/>
  <c r="AY1062" i="2" s="1"/>
  <c r="AX1061" i="2"/>
  <c r="AO165" i="4"/>
  <c r="AW298" i="4"/>
  <c r="AW293" i="4"/>
  <c r="AW342" i="4"/>
  <c r="AW194" i="4"/>
  <c r="AW178" i="4"/>
  <c r="AW389" i="4"/>
  <c r="AW370" i="4"/>
  <c r="AW283" i="4"/>
  <c r="AW332" i="4"/>
  <c r="AW189" i="4"/>
  <c r="AW347" i="4"/>
  <c r="AW273" i="4"/>
  <c r="AW412" i="4"/>
  <c r="AW384" i="4"/>
  <c r="AW169" i="4"/>
  <c r="AW199" i="4"/>
  <c r="AW321" i="4"/>
  <c r="AR131" i="2"/>
  <c r="AS1307" i="2"/>
  <c r="AN210" i="2"/>
  <c r="AV665" i="2"/>
  <c r="AV666" i="2"/>
  <c r="AV503" i="4"/>
  <c r="AV647" i="2"/>
  <c r="AV650" i="2" s="1"/>
  <c r="AV648" i="2"/>
  <c r="AV649" i="2"/>
  <c r="AV429" i="2"/>
  <c r="AV434" i="2" s="1"/>
  <c r="AV28" i="2"/>
  <c r="AV440" i="2"/>
  <c r="AV445" i="2" s="1"/>
  <c r="Z77" i="10"/>
  <c r="Z78" i="10" s="1"/>
  <c r="AT471" i="2" l="1"/>
  <c r="AT473" i="2" s="1"/>
  <c r="AT527" i="2" s="1"/>
  <c r="AV970" i="2"/>
  <c r="AU383" i="2"/>
  <c r="AU404" i="2" s="1"/>
  <c r="F162" i="7"/>
  <c r="F125" i="7"/>
  <c r="AV55" i="4"/>
  <c r="F96" i="7"/>
  <c r="F95" i="7"/>
  <c r="AS41" i="4"/>
  <c r="AV508" i="2"/>
  <c r="AV56" i="4"/>
  <c r="AV977" i="2"/>
  <c r="AX505" i="2"/>
  <c r="AX501" i="2"/>
  <c r="AX506" i="2"/>
  <c r="AX502" i="2"/>
  <c r="AW503" i="2"/>
  <c r="AW493" i="2"/>
  <c r="AU971" i="2"/>
  <c r="AV966" i="2"/>
  <c r="AX495" i="2"/>
  <c r="AX491" i="2"/>
  <c r="AX492" i="2"/>
  <c r="AX496" i="2"/>
  <c r="AV967" i="2"/>
  <c r="AT996" i="2"/>
  <c r="AS413" i="2"/>
  <c r="AS1321" i="2" s="1"/>
  <c r="AS497" i="4" s="1"/>
  <c r="AW411" i="2"/>
  <c r="AT363" i="2"/>
  <c r="AT42" i="4" s="1"/>
  <c r="AT41" i="4" s="1"/>
  <c r="AT396" i="2"/>
  <c r="AT394" i="2" s="1"/>
  <c r="AV395" i="2"/>
  <c r="AU388" i="2"/>
  <c r="AV387" i="2"/>
  <c r="AW346" i="2"/>
  <c r="AW350" i="2" s="1"/>
  <c r="AW351" i="2" s="1"/>
  <c r="AW39" i="4" s="1"/>
  <c r="AV350" i="2"/>
  <c r="AV351" i="2" s="1"/>
  <c r="AV39" i="4" s="1"/>
  <c r="AX348" i="2"/>
  <c r="AX345" i="2" s="1"/>
  <c r="AX344" i="2"/>
  <c r="AW481" i="2"/>
  <c r="AW483" i="2" s="1"/>
  <c r="AW337" i="2"/>
  <c r="AX339" i="2"/>
  <c r="AX336" i="2" s="1"/>
  <c r="AX335" i="2"/>
  <c r="AW328" i="2"/>
  <c r="AW332" i="2" s="1"/>
  <c r="AW333" i="2" s="1"/>
  <c r="AW37" i="4" s="1"/>
  <c r="AX68" i="2"/>
  <c r="AX330" i="2"/>
  <c r="AX327" i="2" s="1"/>
  <c r="AX326" i="2"/>
  <c r="AI1219" i="2"/>
  <c r="AI1217" i="2" s="1"/>
  <c r="AS457" i="4"/>
  <c r="AS414" i="2"/>
  <c r="AS617" i="2" s="1"/>
  <c r="AS618" i="2" s="1"/>
  <c r="AS619" i="2" s="1"/>
  <c r="AS484" i="4"/>
  <c r="AT402" i="2"/>
  <c r="AT384" i="2"/>
  <c r="AT46" i="4" s="1"/>
  <c r="AT130" i="2"/>
  <c r="AT1291" i="2" s="1"/>
  <c r="AT458" i="4" s="1"/>
  <c r="AW318" i="2"/>
  <c r="AW319" i="2" s="1"/>
  <c r="AQ239" i="4"/>
  <c r="AQ576" i="2"/>
  <c r="AS100" i="4"/>
  <c r="AS393" i="2"/>
  <c r="AS410" i="2"/>
  <c r="AW357" i="2"/>
  <c r="AW358" i="2" s="1"/>
  <c r="V115" i="4"/>
  <c r="AS34" i="4"/>
  <c r="AW107" i="2"/>
  <c r="AW87" i="2"/>
  <c r="AU128" i="2"/>
  <c r="T491" i="4"/>
  <c r="AV962" i="2"/>
  <c r="AT219" i="2"/>
  <c r="AT221" i="2" s="1"/>
  <c r="AT517" i="2"/>
  <c r="AW67" i="2"/>
  <c r="AW309" i="2"/>
  <c r="AW310" i="2" s="1"/>
  <c r="AO272" i="2"/>
  <c r="AO607" i="2" s="1"/>
  <c r="AT6" i="4"/>
  <c r="T1334" i="2"/>
  <c r="AT14" i="1"/>
  <c r="AT1096" i="2"/>
  <c r="AT159" i="4"/>
  <c r="AT90" i="10"/>
  <c r="AT4" i="5"/>
  <c r="AT284" i="2"/>
  <c r="AT140" i="2"/>
  <c r="AT68" i="1"/>
  <c r="AT1168" i="2"/>
  <c r="AT205" i="4"/>
  <c r="AT1269" i="2"/>
  <c r="AT113" i="1"/>
  <c r="AT1" i="5"/>
  <c r="AT25" i="4"/>
  <c r="AT91" i="4"/>
  <c r="AT14" i="4"/>
  <c r="AT38" i="1"/>
  <c r="AT124" i="4"/>
  <c r="AT1" i="4"/>
  <c r="AT1056" i="2"/>
  <c r="AT423" i="2"/>
  <c r="AT638" i="2"/>
  <c r="AT570" i="2"/>
  <c r="AT317" i="4"/>
  <c r="AT1189" i="2"/>
  <c r="AT408" i="4"/>
  <c r="AT69" i="4"/>
  <c r="AT4" i="4"/>
  <c r="AT55" i="10"/>
  <c r="AT1" i="1"/>
  <c r="AT269" i="4"/>
  <c r="AT233" i="4"/>
  <c r="AT1000" i="2"/>
  <c r="AT366" i="4"/>
  <c r="AT4" i="2"/>
  <c r="AT1" i="10"/>
  <c r="AT102" i="10"/>
  <c r="AT1142" i="2"/>
  <c r="AT412" i="2"/>
  <c r="AT430" i="4" s="1"/>
  <c r="AW378" i="2"/>
  <c r="AW379" i="2" s="1"/>
  <c r="AQ28" i="4"/>
  <c r="AQ216" i="2"/>
  <c r="AU412" i="2"/>
  <c r="AR204" i="2"/>
  <c r="AR28" i="4" s="1"/>
  <c r="AS202" i="2"/>
  <c r="AS276" i="2" s="1"/>
  <c r="AS592" i="2" s="1"/>
  <c r="AT34" i="4"/>
  <c r="AT96" i="4" s="1"/>
  <c r="AT386" i="2"/>
  <c r="U1330" i="2"/>
  <c r="U1331" i="2"/>
  <c r="W104" i="4"/>
  <c r="T1327" i="2"/>
  <c r="AR775" i="2"/>
  <c r="AR995" i="2" s="1"/>
  <c r="AW69" i="2"/>
  <c r="S462" i="4"/>
  <c r="S490" i="4"/>
  <c r="AZ235" i="2"/>
  <c r="AZ259" i="2"/>
  <c r="AZ311" i="2"/>
  <c r="AZ368" i="2"/>
  <c r="AZ359" i="2"/>
  <c r="AZ320" i="2"/>
  <c r="AZ380" i="2"/>
  <c r="AZ474" i="2"/>
  <c r="AZ464" i="2"/>
  <c r="AZ484" i="2"/>
  <c r="AZ520" i="2"/>
  <c r="AZ454" i="2"/>
  <c r="AP108" i="10"/>
  <c r="AQ105" i="10" s="1"/>
  <c r="AU220" i="4"/>
  <c r="AV219" i="4"/>
  <c r="Y957" i="2"/>
  <c r="Y771" i="2"/>
  <c r="Z877" i="2"/>
  <c r="Z968" i="2" s="1"/>
  <c r="Y953" i="2"/>
  <c r="Y63" i="4" s="1"/>
  <c r="Y767" i="2"/>
  <c r="Y983" i="2"/>
  <c r="Y175" i="4" s="1"/>
  <c r="Z935" i="2"/>
  <c r="AU34" i="1"/>
  <c r="X173" i="4"/>
  <c r="X179" i="4" s="1"/>
  <c r="X264" i="4" s="1"/>
  <c r="X1316" i="2"/>
  <c r="X1313" i="2" s="1"/>
  <c r="Y882" i="2"/>
  <c r="Y973" i="2" s="1"/>
  <c r="AV29" i="1"/>
  <c r="AV27" i="1"/>
  <c r="AV28" i="1"/>
  <c r="AW26" i="1"/>
  <c r="AX1029" i="2" s="1"/>
  <c r="W494" i="4"/>
  <c r="W463" i="4"/>
  <c r="W436" i="4"/>
  <c r="AV955" i="2"/>
  <c r="AU956" i="2"/>
  <c r="AV951" i="2"/>
  <c r="AV952" i="2"/>
  <c r="AW840" i="2"/>
  <c r="AW841" i="2"/>
  <c r="AX831" i="2"/>
  <c r="AX834" i="2"/>
  <c r="AV847" i="2"/>
  <c r="AV843" i="2" s="1"/>
  <c r="AV853" i="2" s="1"/>
  <c r="AV848" i="2"/>
  <c r="AV849" i="2" s="1"/>
  <c r="AV844" i="2"/>
  <c r="AV845" i="2" s="1"/>
  <c r="AW852" i="2"/>
  <c r="AW842" i="2"/>
  <c r="AW846" i="2"/>
  <c r="AW837" i="2" s="1"/>
  <c r="AW78" i="4" s="1"/>
  <c r="AT299" i="7" s="1"/>
  <c r="AV822" i="2"/>
  <c r="AV823" i="2" s="1"/>
  <c r="AV821" i="2"/>
  <c r="AV817" i="2" s="1"/>
  <c r="AV827" i="2" s="1"/>
  <c r="AV818" i="2"/>
  <c r="AV819" i="2" s="1"/>
  <c r="AW814" i="2"/>
  <c r="AW815" i="2"/>
  <c r="AV759" i="2"/>
  <c r="AV75" i="4" s="1"/>
  <c r="AS296" i="7" s="1"/>
  <c r="AW826" i="2"/>
  <c r="AW816" i="2"/>
  <c r="AW820" i="2"/>
  <c r="AW811" i="2" s="1"/>
  <c r="AW77" i="4" s="1"/>
  <c r="AT298" i="7" s="1"/>
  <c r="AX805" i="2"/>
  <c r="AX808" i="2"/>
  <c r="AU765" i="2"/>
  <c r="AV796" i="2"/>
  <c r="AV797" i="2" s="1"/>
  <c r="AV795" i="2"/>
  <c r="AV791" i="2" s="1"/>
  <c r="AV801" i="2" s="1"/>
  <c r="AV792" i="2"/>
  <c r="AV793" i="2" s="1"/>
  <c r="AW788" i="2"/>
  <c r="AW789" i="2"/>
  <c r="AX782" i="2"/>
  <c r="AX779" i="2"/>
  <c r="AW800" i="2"/>
  <c r="AW790" i="2"/>
  <c r="AW794" i="2"/>
  <c r="AW785" i="2" s="1"/>
  <c r="AW76" i="4" s="1"/>
  <c r="AT297" i="7" s="1"/>
  <c r="AX753" i="2"/>
  <c r="AX756" i="2"/>
  <c r="AU627" i="2"/>
  <c r="AU626" i="2" s="1"/>
  <c r="AU184" i="4" s="1"/>
  <c r="AV769" i="2"/>
  <c r="AW774" i="2"/>
  <c r="AW768" i="2"/>
  <c r="AW764" i="2"/>
  <c r="AW762" i="2"/>
  <c r="AW763" i="2"/>
  <c r="AQ496" i="4"/>
  <c r="AQ437" i="4"/>
  <c r="AU1299" i="2"/>
  <c r="AS72" i="2"/>
  <c r="AS133" i="2" s="1"/>
  <c r="AS71" i="2"/>
  <c r="AP437" i="4"/>
  <c r="AP496" i="4"/>
  <c r="AT51" i="2"/>
  <c r="AT52" i="2"/>
  <c r="AW366" i="2"/>
  <c r="AW367" i="2" s="1"/>
  <c r="AV7" i="4"/>
  <c r="AU64" i="2"/>
  <c r="AV63" i="2"/>
  <c r="AX61" i="2"/>
  <c r="AX49" i="2" s="1"/>
  <c r="AX58" i="2"/>
  <c r="AX47" i="2"/>
  <c r="AW50" i="2"/>
  <c r="AU10" i="4"/>
  <c r="AE192" i="4"/>
  <c r="AE208" i="4" s="1"/>
  <c r="AW109" i="2"/>
  <c r="AP48" i="4"/>
  <c r="AV110" i="2"/>
  <c r="AV10" i="4" s="1"/>
  <c r="AP94" i="4"/>
  <c r="AP102" i="4"/>
  <c r="AQ60" i="4"/>
  <c r="AQ97" i="4"/>
  <c r="AS93" i="4"/>
  <c r="AW744" i="2"/>
  <c r="AW946" i="2" s="1"/>
  <c r="AW172" i="4" s="1"/>
  <c r="AV746" i="2"/>
  <c r="AR97" i="4"/>
  <c r="AS458" i="4"/>
  <c r="AS431" i="4"/>
  <c r="AE1259" i="2"/>
  <c r="AE112" i="4" s="1"/>
  <c r="AT243" i="2"/>
  <c r="AF1253" i="2"/>
  <c r="AF1259" i="2" s="1"/>
  <c r="AF112" i="4" s="1"/>
  <c r="AF241" i="4" s="1"/>
  <c r="AW89" i="2"/>
  <c r="AT92" i="2"/>
  <c r="AG1251" i="2"/>
  <c r="AG108" i="4" s="1"/>
  <c r="AG1234" i="2"/>
  <c r="AG1252" i="2" s="1"/>
  <c r="AG130" i="4" s="1"/>
  <c r="AH1233" i="2"/>
  <c r="AF373" i="4"/>
  <c r="AF212" i="4"/>
  <c r="AF276" i="4"/>
  <c r="AF1243" i="2"/>
  <c r="AF1258" i="2"/>
  <c r="AS131" i="2"/>
  <c r="AT91" i="2"/>
  <c r="AX1235" i="2"/>
  <c r="AV90" i="2"/>
  <c r="AV9" i="4" s="1"/>
  <c r="AU103" i="2"/>
  <c r="AU104" i="2" s="1"/>
  <c r="AW742" i="2"/>
  <c r="AW944" i="2" s="1"/>
  <c r="AW743" i="2"/>
  <c r="AW945" i="2" s="1"/>
  <c r="AX737" i="2"/>
  <c r="AX741" i="2" s="1"/>
  <c r="AX744" i="2" s="1"/>
  <c r="AX946" i="2" s="1"/>
  <c r="AV963" i="2"/>
  <c r="AV139" i="4" s="1"/>
  <c r="AV142" i="4"/>
  <c r="AV911" i="2"/>
  <c r="AV912" i="2" s="1"/>
  <c r="AV910" i="2"/>
  <c r="AV906" i="2" s="1"/>
  <c r="AV916" i="2" s="1"/>
  <c r="AV907" i="2"/>
  <c r="AV908" i="2" s="1"/>
  <c r="AU934" i="2"/>
  <c r="AU941" i="2" s="1"/>
  <c r="AU985" i="2"/>
  <c r="AW915" i="2"/>
  <c r="AW909" i="2"/>
  <c r="AW899" i="2" s="1"/>
  <c r="AW82" i="4" s="1"/>
  <c r="AT303" i="7" s="1"/>
  <c r="AX890" i="2"/>
  <c r="AX896" i="2"/>
  <c r="AW902" i="2"/>
  <c r="AW904" i="2"/>
  <c r="AW905" i="2"/>
  <c r="AV928" i="2"/>
  <c r="AV85" i="4" s="1"/>
  <c r="AS306" i="7" s="1"/>
  <c r="AV984" i="2"/>
  <c r="AV978" i="2" s="1"/>
  <c r="AV140" i="4" s="1"/>
  <c r="AV938" i="2"/>
  <c r="AX925" i="2"/>
  <c r="AX923" i="2"/>
  <c r="AW940" i="2"/>
  <c r="AW988" i="2" s="1"/>
  <c r="AW933" i="2"/>
  <c r="AW981" i="2" s="1"/>
  <c r="AW937" i="2"/>
  <c r="AW931" i="2"/>
  <c r="AW932" i="2"/>
  <c r="AW980" i="2" s="1"/>
  <c r="AK631" i="2"/>
  <c r="AV869" i="2"/>
  <c r="AV81" i="4" s="1"/>
  <c r="AS302" i="7" s="1"/>
  <c r="AU876" i="2"/>
  <c r="AU886" i="2" s="1"/>
  <c r="AX866" i="2"/>
  <c r="AX860" i="2"/>
  <c r="AV880" i="2"/>
  <c r="AV971" i="2" s="1"/>
  <c r="AW872" i="2"/>
  <c r="AW874" i="2"/>
  <c r="AW875" i="2"/>
  <c r="AW885" i="2"/>
  <c r="AW879" i="2"/>
  <c r="AR524" i="2"/>
  <c r="AR554" i="2" s="1"/>
  <c r="AR1302" i="2" s="1"/>
  <c r="AR553" i="2"/>
  <c r="AR565" i="2" s="1"/>
  <c r="AR61" i="4"/>
  <c r="AR60" i="4" s="1"/>
  <c r="AR102" i="4" s="1"/>
  <c r="AQ559" i="2"/>
  <c r="AQ552" i="2"/>
  <c r="AQ566" i="2" s="1"/>
  <c r="AP562" i="2"/>
  <c r="AP564" i="2" s="1"/>
  <c r="AQ560" i="2"/>
  <c r="AQ565" i="2"/>
  <c r="AS519" i="2"/>
  <c r="AR534" i="2"/>
  <c r="AR526" i="2"/>
  <c r="AQ536" i="2"/>
  <c r="AQ538" i="2" s="1"/>
  <c r="AR533" i="2"/>
  <c r="AS478" i="2"/>
  <c r="AS528" i="2" s="1"/>
  <c r="AS53" i="4"/>
  <c r="AS50" i="4" s="1"/>
  <c r="AS533" i="2"/>
  <c r="AO459" i="4"/>
  <c r="AO432" i="4"/>
  <c r="AO269" i="2"/>
  <c r="AO1301" i="2" s="1"/>
  <c r="AO254" i="2"/>
  <c r="AO278" i="2" s="1"/>
  <c r="AO604" i="2" s="1"/>
  <c r="AO605" i="2" s="1"/>
  <c r="AN256" i="2"/>
  <c r="AN279" i="2" s="1"/>
  <c r="AN611" i="2" s="1"/>
  <c r="AL613" i="2"/>
  <c r="AL609" i="2"/>
  <c r="AQ587" i="2"/>
  <c r="AQ584" i="2" s="1"/>
  <c r="AQ166" i="4" s="1"/>
  <c r="AN606" i="2"/>
  <c r="AM127" i="4"/>
  <c r="AP265" i="2"/>
  <c r="AO256" i="2" s="1"/>
  <c r="AM279" i="2"/>
  <c r="AM611" i="2" s="1"/>
  <c r="AM612" i="2" s="1"/>
  <c r="AP30" i="4"/>
  <c r="AP271" i="2"/>
  <c r="AM602" i="2"/>
  <c r="AM183" i="4" s="1"/>
  <c r="AP587" i="2"/>
  <c r="AP588" i="2" s="1"/>
  <c r="AR246" i="2"/>
  <c r="AR275" i="2" s="1"/>
  <c r="AR586" i="2" s="1"/>
  <c r="AR587" i="2" s="1"/>
  <c r="AR248" i="2"/>
  <c r="AR277" i="2" s="1"/>
  <c r="AR268" i="2"/>
  <c r="AR95" i="4" s="1"/>
  <c r="AS245" i="2"/>
  <c r="AS268" i="2" s="1"/>
  <c r="AS95" i="4" s="1"/>
  <c r="AQ252" i="2"/>
  <c r="AQ271" i="2" s="1"/>
  <c r="AP274" i="2"/>
  <c r="AP1292" i="2" s="1"/>
  <c r="AQ241" i="2"/>
  <c r="AQ229" i="2" s="1"/>
  <c r="AQ240" i="2"/>
  <c r="AR228" i="2"/>
  <c r="AR29" i="4" s="1"/>
  <c r="AS222" i="2"/>
  <c r="AS224" i="2"/>
  <c r="AO232" i="2"/>
  <c r="AO234" i="2" s="1"/>
  <c r="AP230" i="2"/>
  <c r="AX260" i="2"/>
  <c r="AX244" i="2"/>
  <c r="AX262" i="2"/>
  <c r="AX250" i="2"/>
  <c r="AP208" i="2"/>
  <c r="AP210" i="2" s="1"/>
  <c r="AQ205" i="2"/>
  <c r="AX236" i="2"/>
  <c r="AX220" i="2"/>
  <c r="AX238" i="2"/>
  <c r="AX226" i="2"/>
  <c r="AV488" i="2"/>
  <c r="AV54" i="4"/>
  <c r="AX485" i="2"/>
  <c r="AX486" i="2"/>
  <c r="AX482" i="2"/>
  <c r="AX475" i="2"/>
  <c r="AX476" i="2"/>
  <c r="AX472" i="2"/>
  <c r="AV468" i="2"/>
  <c r="AV52" i="4"/>
  <c r="AW463" i="2"/>
  <c r="AX465" i="2"/>
  <c r="AX466" i="2"/>
  <c r="AX462" i="2"/>
  <c r="AR464" i="4"/>
  <c r="AR496" i="4"/>
  <c r="AX521" i="2"/>
  <c r="AX522" i="2"/>
  <c r="AX518" i="2"/>
  <c r="AV458" i="2"/>
  <c r="AV51" i="4"/>
  <c r="AT529" i="2"/>
  <c r="AW453" i="2"/>
  <c r="AX455" i="2"/>
  <c r="AX456" i="2"/>
  <c r="AX452" i="2"/>
  <c r="AU402" i="2"/>
  <c r="AU409" i="2" s="1"/>
  <c r="AU8" i="4"/>
  <c r="AR397" i="2"/>
  <c r="AQ598" i="2"/>
  <c r="AQ401" i="2"/>
  <c r="AP599" i="2"/>
  <c r="AO600" i="2"/>
  <c r="AO596" i="2"/>
  <c r="AO164" i="4" s="1"/>
  <c r="AX317" i="2"/>
  <c r="AX321" i="2"/>
  <c r="AV323" i="2"/>
  <c r="AV324" i="2" s="1"/>
  <c r="AV36" i="4" s="1"/>
  <c r="AU315" i="2"/>
  <c r="AU35" i="4" s="1"/>
  <c r="AV314" i="2"/>
  <c r="AX308" i="2"/>
  <c r="AX312" i="2"/>
  <c r="AV383" i="2"/>
  <c r="AV404" i="2" s="1"/>
  <c r="AU394" i="2"/>
  <c r="AT84" i="2"/>
  <c r="AT129" i="2" s="1"/>
  <c r="AX377" i="2"/>
  <c r="AX381" i="2"/>
  <c r="AU83" i="2"/>
  <c r="AX365" i="2"/>
  <c r="AX369" i="2"/>
  <c r="AV371" i="2"/>
  <c r="AV372" i="2" s="1"/>
  <c r="AV43" i="4" s="1"/>
  <c r="AN1199" i="2"/>
  <c r="AN1200" i="2" s="1"/>
  <c r="AU363" i="2"/>
  <c r="AU42" i="4" s="1"/>
  <c r="AU41" i="4" s="1"/>
  <c r="AV362" i="2"/>
  <c r="AX356" i="2"/>
  <c r="AX360" i="2"/>
  <c r="AV70" i="2"/>
  <c r="AZ97" i="2"/>
  <c r="AZ117" i="2"/>
  <c r="AO116" i="10"/>
  <c r="AY62" i="10"/>
  <c r="AY57" i="10"/>
  <c r="AQ260" i="4"/>
  <c r="AU111" i="2"/>
  <c r="AT112" i="2"/>
  <c r="AU112" i="2" s="1"/>
  <c r="AX121" i="2"/>
  <c r="AX118" i="2"/>
  <c r="AX108" i="2"/>
  <c r="AX101" i="2"/>
  <c r="AX98" i="2"/>
  <c r="AX88" i="2"/>
  <c r="AT190" i="2"/>
  <c r="AS181" i="2" s="1"/>
  <c r="AS183" i="2" s="1"/>
  <c r="AW1274" i="2"/>
  <c r="AW1276" i="2" s="1"/>
  <c r="AR183" i="2"/>
  <c r="AT164" i="2"/>
  <c r="AW145" i="2"/>
  <c r="AW146" i="2" s="1"/>
  <c r="AU177" i="2"/>
  <c r="AU190" i="2" s="1"/>
  <c r="AT181" i="2" s="1"/>
  <c r="AR576" i="2"/>
  <c r="AQ590" i="2"/>
  <c r="AQ165" i="4" s="1"/>
  <c r="AU165" i="2"/>
  <c r="AU153" i="2" s="1"/>
  <c r="AQ110" i="10"/>
  <c r="AQ108" i="10" s="1"/>
  <c r="AR105" i="10" s="1"/>
  <c r="AU19" i="4"/>
  <c r="AU18" i="4" s="1"/>
  <c r="AU196" i="2"/>
  <c r="AY1091" i="2"/>
  <c r="AY1090" i="2" s="1"/>
  <c r="AX1092" i="2"/>
  <c r="AX65" i="10"/>
  <c r="AX133" i="10"/>
  <c r="AX136" i="10"/>
  <c r="AX188" i="4" s="1"/>
  <c r="AX135" i="10"/>
  <c r="AX97" i="10"/>
  <c r="AX176" i="4" s="1"/>
  <c r="AX93" i="10"/>
  <c r="AX168" i="4" s="1"/>
  <c r="AX70" i="10"/>
  <c r="AX71" i="10" s="1"/>
  <c r="AX72" i="10" s="1"/>
  <c r="AV146" i="2"/>
  <c r="AV148" i="2"/>
  <c r="AV727" i="2"/>
  <c r="AV723" i="2" s="1"/>
  <c r="AV730" i="2" s="1"/>
  <c r="AV724" i="2"/>
  <c r="AV725" i="2" s="1"/>
  <c r="BA341" i="4"/>
  <c r="BA383" i="4"/>
  <c r="BA292" i="4"/>
  <c r="BA47" i="1"/>
  <c r="BA57" i="2" s="1"/>
  <c r="BA49" i="1"/>
  <c r="BA48" i="1"/>
  <c r="BA50" i="1"/>
  <c r="BB43" i="1"/>
  <c r="AT138" i="4"/>
  <c r="AT144" i="4" s="1"/>
  <c r="AT990" i="2"/>
  <c r="Z79" i="10"/>
  <c r="AV673" i="2"/>
  <c r="AV674" i="2" s="1"/>
  <c r="AV672" i="2"/>
  <c r="AV668" i="2" s="1"/>
  <c r="AV678" i="2" s="1"/>
  <c r="AV669" i="2"/>
  <c r="AV670" i="2" s="1"/>
  <c r="AR162" i="4"/>
  <c r="AR260" i="4" s="1"/>
  <c r="AW729" i="2"/>
  <c r="AW722" i="2"/>
  <c r="AW726" i="2"/>
  <c r="AW717" i="2" s="1"/>
  <c r="AW720" i="2"/>
  <c r="AW721" i="2"/>
  <c r="AV703" i="2"/>
  <c r="AV704" i="2" s="1"/>
  <c r="AV702" i="2"/>
  <c r="AV698" i="2" s="1"/>
  <c r="AV708" i="2" s="1"/>
  <c r="AV699" i="2"/>
  <c r="AV700" i="2" s="1"/>
  <c r="AS324" i="4"/>
  <c r="AS374" i="4"/>
  <c r="AS277" i="4"/>
  <c r="AS1264" i="2"/>
  <c r="AS1184" i="2"/>
  <c r="AU502" i="4"/>
  <c r="AU440" i="4"/>
  <c r="AU467" i="4"/>
  <c r="AC84" i="10"/>
  <c r="AC85" i="10" s="1"/>
  <c r="AU22" i="2"/>
  <c r="AU11" i="2" s="1"/>
  <c r="AN1107" i="2"/>
  <c r="AO1106" i="2" s="1"/>
  <c r="AT399" i="2"/>
  <c r="AY1084" i="2"/>
  <c r="AZ1083" i="2"/>
  <c r="AZ1082" i="2" s="1"/>
  <c r="AZ211" i="2"/>
  <c r="AZ159" i="2"/>
  <c r="AZ184" i="2"/>
  <c r="AU539" i="2"/>
  <c r="AU546" i="2"/>
  <c r="AT549" i="2"/>
  <c r="AT551" i="2" s="1"/>
  <c r="AU547" i="2"/>
  <c r="AW1039" i="2"/>
  <c r="AW1038" i="2"/>
  <c r="AX1281" i="2"/>
  <c r="AX1272" i="2"/>
  <c r="AX1032" i="2"/>
  <c r="AX1031" i="2" s="1"/>
  <c r="AX659" i="2"/>
  <c r="AX628" i="2"/>
  <c r="AX629" i="2" s="1"/>
  <c r="AX555" i="2"/>
  <c r="AX544" i="2"/>
  <c r="AX443" i="2"/>
  <c r="AX439" i="2" s="1"/>
  <c r="AX407" i="2"/>
  <c r="AX214" i="2"/>
  <c r="AX160" i="2"/>
  <c r="AX1017" i="2"/>
  <c r="AX656" i="2"/>
  <c r="AX643" i="2"/>
  <c r="AX542" i="2"/>
  <c r="AX531" i="2"/>
  <c r="AX442" i="2"/>
  <c r="AX432" i="2"/>
  <c r="AX405" i="2"/>
  <c r="AX168" i="2"/>
  <c r="AX167" i="2" s="1"/>
  <c r="AX1278" i="2"/>
  <c r="AX1108" i="2"/>
  <c r="AX1109" i="2" s="1"/>
  <c r="AX1037" i="2"/>
  <c r="AX712" i="2"/>
  <c r="AX389" i="2"/>
  <c r="AX187" i="2"/>
  <c r="AX169" i="2" s="1"/>
  <c r="AX144" i="2"/>
  <c r="AX81" i="2"/>
  <c r="AX1275" i="2"/>
  <c r="AX1146" i="2"/>
  <c r="AX1147" i="2" s="1"/>
  <c r="AX1220" i="2"/>
  <c r="AX1221" i="2" s="1"/>
  <c r="AX1028" i="2"/>
  <c r="AX438" i="2"/>
  <c r="AX437" i="2" s="1"/>
  <c r="AX296" i="2"/>
  <c r="AX7" i="2"/>
  <c r="AX1273" i="2"/>
  <c r="AX1201" i="2"/>
  <c r="AX1202" i="2" s="1"/>
  <c r="AX1120" i="2"/>
  <c r="AX1121" i="2" s="1"/>
  <c r="AX1026" i="2"/>
  <c r="AX688" i="2"/>
  <c r="AX162" i="2"/>
  <c r="AX143" i="2"/>
  <c r="AX36" i="2"/>
  <c r="AX19" i="2"/>
  <c r="AX1335" i="2"/>
  <c r="AX212" i="2"/>
  <c r="AX682" i="2"/>
  <c r="AX623" i="2"/>
  <c r="AX624" i="2" s="1"/>
  <c r="AX300" i="2"/>
  <c r="AX297" i="2" s="1"/>
  <c r="AX1136" i="2"/>
  <c r="AX1279" i="2"/>
  <c r="AX1178" i="2"/>
  <c r="AX197" i="4" s="1"/>
  <c r="AX1033" i="2"/>
  <c r="AX431" i="2"/>
  <c r="AX39" i="2"/>
  <c r="AX27" i="2" s="1"/>
  <c r="AX17" i="2"/>
  <c r="AX557" i="2"/>
  <c r="AX391" i="2"/>
  <c r="AX714" i="2"/>
  <c r="AX427" i="2"/>
  <c r="AX291" i="2"/>
  <c r="AX288" i="2"/>
  <c r="AX185" i="2"/>
  <c r="AX78" i="2"/>
  <c r="AX1012" i="2"/>
  <c r="AX1011" i="2" s="1"/>
  <c r="AX26" i="2"/>
  <c r="AX25" i="2" s="1"/>
  <c r="AX428" i="2"/>
  <c r="AX287" i="2"/>
  <c r="AX8" i="2"/>
  <c r="AX1150" i="2"/>
  <c r="AX1151" i="2" s="1"/>
  <c r="AX1013" i="2"/>
  <c r="AX1014" i="2" s="1"/>
  <c r="AX175" i="2"/>
  <c r="AX1208" i="2"/>
  <c r="AX1209" i="2" s="1"/>
  <c r="AX150" i="2"/>
  <c r="AV197" i="2"/>
  <c r="AV194" i="2"/>
  <c r="AT198" i="2"/>
  <c r="AT200" i="2"/>
  <c r="AT1307" i="2"/>
  <c r="AR593" i="2"/>
  <c r="AR594" i="2" s="1"/>
  <c r="AZ290" i="2"/>
  <c r="AZ299" i="2"/>
  <c r="AX347" i="4"/>
  <c r="AX199" i="4"/>
  <c r="AX189" i="4"/>
  <c r="AX332" i="4"/>
  <c r="AX293" i="4"/>
  <c r="AX178" i="4"/>
  <c r="AX169" i="4"/>
  <c r="AX384" i="4"/>
  <c r="AX321" i="4"/>
  <c r="AX298" i="4"/>
  <c r="AX283" i="4"/>
  <c r="AX370" i="4"/>
  <c r="AX342" i="4"/>
  <c r="AX389" i="4"/>
  <c r="AX273" i="4"/>
  <c r="AX194" i="4"/>
  <c r="AX412" i="4"/>
  <c r="AR615" i="2"/>
  <c r="AR186" i="4" s="1"/>
  <c r="AV173" i="2"/>
  <c r="AV171" i="2"/>
  <c r="AZ430" i="2"/>
  <c r="AZ441" i="2"/>
  <c r="AU177" i="4"/>
  <c r="AV440" i="4"/>
  <c r="AV502" i="4"/>
  <c r="AV467" i="4"/>
  <c r="AO210" i="2"/>
  <c r="AW9" i="2"/>
  <c r="AW298" i="2"/>
  <c r="AQ1117" i="2"/>
  <c r="AV21" i="2"/>
  <c r="AU991" i="2"/>
  <c r="AU1305" i="2" s="1"/>
  <c r="AU949" i="2"/>
  <c r="AY87" i="1"/>
  <c r="AX91" i="1"/>
  <c r="AZ77" i="2"/>
  <c r="AZ16" i="2"/>
  <c r="AZ35" i="2"/>
  <c r="AO117" i="10"/>
  <c r="AP116" i="10" s="1"/>
  <c r="AT154" i="2"/>
  <c r="AR1119" i="2"/>
  <c r="AS1118" i="2" s="1"/>
  <c r="AW1280" i="2"/>
  <c r="AW1282" i="2" s="1"/>
  <c r="AW707" i="2"/>
  <c r="AW701" i="2"/>
  <c r="AW691" i="2" s="1"/>
  <c r="AW170" i="2"/>
  <c r="AV302" i="2"/>
  <c r="AV303" i="2" s="1"/>
  <c r="AU30" i="2"/>
  <c r="AS156" i="2"/>
  <c r="AS158" i="2" s="1"/>
  <c r="AV41" i="2"/>
  <c r="AW694" i="2"/>
  <c r="AW696" i="2"/>
  <c r="AW697" i="2"/>
  <c r="AW289" i="2"/>
  <c r="AY2" i="5"/>
  <c r="AY2" i="4"/>
  <c r="AY2" i="2"/>
  <c r="AY2" i="10"/>
  <c r="AY2" i="1"/>
  <c r="AZ25" i="1"/>
  <c r="AS1310" i="2"/>
  <c r="AZ1063" i="2"/>
  <c r="AZ1062" i="2" s="1"/>
  <c r="AY1061" i="2"/>
  <c r="AW677" i="2"/>
  <c r="AW667" i="2"/>
  <c r="AW671" i="2"/>
  <c r="AW662" i="2" s="1"/>
  <c r="AW440" i="2"/>
  <c r="AW445" i="2" s="1"/>
  <c r="AW647" i="2"/>
  <c r="AW650" i="2" s="1"/>
  <c r="AW648" i="2"/>
  <c r="AW649" i="2"/>
  <c r="AW28" i="2"/>
  <c r="AV652" i="2"/>
  <c r="AW665" i="2"/>
  <c r="AW666" i="2"/>
  <c r="AW429" i="2"/>
  <c r="AW434" i="2" s="1"/>
  <c r="AY80" i="1"/>
  <c r="AZ81" i="1"/>
  <c r="AX146" i="1"/>
  <c r="AX59" i="1"/>
  <c r="AX120" i="1"/>
  <c r="AX45" i="1"/>
  <c r="AX44" i="1"/>
  <c r="AX53" i="1"/>
  <c r="AX131" i="1"/>
  <c r="AX123" i="1"/>
  <c r="AX140" i="1"/>
  <c r="AU384" i="2" l="1"/>
  <c r="AU46" i="4" s="1"/>
  <c r="AU45" i="4" s="1"/>
  <c r="F159" i="7"/>
  <c r="AU471" i="2"/>
  <c r="AU473" i="2" s="1"/>
  <c r="AU527" i="2" s="1"/>
  <c r="F97" i="7"/>
  <c r="F115" i="7"/>
  <c r="F167" i="7"/>
  <c r="AT409" i="2"/>
  <c r="AW508" i="2"/>
  <c r="AW56" i="4"/>
  <c r="AS416" i="2"/>
  <c r="AS1322" i="2" s="1"/>
  <c r="AX503" i="2"/>
  <c r="AY502" i="2"/>
  <c r="AY506" i="2"/>
  <c r="AY505" i="2"/>
  <c r="AY501" i="2"/>
  <c r="AW970" i="2"/>
  <c r="AW963" i="2" s="1"/>
  <c r="AW139" i="4" s="1"/>
  <c r="AW498" i="2"/>
  <c r="AW55" i="4"/>
  <c r="AX493" i="2"/>
  <c r="AW967" i="2"/>
  <c r="AW966" i="2"/>
  <c r="AY496" i="2"/>
  <c r="AY492" i="2"/>
  <c r="AY491" i="2"/>
  <c r="AY495" i="2"/>
  <c r="AW977" i="2"/>
  <c r="AU996" i="2"/>
  <c r="AX411" i="2"/>
  <c r="AV396" i="2"/>
  <c r="AV394" i="2" s="1"/>
  <c r="AW395" i="2"/>
  <c r="AV388" i="2"/>
  <c r="AS418" i="2"/>
  <c r="AW387" i="2"/>
  <c r="AU386" i="2"/>
  <c r="AX346" i="2"/>
  <c r="AY348" i="2"/>
  <c r="AY345" i="2" s="1"/>
  <c r="AY344" i="2"/>
  <c r="AS128" i="4"/>
  <c r="AY339" i="2"/>
  <c r="AY336" i="2" s="1"/>
  <c r="AY335" i="2"/>
  <c r="AX337" i="2"/>
  <c r="AW341" i="2"/>
  <c r="AW342" i="2" s="1"/>
  <c r="AW38" i="4" s="1"/>
  <c r="AX328" i="2"/>
  <c r="AJ1218" i="2"/>
  <c r="AY68" i="2"/>
  <c r="AY326" i="2"/>
  <c r="AY330" i="2"/>
  <c r="AY327" i="2" s="1"/>
  <c r="AT45" i="4"/>
  <c r="AX318" i="2"/>
  <c r="AX319" i="2" s="1"/>
  <c r="AU34" i="4"/>
  <c r="AT93" i="4"/>
  <c r="AT236" i="4" s="1"/>
  <c r="AW403" i="2"/>
  <c r="AX357" i="2"/>
  <c r="AX358" i="2" s="1"/>
  <c r="W333" i="4"/>
  <c r="V492" i="4"/>
  <c r="V1328" i="2"/>
  <c r="V1330" i="2" s="1"/>
  <c r="AS96" i="4"/>
  <c r="AS32" i="4"/>
  <c r="AX87" i="2"/>
  <c r="AX107" i="2"/>
  <c r="AU130" i="2"/>
  <c r="AU1291" i="2" s="1"/>
  <c r="AU458" i="4" s="1"/>
  <c r="AV128" i="2"/>
  <c r="AV471" i="2" s="1"/>
  <c r="AS574" i="2"/>
  <c r="AS575" i="2" s="1"/>
  <c r="AS576" i="2" s="1"/>
  <c r="AU243" i="2"/>
  <c r="AU517" i="2"/>
  <c r="AX67" i="2"/>
  <c r="AX195" i="2" s="1"/>
  <c r="AX309" i="2"/>
  <c r="AX310" i="2" s="1"/>
  <c r="AT410" i="2"/>
  <c r="AU6" i="4"/>
  <c r="AU93" i="4" s="1"/>
  <c r="AU236" i="4" s="1"/>
  <c r="AT414" i="2"/>
  <c r="AT617" i="2" s="1"/>
  <c r="AT618" i="2" s="1"/>
  <c r="AT619" i="2" s="1"/>
  <c r="AU92" i="2"/>
  <c r="AT457" i="4"/>
  <c r="AT484" i="4"/>
  <c r="AX378" i="2"/>
  <c r="AX379" i="2" s="1"/>
  <c r="AX403" i="2" s="1"/>
  <c r="AV34" i="1"/>
  <c r="AV1000" i="2" s="1"/>
  <c r="AO115" i="10"/>
  <c r="AP112" i="10" s="1"/>
  <c r="AS204" i="2"/>
  <c r="AS28" i="4" s="1"/>
  <c r="AW70" i="2"/>
  <c r="AW8" i="4" s="1"/>
  <c r="AR216" i="2"/>
  <c r="AR217" i="2"/>
  <c r="AQ208" i="2" s="1"/>
  <c r="AT393" i="2"/>
  <c r="AT202" i="2"/>
  <c r="AT276" i="2" s="1"/>
  <c r="AT592" i="2" s="1"/>
  <c r="AT413" i="2"/>
  <c r="AT416" i="2" s="1"/>
  <c r="AT1322" i="2" s="1"/>
  <c r="W207" i="4"/>
  <c r="W209" i="4" s="1"/>
  <c r="W109" i="4"/>
  <c r="W115" i="4" s="1"/>
  <c r="W247" i="4"/>
  <c r="W256" i="4"/>
  <c r="W284" i="4"/>
  <c r="T435" i="4"/>
  <c r="T490" i="4"/>
  <c r="T462" i="4"/>
  <c r="U1332" i="2"/>
  <c r="U1333" i="2" s="1"/>
  <c r="U1336" i="2"/>
  <c r="AW951" i="2"/>
  <c r="AX69" i="2"/>
  <c r="AS775" i="2"/>
  <c r="AS995" i="2" s="1"/>
  <c r="AV956" i="2"/>
  <c r="AR109" i="10"/>
  <c r="BA520" i="2"/>
  <c r="BA454" i="2"/>
  <c r="BA484" i="2"/>
  <c r="BA474" i="2"/>
  <c r="BA464" i="2"/>
  <c r="AU14" i="4"/>
  <c r="AU1142" i="2"/>
  <c r="AU90" i="10"/>
  <c r="AU408" i="4"/>
  <c r="AU1168" i="2"/>
  <c r="AU4" i="2"/>
  <c r="AU317" i="4"/>
  <c r="AU1269" i="2"/>
  <c r="AU124" i="4"/>
  <c r="AU1" i="5"/>
  <c r="AU25" i="4"/>
  <c r="AU366" i="4"/>
  <c r="AU233" i="4"/>
  <c r="AU1000" i="2"/>
  <c r="AU1" i="1"/>
  <c r="AU205" i="4"/>
  <c r="AU1" i="2"/>
  <c r="AU113" i="1"/>
  <c r="AU284" i="2"/>
  <c r="AU55" i="10"/>
  <c r="AU1" i="10"/>
  <c r="AU4" i="5"/>
  <c r="AU1189" i="2"/>
  <c r="AU638" i="2"/>
  <c r="AU423" i="2"/>
  <c r="AU68" i="1"/>
  <c r="AU1096" i="2"/>
  <c r="AU38" i="1"/>
  <c r="AU102" i="10"/>
  <c r="AU69" i="4"/>
  <c r="AU91" i="4"/>
  <c r="AU570" i="2"/>
  <c r="AU140" i="2"/>
  <c r="AU4" i="4"/>
  <c r="AU1" i="4"/>
  <c r="AU159" i="4"/>
  <c r="AU14" i="1"/>
  <c r="AU1056" i="2"/>
  <c r="AU269" i="4"/>
  <c r="Y958" i="2"/>
  <c r="Z770" i="2"/>
  <c r="Z936" i="2"/>
  <c r="Z982" i="2"/>
  <c r="AW219" i="4"/>
  <c r="AV220" i="4"/>
  <c r="Z881" i="2"/>
  <c r="Z972" i="2" s="1"/>
  <c r="Y954" i="2"/>
  <c r="Z766" i="2"/>
  <c r="BA311" i="2"/>
  <c r="BA368" i="2"/>
  <c r="BA359" i="2"/>
  <c r="BA320" i="2"/>
  <c r="BA380" i="2"/>
  <c r="AW955" i="2"/>
  <c r="Y107" i="4"/>
  <c r="Y240" i="4" s="1"/>
  <c r="Y65" i="4"/>
  <c r="BA235" i="2"/>
  <c r="BA259" i="2"/>
  <c r="AW962" i="2"/>
  <c r="X495" i="4"/>
  <c r="X103" i="4"/>
  <c r="X104" i="4" s="1"/>
  <c r="X1314" i="2"/>
  <c r="X1315" i="2" s="1"/>
  <c r="Z878" i="2"/>
  <c r="Z969" i="2" s="1"/>
  <c r="AW29" i="1"/>
  <c r="AW28" i="1"/>
  <c r="AW27" i="1"/>
  <c r="AX26" i="1"/>
  <c r="AY1029" i="2" s="1"/>
  <c r="Y1318" i="2"/>
  <c r="Y174" i="4"/>
  <c r="AW952" i="2"/>
  <c r="AX852" i="2"/>
  <c r="AX842" i="2"/>
  <c r="AX846" i="2"/>
  <c r="AX837" i="2" s="1"/>
  <c r="AX78" i="4" s="1"/>
  <c r="AU299" i="7" s="1"/>
  <c r="AX840" i="2"/>
  <c r="AX841" i="2"/>
  <c r="AY834" i="2"/>
  <c r="AY831" i="2"/>
  <c r="AW848" i="2"/>
  <c r="AW849" i="2" s="1"/>
  <c r="AW847" i="2"/>
  <c r="AW843" i="2" s="1"/>
  <c r="AW853" i="2" s="1"/>
  <c r="AW844" i="2"/>
  <c r="AW845" i="2" s="1"/>
  <c r="AY805" i="2"/>
  <c r="AY808" i="2"/>
  <c r="AW759" i="2"/>
  <c r="AW75" i="4" s="1"/>
  <c r="AT296" i="7" s="1"/>
  <c r="AX826" i="2"/>
  <c r="AX816" i="2"/>
  <c r="AX820" i="2"/>
  <c r="AX811" i="2" s="1"/>
  <c r="AX77" i="4" s="1"/>
  <c r="AU298" i="7" s="1"/>
  <c r="AW821" i="2"/>
  <c r="AW817" i="2" s="1"/>
  <c r="AW827" i="2" s="1"/>
  <c r="AW822" i="2"/>
  <c r="AW823" i="2" s="1"/>
  <c r="AW818" i="2"/>
  <c r="AW819" i="2" s="1"/>
  <c r="AV765" i="2"/>
  <c r="AX814" i="2"/>
  <c r="AX815" i="2"/>
  <c r="AX788" i="2"/>
  <c r="AX789" i="2"/>
  <c r="AX800" i="2"/>
  <c r="AX790" i="2"/>
  <c r="AX794" i="2"/>
  <c r="AX785" i="2" s="1"/>
  <c r="AX76" i="4" s="1"/>
  <c r="AU297" i="7" s="1"/>
  <c r="AW796" i="2"/>
  <c r="AW797" i="2" s="1"/>
  <c r="AW795" i="2"/>
  <c r="AW791" i="2" s="1"/>
  <c r="AW801" i="2" s="1"/>
  <c r="AW792" i="2"/>
  <c r="AW793" i="2" s="1"/>
  <c r="AY782" i="2"/>
  <c r="AY779" i="2"/>
  <c r="AW769" i="2"/>
  <c r="AY756" i="2"/>
  <c r="AY753" i="2"/>
  <c r="AX481" i="2"/>
  <c r="AX483" i="2" s="1"/>
  <c r="AX774" i="2"/>
  <c r="AX768" i="2"/>
  <c r="AX764" i="2"/>
  <c r="AX762" i="2"/>
  <c r="AX763" i="2"/>
  <c r="AE195" i="4"/>
  <c r="AV1299" i="2"/>
  <c r="AX366" i="2"/>
  <c r="AX367" i="2" s="1"/>
  <c r="AU51" i="2"/>
  <c r="AU52" i="2"/>
  <c r="AX50" i="2"/>
  <c r="AW7" i="4"/>
  <c r="AE222" i="4"/>
  <c r="AV64" i="2"/>
  <c r="AY61" i="2"/>
  <c r="AY49" i="2" s="1"/>
  <c r="AY58" i="2"/>
  <c r="AY47" i="2"/>
  <c r="AW63" i="2"/>
  <c r="AF1248" i="2"/>
  <c r="AW110" i="2"/>
  <c r="AW10" i="4" s="1"/>
  <c r="AX109" i="2"/>
  <c r="AF192" i="4"/>
  <c r="AF195" i="4" s="1"/>
  <c r="AE241" i="4"/>
  <c r="AV123" i="2"/>
  <c r="AV124" i="2" s="1"/>
  <c r="AP238" i="4"/>
  <c r="AS237" i="4"/>
  <c r="AP459" i="4"/>
  <c r="AQ102" i="4"/>
  <c r="AP27" i="4"/>
  <c r="AR237" i="4"/>
  <c r="AS236" i="4"/>
  <c r="AQ48" i="4"/>
  <c r="AQ94" i="4"/>
  <c r="AP98" i="4"/>
  <c r="AT431" i="4"/>
  <c r="AX89" i="2"/>
  <c r="AX742" i="2"/>
  <c r="AX944" i="2" s="1"/>
  <c r="AX743" i="2"/>
  <c r="AX945" i="2" s="1"/>
  <c r="AU100" i="4"/>
  <c r="AR48" i="4"/>
  <c r="AR238" i="4" s="1"/>
  <c r="AW90" i="2"/>
  <c r="AW9" i="4" s="1"/>
  <c r="AS97" i="4"/>
  <c r="AU219" i="2"/>
  <c r="AU221" i="2" s="1"/>
  <c r="AT485" i="4"/>
  <c r="AG1232" i="2"/>
  <c r="AF1257" i="2"/>
  <c r="AG1242" i="2"/>
  <c r="AH1251" i="2"/>
  <c r="AH108" i="4" s="1"/>
  <c r="AH1234" i="2"/>
  <c r="AH1232" i="2" s="1"/>
  <c r="AG212" i="4"/>
  <c r="AG373" i="4"/>
  <c r="AG276" i="4"/>
  <c r="AV103" i="2"/>
  <c r="AV104" i="2" s="1"/>
  <c r="AY1235" i="2"/>
  <c r="AV627" i="2"/>
  <c r="AV626" i="2" s="1"/>
  <c r="AV184" i="4" s="1"/>
  <c r="AY737" i="2"/>
  <c r="AY742" i="2" s="1"/>
  <c r="AY944" i="2" s="1"/>
  <c r="AW746" i="2"/>
  <c r="AV934" i="2"/>
  <c r="AV941" i="2" s="1"/>
  <c r="AV985" i="2"/>
  <c r="AW910" i="2"/>
  <c r="AW906" i="2" s="1"/>
  <c r="AW916" i="2" s="1"/>
  <c r="AW911" i="2"/>
  <c r="AW912" i="2" s="1"/>
  <c r="AW907" i="2"/>
  <c r="AW908" i="2" s="1"/>
  <c r="AX915" i="2"/>
  <c r="AX909" i="2"/>
  <c r="AX899" i="2" s="1"/>
  <c r="AX82" i="4" s="1"/>
  <c r="AU303" i="7" s="1"/>
  <c r="AX902" i="2"/>
  <c r="AX904" i="2"/>
  <c r="AX905" i="2"/>
  <c r="AW928" i="2"/>
  <c r="AW85" i="4" s="1"/>
  <c r="AT306" i="7" s="1"/>
  <c r="AW984" i="2"/>
  <c r="AW978" i="2" s="1"/>
  <c r="AW140" i="4" s="1"/>
  <c r="AY890" i="2"/>
  <c r="AY896" i="2"/>
  <c r="AX931" i="2"/>
  <c r="AX932" i="2"/>
  <c r="AX980" i="2" s="1"/>
  <c r="AX940" i="2"/>
  <c r="AX988" i="2" s="1"/>
  <c r="AX933" i="2"/>
  <c r="AX981" i="2" s="1"/>
  <c r="AX937" i="2"/>
  <c r="AW938" i="2"/>
  <c r="AY925" i="2"/>
  <c r="AY923" i="2"/>
  <c r="AW869" i="2"/>
  <c r="AW81" i="4" s="1"/>
  <c r="AT302" i="7" s="1"/>
  <c r="AV876" i="2"/>
  <c r="AV886" i="2" s="1"/>
  <c r="AX872" i="2"/>
  <c r="AX874" i="2"/>
  <c r="AX875" i="2"/>
  <c r="AX885" i="2"/>
  <c r="AX879" i="2"/>
  <c r="AW880" i="2"/>
  <c r="AY866" i="2"/>
  <c r="AY860" i="2"/>
  <c r="AO270" i="2"/>
  <c r="AT519" i="2"/>
  <c r="AS524" i="2"/>
  <c r="AS554" i="2" s="1"/>
  <c r="AS1302" i="2" s="1"/>
  <c r="AS553" i="2"/>
  <c r="AS565" i="2" s="1"/>
  <c r="AS61" i="4"/>
  <c r="AR559" i="2"/>
  <c r="AQ562" i="2"/>
  <c r="AQ564" i="2" s="1"/>
  <c r="AR560" i="2"/>
  <c r="AR552" i="2"/>
  <c r="AR566" i="2" s="1"/>
  <c r="AN612" i="2"/>
  <c r="AN609" i="2" s="1"/>
  <c r="AN631" i="2" s="1"/>
  <c r="AT533" i="2"/>
  <c r="AT478" i="2"/>
  <c r="AT528" i="2" s="1"/>
  <c r="AT53" i="4"/>
  <c r="AT50" i="4" s="1"/>
  <c r="AS526" i="2"/>
  <c r="AS534" i="2"/>
  <c r="AR536" i="2"/>
  <c r="AR538" i="2" s="1"/>
  <c r="AO258" i="2"/>
  <c r="AO273" i="2" s="1"/>
  <c r="AO127" i="4" s="1"/>
  <c r="AO606" i="2"/>
  <c r="AO602" i="2"/>
  <c r="AO183" i="4" s="1"/>
  <c r="AP269" i="2"/>
  <c r="AP270" i="2" s="1"/>
  <c r="AP232" i="2"/>
  <c r="AP234" i="2" s="1"/>
  <c r="AQ230" i="2"/>
  <c r="AN258" i="2"/>
  <c r="AN273" i="2" s="1"/>
  <c r="AL631" i="2"/>
  <c r="AL163" i="4"/>
  <c r="AP253" i="2"/>
  <c r="AP272" i="2" s="1"/>
  <c r="AP607" i="2" s="1"/>
  <c r="AR94" i="4"/>
  <c r="AR98" i="4" s="1"/>
  <c r="AP486" i="4"/>
  <c r="AP432" i="4"/>
  <c r="AQ588" i="2"/>
  <c r="AM609" i="2"/>
  <c r="AM613" i="2"/>
  <c r="AR252" i="2"/>
  <c r="AR30" i="4" s="1"/>
  <c r="AR27" i="4" s="1"/>
  <c r="AP254" i="2"/>
  <c r="AP278" i="2" s="1"/>
  <c r="AP604" i="2" s="1"/>
  <c r="AP605" i="2" s="1"/>
  <c r="AP606" i="2" s="1"/>
  <c r="AR241" i="2"/>
  <c r="AR230" i="2" s="1"/>
  <c r="AM280" i="2"/>
  <c r="AR584" i="2"/>
  <c r="AR166" i="4" s="1"/>
  <c r="AR262" i="4" s="1"/>
  <c r="AR588" i="2"/>
  <c r="AS228" i="2"/>
  <c r="AS241" i="2" s="1"/>
  <c r="AS229" i="2" s="1"/>
  <c r="AQ30" i="4"/>
  <c r="AQ265" i="2"/>
  <c r="AP256" i="2" s="1"/>
  <c r="AQ264" i="2"/>
  <c r="AQ274" i="2" s="1"/>
  <c r="AQ1292" i="2" s="1"/>
  <c r="AT245" i="2"/>
  <c r="AS246" i="2"/>
  <c r="AS248" i="2"/>
  <c r="AS277" i="2" s="1"/>
  <c r="AP584" i="2"/>
  <c r="AP166" i="4" s="1"/>
  <c r="AR240" i="2"/>
  <c r="AO279" i="2"/>
  <c r="AO611" i="2" s="1"/>
  <c r="AO612" i="2" s="1"/>
  <c r="AO609" i="2" s="1"/>
  <c r="AT222" i="2"/>
  <c r="AT224" i="2"/>
  <c r="AY262" i="2"/>
  <c r="AY260" i="2"/>
  <c r="AY244" i="2"/>
  <c r="AY250" i="2"/>
  <c r="AY238" i="2"/>
  <c r="AY236" i="2"/>
  <c r="AY220" i="2"/>
  <c r="AY226" i="2"/>
  <c r="AW488" i="2"/>
  <c r="AW54" i="4"/>
  <c r="AY485" i="2"/>
  <c r="AY486" i="2"/>
  <c r="AY482" i="2"/>
  <c r="AY475" i="2"/>
  <c r="AY476" i="2"/>
  <c r="AY472" i="2"/>
  <c r="AW468" i="2"/>
  <c r="AW52" i="4"/>
  <c r="AX463" i="2"/>
  <c r="AY465" i="2"/>
  <c r="AY466" i="2"/>
  <c r="AY462" i="2"/>
  <c r="AY521" i="2"/>
  <c r="AY522" i="2"/>
  <c r="AY518" i="2"/>
  <c r="AW458" i="2"/>
  <c r="AW51" i="4"/>
  <c r="AU529" i="2"/>
  <c r="AY455" i="2"/>
  <c r="AY456" i="2"/>
  <c r="AY452" i="2"/>
  <c r="AX453" i="2"/>
  <c r="AV384" i="2"/>
  <c r="AV46" i="4" s="1"/>
  <c r="AV45" i="4" s="1"/>
  <c r="AU413" i="2"/>
  <c r="AU1321" i="2" s="1"/>
  <c r="AU497" i="4" s="1"/>
  <c r="AT72" i="2"/>
  <c r="AT133" i="2" s="1"/>
  <c r="AP596" i="2"/>
  <c r="AP164" i="4" s="1"/>
  <c r="AP261" i="4" s="1"/>
  <c r="AS397" i="2"/>
  <c r="AR598" i="2"/>
  <c r="AR599" i="2" s="1"/>
  <c r="AR596" i="2" s="1"/>
  <c r="AR164" i="4" s="1"/>
  <c r="AR401" i="2"/>
  <c r="AO261" i="4"/>
  <c r="AQ599" i="2"/>
  <c r="AP600" i="2"/>
  <c r="AW323" i="2"/>
  <c r="AW324" i="2" s="1"/>
  <c r="AW36" i="4" s="1"/>
  <c r="AY317" i="2"/>
  <c r="AY321" i="2"/>
  <c r="AW195" i="2"/>
  <c r="AW194" i="2" s="1"/>
  <c r="AV315" i="2"/>
  <c r="AV35" i="4" s="1"/>
  <c r="AT71" i="2"/>
  <c r="AW314" i="2"/>
  <c r="AY308" i="2"/>
  <c r="AY312" i="2"/>
  <c r="AU84" i="2"/>
  <c r="AU129" i="2" s="1"/>
  <c r="AV402" i="2"/>
  <c r="AW383" i="2"/>
  <c r="AW404" i="2" s="1"/>
  <c r="AY377" i="2"/>
  <c r="AY381" i="2"/>
  <c r="AW371" i="2"/>
  <c r="AW372" i="2" s="1"/>
  <c r="AW43" i="4" s="1"/>
  <c r="AY365" i="2"/>
  <c r="AY369" i="2"/>
  <c r="AV83" i="2"/>
  <c r="AV8" i="4"/>
  <c r="AV363" i="2"/>
  <c r="AV42" i="4" s="1"/>
  <c r="AY356" i="2"/>
  <c r="AY360" i="2"/>
  <c r="AW362" i="2"/>
  <c r="BA97" i="2"/>
  <c r="BA117" i="2"/>
  <c r="AZ57" i="10"/>
  <c r="AZ62" i="10"/>
  <c r="AN1198" i="2"/>
  <c r="AO1199" i="2"/>
  <c r="AR1117" i="2"/>
  <c r="AU189" i="2"/>
  <c r="AN1105" i="2"/>
  <c r="AY121" i="2"/>
  <c r="AY118" i="2"/>
  <c r="AY108" i="2"/>
  <c r="AW148" i="2"/>
  <c r="AW152" i="2" s="1"/>
  <c r="AT179" i="2"/>
  <c r="AT183" i="2" s="1"/>
  <c r="AU91" i="2"/>
  <c r="AT1310" i="2"/>
  <c r="AY101" i="2"/>
  <c r="AY98" i="2"/>
  <c r="AY88" i="2"/>
  <c r="AT178" i="2"/>
  <c r="AX1280" i="2"/>
  <c r="AX1282" i="2" s="1"/>
  <c r="AT156" i="2"/>
  <c r="AT158" i="2" s="1"/>
  <c r="AX429" i="2"/>
  <c r="AX434" i="2" s="1"/>
  <c r="AS615" i="2"/>
  <c r="AS186" i="4" s="1"/>
  <c r="AU1307" i="2"/>
  <c r="AU154" i="2"/>
  <c r="AU178" i="2"/>
  <c r="AV152" i="2"/>
  <c r="AV164" i="2" s="1"/>
  <c r="AU10" i="2"/>
  <c r="AV177" i="2"/>
  <c r="AV189" i="2" s="1"/>
  <c r="AX298" i="2"/>
  <c r="AX302" i="2" s="1"/>
  <c r="AX303" i="2" s="1"/>
  <c r="AV22" i="2"/>
  <c r="AV10" i="2" s="1"/>
  <c r="AP117" i="10"/>
  <c r="AP115" i="10" s="1"/>
  <c r="AQ112" i="10" s="1"/>
  <c r="AZ2" i="5"/>
  <c r="AZ2" i="4"/>
  <c r="AZ2" i="2"/>
  <c r="AZ2" i="10"/>
  <c r="AZ2" i="1"/>
  <c r="BA25" i="1"/>
  <c r="AU138" i="4"/>
  <c r="AU144" i="4" s="1"/>
  <c r="AU990" i="2"/>
  <c r="AX665" i="2"/>
  <c r="AX666" i="2"/>
  <c r="AX1274" i="2"/>
  <c r="AX1276" i="2" s="1"/>
  <c r="AV539" i="2"/>
  <c r="AV546" i="2"/>
  <c r="AU549" i="2"/>
  <c r="AU551" i="2" s="1"/>
  <c r="AV547" i="2"/>
  <c r="AZ80" i="1"/>
  <c r="BA81" i="1"/>
  <c r="AZ87" i="1"/>
  <c r="AY91" i="1"/>
  <c r="AC86" i="10"/>
  <c r="AW41" i="2"/>
  <c r="AW42" i="2" s="1"/>
  <c r="AY146" i="1"/>
  <c r="AY59" i="1"/>
  <c r="AY120" i="1"/>
  <c r="AY45" i="1"/>
  <c r="AY44" i="1"/>
  <c r="AY123" i="1"/>
  <c r="AY131" i="1"/>
  <c r="AY53" i="1"/>
  <c r="AY140" i="1"/>
  <c r="AS593" i="2"/>
  <c r="AS594" i="2" s="1"/>
  <c r="AV412" i="2"/>
  <c r="BB292" i="4"/>
  <c r="BB383" i="4"/>
  <c r="BB341" i="4"/>
  <c r="BB47" i="1"/>
  <c r="BB57" i="2" s="1"/>
  <c r="BB49" i="1"/>
  <c r="BB50" i="1"/>
  <c r="BB48" i="1"/>
  <c r="AX720" i="2"/>
  <c r="AX721" i="2"/>
  <c r="AU399" i="2"/>
  <c r="AT324" i="4"/>
  <c r="AT374" i="4"/>
  <c r="AT277" i="4"/>
  <c r="AT1264" i="2"/>
  <c r="AT1184" i="2"/>
  <c r="BA290" i="2"/>
  <c r="BA299" i="2"/>
  <c r="AR110" i="10"/>
  <c r="AR108" i="10" s="1"/>
  <c r="AS105" i="10" s="1"/>
  <c r="AW672" i="2"/>
  <c r="AW668" i="2" s="1"/>
  <c r="AW678" i="2" s="1"/>
  <c r="AW673" i="2"/>
  <c r="AW674" i="2" s="1"/>
  <c r="AW669" i="2"/>
  <c r="AW670" i="2" s="1"/>
  <c r="AW652" i="2"/>
  <c r="AY136" i="10"/>
  <c r="AY188" i="4" s="1"/>
  <c r="AY93" i="10"/>
  <c r="AY168" i="4" s="1"/>
  <c r="AY135" i="10"/>
  <c r="AY133" i="10"/>
  <c r="AY65" i="10"/>
  <c r="AY97" i="10"/>
  <c r="AY176" i="4" s="1"/>
  <c r="AY70" i="10"/>
  <c r="AY71" i="10" s="1"/>
  <c r="AY72" i="10" s="1"/>
  <c r="AW293" i="2"/>
  <c r="AW294" i="2" s="1"/>
  <c r="AW173" i="2"/>
  <c r="AW171" i="2"/>
  <c r="AS1119" i="2"/>
  <c r="AT1118" i="2" s="1"/>
  <c r="AX28" i="2"/>
  <c r="AX9" i="2"/>
  <c r="AU430" i="4"/>
  <c r="AU457" i="4"/>
  <c r="AU484" i="4"/>
  <c r="AU414" i="2"/>
  <c r="AU617" i="2" s="1"/>
  <c r="AO1107" i="2"/>
  <c r="AP1106" i="2" s="1"/>
  <c r="BA184" i="2"/>
  <c r="BA159" i="2"/>
  <c r="BA211" i="2"/>
  <c r="AZ1091" i="2"/>
  <c r="AZ1090" i="2" s="1"/>
  <c r="AY1092" i="2"/>
  <c r="AU198" i="2"/>
  <c r="AU200" i="2"/>
  <c r="BA1063" i="2"/>
  <c r="BA1062" i="2" s="1"/>
  <c r="AZ1061" i="2"/>
  <c r="BA430" i="2"/>
  <c r="BA441" i="2"/>
  <c r="AY1335" i="2"/>
  <c r="AY1279" i="2"/>
  <c r="AY1220" i="2"/>
  <c r="AY1221" i="2" s="1"/>
  <c r="AY1136" i="2"/>
  <c r="AY714" i="2"/>
  <c r="AY431" i="2"/>
  <c r="AY391" i="2"/>
  <c r="AY300" i="2"/>
  <c r="AY297" i="2" s="1"/>
  <c r="AY291" i="2"/>
  <c r="AY212" i="2"/>
  <c r="AY1278" i="2"/>
  <c r="AY1108" i="2"/>
  <c r="AY1109" i="2" s="1"/>
  <c r="AY1037" i="2"/>
  <c r="AY712" i="2"/>
  <c r="AY389" i="2"/>
  <c r="AY187" i="2"/>
  <c r="AY169" i="2" s="1"/>
  <c r="AY144" i="2"/>
  <c r="AY81" i="2"/>
  <c r="AY1275" i="2"/>
  <c r="AY1201" i="2"/>
  <c r="AY1202" i="2" s="1"/>
  <c r="AY1150" i="2"/>
  <c r="AY1151" i="2" s="1"/>
  <c r="AY1120" i="2"/>
  <c r="AY1121" i="2" s="1"/>
  <c r="AY1026" i="2"/>
  <c r="AY1013" i="2"/>
  <c r="AY1014" i="2" s="1"/>
  <c r="AY688" i="2"/>
  <c r="AY438" i="2"/>
  <c r="AY437" i="2" s="1"/>
  <c r="AY428" i="2"/>
  <c r="AY288" i="2"/>
  <c r="AY185" i="2"/>
  <c r="AY19" i="2"/>
  <c r="AY1032" i="2"/>
  <c r="AY1031" i="2" s="1"/>
  <c r="AY1012" i="2"/>
  <c r="AY1011" i="2" s="1"/>
  <c r="AY623" i="2"/>
  <c r="AY624" i="2" s="1"/>
  <c r="AY432" i="2"/>
  <c r="AY168" i="2"/>
  <c r="AY167" i="2" s="1"/>
  <c r="AY78" i="2"/>
  <c r="AY1272" i="2"/>
  <c r="AY1028" i="2"/>
  <c r="AY643" i="2"/>
  <c r="AY542" i="2"/>
  <c r="AY443" i="2"/>
  <c r="AY439" i="2" s="1"/>
  <c r="AY427" i="2"/>
  <c r="AY405" i="2"/>
  <c r="AY214" i="2"/>
  <c r="AY39" i="2"/>
  <c r="AY27" i="2" s="1"/>
  <c r="AY8" i="2"/>
  <c r="AY1033" i="2"/>
  <c r="AY682" i="2"/>
  <c r="AY557" i="2"/>
  <c r="AY555" i="2"/>
  <c r="AY442" i="2"/>
  <c r="AY160" i="2"/>
  <c r="AY36" i="2"/>
  <c r="AY1281" i="2"/>
  <c r="AY659" i="2"/>
  <c r="AY531" i="2"/>
  <c r="AY17" i="2"/>
  <c r="AY656" i="2"/>
  <c r="AY296" i="2"/>
  <c r="AY26" i="2"/>
  <c r="AY25" i="2" s="1"/>
  <c r="AY143" i="2"/>
  <c r="AY1146" i="2"/>
  <c r="AY1147" i="2" s="1"/>
  <c r="AY407" i="2"/>
  <c r="AY287" i="2"/>
  <c r="AY1017" i="2"/>
  <c r="AY628" i="2"/>
  <c r="AY629" i="2" s="1"/>
  <c r="AY1178" i="2"/>
  <c r="AY197" i="4" s="1"/>
  <c r="AY544" i="2"/>
  <c r="AY7" i="2"/>
  <c r="AY162" i="2"/>
  <c r="AY1273" i="2"/>
  <c r="AY175" i="2"/>
  <c r="AY150" i="2"/>
  <c r="AY1208" i="2"/>
  <c r="AY1209" i="2" s="1"/>
  <c r="AT131" i="2"/>
  <c r="AY370" i="4"/>
  <c r="AY194" i="4"/>
  <c r="AY298" i="4"/>
  <c r="AY189" i="4"/>
  <c r="AY412" i="4"/>
  <c r="AY384" i="4"/>
  <c r="AY342" i="4"/>
  <c r="AY347" i="4"/>
  <c r="AY273" i="4"/>
  <c r="AY293" i="4"/>
  <c r="AY169" i="4"/>
  <c r="AY199" i="4"/>
  <c r="AY389" i="4"/>
  <c r="AY283" i="4"/>
  <c r="AY321" i="4"/>
  <c r="AY178" i="4"/>
  <c r="AY332" i="4"/>
  <c r="AV42" i="2"/>
  <c r="AV30" i="2" s="1"/>
  <c r="AX707" i="2"/>
  <c r="AX701" i="2"/>
  <c r="AX691" i="2" s="1"/>
  <c r="AW727" i="2"/>
  <c r="AW723" i="2" s="1"/>
  <c r="AW730" i="2" s="1"/>
  <c r="AW724" i="2"/>
  <c r="AW725" i="2" s="1"/>
  <c r="AV991" i="2"/>
  <c r="AV1305" i="2" s="1"/>
  <c r="AV949" i="2"/>
  <c r="BA77" i="2"/>
  <c r="BA16" i="2"/>
  <c r="BA35" i="2"/>
  <c r="AW503" i="4"/>
  <c r="AU179" i="2"/>
  <c r="AW703" i="2"/>
  <c r="AW704" i="2" s="1"/>
  <c r="AW702" i="2"/>
  <c r="AW698" i="2" s="1"/>
  <c r="AW708" i="2" s="1"/>
  <c r="AW699" i="2"/>
  <c r="AW700" i="2" s="1"/>
  <c r="AW302" i="2"/>
  <c r="AW303" i="2" s="1"/>
  <c r="AR590" i="2"/>
  <c r="AV19" i="4"/>
  <c r="AV18" i="4" s="1"/>
  <c r="AV196" i="2"/>
  <c r="AX289" i="2"/>
  <c r="AX440" i="2"/>
  <c r="AX445" i="2" s="1"/>
  <c r="AX1039" i="2"/>
  <c r="AX1038" i="2"/>
  <c r="AX170" i="2"/>
  <c r="AV177" i="4"/>
  <c r="AX694" i="2"/>
  <c r="AX696" i="2"/>
  <c r="AX697" i="2"/>
  <c r="AX677" i="2"/>
  <c r="AX667" i="2"/>
  <c r="AX671" i="2"/>
  <c r="AX662" i="2" s="1"/>
  <c r="AW21" i="2"/>
  <c r="AW22" i="2" s="1"/>
  <c r="AX172" i="4"/>
  <c r="AX729" i="2"/>
  <c r="AX722" i="2"/>
  <c r="AX726" i="2"/>
  <c r="AX717" i="2" s="1"/>
  <c r="AX145" i="2"/>
  <c r="AX647" i="2"/>
  <c r="AX650" i="2" s="1"/>
  <c r="AX649" i="2"/>
  <c r="AX648" i="2"/>
  <c r="BA1083" i="2"/>
  <c r="BA1082" i="2" s="1"/>
  <c r="AZ1084" i="2"/>
  <c r="AA77" i="10"/>
  <c r="AA78" i="10" s="1"/>
  <c r="AU32" i="4" l="1"/>
  <c r="AW971" i="2"/>
  <c r="F163" i="7"/>
  <c r="F94" i="7"/>
  <c r="AS419" i="2"/>
  <c r="AS1323" i="2" s="1"/>
  <c r="AS464" i="4" s="1"/>
  <c r="AT32" i="4"/>
  <c r="AT239" i="4" s="1"/>
  <c r="AX508" i="2"/>
  <c r="AX56" i="4"/>
  <c r="AY503" i="2"/>
  <c r="AZ506" i="2"/>
  <c r="AZ501" i="2"/>
  <c r="AZ505" i="2"/>
  <c r="AZ502" i="2"/>
  <c r="AX498" i="2"/>
  <c r="AX55" i="4"/>
  <c r="AZ492" i="2"/>
  <c r="AZ496" i="2"/>
  <c r="AZ495" i="2"/>
  <c r="AZ491" i="2"/>
  <c r="AY493" i="2"/>
  <c r="AX970" i="2"/>
  <c r="AX963" i="2" s="1"/>
  <c r="AX139" i="4" s="1"/>
  <c r="AX977" i="2"/>
  <c r="AX967" i="2"/>
  <c r="AX966" i="2"/>
  <c r="AW396" i="2"/>
  <c r="AW394" i="2" s="1"/>
  <c r="AV996" i="2"/>
  <c r="AY411" i="2"/>
  <c r="AY481" i="2" s="1"/>
  <c r="AY483" i="2" s="1"/>
  <c r="AX395" i="2"/>
  <c r="AX387" i="2"/>
  <c r="AW388" i="2"/>
  <c r="AW386" i="2" s="1"/>
  <c r="AY346" i="2"/>
  <c r="AY350" i="2" s="1"/>
  <c r="AY351" i="2" s="1"/>
  <c r="AY39" i="4" s="1"/>
  <c r="AU96" i="4"/>
  <c r="AV386" i="2"/>
  <c r="AZ348" i="2"/>
  <c r="AZ345" i="2" s="1"/>
  <c r="AZ344" i="2"/>
  <c r="AX350" i="2"/>
  <c r="AX351" i="2" s="1"/>
  <c r="AX39" i="4" s="1"/>
  <c r="AY337" i="2"/>
  <c r="AX341" i="2"/>
  <c r="AX342" i="2" s="1"/>
  <c r="AX38" i="4" s="1"/>
  <c r="AZ339" i="2"/>
  <c r="AZ336" i="2" s="1"/>
  <c r="AZ335" i="2"/>
  <c r="AT100" i="4"/>
  <c r="AZ68" i="2"/>
  <c r="AZ326" i="2"/>
  <c r="AZ330" i="2"/>
  <c r="AZ327" i="2" s="1"/>
  <c r="AY328" i="2"/>
  <c r="AJ1219" i="2"/>
  <c r="AJ1217" i="2" s="1"/>
  <c r="AX332" i="2"/>
  <c r="AX333" i="2" s="1"/>
  <c r="AX37" i="4" s="1"/>
  <c r="AY318" i="2"/>
  <c r="AY319" i="2" s="1"/>
  <c r="AV34" i="4"/>
  <c r="AV96" i="4" s="1"/>
  <c r="AY357" i="2"/>
  <c r="AY358" i="2" s="1"/>
  <c r="AU393" i="2"/>
  <c r="AS60" i="4"/>
  <c r="AV409" i="2"/>
  <c r="AS239" i="4"/>
  <c r="V1331" i="2"/>
  <c r="V1332" i="2" s="1"/>
  <c r="V1333" i="2" s="1"/>
  <c r="AS94" i="4"/>
  <c r="AS98" i="4" s="1"/>
  <c r="AS572" i="2"/>
  <c r="AS162" i="4" s="1"/>
  <c r="AS260" i="4" s="1"/>
  <c r="AT128" i="4"/>
  <c r="AV130" i="2"/>
  <c r="AV1291" i="2" s="1"/>
  <c r="AV431" i="4" s="1"/>
  <c r="AY107" i="2"/>
  <c r="AY87" i="2"/>
  <c r="AW128" i="2"/>
  <c r="AW471" i="2" s="1"/>
  <c r="AT418" i="2"/>
  <c r="AV517" i="2"/>
  <c r="AV473" i="2"/>
  <c r="AV527" i="2" s="1"/>
  <c r="AY67" i="2"/>
  <c r="AY309" i="2"/>
  <c r="AY310" i="2" s="1"/>
  <c r="AV6" i="4"/>
  <c r="AV92" i="2"/>
  <c r="AW6" i="4"/>
  <c r="AW93" i="4" s="1"/>
  <c r="AW236" i="4" s="1"/>
  <c r="AR206" i="2"/>
  <c r="AR205" i="2"/>
  <c r="AU410" i="2"/>
  <c r="AS216" i="2"/>
  <c r="AU202" i="2"/>
  <c r="AU276" i="2" s="1"/>
  <c r="AU592" i="2" s="1"/>
  <c r="AY378" i="2"/>
  <c r="AY379" i="2" s="1"/>
  <c r="AY403" i="2" s="1"/>
  <c r="AS217" i="2"/>
  <c r="AS205" i="2" s="1"/>
  <c r="AV4" i="2"/>
  <c r="AV159" i="4"/>
  <c r="AV90" i="10"/>
  <c r="AT204" i="2"/>
  <c r="AT217" i="2" s="1"/>
  <c r="AS208" i="2" s="1"/>
  <c r="AV1168" i="2"/>
  <c r="AV317" i="4"/>
  <c r="AV113" i="1"/>
  <c r="AV4" i="4"/>
  <c r="AV25" i="4"/>
  <c r="AV140" i="2"/>
  <c r="AV1" i="4"/>
  <c r="AV69" i="4"/>
  <c r="AV205" i="4"/>
  <c r="AV1" i="1"/>
  <c r="AV102" i="10"/>
  <c r="AV269" i="4"/>
  <c r="AV423" i="2"/>
  <c r="AV124" i="4"/>
  <c r="AV1142" i="2"/>
  <c r="AV366" i="4"/>
  <c r="AV4" i="5"/>
  <c r="AV91" i="4"/>
  <c r="AV14" i="4"/>
  <c r="AV38" i="1"/>
  <c r="AV1189" i="2"/>
  <c r="AV68" i="1"/>
  <c r="AV1096" i="2"/>
  <c r="AV1" i="10"/>
  <c r="AV55" i="10"/>
  <c r="AV14" i="1"/>
  <c r="AV1" i="2"/>
  <c r="AV284" i="2"/>
  <c r="AV1056" i="2"/>
  <c r="AV1" i="5"/>
  <c r="AW83" i="2"/>
  <c r="AW84" i="2" s="1"/>
  <c r="AV233" i="4"/>
  <c r="AV570" i="2"/>
  <c r="AV408" i="4"/>
  <c r="AV1269" i="2"/>
  <c r="AV638" i="2"/>
  <c r="AW142" i="4"/>
  <c r="AS109" i="10"/>
  <c r="AT1321" i="2"/>
  <c r="AT497" i="4" s="1"/>
  <c r="AT419" i="2"/>
  <c r="AT1323" i="2" s="1"/>
  <c r="AT496" i="4" s="1"/>
  <c r="W492" i="4"/>
  <c r="W1328" i="2"/>
  <c r="W1330" i="2" s="1"/>
  <c r="AY69" i="2"/>
  <c r="AV41" i="4"/>
  <c r="U1334" i="2"/>
  <c r="U1337" i="2"/>
  <c r="U1325" i="2" s="1"/>
  <c r="AT775" i="2"/>
  <c r="AT995" i="2" s="1"/>
  <c r="AW34" i="1"/>
  <c r="AW1" i="2" s="1"/>
  <c r="AX962" i="2"/>
  <c r="Y1316" i="2"/>
  <c r="Y1313" i="2" s="1"/>
  <c r="Y173" i="4"/>
  <c r="Y179" i="4" s="1"/>
  <c r="Y264" i="4" s="1"/>
  <c r="Z957" i="2"/>
  <c r="Z771" i="2"/>
  <c r="Z882" i="2"/>
  <c r="Z973" i="2" s="1"/>
  <c r="BB235" i="2"/>
  <c r="BB259" i="2"/>
  <c r="AA877" i="2"/>
  <c r="AA968" i="2" s="1"/>
  <c r="BB311" i="2"/>
  <c r="BB368" i="2"/>
  <c r="BB359" i="2"/>
  <c r="BB320" i="2"/>
  <c r="BB380" i="2"/>
  <c r="BB474" i="2"/>
  <c r="BB484" i="2"/>
  <c r="BB464" i="2"/>
  <c r="BB520" i="2"/>
  <c r="BB454" i="2"/>
  <c r="X436" i="4"/>
  <c r="X463" i="4"/>
  <c r="X494" i="4"/>
  <c r="AX952" i="2"/>
  <c r="X247" i="4"/>
  <c r="X207" i="4"/>
  <c r="X209" i="4" s="1"/>
  <c r="X109" i="4"/>
  <c r="X115" i="4" s="1"/>
  <c r="X256" i="4"/>
  <c r="X333" i="4"/>
  <c r="X284" i="4"/>
  <c r="AX219" i="4"/>
  <c r="AW220" i="4"/>
  <c r="AX955" i="2"/>
  <c r="AX29" i="1"/>
  <c r="AX28" i="1"/>
  <c r="AY26" i="1"/>
  <c r="AX27" i="1"/>
  <c r="Z953" i="2"/>
  <c r="Z63" i="4" s="1"/>
  <c r="Z767" i="2"/>
  <c r="Z983" i="2"/>
  <c r="Z175" i="4" s="1"/>
  <c r="AA935" i="2"/>
  <c r="AX951" i="2"/>
  <c r="AW956" i="2"/>
  <c r="AZ834" i="2"/>
  <c r="AZ831" i="2"/>
  <c r="AX847" i="2"/>
  <c r="AX843" i="2" s="1"/>
  <c r="AX853" i="2" s="1"/>
  <c r="AX848" i="2"/>
  <c r="AX849" i="2" s="1"/>
  <c r="AX844" i="2"/>
  <c r="AX845" i="2" s="1"/>
  <c r="AY840" i="2"/>
  <c r="AY841" i="2"/>
  <c r="AY852" i="2"/>
  <c r="AY842" i="2"/>
  <c r="AY846" i="2"/>
  <c r="AY837" i="2" s="1"/>
  <c r="AY78" i="4" s="1"/>
  <c r="AV299" i="7" s="1"/>
  <c r="AW765" i="2"/>
  <c r="AZ808" i="2"/>
  <c r="AZ805" i="2"/>
  <c r="AX822" i="2"/>
  <c r="AX823" i="2" s="1"/>
  <c r="AX821" i="2"/>
  <c r="AX817" i="2" s="1"/>
  <c r="AX827" i="2" s="1"/>
  <c r="AX818" i="2"/>
  <c r="AX819" i="2" s="1"/>
  <c r="AX759" i="2"/>
  <c r="AX75" i="4" s="1"/>
  <c r="AU296" i="7" s="1"/>
  <c r="AY826" i="2"/>
  <c r="AY820" i="2"/>
  <c r="AY811" i="2" s="1"/>
  <c r="AY77" i="4" s="1"/>
  <c r="AV298" i="7" s="1"/>
  <c r="AY816" i="2"/>
  <c r="AY814" i="2"/>
  <c r="AY815" i="2"/>
  <c r="AY788" i="2"/>
  <c r="AY789" i="2"/>
  <c r="AX795" i="2"/>
  <c r="AX791" i="2" s="1"/>
  <c r="AX801" i="2" s="1"/>
  <c r="AX796" i="2"/>
  <c r="AX797" i="2" s="1"/>
  <c r="AX792" i="2"/>
  <c r="AX793" i="2" s="1"/>
  <c r="AZ779" i="2"/>
  <c r="AZ782" i="2"/>
  <c r="AY800" i="2"/>
  <c r="AY794" i="2"/>
  <c r="AY785" i="2" s="1"/>
  <c r="AY76" i="4" s="1"/>
  <c r="AV297" i="7" s="1"/>
  <c r="AY790" i="2"/>
  <c r="AY762" i="2"/>
  <c r="AY763" i="2"/>
  <c r="AY774" i="2"/>
  <c r="AY764" i="2"/>
  <c r="AY768" i="2"/>
  <c r="AX769" i="2"/>
  <c r="AZ756" i="2"/>
  <c r="AZ753" i="2"/>
  <c r="AU239" i="4"/>
  <c r="AY366" i="2"/>
  <c r="AY367" i="2" s="1"/>
  <c r="AX63" i="2"/>
  <c r="AW123" i="2"/>
  <c r="AW124" i="2" s="1"/>
  <c r="AX7" i="4"/>
  <c r="AV52" i="2"/>
  <c r="AV51" i="2"/>
  <c r="AY50" i="2"/>
  <c r="AT574" i="2"/>
  <c r="AT575" i="2" s="1"/>
  <c r="AW64" i="2"/>
  <c r="AZ61" i="2"/>
  <c r="AZ49" i="2" s="1"/>
  <c r="AZ58" i="2"/>
  <c r="AZ47" i="2"/>
  <c r="AX746" i="2"/>
  <c r="AV111" i="2"/>
  <c r="AF222" i="4"/>
  <c r="AY109" i="2"/>
  <c r="AX110" i="2"/>
  <c r="AX10" i="4" s="1"/>
  <c r="AF208" i="4"/>
  <c r="AV112" i="2"/>
  <c r="AY89" i="2"/>
  <c r="AX90" i="2"/>
  <c r="AX9" i="4" s="1"/>
  <c r="AQ238" i="4"/>
  <c r="AQ27" i="4"/>
  <c r="AQ98" i="4"/>
  <c r="AW103" i="2"/>
  <c r="AW104" i="2" s="1"/>
  <c r="AW91" i="2" s="1"/>
  <c r="AT97" i="4"/>
  <c r="AU485" i="4"/>
  <c r="AU431" i="4"/>
  <c r="AH1253" i="2"/>
  <c r="AH192" i="4" s="1"/>
  <c r="AG1253" i="2"/>
  <c r="AI1233" i="2"/>
  <c r="AH1252" i="2"/>
  <c r="AH130" i="4" s="1"/>
  <c r="AV243" i="2"/>
  <c r="AV219" i="2"/>
  <c r="AV221" i="2" s="1"/>
  <c r="AG1258" i="2"/>
  <c r="AG1243" i="2"/>
  <c r="AY741" i="2"/>
  <c r="AY744" i="2" s="1"/>
  <c r="AY946" i="2" s="1"/>
  <c r="AY172" i="4" s="1"/>
  <c r="AW627" i="2"/>
  <c r="AW626" i="2" s="1"/>
  <c r="AW184" i="4" s="1"/>
  <c r="AY743" i="2"/>
  <c r="AY945" i="2" s="1"/>
  <c r="AZ1235" i="2"/>
  <c r="AZ737" i="2"/>
  <c r="AZ741" i="2" s="1"/>
  <c r="AZ896" i="2"/>
  <c r="AZ890" i="2"/>
  <c r="AX910" i="2"/>
  <c r="AX906" i="2" s="1"/>
  <c r="AX916" i="2" s="1"/>
  <c r="AX911" i="2"/>
  <c r="AX912" i="2" s="1"/>
  <c r="AX907" i="2"/>
  <c r="AX908" i="2" s="1"/>
  <c r="AW934" i="2"/>
  <c r="AW941" i="2" s="1"/>
  <c r="AW985" i="2"/>
  <c r="AW1299" i="2"/>
  <c r="AY915" i="2"/>
  <c r="AY909" i="2"/>
  <c r="AY899" i="2" s="1"/>
  <c r="AY82" i="4" s="1"/>
  <c r="AV303" i="7" s="1"/>
  <c r="AX928" i="2"/>
  <c r="AX85" i="4" s="1"/>
  <c r="AU306" i="7" s="1"/>
  <c r="AX984" i="2"/>
  <c r="AX978" i="2" s="1"/>
  <c r="AX140" i="4" s="1"/>
  <c r="AY902" i="2"/>
  <c r="AY904" i="2"/>
  <c r="AY905" i="2"/>
  <c r="AY931" i="2"/>
  <c r="AY932" i="2"/>
  <c r="AY980" i="2" s="1"/>
  <c r="AZ925" i="2"/>
  <c r="AZ923" i="2"/>
  <c r="AY940" i="2"/>
  <c r="AY988" i="2" s="1"/>
  <c r="AY933" i="2"/>
  <c r="AY981" i="2" s="1"/>
  <c r="AY937" i="2"/>
  <c r="AX938" i="2"/>
  <c r="AW876" i="2"/>
  <c r="AW886" i="2" s="1"/>
  <c r="AX869" i="2"/>
  <c r="AX81" i="4" s="1"/>
  <c r="AU302" i="7" s="1"/>
  <c r="AY872" i="2"/>
  <c r="AY874" i="2"/>
  <c r="AY875" i="2"/>
  <c r="AY885" i="2"/>
  <c r="AY879" i="2"/>
  <c r="AZ866" i="2"/>
  <c r="AZ860" i="2"/>
  <c r="AX880" i="2"/>
  <c r="AN163" i="4"/>
  <c r="AN613" i="2"/>
  <c r="AS552" i="2"/>
  <c r="AS566" i="2" s="1"/>
  <c r="AS559" i="2"/>
  <c r="AS560" i="2"/>
  <c r="AR562" i="2"/>
  <c r="AR564" i="2" s="1"/>
  <c r="AT524" i="2"/>
  <c r="AT554" i="2" s="1"/>
  <c r="AT1302" i="2" s="1"/>
  <c r="AT553" i="2"/>
  <c r="AT565" i="2" s="1"/>
  <c r="AT61" i="4"/>
  <c r="AU519" i="2"/>
  <c r="AP1301" i="2"/>
  <c r="AT526" i="2"/>
  <c r="AT534" i="2"/>
  <c r="AS536" i="2"/>
  <c r="AS538" i="2" s="1"/>
  <c r="AU533" i="2"/>
  <c r="AU478" i="2"/>
  <c r="AU528" i="2" s="1"/>
  <c r="AU53" i="4"/>
  <c r="AO280" i="2"/>
  <c r="AP258" i="2"/>
  <c r="AP273" i="2" s="1"/>
  <c r="AR264" i="2"/>
  <c r="AR274" i="2" s="1"/>
  <c r="AR1292" i="2" s="1"/>
  <c r="AN127" i="4"/>
  <c r="AN280" i="2"/>
  <c r="AP602" i="2"/>
  <c r="AP183" i="4" s="1"/>
  <c r="AR229" i="2"/>
  <c r="AQ254" i="2"/>
  <c r="AQ278" i="2" s="1"/>
  <c r="AQ604" i="2" s="1"/>
  <c r="AQ605" i="2" s="1"/>
  <c r="AQ602" i="2" s="1"/>
  <c r="AQ183" i="4" s="1"/>
  <c r="AQ232" i="2"/>
  <c r="AQ234" i="2" s="1"/>
  <c r="AS252" i="2"/>
  <c r="AS30" i="4" s="1"/>
  <c r="AQ432" i="4"/>
  <c r="AQ486" i="4"/>
  <c r="AR265" i="2"/>
  <c r="AR253" i="2" s="1"/>
  <c r="AS240" i="2"/>
  <c r="AR271" i="2"/>
  <c r="AS29" i="4"/>
  <c r="AM631" i="2"/>
  <c r="AM163" i="4"/>
  <c r="AU245" i="2"/>
  <c r="AU268" i="2" s="1"/>
  <c r="AU95" i="4" s="1"/>
  <c r="AU237" i="4" s="1"/>
  <c r="AS275" i="2"/>
  <c r="AS586" i="2" s="1"/>
  <c r="AS587" i="2" s="1"/>
  <c r="AT246" i="2"/>
  <c r="AT275" i="2" s="1"/>
  <c r="AT586" i="2" s="1"/>
  <c r="AT248" i="2"/>
  <c r="AT277" i="2" s="1"/>
  <c r="AP279" i="2"/>
  <c r="AP611" i="2" s="1"/>
  <c r="AP612" i="2" s="1"/>
  <c r="AP613" i="2" s="1"/>
  <c r="AP262" i="4"/>
  <c r="AQ262" i="4"/>
  <c r="AT268" i="2"/>
  <c r="AT95" i="4" s="1"/>
  <c r="AQ459" i="4"/>
  <c r="AQ253" i="2"/>
  <c r="AQ272" i="2" s="1"/>
  <c r="AQ607" i="2" s="1"/>
  <c r="AQ269" i="2"/>
  <c r="AU222" i="2"/>
  <c r="AU224" i="2"/>
  <c r="AR232" i="2"/>
  <c r="AS230" i="2"/>
  <c r="AT228" i="2"/>
  <c r="AZ260" i="2"/>
  <c r="AZ262" i="2"/>
  <c r="AZ244" i="2"/>
  <c r="AZ250" i="2"/>
  <c r="AZ236" i="2"/>
  <c r="AZ220" i="2"/>
  <c r="AZ238" i="2"/>
  <c r="AZ226" i="2"/>
  <c r="AX488" i="2"/>
  <c r="AX54" i="4"/>
  <c r="AZ485" i="2"/>
  <c r="AZ486" i="2"/>
  <c r="AZ482" i="2"/>
  <c r="AZ475" i="2"/>
  <c r="AZ476" i="2"/>
  <c r="AZ472" i="2"/>
  <c r="AX468" i="2"/>
  <c r="AX52" i="4"/>
  <c r="AZ465" i="2"/>
  <c r="AZ466" i="2"/>
  <c r="AZ462" i="2"/>
  <c r="AY463" i="2"/>
  <c r="AZ521" i="2"/>
  <c r="AZ522" i="2"/>
  <c r="AZ518" i="2"/>
  <c r="AV529" i="2"/>
  <c r="AX458" i="2"/>
  <c r="AX51" i="4"/>
  <c r="AZ455" i="2"/>
  <c r="AZ456" i="2"/>
  <c r="AZ452" i="2"/>
  <c r="AY453" i="2"/>
  <c r="AW402" i="2"/>
  <c r="AW409" i="2" s="1"/>
  <c r="AW384" i="2"/>
  <c r="AW46" i="4" s="1"/>
  <c r="AW45" i="4" s="1"/>
  <c r="AU71" i="2"/>
  <c r="AU416" i="2"/>
  <c r="AU1322" i="2" s="1"/>
  <c r="AX70" i="2"/>
  <c r="AW197" i="2"/>
  <c r="AW19" i="4" s="1"/>
  <c r="AW18" i="4" s="1"/>
  <c r="AT397" i="2"/>
  <c r="AS598" i="2"/>
  <c r="AS401" i="2"/>
  <c r="AR600" i="2"/>
  <c r="AQ596" i="2"/>
  <c r="AQ164" i="4" s="1"/>
  <c r="AR261" i="4" s="1"/>
  <c r="AU72" i="2"/>
  <c r="AU133" i="2" s="1"/>
  <c r="AQ600" i="2"/>
  <c r="AZ321" i="2"/>
  <c r="AZ317" i="2"/>
  <c r="AX323" i="2"/>
  <c r="AX324" i="2" s="1"/>
  <c r="AX36" i="4" s="1"/>
  <c r="AW315" i="2"/>
  <c r="AW35" i="4" s="1"/>
  <c r="AW34" i="4" s="1"/>
  <c r="AX314" i="2"/>
  <c r="AZ312" i="2"/>
  <c r="AZ308" i="2"/>
  <c r="AZ381" i="2"/>
  <c r="AZ377" i="2"/>
  <c r="AX383" i="2"/>
  <c r="AX404" i="2" s="1"/>
  <c r="AV84" i="2"/>
  <c r="AV129" i="2" s="1"/>
  <c r="AX371" i="2"/>
  <c r="AX372" i="2" s="1"/>
  <c r="AX43" i="4" s="1"/>
  <c r="AZ369" i="2"/>
  <c r="AZ365" i="2"/>
  <c r="AW363" i="2"/>
  <c r="AW42" i="4" s="1"/>
  <c r="AW41" i="4" s="1"/>
  <c r="AZ360" i="2"/>
  <c r="AZ356" i="2"/>
  <c r="AX362" i="2"/>
  <c r="BB117" i="2"/>
  <c r="BB97" i="2"/>
  <c r="BA62" i="10"/>
  <c r="BA57" i="10"/>
  <c r="AQ116" i="10"/>
  <c r="AQ117" i="10" s="1"/>
  <c r="AR116" i="10" s="1"/>
  <c r="AO1200" i="2"/>
  <c r="AP1199" i="2" s="1"/>
  <c r="AY1274" i="2"/>
  <c r="AY1276" i="2" s="1"/>
  <c r="AZ121" i="2"/>
  <c r="AZ118" i="2"/>
  <c r="AZ108" i="2"/>
  <c r="AW165" i="2"/>
  <c r="AW153" i="2" s="1"/>
  <c r="AW164" i="2"/>
  <c r="AV91" i="2"/>
  <c r="AU1310" i="2"/>
  <c r="AZ101" i="2"/>
  <c r="AZ98" i="2"/>
  <c r="AZ88" i="2"/>
  <c r="AX652" i="2"/>
  <c r="AV165" i="2"/>
  <c r="AV153" i="2" s="1"/>
  <c r="AX547" i="2"/>
  <c r="AO613" i="2"/>
  <c r="AQ210" i="2"/>
  <c r="AY9" i="2"/>
  <c r="AY21" i="2" s="1"/>
  <c r="AV190" i="2"/>
  <c r="AV179" i="2" s="1"/>
  <c r="AW177" i="2"/>
  <c r="AW189" i="2" s="1"/>
  <c r="AU128" i="4"/>
  <c r="AU418" i="2"/>
  <c r="AY429" i="2"/>
  <c r="AY434" i="2" s="1"/>
  <c r="AT615" i="2"/>
  <c r="AT186" i="4" s="1"/>
  <c r="AW10" i="2"/>
  <c r="AV11" i="2"/>
  <c r="AW11" i="2" s="1"/>
  <c r="AW29" i="2"/>
  <c r="AW30" i="2"/>
  <c r="BB1063" i="2"/>
  <c r="BB1062" i="2" s="1"/>
  <c r="BA1061" i="2"/>
  <c r="AU131" i="2"/>
  <c r="BB159" i="2"/>
  <c r="BB211" i="2"/>
  <c r="BB184" i="2"/>
  <c r="AX197" i="2"/>
  <c r="AX194" i="2"/>
  <c r="AD84" i="10"/>
  <c r="AD85" i="10" s="1"/>
  <c r="AZ146" i="1"/>
  <c r="AZ59" i="1"/>
  <c r="AZ120" i="1"/>
  <c r="AZ45" i="1"/>
  <c r="AZ44" i="1"/>
  <c r="AZ53" i="1"/>
  <c r="AZ131" i="1"/>
  <c r="AZ123" i="1"/>
  <c r="AZ140" i="1"/>
  <c r="AO163" i="4"/>
  <c r="AO631" i="2"/>
  <c r="AS110" i="10"/>
  <c r="AS108" i="10" s="1"/>
  <c r="AT105" i="10" s="1"/>
  <c r="AX727" i="2"/>
  <c r="AX723" i="2" s="1"/>
  <c r="AX730" i="2" s="1"/>
  <c r="AX724" i="2"/>
  <c r="AX725" i="2" s="1"/>
  <c r="BB299" i="2"/>
  <c r="BB290" i="2"/>
  <c r="BA87" i="1"/>
  <c r="AZ91" i="1"/>
  <c r="AZ65" i="10"/>
  <c r="AZ133" i="10"/>
  <c r="AZ136" i="10"/>
  <c r="AZ188" i="4" s="1"/>
  <c r="AZ93" i="10"/>
  <c r="AZ168" i="4" s="1"/>
  <c r="AZ135" i="10"/>
  <c r="AZ97" i="10"/>
  <c r="AZ176" i="4" s="1"/>
  <c r="AZ70" i="10"/>
  <c r="AZ71" i="10" s="1"/>
  <c r="AZ72" i="10" s="1"/>
  <c r="AY289" i="2"/>
  <c r="AY170" i="2"/>
  <c r="AW991" i="2"/>
  <c r="AW1305" i="2" s="1"/>
  <c r="AW949" i="2"/>
  <c r="AY665" i="2"/>
  <c r="AY666" i="2"/>
  <c r="AY677" i="2"/>
  <c r="AY667" i="2"/>
  <c r="AY671" i="2"/>
  <c r="AY662" i="2" s="1"/>
  <c r="AY707" i="2"/>
  <c r="AY701" i="2"/>
  <c r="AY691" i="2" s="1"/>
  <c r="AY1038" i="2"/>
  <c r="AY1039" i="2"/>
  <c r="AY729" i="2"/>
  <c r="AY722" i="2"/>
  <c r="AY726" i="2"/>
  <c r="AY717" i="2" s="1"/>
  <c r="AT1119" i="2"/>
  <c r="AU1118" i="2" s="1"/>
  <c r="BB430" i="2"/>
  <c r="BB441" i="2"/>
  <c r="AV484" i="4"/>
  <c r="AV430" i="4"/>
  <c r="AV457" i="4"/>
  <c r="AV414" i="2"/>
  <c r="AV617" i="2" s="1"/>
  <c r="AW412" i="2"/>
  <c r="AY28" i="2"/>
  <c r="AY298" i="2"/>
  <c r="AP1107" i="2"/>
  <c r="AP1105" i="2" s="1"/>
  <c r="AS1117" i="2"/>
  <c r="AW177" i="4"/>
  <c r="BB35" i="2"/>
  <c r="BB16" i="2"/>
  <c r="BB77" i="2"/>
  <c r="AS590" i="2"/>
  <c r="BA80" i="1"/>
  <c r="BB81" i="1"/>
  <c r="AZ1028" i="2"/>
  <c r="AZ623" i="2"/>
  <c r="AZ624" i="2" s="1"/>
  <c r="AZ143" i="2"/>
  <c r="AZ39" i="2"/>
  <c r="AZ27" i="2" s="1"/>
  <c r="AZ1275" i="2"/>
  <c r="AZ1201" i="2"/>
  <c r="AZ1202" i="2" s="1"/>
  <c r="AZ1150" i="2"/>
  <c r="AZ1151" i="2" s="1"/>
  <c r="AZ1120" i="2"/>
  <c r="AZ1121" i="2" s="1"/>
  <c r="AZ1026" i="2"/>
  <c r="AZ1013" i="2"/>
  <c r="AZ1014" i="2" s="1"/>
  <c r="AZ688" i="2"/>
  <c r="AZ438" i="2"/>
  <c r="AZ437" i="2" s="1"/>
  <c r="AZ428" i="2"/>
  <c r="AZ288" i="2"/>
  <c r="AZ185" i="2"/>
  <c r="AZ19" i="2"/>
  <c r="AZ1273" i="2"/>
  <c r="AZ1146" i="2"/>
  <c r="AZ1147" i="2" s="1"/>
  <c r="AZ1033" i="2"/>
  <c r="AZ682" i="2"/>
  <c r="AZ557" i="2"/>
  <c r="AZ36" i="2"/>
  <c r="AZ26" i="2"/>
  <c r="AZ25" i="2" s="1"/>
  <c r="AZ17" i="2"/>
  <c r="AZ7" i="2"/>
  <c r="AZ1279" i="2"/>
  <c r="AZ712" i="2"/>
  <c r="AZ656" i="2"/>
  <c r="AZ431" i="2"/>
  <c r="AZ407" i="2"/>
  <c r="AZ389" i="2"/>
  <c r="AZ296" i="2"/>
  <c r="AZ8" i="2"/>
  <c r="AZ1335" i="2"/>
  <c r="AZ1220" i="2"/>
  <c r="AZ1221" i="2" s="1"/>
  <c r="AZ531" i="2"/>
  <c r="AZ442" i="2"/>
  <c r="AZ427" i="2"/>
  <c r="AZ162" i="2"/>
  <c r="AZ1037" i="2"/>
  <c r="AZ405" i="2"/>
  <c r="AZ287" i="2"/>
  <c r="AZ1012" i="2"/>
  <c r="AZ1011" i="2" s="1"/>
  <c r="AZ555" i="2"/>
  <c r="AZ432" i="2"/>
  <c r="AZ1032" i="2"/>
  <c r="AZ1031" i="2" s="1"/>
  <c r="AZ659" i="2"/>
  <c r="AZ628" i="2"/>
  <c r="AZ629" i="2" s="1"/>
  <c r="AZ300" i="2"/>
  <c r="AZ297" i="2" s="1"/>
  <c r="AZ214" i="2"/>
  <c r="AZ168" i="2"/>
  <c r="AZ167" i="2" s="1"/>
  <c r="AZ1108" i="2"/>
  <c r="AZ1109" i="2" s="1"/>
  <c r="AZ291" i="2"/>
  <c r="AZ212" i="2"/>
  <c r="AZ1281" i="2"/>
  <c r="AZ1278" i="2"/>
  <c r="AZ714" i="2"/>
  <c r="AZ1029" i="2"/>
  <c r="AZ643" i="2"/>
  <c r="AZ81" i="2"/>
  <c r="AZ78" i="2"/>
  <c r="AZ1017" i="2"/>
  <c r="AZ160" i="2"/>
  <c r="AZ144" i="2"/>
  <c r="AZ391" i="2"/>
  <c r="AZ1272" i="2"/>
  <c r="AZ1136" i="2"/>
  <c r="AZ443" i="2"/>
  <c r="AZ439" i="2" s="1"/>
  <c r="AZ542" i="2"/>
  <c r="AZ544" i="2"/>
  <c r="AZ187" i="2"/>
  <c r="AZ169" i="2" s="1"/>
  <c r="AZ150" i="2"/>
  <c r="AZ1178" i="2"/>
  <c r="AZ197" i="4" s="1"/>
  <c r="AZ175" i="2"/>
  <c r="AZ1208" i="2"/>
  <c r="AZ1209" i="2" s="1"/>
  <c r="AO1105" i="2"/>
  <c r="AT593" i="2"/>
  <c r="AT594" i="2" s="1"/>
  <c r="AX672" i="2"/>
  <c r="AX668" i="2" s="1"/>
  <c r="AX678" i="2" s="1"/>
  <c r="AX673" i="2"/>
  <c r="AX674" i="2" s="1"/>
  <c r="AX669" i="2"/>
  <c r="AX670" i="2" s="1"/>
  <c r="AZ347" i="4"/>
  <c r="AZ199" i="4"/>
  <c r="AZ189" i="4"/>
  <c r="AZ332" i="4"/>
  <c r="AZ293" i="4"/>
  <c r="AZ178" i="4"/>
  <c r="AZ169" i="4"/>
  <c r="AZ384" i="4"/>
  <c r="AZ321" i="4"/>
  <c r="AZ412" i="4"/>
  <c r="AZ370" i="4"/>
  <c r="AZ273" i="4"/>
  <c r="AZ194" i="4"/>
  <c r="AZ389" i="4"/>
  <c r="AZ342" i="4"/>
  <c r="AZ283" i="4"/>
  <c r="AZ298" i="4"/>
  <c r="AV29" i="2"/>
  <c r="AX41" i="2"/>
  <c r="AX42" i="2" s="1"/>
  <c r="AX29" i="2" s="1"/>
  <c r="AV399" i="2"/>
  <c r="AX503" i="4"/>
  <c r="AR165" i="4"/>
  <c r="AY647" i="2"/>
  <c r="AY650" i="2" s="1"/>
  <c r="AY649" i="2"/>
  <c r="AY648" i="2"/>
  <c r="AW546" i="2"/>
  <c r="AW539" i="2"/>
  <c r="AV549" i="2"/>
  <c r="AV551" i="2" s="1"/>
  <c r="AW547" i="2"/>
  <c r="AX703" i="2"/>
  <c r="AX704" i="2" s="1"/>
  <c r="AX702" i="2"/>
  <c r="AX698" i="2" s="1"/>
  <c r="AX708" i="2" s="1"/>
  <c r="AX699" i="2"/>
  <c r="AX700" i="2" s="1"/>
  <c r="AW440" i="4"/>
  <c r="AW502" i="4"/>
  <c r="AW467" i="4"/>
  <c r="AX146" i="2"/>
  <c r="AX148" i="2"/>
  <c r="AX293" i="2"/>
  <c r="AX294" i="2" s="1"/>
  <c r="AY694" i="2"/>
  <c r="AY697" i="2"/>
  <c r="AY696" i="2"/>
  <c r="AY440" i="2"/>
  <c r="AY445" i="2" s="1"/>
  <c r="AY720" i="2"/>
  <c r="AY721" i="2"/>
  <c r="AZ1092" i="2"/>
  <c r="BA1091" i="2"/>
  <c r="BA1090" i="2" s="1"/>
  <c r="AU618" i="2"/>
  <c r="AU619" i="2" s="1"/>
  <c r="AX546" i="2"/>
  <c r="AX173" i="2"/>
  <c r="AX171" i="2"/>
  <c r="AA79" i="10"/>
  <c r="BA1084" i="2"/>
  <c r="BB1083" i="2"/>
  <c r="BB1082" i="2" s="1"/>
  <c r="AV200" i="2"/>
  <c r="AV198" i="2"/>
  <c r="AV138" i="4"/>
  <c r="AV144" i="4" s="1"/>
  <c r="AV990" i="2"/>
  <c r="AY145" i="2"/>
  <c r="AY1280" i="2"/>
  <c r="AY1282" i="2" s="1"/>
  <c r="AX21" i="2"/>
  <c r="AX22" i="2" s="1"/>
  <c r="AX10" i="2" s="1"/>
  <c r="AV1307" i="2"/>
  <c r="AU277" i="4"/>
  <c r="AU374" i="4"/>
  <c r="AU324" i="4"/>
  <c r="AU1264" i="2"/>
  <c r="AU1184" i="2"/>
  <c r="BA2" i="5"/>
  <c r="BA2" i="4"/>
  <c r="BA2" i="2"/>
  <c r="BA2" i="10"/>
  <c r="BA2" i="1"/>
  <c r="BB25" i="1"/>
  <c r="AS496" i="4" l="1"/>
  <c r="AS437" i="4"/>
  <c r="AY967" i="2"/>
  <c r="AV100" i="4"/>
  <c r="AY508" i="2"/>
  <c r="AY56" i="4"/>
  <c r="BA502" i="2"/>
  <c r="BA505" i="2"/>
  <c r="BA501" i="2"/>
  <c r="BA506" i="2"/>
  <c r="AZ503" i="2"/>
  <c r="AY966" i="2"/>
  <c r="AZ493" i="2"/>
  <c r="AY498" i="2"/>
  <c r="AY55" i="4"/>
  <c r="BA492" i="2"/>
  <c r="BA495" i="2"/>
  <c r="BA496" i="2"/>
  <c r="BA491" i="2"/>
  <c r="AX971" i="2"/>
  <c r="AY970" i="2"/>
  <c r="AY963" i="2" s="1"/>
  <c r="AY139" i="4" s="1"/>
  <c r="AY977" i="2"/>
  <c r="AW996" i="2"/>
  <c r="AZ411" i="2"/>
  <c r="AZ357" i="2"/>
  <c r="AZ358" i="2" s="1"/>
  <c r="AY395" i="2"/>
  <c r="AX396" i="2"/>
  <c r="AX394" i="2" s="1"/>
  <c r="AY387" i="2"/>
  <c r="AX388" i="2"/>
  <c r="AX386" i="2" s="1"/>
  <c r="AZ346" i="2"/>
  <c r="AZ350" i="2" s="1"/>
  <c r="AZ351" i="2" s="1"/>
  <c r="AZ39" i="4" s="1"/>
  <c r="AZ318" i="2"/>
  <c r="AZ319" i="2" s="1"/>
  <c r="BA344" i="2"/>
  <c r="BA348" i="2"/>
  <c r="BA345" i="2" s="1"/>
  <c r="AY341" i="2"/>
  <c r="AY342" i="2" s="1"/>
  <c r="AY38" i="4" s="1"/>
  <c r="AZ337" i="2"/>
  <c r="AZ341" i="2" s="1"/>
  <c r="BA335" i="2"/>
  <c r="BA339" i="2"/>
  <c r="BA336" i="2" s="1"/>
  <c r="AY332" i="2"/>
  <c r="AY333" i="2" s="1"/>
  <c r="AY37" i="4" s="1"/>
  <c r="BA68" i="2"/>
  <c r="BA326" i="2"/>
  <c r="BA330" i="2"/>
  <c r="BA327" i="2" s="1"/>
  <c r="AK1218" i="2"/>
  <c r="AZ328" i="2"/>
  <c r="AU50" i="4"/>
  <c r="AS48" i="4"/>
  <c r="AV393" i="2"/>
  <c r="AV93" i="4"/>
  <c r="AS102" i="4"/>
  <c r="AV413" i="2"/>
  <c r="AV1321" i="2" s="1"/>
  <c r="AV497" i="4" s="1"/>
  <c r="AV410" i="2"/>
  <c r="AX128" i="2"/>
  <c r="AX471" i="2" s="1"/>
  <c r="AZ107" i="2"/>
  <c r="AZ87" i="2"/>
  <c r="AW129" i="2"/>
  <c r="AX64" i="2"/>
  <c r="AX51" i="2" s="1"/>
  <c r="AW130" i="2"/>
  <c r="AW1291" i="2" s="1"/>
  <c r="AW431" i="4" s="1"/>
  <c r="AR208" i="2"/>
  <c r="AR210" i="2" s="1"/>
  <c r="AW219" i="2"/>
  <c r="AW221" i="2" s="1"/>
  <c r="AW517" i="2"/>
  <c r="AZ309" i="2"/>
  <c r="AZ310" i="2" s="1"/>
  <c r="AZ67" i="2"/>
  <c r="AZ195" i="2" s="1"/>
  <c r="AV202" i="2"/>
  <c r="AV276" i="2" s="1"/>
  <c r="AV592" i="2" s="1"/>
  <c r="AU204" i="2"/>
  <c r="AU28" i="4" s="1"/>
  <c r="AT216" i="2"/>
  <c r="AS206" i="2"/>
  <c r="AZ378" i="2"/>
  <c r="AZ379" i="2" s="1"/>
  <c r="AZ403" i="2" s="1"/>
  <c r="AT28" i="4"/>
  <c r="V1336" i="2"/>
  <c r="V1337" i="2" s="1"/>
  <c r="V1325" i="2" s="1"/>
  <c r="V1326" i="2" s="1"/>
  <c r="V493" i="4" s="1"/>
  <c r="AT464" i="4"/>
  <c r="AZ69" i="2"/>
  <c r="AX142" i="4"/>
  <c r="AT437" i="4"/>
  <c r="AV32" i="4"/>
  <c r="W1331" i="2"/>
  <c r="W1332" i="2" s="1"/>
  <c r="W1333" i="2" s="1"/>
  <c r="AY70" i="2"/>
  <c r="AY8" i="4" s="1"/>
  <c r="U491" i="4"/>
  <c r="U1326" i="2"/>
  <c r="AU775" i="2"/>
  <c r="AU995" i="2" s="1"/>
  <c r="AW317" i="4"/>
  <c r="AW69" i="4"/>
  <c r="AW366" i="4"/>
  <c r="AW4" i="4"/>
  <c r="AW113" i="1"/>
  <c r="AW1189" i="2"/>
  <c r="AW1" i="4"/>
  <c r="AW205" i="4"/>
  <c r="AW14" i="1"/>
  <c r="AW1000" i="2"/>
  <c r="AW38" i="1"/>
  <c r="AW1056" i="2"/>
  <c r="AW4" i="2"/>
  <c r="AW638" i="2"/>
  <c r="AW1269" i="2"/>
  <c r="AW140" i="2"/>
  <c r="AW91" i="4"/>
  <c r="AW423" i="2"/>
  <c r="AW4" i="5"/>
  <c r="AW1168" i="2"/>
  <c r="AW90" i="10"/>
  <c r="AW124" i="4"/>
  <c r="AW1096" i="2"/>
  <c r="AW1" i="5"/>
  <c r="AW159" i="4"/>
  <c r="AW1142" i="2"/>
  <c r="AW68" i="1"/>
  <c r="AW284" i="2"/>
  <c r="AW408" i="4"/>
  <c r="AW55" i="10"/>
  <c r="AW233" i="4"/>
  <c r="AW25" i="4"/>
  <c r="AW1" i="1"/>
  <c r="AW102" i="10"/>
  <c r="AW570" i="2"/>
  <c r="AW14" i="4"/>
  <c r="AW1" i="10"/>
  <c r="AW269" i="4"/>
  <c r="AY955" i="2"/>
  <c r="Z954" i="2"/>
  <c r="AA766" i="2"/>
  <c r="Z65" i="4"/>
  <c r="Z107" i="4"/>
  <c r="Z240" i="4" s="1"/>
  <c r="AX220" i="4"/>
  <c r="AY219" i="4"/>
  <c r="AA881" i="2"/>
  <c r="AA972" i="2" s="1"/>
  <c r="AY962" i="2"/>
  <c r="AZ26" i="1"/>
  <c r="AY29" i="1"/>
  <c r="AY28" i="1"/>
  <c r="AY27" i="1"/>
  <c r="Z958" i="2"/>
  <c r="AA770" i="2"/>
  <c r="AX34" i="1"/>
  <c r="X492" i="4"/>
  <c r="X1328" i="2"/>
  <c r="AA878" i="2"/>
  <c r="AA969" i="2" s="1"/>
  <c r="AA936" i="2"/>
  <c r="AA982" i="2"/>
  <c r="Z174" i="4"/>
  <c r="Z1318" i="2"/>
  <c r="Y1314" i="2"/>
  <c r="Y1315" i="2" s="1"/>
  <c r="Y103" i="4"/>
  <c r="Y104" i="4" s="1"/>
  <c r="Y247" i="4" s="1"/>
  <c r="Y495" i="4"/>
  <c r="AX956" i="2"/>
  <c r="AY952" i="2"/>
  <c r="AY951" i="2"/>
  <c r="AY847" i="2"/>
  <c r="AY843" i="2" s="1"/>
  <c r="AY853" i="2" s="1"/>
  <c r="AY848" i="2"/>
  <c r="AY849" i="2" s="1"/>
  <c r="AY844" i="2"/>
  <c r="AY845" i="2" s="1"/>
  <c r="AZ840" i="2"/>
  <c r="AZ841" i="2"/>
  <c r="AZ852" i="2"/>
  <c r="AZ842" i="2"/>
  <c r="AZ846" i="2"/>
  <c r="AZ837" i="2" s="1"/>
  <c r="AZ78" i="4" s="1"/>
  <c r="AW299" i="7" s="1"/>
  <c r="BA834" i="2"/>
  <c r="BA831" i="2"/>
  <c r="AZ814" i="2"/>
  <c r="AZ815" i="2"/>
  <c r="AY821" i="2"/>
  <c r="AY817" i="2" s="1"/>
  <c r="AY827" i="2" s="1"/>
  <c r="AY822" i="2"/>
  <c r="AY823" i="2" s="1"/>
  <c r="AY818" i="2"/>
  <c r="AY819" i="2" s="1"/>
  <c r="AZ826" i="2"/>
  <c r="AZ816" i="2"/>
  <c r="AZ820" i="2"/>
  <c r="AZ811" i="2" s="1"/>
  <c r="AZ77" i="4" s="1"/>
  <c r="AW298" i="7" s="1"/>
  <c r="BA808" i="2"/>
  <c r="BA805" i="2"/>
  <c r="AX765" i="2"/>
  <c r="AY759" i="2"/>
  <c r="AY75" i="4" s="1"/>
  <c r="AV296" i="7" s="1"/>
  <c r="AZ744" i="2"/>
  <c r="AZ946" i="2" s="1"/>
  <c r="AZ800" i="2"/>
  <c r="AZ790" i="2"/>
  <c r="AZ794" i="2"/>
  <c r="AZ785" i="2" s="1"/>
  <c r="AZ76" i="4" s="1"/>
  <c r="AW297" i="7" s="1"/>
  <c r="BA779" i="2"/>
  <c r="BA782" i="2"/>
  <c r="AZ788" i="2"/>
  <c r="AZ789" i="2"/>
  <c r="AY795" i="2"/>
  <c r="AY791" i="2" s="1"/>
  <c r="AY801" i="2" s="1"/>
  <c r="AY796" i="2"/>
  <c r="AY797" i="2" s="1"/>
  <c r="AY792" i="2"/>
  <c r="AY793" i="2" s="1"/>
  <c r="BA756" i="2"/>
  <c r="BA753" i="2"/>
  <c r="AZ481" i="2"/>
  <c r="AZ483" i="2" s="1"/>
  <c r="AZ762" i="2"/>
  <c r="AZ763" i="2"/>
  <c r="AZ774" i="2"/>
  <c r="AZ764" i="2"/>
  <c r="AZ768" i="2"/>
  <c r="AY769" i="2"/>
  <c r="AW112" i="2"/>
  <c r="AY110" i="2"/>
  <c r="AY10" i="4" s="1"/>
  <c r="AW111" i="2"/>
  <c r="AZ366" i="2"/>
  <c r="AZ367" i="2" s="1"/>
  <c r="AX1299" i="2"/>
  <c r="AW51" i="2"/>
  <c r="AX123" i="2"/>
  <c r="AX124" i="2" s="1"/>
  <c r="AZ109" i="2"/>
  <c r="AY63" i="2"/>
  <c r="AY7" i="4"/>
  <c r="AW52" i="2"/>
  <c r="AU574" i="2"/>
  <c r="AX83" i="2"/>
  <c r="BA61" i="2"/>
  <c r="BA49" i="2" s="1"/>
  <c r="BA58" i="2"/>
  <c r="BA47" i="2"/>
  <c r="AZ50" i="2"/>
  <c r="AH1248" i="2"/>
  <c r="AZ89" i="2"/>
  <c r="AY90" i="2"/>
  <c r="AY9" i="4" s="1"/>
  <c r="AW92" i="2"/>
  <c r="AX103" i="2"/>
  <c r="AW473" i="2"/>
  <c r="AW527" i="2" s="1"/>
  <c r="AW243" i="2"/>
  <c r="AT60" i="4"/>
  <c r="AT237" i="4"/>
  <c r="AS27" i="4"/>
  <c r="AV485" i="4"/>
  <c r="AV131" i="2"/>
  <c r="AV458" i="4"/>
  <c r="AW100" i="4"/>
  <c r="AW96" i="4"/>
  <c r="AW32" i="4"/>
  <c r="AW239" i="4" s="1"/>
  <c r="AY746" i="2"/>
  <c r="AG192" i="4"/>
  <c r="AG1248" i="2"/>
  <c r="AG1259" i="2"/>
  <c r="AG112" i="4" s="1"/>
  <c r="AG1257" i="2"/>
  <c r="AH1242" i="2"/>
  <c r="AH212" i="4"/>
  <c r="AH373" i="4"/>
  <c r="AH276" i="4"/>
  <c r="AI1251" i="2"/>
  <c r="AI108" i="4" s="1"/>
  <c r="AI1234" i="2"/>
  <c r="AJ1233" i="2"/>
  <c r="AH222" i="4"/>
  <c r="AH208" i="4"/>
  <c r="AH195" i="4"/>
  <c r="AH1259" i="2"/>
  <c r="AH112" i="4" s="1"/>
  <c r="AH241" i="4" s="1"/>
  <c r="BA1235" i="2"/>
  <c r="AZ742" i="2"/>
  <c r="AZ944" i="2" s="1"/>
  <c r="AZ743" i="2"/>
  <c r="AZ945" i="2" s="1"/>
  <c r="BA737" i="2"/>
  <c r="BA742" i="2" s="1"/>
  <c r="BA944" i="2" s="1"/>
  <c r="AY142" i="4"/>
  <c r="AY910" i="2"/>
  <c r="AY906" i="2" s="1"/>
  <c r="AY916" i="2" s="1"/>
  <c r="AY911" i="2"/>
  <c r="AY912" i="2" s="1"/>
  <c r="AY907" i="2"/>
  <c r="AY908" i="2" s="1"/>
  <c r="AX934" i="2"/>
  <c r="AX941" i="2" s="1"/>
  <c r="AX985" i="2"/>
  <c r="AY928" i="2"/>
  <c r="AY85" i="4" s="1"/>
  <c r="AV306" i="7" s="1"/>
  <c r="AY984" i="2"/>
  <c r="AY978" i="2" s="1"/>
  <c r="AY140" i="4" s="1"/>
  <c r="BA896" i="2"/>
  <c r="BA890" i="2"/>
  <c r="AZ902" i="2"/>
  <c r="AZ904" i="2"/>
  <c r="AZ905" i="2"/>
  <c r="AZ915" i="2"/>
  <c r="AZ909" i="2"/>
  <c r="AZ899" i="2" s="1"/>
  <c r="AZ82" i="4" s="1"/>
  <c r="AW303" i="7" s="1"/>
  <c r="AX627" i="2"/>
  <c r="AX626" i="2" s="1"/>
  <c r="AX184" i="4" s="1"/>
  <c r="AZ931" i="2"/>
  <c r="AZ932" i="2"/>
  <c r="AZ980" i="2" s="1"/>
  <c r="AZ940" i="2"/>
  <c r="AZ988" i="2" s="1"/>
  <c r="AZ933" i="2"/>
  <c r="AZ981" i="2" s="1"/>
  <c r="AZ937" i="2"/>
  <c r="BA923" i="2"/>
  <c r="BA925" i="2"/>
  <c r="AY938" i="2"/>
  <c r="AX876" i="2"/>
  <c r="AX886" i="2" s="1"/>
  <c r="AY869" i="2"/>
  <c r="AY81" i="4" s="1"/>
  <c r="AV302" i="7" s="1"/>
  <c r="AZ872" i="2"/>
  <c r="AZ874" i="2"/>
  <c r="AZ875" i="2"/>
  <c r="AY880" i="2"/>
  <c r="BA866" i="2"/>
  <c r="BA860" i="2"/>
  <c r="AZ885" i="2"/>
  <c r="AZ879" i="2"/>
  <c r="AR234" i="2"/>
  <c r="AU524" i="2"/>
  <c r="AU554" i="2" s="1"/>
  <c r="AU1302" i="2" s="1"/>
  <c r="AU553" i="2"/>
  <c r="AU565" i="2" s="1"/>
  <c r="AU61" i="4"/>
  <c r="AT552" i="2"/>
  <c r="AT566" i="2" s="1"/>
  <c r="AT559" i="2"/>
  <c r="AS562" i="2"/>
  <c r="AS564" i="2" s="1"/>
  <c r="AT560" i="2"/>
  <c r="AV519" i="2"/>
  <c r="AS271" i="2"/>
  <c r="AU534" i="2"/>
  <c r="AT536" i="2"/>
  <c r="AT538" i="2" s="1"/>
  <c r="AU526" i="2"/>
  <c r="AV53" i="4"/>
  <c r="AV478" i="2"/>
  <c r="AV528" i="2" s="1"/>
  <c r="AV533" i="2"/>
  <c r="AR272" i="2"/>
  <c r="AR607" i="2" s="1"/>
  <c r="AR486" i="4"/>
  <c r="AR432" i="4"/>
  <c r="AR459" i="4"/>
  <c r="AS264" i="2"/>
  <c r="AS274" i="2" s="1"/>
  <c r="AS1292" i="2" s="1"/>
  <c r="AS265" i="2"/>
  <c r="AQ606" i="2"/>
  <c r="AP609" i="2"/>
  <c r="AP631" i="2" s="1"/>
  <c r="AQ256" i="2"/>
  <c r="AR269" i="2"/>
  <c r="AT94" i="4"/>
  <c r="AP280" i="2"/>
  <c r="AR254" i="2"/>
  <c r="AR278" i="2" s="1"/>
  <c r="AR604" i="2" s="1"/>
  <c r="AR605" i="2" s="1"/>
  <c r="AR606" i="2" s="1"/>
  <c r="AT587" i="2"/>
  <c r="AT588" i="2" s="1"/>
  <c r="AT252" i="2"/>
  <c r="AS584" i="2"/>
  <c r="AS166" i="4" s="1"/>
  <c r="AS262" i="4" s="1"/>
  <c r="AS588" i="2"/>
  <c r="AV245" i="2"/>
  <c r="AP127" i="4"/>
  <c r="AU248" i="2"/>
  <c r="AU277" i="2" s="1"/>
  <c r="AU246" i="2"/>
  <c r="AU275" i="2" s="1"/>
  <c r="AU586" i="2" s="1"/>
  <c r="AQ270" i="2"/>
  <c r="AQ1301" i="2"/>
  <c r="AU228" i="2"/>
  <c r="AU241" i="2" s="1"/>
  <c r="AT232" i="2" s="1"/>
  <c r="AT240" i="2"/>
  <c r="AT29" i="4"/>
  <c r="AT241" i="2"/>
  <c r="AT230" i="2" s="1"/>
  <c r="AV224" i="2"/>
  <c r="AV222" i="2"/>
  <c r="AT206" i="2"/>
  <c r="AT205" i="2"/>
  <c r="BA260" i="2"/>
  <c r="BA262" i="2"/>
  <c r="BA244" i="2"/>
  <c r="BA250" i="2"/>
  <c r="BA236" i="2"/>
  <c r="BA238" i="2"/>
  <c r="BA220" i="2"/>
  <c r="BA226" i="2"/>
  <c r="AU419" i="2"/>
  <c r="AU1323" i="2" s="1"/>
  <c r="AU496" i="4" s="1"/>
  <c r="AY488" i="2"/>
  <c r="AY54" i="4"/>
  <c r="BA485" i="2"/>
  <c r="BA486" i="2"/>
  <c r="BA482" i="2"/>
  <c r="BA475" i="2"/>
  <c r="BA476" i="2"/>
  <c r="BA472" i="2"/>
  <c r="AY468" i="2"/>
  <c r="AY52" i="4"/>
  <c r="BA465" i="2"/>
  <c r="BA466" i="2"/>
  <c r="BA462" i="2"/>
  <c r="AZ463" i="2"/>
  <c r="BA521" i="2"/>
  <c r="BA522" i="2"/>
  <c r="BA518" i="2"/>
  <c r="AY458" i="2"/>
  <c r="AY51" i="4"/>
  <c r="AW529" i="2"/>
  <c r="AZ453" i="2"/>
  <c r="BA455" i="2"/>
  <c r="BA456" i="2"/>
  <c r="BA452" i="2"/>
  <c r="AX402" i="2"/>
  <c r="AX409" i="2" s="1"/>
  <c r="AX384" i="2"/>
  <c r="AX46" i="4" s="1"/>
  <c r="AX45" i="4" s="1"/>
  <c r="AX8" i="4"/>
  <c r="AW196" i="2"/>
  <c r="AQ261" i="4"/>
  <c r="AU397" i="2"/>
  <c r="AT598" i="2"/>
  <c r="AT401" i="2"/>
  <c r="AS599" i="2"/>
  <c r="BA321" i="2"/>
  <c r="BA317" i="2"/>
  <c r="AV71" i="2"/>
  <c r="AY323" i="2"/>
  <c r="AY324" i="2" s="1"/>
  <c r="AY36" i="4" s="1"/>
  <c r="AX315" i="2"/>
  <c r="AX35" i="4" s="1"/>
  <c r="AX34" i="4" s="1"/>
  <c r="BA312" i="2"/>
  <c r="BA308" i="2"/>
  <c r="AV72" i="2"/>
  <c r="AV133" i="2" s="1"/>
  <c r="AY314" i="2"/>
  <c r="AW413" i="2"/>
  <c r="AW1321" i="2" s="1"/>
  <c r="AY383" i="2"/>
  <c r="AY404" i="2" s="1"/>
  <c r="BA381" i="2"/>
  <c r="BA377" i="2"/>
  <c r="BA369" i="2"/>
  <c r="BA365" i="2"/>
  <c r="AY371" i="2"/>
  <c r="AY372" i="2" s="1"/>
  <c r="AY43" i="4" s="1"/>
  <c r="AX363" i="2"/>
  <c r="AX42" i="4" s="1"/>
  <c r="AX41" i="4" s="1"/>
  <c r="BA360" i="2"/>
  <c r="BA356" i="2"/>
  <c r="AY362" i="2"/>
  <c r="AY195" i="2"/>
  <c r="AY194" i="2" s="1"/>
  <c r="AO1198" i="2"/>
  <c r="BB57" i="10"/>
  <c r="BB62" i="10"/>
  <c r="AQ115" i="10"/>
  <c r="AR112" i="10" s="1"/>
  <c r="AP1200" i="2"/>
  <c r="AT109" i="10"/>
  <c r="AW549" i="2"/>
  <c r="AW551" i="2" s="1"/>
  <c r="AV156" i="2"/>
  <c r="BA121" i="2"/>
  <c r="BA118" i="2"/>
  <c r="BA108" i="2"/>
  <c r="AW154" i="2"/>
  <c r="BA88" i="2"/>
  <c r="BA98" i="2"/>
  <c r="BA101" i="2"/>
  <c r="AT1117" i="2"/>
  <c r="AZ1280" i="2"/>
  <c r="AZ1282" i="2" s="1"/>
  <c r="AV178" i="2"/>
  <c r="AU156" i="2"/>
  <c r="AU158" i="2" s="1"/>
  <c r="AV154" i="2"/>
  <c r="AX539" i="2"/>
  <c r="AX177" i="2"/>
  <c r="AX189" i="2" s="1"/>
  <c r="AY652" i="2"/>
  <c r="AZ1274" i="2"/>
  <c r="AZ1276" i="2" s="1"/>
  <c r="AU181" i="2"/>
  <c r="AU183" i="2" s="1"/>
  <c r="AY547" i="2"/>
  <c r="AW190" i="2"/>
  <c r="AV181" i="2" s="1"/>
  <c r="AX152" i="2"/>
  <c r="AX164" i="2" s="1"/>
  <c r="AX177" i="4"/>
  <c r="AZ28" i="2"/>
  <c r="AZ41" i="2" s="1"/>
  <c r="AZ42" i="2" s="1"/>
  <c r="AZ29" i="2" s="1"/>
  <c r="AV128" i="4"/>
  <c r="AT590" i="2"/>
  <c r="AT165" i="4" s="1"/>
  <c r="AV418" i="2"/>
  <c r="AZ289" i="2"/>
  <c r="AZ293" i="2" s="1"/>
  <c r="AZ294" i="2" s="1"/>
  <c r="AW71" i="2"/>
  <c r="BA146" i="1"/>
  <c r="BA59" i="1"/>
  <c r="BA120" i="1"/>
  <c r="BA45" i="1"/>
  <c r="BA44" i="1"/>
  <c r="BA123" i="1"/>
  <c r="BA140" i="1"/>
  <c r="BA131" i="1"/>
  <c r="BA53" i="1"/>
  <c r="AX991" i="2"/>
  <c r="AX1305" i="2" s="1"/>
  <c r="AX949" i="2"/>
  <c r="AZ145" i="2"/>
  <c r="AW484" i="4"/>
  <c r="AW457" i="4"/>
  <c r="AW430" i="4"/>
  <c r="AW414" i="2"/>
  <c r="AW617" i="2" s="1"/>
  <c r="AU1119" i="2"/>
  <c r="AU1117" i="2" s="1"/>
  <c r="BB1084" i="2"/>
  <c r="BA136" i="10"/>
  <c r="BA188" i="4" s="1"/>
  <c r="BA93" i="10"/>
  <c r="BA168" i="4" s="1"/>
  <c r="BA135" i="10"/>
  <c r="BA133" i="10"/>
  <c r="BA65" i="10"/>
  <c r="BA97" i="10"/>
  <c r="BA176" i="4" s="1"/>
  <c r="BA70" i="10"/>
  <c r="BA71" i="10" s="1"/>
  <c r="BA72" i="10" s="1"/>
  <c r="AV1310" i="2"/>
  <c r="AX30" i="2"/>
  <c r="AZ729" i="2"/>
  <c r="AZ722" i="2"/>
  <c r="AZ726" i="2"/>
  <c r="AZ717" i="2" s="1"/>
  <c r="AZ707" i="2"/>
  <c r="AZ701" i="2"/>
  <c r="AZ691" i="2" s="1"/>
  <c r="AQ1106" i="2"/>
  <c r="AW410" i="2"/>
  <c r="AW393" i="2"/>
  <c r="AY22" i="2"/>
  <c r="BA1012" i="2"/>
  <c r="BA1011" i="2" s="1"/>
  <c r="BA427" i="2"/>
  <c r="BA296" i="2"/>
  <c r="BA287" i="2"/>
  <c r="BA162" i="2"/>
  <c r="BA78" i="2"/>
  <c r="BA8" i="2"/>
  <c r="BA1273" i="2"/>
  <c r="BA1146" i="2"/>
  <c r="BA1147" i="2" s="1"/>
  <c r="BA1033" i="2"/>
  <c r="BA682" i="2"/>
  <c r="BA557" i="2"/>
  <c r="BA36" i="2"/>
  <c r="BA26" i="2"/>
  <c r="BA25" i="2" s="1"/>
  <c r="BA17" i="2"/>
  <c r="BA7" i="2"/>
  <c r="BA1017" i="2"/>
  <c r="BA656" i="2"/>
  <c r="BA643" i="2"/>
  <c r="BA542" i="2"/>
  <c r="BA531" i="2"/>
  <c r="BA442" i="2"/>
  <c r="BA432" i="2"/>
  <c r="BA405" i="2"/>
  <c r="BA168" i="2"/>
  <c r="BA167" i="2" s="1"/>
  <c r="BA1275" i="2"/>
  <c r="BA1201" i="2"/>
  <c r="BA1202" i="2" s="1"/>
  <c r="BA1026" i="2"/>
  <c r="BA391" i="2"/>
  <c r="BA291" i="2"/>
  <c r="BA212" i="2"/>
  <c r="BA160" i="2"/>
  <c r="BA143" i="2"/>
  <c r="BA1150" i="2"/>
  <c r="BA1151" i="2" s="1"/>
  <c r="BA1108" i="2"/>
  <c r="BA1109" i="2" s="1"/>
  <c r="BA407" i="2"/>
  <c r="BA300" i="2"/>
  <c r="BA297" i="2" s="1"/>
  <c r="BA1335" i="2"/>
  <c r="BA1278" i="2"/>
  <c r="BA714" i="2"/>
  <c r="BA623" i="2"/>
  <c r="BA624" i="2" s="1"/>
  <c r="BA544" i="2"/>
  <c r="BA19" i="2"/>
  <c r="BA1037" i="2"/>
  <c r="BA712" i="2"/>
  <c r="BA389" i="2"/>
  <c r="BA185" i="2"/>
  <c r="BA1272" i="2"/>
  <c r="BA1120" i="2"/>
  <c r="BA1121" i="2" s="1"/>
  <c r="BA1013" i="2"/>
  <c r="BA1014" i="2" s="1"/>
  <c r="BA1279" i="2"/>
  <c r="BA1136" i="2"/>
  <c r="BA1029" i="2"/>
  <c r="BA214" i="2"/>
  <c r="BA1028" i="2"/>
  <c r="BA443" i="2"/>
  <c r="BA439" i="2" s="1"/>
  <c r="BA288" i="2"/>
  <c r="BA144" i="2"/>
  <c r="BA438" i="2"/>
  <c r="BA437" i="2" s="1"/>
  <c r="BA688" i="2"/>
  <c r="BA659" i="2"/>
  <c r="BA39" i="2"/>
  <c r="BA27" i="2" s="1"/>
  <c r="BA555" i="2"/>
  <c r="BA1281" i="2"/>
  <c r="BA428" i="2"/>
  <c r="BA187" i="2"/>
  <c r="BA169" i="2" s="1"/>
  <c r="BA628" i="2"/>
  <c r="BA629" i="2" s="1"/>
  <c r="BA1032" i="2"/>
  <c r="BA1031" i="2" s="1"/>
  <c r="BA431" i="2"/>
  <c r="BA81" i="2"/>
  <c r="BA1220" i="2"/>
  <c r="BA1221" i="2" s="1"/>
  <c r="BA150" i="2"/>
  <c r="BA175" i="2"/>
  <c r="BA1178" i="2"/>
  <c r="BA197" i="4" s="1"/>
  <c r="BA1208" i="2"/>
  <c r="BA1209" i="2" s="1"/>
  <c r="AB77" i="10"/>
  <c r="AB78" i="10" s="1"/>
  <c r="AY727" i="2"/>
  <c r="AY723" i="2" s="1"/>
  <c r="AY730" i="2" s="1"/>
  <c r="AY724" i="2"/>
  <c r="AY725" i="2" s="1"/>
  <c r="AZ647" i="2"/>
  <c r="AZ650" i="2" s="1"/>
  <c r="AZ648" i="2"/>
  <c r="AZ649" i="2"/>
  <c r="AZ1039" i="2"/>
  <c r="AZ1038" i="2"/>
  <c r="AZ694" i="2"/>
  <c r="AZ696" i="2"/>
  <c r="AZ697" i="2"/>
  <c r="AZ172" i="4"/>
  <c r="BB80" i="1"/>
  <c r="AS165" i="4"/>
  <c r="AW138" i="4"/>
  <c r="AW144" i="4" s="1"/>
  <c r="AW990" i="2"/>
  <c r="AR117" i="10"/>
  <c r="AR115" i="10" s="1"/>
  <c r="AS112" i="10" s="1"/>
  <c r="AD86" i="10"/>
  <c r="AX19" i="4"/>
  <c r="AX18" i="4" s="1"/>
  <c r="AX196" i="2"/>
  <c r="AZ677" i="2"/>
  <c r="AZ667" i="2"/>
  <c r="AZ671" i="2"/>
  <c r="AZ662" i="2" s="1"/>
  <c r="AZ9" i="2"/>
  <c r="AV618" i="2"/>
  <c r="AV619" i="2" s="1"/>
  <c r="AX412" i="2"/>
  <c r="AT576" i="2"/>
  <c r="BA370" i="4"/>
  <c r="BA194" i="4"/>
  <c r="BA298" i="4"/>
  <c r="BA321" i="4"/>
  <c r="BA199" i="4"/>
  <c r="BA169" i="4"/>
  <c r="BA293" i="4"/>
  <c r="BA273" i="4"/>
  <c r="BA332" i="4"/>
  <c r="BA178" i="4"/>
  <c r="BA389" i="4"/>
  <c r="BA347" i="4"/>
  <c r="BA412" i="4"/>
  <c r="BA342" i="4"/>
  <c r="BA384" i="4"/>
  <c r="BA189" i="4"/>
  <c r="BA283" i="4"/>
  <c r="AT572" i="2"/>
  <c r="AX11" i="2"/>
  <c r="AU615" i="2"/>
  <c r="AU186" i="4" s="1"/>
  <c r="AY148" i="2"/>
  <c r="AY146" i="2"/>
  <c r="AW399" i="2"/>
  <c r="AY41" i="2"/>
  <c r="AY42" i="2" s="1"/>
  <c r="AY173" i="2"/>
  <c r="AY171" i="2"/>
  <c r="BB87" i="1"/>
  <c r="BA91" i="1"/>
  <c r="AW1307" i="2"/>
  <c r="BA1092" i="2"/>
  <c r="BB1091" i="2"/>
  <c r="BB1090" i="2" s="1"/>
  <c r="AU593" i="2"/>
  <c r="AU594" i="2" s="1"/>
  <c r="AY503" i="4"/>
  <c r="AZ503" i="4"/>
  <c r="AZ665" i="2"/>
  <c r="AZ666" i="2"/>
  <c r="AZ440" i="2"/>
  <c r="AZ445" i="2" s="1"/>
  <c r="BB2" i="5"/>
  <c r="BB2" i="4"/>
  <c r="BB2" i="2"/>
  <c r="BB2" i="10"/>
  <c r="BB2" i="1"/>
  <c r="AY702" i="2"/>
  <c r="AY698" i="2" s="1"/>
  <c r="AY708" i="2" s="1"/>
  <c r="AY703" i="2"/>
  <c r="AY704" i="2" s="1"/>
  <c r="AY699" i="2"/>
  <c r="AY700" i="2" s="1"/>
  <c r="AX440" i="4"/>
  <c r="AX467" i="4"/>
  <c r="AX502" i="4"/>
  <c r="AZ170" i="2"/>
  <c r="AZ298" i="2"/>
  <c r="AZ720" i="2"/>
  <c r="AZ721" i="2"/>
  <c r="AY302" i="2"/>
  <c r="AY303" i="2" s="1"/>
  <c r="AY293" i="2"/>
  <c r="AY294" i="2" s="1"/>
  <c r="AT110" i="10"/>
  <c r="AT108" i="10" s="1"/>
  <c r="AU105" i="10" s="1"/>
  <c r="BB1061" i="2"/>
  <c r="AV324" i="4"/>
  <c r="AV374" i="4"/>
  <c r="AV277" i="4"/>
  <c r="AV1264" i="2"/>
  <c r="AV1184" i="2"/>
  <c r="AZ429" i="2"/>
  <c r="AZ434" i="2" s="1"/>
  <c r="AY673" i="2"/>
  <c r="AY674" i="2" s="1"/>
  <c r="AY672" i="2"/>
  <c r="AY668" i="2" s="1"/>
  <c r="AY678" i="2" s="1"/>
  <c r="AY669" i="2"/>
  <c r="AY670" i="2" s="1"/>
  <c r="AU97" i="4" l="1"/>
  <c r="AZ970" i="2"/>
  <c r="BA357" i="2"/>
  <c r="AZ508" i="2"/>
  <c r="AZ56" i="4"/>
  <c r="AZ966" i="2"/>
  <c r="BA503" i="2"/>
  <c r="BB506" i="2"/>
  <c r="BB502" i="2"/>
  <c r="BB505" i="2"/>
  <c r="BB501" i="2"/>
  <c r="BA493" i="2"/>
  <c r="AZ498" i="2"/>
  <c r="AZ55" i="4"/>
  <c r="AZ967" i="2"/>
  <c r="AZ977" i="2"/>
  <c r="BB491" i="2"/>
  <c r="BB496" i="2"/>
  <c r="BB495" i="2"/>
  <c r="BB492" i="2"/>
  <c r="AY971" i="2"/>
  <c r="AX996" i="2"/>
  <c r="BA411" i="2"/>
  <c r="AZ395" i="2"/>
  <c r="AY396" i="2"/>
  <c r="AY388" i="2"/>
  <c r="AY386" i="2" s="1"/>
  <c r="AZ387" i="2"/>
  <c r="BA318" i="2"/>
  <c r="BA319" i="2" s="1"/>
  <c r="BB344" i="2"/>
  <c r="BB348" i="2"/>
  <c r="BB345" i="2" s="1"/>
  <c r="BA481" i="2"/>
  <c r="BA483" i="2" s="1"/>
  <c r="BA346" i="2"/>
  <c r="AZ342" i="2"/>
  <c r="AZ38" i="4" s="1"/>
  <c r="BB335" i="2"/>
  <c r="BB339" i="2"/>
  <c r="BB336" i="2" s="1"/>
  <c r="BA337" i="2"/>
  <c r="BB68" i="2"/>
  <c r="BB330" i="2"/>
  <c r="BB327" i="2" s="1"/>
  <c r="BB326" i="2"/>
  <c r="AZ332" i="2"/>
  <c r="AZ333" i="2" s="1"/>
  <c r="AZ37" i="4" s="1"/>
  <c r="AK1219" i="2"/>
  <c r="AK1217" i="2" s="1"/>
  <c r="BA328" i="2"/>
  <c r="AS238" i="4"/>
  <c r="AV416" i="2"/>
  <c r="AV1322" i="2" s="1"/>
  <c r="AV236" i="4"/>
  <c r="AV204" i="2"/>
  <c r="AV28" i="4" s="1"/>
  <c r="AV239" i="4"/>
  <c r="BA107" i="2"/>
  <c r="BA87" i="2"/>
  <c r="AX130" i="2"/>
  <c r="AX1291" i="2" s="1"/>
  <c r="AX485" i="4" s="1"/>
  <c r="AU217" i="2"/>
  <c r="AT208" i="2" s="1"/>
  <c r="AS210" i="2"/>
  <c r="AX52" i="2"/>
  <c r="AY128" i="2"/>
  <c r="AY471" i="2" s="1"/>
  <c r="BA309" i="2"/>
  <c r="BA310" i="2" s="1"/>
  <c r="AW202" i="2"/>
  <c r="AW276" i="2" s="1"/>
  <c r="AW592" i="2" s="1"/>
  <c r="AX517" i="2"/>
  <c r="AX473" i="2"/>
  <c r="AX527" i="2" s="1"/>
  <c r="AU216" i="2"/>
  <c r="BA67" i="2"/>
  <c r="BA195" i="2" s="1"/>
  <c r="BA378" i="2"/>
  <c r="BA379" i="2" s="1"/>
  <c r="BA403" i="2" s="1"/>
  <c r="AY6" i="4"/>
  <c r="AY93" i="4" s="1"/>
  <c r="AY236" i="4" s="1"/>
  <c r="V491" i="4"/>
  <c r="AX6" i="4"/>
  <c r="AX93" i="4" s="1"/>
  <c r="AX236" i="4" s="1"/>
  <c r="AY83" i="2"/>
  <c r="AY84" i="2" s="1"/>
  <c r="V1327" i="2"/>
  <c r="V435" i="4" s="1"/>
  <c r="BA69" i="2"/>
  <c r="V1334" i="2"/>
  <c r="W1336" i="2" s="1"/>
  <c r="W1334" i="2" s="1"/>
  <c r="AW72" i="2"/>
  <c r="AW133" i="2" s="1"/>
  <c r="AX112" i="2"/>
  <c r="U493" i="4"/>
  <c r="U1327" i="2"/>
  <c r="AV775" i="2"/>
  <c r="AV995" i="2" s="1"/>
  <c r="AU109" i="10"/>
  <c r="Y256" i="4"/>
  <c r="Y207" i="4"/>
  <c r="Y209" i="4" s="1"/>
  <c r="Y284" i="4"/>
  <c r="AY123" i="2"/>
  <c r="AY124" i="2" s="1"/>
  <c r="AY111" i="2" s="1"/>
  <c r="Y109" i="4"/>
  <c r="Y115" i="4" s="1"/>
  <c r="Y1328" i="2" s="1"/>
  <c r="AB877" i="2"/>
  <c r="AB968" i="2" s="1"/>
  <c r="AZ219" i="4"/>
  <c r="AY220" i="4"/>
  <c r="Y494" i="4"/>
  <c r="Y463" i="4"/>
  <c r="Y436" i="4"/>
  <c r="X1330" i="2"/>
  <c r="X1331" i="2"/>
  <c r="X1332" i="2" s="1"/>
  <c r="AY34" i="1"/>
  <c r="AZ955" i="2"/>
  <c r="AX25" i="4"/>
  <c r="AX366" i="4"/>
  <c r="AX140" i="2"/>
  <c r="AX69" i="4"/>
  <c r="AX284" i="2"/>
  <c r="AX570" i="2"/>
  <c r="AX113" i="1"/>
  <c r="AX91" i="4"/>
  <c r="AX1168" i="2"/>
  <c r="AX205" i="4"/>
  <c r="AX1" i="5"/>
  <c r="AX4" i="2"/>
  <c r="AX68" i="1"/>
  <c r="AX4" i="5"/>
  <c r="AX1056" i="2"/>
  <c r="AX638" i="2"/>
  <c r="AX1" i="4"/>
  <c r="AX233" i="4"/>
  <c r="AX1142" i="2"/>
  <c r="AX14" i="4"/>
  <c r="AX1269" i="2"/>
  <c r="AX1" i="1"/>
  <c r="AX4" i="4"/>
  <c r="AX38" i="1"/>
  <c r="AX90" i="10"/>
  <c r="AX1" i="10"/>
  <c r="AX124" i="4"/>
  <c r="AX1189" i="2"/>
  <c r="AX14" i="1"/>
  <c r="AX1000" i="2"/>
  <c r="AX423" i="2"/>
  <c r="AX1" i="2"/>
  <c r="AX269" i="4"/>
  <c r="AX159" i="4"/>
  <c r="AX102" i="10"/>
  <c r="AX317" i="4"/>
  <c r="AX408" i="4"/>
  <c r="AX1096" i="2"/>
  <c r="AX55" i="10"/>
  <c r="AZ28" i="1"/>
  <c r="BA26" i="1"/>
  <c r="BB1029" i="2" s="1"/>
  <c r="AZ27" i="1"/>
  <c r="AZ29" i="1"/>
  <c r="AA953" i="2"/>
  <c r="AA63" i="4" s="1"/>
  <c r="AA767" i="2"/>
  <c r="AA957" i="2"/>
  <c r="AA771" i="2"/>
  <c r="Z173" i="4"/>
  <c r="Z179" i="4" s="1"/>
  <c r="Z264" i="4" s="1"/>
  <c r="Z1316" i="2"/>
  <c r="Z1313" i="2" s="1"/>
  <c r="Y333" i="4"/>
  <c r="AZ962" i="2"/>
  <c r="AA983" i="2"/>
  <c r="AA175" i="4" s="1"/>
  <c r="AB935" i="2"/>
  <c r="AA882" i="2"/>
  <c r="AA973" i="2" s="1"/>
  <c r="AY956" i="2"/>
  <c r="AZ952" i="2"/>
  <c r="AZ951" i="2"/>
  <c r="AZ847" i="2"/>
  <c r="AZ843" i="2" s="1"/>
  <c r="AZ853" i="2" s="1"/>
  <c r="AZ848" i="2"/>
  <c r="AZ849" i="2" s="1"/>
  <c r="AZ844" i="2"/>
  <c r="AZ845" i="2" s="1"/>
  <c r="BB834" i="2"/>
  <c r="BB831" i="2"/>
  <c r="BA840" i="2"/>
  <c r="BA841" i="2"/>
  <c r="BA852" i="2"/>
  <c r="BA842" i="2"/>
  <c r="BA846" i="2"/>
  <c r="BA837" i="2" s="1"/>
  <c r="BA78" i="4" s="1"/>
  <c r="AX299" i="7" s="1"/>
  <c r="BB808" i="2"/>
  <c r="BB805" i="2"/>
  <c r="AY765" i="2"/>
  <c r="BA814" i="2"/>
  <c r="BA815" i="2"/>
  <c r="AZ759" i="2"/>
  <c r="AZ75" i="4" s="1"/>
  <c r="AW296" i="7" s="1"/>
  <c r="BA826" i="2"/>
  <c r="BA820" i="2"/>
  <c r="BA811" i="2" s="1"/>
  <c r="BA77" i="4" s="1"/>
  <c r="AX298" i="7" s="1"/>
  <c r="BA816" i="2"/>
  <c r="AZ821" i="2"/>
  <c r="AZ817" i="2" s="1"/>
  <c r="AZ827" i="2" s="1"/>
  <c r="AZ822" i="2"/>
  <c r="AZ823" i="2" s="1"/>
  <c r="AZ818" i="2"/>
  <c r="AZ819" i="2" s="1"/>
  <c r="BA800" i="2"/>
  <c r="BA790" i="2"/>
  <c r="BA794" i="2"/>
  <c r="BA785" i="2" s="1"/>
  <c r="BA76" i="4" s="1"/>
  <c r="AX297" i="7" s="1"/>
  <c r="BA788" i="2"/>
  <c r="BA789" i="2"/>
  <c r="BB782" i="2"/>
  <c r="BB779" i="2"/>
  <c r="AZ795" i="2"/>
  <c r="AZ791" i="2" s="1"/>
  <c r="AZ801" i="2" s="1"/>
  <c r="AZ796" i="2"/>
  <c r="AZ797" i="2" s="1"/>
  <c r="AZ792" i="2"/>
  <c r="AZ793" i="2" s="1"/>
  <c r="AZ769" i="2"/>
  <c r="BB756" i="2"/>
  <c r="BB753" i="2"/>
  <c r="BA762" i="2"/>
  <c r="BA763" i="2"/>
  <c r="BA774" i="2"/>
  <c r="BA764" i="2"/>
  <c r="BA768" i="2"/>
  <c r="BA366" i="2"/>
  <c r="BA367" i="2" s="1"/>
  <c r="BA741" i="2"/>
  <c r="BA744" i="2" s="1"/>
  <c r="BA946" i="2" s="1"/>
  <c r="BA172" i="4" s="1"/>
  <c r="BA109" i="2"/>
  <c r="AZ110" i="2"/>
  <c r="AZ10" i="4" s="1"/>
  <c r="AX84" i="2"/>
  <c r="AX71" i="2" s="1"/>
  <c r="AY64" i="2"/>
  <c r="AZ90" i="2"/>
  <c r="AZ9" i="4" s="1"/>
  <c r="BA89" i="2"/>
  <c r="AU575" i="2"/>
  <c r="AU576" i="2" s="1"/>
  <c r="AZ7" i="4"/>
  <c r="AV574" i="2"/>
  <c r="AV575" i="2" s="1"/>
  <c r="BB61" i="2"/>
  <c r="BB49" i="2" s="1"/>
  <c r="BB58" i="2"/>
  <c r="BB47" i="2"/>
  <c r="BA50" i="2"/>
  <c r="AZ63" i="2"/>
  <c r="AW131" i="2"/>
  <c r="AY103" i="2"/>
  <c r="AY104" i="2" s="1"/>
  <c r="AW458" i="4"/>
  <c r="AW485" i="4"/>
  <c r="AT48" i="4"/>
  <c r="AU94" i="4"/>
  <c r="AU98" i="4" s="1"/>
  <c r="AS486" i="4"/>
  <c r="AX104" i="2"/>
  <c r="AX91" i="2" s="1"/>
  <c r="AG241" i="4"/>
  <c r="AT102" i="4"/>
  <c r="AT98" i="4"/>
  <c r="AU60" i="4"/>
  <c r="AU48" i="4" s="1"/>
  <c r="AV50" i="4"/>
  <c r="AV97" i="4" s="1"/>
  <c r="BA743" i="2"/>
  <c r="BA945" i="2" s="1"/>
  <c r="AX100" i="4"/>
  <c r="AX96" i="4"/>
  <c r="AX32" i="4"/>
  <c r="AZ746" i="2"/>
  <c r="AG208" i="4"/>
  <c r="AG222" i="4"/>
  <c r="AG195" i="4"/>
  <c r="AJ1251" i="2"/>
  <c r="AJ108" i="4" s="1"/>
  <c r="AJ1234" i="2"/>
  <c r="AJ1232" i="2" s="1"/>
  <c r="AH1243" i="2"/>
  <c r="AH1258" i="2"/>
  <c r="AI1232" i="2"/>
  <c r="AI1252" i="2"/>
  <c r="AI130" i="4" s="1"/>
  <c r="BB1235" i="2"/>
  <c r="AY627" i="2"/>
  <c r="AY626" i="2" s="1"/>
  <c r="AY184" i="4" s="1"/>
  <c r="BB737" i="2"/>
  <c r="BB743" i="2" s="1"/>
  <c r="BB945" i="2" s="1"/>
  <c r="AZ963" i="2"/>
  <c r="AZ139" i="4" s="1"/>
  <c r="AY934" i="2"/>
  <c r="AY941" i="2" s="1"/>
  <c r="AY985" i="2"/>
  <c r="AZ910" i="2"/>
  <c r="AZ906" i="2" s="1"/>
  <c r="AZ916" i="2" s="1"/>
  <c r="AZ911" i="2"/>
  <c r="AZ912" i="2" s="1"/>
  <c r="AZ907" i="2"/>
  <c r="AZ908" i="2" s="1"/>
  <c r="BB896" i="2"/>
  <c r="BB890" i="2"/>
  <c r="BA902" i="2"/>
  <c r="BA904" i="2"/>
  <c r="BA905" i="2"/>
  <c r="BA915" i="2"/>
  <c r="BA909" i="2"/>
  <c r="BA899" i="2" s="1"/>
  <c r="BA82" i="4" s="1"/>
  <c r="AX303" i="7" s="1"/>
  <c r="AZ928" i="2"/>
  <c r="AZ85" i="4" s="1"/>
  <c r="AW306" i="7" s="1"/>
  <c r="AZ984" i="2"/>
  <c r="AZ978" i="2" s="1"/>
  <c r="AZ140" i="4" s="1"/>
  <c r="BA940" i="2"/>
  <c r="BA988" i="2" s="1"/>
  <c r="BA933" i="2"/>
  <c r="BA981" i="2" s="1"/>
  <c r="BA937" i="2"/>
  <c r="BA931" i="2"/>
  <c r="BA932" i="2"/>
  <c r="BA980" i="2" s="1"/>
  <c r="AY1299" i="2"/>
  <c r="AZ938" i="2"/>
  <c r="BB923" i="2"/>
  <c r="BB925" i="2"/>
  <c r="AZ869" i="2"/>
  <c r="AZ81" i="4" s="1"/>
  <c r="AW302" i="7" s="1"/>
  <c r="AY876" i="2"/>
  <c r="AY886" i="2" s="1"/>
  <c r="BA872" i="2"/>
  <c r="BA874" i="2"/>
  <c r="BA875" i="2"/>
  <c r="BA885" i="2"/>
  <c r="BA879" i="2"/>
  <c r="AZ880" i="2"/>
  <c r="BB866" i="2"/>
  <c r="BB860" i="2"/>
  <c r="AP163" i="4"/>
  <c r="AW519" i="2"/>
  <c r="AV524" i="2"/>
  <c r="AV554" i="2" s="1"/>
  <c r="AV1302" i="2" s="1"/>
  <c r="AV553" i="2"/>
  <c r="AV565" i="2" s="1"/>
  <c r="AV61" i="4"/>
  <c r="AV60" i="4" s="1"/>
  <c r="AV102" i="4" s="1"/>
  <c r="AU560" i="2"/>
  <c r="AU552" i="2"/>
  <c r="AU566" i="2" s="1"/>
  <c r="AU559" i="2"/>
  <c r="AT562" i="2"/>
  <c r="AT564" i="2" s="1"/>
  <c r="AW53" i="4"/>
  <c r="AW50" i="4" s="1"/>
  <c r="AW533" i="2"/>
  <c r="AW478" i="2"/>
  <c r="AW528" i="2" s="1"/>
  <c r="AV534" i="2"/>
  <c r="AU536" i="2"/>
  <c r="AU538" i="2" s="1"/>
  <c r="AV526" i="2"/>
  <c r="AU464" i="4"/>
  <c r="AU437" i="4"/>
  <c r="AT584" i="2"/>
  <c r="AT166" i="4" s="1"/>
  <c r="AT262" i="4" s="1"/>
  <c r="AS254" i="2"/>
  <c r="AS278" i="2" s="1"/>
  <c r="AS604" i="2" s="1"/>
  <c r="AS605" i="2" s="1"/>
  <c r="AS606" i="2" s="1"/>
  <c r="AS269" i="2"/>
  <c r="AS253" i="2"/>
  <c r="AS272" i="2" s="1"/>
  <c r="AS607" i="2" s="1"/>
  <c r="AS432" i="4"/>
  <c r="AS459" i="4"/>
  <c r="AR256" i="2"/>
  <c r="AR279" i="2" s="1"/>
  <c r="AR611" i="2" s="1"/>
  <c r="AU29" i="4"/>
  <c r="AU587" i="2"/>
  <c r="AU588" i="2" s="1"/>
  <c r="AX219" i="2"/>
  <c r="AX221" i="2" s="1"/>
  <c r="AX243" i="2"/>
  <c r="AR1301" i="2"/>
  <c r="AR270" i="2"/>
  <c r="AQ279" i="2"/>
  <c r="AQ611" i="2" s="1"/>
  <c r="AQ258" i="2"/>
  <c r="AQ273" i="2" s="1"/>
  <c r="AT30" i="4"/>
  <c r="AT265" i="2"/>
  <c r="AT253" i="2" s="1"/>
  <c r="AT264" i="2"/>
  <c r="AT274" i="2" s="1"/>
  <c r="AT1292" i="2" s="1"/>
  <c r="AT459" i="4" s="1"/>
  <c r="AV246" i="2"/>
  <c r="AV248" i="2"/>
  <c r="AV277" i="2" s="1"/>
  <c r="AW245" i="2"/>
  <c r="AW268" i="2" s="1"/>
  <c r="AW95" i="4" s="1"/>
  <c r="AW237" i="4" s="1"/>
  <c r="AU240" i="2"/>
  <c r="AU252" i="2"/>
  <c r="AU271" i="2" s="1"/>
  <c r="AV268" i="2"/>
  <c r="AV95" i="4" s="1"/>
  <c r="AT271" i="2"/>
  <c r="AU229" i="2"/>
  <c r="AV228" i="2"/>
  <c r="AV240" i="2" s="1"/>
  <c r="AU230" i="2"/>
  <c r="AW222" i="2"/>
  <c r="AW224" i="2"/>
  <c r="AS232" i="2"/>
  <c r="AT234" i="2" s="1"/>
  <c r="AT229" i="2"/>
  <c r="BB262" i="2"/>
  <c r="BB260" i="2"/>
  <c r="BB244" i="2"/>
  <c r="BB250" i="2"/>
  <c r="AW198" i="2"/>
  <c r="BB238" i="2"/>
  <c r="BB236" i="2"/>
  <c r="BB220" i="2"/>
  <c r="BB226" i="2"/>
  <c r="AZ488" i="2"/>
  <c r="AZ54" i="4"/>
  <c r="BB485" i="2"/>
  <c r="BB486" i="2"/>
  <c r="BB482" i="2"/>
  <c r="BB475" i="2"/>
  <c r="BB476" i="2"/>
  <c r="BB472" i="2"/>
  <c r="AZ468" i="2"/>
  <c r="AZ52" i="4"/>
  <c r="BB465" i="2"/>
  <c r="BB466" i="2"/>
  <c r="BB462" i="2"/>
  <c r="BA463" i="2"/>
  <c r="BB521" i="2"/>
  <c r="BB522" i="2"/>
  <c r="BB518" i="2"/>
  <c r="AX529" i="2"/>
  <c r="AZ458" i="2"/>
  <c r="AZ51" i="4"/>
  <c r="BB455" i="2"/>
  <c r="BB456" i="2"/>
  <c r="BB452" i="2"/>
  <c r="BA453" i="2"/>
  <c r="AY402" i="2"/>
  <c r="AY409" i="2" s="1"/>
  <c r="AY384" i="2"/>
  <c r="AY46" i="4" s="1"/>
  <c r="AY45" i="4" s="1"/>
  <c r="AW200" i="2"/>
  <c r="AW416" i="2"/>
  <c r="AW1322" i="2" s="1"/>
  <c r="AS596" i="2"/>
  <c r="AS164" i="4" s="1"/>
  <c r="AS600" i="2"/>
  <c r="AV397" i="2"/>
  <c r="AU598" i="2"/>
  <c r="AU401" i="2"/>
  <c r="AT599" i="2"/>
  <c r="AT600" i="2" s="1"/>
  <c r="BB321" i="2"/>
  <c r="BB317" i="2"/>
  <c r="AZ323" i="2"/>
  <c r="AZ324" i="2" s="1"/>
  <c r="AZ36" i="4" s="1"/>
  <c r="AY315" i="2"/>
  <c r="AY35" i="4" s="1"/>
  <c r="AY34" i="4" s="1"/>
  <c r="BB312" i="2"/>
  <c r="BB308" i="2"/>
  <c r="AZ314" i="2"/>
  <c r="AX413" i="2"/>
  <c r="AX1321" i="2" s="1"/>
  <c r="AX497" i="4" s="1"/>
  <c r="BB381" i="2"/>
  <c r="BB377" i="2"/>
  <c r="AY197" i="2"/>
  <c r="AY19" i="4" s="1"/>
  <c r="AY18" i="4" s="1"/>
  <c r="AZ383" i="2"/>
  <c r="AZ404" i="2" s="1"/>
  <c r="AZ371" i="2"/>
  <c r="AZ372" i="2" s="1"/>
  <c r="AZ43" i="4" s="1"/>
  <c r="BB369" i="2"/>
  <c r="BB365" i="2"/>
  <c r="AZ70" i="2"/>
  <c r="AY363" i="2"/>
  <c r="AY42" i="4" s="1"/>
  <c r="AY41" i="4" s="1"/>
  <c r="BB360" i="2"/>
  <c r="BB357" i="2" s="1"/>
  <c r="BB356" i="2"/>
  <c r="AZ362" i="2"/>
  <c r="BA358" i="2"/>
  <c r="AQ1199" i="2"/>
  <c r="AP1198" i="2"/>
  <c r="AX549" i="2"/>
  <c r="AX551" i="2" s="1"/>
  <c r="BA1274" i="2"/>
  <c r="BA1276" i="2" s="1"/>
  <c r="AX111" i="2"/>
  <c r="BB108" i="2"/>
  <c r="BB121" i="2"/>
  <c r="BB118" i="2"/>
  <c r="AV158" i="2"/>
  <c r="BB88" i="2"/>
  <c r="BB98" i="2"/>
  <c r="BB101" i="2"/>
  <c r="AY539" i="2"/>
  <c r="AY546" i="2"/>
  <c r="AW179" i="2"/>
  <c r="AX190" i="2"/>
  <c r="AW181" i="2" s="1"/>
  <c r="AV183" i="2"/>
  <c r="AW178" i="2"/>
  <c r="AX165" i="2"/>
  <c r="AX154" i="2" s="1"/>
  <c r="AX1307" i="2"/>
  <c r="AW1310" i="2"/>
  <c r="AY152" i="2"/>
  <c r="AY165" i="2" s="1"/>
  <c r="AY153" i="2" s="1"/>
  <c r="AY177" i="2"/>
  <c r="AY189" i="2" s="1"/>
  <c r="AU590" i="2"/>
  <c r="AU165" i="4" s="1"/>
  <c r="AZ21" i="2"/>
  <c r="AE84" i="10"/>
  <c r="AE85" i="10" s="1"/>
  <c r="BA440" i="2"/>
  <c r="BA445" i="2" s="1"/>
  <c r="BA694" i="2"/>
  <c r="BA697" i="2"/>
  <c r="BA696" i="2"/>
  <c r="BA289" i="2"/>
  <c r="AQ1107" i="2"/>
  <c r="AQ1105" i="2" s="1"/>
  <c r="AW128" i="4"/>
  <c r="AR602" i="2"/>
  <c r="AR183" i="4" s="1"/>
  <c r="BB1281" i="2"/>
  <c r="BB1272" i="2"/>
  <c r="BB1032" i="2"/>
  <c r="BB1031" i="2" s="1"/>
  <c r="BB659" i="2"/>
  <c r="BB628" i="2"/>
  <c r="BB555" i="2"/>
  <c r="BB544" i="2"/>
  <c r="BB443" i="2"/>
  <c r="BB439" i="2" s="1"/>
  <c r="BB407" i="2"/>
  <c r="BB214" i="2"/>
  <c r="BB160" i="2"/>
  <c r="BB1017" i="2"/>
  <c r="BB656" i="2"/>
  <c r="BB643" i="2"/>
  <c r="BB542" i="2"/>
  <c r="BB531" i="2"/>
  <c r="BB442" i="2"/>
  <c r="BB432" i="2"/>
  <c r="BB405" i="2"/>
  <c r="BB168" i="2"/>
  <c r="BB167" i="2" s="1"/>
  <c r="BB1278" i="2"/>
  <c r="BB1108" i="2"/>
  <c r="BB1109" i="2" s="1"/>
  <c r="BB1037" i="2"/>
  <c r="BB712" i="2"/>
  <c r="BB389" i="2"/>
  <c r="BB187" i="2"/>
  <c r="BB169" i="2" s="1"/>
  <c r="BB144" i="2"/>
  <c r="BB81" i="2"/>
  <c r="BB714" i="2"/>
  <c r="BB300" i="2"/>
  <c r="BB297" i="2" s="1"/>
  <c r="BB288" i="2"/>
  <c r="BB1120" i="2"/>
  <c r="BB1121" i="2" s="1"/>
  <c r="BB1033" i="2"/>
  <c r="BB1013" i="2"/>
  <c r="BB1014" i="2" s="1"/>
  <c r="BB428" i="2"/>
  <c r="BB287" i="2"/>
  <c r="BB185" i="2"/>
  <c r="BB39" i="2"/>
  <c r="BB27" i="2" s="1"/>
  <c r="BB26" i="2"/>
  <c r="BB25" i="2" s="1"/>
  <c r="BB1335" i="2"/>
  <c r="BB1279" i="2"/>
  <c r="BB1150" i="2"/>
  <c r="BB1151" i="2" s="1"/>
  <c r="BB1028" i="2"/>
  <c r="BB438" i="2"/>
  <c r="BB437" i="2" s="1"/>
  <c r="BB296" i="2"/>
  <c r="BB7" i="2"/>
  <c r="BB682" i="2"/>
  <c r="BB291" i="2"/>
  <c r="BB143" i="2"/>
  <c r="BB623" i="2"/>
  <c r="BB624" i="2" s="1"/>
  <c r="BB212" i="2"/>
  <c r="BB19" i="2"/>
  <c r="BB1201" i="2"/>
  <c r="BB1202" i="2" s="1"/>
  <c r="BB557" i="2"/>
  <c r="BB162" i="2"/>
  <c r="BB78" i="2"/>
  <c r="BB36" i="2"/>
  <c r="BB1220" i="2"/>
  <c r="BB1221" i="2" s="1"/>
  <c r="BB1275" i="2"/>
  <c r="BB1136" i="2"/>
  <c r="BB431" i="2"/>
  <c r="BB391" i="2"/>
  <c r="BB1178" i="2"/>
  <c r="BB197" i="4" s="1"/>
  <c r="BB1026" i="2"/>
  <c r="BB1273" i="2"/>
  <c r="BB1012" i="2"/>
  <c r="BB1011" i="2" s="1"/>
  <c r="BB688" i="2"/>
  <c r="BB427" i="2"/>
  <c r="BB17" i="2"/>
  <c r="BB1146" i="2"/>
  <c r="BB1147" i="2" s="1"/>
  <c r="BB8" i="2"/>
  <c r="BB150" i="2"/>
  <c r="BB175" i="2"/>
  <c r="BB1208" i="2"/>
  <c r="BB1209" i="2" s="1"/>
  <c r="BB91" i="1"/>
  <c r="AS116" i="10"/>
  <c r="BA9" i="2"/>
  <c r="BA298" i="2"/>
  <c r="AY412" i="2"/>
  <c r="AV1118" i="2"/>
  <c r="AW618" i="2"/>
  <c r="AW619" i="2" s="1"/>
  <c r="AU110" i="10"/>
  <c r="AU108" i="10" s="1"/>
  <c r="AV105" i="10" s="1"/>
  <c r="BB199" i="4"/>
  <c r="BB189" i="4"/>
  <c r="BB332" i="4"/>
  <c r="BB293" i="4"/>
  <c r="BB178" i="4"/>
  <c r="BB169" i="4"/>
  <c r="BB384" i="4"/>
  <c r="BB321" i="4"/>
  <c r="BB283" i="4"/>
  <c r="BB273" i="4"/>
  <c r="BB370" i="4"/>
  <c r="BB412" i="4"/>
  <c r="BB342" i="4"/>
  <c r="BB194" i="4"/>
  <c r="AY30" i="2"/>
  <c r="AZ30" i="2" s="1"/>
  <c r="BA677" i="2"/>
  <c r="BA667" i="2"/>
  <c r="BA671" i="2"/>
  <c r="BA662" i="2" s="1"/>
  <c r="BA170" i="2"/>
  <c r="AW418" i="2"/>
  <c r="AY467" i="4"/>
  <c r="AY440" i="4"/>
  <c r="AY502" i="4"/>
  <c r="BB1092" i="2"/>
  <c r="BA707" i="2"/>
  <c r="BA701" i="2"/>
  <c r="BA691" i="2" s="1"/>
  <c r="BA720" i="2"/>
  <c r="BA721" i="2"/>
  <c r="BA1280" i="2"/>
  <c r="BA1282" i="2" s="1"/>
  <c r="BA647" i="2"/>
  <c r="BA650" i="2" s="1"/>
  <c r="BA649" i="2"/>
  <c r="BA648" i="2"/>
  <c r="BA28" i="2"/>
  <c r="AY10" i="2"/>
  <c r="AY11" i="2"/>
  <c r="BB65" i="10"/>
  <c r="BB133" i="10"/>
  <c r="BB136" i="10"/>
  <c r="BB188" i="4" s="1"/>
  <c r="BB135" i="10"/>
  <c r="BB97" i="10"/>
  <c r="BB176" i="4" s="1"/>
  <c r="BB93" i="10"/>
  <c r="BB168" i="4" s="1"/>
  <c r="BB70" i="10"/>
  <c r="BB71" i="10" s="1"/>
  <c r="BB72" i="10" s="1"/>
  <c r="AZ727" i="2"/>
  <c r="AZ723" i="2" s="1"/>
  <c r="AZ730" i="2" s="1"/>
  <c r="AZ724" i="2"/>
  <c r="AZ725" i="2" s="1"/>
  <c r="AW497" i="4"/>
  <c r="AZ302" i="2"/>
  <c r="AZ303" i="2" s="1"/>
  <c r="AY29" i="2"/>
  <c r="AZ197" i="2"/>
  <c r="AZ194" i="2"/>
  <c r="AV593" i="2"/>
  <c r="AV594" i="2" s="1"/>
  <c r="AV615" i="2"/>
  <c r="AV186" i="4" s="1"/>
  <c r="AZ652" i="2"/>
  <c r="BA145" i="2"/>
  <c r="BA665" i="2"/>
  <c r="BA666" i="2"/>
  <c r="BA429" i="2"/>
  <c r="BA434" i="2" s="1"/>
  <c r="AZ171" i="2"/>
  <c r="AZ173" i="2"/>
  <c r="AZ673" i="2"/>
  <c r="AZ674" i="2" s="1"/>
  <c r="AZ672" i="2"/>
  <c r="AZ668" i="2" s="1"/>
  <c r="AZ678" i="2" s="1"/>
  <c r="AZ669" i="2"/>
  <c r="AZ670" i="2" s="1"/>
  <c r="AX399" i="2"/>
  <c r="AX393" i="2"/>
  <c r="AX410" i="2"/>
  <c r="AX138" i="4"/>
  <c r="AX144" i="4" s="1"/>
  <c r="AX990" i="2"/>
  <c r="AY991" i="2"/>
  <c r="AY1305" i="2" s="1"/>
  <c r="AY949" i="2"/>
  <c r="AW324" i="4"/>
  <c r="AW277" i="4"/>
  <c r="AW374" i="4"/>
  <c r="AW1184" i="2"/>
  <c r="AW1264" i="2"/>
  <c r="AZ703" i="2"/>
  <c r="AZ704" i="2" s="1"/>
  <c r="AZ702" i="2"/>
  <c r="AZ698" i="2" s="1"/>
  <c r="AZ708" i="2" s="1"/>
  <c r="AZ699" i="2"/>
  <c r="AZ700" i="2" s="1"/>
  <c r="AB79" i="10"/>
  <c r="BB146" i="1"/>
  <c r="BB59" i="1"/>
  <c r="BB120" i="1"/>
  <c r="BB45" i="1"/>
  <c r="BB44" i="1"/>
  <c r="BB53" i="1"/>
  <c r="BB131" i="1"/>
  <c r="BB123" i="1"/>
  <c r="BB140" i="1"/>
  <c r="AZ440" i="4"/>
  <c r="AZ467" i="4"/>
  <c r="AZ502" i="4"/>
  <c r="AY177" i="4"/>
  <c r="AX430" i="4"/>
  <c r="AX484" i="4"/>
  <c r="AX457" i="4"/>
  <c r="AX414" i="2"/>
  <c r="AX617" i="2" s="1"/>
  <c r="AX200" i="2"/>
  <c r="AX198" i="2"/>
  <c r="BA1039" i="2"/>
  <c r="BA1038" i="2"/>
  <c r="BA729" i="2"/>
  <c r="BA722" i="2"/>
  <c r="BA726" i="2"/>
  <c r="BA717" i="2" s="1"/>
  <c r="AT162" i="4"/>
  <c r="AZ146" i="2"/>
  <c r="AZ148" i="2"/>
  <c r="G60" i="7" l="1"/>
  <c r="G8" i="7"/>
  <c r="G45" i="7"/>
  <c r="G53" i="7"/>
  <c r="G213" i="7"/>
  <c r="G49" i="7"/>
  <c r="BA508" i="2"/>
  <c r="BA56" i="4"/>
  <c r="BB503" i="2"/>
  <c r="BB56" i="4" s="1"/>
  <c r="BA966" i="2"/>
  <c r="BA967" i="2"/>
  <c r="BA498" i="2"/>
  <c r="BA55" i="4"/>
  <c r="BB493" i="2"/>
  <c r="BB55" i="4" s="1"/>
  <c r="BA970" i="2"/>
  <c r="BA963" i="2" s="1"/>
  <c r="BA139" i="4" s="1"/>
  <c r="AZ971" i="2"/>
  <c r="BA977" i="2"/>
  <c r="AY996" i="2"/>
  <c r="BA395" i="2"/>
  <c r="BB411" i="2"/>
  <c r="BB318" i="2"/>
  <c r="AZ396" i="2"/>
  <c r="AZ394" i="2" s="1"/>
  <c r="AZ388" i="2"/>
  <c r="AZ386" i="2" s="1"/>
  <c r="BA387" i="2"/>
  <c r="BA350" i="2"/>
  <c r="BA351" i="2" s="1"/>
  <c r="BA39" i="4" s="1"/>
  <c r="BB346" i="2"/>
  <c r="AV419" i="2"/>
  <c r="AV1323" i="2" s="1"/>
  <c r="AV464" i="4" s="1"/>
  <c r="BA341" i="2"/>
  <c r="BA342" i="2" s="1"/>
  <c r="BA38" i="4" s="1"/>
  <c r="BB337" i="2"/>
  <c r="BB328" i="2"/>
  <c r="BA332" i="2"/>
  <c r="BA333" i="2" s="1"/>
  <c r="BA37" i="4" s="1"/>
  <c r="AL1218" i="2"/>
  <c r="BB309" i="2"/>
  <c r="AX202" i="2"/>
  <c r="AX276" i="2" s="1"/>
  <c r="AX592" i="2" s="1"/>
  <c r="AV217" i="2"/>
  <c r="AU208" i="2" s="1"/>
  <c r="AV216" i="2"/>
  <c r="BB378" i="2"/>
  <c r="AU206" i="2"/>
  <c r="AU205" i="2"/>
  <c r="BB107" i="2"/>
  <c r="BB87" i="2"/>
  <c r="AY129" i="2"/>
  <c r="AZ128" i="2"/>
  <c r="AZ471" i="2" s="1"/>
  <c r="AX129" i="2"/>
  <c r="AX131" i="2" s="1"/>
  <c r="AY130" i="2"/>
  <c r="AY1291" i="2" s="1"/>
  <c r="AW574" i="2"/>
  <c r="AW575" i="2" s="1"/>
  <c r="AW576" i="2" s="1"/>
  <c r="AY219" i="2"/>
  <c r="AY221" i="2" s="1"/>
  <c r="AY517" i="2"/>
  <c r="BB67" i="2"/>
  <c r="V462" i="4"/>
  <c r="V490" i="4"/>
  <c r="AX239" i="4"/>
  <c r="BB69" i="2"/>
  <c r="W1337" i="2"/>
  <c r="W1325" i="2" s="1"/>
  <c r="W1326" i="2" s="1"/>
  <c r="W493" i="4" s="1"/>
  <c r="AZ142" i="4"/>
  <c r="U490" i="4"/>
  <c r="U462" i="4"/>
  <c r="U435" i="4"/>
  <c r="AW775" i="2"/>
  <c r="AW995" i="2" s="1"/>
  <c r="AZ34" i="1"/>
  <c r="AZ408" i="4" s="1"/>
  <c r="Y492" i="4"/>
  <c r="Y1330" i="2"/>
  <c r="X1336" i="2"/>
  <c r="X1333" i="2"/>
  <c r="Y1331" i="2" s="1"/>
  <c r="Y1332" i="2" s="1"/>
  <c r="BA962" i="2"/>
  <c r="AB881" i="2"/>
  <c r="AB972" i="2" s="1"/>
  <c r="AA107" i="4"/>
  <c r="AA240" i="4" s="1"/>
  <c r="AA65" i="4"/>
  <c r="Z103" i="4"/>
  <c r="Z104" i="4" s="1"/>
  <c r="Z495" i="4"/>
  <c r="Z1314" i="2"/>
  <c r="Z1315" i="2" s="1"/>
  <c r="AZ220" i="4"/>
  <c r="BA219" i="4"/>
  <c r="AB936" i="2"/>
  <c r="AB982" i="2"/>
  <c r="BA29" i="1"/>
  <c r="BA34" i="1" s="1"/>
  <c r="BA27" i="1"/>
  <c r="BA28" i="1"/>
  <c r="BB26" i="1"/>
  <c r="AA958" i="2"/>
  <c r="AB770" i="2"/>
  <c r="AY317" i="4"/>
  <c r="AY159" i="4"/>
  <c r="AY638" i="2"/>
  <c r="AY570" i="2"/>
  <c r="AY1" i="1"/>
  <c r="AY366" i="4"/>
  <c r="AY25" i="4"/>
  <c r="AY1056" i="2"/>
  <c r="AY90" i="10"/>
  <c r="AY14" i="1"/>
  <c r="AY55" i="10"/>
  <c r="AY205" i="4"/>
  <c r="AY124" i="4"/>
  <c r="AY1" i="2"/>
  <c r="AY1269" i="2"/>
  <c r="AY1" i="10"/>
  <c r="AY91" i="4"/>
  <c r="AY1" i="4"/>
  <c r="AY140" i="2"/>
  <c r="AY284" i="2"/>
  <c r="AY113" i="1"/>
  <c r="AY423" i="2"/>
  <c r="AY408" i="4"/>
  <c r="AY233" i="4"/>
  <c r="AY1168" i="2"/>
  <c r="AY1142" i="2"/>
  <c r="AY68" i="1"/>
  <c r="AY69" i="4"/>
  <c r="AY269" i="4"/>
  <c r="AY4" i="2"/>
  <c r="AY4" i="5"/>
  <c r="AY102" i="10"/>
  <c r="AY4" i="4"/>
  <c r="AY1189" i="2"/>
  <c r="AY1" i="5"/>
  <c r="AY14" i="4"/>
  <c r="AY1000" i="2"/>
  <c r="AY1096" i="2"/>
  <c r="AY38" i="1"/>
  <c r="AB878" i="2"/>
  <c r="AB969" i="2" s="1"/>
  <c r="BA955" i="2"/>
  <c r="AA174" i="4"/>
  <c r="AA1318" i="2"/>
  <c r="AA954" i="2"/>
  <c r="AB766" i="2"/>
  <c r="BA951" i="2"/>
  <c r="BA952" i="2"/>
  <c r="AZ956" i="2"/>
  <c r="BA848" i="2"/>
  <c r="BA849" i="2" s="1"/>
  <c r="BA847" i="2"/>
  <c r="BA843" i="2" s="1"/>
  <c r="BA853" i="2" s="1"/>
  <c r="BA844" i="2"/>
  <c r="BA845" i="2" s="1"/>
  <c r="BB840" i="2"/>
  <c r="BB841" i="2"/>
  <c r="BB852" i="2"/>
  <c r="BB842" i="2"/>
  <c r="BB846" i="2"/>
  <c r="BB837" i="2" s="1"/>
  <c r="BB78" i="4" s="1"/>
  <c r="AZ765" i="2"/>
  <c r="BA822" i="2"/>
  <c r="BA823" i="2" s="1"/>
  <c r="BA821" i="2"/>
  <c r="BA817" i="2" s="1"/>
  <c r="BA827" i="2" s="1"/>
  <c r="BA818" i="2"/>
  <c r="BA819" i="2" s="1"/>
  <c r="BA759" i="2"/>
  <c r="BA75" i="4" s="1"/>
  <c r="AX296" i="7" s="1"/>
  <c r="BB814" i="2"/>
  <c r="BB815" i="2"/>
  <c r="BB826" i="2"/>
  <c r="BB816" i="2"/>
  <c r="BB820" i="2"/>
  <c r="BB811" i="2" s="1"/>
  <c r="BB77" i="4" s="1"/>
  <c r="BB366" i="2"/>
  <c r="BA796" i="2"/>
  <c r="BA797" i="2" s="1"/>
  <c r="BA795" i="2"/>
  <c r="BA791" i="2" s="1"/>
  <c r="BA801" i="2" s="1"/>
  <c r="BA792" i="2"/>
  <c r="BA793" i="2" s="1"/>
  <c r="BA110" i="2"/>
  <c r="BA10" i="4" s="1"/>
  <c r="BB788" i="2"/>
  <c r="BB789" i="2"/>
  <c r="BB800" i="2"/>
  <c r="BB790" i="2"/>
  <c r="BB794" i="2"/>
  <c r="BB785" i="2" s="1"/>
  <c r="BB76" i="4" s="1"/>
  <c r="BB89" i="2"/>
  <c r="BB774" i="2"/>
  <c r="BB764" i="2"/>
  <c r="BB768" i="2"/>
  <c r="BA769" i="2"/>
  <c r="BB762" i="2"/>
  <c r="BB763" i="2"/>
  <c r="BB109" i="2"/>
  <c r="BA90" i="2"/>
  <c r="BA9" i="4" s="1"/>
  <c r="AZ103" i="2"/>
  <c r="AZ104" i="2" s="1"/>
  <c r="AX72" i="2"/>
  <c r="AY72" i="2" s="1"/>
  <c r="AZ123" i="2"/>
  <c r="AZ124" i="2" s="1"/>
  <c r="AY52" i="2"/>
  <c r="AX431" i="4"/>
  <c r="AY51" i="2"/>
  <c r="AV576" i="2"/>
  <c r="AY243" i="2"/>
  <c r="AZ627" i="2"/>
  <c r="AZ626" i="2" s="1"/>
  <c r="AZ184" i="4" s="1"/>
  <c r="BA746" i="2"/>
  <c r="AY91" i="2"/>
  <c r="BA7" i="4"/>
  <c r="AU572" i="2"/>
  <c r="AU162" i="4" s="1"/>
  <c r="AU260" i="4" s="1"/>
  <c r="AZ64" i="2"/>
  <c r="AX458" i="4"/>
  <c r="AY473" i="2"/>
  <c r="AY527" i="2" s="1"/>
  <c r="BA63" i="2"/>
  <c r="BB50" i="2"/>
  <c r="AX92" i="2"/>
  <c r="AY92" i="2" s="1"/>
  <c r="AT238" i="4"/>
  <c r="AU238" i="4"/>
  <c r="AV237" i="4"/>
  <c r="AT27" i="4"/>
  <c r="AU102" i="4"/>
  <c r="BB741" i="2"/>
  <c r="BB744" i="2" s="1"/>
  <c r="BB946" i="2" s="1"/>
  <c r="BB172" i="4" s="1"/>
  <c r="AV48" i="4"/>
  <c r="AV238" i="4" s="1"/>
  <c r="AW97" i="4"/>
  <c r="AW94" i="4" s="1"/>
  <c r="AY100" i="4"/>
  <c r="AY96" i="4"/>
  <c r="AY32" i="4"/>
  <c r="AY239" i="4" s="1"/>
  <c r="AJ1253" i="2"/>
  <c r="AJ1248" i="2" s="1"/>
  <c r="AI1253" i="2"/>
  <c r="AI192" i="4" s="1"/>
  <c r="AH1257" i="2"/>
  <c r="AI1242" i="2"/>
  <c r="AK1233" i="2"/>
  <c r="AJ1252" i="2"/>
  <c r="AJ130" i="4" s="1"/>
  <c r="AI373" i="4"/>
  <c r="AI212" i="4"/>
  <c r="AI276" i="4"/>
  <c r="BB742" i="2"/>
  <c r="BB944" i="2" s="1"/>
  <c r="AZ1299" i="2"/>
  <c r="BA928" i="2"/>
  <c r="BA85" i="4" s="1"/>
  <c r="AX306" i="7" s="1"/>
  <c r="BA984" i="2"/>
  <c r="BA978" i="2" s="1"/>
  <c r="BA140" i="4" s="1"/>
  <c r="AZ934" i="2"/>
  <c r="AZ941" i="2" s="1"/>
  <c r="AZ985" i="2"/>
  <c r="BA911" i="2"/>
  <c r="BA912" i="2" s="1"/>
  <c r="BA910" i="2"/>
  <c r="BA906" i="2" s="1"/>
  <c r="BA916" i="2" s="1"/>
  <c r="BA907" i="2"/>
  <c r="BA908" i="2" s="1"/>
  <c r="BB902" i="2"/>
  <c r="BB905" i="2"/>
  <c r="BB904" i="2"/>
  <c r="BB915" i="2"/>
  <c r="BB909" i="2"/>
  <c r="BB899" i="2" s="1"/>
  <c r="BB82" i="4" s="1"/>
  <c r="BB940" i="2"/>
  <c r="BB988" i="2" s="1"/>
  <c r="BB933" i="2"/>
  <c r="BB981" i="2" s="1"/>
  <c r="BB937" i="2"/>
  <c r="BB931" i="2"/>
  <c r="BB932" i="2"/>
  <c r="BB980" i="2" s="1"/>
  <c r="BA938" i="2"/>
  <c r="AZ876" i="2"/>
  <c r="AZ886" i="2" s="1"/>
  <c r="BA869" i="2"/>
  <c r="BA81" i="4" s="1"/>
  <c r="AX302" i="7" s="1"/>
  <c r="BB872" i="2"/>
  <c r="BB874" i="2"/>
  <c r="BB966" i="2" s="1"/>
  <c r="BB875" i="2"/>
  <c r="BB885" i="2"/>
  <c r="BB879" i="2"/>
  <c r="BA880" i="2"/>
  <c r="AV559" i="2"/>
  <c r="AV552" i="2"/>
  <c r="AV566" i="2" s="1"/>
  <c r="AV560" i="2"/>
  <c r="AU562" i="2"/>
  <c r="AU564" i="2" s="1"/>
  <c r="AX519" i="2"/>
  <c r="AW524" i="2"/>
  <c r="AW554" i="2" s="1"/>
  <c r="AW1302" i="2" s="1"/>
  <c r="AW61" i="4"/>
  <c r="AW60" i="4" s="1"/>
  <c r="AW102" i="4" s="1"/>
  <c r="AW553" i="2"/>
  <c r="AW565" i="2" s="1"/>
  <c r="AU584" i="2"/>
  <c r="AU166" i="4" s="1"/>
  <c r="AU262" i="4" s="1"/>
  <c r="AX478" i="2"/>
  <c r="AX528" i="2" s="1"/>
  <c r="AX53" i="4"/>
  <c r="AX50" i="4" s="1"/>
  <c r="AW534" i="2"/>
  <c r="AW526" i="2"/>
  <c r="AV536" i="2"/>
  <c r="AV538" i="2" s="1"/>
  <c r="AR612" i="2"/>
  <c r="AR609" i="2" s="1"/>
  <c r="AR163" i="4" s="1"/>
  <c r="AV29" i="4"/>
  <c r="AR258" i="2"/>
  <c r="AR273" i="2" s="1"/>
  <c r="AR280" i="2" s="1"/>
  <c r="AS270" i="2"/>
  <c r="AS1301" i="2"/>
  <c r="AV252" i="2"/>
  <c r="AV30" i="4" s="1"/>
  <c r="AV94" i="4"/>
  <c r="AV241" i="2"/>
  <c r="AV230" i="2" s="1"/>
  <c r="AT269" i="2"/>
  <c r="AQ127" i="4"/>
  <c r="AQ280" i="2"/>
  <c r="AS256" i="2"/>
  <c r="AS258" i="2" s="1"/>
  <c r="AQ612" i="2"/>
  <c r="AQ613" i="2" s="1"/>
  <c r="AT272" i="2"/>
  <c r="AT607" i="2" s="1"/>
  <c r="AT254" i="2"/>
  <c r="AT278" i="2" s="1"/>
  <c r="AT604" i="2" s="1"/>
  <c r="AT605" i="2" s="1"/>
  <c r="AT602" i="2" s="1"/>
  <c r="AT183" i="4" s="1"/>
  <c r="AX245" i="2"/>
  <c r="AX268" i="2" s="1"/>
  <c r="AX95" i="4" s="1"/>
  <c r="AX237" i="4" s="1"/>
  <c r="AT432" i="4"/>
  <c r="AV275" i="2"/>
  <c r="AV586" i="2" s="1"/>
  <c r="AV587" i="2" s="1"/>
  <c r="AW248" i="2"/>
  <c r="AW277" i="2" s="1"/>
  <c r="AW246" i="2"/>
  <c r="AT486" i="4"/>
  <c r="AU264" i="2"/>
  <c r="AU274" i="2" s="1"/>
  <c r="AU1292" i="2" s="1"/>
  <c r="AU459" i="4" s="1"/>
  <c r="AU30" i="4"/>
  <c r="AU27" i="4" s="1"/>
  <c r="AU265" i="2"/>
  <c r="AU254" i="2" s="1"/>
  <c r="AW228" i="2"/>
  <c r="AW29" i="4" s="1"/>
  <c r="AX224" i="2"/>
  <c r="AX222" i="2"/>
  <c r="AS234" i="2"/>
  <c r="AS602" i="2"/>
  <c r="AS183" i="4" s="1"/>
  <c r="BA488" i="2"/>
  <c r="BA54" i="4"/>
  <c r="AW204" i="2"/>
  <c r="BA468" i="2"/>
  <c r="BA52" i="4"/>
  <c r="BB463" i="2"/>
  <c r="BA458" i="2"/>
  <c r="BA51" i="4"/>
  <c r="AY529" i="2"/>
  <c r="BB453" i="2"/>
  <c r="AZ402" i="2"/>
  <c r="AZ409" i="2" s="1"/>
  <c r="AZ384" i="2"/>
  <c r="AZ46" i="4" s="1"/>
  <c r="AZ45" i="4" s="1"/>
  <c r="AZ8" i="4"/>
  <c r="AW419" i="2"/>
  <c r="AW1323" i="2" s="1"/>
  <c r="AW496" i="4" s="1"/>
  <c r="AY196" i="2"/>
  <c r="AY413" i="2"/>
  <c r="AY416" i="2" s="1"/>
  <c r="AY1322" i="2" s="1"/>
  <c r="AT596" i="2"/>
  <c r="AT164" i="4" s="1"/>
  <c r="AT261" i="4" s="1"/>
  <c r="AW397" i="2"/>
  <c r="AV401" i="2"/>
  <c r="AV598" i="2"/>
  <c r="AU599" i="2"/>
  <c r="AX416" i="2"/>
  <c r="AX1322" i="2" s="1"/>
  <c r="AS261" i="4"/>
  <c r="BA323" i="2"/>
  <c r="BA324" i="2" s="1"/>
  <c r="BA36" i="4" s="1"/>
  <c r="AY394" i="2"/>
  <c r="AY410" i="2" s="1"/>
  <c r="AZ315" i="2"/>
  <c r="AZ35" i="4" s="1"/>
  <c r="AZ34" i="4" s="1"/>
  <c r="BA314" i="2"/>
  <c r="BA70" i="2"/>
  <c r="BA83" i="2" s="1"/>
  <c r="AZ83" i="2"/>
  <c r="AZ84" i="2" s="1"/>
  <c r="BA383" i="2"/>
  <c r="BA404" i="2" s="1"/>
  <c r="BA371" i="2"/>
  <c r="BA372" i="2" s="1"/>
  <c r="BA43" i="4" s="1"/>
  <c r="AZ363" i="2"/>
  <c r="AZ42" i="4" s="1"/>
  <c r="AZ41" i="4" s="1"/>
  <c r="BA362" i="2"/>
  <c r="BB358" i="2"/>
  <c r="BA503" i="4"/>
  <c r="AV109" i="10"/>
  <c r="AV110" i="10" s="1"/>
  <c r="AV108" i="10" s="1"/>
  <c r="AW105" i="10" s="1"/>
  <c r="AQ1200" i="2"/>
  <c r="AR1199" i="2" s="1"/>
  <c r="AT260" i="4"/>
  <c r="AR1106" i="2"/>
  <c r="AR1107" i="2" s="1"/>
  <c r="AR1105" i="2" s="1"/>
  <c r="AY112" i="2"/>
  <c r="AW183" i="2"/>
  <c r="AX178" i="2"/>
  <c r="AV572" i="2"/>
  <c r="AV162" i="4" s="1"/>
  <c r="AX179" i="2"/>
  <c r="AX1310" i="2"/>
  <c r="AX153" i="2"/>
  <c r="AY164" i="2"/>
  <c r="AW156" i="2"/>
  <c r="AW158" i="2" s="1"/>
  <c r="AY190" i="2"/>
  <c r="AY178" i="2" s="1"/>
  <c r="AT210" i="2"/>
  <c r="AZ152" i="2"/>
  <c r="AZ164" i="2" s="1"/>
  <c r="AY71" i="2"/>
  <c r="AV590" i="2"/>
  <c r="AV165" i="4" s="1"/>
  <c r="AZ177" i="2"/>
  <c r="AC77" i="10"/>
  <c r="AC78" i="10" s="1"/>
  <c r="AY138" i="4"/>
  <c r="AY144" i="4" s="1"/>
  <c r="AY990" i="2"/>
  <c r="AX128" i="4"/>
  <c r="AV1119" i="2"/>
  <c r="AV1117" i="2" s="1"/>
  <c r="BB429" i="2"/>
  <c r="BB434" i="2" s="1"/>
  <c r="BB440" i="2"/>
  <c r="BB445" i="2" s="1"/>
  <c r="BB647" i="2"/>
  <c r="BB650" i="2" s="1"/>
  <c r="BB648" i="2"/>
  <c r="BB649" i="2"/>
  <c r="AE86" i="10"/>
  <c r="AZ539" i="2"/>
  <c r="AZ546" i="2"/>
  <c r="AY549" i="2"/>
  <c r="AY551" i="2" s="1"/>
  <c r="AZ547" i="2"/>
  <c r="BA41" i="2"/>
  <c r="BA42" i="2" s="1"/>
  <c r="AZ991" i="2"/>
  <c r="AZ1305" i="2" s="1"/>
  <c r="AZ949" i="2"/>
  <c r="AY393" i="2"/>
  <c r="BB665" i="2"/>
  <c r="BB666" i="2"/>
  <c r="BB1274" i="2"/>
  <c r="BB1276" i="2" s="1"/>
  <c r="BA703" i="2"/>
  <c r="BA704" i="2" s="1"/>
  <c r="BA702" i="2"/>
  <c r="BA698" i="2" s="1"/>
  <c r="BA708" i="2" s="1"/>
  <c r="BA699" i="2"/>
  <c r="BA700" i="2" s="1"/>
  <c r="AY399" i="2"/>
  <c r="AX418" i="2"/>
  <c r="AW593" i="2"/>
  <c r="AY1307" i="2"/>
  <c r="BA652" i="2"/>
  <c r="AY484" i="4"/>
  <c r="AY430" i="4"/>
  <c r="AY457" i="4"/>
  <c r="AY414" i="2"/>
  <c r="AY617" i="2" s="1"/>
  <c r="BB707" i="2"/>
  <c r="BB701" i="2"/>
  <c r="BB691" i="2" s="1"/>
  <c r="BB694" i="2"/>
  <c r="BB696" i="2"/>
  <c r="BB697" i="2"/>
  <c r="AX374" i="4"/>
  <c r="AX277" i="4"/>
  <c r="AX324" i="4"/>
  <c r="AX1184" i="2"/>
  <c r="AX1264" i="2"/>
  <c r="BA194" i="2"/>
  <c r="BA197" i="2"/>
  <c r="BA302" i="2"/>
  <c r="BA303" i="2" s="1"/>
  <c r="BB28" i="2"/>
  <c r="BB720" i="2"/>
  <c r="BB721" i="2"/>
  <c r="AX618" i="2"/>
  <c r="AX619" i="2" s="1"/>
  <c r="BA21" i="2"/>
  <c r="BB1280" i="2"/>
  <c r="BB1282" i="2" s="1"/>
  <c r="AY154" i="2"/>
  <c r="BB9" i="2"/>
  <c r="BB677" i="2"/>
  <c r="BB667" i="2"/>
  <c r="BB671" i="2"/>
  <c r="BB662" i="2" s="1"/>
  <c r="AZ22" i="2"/>
  <c r="AZ10" i="2" s="1"/>
  <c r="AX156" i="2"/>
  <c r="BA142" i="4"/>
  <c r="AZ177" i="4"/>
  <c r="BA672" i="2"/>
  <c r="BA668" i="2" s="1"/>
  <c r="BA678" i="2" s="1"/>
  <c r="BA673" i="2"/>
  <c r="BA674" i="2" s="1"/>
  <c r="BA669" i="2"/>
  <c r="BA670" i="2" s="1"/>
  <c r="BA727" i="2"/>
  <c r="BA723" i="2" s="1"/>
  <c r="BA730" i="2" s="1"/>
  <c r="BA724" i="2"/>
  <c r="BA725" i="2" s="1"/>
  <c r="AZ412" i="2"/>
  <c r="BA440" i="4"/>
  <c r="BA467" i="4"/>
  <c r="BA502" i="4"/>
  <c r="BA146" i="2"/>
  <c r="BA148" i="2"/>
  <c r="AZ19" i="4"/>
  <c r="AZ18" i="4" s="1"/>
  <c r="AZ196" i="2"/>
  <c r="BA173" i="2"/>
  <c r="BA171" i="2"/>
  <c r="AS117" i="10"/>
  <c r="AS115" i="10" s="1"/>
  <c r="AT112" i="10" s="1"/>
  <c r="BB298" i="2"/>
  <c r="BB289" i="2"/>
  <c r="BB729" i="2"/>
  <c r="BB722" i="2"/>
  <c r="BB726" i="2"/>
  <c r="BB717" i="2" s="1"/>
  <c r="BA293" i="2"/>
  <c r="BA294" i="2" s="1"/>
  <c r="AW615" i="2"/>
  <c r="AW186" i="4" s="1"/>
  <c r="BB629" i="2"/>
  <c r="BB145" i="2"/>
  <c r="BB1039" i="2"/>
  <c r="BB1038" i="2"/>
  <c r="BB170" i="2"/>
  <c r="G147" i="7" l="1"/>
  <c r="AY303" i="7"/>
  <c r="G142" i="7"/>
  <c r="AY298" i="7"/>
  <c r="G141" i="7"/>
  <c r="AY297" i="7"/>
  <c r="G143" i="7"/>
  <c r="AY299" i="7"/>
  <c r="G61" i="7"/>
  <c r="G18" i="7"/>
  <c r="G122" i="7"/>
  <c r="G13" i="7"/>
  <c r="G71" i="7"/>
  <c r="G50" i="7"/>
  <c r="G54" i="7"/>
  <c r="G64" i="7"/>
  <c r="G23" i="7"/>
  <c r="G9" i="7"/>
  <c r="BB310" i="2"/>
  <c r="G37" i="7"/>
  <c r="BD56" i="4"/>
  <c r="G123" i="7"/>
  <c r="BB332" i="2"/>
  <c r="BB333" i="2" s="1"/>
  <c r="G46" i="7"/>
  <c r="BB319" i="2"/>
  <c r="G41" i="7"/>
  <c r="BD55" i="4"/>
  <c r="BD503" i="2"/>
  <c r="BB508" i="2"/>
  <c r="BD508" i="2" s="1"/>
  <c r="BB967" i="2"/>
  <c r="BA971" i="2"/>
  <c r="BB970" i="2"/>
  <c r="BB977" i="2"/>
  <c r="BB498" i="2"/>
  <c r="BD498" i="2" s="1"/>
  <c r="BD493" i="2"/>
  <c r="AZ996" i="2"/>
  <c r="BA396" i="2"/>
  <c r="BA388" i="2"/>
  <c r="BA386" i="2" s="1"/>
  <c r="BA393" i="2" s="1"/>
  <c r="AV205" i="2"/>
  <c r="AV496" i="4"/>
  <c r="AV437" i="4"/>
  <c r="AX204" i="2"/>
  <c r="AX28" i="4" s="1"/>
  <c r="BB350" i="2"/>
  <c r="BD350" i="2" s="1"/>
  <c r="BD346" i="2"/>
  <c r="AY202" i="2"/>
  <c r="AY276" i="2" s="1"/>
  <c r="AY592" i="2" s="1"/>
  <c r="BB341" i="2"/>
  <c r="BD341" i="2" s="1"/>
  <c r="BD337" i="2"/>
  <c r="BD328" i="2"/>
  <c r="AL1219" i="2"/>
  <c r="AL1217" i="2" s="1"/>
  <c r="BB481" i="2"/>
  <c r="BB483" i="2" s="1"/>
  <c r="BB488" i="2" s="1"/>
  <c r="AV206" i="2"/>
  <c r="BB379" i="2"/>
  <c r="AU278" i="2"/>
  <c r="AU604" i="2" s="1"/>
  <c r="AU605" i="2" s="1"/>
  <c r="AU606" i="2" s="1"/>
  <c r="AZ129" i="2"/>
  <c r="AZ130" i="2"/>
  <c r="AZ1291" i="2" s="1"/>
  <c r="AZ458" i="4" s="1"/>
  <c r="AY133" i="2"/>
  <c r="AY574" i="2" s="1"/>
  <c r="AX133" i="2"/>
  <c r="AX574" i="2" s="1"/>
  <c r="BA128" i="2"/>
  <c r="BA471" i="2" s="1"/>
  <c r="AZ517" i="2"/>
  <c r="AZ6" i="4"/>
  <c r="AZ93" i="4" s="1"/>
  <c r="AZ236" i="4" s="1"/>
  <c r="W491" i="4"/>
  <c r="AZ112" i="2"/>
  <c r="AZ92" i="2"/>
  <c r="W1327" i="2"/>
  <c r="AZ269" i="4"/>
  <c r="AZ638" i="2"/>
  <c r="AZ284" i="2"/>
  <c r="AZ1056" i="2"/>
  <c r="AZ1189" i="2"/>
  <c r="AZ1" i="1"/>
  <c r="AX775" i="2"/>
  <c r="AX995" i="2" s="1"/>
  <c r="AZ233" i="4"/>
  <c r="AZ14" i="4"/>
  <c r="AZ1" i="5"/>
  <c r="AZ113" i="1"/>
  <c r="AZ1000" i="2"/>
  <c r="AZ1269" i="2"/>
  <c r="AZ1" i="4"/>
  <c r="AZ159" i="4"/>
  <c r="AZ4" i="5"/>
  <c r="AZ14" i="1"/>
  <c r="AZ1096" i="2"/>
  <c r="AZ68" i="1"/>
  <c r="AZ1168" i="2"/>
  <c r="AZ1" i="10"/>
  <c r="AZ90" i="10"/>
  <c r="AZ1142" i="2"/>
  <c r="AZ423" i="2"/>
  <c r="AZ570" i="2"/>
  <c r="AZ366" i="4"/>
  <c r="AZ91" i="4"/>
  <c r="Y1333" i="2"/>
  <c r="AZ69" i="4"/>
  <c r="AZ205" i="4"/>
  <c r="AZ124" i="4"/>
  <c r="AZ140" i="2"/>
  <c r="AZ1" i="2"/>
  <c r="AZ38" i="1"/>
  <c r="AZ55" i="10"/>
  <c r="AZ25" i="4"/>
  <c r="AZ317" i="4"/>
  <c r="AT116" i="10"/>
  <c r="AZ102" i="10"/>
  <c r="AZ4" i="4"/>
  <c r="AZ4" i="2"/>
  <c r="X1334" i="2"/>
  <c r="Y1336" i="2" s="1"/>
  <c r="Y1334" i="2" s="1"/>
  <c r="X1337" i="2"/>
  <c r="X1325" i="2" s="1"/>
  <c r="BB962" i="2"/>
  <c r="BB29" i="1"/>
  <c r="BB28" i="1"/>
  <c r="BB27" i="1"/>
  <c r="Z463" i="4"/>
  <c r="Z494" i="4"/>
  <c r="Z436" i="4"/>
  <c r="AC877" i="2"/>
  <c r="AC968" i="2" s="1"/>
  <c r="Z247" i="4"/>
  <c r="Z284" i="4"/>
  <c r="Z333" i="4"/>
  <c r="Z109" i="4"/>
  <c r="Z115" i="4" s="1"/>
  <c r="Z207" i="4"/>
  <c r="Z209" i="4" s="1"/>
  <c r="Z256" i="4"/>
  <c r="BA69" i="4"/>
  <c r="BA1" i="4"/>
  <c r="BA140" i="2"/>
  <c r="BA55" i="10"/>
  <c r="BA284" i="2"/>
  <c r="BA1" i="5"/>
  <c r="BA4" i="4"/>
  <c r="BA1056" i="2"/>
  <c r="BA4" i="2"/>
  <c r="BA102" i="10"/>
  <c r="BA4" i="5"/>
  <c r="BA233" i="4"/>
  <c r="BA423" i="2"/>
  <c r="BA1" i="2"/>
  <c r="BA38" i="1"/>
  <c r="BA25" i="4"/>
  <c r="BA1" i="1"/>
  <c r="BA205" i="4"/>
  <c r="BA159" i="4"/>
  <c r="BA1269" i="2"/>
  <c r="BA317" i="4"/>
  <c r="BA1096" i="2"/>
  <c r="BA638" i="2"/>
  <c r="BA1" i="10"/>
  <c r="BA91" i="4"/>
  <c r="BA124" i="4"/>
  <c r="BA1168" i="2"/>
  <c r="BA1000" i="2"/>
  <c r="BA68" i="1"/>
  <c r="BA408" i="4"/>
  <c r="BA14" i="4"/>
  <c r="BA1189" i="2"/>
  <c r="BA1142" i="2"/>
  <c r="BA14" i="1"/>
  <c r="BA366" i="4"/>
  <c r="BA269" i="4"/>
  <c r="BA570" i="2"/>
  <c r="BA90" i="10"/>
  <c r="BA113" i="1"/>
  <c r="AB882" i="2"/>
  <c r="AB973" i="2" s="1"/>
  <c r="AB953" i="2"/>
  <c r="AB63" i="4" s="1"/>
  <c r="AB767" i="2"/>
  <c r="AB983" i="2"/>
  <c r="AB175" i="4" s="1"/>
  <c r="AC935" i="2"/>
  <c r="BB955" i="2"/>
  <c r="AA1316" i="2"/>
  <c r="AA1313" i="2" s="1"/>
  <c r="AA173" i="4"/>
  <c r="AA179" i="4" s="1"/>
  <c r="AA264" i="4" s="1"/>
  <c r="AB957" i="2"/>
  <c r="AB771" i="2"/>
  <c r="BB219" i="4"/>
  <c r="BA220" i="4"/>
  <c r="BA956" i="2"/>
  <c r="BB952" i="2"/>
  <c r="BB951" i="2"/>
  <c r="BB847" i="2"/>
  <c r="BB843" i="2" s="1"/>
  <c r="BB853" i="2" s="1"/>
  <c r="BB848" i="2"/>
  <c r="BB849" i="2" s="1"/>
  <c r="BB844" i="2"/>
  <c r="BB845" i="2" s="1"/>
  <c r="BA765" i="2"/>
  <c r="BB759" i="2"/>
  <c r="BB75" i="4" s="1"/>
  <c r="BB822" i="2"/>
  <c r="BB823" i="2" s="1"/>
  <c r="BB821" i="2"/>
  <c r="BB817" i="2" s="1"/>
  <c r="BB827" i="2" s="1"/>
  <c r="BB818" i="2"/>
  <c r="BB819" i="2" s="1"/>
  <c r="BA123" i="2"/>
  <c r="BA124" i="2" s="1"/>
  <c r="BB367" i="2"/>
  <c r="BA103" i="2"/>
  <c r="BA104" i="2" s="1"/>
  <c r="BA91" i="2" s="1"/>
  <c r="BB795" i="2"/>
  <c r="BB791" i="2" s="1"/>
  <c r="BB801" i="2" s="1"/>
  <c r="BB796" i="2"/>
  <c r="BB797" i="2" s="1"/>
  <c r="BB792" i="2"/>
  <c r="BB793" i="2" s="1"/>
  <c r="BB195" i="2"/>
  <c r="BB194" i="2" s="1"/>
  <c r="BB110" i="2"/>
  <c r="BA627" i="2"/>
  <c r="BA626" i="2" s="1"/>
  <c r="BA184" i="4" s="1"/>
  <c r="BB769" i="2"/>
  <c r="BA1299" i="2"/>
  <c r="AZ243" i="2"/>
  <c r="AZ219" i="2"/>
  <c r="AZ221" i="2" s="1"/>
  <c r="BB90" i="2"/>
  <c r="AY485" i="4"/>
  <c r="AY431" i="4"/>
  <c r="AY131" i="2"/>
  <c r="AY458" i="4"/>
  <c r="AZ51" i="2"/>
  <c r="AZ52" i="2"/>
  <c r="BA64" i="2"/>
  <c r="BB7" i="4"/>
  <c r="BB63" i="2"/>
  <c r="AJ192" i="4"/>
  <c r="AJ208" i="4" s="1"/>
  <c r="AV98" i="4"/>
  <c r="AW48" i="4"/>
  <c r="AW238" i="4" s="1"/>
  <c r="AX97" i="4"/>
  <c r="AX94" i="4" s="1"/>
  <c r="AZ100" i="4"/>
  <c r="AZ96" i="4"/>
  <c r="AZ32" i="4"/>
  <c r="AV27" i="4"/>
  <c r="BB746" i="2"/>
  <c r="AI1259" i="2"/>
  <c r="AI112" i="4" s="1"/>
  <c r="AI1248" i="2"/>
  <c r="AJ212" i="4"/>
  <c r="AJ373" i="4"/>
  <c r="AJ276" i="4"/>
  <c r="AI195" i="4"/>
  <c r="AI222" i="4"/>
  <c r="AI208" i="4"/>
  <c r="AK1251" i="2"/>
  <c r="AK108" i="4" s="1"/>
  <c r="AK1234" i="2"/>
  <c r="AK1252" i="2" s="1"/>
  <c r="AK130" i="4" s="1"/>
  <c r="AI1243" i="2"/>
  <c r="AI1258" i="2"/>
  <c r="AJ1259" i="2"/>
  <c r="AJ112" i="4" s="1"/>
  <c r="AJ241" i="4" s="1"/>
  <c r="BB963" i="2"/>
  <c r="BB139" i="4" s="1"/>
  <c r="BB928" i="2"/>
  <c r="BB85" i="4" s="1"/>
  <c r="BB984" i="2"/>
  <c r="BB978" i="2" s="1"/>
  <c r="BB140" i="4" s="1"/>
  <c r="BB910" i="2"/>
  <c r="BB906" i="2" s="1"/>
  <c r="BB916" i="2" s="1"/>
  <c r="BB911" i="2"/>
  <c r="BB912" i="2" s="1"/>
  <c r="BB907" i="2"/>
  <c r="BB908" i="2" s="1"/>
  <c r="BA934" i="2"/>
  <c r="BA941" i="2" s="1"/>
  <c r="BA985" i="2"/>
  <c r="BB938" i="2"/>
  <c r="BB869" i="2"/>
  <c r="BB81" i="4" s="1"/>
  <c r="BA876" i="2"/>
  <c r="BA886" i="2" s="1"/>
  <c r="BB880" i="2"/>
  <c r="BB971" i="2" s="1"/>
  <c r="AR631" i="2"/>
  <c r="AT256" i="2"/>
  <c r="AT258" i="2" s="1"/>
  <c r="AT273" i="2" s="1"/>
  <c r="AT127" i="4" s="1"/>
  <c r="AY519" i="2"/>
  <c r="AX524" i="2"/>
  <c r="AX554" i="2" s="1"/>
  <c r="AX1302" i="2" s="1"/>
  <c r="AX61" i="4"/>
  <c r="AX60" i="4" s="1"/>
  <c r="AX102" i="4" s="1"/>
  <c r="AX553" i="2"/>
  <c r="AW559" i="2"/>
  <c r="AW560" i="2"/>
  <c r="AW552" i="2"/>
  <c r="AW566" i="2" s="1"/>
  <c r="AV562" i="2"/>
  <c r="AV564" i="2" s="1"/>
  <c r="AW536" i="2"/>
  <c r="AW538" i="2" s="1"/>
  <c r="AX526" i="2"/>
  <c r="AX534" i="2"/>
  <c r="AX533" i="2"/>
  <c r="AZ473" i="2"/>
  <c r="AZ527" i="2" s="1"/>
  <c r="AY53" i="4"/>
  <c r="AY50" i="4" s="1"/>
  <c r="AY533" i="2"/>
  <c r="AY478" i="2"/>
  <c r="AY528" i="2" s="1"/>
  <c r="AR127" i="4"/>
  <c r="AV271" i="2"/>
  <c r="AV264" i="2"/>
  <c r="AV274" i="2" s="1"/>
  <c r="AV1292" i="2" s="1"/>
  <c r="AV459" i="4" s="1"/>
  <c r="AU486" i="4"/>
  <c r="AU232" i="2"/>
  <c r="AU234" i="2" s="1"/>
  <c r="AV265" i="2"/>
  <c r="AV253" i="2" s="1"/>
  <c r="AS273" i="2"/>
  <c r="AS127" i="4" s="1"/>
  <c r="AR613" i="2"/>
  <c r="AW240" i="2"/>
  <c r="AW241" i="2"/>
  <c r="AW229" i="2" s="1"/>
  <c r="AS279" i="2"/>
  <c r="AS611" i="2" s="1"/>
  <c r="AS612" i="2" s="1"/>
  <c r="AS613" i="2" s="1"/>
  <c r="AV229" i="2"/>
  <c r="AT606" i="2"/>
  <c r="AW252" i="2"/>
  <c r="AW271" i="2" s="1"/>
  <c r="AT270" i="2"/>
  <c r="AT1301" i="2"/>
  <c r="AQ609" i="2"/>
  <c r="AU253" i="2"/>
  <c r="AU272" i="2" s="1"/>
  <c r="AU607" i="2" s="1"/>
  <c r="AU269" i="2"/>
  <c r="AV584" i="2"/>
  <c r="AV166" i="4" s="1"/>
  <c r="AV262" i="4" s="1"/>
  <c r="AV588" i="2"/>
  <c r="AU432" i="4"/>
  <c r="AY245" i="2"/>
  <c r="AY268" i="2" s="1"/>
  <c r="AY95" i="4" s="1"/>
  <c r="AW275" i="2"/>
  <c r="AW586" i="2" s="1"/>
  <c r="AW587" i="2" s="1"/>
  <c r="AX248" i="2"/>
  <c r="AX246" i="2"/>
  <c r="AX275" i="2" s="1"/>
  <c r="AX586" i="2" s="1"/>
  <c r="AX228" i="2"/>
  <c r="AX29" i="4" s="1"/>
  <c r="AY224" i="2"/>
  <c r="AY222" i="2"/>
  <c r="AY198" i="2"/>
  <c r="AW217" i="2"/>
  <c r="AW216" i="2"/>
  <c r="AW28" i="4"/>
  <c r="BB468" i="2"/>
  <c r="BB52" i="4"/>
  <c r="BB458" i="2"/>
  <c r="BB51" i="4"/>
  <c r="AZ529" i="2"/>
  <c r="AY200" i="2"/>
  <c r="BA402" i="2"/>
  <c r="BA409" i="2" s="1"/>
  <c r="BA384" i="2"/>
  <c r="BA46" i="4" s="1"/>
  <c r="BA45" i="4" s="1"/>
  <c r="AY1321" i="2"/>
  <c r="AY497" i="4" s="1"/>
  <c r="AW437" i="4"/>
  <c r="AW464" i="4"/>
  <c r="AY419" i="2"/>
  <c r="AY1323" i="2" s="1"/>
  <c r="AY464" i="4" s="1"/>
  <c r="BA8" i="4"/>
  <c r="AX419" i="2"/>
  <c r="AX1323" i="2" s="1"/>
  <c r="AX496" i="4" s="1"/>
  <c r="AU600" i="2"/>
  <c r="AX397" i="2"/>
  <c r="AW598" i="2"/>
  <c r="AW599" i="2" s="1"/>
  <c r="AW401" i="2"/>
  <c r="AV599" i="2"/>
  <c r="AV600" i="2" s="1"/>
  <c r="AU596" i="2"/>
  <c r="AU164" i="4" s="1"/>
  <c r="BB323" i="2"/>
  <c r="BB324" i="2" s="1"/>
  <c r="BB36" i="4" s="1"/>
  <c r="BA315" i="2"/>
  <c r="BA35" i="4" s="1"/>
  <c r="BA34" i="4" s="1"/>
  <c r="AZ413" i="2"/>
  <c r="AZ1321" i="2" s="1"/>
  <c r="AZ497" i="4" s="1"/>
  <c r="AQ1198" i="2"/>
  <c r="BA363" i="2"/>
  <c r="BA42" i="4" s="1"/>
  <c r="BA41" i="4" s="1"/>
  <c r="BB70" i="2"/>
  <c r="BB362" i="2"/>
  <c r="AR1200" i="2"/>
  <c r="AV260" i="4"/>
  <c r="AX181" i="2"/>
  <c r="AX183" i="2" s="1"/>
  <c r="AW1118" i="2"/>
  <c r="AW1119" i="2" s="1"/>
  <c r="AX1118" i="2" s="1"/>
  <c r="AY179" i="2"/>
  <c r="AZ111" i="2"/>
  <c r="AZ91" i="2"/>
  <c r="AW572" i="2"/>
  <c r="AW162" i="4" s="1"/>
  <c r="AW260" i="4" s="1"/>
  <c r="AX158" i="2"/>
  <c r="AS1106" i="2"/>
  <c r="AZ1307" i="2"/>
  <c r="BA84" i="2"/>
  <c r="AZ165" i="2"/>
  <c r="AZ154" i="2" s="1"/>
  <c r="AU210" i="2"/>
  <c r="BA177" i="2"/>
  <c r="BA190" i="2" s="1"/>
  <c r="AZ181" i="2" s="1"/>
  <c r="AY128" i="4"/>
  <c r="AZ189" i="2"/>
  <c r="AY418" i="2"/>
  <c r="BA152" i="2"/>
  <c r="BA164" i="2" s="1"/>
  <c r="AZ190" i="2"/>
  <c r="AY181" i="2" s="1"/>
  <c r="BA30" i="2"/>
  <c r="BB146" i="2"/>
  <c r="BB148" i="2"/>
  <c r="AZ393" i="2"/>
  <c r="AZ410" i="2"/>
  <c r="BB21" i="2"/>
  <c r="BA22" i="2"/>
  <c r="BB703" i="2"/>
  <c r="BB704" i="2" s="1"/>
  <c r="BB702" i="2"/>
  <c r="BB698" i="2" s="1"/>
  <c r="BB708" i="2" s="1"/>
  <c r="BB699" i="2"/>
  <c r="BB700" i="2" s="1"/>
  <c r="AY618" i="2"/>
  <c r="AY619" i="2" s="1"/>
  <c r="AZ72" i="2"/>
  <c r="AZ71" i="2"/>
  <c r="BB171" i="2"/>
  <c r="BB173" i="2"/>
  <c r="AW109" i="10"/>
  <c r="AX615" i="2"/>
  <c r="AX186" i="4" s="1"/>
  <c r="AW594" i="2"/>
  <c r="BA412" i="2"/>
  <c r="AW590" i="2"/>
  <c r="BA29" i="2"/>
  <c r="AZ430" i="4"/>
  <c r="AZ457" i="4"/>
  <c r="AZ484" i="4"/>
  <c r="AZ414" i="2"/>
  <c r="AZ617" i="2" s="1"/>
  <c r="BB293" i="2"/>
  <c r="BB294" i="2" s="1"/>
  <c r="BA19" i="4"/>
  <c r="BA18" i="4" s="1"/>
  <c r="BA196" i="2"/>
  <c r="AX593" i="2"/>
  <c r="AX594" i="2" s="1"/>
  <c r="BB652" i="2"/>
  <c r="AW98" i="4"/>
  <c r="BB302" i="2"/>
  <c r="BB303" i="2" s="1"/>
  <c r="BB727" i="2"/>
  <c r="BB723" i="2" s="1"/>
  <c r="BB730" i="2" s="1"/>
  <c r="BB724" i="2"/>
  <c r="BB725" i="2" s="1"/>
  <c r="BA546" i="2"/>
  <c r="BA539" i="2"/>
  <c r="AZ549" i="2"/>
  <c r="AZ551" i="2" s="1"/>
  <c r="BA547" i="2"/>
  <c r="AZ399" i="2"/>
  <c r="BB672" i="2"/>
  <c r="BB668" i="2" s="1"/>
  <c r="BB678" i="2" s="1"/>
  <c r="BB673" i="2"/>
  <c r="BB674" i="2" s="1"/>
  <c r="BB669" i="2"/>
  <c r="BB670" i="2" s="1"/>
  <c r="AZ138" i="4"/>
  <c r="AZ144" i="4" s="1"/>
  <c r="AZ990" i="2"/>
  <c r="BA991" i="2"/>
  <c r="BA1305" i="2" s="1"/>
  <c r="BA949" i="2"/>
  <c r="BB41" i="2"/>
  <c r="BB42" i="2" s="1"/>
  <c r="AY1310" i="2"/>
  <c r="BB503" i="4"/>
  <c r="BA177" i="4"/>
  <c r="AT117" i="10"/>
  <c r="AT115" i="10" s="1"/>
  <c r="AU112" i="10" s="1"/>
  <c r="BB142" i="4"/>
  <c r="AF84" i="10"/>
  <c r="AF85" i="10" s="1"/>
  <c r="AY324" i="4"/>
  <c r="AY374" i="4"/>
  <c r="AY277" i="4"/>
  <c r="AY1264" i="2"/>
  <c r="AY1184" i="2"/>
  <c r="AZ200" i="2"/>
  <c r="AZ198" i="2"/>
  <c r="AZ11" i="2"/>
  <c r="AC79" i="10"/>
  <c r="G140" i="7" l="1"/>
  <c r="AY296" i="7"/>
  <c r="G146" i="7"/>
  <c r="AY302" i="7"/>
  <c r="G150" i="7"/>
  <c r="AY306" i="7"/>
  <c r="BB314" i="2"/>
  <c r="BB388" i="2" s="1"/>
  <c r="H54" i="7"/>
  <c r="G38" i="7"/>
  <c r="H46" i="7"/>
  <c r="G42" i="7"/>
  <c r="G118" i="7"/>
  <c r="G24" i="7"/>
  <c r="H50" i="7"/>
  <c r="G14" i="7"/>
  <c r="G103" i="7"/>
  <c r="G119" i="7"/>
  <c r="G85" i="7"/>
  <c r="G19" i="7"/>
  <c r="BB387" i="2"/>
  <c r="BD332" i="2"/>
  <c r="BB383" i="2"/>
  <c r="BB404" i="2" s="1"/>
  <c r="G72" i="7"/>
  <c r="B55" i="4"/>
  <c r="H122" i="7"/>
  <c r="B56" i="4"/>
  <c r="H123" i="7"/>
  <c r="BB395" i="2"/>
  <c r="G65" i="7"/>
  <c r="BA996" i="2"/>
  <c r="AZ202" i="2"/>
  <c r="AZ276" i="2" s="1"/>
  <c r="AZ592" i="2" s="1"/>
  <c r="BB54" i="4"/>
  <c r="AX217" i="2"/>
  <c r="AW208" i="2" s="1"/>
  <c r="AX216" i="2"/>
  <c r="BB351" i="2"/>
  <c r="BD351" i="2" s="1"/>
  <c r="BB342" i="2"/>
  <c r="BB38" i="4" s="1"/>
  <c r="AM1218" i="2"/>
  <c r="AM1219" i="2" s="1"/>
  <c r="AM1217" i="2" s="1"/>
  <c r="BD333" i="2"/>
  <c r="BB37" i="4"/>
  <c r="BB403" i="2"/>
  <c r="AZ133" i="2"/>
  <c r="AZ574" i="2" s="1"/>
  <c r="AZ575" i="2" s="1"/>
  <c r="BA129" i="2"/>
  <c r="BA130" i="2"/>
  <c r="BA1291" i="2" s="1"/>
  <c r="BA458" i="4" s="1"/>
  <c r="BB128" i="2"/>
  <c r="BA517" i="2"/>
  <c r="BA473" i="2"/>
  <c r="BA527" i="2" s="1"/>
  <c r="AZ239" i="4"/>
  <c r="BA6" i="4"/>
  <c r="BA93" i="4" s="1"/>
  <c r="BA236" i="4" s="1"/>
  <c r="BB30" i="2"/>
  <c r="W435" i="4"/>
  <c r="W462" i="4"/>
  <c r="W490" i="4"/>
  <c r="BB103" i="2"/>
  <c r="BB104" i="2" s="1"/>
  <c r="BB627" i="2"/>
  <c r="BB626" i="2" s="1"/>
  <c r="BB184" i="4" s="1"/>
  <c r="AY775" i="2"/>
  <c r="AY995" i="2" s="1"/>
  <c r="Y1337" i="2"/>
  <c r="Y1325" i="2" s="1"/>
  <c r="Y491" i="4" s="1"/>
  <c r="AU116" i="10"/>
  <c r="BB197" i="2"/>
  <c r="BB19" i="4" s="1"/>
  <c r="BB18" i="4" s="1"/>
  <c r="X491" i="4"/>
  <c r="X1326" i="2"/>
  <c r="AB65" i="4"/>
  <c r="AB107" i="4"/>
  <c r="AB240" i="4" s="1"/>
  <c r="Z492" i="4"/>
  <c r="Z1328" i="2"/>
  <c r="BB220" i="4"/>
  <c r="AC936" i="2"/>
  <c r="AC982" i="2"/>
  <c r="BB34" i="1"/>
  <c r="AB958" i="2"/>
  <c r="AC770" i="2"/>
  <c r="AC881" i="2"/>
  <c r="AC972" i="2" s="1"/>
  <c r="AC878" i="2"/>
  <c r="AC969" i="2" s="1"/>
  <c r="AA495" i="4"/>
  <c r="AA103" i="4"/>
  <c r="AA104" i="4" s="1"/>
  <c r="AA247" i="4" s="1"/>
  <c r="AA1314" i="2"/>
  <c r="AA1315" i="2" s="1"/>
  <c r="AB954" i="2"/>
  <c r="AC766" i="2"/>
  <c r="AB174" i="4"/>
  <c r="AB1318" i="2"/>
  <c r="BA112" i="2"/>
  <c r="BA111" i="2"/>
  <c r="BB956" i="2"/>
  <c r="BB371" i="2"/>
  <c r="BB372" i="2" s="1"/>
  <c r="BB43" i="4" s="1"/>
  <c r="BB765" i="2"/>
  <c r="BB10" i="4"/>
  <c r="BB123" i="2"/>
  <c r="BB124" i="2" s="1"/>
  <c r="BA92" i="2"/>
  <c r="AX575" i="2"/>
  <c r="AX576" i="2" s="1"/>
  <c r="BB9" i="4"/>
  <c r="AJ195" i="4"/>
  <c r="AJ222" i="4"/>
  <c r="BA52" i="2"/>
  <c r="BB64" i="2"/>
  <c r="BA51" i="2"/>
  <c r="BB1299" i="2"/>
  <c r="AI241" i="4"/>
  <c r="AY237" i="4"/>
  <c r="AX48" i="4"/>
  <c r="AX238" i="4" s="1"/>
  <c r="AY97" i="4"/>
  <c r="AY94" i="4" s="1"/>
  <c r="BA100" i="4"/>
  <c r="BA96" i="4"/>
  <c r="BA32" i="4"/>
  <c r="AK212" i="4"/>
  <c r="AK373" i="4"/>
  <c r="AK276" i="4"/>
  <c r="AI1257" i="2"/>
  <c r="AJ1242" i="2"/>
  <c r="AL1233" i="2"/>
  <c r="AK1232" i="2"/>
  <c r="BB934" i="2"/>
  <c r="BB941" i="2" s="1"/>
  <c r="BB985" i="2"/>
  <c r="BB876" i="2"/>
  <c r="BB886" i="2" s="1"/>
  <c r="AT279" i="2"/>
  <c r="AT611" i="2" s="1"/>
  <c r="AT612" i="2" s="1"/>
  <c r="AT609" i="2" s="1"/>
  <c r="AT631" i="2" s="1"/>
  <c r="AX560" i="2"/>
  <c r="AX559" i="2"/>
  <c r="AX552" i="2"/>
  <c r="AX566" i="2" s="1"/>
  <c r="AW562" i="2"/>
  <c r="AW564" i="2" s="1"/>
  <c r="AX565" i="2"/>
  <c r="AZ519" i="2"/>
  <c r="AY524" i="2"/>
  <c r="AY554" i="2" s="1"/>
  <c r="AY1302" i="2" s="1"/>
  <c r="AY61" i="4"/>
  <c r="AY60" i="4" s="1"/>
  <c r="AY102" i="4" s="1"/>
  <c r="AY553" i="2"/>
  <c r="AY565" i="2" s="1"/>
  <c r="AV486" i="4"/>
  <c r="AV432" i="4"/>
  <c r="AZ533" i="2"/>
  <c r="AZ478" i="2"/>
  <c r="AZ528" i="2" s="1"/>
  <c r="AZ53" i="4"/>
  <c r="AZ50" i="4" s="1"/>
  <c r="AY534" i="2"/>
  <c r="AX536" i="2"/>
  <c r="AX538" i="2" s="1"/>
  <c r="AY526" i="2"/>
  <c r="AU256" i="2"/>
  <c r="AU279" i="2" s="1"/>
  <c r="AU611" i="2" s="1"/>
  <c r="AV269" i="2"/>
  <c r="AV270" i="2" s="1"/>
  <c r="AW265" i="2"/>
  <c r="AV256" i="2" s="1"/>
  <c r="AW264" i="2"/>
  <c r="AW274" i="2" s="1"/>
  <c r="AW1292" i="2" s="1"/>
  <c r="AW459" i="4" s="1"/>
  <c r="AV272" i="2"/>
  <c r="AV607" i="2" s="1"/>
  <c r="AW30" i="4"/>
  <c r="AW27" i="4" s="1"/>
  <c r="AV254" i="2"/>
  <c r="AV278" i="2" s="1"/>
  <c r="AV604" i="2" s="1"/>
  <c r="AV605" i="2" s="1"/>
  <c r="AV602" i="2" s="1"/>
  <c r="AV183" i="4" s="1"/>
  <c r="AX587" i="2"/>
  <c r="AX584" i="2" s="1"/>
  <c r="AX166" i="4" s="1"/>
  <c r="AX252" i="2"/>
  <c r="AX30" i="4" s="1"/>
  <c r="AX27" i="4" s="1"/>
  <c r="AS280" i="2"/>
  <c r="AW230" i="2"/>
  <c r="AV232" i="2"/>
  <c r="AV234" i="2" s="1"/>
  <c r="AX277" i="2"/>
  <c r="AX598" i="2" s="1"/>
  <c r="AX240" i="2"/>
  <c r="BA219" i="2"/>
  <c r="BA221" i="2" s="1"/>
  <c r="BA243" i="2"/>
  <c r="AQ163" i="4"/>
  <c r="AQ631" i="2"/>
  <c r="AZ245" i="2"/>
  <c r="AZ268" i="2" s="1"/>
  <c r="AZ95" i="4" s="1"/>
  <c r="AZ237" i="4" s="1"/>
  <c r="AU1301" i="2"/>
  <c r="AU270" i="2"/>
  <c r="AX241" i="2"/>
  <c r="AX230" i="2" s="1"/>
  <c r="AY248" i="2"/>
  <c r="AY277" i="2" s="1"/>
  <c r="AY246" i="2"/>
  <c r="AY275" i="2" s="1"/>
  <c r="AY586" i="2" s="1"/>
  <c r="AY228" i="2"/>
  <c r="AY29" i="4" s="1"/>
  <c r="AW205" i="2"/>
  <c r="AZ222" i="2"/>
  <c r="AZ224" i="2"/>
  <c r="AS609" i="2"/>
  <c r="AV208" i="2"/>
  <c r="AW206" i="2"/>
  <c r="AW584" i="2"/>
  <c r="AW166" i="4" s="1"/>
  <c r="AW262" i="4" s="1"/>
  <c r="AW588" i="2"/>
  <c r="AY204" i="2"/>
  <c r="BA529" i="2"/>
  <c r="AY437" i="4"/>
  <c r="AY496" i="4"/>
  <c r="AX437" i="4"/>
  <c r="AX464" i="4"/>
  <c r="AZ431" i="4"/>
  <c r="AW600" i="2"/>
  <c r="AZ485" i="4"/>
  <c r="AV596" i="2"/>
  <c r="AV164" i="4" s="1"/>
  <c r="AV261" i="4" s="1"/>
  <c r="AY397" i="2"/>
  <c r="AX401" i="2"/>
  <c r="AU261" i="4"/>
  <c r="AW596" i="2"/>
  <c r="AW164" i="4" s="1"/>
  <c r="BA413" i="2"/>
  <c r="BA1321" i="2" s="1"/>
  <c r="BA497" i="4" s="1"/>
  <c r="BA394" i="2"/>
  <c r="BA410" i="2" s="1"/>
  <c r="BB315" i="2"/>
  <c r="BB35" i="4" s="1"/>
  <c r="BB83" i="2"/>
  <c r="AZ416" i="2"/>
  <c r="AZ1322" i="2" s="1"/>
  <c r="BB8" i="4"/>
  <c r="BB363" i="2"/>
  <c r="BB42" i="4" s="1"/>
  <c r="AZ1310" i="2"/>
  <c r="AR1198" i="2"/>
  <c r="AS1199" i="2"/>
  <c r="AY183" i="2"/>
  <c r="AS1107" i="2"/>
  <c r="AT1106" i="2" s="1"/>
  <c r="AT1107" i="2" s="1"/>
  <c r="AT1105" i="2" s="1"/>
  <c r="BA71" i="2"/>
  <c r="AY156" i="2"/>
  <c r="AY158" i="2" s="1"/>
  <c r="AZ153" i="2"/>
  <c r="BA72" i="2"/>
  <c r="BA189" i="2"/>
  <c r="AZ179" i="2"/>
  <c r="AZ183" i="2" s="1"/>
  <c r="AZ178" i="2"/>
  <c r="BB152" i="2"/>
  <c r="BB165" i="2" s="1"/>
  <c r="BA156" i="2" s="1"/>
  <c r="BB22" i="2"/>
  <c r="BB10" i="2" s="1"/>
  <c r="BA178" i="2"/>
  <c r="BB177" i="2"/>
  <c r="BB189" i="2" s="1"/>
  <c r="AX590" i="2"/>
  <c r="AX165" i="4" s="1"/>
  <c r="AZ128" i="4"/>
  <c r="BA165" i="2"/>
  <c r="AZ156" i="2" s="1"/>
  <c r="AX1119" i="2"/>
  <c r="AY1118" i="2" s="1"/>
  <c r="BA399" i="2"/>
  <c r="BB991" i="2"/>
  <c r="BB1305" i="2" s="1"/>
  <c r="BB949" i="2"/>
  <c r="BA484" i="4"/>
  <c r="BA457" i="4"/>
  <c r="BA430" i="4"/>
  <c r="BA414" i="2"/>
  <c r="BA617" i="2" s="1"/>
  <c r="AZ131" i="2"/>
  <c r="AZ374" i="4"/>
  <c r="AZ277" i="4"/>
  <c r="AZ324" i="4"/>
  <c r="AZ1264" i="2"/>
  <c r="AZ1184" i="2"/>
  <c r="AY593" i="2"/>
  <c r="AY594" i="2" s="1"/>
  <c r="AW110" i="10"/>
  <c r="AW108" i="10" s="1"/>
  <c r="AX105" i="10" s="1"/>
  <c r="AX109" i="10"/>
  <c r="AY615" i="2"/>
  <c r="AY186" i="4" s="1"/>
  <c r="AY575" i="2"/>
  <c r="BB539" i="2"/>
  <c r="BB546" i="2"/>
  <c r="BA549" i="2"/>
  <c r="BA551" i="2" s="1"/>
  <c r="BB547" i="2"/>
  <c r="AU117" i="10"/>
  <c r="AV116" i="10" s="1"/>
  <c r="AZ618" i="2"/>
  <c r="AZ619" i="2" s="1"/>
  <c r="AF86" i="10"/>
  <c r="BB29" i="2"/>
  <c r="AX98" i="4"/>
  <c r="AZ418" i="2"/>
  <c r="AU602" i="2"/>
  <c r="AU183" i="4" s="1"/>
  <c r="AD77" i="10"/>
  <c r="AD78" i="10" s="1"/>
  <c r="BA179" i="2"/>
  <c r="AW1117" i="2"/>
  <c r="BA198" i="2"/>
  <c r="BA200" i="2"/>
  <c r="BA138" i="4"/>
  <c r="BA144" i="4" s="1"/>
  <c r="BA990" i="2"/>
  <c r="BA1307" i="2"/>
  <c r="BB177" i="4"/>
  <c r="BB440" i="4"/>
  <c r="BB467" i="4"/>
  <c r="BB502" i="4"/>
  <c r="AW165" i="4"/>
  <c r="BA11" i="2"/>
  <c r="BA10" i="2"/>
  <c r="AZ204" i="2" l="1"/>
  <c r="BB384" i="2"/>
  <c r="BB46" i="4" s="1"/>
  <c r="BB402" i="2"/>
  <c r="G109" i="7"/>
  <c r="G87" i="7"/>
  <c r="B123" i="7"/>
  <c r="G86" i="7"/>
  <c r="G102" i="7"/>
  <c r="G88" i="7"/>
  <c r="B122" i="7"/>
  <c r="G121" i="7"/>
  <c r="G110" i="7"/>
  <c r="BD37" i="4"/>
  <c r="G104" i="7"/>
  <c r="BB471" i="2"/>
  <c r="BB473" i="2" s="1"/>
  <c r="BB527" i="2" s="1"/>
  <c r="G27" i="7"/>
  <c r="BD38" i="4"/>
  <c r="G105" i="7"/>
  <c r="AX205" i="2"/>
  <c r="BA202" i="2"/>
  <c r="BA276" i="2" s="1"/>
  <c r="BA592" i="2" s="1"/>
  <c r="AX206" i="2"/>
  <c r="BB996" i="2"/>
  <c r="BB39" i="4"/>
  <c r="BB396" i="2"/>
  <c r="BD342" i="2"/>
  <c r="AN1218" i="2"/>
  <c r="AN1219" i="2" s="1"/>
  <c r="BB130" i="2"/>
  <c r="BB1291" i="2" s="1"/>
  <c r="BA133" i="2"/>
  <c r="BA574" i="2" s="1"/>
  <c r="BB517" i="2"/>
  <c r="BB6" i="4"/>
  <c r="BA239" i="4"/>
  <c r="BB386" i="2"/>
  <c r="BB412" i="2"/>
  <c r="BB457" i="4" s="1"/>
  <c r="BB549" i="2"/>
  <c r="BB551" i="2" s="1"/>
  <c r="BB92" i="2"/>
  <c r="BB91" i="2"/>
  <c r="Y1326" i="2"/>
  <c r="Y493" i="4" s="1"/>
  <c r="BB196" i="2"/>
  <c r="BB200" i="2" s="1"/>
  <c r="AZ775" i="2"/>
  <c r="AZ995" i="2" s="1"/>
  <c r="AA109" i="4"/>
  <c r="AA115" i="4" s="1"/>
  <c r="AA492" i="4" s="1"/>
  <c r="AA333" i="4"/>
  <c r="AA207" i="4"/>
  <c r="AA209" i="4" s="1"/>
  <c r="AA284" i="4"/>
  <c r="BB111" i="2"/>
  <c r="AA256" i="4"/>
  <c r="X1327" i="2"/>
  <c r="X493" i="4"/>
  <c r="BB112" i="2"/>
  <c r="AC983" i="2"/>
  <c r="AC175" i="4" s="1"/>
  <c r="AD935" i="2"/>
  <c r="AC882" i="2"/>
  <c r="AC973" i="2" s="1"/>
  <c r="AD877" i="2"/>
  <c r="AD968" i="2" s="1"/>
  <c r="Z1331" i="2"/>
  <c r="Z1330" i="2"/>
  <c r="AC957" i="2"/>
  <c r="AC771" i="2"/>
  <c r="AC953" i="2"/>
  <c r="AC63" i="4" s="1"/>
  <c r="AC767" i="2"/>
  <c r="AB173" i="4"/>
  <c r="AB179" i="4" s="1"/>
  <c r="AB264" i="4" s="1"/>
  <c r="AB1316" i="2"/>
  <c r="AB1313" i="2" s="1"/>
  <c r="BB408" i="4"/>
  <c r="BB1269" i="2"/>
  <c r="BB1" i="1"/>
  <c r="BB1" i="4"/>
  <c r="BB25" i="4"/>
  <c r="BB423" i="2"/>
  <c r="BB68" i="1"/>
  <c r="BB1" i="2"/>
  <c r="BB124" i="4"/>
  <c r="BB14" i="4"/>
  <c r="BB1168" i="2"/>
  <c r="BB4" i="5"/>
  <c r="BB205" i="4"/>
  <c r="BB1142" i="2"/>
  <c r="BB91" i="4"/>
  <c r="BB1" i="10"/>
  <c r="BB366" i="4"/>
  <c r="BB1000" i="2"/>
  <c r="BB38" i="1"/>
  <c r="BB1" i="5"/>
  <c r="BB140" i="2"/>
  <c r="BB14" i="1"/>
  <c r="BB317" i="4"/>
  <c r="BB638" i="2"/>
  <c r="BB269" i="4"/>
  <c r="BB102" i="10"/>
  <c r="BB113" i="1"/>
  <c r="BB1096" i="2"/>
  <c r="BB1056" i="2"/>
  <c r="BB4" i="4"/>
  <c r="BB4" i="2"/>
  <c r="BB90" i="10"/>
  <c r="BB159" i="4"/>
  <c r="BB69" i="4"/>
  <c r="BB55" i="10"/>
  <c r="BB570" i="2"/>
  <c r="BB1189" i="2"/>
  <c r="BB233" i="4"/>
  <c r="BB284" i="2"/>
  <c r="AU115" i="10"/>
  <c r="AV112" i="10" s="1"/>
  <c r="AA494" i="4"/>
  <c r="AA463" i="4"/>
  <c r="AA436" i="4"/>
  <c r="BA485" i="4"/>
  <c r="BA431" i="4"/>
  <c r="BA131" i="2"/>
  <c r="AX572" i="2"/>
  <c r="AX162" i="4" s="1"/>
  <c r="AX260" i="4" s="1"/>
  <c r="BB52" i="2"/>
  <c r="BB51" i="2"/>
  <c r="BB243" i="2"/>
  <c r="BB219" i="2"/>
  <c r="BB221" i="2" s="1"/>
  <c r="BB41" i="4"/>
  <c r="BB45" i="4"/>
  <c r="AY48" i="4"/>
  <c r="AY238" i="4" s="1"/>
  <c r="AZ97" i="4"/>
  <c r="AZ94" i="4" s="1"/>
  <c r="AK1253" i="2"/>
  <c r="AK1248" i="2" s="1"/>
  <c r="AL1251" i="2"/>
  <c r="AL108" i="4" s="1"/>
  <c r="AL1234" i="2"/>
  <c r="AL1232" i="2" s="1"/>
  <c r="AJ1243" i="2"/>
  <c r="AJ1258" i="2"/>
  <c r="AT280" i="2"/>
  <c r="AU612" i="2"/>
  <c r="AU609" i="2" s="1"/>
  <c r="AU163" i="4" s="1"/>
  <c r="AZ553" i="2"/>
  <c r="AZ565" i="2" s="1"/>
  <c r="AZ61" i="4"/>
  <c r="AZ60" i="4" s="1"/>
  <c r="AZ102" i="4" s="1"/>
  <c r="AZ524" i="2"/>
  <c r="AZ554" i="2" s="1"/>
  <c r="AZ1302" i="2" s="1"/>
  <c r="BA519" i="2"/>
  <c r="AY559" i="2"/>
  <c r="AX562" i="2"/>
  <c r="AX564" i="2" s="1"/>
  <c r="AY560" i="2"/>
  <c r="AY552" i="2"/>
  <c r="AY566" i="2" s="1"/>
  <c r="AV1301" i="2"/>
  <c r="AX588" i="2"/>
  <c r="AX264" i="2"/>
  <c r="AX274" i="2" s="1"/>
  <c r="AX1292" i="2" s="1"/>
  <c r="AX432" i="4" s="1"/>
  <c r="AX271" i="2"/>
  <c r="AZ534" i="2"/>
  <c r="AY536" i="2"/>
  <c r="AY538" i="2" s="1"/>
  <c r="AZ526" i="2"/>
  <c r="AX265" i="2"/>
  <c r="AX253" i="2" s="1"/>
  <c r="AU258" i="2"/>
  <c r="AU273" i="2" s="1"/>
  <c r="AU280" i="2" s="1"/>
  <c r="BA478" i="2"/>
  <c r="BA528" i="2" s="1"/>
  <c r="BA533" i="2"/>
  <c r="BA53" i="4"/>
  <c r="BA50" i="4" s="1"/>
  <c r="AW269" i="2"/>
  <c r="AW270" i="2" s="1"/>
  <c r="AW254" i="2"/>
  <c r="AW278" i="2" s="1"/>
  <c r="AW604" i="2" s="1"/>
  <c r="AW605" i="2" s="1"/>
  <c r="AW606" i="2" s="1"/>
  <c r="AV279" i="2"/>
  <c r="AV611" i="2" s="1"/>
  <c r="AV612" i="2" s="1"/>
  <c r="AV609" i="2" s="1"/>
  <c r="AV606" i="2"/>
  <c r="AV258" i="2"/>
  <c r="AW253" i="2"/>
  <c r="AW272" i="2" s="1"/>
  <c r="AW607" i="2" s="1"/>
  <c r="AT613" i="2"/>
  <c r="AW486" i="4"/>
  <c r="AY252" i="2"/>
  <c r="AY30" i="4" s="1"/>
  <c r="AW432" i="4"/>
  <c r="AX229" i="2"/>
  <c r="AT163" i="4"/>
  <c r="AY587" i="2"/>
  <c r="AY588" i="2" s="1"/>
  <c r="AW232" i="2"/>
  <c r="AW234" i="2" s="1"/>
  <c r="BA245" i="2"/>
  <c r="AZ246" i="2"/>
  <c r="AZ248" i="2"/>
  <c r="AZ277" i="2" s="1"/>
  <c r="AY217" i="2"/>
  <c r="AY206" i="2" s="1"/>
  <c r="AY241" i="2"/>
  <c r="AY229" i="2" s="1"/>
  <c r="AY240" i="2"/>
  <c r="AV210" i="2"/>
  <c r="AS163" i="4"/>
  <c r="AS631" i="2"/>
  <c r="AZ228" i="2"/>
  <c r="AY28" i="4"/>
  <c r="BA222" i="2"/>
  <c r="BA224" i="2"/>
  <c r="AX262" i="4"/>
  <c r="AY216" i="2"/>
  <c r="BB529" i="2"/>
  <c r="AZ419" i="2"/>
  <c r="AZ1323" i="2" s="1"/>
  <c r="AZ496" i="4" s="1"/>
  <c r="AW261" i="4"/>
  <c r="AZ397" i="2"/>
  <c r="AY401" i="2"/>
  <c r="AY598" i="2"/>
  <c r="AX599" i="2"/>
  <c r="BA416" i="2"/>
  <c r="BA1322" i="2" s="1"/>
  <c r="BB84" i="2"/>
  <c r="BB72" i="2" s="1"/>
  <c r="AS1200" i="2"/>
  <c r="AT1199" i="2" s="1"/>
  <c r="AU1106" i="2"/>
  <c r="AU1107" i="2" s="1"/>
  <c r="AV1106" i="2" s="1"/>
  <c r="AS1105" i="2"/>
  <c r="AX1117" i="2"/>
  <c r="AZ158" i="2"/>
  <c r="BB164" i="2"/>
  <c r="BB11" i="2"/>
  <c r="BB156" i="2"/>
  <c r="AY590" i="2"/>
  <c r="AY165" i="4" s="1"/>
  <c r="BA153" i="2"/>
  <c r="BA418" i="2"/>
  <c r="BB190" i="2"/>
  <c r="BA154" i="2"/>
  <c r="BA158" i="2" s="1"/>
  <c r="AY1119" i="2"/>
  <c r="AY1117" i="2" s="1"/>
  <c r="AV117" i="10"/>
  <c r="AV115" i="10" s="1"/>
  <c r="AW112" i="10" s="1"/>
  <c r="AZ28" i="4"/>
  <c r="AZ216" i="2"/>
  <c r="AZ217" i="2"/>
  <c r="AY98" i="4"/>
  <c r="AZ576" i="2"/>
  <c r="AY576" i="2"/>
  <c r="AZ593" i="2"/>
  <c r="AZ590" i="2" s="1"/>
  <c r="AZ165" i="4" s="1"/>
  <c r="AW210" i="2"/>
  <c r="AY572" i="2"/>
  <c r="BB154" i="2"/>
  <c r="BB399" i="2"/>
  <c r="BB1307" i="2"/>
  <c r="AD79" i="10"/>
  <c r="BB153" i="2"/>
  <c r="AX110" i="10"/>
  <c r="AX108" i="10" s="1"/>
  <c r="AY105" i="10" s="1"/>
  <c r="AZ572" i="2"/>
  <c r="BA277" i="4"/>
  <c r="BA374" i="4"/>
  <c r="BA324" i="4"/>
  <c r="BA1264" i="2"/>
  <c r="BA1184" i="2"/>
  <c r="AZ615" i="2"/>
  <c r="AZ186" i="4" s="1"/>
  <c r="BA128" i="4"/>
  <c r="AG84" i="10"/>
  <c r="AG85" i="10" s="1"/>
  <c r="BA1310" i="2"/>
  <c r="BA618" i="2"/>
  <c r="BA619" i="2" s="1"/>
  <c r="BB138" i="4"/>
  <c r="BB144" i="4" s="1"/>
  <c r="BB990" i="2"/>
  <c r="G76" i="7" l="1"/>
  <c r="G113" i="7"/>
  <c r="BB409" i="2"/>
  <c r="G108" i="7"/>
  <c r="G112" i="7"/>
  <c r="G74" i="7"/>
  <c r="G84" i="7"/>
  <c r="BB202" i="2"/>
  <c r="BB276" i="2" s="1"/>
  <c r="BB592" i="2" s="1"/>
  <c r="BA204" i="2"/>
  <c r="BA216" i="2" s="1"/>
  <c r="B38" i="4"/>
  <c r="H105" i="7"/>
  <c r="BD39" i="4"/>
  <c r="G106" i="7"/>
  <c r="B37" i="4"/>
  <c r="H104" i="7"/>
  <c r="BB34" i="4"/>
  <c r="AN1217" i="2"/>
  <c r="AO1218" i="2"/>
  <c r="AO1219" i="2" s="1"/>
  <c r="BB133" i="2"/>
  <c r="BB574" i="2" s="1"/>
  <c r="BB575" i="2" s="1"/>
  <c r="BB572" i="2" s="1"/>
  <c r="BB162" i="4" s="1"/>
  <c r="BB129" i="2"/>
  <c r="BB131" i="2" s="1"/>
  <c r="BB484" i="4"/>
  <c r="BB430" i="4"/>
  <c r="BB413" i="2"/>
  <c r="BB1321" i="2" s="1"/>
  <c r="BB414" i="2"/>
  <c r="BB617" i="2" s="1"/>
  <c r="BB618" i="2" s="1"/>
  <c r="BB619" i="2" s="1"/>
  <c r="BB393" i="2"/>
  <c r="BB198" i="2"/>
  <c r="Y1327" i="2"/>
  <c r="Y490" i="4" s="1"/>
  <c r="BA775" i="2"/>
  <c r="BA995" i="2" s="1"/>
  <c r="AA1328" i="2"/>
  <c r="AA1330" i="2" s="1"/>
  <c r="AK192" i="4"/>
  <c r="AK208" i="4" s="1"/>
  <c r="X462" i="4"/>
  <c r="X435" i="4"/>
  <c r="X490" i="4"/>
  <c r="BB394" i="2"/>
  <c r="Z1332" i="2"/>
  <c r="Z1333" i="2" s="1"/>
  <c r="Z1336" i="2"/>
  <c r="AD878" i="2"/>
  <c r="AD969" i="2" s="1"/>
  <c r="AC954" i="2"/>
  <c r="AD766" i="2"/>
  <c r="AC174" i="4"/>
  <c r="AC1318" i="2"/>
  <c r="AB495" i="4"/>
  <c r="AB1314" i="2"/>
  <c r="AB1315" i="2" s="1"/>
  <c r="AB103" i="4"/>
  <c r="AB104" i="4" s="1"/>
  <c r="AB207" i="4" s="1"/>
  <c r="AB209" i="4" s="1"/>
  <c r="AC107" i="4"/>
  <c r="AC240" i="4" s="1"/>
  <c r="AC65" i="4"/>
  <c r="AD881" i="2"/>
  <c r="AD972" i="2" s="1"/>
  <c r="AC958" i="2"/>
  <c r="AD770" i="2"/>
  <c r="AD982" i="2"/>
  <c r="AD936" i="2"/>
  <c r="BB431" i="4"/>
  <c r="BB458" i="4"/>
  <c r="BB485" i="4"/>
  <c r="BB93" i="4"/>
  <c r="BB100" i="4"/>
  <c r="AZ48" i="4"/>
  <c r="AZ238" i="4" s="1"/>
  <c r="BA97" i="4"/>
  <c r="AY27" i="4"/>
  <c r="AK1259" i="2"/>
  <c r="AK112" i="4" s="1"/>
  <c r="AL1253" i="2"/>
  <c r="AL1248" i="2" s="1"/>
  <c r="AJ1257" i="2"/>
  <c r="AK1242" i="2"/>
  <c r="AM1233" i="2"/>
  <c r="AL1252" i="2"/>
  <c r="AL130" i="4" s="1"/>
  <c r="AU631" i="2"/>
  <c r="AU613" i="2"/>
  <c r="AW256" i="2"/>
  <c r="AW258" i="2" s="1"/>
  <c r="AW273" i="2" s="1"/>
  <c r="BA553" i="2"/>
  <c r="BA565" i="2" s="1"/>
  <c r="BA61" i="4"/>
  <c r="BA60" i="4" s="1"/>
  <c r="BA102" i="4" s="1"/>
  <c r="BA524" i="2"/>
  <c r="BA554" i="2" s="1"/>
  <c r="BA1302" i="2" s="1"/>
  <c r="BB519" i="2"/>
  <c r="AX269" i="2"/>
  <c r="AX1301" i="2" s="1"/>
  <c r="AZ552" i="2"/>
  <c r="AZ566" i="2" s="1"/>
  <c r="AY562" i="2"/>
  <c r="AY564" i="2" s="1"/>
  <c r="AZ560" i="2"/>
  <c r="AZ559" i="2"/>
  <c r="AX486" i="4"/>
  <c r="AU127" i="4"/>
  <c r="BB478" i="2"/>
  <c r="BB528" i="2" s="1"/>
  <c r="BB53" i="4"/>
  <c r="BB533" i="2"/>
  <c r="AX254" i="2"/>
  <c r="AX278" i="2" s="1"/>
  <c r="AX604" i="2" s="1"/>
  <c r="AX605" i="2" s="1"/>
  <c r="AX606" i="2" s="1"/>
  <c r="AZ536" i="2"/>
  <c r="AZ538" i="2" s="1"/>
  <c r="BA534" i="2"/>
  <c r="AW1301" i="2"/>
  <c r="BA526" i="2"/>
  <c r="AX272" i="2"/>
  <c r="AX607" i="2" s="1"/>
  <c r="AV273" i="2"/>
  <c r="AV127" i="4" s="1"/>
  <c r="AZ252" i="2"/>
  <c r="AZ265" i="2" s="1"/>
  <c r="AZ254" i="2" s="1"/>
  <c r="AX459" i="4"/>
  <c r="AY271" i="2"/>
  <c r="AZ275" i="2"/>
  <c r="AZ586" i="2" s="1"/>
  <c r="AZ587" i="2" s="1"/>
  <c r="AZ588" i="2" s="1"/>
  <c r="AY264" i="2"/>
  <c r="AY274" i="2" s="1"/>
  <c r="AY1292" i="2" s="1"/>
  <c r="AY265" i="2"/>
  <c r="AX256" i="2" s="1"/>
  <c r="AX208" i="2"/>
  <c r="AX210" i="2" s="1"/>
  <c r="AY205" i="2"/>
  <c r="AY584" i="2"/>
  <c r="AY166" i="4" s="1"/>
  <c r="AY262" i="4" s="1"/>
  <c r="BA246" i="2"/>
  <c r="BA275" i="2" s="1"/>
  <c r="BA586" i="2" s="1"/>
  <c r="BA248" i="2"/>
  <c r="BA277" i="2" s="1"/>
  <c r="BA228" i="2"/>
  <c r="BB245" i="2"/>
  <c r="BB268" i="2" s="1"/>
  <c r="BB95" i="4" s="1"/>
  <c r="BA268" i="2"/>
  <c r="BA95" i="4" s="1"/>
  <c r="BA237" i="4" s="1"/>
  <c r="AX232" i="2"/>
  <c r="AX234" i="2" s="1"/>
  <c r="AY230" i="2"/>
  <c r="AZ29" i="4"/>
  <c r="AZ240" i="2"/>
  <c r="AZ241" i="2"/>
  <c r="AY232" i="2" s="1"/>
  <c r="BB222" i="2"/>
  <c r="BB224" i="2"/>
  <c r="AW602" i="2"/>
  <c r="AW183" i="4" s="1"/>
  <c r="AZ464" i="4"/>
  <c r="AZ437" i="4"/>
  <c r="BB71" i="2"/>
  <c r="BA397" i="2"/>
  <c r="AZ598" i="2"/>
  <c r="AZ401" i="2"/>
  <c r="AY599" i="2"/>
  <c r="AX596" i="2"/>
  <c r="AX164" i="4" s="1"/>
  <c r="AX600" i="2"/>
  <c r="BA419" i="2"/>
  <c r="BA1323" i="2" s="1"/>
  <c r="BA464" i="4" s="1"/>
  <c r="AS1198" i="2"/>
  <c r="AY109" i="10"/>
  <c r="AY110" i="10" s="1"/>
  <c r="AT1200" i="2"/>
  <c r="AZ1118" i="2"/>
  <c r="AZ1119" i="2" s="1"/>
  <c r="BA1118" i="2" s="1"/>
  <c r="BA575" i="2"/>
  <c r="BA572" i="2" s="1"/>
  <c r="BA162" i="4" s="1"/>
  <c r="BB1310" i="2"/>
  <c r="AZ594" i="2"/>
  <c r="BB178" i="2"/>
  <c r="BA181" i="2"/>
  <c r="BA183" i="2" s="1"/>
  <c r="BB158" i="2"/>
  <c r="BB179" i="2"/>
  <c r="AV1107" i="2"/>
  <c r="AW1106" i="2" s="1"/>
  <c r="AV163" i="4"/>
  <c r="AV631" i="2"/>
  <c r="BB374" i="4"/>
  <c r="BB324" i="4"/>
  <c r="BB277" i="4"/>
  <c r="G197" i="7" s="1"/>
  <c r="BB1184" i="2"/>
  <c r="BB1264" i="2"/>
  <c r="AU1105" i="2"/>
  <c r="BA615" i="2"/>
  <c r="BA186" i="4" s="1"/>
  <c r="AZ98" i="4"/>
  <c r="AW116" i="10"/>
  <c r="AZ206" i="2"/>
  <c r="AG86" i="10"/>
  <c r="AZ162" i="4"/>
  <c r="AV613" i="2"/>
  <c r="AY162" i="4"/>
  <c r="AY208" i="2"/>
  <c r="AZ205" i="2"/>
  <c r="AE77" i="10"/>
  <c r="AE78" i="10" s="1"/>
  <c r="BA593" i="2"/>
  <c r="BA594" i="2" s="1"/>
  <c r="BB96" i="4" l="1"/>
  <c r="BB204" i="2"/>
  <c r="BA28" i="4"/>
  <c r="BA217" i="2"/>
  <c r="BA205" i="2" s="1"/>
  <c r="B104" i="7"/>
  <c r="G75" i="7"/>
  <c r="B105" i="7"/>
  <c r="G161" i="7"/>
  <c r="G120" i="7"/>
  <c r="G165" i="7"/>
  <c r="G158" i="7"/>
  <c r="G101" i="7"/>
  <c r="BB32" i="4"/>
  <c r="G160" i="7"/>
  <c r="B39" i="4"/>
  <c r="H106" i="7"/>
  <c r="AO1217" i="2"/>
  <c r="AP1218" i="2"/>
  <c r="BB128" i="4"/>
  <c r="BB416" i="2"/>
  <c r="BB1322" i="2" s="1"/>
  <c r="BB418" i="2"/>
  <c r="Y435" i="4"/>
  <c r="Y462" i="4"/>
  <c r="BB181" i="2"/>
  <c r="BB183" i="2" s="1"/>
  <c r="AA1331" i="2"/>
  <c r="AA1332" i="2" s="1"/>
  <c r="AA1333" i="2" s="1"/>
  <c r="AK222" i="4"/>
  <c r="AK195" i="4"/>
  <c r="BB775" i="2"/>
  <c r="BB995" i="2" s="1"/>
  <c r="AB284" i="4"/>
  <c r="AB333" i="4"/>
  <c r="AB247" i="4"/>
  <c r="AB256" i="4"/>
  <c r="AB109" i="4"/>
  <c r="AB115" i="4" s="1"/>
  <c r="AB1328" i="2" s="1"/>
  <c r="AB1330" i="2" s="1"/>
  <c r="BB410" i="2"/>
  <c r="Z1334" i="2"/>
  <c r="Z1337" i="2"/>
  <c r="Z1325" i="2" s="1"/>
  <c r="AD983" i="2"/>
  <c r="AD175" i="4" s="1"/>
  <c r="AE935" i="2"/>
  <c r="AD953" i="2"/>
  <c r="AD63" i="4" s="1"/>
  <c r="AD767" i="2"/>
  <c r="AC1316" i="2"/>
  <c r="AC1313" i="2" s="1"/>
  <c r="AC173" i="4"/>
  <c r="AC179" i="4" s="1"/>
  <c r="AC264" i="4" s="1"/>
  <c r="AD957" i="2"/>
  <c r="AD771" i="2"/>
  <c r="AB463" i="4"/>
  <c r="AB494" i="4"/>
  <c r="AB436" i="4"/>
  <c r="AD882" i="2"/>
  <c r="AD973" i="2" s="1"/>
  <c r="AE877" i="2"/>
  <c r="AE968" i="2" s="1"/>
  <c r="AK241" i="4"/>
  <c r="AL192" i="4"/>
  <c r="AL222" i="4" s="1"/>
  <c r="BB236" i="4"/>
  <c r="BB237" i="4"/>
  <c r="BB497" i="4"/>
  <c r="BB50" i="4"/>
  <c r="BA48" i="4"/>
  <c r="BA238" i="4" s="1"/>
  <c r="AL212" i="4"/>
  <c r="AL373" i="4"/>
  <c r="AL276" i="4"/>
  <c r="AM1251" i="2"/>
  <c r="AM108" i="4" s="1"/>
  <c r="AM1234" i="2"/>
  <c r="AN1233" i="2" s="1"/>
  <c r="AK1243" i="2"/>
  <c r="AK1258" i="2"/>
  <c r="AL1259" i="2"/>
  <c r="AL112" i="4" s="1"/>
  <c r="AL241" i="4" s="1"/>
  <c r="AX270" i="2"/>
  <c r="AW279" i="2"/>
  <c r="AW611" i="2" s="1"/>
  <c r="AW612" i="2" s="1"/>
  <c r="AW613" i="2" s="1"/>
  <c r="AX258" i="2"/>
  <c r="AX273" i="2" s="1"/>
  <c r="AX127" i="4" s="1"/>
  <c r="BB524" i="2"/>
  <c r="BB554" i="2" s="1"/>
  <c r="BB1302" i="2" s="1"/>
  <c r="BB553" i="2"/>
  <c r="BB565" i="2" s="1"/>
  <c r="BB61" i="4"/>
  <c r="BA560" i="2"/>
  <c r="BA552" i="2"/>
  <c r="BA566" i="2" s="1"/>
  <c r="BA559" i="2"/>
  <c r="AZ562" i="2"/>
  <c r="AZ564" i="2" s="1"/>
  <c r="BB534" i="2"/>
  <c r="BA536" i="2"/>
  <c r="BA538" i="2" s="1"/>
  <c r="BB526" i="2"/>
  <c r="BA94" i="4"/>
  <c r="BA98" i="4" s="1"/>
  <c r="AX602" i="2"/>
  <c r="AX183" i="4" s="1"/>
  <c r="AV280" i="2"/>
  <c r="AW127" i="4"/>
  <c r="AZ264" i="2"/>
  <c r="AZ274" i="2" s="1"/>
  <c r="AZ1292" i="2" s="1"/>
  <c r="AZ30" i="4"/>
  <c r="AZ27" i="4" s="1"/>
  <c r="AZ271" i="2"/>
  <c r="AY253" i="2"/>
  <c r="AY272" i="2" s="1"/>
  <c r="AY607" i="2" s="1"/>
  <c r="AY269" i="2"/>
  <c r="AY1301" i="2" s="1"/>
  <c r="AZ584" i="2"/>
  <c r="AZ166" i="4" s="1"/>
  <c r="AZ262" i="4" s="1"/>
  <c r="AY254" i="2"/>
  <c r="AY278" i="2" s="1"/>
  <c r="AY604" i="2" s="1"/>
  <c r="AY234" i="2"/>
  <c r="BA587" i="2"/>
  <c r="BA588" i="2" s="1"/>
  <c r="AZ230" i="2"/>
  <c r="AZ278" i="2" s="1"/>
  <c r="AZ604" i="2" s="1"/>
  <c r="AX279" i="2"/>
  <c r="AX611" i="2" s="1"/>
  <c r="BA252" i="2"/>
  <c r="BA264" i="2" s="1"/>
  <c r="BA241" i="2"/>
  <c r="BA230" i="2" s="1"/>
  <c r="AZ253" i="2"/>
  <c r="BA240" i="2"/>
  <c r="BA29" i="4"/>
  <c r="AZ269" i="2"/>
  <c r="AZ229" i="2"/>
  <c r="BB248" i="2"/>
  <c r="BB277" i="2" s="1"/>
  <c r="BB246" i="2"/>
  <c r="AY256" i="2"/>
  <c r="BB228" i="2"/>
  <c r="BB240" i="2" s="1"/>
  <c r="AY432" i="4"/>
  <c r="AY459" i="4"/>
  <c r="AY486" i="4"/>
  <c r="BA437" i="4"/>
  <c r="BA496" i="4"/>
  <c r="AY600" i="2"/>
  <c r="BB397" i="2"/>
  <c r="BA598" i="2"/>
  <c r="BA401" i="2"/>
  <c r="AZ599" i="2"/>
  <c r="AZ596" i="2" s="1"/>
  <c r="AZ164" i="4" s="1"/>
  <c r="AX261" i="4"/>
  <c r="AY596" i="2"/>
  <c r="AY164" i="4" s="1"/>
  <c r="AZ109" i="10"/>
  <c r="AZ110" i="10" s="1"/>
  <c r="BA109" i="10" s="1"/>
  <c r="AY108" i="10"/>
  <c r="AZ105" i="10" s="1"/>
  <c r="AT1198" i="2"/>
  <c r="AU1199" i="2"/>
  <c r="BA260" i="4"/>
  <c r="AZ260" i="4"/>
  <c r="AY260" i="4"/>
  <c r="BB260" i="4"/>
  <c r="AV1105" i="2"/>
  <c r="BA576" i="2"/>
  <c r="BB576" i="2"/>
  <c r="AZ1117" i="2"/>
  <c r="BA206" i="2"/>
  <c r="BA1119" i="2"/>
  <c r="BB1118" i="2" s="1"/>
  <c r="AY210" i="2"/>
  <c r="AH84" i="10"/>
  <c r="AH85" i="10" s="1"/>
  <c r="BB28" i="4"/>
  <c r="BB216" i="2"/>
  <c r="BB217" i="2"/>
  <c r="BB615" i="2"/>
  <c r="BB186" i="4" s="1"/>
  <c r="BB593" i="2"/>
  <c r="BB594" i="2" s="1"/>
  <c r="AW117" i="10"/>
  <c r="AW115" i="10" s="1"/>
  <c r="AX112" i="10" s="1"/>
  <c r="AW1107" i="2"/>
  <c r="AX1106" i="2" s="1"/>
  <c r="BA590" i="2"/>
  <c r="BA165" i="4" s="1"/>
  <c r="AE79" i="10"/>
  <c r="AZ208" i="2" l="1"/>
  <c r="BB239" i="4"/>
  <c r="G77" i="7"/>
  <c r="G117" i="7"/>
  <c r="E128" i="7"/>
  <c r="B106" i="7"/>
  <c r="G95" i="7"/>
  <c r="G126" i="7"/>
  <c r="G99" i="7"/>
  <c r="BB419" i="2"/>
  <c r="BB1323" i="2" s="1"/>
  <c r="BB437" i="4" s="1"/>
  <c r="AP1219" i="2"/>
  <c r="AP1217" i="2" s="1"/>
  <c r="AQ1218" i="2"/>
  <c r="AA1336" i="2"/>
  <c r="AA1334" i="2" s="1"/>
  <c r="AB492" i="4"/>
  <c r="AB1331" i="2"/>
  <c r="AB1332" i="2" s="1"/>
  <c r="AB1333" i="2" s="1"/>
  <c r="AE881" i="2"/>
  <c r="AE972" i="2" s="1"/>
  <c r="AD954" i="2"/>
  <c r="AE766" i="2"/>
  <c r="AD107" i="4"/>
  <c r="AD65" i="4"/>
  <c r="AD958" i="2"/>
  <c r="AE770" i="2"/>
  <c r="AE982" i="2"/>
  <c r="AE936" i="2"/>
  <c r="Z1326" i="2"/>
  <c r="Z491" i="4"/>
  <c r="AC1314" i="2"/>
  <c r="AC1315" i="2" s="1"/>
  <c r="AC103" i="4"/>
  <c r="AC104" i="4" s="1"/>
  <c r="AC247" i="4" s="1"/>
  <c r="AC495" i="4"/>
  <c r="AE878" i="2"/>
  <c r="AE969" i="2" s="1"/>
  <c r="AD1318" i="2"/>
  <c r="AD174" i="4"/>
  <c r="AL195" i="4"/>
  <c r="AL208" i="4"/>
  <c r="BB97" i="4"/>
  <c r="BB60" i="4"/>
  <c r="AN1251" i="2"/>
  <c r="AN108" i="4" s="1"/>
  <c r="AN1234" i="2"/>
  <c r="AN1252" i="2" s="1"/>
  <c r="AN130" i="4" s="1"/>
  <c r="AO1233" i="2"/>
  <c r="AM1232" i="2"/>
  <c r="AM1252" i="2"/>
  <c r="AM130" i="4" s="1"/>
  <c r="AK1257" i="2"/>
  <c r="AL1242" i="2"/>
  <c r="AW609" i="2"/>
  <c r="AW631" i="2" s="1"/>
  <c r="AX612" i="2"/>
  <c r="AX613" i="2" s="1"/>
  <c r="AW280" i="2"/>
  <c r="BB559" i="2"/>
  <c r="BB560" i="2"/>
  <c r="BA562" i="2"/>
  <c r="BA564" i="2" s="1"/>
  <c r="BB552" i="2"/>
  <c r="BB566" i="2" s="1"/>
  <c r="BB536" i="2"/>
  <c r="BB538" i="2" s="1"/>
  <c r="AZ486" i="4"/>
  <c r="AZ432" i="4"/>
  <c r="AY270" i="2"/>
  <c r="AX280" i="2"/>
  <c r="BB241" i="2"/>
  <c r="BA232" i="2" s="1"/>
  <c r="BB29" i="4"/>
  <c r="AZ272" i="2"/>
  <c r="AZ607" i="2" s="1"/>
  <c r="AZ459" i="4"/>
  <c r="AY258" i="2"/>
  <c r="AY273" i="2" s="1"/>
  <c r="BB252" i="2"/>
  <c r="BB271" i="2" s="1"/>
  <c r="AY605" i="2"/>
  <c r="AY606" i="2" s="1"/>
  <c r="BA274" i="2"/>
  <c r="BA1292" i="2" s="1"/>
  <c r="BA459" i="4" s="1"/>
  <c r="AZ605" i="2"/>
  <c r="BB275" i="2"/>
  <c r="BB586" i="2" s="1"/>
  <c r="BA584" i="2"/>
  <c r="BA166" i="4" s="1"/>
  <c r="BA262" i="4" s="1"/>
  <c r="BA229" i="2"/>
  <c r="BA30" i="4"/>
  <c r="BA27" i="4" s="1"/>
  <c r="BA271" i="2"/>
  <c r="AZ232" i="2"/>
  <c r="AZ234" i="2" s="1"/>
  <c r="BA265" i="2"/>
  <c r="BA254" i="2" s="1"/>
  <c r="BA278" i="2" s="1"/>
  <c r="BA604" i="2" s="1"/>
  <c r="BA605" i="2" s="1"/>
  <c r="AZ1301" i="2"/>
  <c r="AZ270" i="2"/>
  <c r="AY279" i="2"/>
  <c r="AY611" i="2" s="1"/>
  <c r="AY612" i="2" s="1"/>
  <c r="AZ261" i="4"/>
  <c r="BB598" i="2"/>
  <c r="BB401" i="2"/>
  <c r="BA599" i="2"/>
  <c r="AY261" i="4"/>
  <c r="AZ600" i="2"/>
  <c r="AZ108" i="10"/>
  <c r="BA105" i="10" s="1"/>
  <c r="AX116" i="10"/>
  <c r="AX117" i="10" s="1"/>
  <c r="AU1200" i="2"/>
  <c r="AV1199" i="2" s="1"/>
  <c r="BA1117" i="2"/>
  <c r="AW1105" i="2"/>
  <c r="BA208" i="2"/>
  <c r="AZ210" i="2"/>
  <c r="BA110" i="10"/>
  <c r="BA108" i="10" s="1"/>
  <c r="BB105" i="10" s="1"/>
  <c r="BB109" i="10"/>
  <c r="AF77" i="10"/>
  <c r="AF78" i="10" s="1"/>
  <c r="BB1119" i="2"/>
  <c r="BB206" i="2"/>
  <c r="AH86" i="10"/>
  <c r="AX1107" i="2"/>
  <c r="AX1105" i="2" s="1"/>
  <c r="BB590" i="2"/>
  <c r="BB165" i="4" s="1"/>
  <c r="BB205" i="2"/>
  <c r="BB464" i="4" l="1"/>
  <c r="BB496" i="4"/>
  <c r="G162" i="7"/>
  <c r="E172" i="7"/>
  <c r="G96" i="7"/>
  <c r="G125" i="7"/>
  <c r="E130" i="7"/>
  <c r="AQ1219" i="2"/>
  <c r="AA1337" i="2"/>
  <c r="AA1325" i="2" s="1"/>
  <c r="AA491" i="4" s="1"/>
  <c r="AB1336" i="2"/>
  <c r="AB1334" i="2" s="1"/>
  <c r="AX115" i="10"/>
  <c r="AY112" i="10" s="1"/>
  <c r="AY116" i="10"/>
  <c r="AC333" i="4"/>
  <c r="AE957" i="2"/>
  <c r="AE771" i="2"/>
  <c r="AC207" i="4"/>
  <c r="AC209" i="4" s="1"/>
  <c r="AF877" i="2"/>
  <c r="AF968" i="2" s="1"/>
  <c r="Z493" i="4"/>
  <c r="Z1327" i="2"/>
  <c r="AD240" i="4"/>
  <c r="AC284" i="4"/>
  <c r="AC494" i="4"/>
  <c r="AC436" i="4"/>
  <c r="AC463" i="4"/>
  <c r="AD173" i="4"/>
  <c r="AD179" i="4" s="1"/>
  <c r="AD264" i="4" s="1"/>
  <c r="AD1316" i="2"/>
  <c r="AD1313" i="2" s="1"/>
  <c r="AE882" i="2"/>
  <c r="AE973" i="2" s="1"/>
  <c r="AC109" i="4"/>
  <c r="AC115" i="4" s="1"/>
  <c r="AC1328" i="2" s="1"/>
  <c r="AC1331" i="2" s="1"/>
  <c r="AC1332" i="2" s="1"/>
  <c r="AE983" i="2"/>
  <c r="AE175" i="4" s="1"/>
  <c r="AF935" i="2"/>
  <c r="AE953" i="2"/>
  <c r="AE63" i="4" s="1"/>
  <c r="AE767" i="2"/>
  <c r="AC256" i="4"/>
  <c r="BB94" i="4"/>
  <c r="BB48" i="4"/>
  <c r="BB102" i="4"/>
  <c r="AM1253" i="2"/>
  <c r="AM1248" i="2" s="1"/>
  <c r="AM373" i="4"/>
  <c r="AM212" i="4"/>
  <c r="AM276" i="4"/>
  <c r="AO1251" i="2"/>
  <c r="AO108" i="4" s="1"/>
  <c r="AO1234" i="2"/>
  <c r="AO1252" i="2" s="1"/>
  <c r="AO130" i="4" s="1"/>
  <c r="AP1233" i="2"/>
  <c r="AN1232" i="2"/>
  <c r="AN373" i="4"/>
  <c r="AN212" i="4"/>
  <c r="AN276" i="4"/>
  <c r="AL1243" i="2"/>
  <c r="AL1258" i="2"/>
  <c r="AW163" i="4"/>
  <c r="AX609" i="2"/>
  <c r="AX631" i="2" s="1"/>
  <c r="BB562" i="2"/>
  <c r="BB564" i="2" s="1"/>
  <c r="BB264" i="2"/>
  <c r="BB274" i="2" s="1"/>
  <c r="BB1292" i="2" s="1"/>
  <c r="BB265" i="2"/>
  <c r="BB269" i="2" s="1"/>
  <c r="BB30" i="4"/>
  <c r="BB229" i="2"/>
  <c r="BB230" i="2"/>
  <c r="BA486" i="4"/>
  <c r="AZ606" i="2"/>
  <c r="AY127" i="4"/>
  <c r="AY280" i="2"/>
  <c r="BA432" i="4"/>
  <c r="AZ256" i="2"/>
  <c r="AZ258" i="2" s="1"/>
  <c r="AZ273" i="2" s="1"/>
  <c r="AY602" i="2"/>
  <c r="AY183" i="4" s="1"/>
  <c r="BA269" i="2"/>
  <c r="BA270" i="2" s="1"/>
  <c r="BA234" i="2"/>
  <c r="AZ602" i="2"/>
  <c r="AZ183" i="4" s="1"/>
  <c r="BA253" i="2"/>
  <c r="BA272" i="2" s="1"/>
  <c r="BA607" i="2" s="1"/>
  <c r="BB232" i="2"/>
  <c r="BB587" i="2"/>
  <c r="BB588" i="2" s="1"/>
  <c r="BA602" i="2"/>
  <c r="BA183" i="4" s="1"/>
  <c r="BA606" i="2"/>
  <c r="BA600" i="2"/>
  <c r="BB599" i="2"/>
  <c r="BB596" i="2" s="1"/>
  <c r="BB164" i="4" s="1"/>
  <c r="BA596" i="2"/>
  <c r="BA164" i="4" s="1"/>
  <c r="AU1198" i="2"/>
  <c r="AV1200" i="2"/>
  <c r="BB1117" i="2"/>
  <c r="BA210" i="2"/>
  <c r="AY1106" i="2"/>
  <c r="AI84" i="10"/>
  <c r="AI85" i="10" s="1"/>
  <c r="BB208" i="2"/>
  <c r="AF79" i="10"/>
  <c r="BB110" i="10"/>
  <c r="BB108" i="10" s="1"/>
  <c r="AY613" i="2"/>
  <c r="AY609" i="2"/>
  <c r="AY117" i="10"/>
  <c r="AZ116" i="10" s="1"/>
  <c r="G167" i="7" l="1"/>
  <c r="G115" i="7"/>
  <c r="G159" i="7"/>
  <c r="G97" i="7"/>
  <c r="AQ1217" i="2"/>
  <c r="AR1218" i="2"/>
  <c r="AA1326" i="2"/>
  <c r="AA493" i="4" s="1"/>
  <c r="BB238" i="4"/>
  <c r="AM192" i="4"/>
  <c r="AM222" i="4" s="1"/>
  <c r="AB1337" i="2"/>
  <c r="AB1325" i="2" s="1"/>
  <c r="AB1326" i="2" s="1"/>
  <c r="AB493" i="4" s="1"/>
  <c r="AY115" i="10"/>
  <c r="AZ112" i="10" s="1"/>
  <c r="AC492" i="4"/>
  <c r="AC1330" i="2"/>
  <c r="AC1333" i="2" s="1"/>
  <c r="AF878" i="2"/>
  <c r="AF969" i="2" s="1"/>
  <c r="AE174" i="4"/>
  <c r="AE1318" i="2"/>
  <c r="AF881" i="2"/>
  <c r="AF972" i="2" s="1"/>
  <c r="AE954" i="2"/>
  <c r="AF766" i="2"/>
  <c r="AE65" i="4"/>
  <c r="AE107" i="4"/>
  <c r="AE958" i="2"/>
  <c r="AF770" i="2"/>
  <c r="AD1314" i="2"/>
  <c r="AD1315" i="2" s="1"/>
  <c r="AD103" i="4"/>
  <c r="AD495" i="4"/>
  <c r="AF936" i="2"/>
  <c r="AF982" i="2"/>
  <c r="Z462" i="4"/>
  <c r="Z435" i="4"/>
  <c r="Z490" i="4"/>
  <c r="AM1259" i="2"/>
  <c r="AM112" i="4" s="1"/>
  <c r="AM241" i="4" s="1"/>
  <c r="BB98" i="4"/>
  <c r="BB27" i="4"/>
  <c r="BB432" i="4"/>
  <c r="AN1253" i="2"/>
  <c r="AN192" i="4" s="1"/>
  <c r="AO1232" i="2"/>
  <c r="AL1257" i="2"/>
  <c r="AM1242" i="2"/>
  <c r="AP1251" i="2"/>
  <c r="AP108" i="4" s="1"/>
  <c r="F173" i="7" s="1"/>
  <c r="AP1234" i="2"/>
  <c r="AP1252" i="2" s="1"/>
  <c r="AP130" i="4" s="1"/>
  <c r="AO212" i="4"/>
  <c r="AO373" i="4"/>
  <c r="AO276" i="4"/>
  <c r="AX163" i="4"/>
  <c r="BB486" i="4"/>
  <c r="BA256" i="2"/>
  <c r="BA279" i="2" s="1"/>
  <c r="BA611" i="2" s="1"/>
  <c r="AZ279" i="2"/>
  <c r="AZ611" i="2" s="1"/>
  <c r="AZ612" i="2" s="1"/>
  <c r="AZ609" i="2" s="1"/>
  <c r="AZ163" i="4" s="1"/>
  <c r="BB459" i="4"/>
  <c r="BB254" i="2"/>
  <c r="BB278" i="2" s="1"/>
  <c r="BB604" i="2" s="1"/>
  <c r="BB605" i="2" s="1"/>
  <c r="BB606" i="2" s="1"/>
  <c r="BB253" i="2"/>
  <c r="BB272" i="2" s="1"/>
  <c r="BB607" i="2" s="1"/>
  <c r="BB234" i="2"/>
  <c r="BA1301" i="2"/>
  <c r="BB584" i="2"/>
  <c r="BB166" i="4" s="1"/>
  <c r="AZ127" i="4"/>
  <c r="BB1301" i="2"/>
  <c r="BB270" i="2"/>
  <c r="BB600" i="2"/>
  <c r="BB261" i="4"/>
  <c r="BA261" i="4"/>
  <c r="AW1199" i="2"/>
  <c r="AV1198" i="2"/>
  <c r="BB210" i="2"/>
  <c r="AG77" i="10"/>
  <c r="AG78" i="10" s="1"/>
  <c r="AZ117" i="10"/>
  <c r="BA116" i="10" s="1"/>
  <c r="AC1336" i="2"/>
  <c r="AC1334" i="2" s="1"/>
  <c r="AI86" i="10"/>
  <c r="AY1107" i="2"/>
  <c r="AY1105" i="2" s="1"/>
  <c r="AY163" i="4"/>
  <c r="AY631" i="2"/>
  <c r="G94" i="7" l="1"/>
  <c r="G163" i="7"/>
  <c r="E168" i="7"/>
  <c r="AR1219" i="2"/>
  <c r="AR1217" i="2" s="1"/>
  <c r="AS1218" i="2"/>
  <c r="AS1219" i="2" s="1"/>
  <c r="AS1217" i="2" s="1"/>
  <c r="AA1327" i="2"/>
  <c r="AA490" i="4" s="1"/>
  <c r="AM208" i="4"/>
  <c r="AM195" i="4"/>
  <c r="AE240" i="4"/>
  <c r="AB1327" i="2"/>
  <c r="AB490" i="4" s="1"/>
  <c r="AB491" i="4"/>
  <c r="AG877" i="2"/>
  <c r="AG968" i="2" s="1"/>
  <c r="AD104" i="4"/>
  <c r="AF953" i="2"/>
  <c r="AF63" i="4" s="1"/>
  <c r="AF767" i="2"/>
  <c r="AD436" i="4"/>
  <c r="AD494" i="4"/>
  <c r="AD463" i="4"/>
  <c r="AE1316" i="2"/>
  <c r="AE1313" i="2" s="1"/>
  <c r="AE173" i="4"/>
  <c r="AE179" i="4" s="1"/>
  <c r="AE264" i="4" s="1"/>
  <c r="AF957" i="2"/>
  <c r="AF771" i="2"/>
  <c r="AF882" i="2"/>
  <c r="AF973" i="2" s="1"/>
  <c r="AF983" i="2"/>
  <c r="AF175" i="4" s="1"/>
  <c r="AG935" i="2"/>
  <c r="AN1248" i="2"/>
  <c r="AN1259" i="2"/>
  <c r="AN112" i="4" s="1"/>
  <c r="AN241" i="4" s="1"/>
  <c r="AO1253" i="2"/>
  <c r="AP1232" i="2"/>
  <c r="AQ1233" i="2"/>
  <c r="AN222" i="4"/>
  <c r="AN208" i="4"/>
  <c r="AN195" i="4"/>
  <c r="AP212" i="4"/>
  <c r="AP373" i="4"/>
  <c r="AP276" i="4"/>
  <c r="F196" i="7" s="1"/>
  <c r="AM1243" i="2"/>
  <c r="AM1258" i="2"/>
  <c r="AZ613" i="2"/>
  <c r="BA612" i="2"/>
  <c r="BA613" i="2" s="1"/>
  <c r="AZ631" i="2"/>
  <c r="AZ280" i="2"/>
  <c r="BA258" i="2"/>
  <c r="BA273" i="2" s="1"/>
  <c r="BA127" i="4" s="1"/>
  <c r="BB602" i="2"/>
  <c r="BB183" i="4" s="1"/>
  <c r="BB262" i="4"/>
  <c r="BB256" i="2"/>
  <c r="AZ115" i="10"/>
  <c r="BA112" i="10" s="1"/>
  <c r="AW1200" i="2"/>
  <c r="AW1198" i="2" s="1"/>
  <c r="AZ1106" i="2"/>
  <c r="AZ1107" i="2" s="1"/>
  <c r="AZ1105" i="2" s="1"/>
  <c r="AC1337" i="2"/>
  <c r="AC1325" i="2" s="1"/>
  <c r="AC491" i="4" s="1"/>
  <c r="BA117" i="10"/>
  <c r="BB116" i="10" s="1"/>
  <c r="AJ84" i="10"/>
  <c r="AJ85" i="10" s="1"/>
  <c r="AG79" i="10"/>
  <c r="E169" i="7" l="1"/>
  <c r="AA462" i="4"/>
  <c r="AA435" i="4"/>
  <c r="AT1218" i="2"/>
  <c r="AB435" i="4"/>
  <c r="AB462" i="4"/>
  <c r="AG936" i="2"/>
  <c r="AG982" i="2"/>
  <c r="AF958" i="2"/>
  <c r="AG770" i="2"/>
  <c r="AG878" i="2"/>
  <c r="AG969" i="2" s="1"/>
  <c r="AE103" i="4"/>
  <c r="AE495" i="4"/>
  <c r="AE1314" i="2"/>
  <c r="AE1315" i="2" s="1"/>
  <c r="AF174" i="4"/>
  <c r="AF1318" i="2"/>
  <c r="AF954" i="2"/>
  <c r="AG766" i="2"/>
  <c r="AF107" i="4"/>
  <c r="AF65" i="4"/>
  <c r="AG881" i="2"/>
  <c r="AG972" i="2" s="1"/>
  <c r="AD247" i="4"/>
  <c r="AD256" i="4"/>
  <c r="AD207" i="4"/>
  <c r="AD209" i="4" s="1"/>
  <c r="AD109" i="4"/>
  <c r="AD284" i="4"/>
  <c r="AD333" i="4"/>
  <c r="AP1253" i="2"/>
  <c r="AP1259" i="2" s="1"/>
  <c r="AP112" i="4" s="1"/>
  <c r="AO1248" i="2"/>
  <c r="AO1259" i="2"/>
  <c r="AO112" i="4" s="1"/>
  <c r="AO241" i="4" s="1"/>
  <c r="AO192" i="4"/>
  <c r="AM1257" i="2"/>
  <c r="AN1242" i="2"/>
  <c r="AQ1251" i="2"/>
  <c r="AQ108" i="4" s="1"/>
  <c r="AQ1234" i="2"/>
  <c r="AQ1252" i="2" s="1"/>
  <c r="AQ130" i="4" s="1"/>
  <c r="BA609" i="2"/>
  <c r="BA163" i="4" s="1"/>
  <c r="BA280" i="2"/>
  <c r="BB258" i="2"/>
  <c r="BB273" i="2" s="1"/>
  <c r="BB279" i="2"/>
  <c r="BB611" i="2" s="1"/>
  <c r="BB612" i="2" s="1"/>
  <c r="BB609" i="2" s="1"/>
  <c r="BB631" i="2" s="1"/>
  <c r="AX1199" i="2"/>
  <c r="AX1200" i="2" s="1"/>
  <c r="AY1199" i="2" s="1"/>
  <c r="BA115" i="10"/>
  <c r="BB112" i="10" s="1"/>
  <c r="BA1106" i="2"/>
  <c r="BA1107" i="2" s="1"/>
  <c r="AC1326" i="2"/>
  <c r="AC493" i="4" s="1"/>
  <c r="AJ86" i="10"/>
  <c r="AH77" i="10"/>
  <c r="AH78" i="10" s="1"/>
  <c r="BB117" i="10"/>
  <c r="BB115" i="10" s="1"/>
  <c r="F177" i="7" l="1"/>
  <c r="E174" i="7"/>
  <c r="E204" i="7"/>
  <c r="AT1219" i="2"/>
  <c r="AT1217" i="2"/>
  <c r="AU1218" i="2"/>
  <c r="AP1248" i="2"/>
  <c r="AE104" i="4"/>
  <c r="AF240" i="4"/>
  <c r="AE463" i="4"/>
  <c r="AE436" i="4"/>
  <c r="AE494" i="4"/>
  <c r="AD115" i="4"/>
  <c r="AG953" i="2"/>
  <c r="AG63" i="4" s="1"/>
  <c r="AG767" i="2"/>
  <c r="AG957" i="2"/>
  <c r="AG771" i="2"/>
  <c r="AG882" i="2"/>
  <c r="AG973" i="2" s="1"/>
  <c r="AF173" i="4"/>
  <c r="AF179" i="4" s="1"/>
  <c r="AF264" i="4" s="1"/>
  <c r="AF1316" i="2"/>
  <c r="AF1313" i="2" s="1"/>
  <c r="AG983" i="2"/>
  <c r="AG175" i="4" s="1"/>
  <c r="AH935" i="2"/>
  <c r="AH877" i="2"/>
  <c r="AH968" i="2" s="1"/>
  <c r="AP241" i="4"/>
  <c r="AP192" i="4"/>
  <c r="AP195" i="4" s="1"/>
  <c r="AO208" i="4"/>
  <c r="AO222" i="4"/>
  <c r="AO195" i="4"/>
  <c r="AR1233" i="2"/>
  <c r="AQ1232" i="2"/>
  <c r="AQ212" i="4"/>
  <c r="AQ373" i="4"/>
  <c r="AQ276" i="4"/>
  <c r="AN1243" i="2"/>
  <c r="AN1258" i="2"/>
  <c r="BA631" i="2"/>
  <c r="BB163" i="4"/>
  <c r="BB127" i="4"/>
  <c r="BB280" i="2"/>
  <c r="BB613" i="2"/>
  <c r="AX1198" i="2"/>
  <c r="AY1200" i="2"/>
  <c r="BA1105" i="2"/>
  <c r="BB1106" i="2"/>
  <c r="BB1107" i="2" s="1"/>
  <c r="AC1327" i="2"/>
  <c r="AC490" i="4" s="1"/>
  <c r="AK84" i="10"/>
  <c r="AK85" i="10" s="1"/>
  <c r="AH79" i="10"/>
  <c r="E180" i="7" l="1"/>
  <c r="AU1219" i="2"/>
  <c r="AE207" i="4"/>
  <c r="AE209" i="4" s="1"/>
  <c r="AE256" i="4"/>
  <c r="AE247" i="4"/>
  <c r="AE333" i="4"/>
  <c r="AE109" i="4"/>
  <c r="AE284" i="4"/>
  <c r="AG174" i="4"/>
  <c r="AG1318" i="2"/>
  <c r="AD492" i="4"/>
  <c r="AD1328" i="2"/>
  <c r="AH936" i="2"/>
  <c r="AH982" i="2"/>
  <c r="AG954" i="2"/>
  <c r="AH766" i="2"/>
  <c r="AF495" i="4"/>
  <c r="AF1314" i="2"/>
  <c r="AF1315" i="2" s="1"/>
  <c r="AF103" i="4"/>
  <c r="AG107" i="4"/>
  <c r="AG65" i="4"/>
  <c r="AH878" i="2"/>
  <c r="AH969" i="2" s="1"/>
  <c r="AH881" i="2"/>
  <c r="AH972" i="2" s="1"/>
  <c r="AG958" i="2"/>
  <c r="AH770" i="2"/>
  <c r="AP222" i="4"/>
  <c r="AP208" i="4"/>
  <c r="AQ1253" i="2"/>
  <c r="AQ192" i="4" s="1"/>
  <c r="AN1257" i="2"/>
  <c r="AO1242" i="2"/>
  <c r="AR1251" i="2"/>
  <c r="AR108" i="4" s="1"/>
  <c r="AR1234" i="2"/>
  <c r="AZ1199" i="2"/>
  <c r="AY1198" i="2"/>
  <c r="AC462" i="4"/>
  <c r="AC435" i="4"/>
  <c r="BB1105" i="2"/>
  <c r="AK86" i="10"/>
  <c r="AI77" i="10"/>
  <c r="AI78" i="10" s="1"/>
  <c r="AU1217" i="2" l="1"/>
  <c r="AV1218" i="2"/>
  <c r="AG240" i="4"/>
  <c r="AF104" i="4"/>
  <c r="AE115" i="4"/>
  <c r="AH957" i="2"/>
  <c r="AH771" i="2"/>
  <c r="AH953" i="2"/>
  <c r="AH63" i="4" s="1"/>
  <c r="AH767" i="2"/>
  <c r="AG1316" i="2"/>
  <c r="AG1313" i="2" s="1"/>
  <c r="AG173" i="4"/>
  <c r="AG179" i="4" s="1"/>
  <c r="AG264" i="4" s="1"/>
  <c r="AH882" i="2"/>
  <c r="AH973" i="2" s="1"/>
  <c r="AF494" i="4"/>
  <c r="AF463" i="4"/>
  <c r="AF436" i="4"/>
  <c r="AI877" i="2"/>
  <c r="AI968" i="2" s="1"/>
  <c r="AH983" i="2"/>
  <c r="AH175" i="4" s="1"/>
  <c r="AI935" i="2"/>
  <c r="AD1331" i="2"/>
  <c r="AD1332" i="2" s="1"/>
  <c r="AD1330" i="2"/>
  <c r="AQ1248" i="2"/>
  <c r="AQ1259" i="2"/>
  <c r="AQ112" i="4" s="1"/>
  <c r="AS1233" i="2"/>
  <c r="AR1252" i="2"/>
  <c r="AR130" i="4" s="1"/>
  <c r="AQ222" i="4"/>
  <c r="AQ195" i="4"/>
  <c r="AQ208" i="4"/>
  <c r="AO1243" i="2"/>
  <c r="AO1258" i="2"/>
  <c r="AR1232" i="2"/>
  <c r="AZ1200" i="2"/>
  <c r="AZ1198" i="2" s="1"/>
  <c r="AI79" i="10"/>
  <c r="AL84" i="10"/>
  <c r="AL85" i="10" s="1"/>
  <c r="AV1219" i="2" l="1"/>
  <c r="AV1217" i="2" s="1"/>
  <c r="AW1218" i="2"/>
  <c r="AF207" i="4"/>
  <c r="AF209" i="4" s="1"/>
  <c r="AQ241" i="4"/>
  <c r="AF284" i="4"/>
  <c r="AF256" i="4"/>
  <c r="AF333" i="4"/>
  <c r="AE1328" i="2"/>
  <c r="AE1330" i="2" s="1"/>
  <c r="AE1331" i="2" s="1"/>
  <c r="AE1332" i="2" s="1"/>
  <c r="AE1333" i="2" s="1"/>
  <c r="AE492" i="4"/>
  <c r="AF109" i="4"/>
  <c r="AF247" i="4"/>
  <c r="AD1333" i="2"/>
  <c r="AI936" i="2"/>
  <c r="AI982" i="2"/>
  <c r="AG1314" i="2"/>
  <c r="AG1315" i="2" s="1"/>
  <c r="AG103" i="4"/>
  <c r="AG495" i="4"/>
  <c r="AI881" i="2"/>
  <c r="AI972" i="2" s="1"/>
  <c r="AI878" i="2"/>
  <c r="AI969" i="2" s="1"/>
  <c r="AH954" i="2"/>
  <c r="AI766" i="2"/>
  <c r="AH1318" i="2"/>
  <c r="AH174" i="4"/>
  <c r="AH65" i="4"/>
  <c r="AH107" i="4"/>
  <c r="AH958" i="2"/>
  <c r="AI770" i="2"/>
  <c r="AD1336" i="2"/>
  <c r="AD1334" i="2" s="1"/>
  <c r="AR1253" i="2"/>
  <c r="AR1259" i="2" s="1"/>
  <c r="AR112" i="4" s="1"/>
  <c r="AR212" i="4"/>
  <c r="AR373" i="4"/>
  <c r="AR276" i="4"/>
  <c r="AS1251" i="2"/>
  <c r="AS108" i="4" s="1"/>
  <c r="AS1234" i="2"/>
  <c r="AS1232" i="2" s="1"/>
  <c r="AO1257" i="2"/>
  <c r="AP1242" i="2"/>
  <c r="BA1199" i="2"/>
  <c r="BA1200" i="2" s="1"/>
  <c r="BB1199" i="2" s="1"/>
  <c r="AJ77" i="10"/>
  <c r="AJ78" i="10" s="1"/>
  <c r="AL86" i="10"/>
  <c r="AW1219" i="2" l="1"/>
  <c r="AG104" i="4"/>
  <c r="AH240" i="4"/>
  <c r="AF115" i="4"/>
  <c r="AE1336" i="2"/>
  <c r="AE1337" i="2" s="1"/>
  <c r="AE1325" i="2" s="1"/>
  <c r="AE1326" i="2" s="1"/>
  <c r="AE493" i="4" s="1"/>
  <c r="AI983" i="2"/>
  <c r="AI175" i="4" s="1"/>
  <c r="AJ935" i="2"/>
  <c r="AI953" i="2"/>
  <c r="AI63" i="4" s="1"/>
  <c r="AI767" i="2"/>
  <c r="AD1337" i="2"/>
  <c r="AD1325" i="2" s="1"/>
  <c r="AH173" i="4"/>
  <c r="AH179" i="4" s="1"/>
  <c r="AH264" i="4" s="1"/>
  <c r="AH1316" i="2"/>
  <c r="AH1313" i="2" s="1"/>
  <c r="AJ877" i="2"/>
  <c r="AJ968" i="2" s="1"/>
  <c r="AI882" i="2"/>
  <c r="AI973" i="2" s="1"/>
  <c r="AG463" i="4"/>
  <c r="AG436" i="4"/>
  <c r="AG494" i="4"/>
  <c r="AI957" i="2"/>
  <c r="AI771" i="2"/>
  <c r="AR1248" i="2"/>
  <c r="AR192" i="4"/>
  <c r="AR195" i="4" s="1"/>
  <c r="AR241" i="4"/>
  <c r="AS1253" i="2"/>
  <c r="AS1248" i="2" s="1"/>
  <c r="AP1243" i="2"/>
  <c r="AP1258" i="2"/>
  <c r="AT1233" i="2"/>
  <c r="AS1252" i="2"/>
  <c r="AS130" i="4" s="1"/>
  <c r="BA1198" i="2"/>
  <c r="BB1200" i="2"/>
  <c r="BB1198" i="2" s="1"/>
  <c r="AM84" i="10"/>
  <c r="AM85" i="10" s="1"/>
  <c r="AJ79" i="10"/>
  <c r="AW1217" i="2" l="1"/>
  <c r="AX1218" i="2"/>
  <c r="AG256" i="4"/>
  <c r="AG284" i="4"/>
  <c r="AG333" i="4"/>
  <c r="AG109" i="4"/>
  <c r="AG207" i="4"/>
  <c r="AG209" i="4" s="1"/>
  <c r="AF1328" i="2"/>
  <c r="AF492" i="4"/>
  <c r="AG247" i="4"/>
  <c r="AE491" i="4"/>
  <c r="AE1334" i="2"/>
  <c r="AD1326" i="2"/>
  <c r="AD493" i="4" s="1"/>
  <c r="AD491" i="4"/>
  <c r="AI958" i="2"/>
  <c r="AJ770" i="2"/>
  <c r="AJ881" i="2"/>
  <c r="AJ972" i="2" s="1"/>
  <c r="AI954" i="2"/>
  <c r="AJ766" i="2"/>
  <c r="AJ982" i="2"/>
  <c r="AJ936" i="2"/>
  <c r="AJ878" i="2"/>
  <c r="AJ969" i="2" s="1"/>
  <c r="AI65" i="4"/>
  <c r="AI107" i="4"/>
  <c r="AI1318" i="2"/>
  <c r="AI174" i="4"/>
  <c r="AH1314" i="2"/>
  <c r="AH1315" i="2" s="1"/>
  <c r="AH103" i="4"/>
  <c r="AH495" i="4"/>
  <c r="AR208" i="4"/>
  <c r="AR222" i="4"/>
  <c r="AS192" i="4"/>
  <c r="AS195" i="4" s="1"/>
  <c r="AS1259" i="2"/>
  <c r="AS112" i="4" s="1"/>
  <c r="AT1251" i="2"/>
  <c r="AT108" i="4" s="1"/>
  <c r="AT1234" i="2"/>
  <c r="AU1233" i="2"/>
  <c r="AP1257" i="2"/>
  <c r="AQ1242" i="2"/>
  <c r="AS373" i="4"/>
  <c r="AS212" i="4"/>
  <c r="AS276" i="4"/>
  <c r="AK77" i="10"/>
  <c r="AK78" i="10" s="1"/>
  <c r="AM86" i="10"/>
  <c r="AX1219" i="2" l="1"/>
  <c r="AX1217" i="2" s="1"/>
  <c r="AY1218" i="2"/>
  <c r="AY1219" i="2" s="1"/>
  <c r="AZ1218" i="2" s="1"/>
  <c r="AZ1219" i="2" s="1"/>
  <c r="AZ1217" i="2" s="1"/>
  <c r="AG115" i="4"/>
  <c r="AF1330" i="2"/>
  <c r="AF1331" i="2"/>
  <c r="AH104" i="4"/>
  <c r="AI240" i="4"/>
  <c r="AE1327" i="2"/>
  <c r="AE490" i="4" s="1"/>
  <c r="AD1327" i="2"/>
  <c r="AD490" i="4" s="1"/>
  <c r="AJ983" i="2"/>
  <c r="AJ175" i="4" s="1"/>
  <c r="AK935" i="2"/>
  <c r="AJ882" i="2"/>
  <c r="AJ973" i="2" s="1"/>
  <c r="AH436" i="4"/>
  <c r="AH494" i="4"/>
  <c r="AH463" i="4"/>
  <c r="AJ953" i="2"/>
  <c r="AJ63" i="4" s="1"/>
  <c r="AJ767" i="2"/>
  <c r="AJ957" i="2"/>
  <c r="AJ771" i="2"/>
  <c r="AK877" i="2"/>
  <c r="AK968" i="2" s="1"/>
  <c r="AI1316" i="2"/>
  <c r="AI1313" i="2" s="1"/>
  <c r="AI173" i="4"/>
  <c r="AI179" i="4" s="1"/>
  <c r="AI264" i="4" s="1"/>
  <c r="AS208" i="4"/>
  <c r="AS222" i="4"/>
  <c r="AS241" i="4"/>
  <c r="AQ1243" i="2"/>
  <c r="AQ1258" i="2"/>
  <c r="AU1251" i="2"/>
  <c r="AU108" i="4" s="1"/>
  <c r="AU1234" i="2"/>
  <c r="AV1233" i="2"/>
  <c r="AT1232" i="2"/>
  <c r="AT1252" i="2"/>
  <c r="AT130" i="4" s="1"/>
  <c r="AK79" i="10"/>
  <c r="AN84" i="10"/>
  <c r="AN85" i="10" s="1"/>
  <c r="AY1217" i="2" l="1"/>
  <c r="BA1218" i="2"/>
  <c r="AH109" i="4"/>
  <c r="AH115" i="4" s="1"/>
  <c r="AG1328" i="2"/>
  <c r="AG1330" i="2" s="1"/>
  <c r="AG492" i="4"/>
  <c r="AE462" i="4"/>
  <c r="AH207" i="4"/>
  <c r="AH209" i="4" s="1"/>
  <c r="AD462" i="4"/>
  <c r="AF1332" i="2"/>
  <c r="AF1336" i="2"/>
  <c r="AH333" i="4"/>
  <c r="AH284" i="4"/>
  <c r="AH256" i="4"/>
  <c r="AH247" i="4"/>
  <c r="AE435" i="4"/>
  <c r="AD435" i="4"/>
  <c r="AJ958" i="2"/>
  <c r="AK770" i="2"/>
  <c r="AK881" i="2"/>
  <c r="AK972" i="2" s="1"/>
  <c r="AI495" i="4"/>
  <c r="AI1314" i="2"/>
  <c r="AI1315" i="2" s="1"/>
  <c r="AI103" i="4"/>
  <c r="AJ954" i="2"/>
  <c r="AK766" i="2"/>
  <c r="AK878" i="2"/>
  <c r="AK969" i="2" s="1"/>
  <c r="AJ65" i="4"/>
  <c r="AJ107" i="4"/>
  <c r="AJ240" i="4" s="1"/>
  <c r="AJ174" i="4"/>
  <c r="AJ1318" i="2"/>
  <c r="AK936" i="2"/>
  <c r="AK982" i="2"/>
  <c r="AT1253" i="2"/>
  <c r="AT1248" i="2" s="1"/>
  <c r="AT373" i="4"/>
  <c r="AT212" i="4"/>
  <c r="AT276" i="4"/>
  <c r="AV1251" i="2"/>
  <c r="AV108" i="4" s="1"/>
  <c r="AV1234" i="2"/>
  <c r="AV1232" i="2" s="1"/>
  <c r="AU1232" i="2"/>
  <c r="AU1252" i="2"/>
  <c r="AU130" i="4" s="1"/>
  <c r="AQ1257" i="2"/>
  <c r="AR1242" i="2"/>
  <c r="AL77" i="10"/>
  <c r="AL78" i="10" s="1"/>
  <c r="AN86" i="10"/>
  <c r="BA1219" i="2" l="1"/>
  <c r="BA1217" i="2" s="1"/>
  <c r="BB1218" i="2"/>
  <c r="BB1219" i="2" s="1"/>
  <c r="BB1217" i="2" s="1"/>
  <c r="AF1334" i="2"/>
  <c r="AF1337" i="2"/>
  <c r="AF1325" i="2" s="1"/>
  <c r="AF1333" i="2"/>
  <c r="AG1331" i="2" s="1"/>
  <c r="AG1332" i="2" s="1"/>
  <c r="AG1333" i="2" s="1"/>
  <c r="AI104" i="4"/>
  <c r="AH1328" i="2"/>
  <c r="AH492" i="4"/>
  <c r="AL935" i="2"/>
  <c r="AK983" i="2"/>
  <c r="AK175" i="4" s="1"/>
  <c r="AK953" i="2"/>
  <c r="AK63" i="4" s="1"/>
  <c r="AK767" i="2"/>
  <c r="AK882" i="2"/>
  <c r="AK973" i="2" s="1"/>
  <c r="AL877" i="2"/>
  <c r="AL968" i="2" s="1"/>
  <c r="AJ1316" i="2"/>
  <c r="AJ1313" i="2" s="1"/>
  <c r="AJ173" i="4"/>
  <c r="AJ179" i="4" s="1"/>
  <c r="AJ264" i="4" s="1"/>
  <c r="AI494" i="4"/>
  <c r="AI436" i="4"/>
  <c r="AI463" i="4"/>
  <c r="AK957" i="2"/>
  <c r="AK771" i="2"/>
  <c r="AT192" i="4"/>
  <c r="AT222" i="4" s="1"/>
  <c r="AT1259" i="2"/>
  <c r="AT112" i="4" s="1"/>
  <c r="AU1253" i="2"/>
  <c r="AU1248" i="2" s="1"/>
  <c r="AV1253" i="2"/>
  <c r="AV1248" i="2" s="1"/>
  <c r="AR1243" i="2"/>
  <c r="AR1258" i="2"/>
  <c r="AU212" i="4"/>
  <c r="AU373" i="4"/>
  <c r="AU276" i="4"/>
  <c r="AW1233" i="2"/>
  <c r="AV1252" i="2"/>
  <c r="AV130" i="4" s="1"/>
  <c r="AO84" i="10"/>
  <c r="AO85" i="10" s="1"/>
  <c r="AL79" i="10"/>
  <c r="AI207" i="4" l="1"/>
  <c r="AI209" i="4" s="1"/>
  <c r="AH1331" i="2"/>
  <c r="AH1332" i="2" s="1"/>
  <c r="AI284" i="4"/>
  <c r="AI109" i="4"/>
  <c r="AI115" i="4" s="1"/>
  <c r="AI1328" i="2" s="1"/>
  <c r="AI247" i="4"/>
  <c r="AH1330" i="2"/>
  <c r="AI256" i="4"/>
  <c r="AI333" i="4"/>
  <c r="AF1326" i="2"/>
  <c r="AF491" i="4"/>
  <c r="AG1336" i="2"/>
  <c r="AG1337" i="2" s="1"/>
  <c r="AG1325" i="2" s="1"/>
  <c r="AL881" i="2"/>
  <c r="AL972" i="2" s="1"/>
  <c r="AK958" i="2"/>
  <c r="AL770" i="2"/>
  <c r="AV192" i="4"/>
  <c r="AV195" i="4" s="1"/>
  <c r="AK954" i="2"/>
  <c r="AL766" i="2"/>
  <c r="AJ1314" i="2"/>
  <c r="AJ1315" i="2" s="1"/>
  <c r="AJ495" i="4"/>
  <c r="AJ103" i="4"/>
  <c r="AJ104" i="4" s="1"/>
  <c r="AJ256" i="4" s="1"/>
  <c r="AK107" i="4"/>
  <c r="AK240" i="4" s="1"/>
  <c r="AK65" i="4"/>
  <c r="AL878" i="2"/>
  <c r="AL969" i="2" s="1"/>
  <c r="AL982" i="2"/>
  <c r="AL936" i="2"/>
  <c r="AK174" i="4"/>
  <c r="AK1318" i="2"/>
  <c r="AT208" i="4"/>
  <c r="AT195" i="4"/>
  <c r="AU192" i="4"/>
  <c r="AU208" i="4" s="1"/>
  <c r="AT241" i="4"/>
  <c r="AU1259" i="2"/>
  <c r="AU112" i="4" s="1"/>
  <c r="AU241" i="4" s="1"/>
  <c r="AV1259" i="2"/>
  <c r="AV112" i="4" s="1"/>
  <c r="AV241" i="4" s="1"/>
  <c r="AV212" i="4"/>
  <c r="AV373" i="4"/>
  <c r="AV276" i="4"/>
  <c r="AW1251" i="2"/>
  <c r="AW108" i="4" s="1"/>
  <c r="AW1234" i="2"/>
  <c r="AX1233" i="2" s="1"/>
  <c r="AR1257" i="2"/>
  <c r="AS1242" i="2"/>
  <c r="AM77" i="10"/>
  <c r="AM78" i="10" s="1"/>
  <c r="AO86" i="10"/>
  <c r="AI1330" i="2" l="1"/>
  <c r="AH1333" i="2"/>
  <c r="AJ109" i="4"/>
  <c r="AJ115" i="4" s="1"/>
  <c r="AJ1328" i="2" s="1"/>
  <c r="AG1334" i="2"/>
  <c r="AI492" i="4"/>
  <c r="AF493" i="4"/>
  <c r="AF1327" i="2"/>
  <c r="AG491" i="4"/>
  <c r="AG1326" i="2"/>
  <c r="AJ284" i="4"/>
  <c r="AJ247" i="4"/>
  <c r="AJ333" i="4"/>
  <c r="AJ207" i="4"/>
  <c r="AJ209" i="4" s="1"/>
  <c r="AV222" i="4"/>
  <c r="AL957" i="2"/>
  <c r="AL771" i="2"/>
  <c r="AL983" i="2"/>
  <c r="AL175" i="4" s="1"/>
  <c r="AM935" i="2"/>
  <c r="AJ463" i="4"/>
  <c r="AJ436" i="4"/>
  <c r="AJ494" i="4"/>
  <c r="AL882" i="2"/>
  <c r="AL973" i="2" s="1"/>
  <c r="AM877" i="2"/>
  <c r="AM968" i="2" s="1"/>
  <c r="AL953" i="2"/>
  <c r="AL63" i="4" s="1"/>
  <c r="AL767" i="2"/>
  <c r="AK1316" i="2"/>
  <c r="AK1313" i="2" s="1"/>
  <c r="AK173" i="4"/>
  <c r="AK179" i="4" s="1"/>
  <c r="AK264" i="4" s="1"/>
  <c r="AV208" i="4"/>
  <c r="AU222" i="4"/>
  <c r="AU195" i="4"/>
  <c r="AS1243" i="2"/>
  <c r="AS1258" i="2"/>
  <c r="AX1251" i="2"/>
  <c r="AX108" i="4" s="1"/>
  <c r="AX1234" i="2"/>
  <c r="AX1252" i="2" s="1"/>
  <c r="AX130" i="4" s="1"/>
  <c r="AW1232" i="2"/>
  <c r="AW1252" i="2"/>
  <c r="AW130" i="4" s="1"/>
  <c r="AP84" i="10"/>
  <c r="AP85" i="10" s="1"/>
  <c r="AM79" i="10"/>
  <c r="AJ1330" i="2" l="1"/>
  <c r="AH1336" i="2"/>
  <c r="AH1337" i="2" s="1"/>
  <c r="AH1325" i="2" s="1"/>
  <c r="AH1326" i="2" s="1"/>
  <c r="AI1331" i="2"/>
  <c r="AJ492" i="4"/>
  <c r="AF490" i="4"/>
  <c r="AF462" i="4"/>
  <c r="AF435" i="4"/>
  <c r="AG493" i="4"/>
  <c r="AG1327" i="2"/>
  <c r="AL174" i="4"/>
  <c r="AL1318" i="2"/>
  <c r="AK1314" i="2"/>
  <c r="AK1315" i="2" s="1"/>
  <c r="AK103" i="4"/>
  <c r="AK104" i="4" s="1"/>
  <c r="AK247" i="4" s="1"/>
  <c r="AK495" i="4"/>
  <c r="AL958" i="2"/>
  <c r="AM770" i="2"/>
  <c r="AM936" i="2"/>
  <c r="AM982" i="2"/>
  <c r="AL954" i="2"/>
  <c r="AM766" i="2"/>
  <c r="AL65" i="4"/>
  <c r="AL107" i="4"/>
  <c r="AL240" i="4" s="1"/>
  <c r="AM881" i="2"/>
  <c r="AM972" i="2" s="1"/>
  <c r="AM878" i="2"/>
  <c r="AM969" i="2" s="1"/>
  <c r="AW1253" i="2"/>
  <c r="AW1259" i="2" s="1"/>
  <c r="AW112" i="4" s="1"/>
  <c r="AW241" i="4" s="1"/>
  <c r="AY1233" i="2"/>
  <c r="AY1234" i="2" s="1"/>
  <c r="AZ1233" i="2" s="1"/>
  <c r="AX1232" i="2"/>
  <c r="AS1257" i="2"/>
  <c r="AT1242" i="2"/>
  <c r="AX373" i="4"/>
  <c r="AX212" i="4"/>
  <c r="AX276" i="4"/>
  <c r="AW373" i="4"/>
  <c r="AW212" i="4"/>
  <c r="AW276" i="4"/>
  <c r="AN77" i="10"/>
  <c r="AN78" i="10" s="1"/>
  <c r="AP86" i="10"/>
  <c r="AH491" i="4" l="1"/>
  <c r="AI1332" i="2"/>
  <c r="AI1333" i="2" s="1"/>
  <c r="AJ1331" i="2" s="1"/>
  <c r="AH1334" i="2"/>
  <c r="AG490" i="4"/>
  <c r="AG435" i="4"/>
  <c r="AG462" i="4"/>
  <c r="AW192" i="4"/>
  <c r="AW208" i="4" s="1"/>
  <c r="AK109" i="4"/>
  <c r="AK115" i="4" s="1"/>
  <c r="AK1328" i="2" s="1"/>
  <c r="AK284" i="4"/>
  <c r="AK207" i="4"/>
  <c r="AK209" i="4" s="1"/>
  <c r="AK256" i="4"/>
  <c r="AK333" i="4"/>
  <c r="AH493" i="4"/>
  <c r="AH1327" i="2"/>
  <c r="AN877" i="2"/>
  <c r="AN968" i="2" s="1"/>
  <c r="AL1316" i="2"/>
  <c r="AL1313" i="2" s="1"/>
  <c r="AL173" i="4"/>
  <c r="AL179" i="4" s="1"/>
  <c r="AL264" i="4" s="1"/>
  <c r="AM882" i="2"/>
  <c r="AM973" i="2" s="1"/>
  <c r="AM983" i="2"/>
  <c r="AM175" i="4" s="1"/>
  <c r="AN935" i="2"/>
  <c r="AK463" i="4"/>
  <c r="AK436" i="4"/>
  <c r="AK494" i="4"/>
  <c r="AM953" i="2"/>
  <c r="AM63" i="4" s="1"/>
  <c r="AM767" i="2"/>
  <c r="AM957" i="2"/>
  <c r="AM771" i="2"/>
  <c r="AW1248" i="2"/>
  <c r="AY1251" i="2"/>
  <c r="AY108" i="4" s="1"/>
  <c r="AX1253" i="2"/>
  <c r="AX1248" i="2" s="1"/>
  <c r="AZ1251" i="2"/>
  <c r="AZ108" i="4" s="1"/>
  <c r="AZ1234" i="2"/>
  <c r="BA1233" i="2"/>
  <c r="AY1232" i="2"/>
  <c r="AY1252" i="2"/>
  <c r="AY130" i="4" s="1"/>
  <c r="AT1258" i="2"/>
  <c r="AT1243" i="2"/>
  <c r="AQ84" i="10"/>
  <c r="AQ85" i="10" s="1"/>
  <c r="AN79" i="10"/>
  <c r="AJ1332" i="2" l="1"/>
  <c r="AJ1333" i="2" s="1"/>
  <c r="AK1331" i="2" s="1"/>
  <c r="AI1336" i="2"/>
  <c r="AI1337" i="2" s="1"/>
  <c r="AI1325" i="2" s="1"/>
  <c r="AW195" i="4"/>
  <c r="AK492" i="4"/>
  <c r="AW222" i="4"/>
  <c r="AH435" i="4"/>
  <c r="AH462" i="4"/>
  <c r="AH490" i="4"/>
  <c r="AM958" i="2"/>
  <c r="AN770" i="2"/>
  <c r="AN936" i="2"/>
  <c r="AN982" i="2"/>
  <c r="AL103" i="4"/>
  <c r="AL104" i="4" s="1"/>
  <c r="AL495" i="4"/>
  <c r="AL1314" i="2"/>
  <c r="AL1315" i="2" s="1"/>
  <c r="AM954" i="2"/>
  <c r="AN766" i="2"/>
  <c r="AN878" i="2"/>
  <c r="AN969" i="2" s="1"/>
  <c r="AM107" i="4"/>
  <c r="AM240" i="4" s="1"/>
  <c r="AM65" i="4"/>
  <c r="AM174" i="4"/>
  <c r="AM1318" i="2"/>
  <c r="AN881" i="2"/>
  <c r="AN972" i="2" s="1"/>
  <c r="AX192" i="4"/>
  <c r="AX195" i="4" s="1"/>
  <c r="AX1259" i="2"/>
  <c r="AX112" i="4" s="1"/>
  <c r="AX241" i="4" s="1"/>
  <c r="AY1253" i="2"/>
  <c r="AY1259" i="2" s="1"/>
  <c r="AY112" i="4" s="1"/>
  <c r="AY241" i="4" s="1"/>
  <c r="AT1257" i="2"/>
  <c r="AU1242" i="2"/>
  <c r="BA1251" i="2"/>
  <c r="BA108" i="4" s="1"/>
  <c r="BA1234" i="2"/>
  <c r="BB1233" i="2" s="1"/>
  <c r="AY373" i="4"/>
  <c r="AY212" i="4"/>
  <c r="AY276" i="4"/>
  <c r="AZ1232" i="2"/>
  <c r="AZ1252" i="2"/>
  <c r="AZ130" i="4" s="1"/>
  <c r="AK1330" i="2"/>
  <c r="AO77" i="10"/>
  <c r="AO78" i="10" s="1"/>
  <c r="AQ86" i="10"/>
  <c r="AK1332" i="2" l="1"/>
  <c r="AK1333" i="2" s="1"/>
  <c r="AI491" i="4"/>
  <c r="AI1326" i="2"/>
  <c r="AI1334" i="2"/>
  <c r="AJ1336" i="2" s="1"/>
  <c r="AL494" i="4"/>
  <c r="AL463" i="4"/>
  <c r="AL436" i="4"/>
  <c r="AO877" i="2"/>
  <c r="AO968" i="2" s="1"/>
  <c r="AL247" i="4"/>
  <c r="AL284" i="4"/>
  <c r="AL109" i="4"/>
  <c r="AL115" i="4" s="1"/>
  <c r="AL333" i="4"/>
  <c r="AL207" i="4"/>
  <c r="AL209" i="4" s="1"/>
  <c r="AL256" i="4"/>
  <c r="AN953" i="2"/>
  <c r="AN63" i="4" s="1"/>
  <c r="AN767" i="2"/>
  <c r="AM173" i="4"/>
  <c r="AM179" i="4" s="1"/>
  <c r="AM264" i="4" s="1"/>
  <c r="AM1316" i="2"/>
  <c r="AM1313" i="2" s="1"/>
  <c r="AO935" i="2"/>
  <c r="AN983" i="2"/>
  <c r="AN175" i="4" s="1"/>
  <c r="AN882" i="2"/>
  <c r="AN973" i="2" s="1"/>
  <c r="AN957" i="2"/>
  <c r="AN771" i="2"/>
  <c r="AX222" i="4"/>
  <c r="AX208" i="4"/>
  <c r="AY192" i="4"/>
  <c r="AY195" i="4" s="1"/>
  <c r="AY1248" i="2"/>
  <c r="AZ1253" i="2"/>
  <c r="AZ1248" i="2" s="1"/>
  <c r="BB1251" i="2"/>
  <c r="BB108" i="4" s="1"/>
  <c r="G173" i="7" s="1"/>
  <c r="BB1234" i="2"/>
  <c r="BA1232" i="2"/>
  <c r="BA1252" i="2"/>
  <c r="BA130" i="4" s="1"/>
  <c r="AZ373" i="4"/>
  <c r="AZ212" i="4"/>
  <c r="AZ276" i="4"/>
  <c r="AU1243" i="2"/>
  <c r="AU1258" i="2"/>
  <c r="AO79" i="10"/>
  <c r="AR84" i="10"/>
  <c r="AR85" i="10" s="1"/>
  <c r="AJ1334" i="2" l="1"/>
  <c r="AK1336" i="2" s="1"/>
  <c r="AJ1337" i="2"/>
  <c r="AJ1325" i="2" s="1"/>
  <c r="AI493" i="4"/>
  <c r="AI1327" i="2"/>
  <c r="AO881" i="2"/>
  <c r="AO972" i="2" s="1"/>
  <c r="AN958" i="2"/>
  <c r="AO770" i="2"/>
  <c r="AN954" i="2"/>
  <c r="AO766" i="2"/>
  <c r="AL492" i="4"/>
  <c r="AL1328" i="2"/>
  <c r="AO878" i="2"/>
  <c r="AO969" i="2" s="1"/>
  <c r="AN65" i="4"/>
  <c r="AN107" i="4"/>
  <c r="AN240" i="4" s="1"/>
  <c r="AN174" i="4"/>
  <c r="AN1318" i="2"/>
  <c r="AO936" i="2"/>
  <c r="AO982" i="2"/>
  <c r="AM495" i="4"/>
  <c r="AM1314" i="2"/>
  <c r="AM1315" i="2" s="1"/>
  <c r="AM103" i="4"/>
  <c r="AM104" i="4" s="1"/>
  <c r="AM247" i="4" s="1"/>
  <c r="AY222" i="4"/>
  <c r="AY208" i="4"/>
  <c r="AZ192" i="4"/>
  <c r="AZ208" i="4" s="1"/>
  <c r="AZ1259" i="2"/>
  <c r="AZ112" i="4" s="1"/>
  <c r="AZ241" i="4" s="1"/>
  <c r="BA1253" i="2"/>
  <c r="BA1248" i="2" s="1"/>
  <c r="AU1257" i="2"/>
  <c r="AV1242" i="2"/>
  <c r="BA373" i="4"/>
  <c r="BA212" i="4"/>
  <c r="BA276" i="4"/>
  <c r="BB1232" i="2"/>
  <c r="BB1252" i="2"/>
  <c r="BB130" i="4" s="1"/>
  <c r="AR86" i="10"/>
  <c r="AP77" i="10"/>
  <c r="AP78" i="10" s="1"/>
  <c r="AI490" i="4" l="1"/>
  <c r="AI462" i="4"/>
  <c r="AI435" i="4"/>
  <c r="AM284" i="4"/>
  <c r="AJ491" i="4"/>
  <c r="AJ1326" i="2"/>
  <c r="AJ493" i="4" s="1"/>
  <c r="AK1334" i="2"/>
  <c r="AK1337" i="2"/>
  <c r="AK1325" i="2" s="1"/>
  <c r="AM256" i="4"/>
  <c r="AM333" i="4"/>
  <c r="AM109" i="4"/>
  <c r="AM115" i="4" s="1"/>
  <c r="AM1328" i="2" s="1"/>
  <c r="AM207" i="4"/>
  <c r="AM209" i="4" s="1"/>
  <c r="AM494" i="4"/>
  <c r="AM463" i="4"/>
  <c r="AM436" i="4"/>
  <c r="AL1331" i="2"/>
  <c r="AL1330" i="2"/>
  <c r="AO953" i="2"/>
  <c r="AO63" i="4" s="1"/>
  <c r="AO767" i="2"/>
  <c r="AN1316" i="2"/>
  <c r="AN1313" i="2" s="1"/>
  <c r="AN173" i="4"/>
  <c r="AN179" i="4" s="1"/>
  <c r="AN264" i="4" s="1"/>
  <c r="AO957" i="2"/>
  <c r="AO771" i="2"/>
  <c r="AP935" i="2"/>
  <c r="AO983" i="2"/>
  <c r="AO175" i="4" s="1"/>
  <c r="AP877" i="2"/>
  <c r="AP968" i="2" s="1"/>
  <c r="AO882" i="2"/>
  <c r="AO973" i="2" s="1"/>
  <c r="AZ222" i="4"/>
  <c r="AZ195" i="4"/>
  <c r="BA192" i="4"/>
  <c r="BA208" i="4" s="1"/>
  <c r="BA1259" i="2"/>
  <c r="BA112" i="4" s="1"/>
  <c r="BA241" i="4" s="1"/>
  <c r="BB1253" i="2"/>
  <c r="BB1248" i="2" s="1"/>
  <c r="AV1258" i="2"/>
  <c r="AV1243" i="2"/>
  <c r="BB373" i="4"/>
  <c r="BB212" i="4"/>
  <c r="BB276" i="4"/>
  <c r="G196" i="7" s="1"/>
  <c r="AS84" i="10"/>
  <c r="AS85" i="10" s="1"/>
  <c r="AP79" i="10"/>
  <c r="AJ1327" i="2" l="1"/>
  <c r="AJ435" i="4" s="1"/>
  <c r="AK1326" i="2"/>
  <c r="AK493" i="4" s="1"/>
  <c r="AK491" i="4"/>
  <c r="AM1330" i="2"/>
  <c r="AM492" i="4"/>
  <c r="BB192" i="4"/>
  <c r="BB208" i="4" s="1"/>
  <c r="AO1318" i="2"/>
  <c r="AO174" i="4"/>
  <c r="AN495" i="4"/>
  <c r="AN1314" i="2"/>
  <c r="AN1315" i="2" s="1"/>
  <c r="AN103" i="4"/>
  <c r="AN104" i="4" s="1"/>
  <c r="AN247" i="4" s="1"/>
  <c r="AP936" i="2"/>
  <c r="AP982" i="2"/>
  <c r="AO954" i="2"/>
  <c r="AP766" i="2"/>
  <c r="AL1332" i="2"/>
  <c r="AL1333" i="2" s="1"/>
  <c r="AM1331" i="2" s="1"/>
  <c r="AL1336" i="2"/>
  <c r="AO958" i="2"/>
  <c r="AP770" i="2"/>
  <c r="AO65" i="4"/>
  <c r="AO107" i="4"/>
  <c r="AO240" i="4" s="1"/>
  <c r="AP881" i="2"/>
  <c r="AP972" i="2" s="1"/>
  <c r="AP878" i="2"/>
  <c r="AP969" i="2" s="1"/>
  <c r="BA222" i="4"/>
  <c r="BA195" i="4"/>
  <c r="BB1259" i="2"/>
  <c r="BB112" i="4" s="1"/>
  <c r="G177" i="7" s="1"/>
  <c r="AV1257" i="2"/>
  <c r="AW1242" i="2"/>
  <c r="AS86" i="10"/>
  <c r="AQ77" i="10"/>
  <c r="AQ78" i="10" s="1"/>
  <c r="BB195" i="4" l="1"/>
  <c r="AJ490" i="4"/>
  <c r="AJ462" i="4"/>
  <c r="AK1327" i="2"/>
  <c r="BB222" i="4"/>
  <c r="AN284" i="4"/>
  <c r="AN207" i="4"/>
  <c r="AN209" i="4" s="1"/>
  <c r="AN256" i="4"/>
  <c r="AN109" i="4"/>
  <c r="AN115" i="4" s="1"/>
  <c r="AN492" i="4" s="1"/>
  <c r="AN333" i="4"/>
  <c r="AM1332" i="2"/>
  <c r="AM1333" i="2" s="1"/>
  <c r="AN436" i="4"/>
  <c r="AN494" i="4"/>
  <c r="AN463" i="4"/>
  <c r="AP957" i="2"/>
  <c r="AP771" i="2"/>
  <c r="AP983" i="2"/>
  <c r="AP175" i="4" s="1"/>
  <c r="AQ935" i="2"/>
  <c r="AP882" i="2"/>
  <c r="AP973" i="2" s="1"/>
  <c r="AL1334" i="2"/>
  <c r="AM1336" i="2" s="1"/>
  <c r="AL1337" i="2"/>
  <c r="AL1325" i="2" s="1"/>
  <c r="AP953" i="2"/>
  <c r="AP63" i="4" s="1"/>
  <c r="AP767" i="2"/>
  <c r="AQ877" i="2"/>
  <c r="AQ968" i="2" s="1"/>
  <c r="AO1316" i="2"/>
  <c r="AO1313" i="2" s="1"/>
  <c r="AO173" i="4"/>
  <c r="AO179" i="4" s="1"/>
  <c r="AO264" i="4" s="1"/>
  <c r="BB241" i="4"/>
  <c r="AW1243" i="2"/>
  <c r="AW1258" i="2"/>
  <c r="AT84" i="10"/>
  <c r="AT85" i="10" s="1"/>
  <c r="AQ79" i="10"/>
  <c r="F128" i="7" l="1"/>
  <c r="AK435" i="4"/>
  <c r="AK462" i="4"/>
  <c r="AK490" i="4"/>
  <c r="AN1328" i="2"/>
  <c r="AN1330" i="2" s="1"/>
  <c r="AM1334" i="2"/>
  <c r="AM1337" i="2"/>
  <c r="AM1325" i="2" s="1"/>
  <c r="AM1326" i="2" s="1"/>
  <c r="AM493" i="4" s="1"/>
  <c r="AP954" i="2"/>
  <c r="AQ766" i="2"/>
  <c r="AO1314" i="2"/>
  <c r="AO1315" i="2" s="1"/>
  <c r="AO103" i="4"/>
  <c r="AO104" i="4" s="1"/>
  <c r="AO247" i="4" s="1"/>
  <c r="AO495" i="4"/>
  <c r="AP107" i="4"/>
  <c r="AP65" i="4"/>
  <c r="AL491" i="4"/>
  <c r="AL1326" i="2"/>
  <c r="AL493" i="4" s="1"/>
  <c r="AQ878" i="2"/>
  <c r="AQ969" i="2" s="1"/>
  <c r="AP1318" i="2"/>
  <c r="AP174" i="4"/>
  <c r="AQ881" i="2"/>
  <c r="AQ972" i="2" s="1"/>
  <c r="AQ936" i="2"/>
  <c r="AQ982" i="2"/>
  <c r="AP958" i="2"/>
  <c r="AQ770" i="2"/>
  <c r="AW1257" i="2"/>
  <c r="AX1242" i="2"/>
  <c r="AR77" i="10"/>
  <c r="AR78" i="10" s="1"/>
  <c r="AT86" i="10"/>
  <c r="F172" i="7" l="1"/>
  <c r="F130" i="7"/>
  <c r="AM491" i="4"/>
  <c r="AN1331" i="2"/>
  <c r="AN1332" i="2" s="1"/>
  <c r="AN1333" i="2" s="1"/>
  <c r="AO207" i="4"/>
  <c r="AO209" i="4" s="1"/>
  <c r="AO256" i="4"/>
  <c r="AO109" i="4"/>
  <c r="AO115" i="4" s="1"/>
  <c r="AO492" i="4" s="1"/>
  <c r="AL1327" i="2"/>
  <c r="AO284" i="4"/>
  <c r="AO333" i="4"/>
  <c r="AQ882" i="2"/>
  <c r="AQ973" i="2" s="1"/>
  <c r="AR877" i="2"/>
  <c r="AR968" i="2" s="1"/>
  <c r="AO494" i="4"/>
  <c r="AO436" i="4"/>
  <c r="AO463" i="4"/>
  <c r="AQ953" i="2"/>
  <c r="AQ63" i="4" s="1"/>
  <c r="AQ767" i="2"/>
  <c r="AP173" i="4"/>
  <c r="AP179" i="4" s="1"/>
  <c r="AP264" i="4" s="1"/>
  <c r="AP1316" i="2"/>
  <c r="AP1313" i="2" s="1"/>
  <c r="AQ957" i="2"/>
  <c r="AQ771" i="2"/>
  <c r="AR935" i="2"/>
  <c r="AQ983" i="2"/>
  <c r="AQ175" i="4" s="1"/>
  <c r="AP240" i="4"/>
  <c r="AX1243" i="2"/>
  <c r="AX1258" i="2"/>
  <c r="AU84" i="10"/>
  <c r="AU85" i="10" s="1"/>
  <c r="AR79" i="10"/>
  <c r="AM1327" i="2"/>
  <c r="AN1336" i="2" l="1"/>
  <c r="AN1334" i="2" s="1"/>
  <c r="AO1328" i="2"/>
  <c r="AO1330" i="2" s="1"/>
  <c r="AL490" i="4"/>
  <c r="AL435" i="4"/>
  <c r="AL462" i="4"/>
  <c r="AR881" i="2"/>
  <c r="AR972" i="2" s="1"/>
  <c r="AP1314" i="2"/>
  <c r="AP1315" i="2" s="1"/>
  <c r="AP495" i="4"/>
  <c r="AP103" i="4"/>
  <c r="AR982" i="2"/>
  <c r="AR936" i="2"/>
  <c r="AQ954" i="2"/>
  <c r="AR766" i="2"/>
  <c r="AQ958" i="2"/>
  <c r="AR770" i="2"/>
  <c r="AQ107" i="4"/>
  <c r="AQ65" i="4"/>
  <c r="AR878" i="2"/>
  <c r="AR969" i="2" s="1"/>
  <c r="AQ174" i="4"/>
  <c r="AQ1318" i="2"/>
  <c r="AX1257" i="2"/>
  <c r="AY1242" i="2"/>
  <c r="AU86" i="10"/>
  <c r="AM462" i="4"/>
  <c r="AM490" i="4"/>
  <c r="AM435" i="4"/>
  <c r="AS77" i="10"/>
  <c r="AS78" i="10" s="1"/>
  <c r="F168" i="7" l="1"/>
  <c r="AN1337" i="2"/>
  <c r="AN1325" i="2" s="1"/>
  <c r="AN491" i="4" s="1"/>
  <c r="AQ240" i="4"/>
  <c r="AO1331" i="2"/>
  <c r="AO1332" i="2" s="1"/>
  <c r="AO1333" i="2" s="1"/>
  <c r="AS877" i="2"/>
  <c r="AS968" i="2" s="1"/>
  <c r="AR953" i="2"/>
  <c r="AR63" i="4" s="1"/>
  <c r="AR767" i="2"/>
  <c r="AQ173" i="4"/>
  <c r="AQ179" i="4" s="1"/>
  <c r="AQ264" i="4" s="1"/>
  <c r="AQ1316" i="2"/>
  <c r="AQ1313" i="2" s="1"/>
  <c r="AR957" i="2"/>
  <c r="AR771" i="2"/>
  <c r="AP104" i="4"/>
  <c r="AP436" i="4"/>
  <c r="AP494" i="4"/>
  <c r="AP463" i="4"/>
  <c r="AR983" i="2"/>
  <c r="AR175" i="4" s="1"/>
  <c r="AS935" i="2"/>
  <c r="AR882" i="2"/>
  <c r="AR973" i="2" s="1"/>
  <c r="AY1258" i="2"/>
  <c r="AY1243" i="2"/>
  <c r="AS79" i="10"/>
  <c r="AV84" i="10"/>
  <c r="AV85" i="10" s="1"/>
  <c r="F169" i="7" l="1"/>
  <c r="AN1326" i="2"/>
  <c r="AN493" i="4" s="1"/>
  <c r="AO1336" i="2"/>
  <c r="AO1337" i="2" s="1"/>
  <c r="AO1325" i="2" s="1"/>
  <c r="AO1326" i="2" s="1"/>
  <c r="AO493" i="4" s="1"/>
  <c r="AQ103" i="4"/>
  <c r="AQ1314" i="2"/>
  <c r="AQ1315" i="2" s="1"/>
  <c r="AQ495" i="4"/>
  <c r="AS881" i="2"/>
  <c r="AS972" i="2" s="1"/>
  <c r="AS878" i="2"/>
  <c r="AS969" i="2" s="1"/>
  <c r="AR174" i="4"/>
  <c r="AR1318" i="2"/>
  <c r="AR954" i="2"/>
  <c r="AS766" i="2"/>
  <c r="AR65" i="4"/>
  <c r="AR107" i="4"/>
  <c r="AS936" i="2"/>
  <c r="AS982" i="2"/>
  <c r="AP284" i="4"/>
  <c r="AP109" i="4"/>
  <c r="AP333" i="4"/>
  <c r="AP247" i="4"/>
  <c r="AP256" i="4"/>
  <c r="AP207" i="4"/>
  <c r="AP209" i="4" s="1"/>
  <c r="AR958" i="2"/>
  <c r="AS770" i="2"/>
  <c r="AY1257" i="2"/>
  <c r="AZ1242" i="2"/>
  <c r="AV86" i="10"/>
  <c r="AT77" i="10"/>
  <c r="AT78" i="10" s="1"/>
  <c r="F204" i="7" l="1"/>
  <c r="F174" i="7"/>
  <c r="AN1327" i="2"/>
  <c r="AN490" i="4" s="1"/>
  <c r="AO491" i="4"/>
  <c r="AO1334" i="2"/>
  <c r="AQ104" i="4"/>
  <c r="AR240" i="4"/>
  <c r="AS957" i="2"/>
  <c r="AS771" i="2"/>
  <c r="AQ436" i="4"/>
  <c r="AQ494" i="4"/>
  <c r="AQ463" i="4"/>
  <c r="AS882" i="2"/>
  <c r="AS973" i="2" s="1"/>
  <c r="AT877" i="2"/>
  <c r="AT968" i="2" s="1"/>
  <c r="AS953" i="2"/>
  <c r="AS63" i="4" s="1"/>
  <c r="AS767" i="2"/>
  <c r="AS983" i="2"/>
  <c r="AS175" i="4" s="1"/>
  <c r="AT935" i="2"/>
  <c r="AR173" i="4"/>
  <c r="AR179" i="4" s="1"/>
  <c r="AR264" i="4" s="1"/>
  <c r="AR1316" i="2"/>
  <c r="AR1313" i="2" s="1"/>
  <c r="AP115" i="4"/>
  <c r="BD47" i="2"/>
  <c r="AZ1258" i="2"/>
  <c r="AZ1243" i="2"/>
  <c r="BD87" i="2"/>
  <c r="AW84" i="10"/>
  <c r="AW85" i="10" s="1"/>
  <c r="AT79" i="10"/>
  <c r="AO1327" i="2"/>
  <c r="F180" i="7" l="1"/>
  <c r="AN435" i="4"/>
  <c r="AN462" i="4"/>
  <c r="AQ207" i="4"/>
  <c r="AQ209" i="4" s="1"/>
  <c r="AQ256" i="4"/>
  <c r="AQ333" i="4"/>
  <c r="AQ284" i="4"/>
  <c r="AQ109" i="4"/>
  <c r="AQ247" i="4"/>
  <c r="AP492" i="4"/>
  <c r="AP1328" i="2"/>
  <c r="AR495" i="4"/>
  <c r="AR103" i="4"/>
  <c r="AR1314" i="2"/>
  <c r="AR1315" i="2" s="1"/>
  <c r="AS954" i="2"/>
  <c r="AT766" i="2"/>
  <c r="AT878" i="2"/>
  <c r="AT969" i="2" s="1"/>
  <c r="AS1318" i="2"/>
  <c r="AS174" i="4"/>
  <c r="AS65" i="4"/>
  <c r="AS107" i="4"/>
  <c r="AT936" i="2"/>
  <c r="AT982" i="2"/>
  <c r="AS958" i="2"/>
  <c r="AT770" i="2"/>
  <c r="AT881" i="2"/>
  <c r="AT972" i="2" s="1"/>
  <c r="AZ1257" i="2"/>
  <c r="BA1242" i="2"/>
  <c r="BD67" i="2"/>
  <c r="BD107" i="2"/>
  <c r="BD194" i="2"/>
  <c r="BD503" i="4"/>
  <c r="AO462" i="4"/>
  <c r="AO490" i="4"/>
  <c r="AO435" i="4"/>
  <c r="AW86" i="10"/>
  <c r="AU77" i="10"/>
  <c r="AU78" i="10" s="1"/>
  <c r="AQ115" i="4" l="1"/>
  <c r="AS240" i="4"/>
  <c r="AR104" i="4"/>
  <c r="AT983" i="2"/>
  <c r="AT175" i="4" s="1"/>
  <c r="AU935" i="2"/>
  <c r="AP1331" i="2"/>
  <c r="AP1330" i="2"/>
  <c r="AT957" i="2"/>
  <c r="AT771" i="2"/>
  <c r="AU877" i="2"/>
  <c r="AU968" i="2" s="1"/>
  <c r="AT953" i="2"/>
  <c r="AT63" i="4" s="1"/>
  <c r="AT767" i="2"/>
  <c r="AS173" i="4"/>
  <c r="AS179" i="4" s="1"/>
  <c r="AS264" i="4" s="1"/>
  <c r="AS1316" i="2"/>
  <c r="AS1313" i="2" s="1"/>
  <c r="BD195" i="2"/>
  <c r="AR436" i="4"/>
  <c r="AR494" i="4"/>
  <c r="AR463" i="4"/>
  <c r="AT882" i="2"/>
  <c r="AT973" i="2" s="1"/>
  <c r="BA1258" i="2"/>
  <c r="BA1243" i="2"/>
  <c r="BD1287" i="2"/>
  <c r="BD440" i="4"/>
  <c r="BD502" i="4"/>
  <c r="BD467" i="4"/>
  <c r="BD540" i="2"/>
  <c r="BD541" i="2"/>
  <c r="AX84" i="10"/>
  <c r="AX85" i="10" s="1"/>
  <c r="AU79" i="10"/>
  <c r="AR284" i="4" l="1"/>
  <c r="AR333" i="4"/>
  <c r="AR207" i="4"/>
  <c r="AR209" i="4" s="1"/>
  <c r="AR247" i="4"/>
  <c r="AR256" i="4"/>
  <c r="AR109" i="4"/>
  <c r="AQ1328" i="2"/>
  <c r="AQ1330" i="2" s="1"/>
  <c r="AQ492" i="4"/>
  <c r="AS1314" i="2"/>
  <c r="AS1315" i="2" s="1"/>
  <c r="AS103" i="4"/>
  <c r="AS495" i="4"/>
  <c r="AT958" i="2"/>
  <c r="AU770" i="2"/>
  <c r="AU881" i="2"/>
  <c r="AU972" i="2" s="1"/>
  <c r="AU878" i="2"/>
  <c r="AU969" i="2" s="1"/>
  <c r="AU936" i="2"/>
  <c r="AU982" i="2"/>
  <c r="AT174" i="4"/>
  <c r="AT1318" i="2"/>
  <c r="AT954" i="2"/>
  <c r="AU766" i="2"/>
  <c r="AP1332" i="2"/>
  <c r="AP1333" i="2" s="1"/>
  <c r="AP1336" i="2"/>
  <c r="AT65" i="4"/>
  <c r="AT107" i="4"/>
  <c r="BA1257" i="2"/>
  <c r="BB1242" i="2"/>
  <c r="BD539" i="2"/>
  <c r="BD1288" i="2"/>
  <c r="AV77" i="10"/>
  <c r="AV78" i="10" s="1"/>
  <c r="AX86" i="10"/>
  <c r="AQ1331" i="2" l="1"/>
  <c r="AQ1332" i="2" s="1"/>
  <c r="AQ1333" i="2" s="1"/>
  <c r="AT240" i="4"/>
  <c r="AS104" i="4"/>
  <c r="AR115" i="4"/>
  <c r="AU957" i="2"/>
  <c r="AU771" i="2"/>
  <c r="AU882" i="2"/>
  <c r="AU973" i="2" s="1"/>
  <c r="AU983" i="2"/>
  <c r="AU175" i="4" s="1"/>
  <c r="AV935" i="2"/>
  <c r="AT1316" i="2"/>
  <c r="AT1313" i="2" s="1"/>
  <c r="AT173" i="4"/>
  <c r="AT179" i="4" s="1"/>
  <c r="AT264" i="4" s="1"/>
  <c r="AP1334" i="2"/>
  <c r="AP1337" i="2"/>
  <c r="AP1325" i="2" s="1"/>
  <c r="AS494" i="4"/>
  <c r="AS436" i="4"/>
  <c r="AS463" i="4"/>
  <c r="AU953" i="2"/>
  <c r="AU63" i="4" s="1"/>
  <c r="AU767" i="2"/>
  <c r="AV877" i="2"/>
  <c r="AV968" i="2" s="1"/>
  <c r="BB1243" i="2"/>
  <c r="BB1258" i="2"/>
  <c r="AY84" i="10"/>
  <c r="AY85" i="10" s="1"/>
  <c r="AV79" i="10"/>
  <c r="AQ1336" i="2" l="1"/>
  <c r="AQ1334" i="2" s="1"/>
  <c r="AS109" i="4"/>
  <c r="AS207" i="4"/>
  <c r="AS209" i="4" s="1"/>
  <c r="AS284" i="4"/>
  <c r="AS256" i="4"/>
  <c r="AR492" i="4"/>
  <c r="AR1328" i="2"/>
  <c r="AS247" i="4"/>
  <c r="AS333" i="4"/>
  <c r="AP491" i="4"/>
  <c r="AP1326" i="2"/>
  <c r="AP493" i="4" s="1"/>
  <c r="AV982" i="2"/>
  <c r="AV936" i="2"/>
  <c r="AV878" i="2"/>
  <c r="AV969" i="2" s="1"/>
  <c r="AU958" i="2"/>
  <c r="AV770" i="2"/>
  <c r="AU174" i="4"/>
  <c r="AU1318" i="2"/>
  <c r="AU954" i="2"/>
  <c r="AV766" i="2"/>
  <c r="AT495" i="4"/>
  <c r="AT1314" i="2"/>
  <c r="AT1315" i="2" s="1"/>
  <c r="AT103" i="4"/>
  <c r="AU107" i="4"/>
  <c r="AU65" i="4"/>
  <c r="AV881" i="2"/>
  <c r="AV972" i="2" s="1"/>
  <c r="BB1257" i="2"/>
  <c r="AW77" i="10"/>
  <c r="AW78" i="10" s="1"/>
  <c r="AY86" i="10"/>
  <c r="AS115" i="4" l="1"/>
  <c r="AQ1337" i="2"/>
  <c r="AQ1325" i="2" s="1"/>
  <c r="AQ491" i="4" s="1"/>
  <c r="AR1331" i="2"/>
  <c r="AR1332" i="2" s="1"/>
  <c r="AR1330" i="2"/>
  <c r="AU240" i="4"/>
  <c r="AT104" i="4"/>
  <c r="AP1327" i="2"/>
  <c r="AP435" i="4" s="1"/>
  <c r="AV957" i="2"/>
  <c r="AV771" i="2"/>
  <c r="AV983" i="2"/>
  <c r="AV175" i="4" s="1"/>
  <c r="AW935" i="2"/>
  <c r="AV953" i="2"/>
  <c r="AV63" i="4" s="1"/>
  <c r="AV767" i="2"/>
  <c r="AU1316" i="2"/>
  <c r="AU1313" i="2" s="1"/>
  <c r="AU173" i="4"/>
  <c r="AU179" i="4" s="1"/>
  <c r="AU264" i="4" s="1"/>
  <c r="AT494" i="4"/>
  <c r="AT463" i="4"/>
  <c r="AT436" i="4"/>
  <c r="AV882" i="2"/>
  <c r="AV973" i="2" s="1"/>
  <c r="AW877" i="2"/>
  <c r="AW968" i="2" s="1"/>
  <c r="AW79" i="10"/>
  <c r="AZ84" i="10"/>
  <c r="AZ85" i="10" s="1"/>
  <c r="AQ1326" i="2" l="1"/>
  <c r="AS492" i="4"/>
  <c r="AS1328" i="2"/>
  <c r="AS1330" i="2" s="1"/>
  <c r="AT284" i="4"/>
  <c r="AR1336" i="2"/>
  <c r="AR1337" i="2" s="1"/>
  <c r="AR1325" i="2" s="1"/>
  <c r="AT109" i="4"/>
  <c r="AT115" i="4" s="1"/>
  <c r="AT1328" i="2" s="1"/>
  <c r="AT333" i="4"/>
  <c r="AT207" i="4"/>
  <c r="AT209" i="4" s="1"/>
  <c r="AR1333" i="2"/>
  <c r="AT247" i="4"/>
  <c r="AT256" i="4"/>
  <c r="AP462" i="4"/>
  <c r="AP490" i="4"/>
  <c r="AW936" i="2"/>
  <c r="AW982" i="2"/>
  <c r="AV958" i="2"/>
  <c r="AW770" i="2"/>
  <c r="AW881" i="2"/>
  <c r="AW972" i="2" s="1"/>
  <c r="AV954" i="2"/>
  <c r="AW766" i="2"/>
  <c r="AW878" i="2"/>
  <c r="AW969" i="2" s="1"/>
  <c r="AQ493" i="4"/>
  <c r="AQ1327" i="2"/>
  <c r="AV107" i="4"/>
  <c r="AV240" i="4" s="1"/>
  <c r="AV65" i="4"/>
  <c r="AV174" i="4"/>
  <c r="AV1318" i="2"/>
  <c r="AU495" i="4"/>
  <c r="AU103" i="4"/>
  <c r="AU1314" i="2"/>
  <c r="AU1315" i="2" s="1"/>
  <c r="AX77" i="10"/>
  <c r="AX78" i="10" s="1"/>
  <c r="AZ86" i="10"/>
  <c r="AS1331" i="2" l="1"/>
  <c r="AS1332" i="2" s="1"/>
  <c r="AS1333" i="2" s="1"/>
  <c r="AT1331" i="2" s="1"/>
  <c r="AT1332" i="2" s="1"/>
  <c r="AR1334" i="2"/>
  <c r="AR1326" i="2"/>
  <c r="AR491" i="4"/>
  <c r="AU104" i="4"/>
  <c r="AT492" i="4"/>
  <c r="AX877" i="2"/>
  <c r="AX968" i="2" s="1"/>
  <c r="AW983" i="2"/>
  <c r="AW175" i="4" s="1"/>
  <c r="AX935" i="2"/>
  <c r="AW953" i="2"/>
  <c r="AW63" i="4" s="1"/>
  <c r="AW767" i="2"/>
  <c r="AQ490" i="4"/>
  <c r="AQ462" i="4"/>
  <c r="AQ435" i="4"/>
  <c r="AV173" i="4"/>
  <c r="AV179" i="4" s="1"/>
  <c r="AV264" i="4" s="1"/>
  <c r="AV1316" i="2"/>
  <c r="AV1313" i="2" s="1"/>
  <c r="AU436" i="4"/>
  <c r="AU463" i="4"/>
  <c r="AU494" i="4"/>
  <c r="AW957" i="2"/>
  <c r="AW771" i="2"/>
  <c r="AW882" i="2"/>
  <c r="AW973" i="2" s="1"/>
  <c r="AT1330" i="2"/>
  <c r="AX79" i="10"/>
  <c r="BA84" i="10"/>
  <c r="BA85" i="10" s="1"/>
  <c r="AS1336" i="2" l="1"/>
  <c r="AS1337" i="2" s="1"/>
  <c r="AS1325" i="2" s="1"/>
  <c r="AS1326" i="2" s="1"/>
  <c r="AS493" i="4" s="1"/>
  <c r="AU284" i="4"/>
  <c r="AR493" i="4"/>
  <c r="AR1327" i="2"/>
  <c r="AU109" i="4"/>
  <c r="AU115" i="4" s="1"/>
  <c r="AU492" i="4" s="1"/>
  <c r="AU256" i="4"/>
  <c r="AU333" i="4"/>
  <c r="AU247" i="4"/>
  <c r="AU207" i="4"/>
  <c r="AU209" i="4" s="1"/>
  <c r="AW107" i="4"/>
  <c r="AW240" i="4" s="1"/>
  <c r="AW65" i="4"/>
  <c r="AX878" i="2"/>
  <c r="AX969" i="2" s="1"/>
  <c r="AW958" i="2"/>
  <c r="AX770" i="2"/>
  <c r="AV1314" i="2"/>
  <c r="AV1315" i="2" s="1"/>
  <c r="AV103" i="4"/>
  <c r="AV104" i="4" s="1"/>
  <c r="AV247" i="4" s="1"/>
  <c r="AV495" i="4"/>
  <c r="AW174" i="4"/>
  <c r="AW1318" i="2"/>
  <c r="B579" i="2"/>
  <c r="AX881" i="2"/>
  <c r="AX972" i="2" s="1"/>
  <c r="AX982" i="2"/>
  <c r="AX936" i="2"/>
  <c r="AW954" i="2"/>
  <c r="AX766" i="2"/>
  <c r="AT1333" i="2"/>
  <c r="AY77" i="10"/>
  <c r="AY78" i="10" s="1"/>
  <c r="BA86" i="10"/>
  <c r="AS491" i="4" l="1"/>
  <c r="AS1327" i="2"/>
  <c r="AS462" i="4" s="1"/>
  <c r="AS1334" i="2"/>
  <c r="AT1336" i="2" s="1"/>
  <c r="AT1337" i="2" s="1"/>
  <c r="AT1325" i="2" s="1"/>
  <c r="AR490" i="4"/>
  <c r="AR462" i="4"/>
  <c r="AR435" i="4"/>
  <c r="AU1328" i="2"/>
  <c r="AU1330" i="2" s="1"/>
  <c r="B55" i="2"/>
  <c r="B75" i="2"/>
  <c r="B33" i="2"/>
  <c r="B14" i="2"/>
  <c r="B95" i="2"/>
  <c r="B115" i="2"/>
  <c r="AV207" i="4"/>
  <c r="AV209" i="4" s="1"/>
  <c r="AV109" i="4"/>
  <c r="AV115" i="4" s="1"/>
  <c r="AV492" i="4" s="1"/>
  <c r="AV256" i="4"/>
  <c r="AV284" i="4"/>
  <c r="AV333" i="4"/>
  <c r="AV463" i="4"/>
  <c r="AV436" i="4"/>
  <c r="AV494" i="4"/>
  <c r="AX882" i="2"/>
  <c r="AX973" i="2" s="1"/>
  <c r="AX983" i="2"/>
  <c r="AX175" i="4" s="1"/>
  <c r="AY935" i="2"/>
  <c r="AX953" i="2"/>
  <c r="AX63" i="4" s="1"/>
  <c r="AX767" i="2"/>
  <c r="AX957" i="2"/>
  <c r="AX771" i="2"/>
  <c r="AW173" i="4"/>
  <c r="AW179" i="4" s="1"/>
  <c r="AW264" i="4" s="1"/>
  <c r="AW1316" i="2"/>
  <c r="AW1313" i="2" s="1"/>
  <c r="AY877" i="2"/>
  <c r="AY968" i="2" s="1"/>
  <c r="AY79" i="10"/>
  <c r="BB84" i="10"/>
  <c r="BB85" i="10" s="1"/>
  <c r="AT1334" i="2" l="1"/>
  <c r="AS490" i="4"/>
  <c r="AS435" i="4"/>
  <c r="AU1331" i="2"/>
  <c r="AU1332" i="2" s="1"/>
  <c r="AU1333" i="2" s="1"/>
  <c r="G114" i="2"/>
  <c r="G94" i="2"/>
  <c r="H94" i="2" s="1"/>
  <c r="G13" i="2"/>
  <c r="H13" i="2" s="1"/>
  <c r="G32" i="2"/>
  <c r="G74" i="2"/>
  <c r="G54" i="2"/>
  <c r="AV1328" i="2"/>
  <c r="AX958" i="2"/>
  <c r="AY770" i="2"/>
  <c r="AX954" i="2"/>
  <c r="AY766" i="2"/>
  <c r="AY936" i="2"/>
  <c r="AY982" i="2"/>
  <c r="AX107" i="4"/>
  <c r="AX240" i="4" s="1"/>
  <c r="AX65" i="4"/>
  <c r="AY881" i="2"/>
  <c r="AY972" i="2" s="1"/>
  <c r="AX174" i="4"/>
  <c r="AX1318" i="2"/>
  <c r="AY878" i="2"/>
  <c r="AY969" i="2" s="1"/>
  <c r="AW1314" i="2"/>
  <c r="AW1315" i="2" s="1"/>
  <c r="AW495" i="4"/>
  <c r="AW103" i="4"/>
  <c r="AW104" i="4" s="1"/>
  <c r="AW247" i="4" s="1"/>
  <c r="AT1326" i="2"/>
  <c r="AT493" i="4" s="1"/>
  <c r="AT491" i="4"/>
  <c r="AZ77" i="10"/>
  <c r="AZ78" i="10" s="1"/>
  <c r="BB86" i="10"/>
  <c r="AV1331" i="2" l="1"/>
  <c r="AV1332" i="2" s="1"/>
  <c r="G134" i="2"/>
  <c r="AU1336" i="2"/>
  <c r="AU1337" i="2" s="1"/>
  <c r="AU1325" i="2" s="1"/>
  <c r="AU1326" i="2" s="1"/>
  <c r="AU493" i="4" s="1"/>
  <c r="AV1330" i="2"/>
  <c r="H23" i="2"/>
  <c r="H15" i="2"/>
  <c r="I13" i="2"/>
  <c r="G56" i="2"/>
  <c r="G65" i="2"/>
  <c r="G116" i="2"/>
  <c r="G125" i="2"/>
  <c r="H74" i="2"/>
  <c r="G85" i="2"/>
  <c r="G76" i="2"/>
  <c r="H32" i="2"/>
  <c r="G43" i="2"/>
  <c r="G34" i="2"/>
  <c r="G23" i="2"/>
  <c r="G15" i="2"/>
  <c r="I94" i="2"/>
  <c r="H96" i="2"/>
  <c r="H105" i="2"/>
  <c r="G96" i="2"/>
  <c r="G105" i="2"/>
  <c r="H54" i="2"/>
  <c r="H114" i="2"/>
  <c r="AW207" i="4"/>
  <c r="AW209" i="4" s="1"/>
  <c r="AW256" i="4"/>
  <c r="AW284" i="4"/>
  <c r="AW333" i="4"/>
  <c r="AY953" i="2"/>
  <c r="AY63" i="4" s="1"/>
  <c r="AY767" i="2"/>
  <c r="AY983" i="2"/>
  <c r="AY175" i="4" s="1"/>
  <c r="AZ935" i="2"/>
  <c r="AX173" i="4"/>
  <c r="AX179" i="4" s="1"/>
  <c r="AX264" i="4" s="1"/>
  <c r="AX1316" i="2"/>
  <c r="AX1313" i="2" s="1"/>
  <c r="AW463" i="4"/>
  <c r="AW436" i="4"/>
  <c r="AW494" i="4"/>
  <c r="AZ877" i="2"/>
  <c r="AZ968" i="2" s="1"/>
  <c r="AY957" i="2"/>
  <c r="AY771" i="2"/>
  <c r="AW109" i="4"/>
  <c r="AW115" i="4" s="1"/>
  <c r="AW492" i="4" s="1"/>
  <c r="AY882" i="2"/>
  <c r="AY973" i="2" s="1"/>
  <c r="AT1327" i="2"/>
  <c r="AT435" i="4" s="1"/>
  <c r="AZ79" i="10"/>
  <c r="AV1333" i="2" l="1"/>
  <c r="AU491" i="4"/>
  <c r="AU1327" i="2"/>
  <c r="AU435" i="4" s="1"/>
  <c r="H134" i="2"/>
  <c r="G132" i="2"/>
  <c r="G135" i="2"/>
  <c r="G1298" i="2" s="1"/>
  <c r="G1309" i="2" s="1"/>
  <c r="AU1334" i="2"/>
  <c r="AV1336" i="2" s="1"/>
  <c r="AV1337" i="2" s="1"/>
  <c r="AV1325" i="2" s="1"/>
  <c r="AV491" i="4" s="1"/>
  <c r="H43" i="2"/>
  <c r="H34" i="2"/>
  <c r="I32" i="2"/>
  <c r="I96" i="2"/>
  <c r="I105" i="2"/>
  <c r="J94" i="2"/>
  <c r="I74" i="2"/>
  <c r="H85" i="2"/>
  <c r="H76" i="2"/>
  <c r="H116" i="2"/>
  <c r="H125" i="2"/>
  <c r="I114" i="2"/>
  <c r="I23" i="2"/>
  <c r="I15" i="2"/>
  <c r="J13" i="2"/>
  <c r="H56" i="2"/>
  <c r="H65" i="2"/>
  <c r="I54" i="2"/>
  <c r="AW1328" i="2"/>
  <c r="AW1330" i="2" s="1"/>
  <c r="AZ982" i="2"/>
  <c r="AZ936" i="2"/>
  <c r="AZ878" i="2"/>
  <c r="AZ969" i="2" s="1"/>
  <c r="AY954" i="2"/>
  <c r="AZ766" i="2"/>
  <c r="AY958" i="2"/>
  <c r="AZ770" i="2"/>
  <c r="AY174" i="4"/>
  <c r="AY1318" i="2"/>
  <c r="AY65" i="4"/>
  <c r="AY107" i="4"/>
  <c r="AY240" i="4" s="1"/>
  <c r="AZ881" i="2"/>
  <c r="AZ972" i="2" s="1"/>
  <c r="AX1314" i="2"/>
  <c r="AX1315" i="2" s="1"/>
  <c r="AX103" i="4"/>
  <c r="AX104" i="4" s="1"/>
  <c r="AX247" i="4" s="1"/>
  <c r="AX495" i="4"/>
  <c r="AT462" i="4"/>
  <c r="AT490" i="4"/>
  <c r="AU462" i="4"/>
  <c r="BA77" i="10"/>
  <c r="BA78" i="10" s="1"/>
  <c r="AU490" i="4" l="1"/>
  <c r="AV1334" i="2"/>
  <c r="AV1326" i="2"/>
  <c r="AV493" i="4" s="1"/>
  <c r="H132" i="2"/>
  <c r="H126" i="4" s="1"/>
  <c r="H1342" i="2" s="1"/>
  <c r="H1339" i="2" s="1"/>
  <c r="I134" i="2"/>
  <c r="H135" i="2"/>
  <c r="H1298" i="2" s="1"/>
  <c r="H1309" i="2" s="1"/>
  <c r="H1295" i="2" s="1"/>
  <c r="AX207" i="4"/>
  <c r="AX209" i="4" s="1"/>
  <c r="I56" i="2"/>
  <c r="I65" i="2"/>
  <c r="J54" i="2"/>
  <c r="J114" i="2"/>
  <c r="I116" i="2"/>
  <c r="I125" i="2"/>
  <c r="J74" i="2"/>
  <c r="I85" i="2"/>
  <c r="I76" i="2"/>
  <c r="J105" i="2"/>
  <c r="J96" i="2"/>
  <c r="K94" i="2"/>
  <c r="G1311" i="2"/>
  <c r="G1295" i="2"/>
  <c r="G580" i="2"/>
  <c r="J32" i="2"/>
  <c r="I34" i="2"/>
  <c r="I43" i="2"/>
  <c r="J15" i="2"/>
  <c r="J23" i="2"/>
  <c r="K13" i="2"/>
  <c r="G126" i="4"/>
  <c r="AW1331" i="2"/>
  <c r="AW1332" i="2" s="1"/>
  <c r="AW1333" i="2" s="1"/>
  <c r="AX284" i="4"/>
  <c r="AX256" i="4"/>
  <c r="AZ983" i="2"/>
  <c r="AZ175" i="4" s="1"/>
  <c r="BA935" i="2"/>
  <c r="AX436" i="4"/>
  <c r="AX494" i="4"/>
  <c r="AX463" i="4"/>
  <c r="AZ953" i="2"/>
  <c r="AZ63" i="4" s="1"/>
  <c r="AZ767" i="2"/>
  <c r="AX333" i="4"/>
  <c r="AZ882" i="2"/>
  <c r="AZ973" i="2" s="1"/>
  <c r="AZ957" i="2"/>
  <c r="AZ771" i="2"/>
  <c r="AY173" i="4"/>
  <c r="AY179" i="4" s="1"/>
  <c r="AY264" i="4" s="1"/>
  <c r="AY1316" i="2"/>
  <c r="AY1313" i="2" s="1"/>
  <c r="AX109" i="4"/>
  <c r="AX115" i="4" s="1"/>
  <c r="AX1328" i="2" s="1"/>
  <c r="BA877" i="2"/>
  <c r="BA968" i="2" s="1"/>
  <c r="BA79" i="10"/>
  <c r="AV1327" i="2" l="1"/>
  <c r="AV435" i="4" s="1"/>
  <c r="I135" i="2"/>
  <c r="J134" i="2"/>
  <c r="I132" i="2"/>
  <c r="H136" i="2"/>
  <c r="H1347" i="2"/>
  <c r="H1349" i="2" s="1"/>
  <c r="H1350" i="2" s="1"/>
  <c r="H1351" i="2"/>
  <c r="AW1336" i="2"/>
  <c r="AW1334" i="2" s="1"/>
  <c r="H580" i="2"/>
  <c r="H581" i="2" s="1"/>
  <c r="H578" i="2" s="1"/>
  <c r="AX1331" i="2"/>
  <c r="AX1332" i="2" s="1"/>
  <c r="G581" i="2"/>
  <c r="G582" i="2" s="1"/>
  <c r="H499" i="4"/>
  <c r="H501" i="4"/>
  <c r="H1340" i="2"/>
  <c r="K114" i="2"/>
  <c r="J116" i="2"/>
  <c r="J125" i="2"/>
  <c r="G489" i="4"/>
  <c r="G1296" i="2"/>
  <c r="G1297" i="2" s="1"/>
  <c r="G167" i="4"/>
  <c r="H1311" i="2"/>
  <c r="J56" i="2"/>
  <c r="J65" i="2"/>
  <c r="K54" i="2"/>
  <c r="J34" i="2"/>
  <c r="J43" i="2"/>
  <c r="K32" i="2"/>
  <c r="K105" i="2"/>
  <c r="K96" i="2"/>
  <c r="L94" i="2"/>
  <c r="K74" i="2"/>
  <c r="J85" i="2"/>
  <c r="J76" i="2"/>
  <c r="G1342" i="2"/>
  <c r="G1339" i="2" s="1"/>
  <c r="G1347" i="2"/>
  <c r="G1351" i="2"/>
  <c r="H1296" i="2"/>
  <c r="H489" i="4"/>
  <c r="K23" i="2"/>
  <c r="L13" i="2"/>
  <c r="K15" i="2"/>
  <c r="AX1330" i="2"/>
  <c r="AX492" i="4"/>
  <c r="BA982" i="2"/>
  <c r="BA936" i="2"/>
  <c r="AY1314" i="2"/>
  <c r="AY1315" i="2" s="1"/>
  <c r="AY495" i="4"/>
  <c r="AY103" i="4"/>
  <c r="AY104" i="4" s="1"/>
  <c r="AY247" i="4" s="1"/>
  <c r="BA878" i="2"/>
  <c r="BA969" i="2" s="1"/>
  <c r="AZ958" i="2"/>
  <c r="BA770" i="2"/>
  <c r="AZ954" i="2"/>
  <c r="BA766" i="2"/>
  <c r="AZ174" i="4"/>
  <c r="AZ1318" i="2"/>
  <c r="BA881" i="2"/>
  <c r="BA972" i="2" s="1"/>
  <c r="AZ65" i="4"/>
  <c r="AZ107" i="4"/>
  <c r="AZ240" i="4" s="1"/>
  <c r="BB77" i="10"/>
  <c r="BB78" i="10" s="1"/>
  <c r="AV462" i="4" l="1"/>
  <c r="AV490" i="4"/>
  <c r="J132" i="2"/>
  <c r="J135" i="2"/>
  <c r="J1298" i="2" s="1"/>
  <c r="J1309" i="2" s="1"/>
  <c r="K134" i="2"/>
  <c r="AX1333" i="2"/>
  <c r="AW1337" i="2"/>
  <c r="AW1325" i="2" s="1"/>
  <c r="AW1326" i="2" s="1"/>
  <c r="AW493" i="4" s="1"/>
  <c r="H1344" i="2"/>
  <c r="H116" i="4" s="1"/>
  <c r="H117" i="4" s="1"/>
  <c r="H253" i="4" s="1"/>
  <c r="AX1336" i="2"/>
  <c r="AX1334" i="2" s="1"/>
  <c r="AY207" i="4"/>
  <c r="AY209" i="4" s="1"/>
  <c r="AY109" i="4"/>
  <c r="AY115" i="4" s="1"/>
  <c r="AY492" i="4" s="1"/>
  <c r="AY333" i="4"/>
  <c r="K43" i="2"/>
  <c r="K34" i="2"/>
  <c r="L32" i="2"/>
  <c r="H167" i="4"/>
  <c r="I126" i="4"/>
  <c r="I136" i="2"/>
  <c r="I580" i="2"/>
  <c r="I1298" i="2"/>
  <c r="I1309" i="2" s="1"/>
  <c r="I1295" i="2" s="1"/>
  <c r="H187" i="4"/>
  <c r="H582" i="2"/>
  <c r="L23" i="2"/>
  <c r="M13" i="2"/>
  <c r="L15" i="2"/>
  <c r="L74" i="2"/>
  <c r="K76" i="2"/>
  <c r="K85" i="2"/>
  <c r="K56" i="2"/>
  <c r="L54" i="2"/>
  <c r="K65" i="2"/>
  <c r="G488" i="4"/>
  <c r="G434" i="4"/>
  <c r="G461" i="4"/>
  <c r="K125" i="2"/>
  <c r="K116" i="2"/>
  <c r="L114" i="2"/>
  <c r="G1349" i="2"/>
  <c r="G1350" i="2" s="1"/>
  <c r="G1344" i="2" s="1"/>
  <c r="L105" i="2"/>
  <c r="M94" i="2"/>
  <c r="L96" i="2"/>
  <c r="H1297" i="2"/>
  <c r="G499" i="4"/>
  <c r="G1340" i="2"/>
  <c r="G1341" i="2" s="1"/>
  <c r="G501" i="4"/>
  <c r="G578" i="2"/>
  <c r="AY256" i="4"/>
  <c r="AY284" i="4"/>
  <c r="BA957" i="2"/>
  <c r="BA771" i="2"/>
  <c r="BA953" i="2"/>
  <c r="BA63" i="4" s="1"/>
  <c r="BA767" i="2"/>
  <c r="BB877" i="2"/>
  <c r="BB968" i="2" s="1"/>
  <c r="AZ1316" i="2"/>
  <c r="AZ1313" i="2" s="1"/>
  <c r="AZ173" i="4"/>
  <c r="AZ179" i="4" s="1"/>
  <c r="AZ264" i="4" s="1"/>
  <c r="BA882" i="2"/>
  <c r="BA973" i="2" s="1"/>
  <c r="BA983" i="2"/>
  <c r="BA175" i="4" s="1"/>
  <c r="BB935" i="2"/>
  <c r="AY494" i="4"/>
  <c r="AY436" i="4"/>
  <c r="AY463" i="4"/>
  <c r="BB79" i="10"/>
  <c r="K135" i="2" l="1"/>
  <c r="L134" i="2"/>
  <c r="K132" i="2"/>
  <c r="AW491" i="4"/>
  <c r="AX1337" i="2"/>
  <c r="AX1325" i="2" s="1"/>
  <c r="AX1326" i="2" s="1"/>
  <c r="AY1328" i="2"/>
  <c r="AY1330" i="2" s="1"/>
  <c r="AY1331" i="2" s="1"/>
  <c r="AY1332" i="2" s="1"/>
  <c r="AY1333" i="2" s="1"/>
  <c r="AW1327" i="2"/>
  <c r="AW435" i="4" s="1"/>
  <c r="H120" i="4"/>
  <c r="H1345" i="2"/>
  <c r="H1355" i="2" s="1"/>
  <c r="H622" i="2" s="1"/>
  <c r="H621" i="2" s="1"/>
  <c r="H185" i="4" s="1"/>
  <c r="H190" i="4" s="1"/>
  <c r="H258" i="4" s="1"/>
  <c r="H1353" i="2"/>
  <c r="J580" i="2"/>
  <c r="J581" i="2" s="1"/>
  <c r="J578" i="2" s="1"/>
  <c r="H1348" i="2"/>
  <c r="I1348" i="2" s="1"/>
  <c r="H1341" i="2"/>
  <c r="H465" i="4" s="1"/>
  <c r="G1353" i="2"/>
  <c r="G1345" i="2"/>
  <c r="G116" i="4"/>
  <c r="M74" i="2"/>
  <c r="L76" i="2"/>
  <c r="L85" i="2"/>
  <c r="J126" i="4"/>
  <c r="H461" i="4"/>
  <c r="H488" i="4"/>
  <c r="H434" i="4"/>
  <c r="M23" i="2"/>
  <c r="M15" i="2"/>
  <c r="N13" i="2"/>
  <c r="I1296" i="2"/>
  <c r="I489" i="4"/>
  <c r="I1351" i="2"/>
  <c r="I1342" i="2"/>
  <c r="I1339" i="2" s="1"/>
  <c r="I1347" i="2"/>
  <c r="G498" i="4"/>
  <c r="G465" i="4"/>
  <c r="G438" i="4"/>
  <c r="J1295" i="2"/>
  <c r="M114" i="2"/>
  <c r="L125" i="2"/>
  <c r="L116" i="2"/>
  <c r="K1298" i="2"/>
  <c r="K1309" i="2" s="1"/>
  <c r="K1295" i="2" s="1"/>
  <c r="I581" i="2"/>
  <c r="I582" i="2" s="1"/>
  <c r="I1311" i="2"/>
  <c r="L56" i="2"/>
  <c r="M54" i="2"/>
  <c r="L65" i="2"/>
  <c r="M105" i="2"/>
  <c r="M96" i="2"/>
  <c r="N94" i="2"/>
  <c r="K136" i="2"/>
  <c r="L43" i="2"/>
  <c r="L34" i="2"/>
  <c r="M32" i="2"/>
  <c r="J136" i="2"/>
  <c r="G187" i="4"/>
  <c r="BB881" i="2"/>
  <c r="BB972" i="2" s="1"/>
  <c r="BB936" i="2"/>
  <c r="BB982" i="2"/>
  <c r="BA954" i="2"/>
  <c r="BB766" i="2"/>
  <c r="BA958" i="2"/>
  <c r="BB770" i="2"/>
  <c r="AZ495" i="4"/>
  <c r="AZ1314" i="2"/>
  <c r="AZ1315" i="2" s="1"/>
  <c r="AZ103" i="4"/>
  <c r="AZ104" i="4" s="1"/>
  <c r="AZ247" i="4" s="1"/>
  <c r="BA65" i="4"/>
  <c r="BA107" i="4"/>
  <c r="BA240" i="4" s="1"/>
  <c r="BB878" i="2"/>
  <c r="BB969" i="2" s="1"/>
  <c r="BA174" i="4"/>
  <c r="BA1318" i="2"/>
  <c r="AX491" i="4" l="1"/>
  <c r="L132" i="2"/>
  <c r="L126" i="4" s="1"/>
  <c r="L1347" i="2" s="1"/>
  <c r="L1349" i="2" s="1"/>
  <c r="L1350" i="2" s="1"/>
  <c r="M134" i="2"/>
  <c r="L135" i="2"/>
  <c r="L1298" i="2" s="1"/>
  <c r="L1309" i="2" s="1"/>
  <c r="L1295" i="2" s="1"/>
  <c r="AW490" i="4"/>
  <c r="AW462" i="4"/>
  <c r="AY1336" i="2"/>
  <c r="AY1334" i="2" s="1"/>
  <c r="H632" i="2"/>
  <c r="H633" i="2" s="1"/>
  <c r="G117" i="4"/>
  <c r="H498" i="4"/>
  <c r="H438" i="4"/>
  <c r="K580" i="2"/>
  <c r="K581" i="2" s="1"/>
  <c r="K582" i="2" s="1"/>
  <c r="J187" i="4"/>
  <c r="M65" i="2"/>
  <c r="M56" i="2"/>
  <c r="N54" i="2"/>
  <c r="K489" i="4"/>
  <c r="K1296" i="2"/>
  <c r="I1297" i="2"/>
  <c r="M43" i="2"/>
  <c r="M34" i="2"/>
  <c r="N32" i="2"/>
  <c r="N23" i="2"/>
  <c r="N15" i="2"/>
  <c r="O13" i="2"/>
  <c r="M76" i="2"/>
  <c r="M85" i="2"/>
  <c r="N74" i="2"/>
  <c r="M116" i="2"/>
  <c r="M125" i="2"/>
  <c r="N114" i="2"/>
  <c r="I1349" i="2"/>
  <c r="I1350" i="2" s="1"/>
  <c r="I1344" i="2" s="1"/>
  <c r="I167" i="4"/>
  <c r="J1311" i="2"/>
  <c r="J1296" i="2"/>
  <c r="J1297" i="2" s="1"/>
  <c r="J489" i="4"/>
  <c r="I1340" i="2"/>
  <c r="I1341" i="2" s="1"/>
  <c r="I499" i="4"/>
  <c r="I501" i="4"/>
  <c r="K126" i="4"/>
  <c r="J582" i="2"/>
  <c r="J1347" i="2"/>
  <c r="J1349" i="2" s="1"/>
  <c r="J1350" i="2" s="1"/>
  <c r="J1351" i="2"/>
  <c r="J1342" i="2"/>
  <c r="J1339" i="2" s="1"/>
  <c r="G1346" i="2"/>
  <c r="H1346" i="2"/>
  <c r="G1355" i="2"/>
  <c r="G622" i="2" s="1"/>
  <c r="G621" i="2" s="1"/>
  <c r="N96" i="2"/>
  <c r="N105" i="2"/>
  <c r="O94" i="2"/>
  <c r="I578" i="2"/>
  <c r="AZ109" i="4"/>
  <c r="AZ115" i="4" s="1"/>
  <c r="AZ492" i="4" s="1"/>
  <c r="AZ333" i="4"/>
  <c r="AZ284" i="4"/>
  <c r="AZ494" i="4"/>
  <c r="AZ436" i="4"/>
  <c r="AZ463" i="4"/>
  <c r="BB953" i="2"/>
  <c r="BB63" i="4" s="1"/>
  <c r="BB767" i="2"/>
  <c r="BB983" i="2"/>
  <c r="BB175" i="4" s="1"/>
  <c r="BA1316" i="2"/>
  <c r="BA1313" i="2" s="1"/>
  <c r="BA173" i="4"/>
  <c r="BA179" i="4" s="1"/>
  <c r="BA264" i="4" s="1"/>
  <c r="AZ207" i="4"/>
  <c r="AZ209" i="4" s="1"/>
  <c r="AZ256" i="4"/>
  <c r="BB957" i="2"/>
  <c r="BB771" i="2"/>
  <c r="BB882" i="2"/>
  <c r="BB973" i="2" s="1"/>
  <c r="AX493" i="4"/>
  <c r="AX1327" i="2"/>
  <c r="G128" i="7" l="1"/>
  <c r="G253" i="4"/>
  <c r="M135" i="2"/>
  <c r="M1298" i="2" s="1"/>
  <c r="M1309" i="2" s="1"/>
  <c r="M1295" i="2" s="1"/>
  <c r="AY1337" i="2"/>
  <c r="AY1325" i="2" s="1"/>
  <c r="AY491" i="4" s="1"/>
  <c r="N134" i="2"/>
  <c r="M132" i="2"/>
  <c r="G120" i="4"/>
  <c r="L1342" i="2"/>
  <c r="L1339" i="2" s="1"/>
  <c r="L1340" i="2" s="1"/>
  <c r="L1351" i="2"/>
  <c r="L1344" i="2" s="1"/>
  <c r="AZ1328" i="2"/>
  <c r="AZ1331" i="2" s="1"/>
  <c r="AZ1332" i="2" s="1"/>
  <c r="L136" i="2"/>
  <c r="K578" i="2"/>
  <c r="K187" i="4" s="1"/>
  <c r="I1345" i="2"/>
  <c r="I1346" i="2" s="1"/>
  <c r="I116" i="4"/>
  <c r="I1353" i="2"/>
  <c r="I465" i="4"/>
  <c r="I498" i="4"/>
  <c r="I438" i="4"/>
  <c r="L580" i="2"/>
  <c r="G439" i="4"/>
  <c r="G441" i="4" s="1"/>
  <c r="G448" i="4" s="1"/>
  <c r="G449" i="4" s="1"/>
  <c r="G450" i="4" s="1"/>
  <c r="G500" i="4"/>
  <c r="G504" i="4" s="1"/>
  <c r="G511" i="4" s="1"/>
  <c r="G512" i="4" s="1"/>
  <c r="G513" i="4" s="1"/>
  <c r="G466" i="4"/>
  <c r="G468" i="4" s="1"/>
  <c r="G475" i="4" s="1"/>
  <c r="G476" i="4" s="1"/>
  <c r="G477" i="4" s="1"/>
  <c r="G1354" i="2"/>
  <c r="G129" i="4" s="1"/>
  <c r="G135" i="4" s="1"/>
  <c r="O105" i="2"/>
  <c r="O96" i="2"/>
  <c r="P94" i="2"/>
  <c r="J1340" i="2"/>
  <c r="J1341" i="2" s="1"/>
  <c r="J501" i="4"/>
  <c r="J499" i="4"/>
  <c r="J434" i="4"/>
  <c r="J461" i="4"/>
  <c r="J488" i="4"/>
  <c r="N125" i="2"/>
  <c r="N116" i="2"/>
  <c r="O114" i="2"/>
  <c r="K1297" i="2"/>
  <c r="I187" i="4"/>
  <c r="J1344" i="2"/>
  <c r="L489" i="4"/>
  <c r="L1296" i="2"/>
  <c r="O32" i="2"/>
  <c r="N34" i="2"/>
  <c r="N43" i="2"/>
  <c r="J167" i="4"/>
  <c r="K1311" i="2"/>
  <c r="O23" i="2"/>
  <c r="O15" i="2"/>
  <c r="P13" i="2"/>
  <c r="G185" i="4"/>
  <c r="G190" i="4" s="1"/>
  <c r="G258" i="4" s="1"/>
  <c r="G632" i="2"/>
  <c r="G633" i="2" s="1"/>
  <c r="K1351" i="2"/>
  <c r="K1347" i="2"/>
  <c r="K1342" i="2"/>
  <c r="K1339" i="2" s="1"/>
  <c r="J1348" i="2"/>
  <c r="K1348" i="2" s="1"/>
  <c r="H466" i="4"/>
  <c r="H468" i="4" s="1"/>
  <c r="H475" i="4" s="1"/>
  <c r="H476" i="4" s="1"/>
  <c r="H439" i="4"/>
  <c r="H441" i="4" s="1"/>
  <c r="H448" i="4" s="1"/>
  <c r="H449" i="4" s="1"/>
  <c r="H500" i="4"/>
  <c r="H504" i="4" s="1"/>
  <c r="H511" i="4" s="1"/>
  <c r="H512" i="4" s="1"/>
  <c r="H1354" i="2"/>
  <c r="H129" i="4" s="1"/>
  <c r="H135" i="4" s="1"/>
  <c r="N85" i="2"/>
  <c r="N76" i="2"/>
  <c r="O74" i="2"/>
  <c r="I434" i="4"/>
  <c r="I461" i="4"/>
  <c r="I488" i="4"/>
  <c r="O54" i="2"/>
  <c r="N65" i="2"/>
  <c r="N56" i="2"/>
  <c r="BB958" i="2"/>
  <c r="BA495" i="4"/>
  <c r="BA1314" i="2"/>
  <c r="BA1315" i="2" s="1"/>
  <c r="BA103" i="4"/>
  <c r="BA104" i="4" s="1"/>
  <c r="BA207" i="4" s="1"/>
  <c r="BA209" i="4" s="1"/>
  <c r="BB954" i="2"/>
  <c r="BB1318" i="2"/>
  <c r="BB174" i="4"/>
  <c r="BB107" i="4"/>
  <c r="BB65" i="4"/>
  <c r="AX462" i="4"/>
  <c r="AX435" i="4"/>
  <c r="AX490" i="4"/>
  <c r="G130" i="7" l="1"/>
  <c r="G172" i="7"/>
  <c r="AY1326" i="2"/>
  <c r="AY1327" i="2" s="1"/>
  <c r="G198" i="4"/>
  <c r="H198" i="4" s="1"/>
  <c r="H200" i="4" s="1"/>
  <c r="N132" i="2"/>
  <c r="N126" i="4" s="1"/>
  <c r="N1347" i="2" s="1"/>
  <c r="O134" i="2"/>
  <c r="N135" i="2"/>
  <c r="N1298" i="2" s="1"/>
  <c r="N1309" i="2" s="1"/>
  <c r="N1295" i="2" s="1"/>
  <c r="N1296" i="2" s="1"/>
  <c r="AZ1336" i="2"/>
  <c r="AZ1334" i="2" s="1"/>
  <c r="I117" i="4"/>
  <c r="BA109" i="4"/>
  <c r="BA115" i="4" s="1"/>
  <c r="BA492" i="4" s="1"/>
  <c r="AZ1330" i="2"/>
  <c r="AZ1333" i="2" s="1"/>
  <c r="BA333" i="4"/>
  <c r="L499" i="4"/>
  <c r="L501" i="4"/>
  <c r="BA247" i="4"/>
  <c r="L116" i="4"/>
  <c r="L117" i="4" s="1"/>
  <c r="L120" i="4" s="1"/>
  <c r="L1353" i="2"/>
  <c r="L1345" i="2"/>
  <c r="L1355" i="2" s="1"/>
  <c r="L622" i="2" s="1"/>
  <c r="L621" i="2" s="1"/>
  <c r="L185" i="4" s="1"/>
  <c r="BA284" i="4"/>
  <c r="BA256" i="4"/>
  <c r="I1355" i="2"/>
  <c r="I622" i="2" s="1"/>
  <c r="I621" i="2" s="1"/>
  <c r="I185" i="4" s="1"/>
  <c r="I190" i="4" s="1"/>
  <c r="I258" i="4" s="1"/>
  <c r="H450" i="4"/>
  <c r="M580" i="2"/>
  <c r="M581" i="2" s="1"/>
  <c r="H513" i="4"/>
  <c r="I466" i="4"/>
  <c r="I468" i="4" s="1"/>
  <c r="I475" i="4" s="1"/>
  <c r="I476" i="4" s="1"/>
  <c r="I500" i="4"/>
  <c r="I504" i="4" s="1"/>
  <c r="I511" i="4" s="1"/>
  <c r="I512" i="4" s="1"/>
  <c r="I439" i="4"/>
  <c r="I441" i="4" s="1"/>
  <c r="I448" i="4" s="1"/>
  <c r="I449" i="4" s="1"/>
  <c r="I1354" i="2"/>
  <c r="I129" i="4" s="1"/>
  <c r="I135" i="4" s="1"/>
  <c r="Q13" i="2"/>
  <c r="P15" i="2"/>
  <c r="P23" i="2"/>
  <c r="K167" i="4"/>
  <c r="L1311" i="2"/>
  <c r="L1297" i="2"/>
  <c r="M1296" i="2"/>
  <c r="M1297" i="2" s="1"/>
  <c r="M489" i="4"/>
  <c r="P105" i="2"/>
  <c r="P96" i="2"/>
  <c r="Q94" i="2"/>
  <c r="L581" i="2"/>
  <c r="L582" i="2" s="1"/>
  <c r="P74" i="2"/>
  <c r="O76" i="2"/>
  <c r="O85" i="2"/>
  <c r="K501" i="4"/>
  <c r="K499" i="4"/>
  <c r="K1340" i="2"/>
  <c r="J1353" i="2"/>
  <c r="J1345" i="2"/>
  <c r="J1355" i="2" s="1"/>
  <c r="J622" i="2" s="1"/>
  <c r="J621" i="2" s="1"/>
  <c r="K434" i="4"/>
  <c r="K488" i="4"/>
  <c r="K461" i="4"/>
  <c r="K1349" i="2"/>
  <c r="K1350" i="2" s="1"/>
  <c r="K1344" i="2" s="1"/>
  <c r="M126" i="4"/>
  <c r="M136" i="2"/>
  <c r="P54" i="2"/>
  <c r="O65" i="2"/>
  <c r="O56" i="2"/>
  <c r="H323" i="4"/>
  <c r="H322" i="4" s="1"/>
  <c r="H372" i="4"/>
  <c r="H371" i="4" s="1"/>
  <c r="H1265" i="2"/>
  <c r="H153" i="4"/>
  <c r="H1185" i="2"/>
  <c r="H211" i="4"/>
  <c r="H275" i="4"/>
  <c r="H274" i="4" s="1"/>
  <c r="J116" i="4"/>
  <c r="J117" i="4" s="1"/>
  <c r="G275" i="4"/>
  <c r="G1185" i="2"/>
  <c r="G372" i="4"/>
  <c r="G371" i="4" s="1"/>
  <c r="G153" i="4"/>
  <c r="G1265" i="2"/>
  <c r="G323" i="4"/>
  <c r="G322" i="4" s="1"/>
  <c r="G211" i="4"/>
  <c r="H634" i="2"/>
  <c r="G634" i="2"/>
  <c r="O116" i="2"/>
  <c r="P114" i="2"/>
  <c r="O125" i="2"/>
  <c r="H477" i="4"/>
  <c r="O34" i="2"/>
  <c r="O43" i="2"/>
  <c r="P32" i="2"/>
  <c r="J438" i="4"/>
  <c r="J498" i="4"/>
  <c r="J465" i="4"/>
  <c r="BA436" i="4"/>
  <c r="BA463" i="4"/>
  <c r="BA494" i="4"/>
  <c r="BB1316" i="2"/>
  <c r="BB1313" i="2" s="1"/>
  <c r="BB173" i="4"/>
  <c r="BB179" i="4" s="1"/>
  <c r="BB264" i="4" s="1"/>
  <c r="BB240" i="4"/>
  <c r="AY493" i="4"/>
  <c r="G200" i="4" l="1"/>
  <c r="G202" i="4" s="1"/>
  <c r="I120" i="4"/>
  <c r="O132" i="2"/>
  <c r="O126" i="4" s="1"/>
  <c r="O135" i="2"/>
  <c r="O1298" i="2" s="1"/>
  <c r="O1309" i="2" s="1"/>
  <c r="O1295" i="2" s="1"/>
  <c r="P134" i="2"/>
  <c r="AZ1337" i="2"/>
  <c r="AZ1325" i="2" s="1"/>
  <c r="AZ491" i="4" s="1"/>
  <c r="BA1328" i="2"/>
  <c r="BA1331" i="2" s="1"/>
  <c r="I253" i="4"/>
  <c r="G274" i="4"/>
  <c r="I632" i="2"/>
  <c r="I633" i="2" s="1"/>
  <c r="I634" i="2" s="1"/>
  <c r="I450" i="4"/>
  <c r="N489" i="4"/>
  <c r="N1342" i="2"/>
  <c r="N1339" i="2" s="1"/>
  <c r="N499" i="4" s="1"/>
  <c r="N1351" i="2"/>
  <c r="N580" i="2"/>
  <c r="N581" i="2" s="1"/>
  <c r="N578" i="2" s="1"/>
  <c r="N187" i="4" s="1"/>
  <c r="I513" i="4"/>
  <c r="N136" i="2"/>
  <c r="M582" i="2"/>
  <c r="L578" i="2"/>
  <c r="L187" i="4" s="1"/>
  <c r="L190" i="4" s="1"/>
  <c r="L258" i="4" s="1"/>
  <c r="M461" i="4"/>
  <c r="M488" i="4"/>
  <c r="M434" i="4"/>
  <c r="K1345" i="2"/>
  <c r="L1346" i="2" s="1"/>
  <c r="K116" i="4"/>
  <c r="K117" i="4" s="1"/>
  <c r="K1353" i="2"/>
  <c r="H401" i="4"/>
  <c r="H402" i="4" s="1"/>
  <c r="H377" i="4"/>
  <c r="H403" i="4"/>
  <c r="H404" i="4" s="1"/>
  <c r="H385" i="4"/>
  <c r="H388" i="4"/>
  <c r="L1348" i="2"/>
  <c r="M1348" i="2" s="1"/>
  <c r="H327" i="4"/>
  <c r="H334" i="4"/>
  <c r="R13" i="2"/>
  <c r="Q15" i="2"/>
  <c r="Q23" i="2"/>
  <c r="J120" i="4"/>
  <c r="J253" i="4"/>
  <c r="J1346" i="2"/>
  <c r="P76" i="2"/>
  <c r="P85" i="2"/>
  <c r="Q74" i="2"/>
  <c r="I1265" i="2"/>
  <c r="I1185" i="2"/>
  <c r="I323" i="4"/>
  <c r="I322" i="4" s="1"/>
  <c r="I372" i="4"/>
  <c r="I371" i="4" s="1"/>
  <c r="I211" i="4"/>
  <c r="I153" i="4"/>
  <c r="I275" i="4"/>
  <c r="I274" i="4" s="1"/>
  <c r="G216" i="4"/>
  <c r="G214" i="4"/>
  <c r="G1262" i="2" s="1"/>
  <c r="H278" i="4"/>
  <c r="H285" i="4"/>
  <c r="J185" i="4"/>
  <c r="J190" i="4" s="1"/>
  <c r="J258" i="4" s="1"/>
  <c r="J632" i="2"/>
  <c r="J633" i="2" s="1"/>
  <c r="P43" i="2"/>
  <c r="Q32" i="2"/>
  <c r="P34" i="2"/>
  <c r="P125" i="2"/>
  <c r="P116" i="2"/>
  <c r="Q114" i="2"/>
  <c r="G334" i="4"/>
  <c r="G327" i="4"/>
  <c r="G328" i="4" s="1"/>
  <c r="H214" i="4"/>
  <c r="H1262" i="2" s="1"/>
  <c r="H216" i="4"/>
  <c r="G231" i="4" s="1"/>
  <c r="P65" i="2"/>
  <c r="P56" i="2"/>
  <c r="Q54" i="2"/>
  <c r="Q105" i="2"/>
  <c r="Q96" i="2"/>
  <c r="R94" i="2"/>
  <c r="L434" i="4"/>
  <c r="L488" i="4"/>
  <c r="L461" i="4"/>
  <c r="N1297" i="2"/>
  <c r="M1311" i="2"/>
  <c r="L167" i="4"/>
  <c r="I477" i="4"/>
  <c r="G1263" i="2"/>
  <c r="G155" i="4"/>
  <c r="G1183" i="2"/>
  <c r="H1263" i="2"/>
  <c r="H1183" i="2"/>
  <c r="M1342" i="2"/>
  <c r="M1339" i="2" s="1"/>
  <c r="M1347" i="2"/>
  <c r="M1351" i="2"/>
  <c r="H202" i="4"/>
  <c r="H225" i="4"/>
  <c r="G385" i="4"/>
  <c r="G396" i="4"/>
  <c r="G388" i="4"/>
  <c r="G377" i="4"/>
  <c r="G378" i="4" s="1"/>
  <c r="G401" i="4"/>
  <c r="G402" i="4" s="1"/>
  <c r="G403" i="4"/>
  <c r="G404" i="4" s="1"/>
  <c r="M578" i="2"/>
  <c r="K1341" i="2"/>
  <c r="L1341" i="2"/>
  <c r="BB1314" i="2"/>
  <c r="BB1315" i="2" s="1"/>
  <c r="BB103" i="4"/>
  <c r="BB495" i="4"/>
  <c r="AY435" i="4"/>
  <c r="AY490" i="4"/>
  <c r="AY462" i="4"/>
  <c r="I198" i="4" l="1"/>
  <c r="I200" i="4" s="1"/>
  <c r="G168" i="7"/>
  <c r="H254" i="4"/>
  <c r="G254" i="4"/>
  <c r="G225" i="4"/>
  <c r="G278" i="4"/>
  <c r="AZ1326" i="2"/>
  <c r="AZ493" i="4" s="1"/>
  <c r="BA1330" i="2"/>
  <c r="Q134" i="2"/>
  <c r="P132" i="2"/>
  <c r="P135" i="2"/>
  <c r="P1298" i="2" s="1"/>
  <c r="P1309" i="2" s="1"/>
  <c r="P1295" i="2" s="1"/>
  <c r="BA1332" i="2"/>
  <c r="BA1336" i="2"/>
  <c r="BA1334" i="2" s="1"/>
  <c r="G285" i="4"/>
  <c r="J634" i="2"/>
  <c r="N1340" i="2"/>
  <c r="K1355" i="2"/>
  <c r="K622" i="2" s="1"/>
  <c r="K621" i="2" s="1"/>
  <c r="K185" i="4" s="1"/>
  <c r="K190" i="4" s="1"/>
  <c r="K258" i="4" s="1"/>
  <c r="N501" i="4"/>
  <c r="O136" i="2"/>
  <c r="L632" i="2"/>
  <c r="L633" i="2" s="1"/>
  <c r="N582" i="2"/>
  <c r="O580" i="2"/>
  <c r="O581" i="2" s="1"/>
  <c r="N1311" i="2"/>
  <c r="M167" i="4"/>
  <c r="Q65" i="2"/>
  <c r="Q56" i="2"/>
  <c r="R54" i="2"/>
  <c r="Q116" i="2"/>
  <c r="R114" i="2"/>
  <c r="Q125" i="2"/>
  <c r="H312" i="4"/>
  <c r="H313" i="4" s="1"/>
  <c r="H310" i="4"/>
  <c r="H311" i="4" s="1"/>
  <c r="H286" i="4"/>
  <c r="H297" i="4"/>
  <c r="H294" i="4"/>
  <c r="I334" i="4"/>
  <c r="I327" i="4"/>
  <c r="L466" i="4"/>
  <c r="L439" i="4"/>
  <c r="L500" i="4"/>
  <c r="N488" i="4"/>
  <c r="N461" i="4"/>
  <c r="N434" i="4"/>
  <c r="R105" i="2"/>
  <c r="S94" i="2"/>
  <c r="R96" i="2"/>
  <c r="G392" i="4"/>
  <c r="H378" i="4"/>
  <c r="H392" i="4" s="1"/>
  <c r="G1182" i="2"/>
  <c r="G161" i="4"/>
  <c r="G170" i="4" s="1"/>
  <c r="G181" i="4" s="1"/>
  <c r="H154" i="4"/>
  <c r="G1261" i="2"/>
  <c r="G1138" i="2"/>
  <c r="J500" i="4"/>
  <c r="J504" i="4" s="1"/>
  <c r="J511" i="4" s="1"/>
  <c r="J512" i="4" s="1"/>
  <c r="J513" i="4" s="1"/>
  <c r="J439" i="4"/>
  <c r="J441" i="4" s="1"/>
  <c r="J448" i="4" s="1"/>
  <c r="J449" i="4" s="1"/>
  <c r="J450" i="4" s="1"/>
  <c r="J466" i="4"/>
  <c r="J468" i="4" s="1"/>
  <c r="J475" i="4" s="1"/>
  <c r="J476" i="4" s="1"/>
  <c r="J477" i="4" s="1"/>
  <c r="J1354" i="2"/>
  <c r="J129" i="4" s="1"/>
  <c r="J135" i="4" s="1"/>
  <c r="I225" i="4"/>
  <c r="I202" i="4"/>
  <c r="H396" i="4"/>
  <c r="G397" i="4"/>
  <c r="Q43" i="2"/>
  <c r="Q34" i="2"/>
  <c r="R32" i="2"/>
  <c r="I285" i="4"/>
  <c r="I278" i="4"/>
  <c r="Q85" i="2"/>
  <c r="Q76" i="2"/>
  <c r="R74" i="2"/>
  <c r="L465" i="4"/>
  <c r="L498" i="4"/>
  <c r="L438" i="4"/>
  <c r="L1354" i="2"/>
  <c r="L129" i="4" s="1"/>
  <c r="L135" i="4" s="1"/>
  <c r="I1263" i="2"/>
  <c r="I1183" i="2"/>
  <c r="O1351" i="2"/>
  <c r="O1342" i="2"/>
  <c r="O1339" i="2" s="1"/>
  <c r="O1347" i="2"/>
  <c r="R23" i="2"/>
  <c r="R15" i="2"/>
  <c r="S13" i="2"/>
  <c r="K498" i="4"/>
  <c r="K438" i="4"/>
  <c r="K465" i="4"/>
  <c r="I254" i="4"/>
  <c r="M1340" i="2"/>
  <c r="M499" i="4"/>
  <c r="M501" i="4"/>
  <c r="H328" i="4"/>
  <c r="I216" i="4"/>
  <c r="I214" i="4"/>
  <c r="I1262" i="2" s="1"/>
  <c r="M1349" i="2"/>
  <c r="M1350" i="2" s="1"/>
  <c r="M1344" i="2" s="1"/>
  <c r="K120" i="4"/>
  <c r="K253" i="4"/>
  <c r="M187" i="4"/>
  <c r="H155" i="4"/>
  <c r="I155" i="4" s="1"/>
  <c r="G343" i="4"/>
  <c r="G361" i="4"/>
  <c r="G362" i="4" s="1"/>
  <c r="G354" i="4"/>
  <c r="G359" i="4"/>
  <c r="G360" i="4" s="1"/>
  <c r="G335" i="4"/>
  <c r="G336" i="4" s="1"/>
  <c r="O489" i="4"/>
  <c r="O1296" i="2"/>
  <c r="O1297" i="2" s="1"/>
  <c r="I377" i="4"/>
  <c r="I385" i="4"/>
  <c r="I401" i="4"/>
  <c r="I402" i="4" s="1"/>
  <c r="I403" i="4"/>
  <c r="I404" i="4" s="1"/>
  <c r="I388" i="4"/>
  <c r="H346" i="4"/>
  <c r="H359" i="4"/>
  <c r="H360" i="4" s="1"/>
  <c r="H361" i="4"/>
  <c r="H362" i="4" s="1"/>
  <c r="H343" i="4"/>
  <c r="H335" i="4"/>
  <c r="K1346" i="2"/>
  <c r="BB436" i="4"/>
  <c r="BB494" i="4"/>
  <c r="BB463" i="4"/>
  <c r="BB104" i="4"/>
  <c r="J198" i="4" l="1"/>
  <c r="J200" i="4" s="1"/>
  <c r="J254" i="4" s="1"/>
  <c r="G169" i="7"/>
  <c r="G279" i="4"/>
  <c r="H279" i="4" s="1"/>
  <c r="I279" i="4" s="1"/>
  <c r="BA1333" i="2"/>
  <c r="G312" i="4"/>
  <c r="AZ1327" i="2"/>
  <c r="AZ462" i="4" s="1"/>
  <c r="BA1337" i="2"/>
  <c r="BA1325" i="2" s="1"/>
  <c r="BA491" i="4" s="1"/>
  <c r="Q132" i="2"/>
  <c r="Q135" i="2"/>
  <c r="Q1298" i="2" s="1"/>
  <c r="Q1309" i="2" s="1"/>
  <c r="Q1295" i="2" s="1"/>
  <c r="Q1296" i="2" s="1"/>
  <c r="R134" i="2"/>
  <c r="G305" i="4"/>
  <c r="H305" i="4" s="1"/>
  <c r="G286" i="4"/>
  <c r="G310" i="4"/>
  <c r="G294" i="4"/>
  <c r="G297" i="4"/>
  <c r="N1341" i="2"/>
  <c r="N465" i="4" s="1"/>
  <c r="K632" i="2"/>
  <c r="K633" i="2" s="1"/>
  <c r="K634" i="2" s="1"/>
  <c r="I378" i="4"/>
  <c r="I392" i="4" s="1"/>
  <c r="P580" i="2"/>
  <c r="P581" i="2" s="1"/>
  <c r="P582" i="2" s="1"/>
  <c r="L504" i="4"/>
  <c r="L511" i="4" s="1"/>
  <c r="L512" i="4" s="1"/>
  <c r="L441" i="4"/>
  <c r="L448" i="4" s="1"/>
  <c r="L449" i="4" s="1"/>
  <c r="M1345" i="2"/>
  <c r="M1346" i="2" s="1"/>
  <c r="M116" i="4"/>
  <c r="M1353" i="2"/>
  <c r="O461" i="4"/>
  <c r="O434" i="4"/>
  <c r="O488" i="4"/>
  <c r="M1341" i="2"/>
  <c r="I286" i="4"/>
  <c r="I297" i="4"/>
  <c r="I310" i="4"/>
  <c r="I311" i="4" s="1"/>
  <c r="I294" i="4"/>
  <c r="I312" i="4"/>
  <c r="I313" i="4" s="1"/>
  <c r="H1182" i="2"/>
  <c r="I154" i="4"/>
  <c r="H1138" i="2"/>
  <c r="H1261" i="2"/>
  <c r="H161" i="4"/>
  <c r="H170" i="4" s="1"/>
  <c r="H181" i="4" s="1"/>
  <c r="R43" i="2"/>
  <c r="R34" i="2"/>
  <c r="S32" i="2"/>
  <c r="G203" i="4"/>
  <c r="G255" i="4"/>
  <c r="S54" i="2"/>
  <c r="R56" i="2"/>
  <c r="R65" i="2"/>
  <c r="K500" i="4"/>
  <c r="K504" i="4" s="1"/>
  <c r="K511" i="4" s="1"/>
  <c r="K512" i="4" s="1"/>
  <c r="K513" i="4" s="1"/>
  <c r="K439" i="4"/>
  <c r="K441" i="4" s="1"/>
  <c r="K448" i="4" s="1"/>
  <c r="K449" i="4" s="1"/>
  <c r="K450" i="4" s="1"/>
  <c r="K466" i="4"/>
  <c r="K468" i="4" s="1"/>
  <c r="K475" i="4" s="1"/>
  <c r="K476" i="4" s="1"/>
  <c r="K477" i="4" s="1"/>
  <c r="I1138" i="2"/>
  <c r="J154" i="4"/>
  <c r="I1182" i="2"/>
  <c r="I161" i="4"/>
  <c r="I170" i="4" s="1"/>
  <c r="I181" i="4" s="1"/>
  <c r="I1261" i="2"/>
  <c r="T13" i="2"/>
  <c r="S23" i="2"/>
  <c r="S15" i="2"/>
  <c r="P126" i="4"/>
  <c r="P136" i="2"/>
  <c r="G350" i="4"/>
  <c r="H336" i="4"/>
  <c r="H350" i="4" s="1"/>
  <c r="L211" i="4"/>
  <c r="L275" i="4"/>
  <c r="L274" i="4" s="1"/>
  <c r="L372" i="4"/>
  <c r="L371" i="4" s="1"/>
  <c r="L153" i="4"/>
  <c r="L323" i="4"/>
  <c r="L322" i="4" s="1"/>
  <c r="L1185" i="2"/>
  <c r="L1265" i="2"/>
  <c r="R76" i="2"/>
  <c r="S74" i="2"/>
  <c r="R85" i="2"/>
  <c r="J323" i="4"/>
  <c r="J322" i="4" s="1"/>
  <c r="J211" i="4"/>
  <c r="J1265" i="2"/>
  <c r="J372" i="4"/>
  <c r="J371" i="4" s="1"/>
  <c r="J275" i="4"/>
  <c r="J153" i="4"/>
  <c r="J1185" i="2"/>
  <c r="K1354" i="2"/>
  <c r="K129" i="4" s="1"/>
  <c r="K135" i="4" s="1"/>
  <c r="O578" i="2"/>
  <c r="O582" i="2"/>
  <c r="S96" i="2"/>
  <c r="S105" i="2"/>
  <c r="T94" i="2"/>
  <c r="L468" i="4"/>
  <c r="L475" i="4" s="1"/>
  <c r="L476" i="4" s="1"/>
  <c r="H354" i="4"/>
  <c r="G355" i="4"/>
  <c r="N1348" i="2"/>
  <c r="H397" i="4"/>
  <c r="I396" i="4"/>
  <c r="P489" i="4"/>
  <c r="P1296" i="2"/>
  <c r="P1297" i="2" s="1"/>
  <c r="I328" i="4"/>
  <c r="N167" i="4"/>
  <c r="O1311" i="2"/>
  <c r="O501" i="4"/>
  <c r="O499" i="4"/>
  <c r="O1340" i="2"/>
  <c r="O1341" i="2" s="1"/>
  <c r="J225" i="4"/>
  <c r="J202" i="4"/>
  <c r="I359" i="4"/>
  <c r="I360" i="4" s="1"/>
  <c r="I361" i="4"/>
  <c r="I362" i="4" s="1"/>
  <c r="I335" i="4"/>
  <c r="I346" i="4"/>
  <c r="I343" i="4"/>
  <c r="R125" i="2"/>
  <c r="R116" i="2"/>
  <c r="S114" i="2"/>
  <c r="BB207" i="4"/>
  <c r="BB209" i="4" s="1"/>
  <c r="BB247" i="4"/>
  <c r="BB284" i="4"/>
  <c r="BB109" i="4"/>
  <c r="BB333" i="4"/>
  <c r="BB256" i="4"/>
  <c r="K198" i="4" l="1"/>
  <c r="L198" i="4" s="1"/>
  <c r="G174" i="7"/>
  <c r="G204" i="7"/>
  <c r="BA1326" i="2"/>
  <c r="BA493" i="4" s="1"/>
  <c r="AZ490" i="4"/>
  <c r="AZ435" i="4"/>
  <c r="G287" i="4"/>
  <c r="H287" i="4" s="1"/>
  <c r="H301" i="4" s="1"/>
  <c r="G311" i="4"/>
  <c r="G313" i="4"/>
  <c r="R135" i="2"/>
  <c r="R1298" i="2" s="1"/>
  <c r="R1309" i="2" s="1"/>
  <c r="R1295" i="2" s="1"/>
  <c r="S134" i="2"/>
  <c r="G306" i="4"/>
  <c r="R132" i="2"/>
  <c r="R136" i="2" s="1"/>
  <c r="K200" i="4"/>
  <c r="K254" i="4" s="1"/>
  <c r="L634" i="2"/>
  <c r="N438" i="4"/>
  <c r="J274" i="4"/>
  <c r="N498" i="4"/>
  <c r="L450" i="4"/>
  <c r="P578" i="2"/>
  <c r="P187" i="4" s="1"/>
  <c r="Q489" i="4"/>
  <c r="Q580" i="2"/>
  <c r="Q581" i="2" s="1"/>
  <c r="Q582" i="2" s="1"/>
  <c r="L513" i="4"/>
  <c r="I336" i="4"/>
  <c r="I350" i="4" s="1"/>
  <c r="Q1297" i="2"/>
  <c r="Q461" i="4" s="1"/>
  <c r="M439" i="4"/>
  <c r="M500" i="4"/>
  <c r="M466" i="4"/>
  <c r="J216" i="4"/>
  <c r="J214" i="4"/>
  <c r="J1262" i="2" s="1"/>
  <c r="L1263" i="2"/>
  <c r="L1183" i="2"/>
  <c r="M1355" i="2"/>
  <c r="M622" i="2" s="1"/>
  <c r="M621" i="2" s="1"/>
  <c r="S125" i="2"/>
  <c r="S116" i="2"/>
  <c r="T114" i="2"/>
  <c r="P434" i="4"/>
  <c r="P461" i="4"/>
  <c r="P488" i="4"/>
  <c r="K1265" i="2"/>
  <c r="K211" i="4"/>
  <c r="K372" i="4"/>
  <c r="K371" i="4" s="1"/>
  <c r="K153" i="4"/>
  <c r="K1185" i="2"/>
  <c r="K275" i="4"/>
  <c r="K274" i="4" s="1"/>
  <c r="K323" i="4"/>
  <c r="K322" i="4" s="1"/>
  <c r="J334" i="4"/>
  <c r="J327" i="4"/>
  <c r="J328" i="4" s="1"/>
  <c r="L401" i="4"/>
  <c r="L402" i="4" s="1"/>
  <c r="L385" i="4"/>
  <c r="L388" i="4"/>
  <c r="L377" i="4"/>
  <c r="L403" i="4"/>
  <c r="L404" i="4" s="1"/>
  <c r="P1347" i="2"/>
  <c r="P1342" i="2"/>
  <c r="P1339" i="2" s="1"/>
  <c r="P1351" i="2"/>
  <c r="T54" i="2"/>
  <c r="S56" i="2"/>
  <c r="S65" i="2"/>
  <c r="M438" i="4"/>
  <c r="M465" i="4"/>
  <c r="M498" i="4"/>
  <c r="M1354" i="2"/>
  <c r="M129" i="4" s="1"/>
  <c r="M135" i="4" s="1"/>
  <c r="H355" i="4"/>
  <c r="I354" i="4"/>
  <c r="T96" i="2"/>
  <c r="U94" i="2"/>
  <c r="T105" i="2"/>
  <c r="L285" i="4"/>
  <c r="L278" i="4"/>
  <c r="H203" i="4"/>
  <c r="I255" i="4"/>
  <c r="S76" i="2"/>
  <c r="T74" i="2"/>
  <c r="S85" i="2"/>
  <c r="L214" i="4"/>
  <c r="L1262" i="2" s="1"/>
  <c r="L216" i="4"/>
  <c r="Q126" i="4"/>
  <c r="L477" i="4"/>
  <c r="H306" i="4"/>
  <c r="I305" i="4"/>
  <c r="I397" i="4"/>
  <c r="J396" i="4"/>
  <c r="J1183" i="2"/>
  <c r="J1263" i="2"/>
  <c r="J155" i="4"/>
  <c r="H255" i="4"/>
  <c r="O167" i="4"/>
  <c r="P1311" i="2"/>
  <c r="Q136" i="2"/>
  <c r="N1349" i="2"/>
  <c r="O1348" i="2" s="1"/>
  <c r="O187" i="4"/>
  <c r="J401" i="4"/>
  <c r="J402" i="4" s="1"/>
  <c r="J377" i="4"/>
  <c r="J378" i="4" s="1"/>
  <c r="J392" i="4" s="1"/>
  <c r="J403" i="4"/>
  <c r="J404" i="4" s="1"/>
  <c r="J388" i="4"/>
  <c r="J385" i="4"/>
  <c r="L200" i="4"/>
  <c r="L253" i="4" s="1"/>
  <c r="O465" i="4"/>
  <c r="O498" i="4"/>
  <c r="O438" i="4"/>
  <c r="L334" i="4"/>
  <c r="L327" i="4"/>
  <c r="T23" i="2"/>
  <c r="U13" i="2"/>
  <c r="T15" i="2"/>
  <c r="I203" i="4"/>
  <c r="S34" i="2"/>
  <c r="S43" i="2"/>
  <c r="T32" i="2"/>
  <c r="M117" i="4"/>
  <c r="M242" i="4"/>
  <c r="M243" i="4" s="1"/>
  <c r="BB115" i="4"/>
  <c r="G180" i="7" l="1"/>
  <c r="BA1327" i="2"/>
  <c r="BA490" i="4" s="1"/>
  <c r="G301" i="4"/>
  <c r="J278" i="4"/>
  <c r="I287" i="4"/>
  <c r="I301" i="4" s="1"/>
  <c r="T134" i="2"/>
  <c r="K225" i="4"/>
  <c r="K202" i="4"/>
  <c r="S132" i="2"/>
  <c r="S135" i="2"/>
  <c r="S1298" i="2" s="1"/>
  <c r="S1309" i="2" s="1"/>
  <c r="S1295" i="2" s="1"/>
  <c r="J285" i="4"/>
  <c r="Q434" i="4"/>
  <c r="Q488" i="4"/>
  <c r="M504" i="4"/>
  <c r="M511" i="4" s="1"/>
  <c r="M512" i="4" s="1"/>
  <c r="M513" i="4" s="1"/>
  <c r="M468" i="4"/>
  <c r="M475" i="4" s="1"/>
  <c r="M476" i="4" s="1"/>
  <c r="M477" i="4" s="1"/>
  <c r="R126" i="4"/>
  <c r="L343" i="4"/>
  <c r="L335" i="4"/>
  <c r="L346" i="4"/>
  <c r="L359" i="4"/>
  <c r="L360" i="4" s="1"/>
  <c r="L361" i="4"/>
  <c r="L362" i="4" s="1"/>
  <c r="K396" i="4"/>
  <c r="J397" i="4"/>
  <c r="K334" i="4"/>
  <c r="K327" i="4"/>
  <c r="K328" i="4" s="1"/>
  <c r="L328" i="4" s="1"/>
  <c r="M185" i="4"/>
  <c r="M190" i="4" s="1"/>
  <c r="M632" i="2"/>
  <c r="M633" i="2" s="1"/>
  <c r="M634" i="2" s="1"/>
  <c r="R1296" i="2"/>
  <c r="R1297" i="2" s="1"/>
  <c r="R489" i="4"/>
  <c r="K278" i="4"/>
  <c r="K285" i="4"/>
  <c r="O1349" i="2"/>
  <c r="O1350" i="2" s="1"/>
  <c r="O1344" i="2" s="1"/>
  <c r="Q1311" i="2"/>
  <c r="P167" i="4"/>
  <c r="I306" i="4"/>
  <c r="T76" i="2"/>
  <c r="U74" i="2"/>
  <c r="T85" i="2"/>
  <c r="U105" i="2"/>
  <c r="U96" i="2"/>
  <c r="V94" i="2"/>
  <c r="T125" i="2"/>
  <c r="T116" i="2"/>
  <c r="U114" i="2"/>
  <c r="N1350" i="2"/>
  <c r="K1183" i="2"/>
  <c r="K1263" i="2"/>
  <c r="K155" i="4"/>
  <c r="M441" i="4"/>
  <c r="M448" i="4" s="1"/>
  <c r="M449" i="4" s="1"/>
  <c r="M450" i="4" s="1"/>
  <c r="M246" i="4"/>
  <c r="M120" i="4"/>
  <c r="U15" i="2"/>
  <c r="V13" i="2"/>
  <c r="U23" i="2"/>
  <c r="I355" i="4"/>
  <c r="J354" i="4"/>
  <c r="K403" i="4"/>
  <c r="K404" i="4" s="1"/>
  <c r="K385" i="4"/>
  <c r="K401" i="4"/>
  <c r="K402" i="4" s="1"/>
  <c r="K388" i="4"/>
  <c r="K377" i="4"/>
  <c r="K378" i="4" s="1"/>
  <c r="T34" i="2"/>
  <c r="U32" i="2"/>
  <c r="T43" i="2"/>
  <c r="J1138" i="2"/>
  <c r="J161" i="4"/>
  <c r="J170" i="4" s="1"/>
  <c r="J181" i="4" s="1"/>
  <c r="J1261" i="2"/>
  <c r="J1182" i="2"/>
  <c r="K154" i="4"/>
  <c r="T65" i="2"/>
  <c r="T56" i="2"/>
  <c r="U54" i="2"/>
  <c r="K214" i="4"/>
  <c r="K1262" i="2" s="1"/>
  <c r="K216" i="4"/>
  <c r="Q1351" i="2"/>
  <c r="Q1347" i="2"/>
  <c r="Q1342" i="2"/>
  <c r="Q1339" i="2" s="1"/>
  <c r="M372" i="4"/>
  <c r="M371" i="4" s="1"/>
  <c r="M275" i="4"/>
  <c r="M274" i="4" s="1"/>
  <c r="M323" i="4"/>
  <c r="M322" i="4" s="1"/>
  <c r="M211" i="4"/>
  <c r="M1185" i="2"/>
  <c r="M153" i="4"/>
  <c r="M1265" i="2"/>
  <c r="L254" i="4"/>
  <c r="L225" i="4"/>
  <c r="L202" i="4"/>
  <c r="L310" i="4"/>
  <c r="L311" i="4" s="1"/>
  <c r="L297" i="4"/>
  <c r="L312" i="4"/>
  <c r="L313" i="4" s="1"/>
  <c r="L294" i="4"/>
  <c r="L286" i="4"/>
  <c r="Q578" i="2"/>
  <c r="Q187" i="4" s="1"/>
  <c r="P499" i="4"/>
  <c r="P501" i="4"/>
  <c r="P1340" i="2"/>
  <c r="P1341" i="2" s="1"/>
  <c r="J346" i="4"/>
  <c r="J335" i="4"/>
  <c r="J336" i="4" s="1"/>
  <c r="J350" i="4" s="1"/>
  <c r="J343" i="4"/>
  <c r="J359" i="4"/>
  <c r="J360" i="4" s="1"/>
  <c r="J361" i="4"/>
  <c r="J362" i="4" s="1"/>
  <c r="R580" i="2"/>
  <c r="BB1328" i="2"/>
  <c r="BB492" i="4"/>
  <c r="BA462" i="4" l="1"/>
  <c r="BA435" i="4"/>
  <c r="J279" i="4"/>
  <c r="K279" i="4" s="1"/>
  <c r="L279" i="4" s="1"/>
  <c r="J310" i="4"/>
  <c r="U134" i="2"/>
  <c r="T132" i="2"/>
  <c r="T135" i="2"/>
  <c r="T1298" i="2" s="1"/>
  <c r="T1309" i="2" s="1"/>
  <c r="T1295" i="2" s="1"/>
  <c r="J312" i="4"/>
  <c r="J286" i="4"/>
  <c r="J297" i="4"/>
  <c r="J305" i="4"/>
  <c r="J306" i="4" s="1"/>
  <c r="J294" i="4"/>
  <c r="M198" i="4"/>
  <c r="M200" i="4" s="1"/>
  <c r="S580" i="2"/>
  <c r="S581" i="2" s="1"/>
  <c r="P465" i="4"/>
  <c r="P498" i="4"/>
  <c r="P438" i="4"/>
  <c r="M216" i="4"/>
  <c r="M214" i="4"/>
  <c r="M1262" i="2" s="1"/>
  <c r="K392" i="4"/>
  <c r="L378" i="4"/>
  <c r="Q167" i="4"/>
  <c r="R1311" i="2"/>
  <c r="M327" i="4"/>
  <c r="M328" i="4" s="1"/>
  <c r="M334" i="4"/>
  <c r="O1345" i="2"/>
  <c r="O1355" i="2" s="1"/>
  <c r="O622" i="2" s="1"/>
  <c r="O621" i="2" s="1"/>
  <c r="O1353" i="2"/>
  <c r="O116" i="4"/>
  <c r="R581" i="2"/>
  <c r="R582" i="2" s="1"/>
  <c r="M285" i="4"/>
  <c r="M278" i="4"/>
  <c r="K1261" i="2"/>
  <c r="L154" i="4"/>
  <c r="K161" i="4"/>
  <c r="K170" i="4" s="1"/>
  <c r="K181" i="4" s="1"/>
  <c r="K1182" i="2"/>
  <c r="K1138" i="2"/>
  <c r="L155" i="4"/>
  <c r="M155" i="4" s="1"/>
  <c r="N1344" i="2"/>
  <c r="P1348" i="2"/>
  <c r="M377" i="4"/>
  <c r="M403" i="4"/>
  <c r="M404" i="4" s="1"/>
  <c r="M401" i="4"/>
  <c r="M402" i="4" s="1"/>
  <c r="M385" i="4"/>
  <c r="V54" i="2"/>
  <c r="U56" i="2"/>
  <c r="U65" i="2"/>
  <c r="J203" i="4"/>
  <c r="J255" i="4"/>
  <c r="V15" i="2"/>
  <c r="W13" i="2"/>
  <c r="V23" i="2"/>
  <c r="V114" i="2"/>
  <c r="U116" i="2"/>
  <c r="U125" i="2"/>
  <c r="U76" i="2"/>
  <c r="U85" i="2"/>
  <c r="V74" i="2"/>
  <c r="K297" i="4"/>
  <c r="K312" i="4"/>
  <c r="K313" i="4" s="1"/>
  <c r="K286" i="4"/>
  <c r="K310" i="4"/>
  <c r="K311" i="4" s="1"/>
  <c r="K294" i="4"/>
  <c r="K343" i="4"/>
  <c r="K335" i="4"/>
  <c r="K336" i="4" s="1"/>
  <c r="K346" i="4"/>
  <c r="K361" i="4"/>
  <c r="K362" i="4" s="1"/>
  <c r="K359" i="4"/>
  <c r="K360" i="4" s="1"/>
  <c r="R1347" i="2"/>
  <c r="R1351" i="2"/>
  <c r="R1342" i="2"/>
  <c r="R1339" i="2" s="1"/>
  <c r="Q501" i="4"/>
  <c r="Q1340" i="2"/>
  <c r="Q1341" i="2" s="1"/>
  <c r="Q499" i="4"/>
  <c r="S126" i="4"/>
  <c r="S136" i="2"/>
  <c r="M1263" i="2"/>
  <c r="M1183" i="2"/>
  <c r="V32" i="2"/>
  <c r="U43" i="2"/>
  <c r="U34" i="2"/>
  <c r="J355" i="4"/>
  <c r="K354" i="4"/>
  <c r="S1296" i="2"/>
  <c r="S1297" i="2" s="1"/>
  <c r="S489" i="4"/>
  <c r="W94" i="2"/>
  <c r="V105" i="2"/>
  <c r="V96" i="2"/>
  <c r="R488" i="4"/>
  <c r="R434" i="4"/>
  <c r="R461" i="4"/>
  <c r="K397" i="4"/>
  <c r="L396" i="4"/>
  <c r="BB1330" i="2"/>
  <c r="BB1331" i="2"/>
  <c r="J311" i="4" l="1"/>
  <c r="J313" i="4"/>
  <c r="J287" i="4"/>
  <c r="J301" i="4" s="1"/>
  <c r="U132" i="2"/>
  <c r="V134" i="2"/>
  <c r="U135" i="2"/>
  <c r="U1298" i="2" s="1"/>
  <c r="U1309" i="2" s="1"/>
  <c r="U1295" i="2" s="1"/>
  <c r="K305" i="4"/>
  <c r="K306" i="4" s="1"/>
  <c r="M279" i="4"/>
  <c r="T580" i="2"/>
  <c r="T581" i="2" s="1"/>
  <c r="T582" i="2" s="1"/>
  <c r="S582" i="2"/>
  <c r="S461" i="4"/>
  <c r="S488" i="4"/>
  <c r="S434" i="4"/>
  <c r="S578" i="2"/>
  <c r="S187" i="4" s="1"/>
  <c r="K203" i="4"/>
  <c r="M343" i="4"/>
  <c r="M361" i="4"/>
  <c r="M362" i="4" s="1"/>
  <c r="M335" i="4"/>
  <c r="M359" i="4"/>
  <c r="M360" i="4" s="1"/>
  <c r="V125" i="2"/>
  <c r="V116" i="2"/>
  <c r="W114" i="2"/>
  <c r="V43" i="2"/>
  <c r="V34" i="2"/>
  <c r="W32" i="2"/>
  <c r="P1349" i="2"/>
  <c r="Q1348" i="2" s="1"/>
  <c r="R167" i="4"/>
  <c r="S1311" i="2"/>
  <c r="Q438" i="4"/>
  <c r="Q498" i="4"/>
  <c r="Q465" i="4"/>
  <c r="W15" i="2"/>
  <c r="X13" i="2"/>
  <c r="W23" i="2"/>
  <c r="V56" i="2"/>
  <c r="W54" i="2"/>
  <c r="V65" i="2"/>
  <c r="O242" i="4"/>
  <c r="O243" i="4" s="1"/>
  <c r="O117" i="4"/>
  <c r="M253" i="4"/>
  <c r="M225" i="4"/>
  <c r="M202" i="4"/>
  <c r="M254" i="4"/>
  <c r="M1261" i="2"/>
  <c r="M1182" i="2"/>
  <c r="M161" i="4"/>
  <c r="M170" i="4" s="1"/>
  <c r="N154" i="4"/>
  <c r="M1138" i="2"/>
  <c r="K350" i="4"/>
  <c r="L336" i="4"/>
  <c r="V76" i="2"/>
  <c r="V85" i="2"/>
  <c r="W74" i="2"/>
  <c r="N1345" i="2"/>
  <c r="N1355" i="2" s="1"/>
  <c r="N622" i="2" s="1"/>
  <c r="N621" i="2" s="1"/>
  <c r="N1353" i="2"/>
  <c r="N116" i="4"/>
  <c r="M310" i="4"/>
  <c r="M311" i="4" s="1"/>
  <c r="M294" i="4"/>
  <c r="M286" i="4"/>
  <c r="M312" i="4"/>
  <c r="M313" i="4" s="1"/>
  <c r="L392" i="4"/>
  <c r="M378" i="4"/>
  <c r="W105" i="2"/>
  <c r="W96" i="2"/>
  <c r="X94" i="2"/>
  <c r="S1351" i="2"/>
  <c r="S1342" i="2"/>
  <c r="S1339" i="2" s="1"/>
  <c r="S1347" i="2"/>
  <c r="T136" i="2"/>
  <c r="T126" i="4"/>
  <c r="M154" i="4"/>
  <c r="L1182" i="2"/>
  <c r="L1138" i="2"/>
  <c r="L1261" i="2"/>
  <c r="L161" i="4"/>
  <c r="L170" i="4" s="1"/>
  <c r="L181" i="4" s="1"/>
  <c r="L255" i="4" s="1"/>
  <c r="L397" i="4"/>
  <c r="M396" i="4"/>
  <c r="L354" i="4"/>
  <c r="K355" i="4"/>
  <c r="T1296" i="2"/>
  <c r="T1297" i="2" s="1"/>
  <c r="T489" i="4"/>
  <c r="R501" i="4"/>
  <c r="R1340" i="2"/>
  <c r="R1341" i="2" s="1"/>
  <c r="R499" i="4"/>
  <c r="K255" i="4"/>
  <c r="O185" i="4"/>
  <c r="O190" i="4" s="1"/>
  <c r="O632" i="2"/>
  <c r="O633" i="2" s="1"/>
  <c r="R578" i="2"/>
  <c r="R187" i="4" s="1"/>
  <c r="BB1336" i="2"/>
  <c r="BB1332" i="2"/>
  <c r="BB1333" i="2" s="1"/>
  <c r="K287" i="4" l="1"/>
  <c r="K301" i="4" s="1"/>
  <c r="L305" i="4"/>
  <c r="L306" i="4" s="1"/>
  <c r="V135" i="2"/>
  <c r="V1298" i="2" s="1"/>
  <c r="V1309" i="2" s="1"/>
  <c r="V1295" i="2" s="1"/>
  <c r="W134" i="2"/>
  <c r="V132" i="2"/>
  <c r="N1346" i="2"/>
  <c r="N500" i="4" s="1"/>
  <c r="N504" i="4" s="1"/>
  <c r="N511" i="4" s="1"/>
  <c r="N512" i="4" s="1"/>
  <c r="N513" i="4" s="1"/>
  <c r="T578" i="2"/>
  <c r="T187" i="4" s="1"/>
  <c r="O1346" i="2"/>
  <c r="O439" i="4" s="1"/>
  <c r="O441" i="4" s="1"/>
  <c r="O448" i="4" s="1"/>
  <c r="O449" i="4" s="1"/>
  <c r="R465" i="4"/>
  <c r="R438" i="4"/>
  <c r="R498" i="4"/>
  <c r="X105" i="2"/>
  <c r="X96" i="2"/>
  <c r="Y94" i="2"/>
  <c r="X54" i="2"/>
  <c r="W65" i="2"/>
  <c r="W56" i="2"/>
  <c r="M354" i="4"/>
  <c r="L355" i="4"/>
  <c r="M336" i="4"/>
  <c r="L350" i="4"/>
  <c r="M397" i="4"/>
  <c r="N242" i="4"/>
  <c r="N243" i="4" s="1"/>
  <c r="N117" i="4"/>
  <c r="S167" i="4"/>
  <c r="T1311" i="2"/>
  <c r="T1351" i="2"/>
  <c r="T1347" i="2"/>
  <c r="T1342" i="2"/>
  <c r="T1339" i="2" s="1"/>
  <c r="M392" i="4"/>
  <c r="U489" i="4"/>
  <c r="U1296" i="2"/>
  <c r="U1297" i="2" s="1"/>
  <c r="X23" i="2"/>
  <c r="Y13" i="2"/>
  <c r="X15" i="2"/>
  <c r="Q1349" i="2"/>
  <c r="Q1350" i="2" s="1"/>
  <c r="Q1344" i="2" s="1"/>
  <c r="T488" i="4"/>
  <c r="T434" i="4"/>
  <c r="T461" i="4"/>
  <c r="L203" i="4"/>
  <c r="N185" i="4"/>
  <c r="N190" i="4" s="1"/>
  <c r="N632" i="2"/>
  <c r="N633" i="2" s="1"/>
  <c r="N634" i="2" s="1"/>
  <c r="M181" i="4"/>
  <c r="M255" i="4" s="1"/>
  <c r="M258" i="4"/>
  <c r="O120" i="4"/>
  <c r="O246" i="4"/>
  <c r="P1350" i="2"/>
  <c r="S499" i="4"/>
  <c r="S501" i="4"/>
  <c r="S1340" i="2"/>
  <c r="W85" i="2"/>
  <c r="W76" i="2"/>
  <c r="X74" i="2"/>
  <c r="U580" i="2"/>
  <c r="U126" i="4"/>
  <c r="U136" i="2"/>
  <c r="X32" i="2"/>
  <c r="W43" i="2"/>
  <c r="W34" i="2"/>
  <c r="W125" i="2"/>
  <c r="W116" i="2"/>
  <c r="X114" i="2"/>
  <c r="BB1334" i="2"/>
  <c r="BB1337" i="2"/>
  <c r="BB1325" i="2" s="1"/>
  <c r="L287" i="4" l="1"/>
  <c r="M287" i="4" s="1"/>
  <c r="M305" i="4"/>
  <c r="M306" i="4" s="1"/>
  <c r="W135" i="2"/>
  <c r="W1298" i="2" s="1"/>
  <c r="W1309" i="2" s="1"/>
  <c r="W1295" i="2" s="1"/>
  <c r="W132" i="2"/>
  <c r="W126" i="4" s="1"/>
  <c r="W1347" i="2" s="1"/>
  <c r="X134" i="2"/>
  <c r="N1354" i="2"/>
  <c r="N129" i="4" s="1"/>
  <c r="N135" i="4" s="1"/>
  <c r="N323" i="4" s="1"/>
  <c r="N322" i="4" s="1"/>
  <c r="N439" i="4"/>
  <c r="N441" i="4" s="1"/>
  <c r="N448" i="4" s="1"/>
  <c r="N449" i="4" s="1"/>
  <c r="N450" i="4" s="1"/>
  <c r="O450" i="4" s="1"/>
  <c r="N466" i="4"/>
  <c r="N468" i="4" s="1"/>
  <c r="N475" i="4" s="1"/>
  <c r="N476" i="4" s="1"/>
  <c r="N477" i="4" s="1"/>
  <c r="M265" i="4"/>
  <c r="O500" i="4"/>
  <c r="O504" i="4" s="1"/>
  <c r="O511" i="4" s="1"/>
  <c r="O512" i="4" s="1"/>
  <c r="O513" i="4" s="1"/>
  <c r="O466" i="4"/>
  <c r="O468" i="4" s="1"/>
  <c r="O475" i="4" s="1"/>
  <c r="O476" i="4" s="1"/>
  <c r="O1354" i="2"/>
  <c r="O129" i="4" s="1"/>
  <c r="O135" i="4" s="1"/>
  <c r="O1265" i="2" s="1"/>
  <c r="U461" i="4"/>
  <c r="U488" i="4"/>
  <c r="U434" i="4"/>
  <c r="U1342" i="2"/>
  <c r="U1339" i="2" s="1"/>
  <c r="U1351" i="2"/>
  <c r="U1347" i="2"/>
  <c r="R1348" i="2"/>
  <c r="Y96" i="2"/>
  <c r="Y105" i="2"/>
  <c r="Z94" i="2"/>
  <c r="X116" i="2"/>
  <c r="X125" i="2"/>
  <c r="Y114" i="2"/>
  <c r="M301" i="4"/>
  <c r="U581" i="2"/>
  <c r="U582" i="2" s="1"/>
  <c r="S1341" i="2"/>
  <c r="Q116" i="4"/>
  <c r="Q1345" i="2"/>
  <c r="Q1355" i="2" s="1"/>
  <c r="Q622" i="2" s="1"/>
  <c r="Q621" i="2" s="1"/>
  <c r="Q1353" i="2"/>
  <c r="V126" i="4"/>
  <c r="M350" i="4"/>
  <c r="O634" i="2"/>
  <c r="Y15" i="2"/>
  <c r="Y23" i="2"/>
  <c r="Z13" i="2"/>
  <c r="N246" i="4"/>
  <c r="N120" i="4"/>
  <c r="M355" i="4"/>
  <c r="Y74" i="2"/>
  <c r="X85" i="2"/>
  <c r="X76" i="2"/>
  <c r="M203" i="4"/>
  <c r="Y32" i="2"/>
  <c r="X34" i="2"/>
  <c r="X43" i="2"/>
  <c r="T1340" i="2"/>
  <c r="T1341" i="2" s="1"/>
  <c r="T501" i="4"/>
  <c r="T499" i="4"/>
  <c r="V1296" i="2"/>
  <c r="V1297" i="2" s="1"/>
  <c r="V489" i="4"/>
  <c r="V136" i="2"/>
  <c r="P1344" i="2"/>
  <c r="T167" i="4"/>
  <c r="U1311" i="2"/>
  <c r="V580" i="2"/>
  <c r="Y54" i="2"/>
  <c r="X65" i="2"/>
  <c r="X56" i="2"/>
  <c r="BB491" i="4"/>
  <c r="BB1326" i="2"/>
  <c r="L301" i="4" l="1"/>
  <c r="N275" i="4"/>
  <c r="N274" i="4" s="1"/>
  <c r="N278" i="4" s="1"/>
  <c r="N1265" i="2"/>
  <c r="N1185" i="2"/>
  <c r="N372" i="4"/>
  <c r="N371" i="4" s="1"/>
  <c r="N377" i="4" s="1"/>
  <c r="N378" i="4" s="1"/>
  <c r="X135" i="2"/>
  <c r="X1298" i="2" s="1"/>
  <c r="X1309" i="2" s="1"/>
  <c r="X1295" i="2" s="1"/>
  <c r="X132" i="2"/>
  <c r="X126" i="4" s="1"/>
  <c r="X1342" i="2" s="1"/>
  <c r="X1339" i="2" s="1"/>
  <c r="Y134" i="2"/>
  <c r="N153" i="4"/>
  <c r="N1263" i="2" s="1"/>
  <c r="N211" i="4"/>
  <c r="N214" i="4" s="1"/>
  <c r="N1262" i="2" s="1"/>
  <c r="O477" i="4"/>
  <c r="W1342" i="2"/>
  <c r="W1339" i="2" s="1"/>
  <c r="W499" i="4" s="1"/>
  <c r="O372" i="4"/>
  <c r="O371" i="4" s="1"/>
  <c r="O403" i="4" s="1"/>
  <c r="O404" i="4" s="1"/>
  <c r="O211" i="4"/>
  <c r="O214" i="4" s="1"/>
  <c r="O1262" i="2" s="1"/>
  <c r="O153" i="4"/>
  <c r="O1263" i="2" s="1"/>
  <c r="O275" i="4"/>
  <c r="O274" i="4" s="1"/>
  <c r="O285" i="4" s="1"/>
  <c r="O1185" i="2"/>
  <c r="W1351" i="2"/>
  <c r="O323" i="4"/>
  <c r="O322" i="4" s="1"/>
  <c r="O334" i="4" s="1"/>
  <c r="W136" i="2"/>
  <c r="T498" i="4"/>
  <c r="T438" i="4"/>
  <c r="T465" i="4"/>
  <c r="W489" i="4"/>
  <c r="W1296" i="2"/>
  <c r="W1297" i="2" s="1"/>
  <c r="Y76" i="2"/>
  <c r="Z74" i="2"/>
  <c r="Y85" i="2"/>
  <c r="Z15" i="2"/>
  <c r="Z23" i="2"/>
  <c r="AA13" i="2"/>
  <c r="Q117" i="4"/>
  <c r="Q242" i="4"/>
  <c r="Q243" i="4" s="1"/>
  <c r="V1311" i="2"/>
  <c r="U167" i="4"/>
  <c r="R1349" i="2"/>
  <c r="V434" i="4"/>
  <c r="V461" i="4"/>
  <c r="V488" i="4"/>
  <c r="S498" i="4"/>
  <c r="S438" i="4"/>
  <c r="S465" i="4"/>
  <c r="W580" i="2"/>
  <c r="Y125" i="2"/>
  <c r="Z114" i="2"/>
  <c r="Y116" i="2"/>
  <c r="V581" i="2"/>
  <c r="V582" i="2" s="1"/>
  <c r="U1340" i="2"/>
  <c r="U499" i="4"/>
  <c r="U501" i="4"/>
  <c r="V1347" i="2"/>
  <c r="V1342" i="2"/>
  <c r="V1339" i="2" s="1"/>
  <c r="V1351" i="2"/>
  <c r="Y34" i="2"/>
  <c r="Y43" i="2"/>
  <c r="Z32" i="2"/>
  <c r="N198" i="4"/>
  <c r="N334" i="4"/>
  <c r="N327" i="4"/>
  <c r="N328" i="4" s="1"/>
  <c r="Y65" i="2"/>
  <c r="Z54" i="2"/>
  <c r="Y56" i="2"/>
  <c r="P116" i="4"/>
  <c r="P1345" i="2"/>
  <c r="P1346" i="2" s="1"/>
  <c r="P1353" i="2"/>
  <c r="Q632" i="2"/>
  <c r="Q633" i="2" s="1"/>
  <c r="Q185" i="4"/>
  <c r="Q190" i="4" s="1"/>
  <c r="U578" i="2"/>
  <c r="AA94" i="2"/>
  <c r="Z105" i="2"/>
  <c r="Z96" i="2"/>
  <c r="N285" i="4"/>
  <c r="BB493" i="4"/>
  <c r="BB1327" i="2"/>
  <c r="N396" i="4" l="1"/>
  <c r="N397" i="4" s="1"/>
  <c r="N385" i="4"/>
  <c r="N403" i="4"/>
  <c r="N404" i="4" s="1"/>
  <c r="Z134" i="2"/>
  <c r="N401" i="4"/>
  <c r="N402" i="4" s="1"/>
  <c r="N155" i="4"/>
  <c r="O154" i="4" s="1"/>
  <c r="N1183" i="2"/>
  <c r="Y132" i="2"/>
  <c r="Y135" i="2"/>
  <c r="Y1298" i="2" s="1"/>
  <c r="Y1309" i="2" s="1"/>
  <c r="Y1295" i="2" s="1"/>
  <c r="Y489" i="4" s="1"/>
  <c r="N216" i="4"/>
  <c r="O377" i="4"/>
  <c r="O378" i="4" s="1"/>
  <c r="N279" i="4"/>
  <c r="W501" i="4"/>
  <c r="W1340" i="2"/>
  <c r="O216" i="4"/>
  <c r="O385" i="4"/>
  <c r="O401" i="4"/>
  <c r="O402" i="4" s="1"/>
  <c r="X1351" i="2"/>
  <c r="X1347" i="2"/>
  <c r="X136" i="2"/>
  <c r="O1183" i="2"/>
  <c r="O278" i="4"/>
  <c r="O327" i="4"/>
  <c r="O328" i="4" s="1"/>
  <c r="P1354" i="2"/>
  <c r="P466" i="4"/>
  <c r="P468" i="4" s="1"/>
  <c r="P475" i="4" s="1"/>
  <c r="P476" i="4" s="1"/>
  <c r="P477" i="4" s="1"/>
  <c r="P439" i="4"/>
  <c r="P441" i="4" s="1"/>
  <c r="P448" i="4" s="1"/>
  <c r="P449" i="4" s="1"/>
  <c r="P450" i="4" s="1"/>
  <c r="P500" i="4"/>
  <c r="P504" i="4" s="1"/>
  <c r="P511" i="4" s="1"/>
  <c r="P512" i="4" s="1"/>
  <c r="P513" i="4" s="1"/>
  <c r="N392" i="4"/>
  <c r="R1350" i="2"/>
  <c r="W434" i="4"/>
  <c r="W461" i="4"/>
  <c r="W488" i="4"/>
  <c r="AA96" i="2"/>
  <c r="AB94" i="2"/>
  <c r="AA105" i="2"/>
  <c r="X580" i="2"/>
  <c r="V578" i="2"/>
  <c r="U187" i="4"/>
  <c r="P1355" i="2"/>
  <c r="P622" i="2" s="1"/>
  <c r="P621" i="2" s="1"/>
  <c r="Q1346" i="2"/>
  <c r="N343" i="4"/>
  <c r="N335" i="4"/>
  <c r="N336" i="4" s="1"/>
  <c r="N361" i="4"/>
  <c r="N362" i="4" s="1"/>
  <c r="N359" i="4"/>
  <c r="N360" i="4" s="1"/>
  <c r="N354" i="4"/>
  <c r="V499" i="4"/>
  <c r="V501" i="4"/>
  <c r="V1340" i="2"/>
  <c r="O361" i="4"/>
  <c r="O362" i="4" s="1"/>
  <c r="O335" i="4"/>
  <c r="O359" i="4"/>
  <c r="O360" i="4" s="1"/>
  <c r="O343" i="4"/>
  <c r="Z85" i="2"/>
  <c r="Z76" i="2"/>
  <c r="AA74" i="2"/>
  <c r="P242" i="4"/>
  <c r="P243" i="4" s="1"/>
  <c r="P117" i="4"/>
  <c r="Z125" i="2"/>
  <c r="Z116" i="2"/>
  <c r="AA114" i="2"/>
  <c r="V167" i="4"/>
  <c r="W1311" i="2"/>
  <c r="U1341" i="2"/>
  <c r="N200" i="4"/>
  <c r="O198" i="4"/>
  <c r="X1296" i="2"/>
  <c r="X1297" i="2" s="1"/>
  <c r="X489" i="4"/>
  <c r="Q120" i="4"/>
  <c r="Q246" i="4"/>
  <c r="N294" i="4"/>
  <c r="N310" i="4"/>
  <c r="N286" i="4"/>
  <c r="N312" i="4"/>
  <c r="N305" i="4"/>
  <c r="O310" i="4"/>
  <c r="O311" i="4" s="1"/>
  <c r="O312" i="4"/>
  <c r="O313" i="4" s="1"/>
  <c r="O294" i="4"/>
  <c r="O286" i="4"/>
  <c r="AA54" i="2"/>
  <c r="Z65" i="2"/>
  <c r="Z56" i="2"/>
  <c r="Z43" i="2"/>
  <c r="Z34" i="2"/>
  <c r="AA32" i="2"/>
  <c r="X499" i="4"/>
  <c r="X501" i="4"/>
  <c r="X1340" i="2"/>
  <c r="W581" i="2"/>
  <c r="S1348" i="2"/>
  <c r="AA23" i="2"/>
  <c r="AA15" i="2"/>
  <c r="AB13" i="2"/>
  <c r="BB490" i="4"/>
  <c r="BB435" i="4"/>
  <c r="BB462" i="4"/>
  <c r="O396" i="4" l="1"/>
  <c r="N287" i="4"/>
  <c r="N301" i="4" s="1"/>
  <c r="N313" i="4"/>
  <c r="N311" i="4"/>
  <c r="N1261" i="2"/>
  <c r="O155" i="4"/>
  <c r="O1138" i="2" s="1"/>
  <c r="N1138" i="2"/>
  <c r="N1182" i="2"/>
  <c r="N161" i="4"/>
  <c r="N170" i="4" s="1"/>
  <c r="N181" i="4" s="1"/>
  <c r="Z135" i="2"/>
  <c r="Z1298" i="2" s="1"/>
  <c r="Z1309" i="2" s="1"/>
  <c r="Z1295" i="2" s="1"/>
  <c r="Z489" i="4" s="1"/>
  <c r="AA134" i="2"/>
  <c r="Z132" i="2"/>
  <c r="Z126" i="4" s="1"/>
  <c r="Z1342" i="2" s="1"/>
  <c r="Z1339" i="2" s="1"/>
  <c r="N253" i="4"/>
  <c r="O279" i="4"/>
  <c r="W1341" i="2"/>
  <c r="W465" i="4" s="1"/>
  <c r="X1341" i="2"/>
  <c r="X465" i="4" s="1"/>
  <c r="Y580" i="2"/>
  <c r="Y581" i="2" s="1"/>
  <c r="Y578" i="2" s="1"/>
  <c r="Y187" i="4" s="1"/>
  <c r="Y1296" i="2"/>
  <c r="Y1297" i="2" s="1"/>
  <c r="Y488" i="4" s="1"/>
  <c r="V1341" i="2"/>
  <c r="V498" i="4" s="1"/>
  <c r="U438" i="4"/>
  <c r="U498" i="4"/>
  <c r="U465" i="4"/>
  <c r="AB74" i="2"/>
  <c r="AA85" i="2"/>
  <c r="AA76" i="2"/>
  <c r="N350" i="4"/>
  <c r="O336" i="4"/>
  <c r="X581" i="2"/>
  <c r="X582" i="2" s="1"/>
  <c r="W578" i="2"/>
  <c r="W187" i="4" s="1"/>
  <c r="W582" i="2"/>
  <c r="Y126" i="4"/>
  <c r="Y136" i="2"/>
  <c r="O397" i="4"/>
  <c r="O305" i="4"/>
  <c r="N306" i="4"/>
  <c r="X488" i="4"/>
  <c r="X434" i="4"/>
  <c r="X461" i="4"/>
  <c r="Q466" i="4"/>
  <c r="Q468" i="4" s="1"/>
  <c r="Q475" i="4" s="1"/>
  <c r="Q476" i="4" s="1"/>
  <c r="Q477" i="4" s="1"/>
  <c r="Q439" i="4"/>
  <c r="Q441" i="4" s="1"/>
  <c r="Q448" i="4" s="1"/>
  <c r="Q449" i="4" s="1"/>
  <c r="Q450" i="4" s="1"/>
  <c r="Q500" i="4"/>
  <c r="Q504" i="4" s="1"/>
  <c r="Q511" i="4" s="1"/>
  <c r="Q512" i="4" s="1"/>
  <c r="Q513" i="4" s="1"/>
  <c r="Q1354" i="2"/>
  <c r="Q129" i="4" s="1"/>
  <c r="Q135" i="4" s="1"/>
  <c r="AB105" i="2"/>
  <c r="AB96" i="2"/>
  <c r="AC94" i="2"/>
  <c r="O200" i="4"/>
  <c r="O254" i="4" s="1"/>
  <c r="X1311" i="2"/>
  <c r="W167" i="4"/>
  <c r="P632" i="2"/>
  <c r="P633" i="2" s="1"/>
  <c r="P185" i="4"/>
  <c r="P190" i="4" s="1"/>
  <c r="AB15" i="2"/>
  <c r="AC13" i="2"/>
  <c r="AB23" i="2"/>
  <c r="N202" i="4"/>
  <c r="N225" i="4"/>
  <c r="N254" i="4"/>
  <c r="P120" i="4"/>
  <c r="P198" i="4" s="1"/>
  <c r="P246" i="4"/>
  <c r="AB54" i="2"/>
  <c r="AA65" i="2"/>
  <c r="AA56" i="2"/>
  <c r="AA125" i="2"/>
  <c r="AA116" i="2"/>
  <c r="AB114" i="2"/>
  <c r="O354" i="4"/>
  <c r="N355" i="4"/>
  <c r="R1344" i="2"/>
  <c r="V187" i="4"/>
  <c r="S1349" i="2"/>
  <c r="S1350" i="2" s="1"/>
  <c r="S1344" i="2" s="1"/>
  <c r="AA43" i="2"/>
  <c r="AA34" i="2"/>
  <c r="AB32" i="2"/>
  <c r="O392" i="4"/>
  <c r="P129" i="4"/>
  <c r="P135" i="4" s="1"/>
  <c r="O287" i="4" l="1"/>
  <c r="P154" i="4"/>
  <c r="O161" i="4"/>
  <c r="O170" i="4" s="1"/>
  <c r="O181" i="4" s="1"/>
  <c r="O1261" i="2"/>
  <c r="O1182" i="2"/>
  <c r="N258" i="4"/>
  <c r="AA132" i="2"/>
  <c r="AA135" i="2"/>
  <c r="AA1298" i="2" s="1"/>
  <c r="AA1309" i="2" s="1"/>
  <c r="AA1295" i="2" s="1"/>
  <c r="AB134" i="2"/>
  <c r="X438" i="4"/>
  <c r="O253" i="4"/>
  <c r="W438" i="4"/>
  <c r="W498" i="4"/>
  <c r="X498" i="4"/>
  <c r="Z1296" i="2"/>
  <c r="Z1297" i="2" s="1"/>
  <c r="Z434" i="4" s="1"/>
  <c r="Z1347" i="2"/>
  <c r="Z1351" i="2"/>
  <c r="Z136" i="2"/>
  <c r="Y434" i="4"/>
  <c r="Y461" i="4"/>
  <c r="Z580" i="2"/>
  <c r="Z581" i="2" s="1"/>
  <c r="Z582" i="2" s="1"/>
  <c r="V465" i="4"/>
  <c r="V438" i="4"/>
  <c r="T1348" i="2"/>
  <c r="T1349" i="2" s="1"/>
  <c r="T1350" i="2" s="1"/>
  <c r="T1344" i="2" s="1"/>
  <c r="Y582" i="2"/>
  <c r="Q198" i="4"/>
  <c r="P200" i="4"/>
  <c r="AC23" i="2"/>
  <c r="AD13" i="2"/>
  <c r="AC15" i="2"/>
  <c r="R1345" i="2"/>
  <c r="R1346" i="2" s="1"/>
  <c r="R1353" i="2"/>
  <c r="R116" i="4"/>
  <c r="O301" i="4"/>
  <c r="O225" i="4"/>
  <c r="O202" i="4"/>
  <c r="P211" i="4"/>
  <c r="P153" i="4"/>
  <c r="P1185" i="2"/>
  <c r="P275" i="4"/>
  <c r="P323" i="4"/>
  <c r="P322" i="4" s="1"/>
  <c r="P1265" i="2"/>
  <c r="P372" i="4"/>
  <c r="P371" i="4" s="1"/>
  <c r="S1345" i="2"/>
  <c r="S1353" i="2"/>
  <c r="S116" i="4"/>
  <c r="Q323" i="4"/>
  <c r="Q322" i="4" s="1"/>
  <c r="Q1265" i="2"/>
  <c r="Q211" i="4"/>
  <c r="Q275" i="4"/>
  <c r="Q274" i="4" s="1"/>
  <c r="Q153" i="4"/>
  <c r="Q372" i="4"/>
  <c r="Q371" i="4" s="1"/>
  <c r="Q1185" i="2"/>
  <c r="O306" i="4"/>
  <c r="X578" i="2"/>
  <c r="X187" i="4" s="1"/>
  <c r="O355" i="4"/>
  <c r="AB65" i="2"/>
  <c r="AB56" i="2"/>
  <c r="AC54" i="2"/>
  <c r="N255" i="4"/>
  <c r="N203" i="4"/>
  <c r="N265" i="4"/>
  <c r="O350" i="4"/>
  <c r="AB116" i="2"/>
  <c r="AB125" i="2"/>
  <c r="AC114" i="2"/>
  <c r="P634" i="2"/>
  <c r="Q634" i="2"/>
  <c r="Z499" i="4"/>
  <c r="Z501" i="4"/>
  <c r="Z1340" i="2"/>
  <c r="AB43" i="2"/>
  <c r="AB34" i="2"/>
  <c r="AC32" i="2"/>
  <c r="X167" i="4"/>
  <c r="Y1311" i="2"/>
  <c r="AC105" i="2"/>
  <c r="AD94" i="2"/>
  <c r="AC96" i="2"/>
  <c r="Y1342" i="2"/>
  <c r="Y1339" i="2" s="1"/>
  <c r="Y1347" i="2"/>
  <c r="Y1351" i="2"/>
  <c r="AB76" i="2"/>
  <c r="AB85" i="2"/>
  <c r="AC74" i="2"/>
  <c r="D181" i="7" l="1"/>
  <c r="O258" i="4"/>
  <c r="AC134" i="2"/>
  <c r="AB132" i="2"/>
  <c r="AB135" i="2"/>
  <c r="AB1298" i="2" s="1"/>
  <c r="AB1309" i="2" s="1"/>
  <c r="AB1295" i="2" s="1"/>
  <c r="P253" i="4"/>
  <c r="Z461" i="4"/>
  <c r="Z488" i="4"/>
  <c r="S1346" i="2"/>
  <c r="S466" i="4" s="1"/>
  <c r="S468" i="4" s="1"/>
  <c r="S475" i="4" s="1"/>
  <c r="S476" i="4" s="1"/>
  <c r="AA580" i="2"/>
  <c r="AA581" i="2" s="1"/>
  <c r="R466" i="4"/>
  <c r="R468" i="4" s="1"/>
  <c r="R475" i="4" s="1"/>
  <c r="R476" i="4" s="1"/>
  <c r="R477" i="4" s="1"/>
  <c r="R500" i="4"/>
  <c r="R504" i="4" s="1"/>
  <c r="R511" i="4" s="1"/>
  <c r="R512" i="4" s="1"/>
  <c r="R513" i="4" s="1"/>
  <c r="R439" i="4"/>
  <c r="R441" i="4" s="1"/>
  <c r="R448" i="4" s="1"/>
  <c r="R449" i="4" s="1"/>
  <c r="R450" i="4" s="1"/>
  <c r="R1354" i="2"/>
  <c r="P214" i="4"/>
  <c r="P1262" i="2" s="1"/>
  <c r="P216" i="4"/>
  <c r="R117" i="4"/>
  <c r="R242" i="4"/>
  <c r="R243" i="4" s="1"/>
  <c r="T1353" i="2"/>
  <c r="T1345" i="2"/>
  <c r="T1355" i="2" s="1"/>
  <c r="T622" i="2" s="1"/>
  <c r="T621" i="2" s="1"/>
  <c r="T116" i="4"/>
  <c r="AD74" i="2"/>
  <c r="AC76" i="2"/>
  <c r="AC85" i="2"/>
  <c r="AD105" i="2"/>
  <c r="AD96" i="2"/>
  <c r="AE94" i="2"/>
  <c r="Q334" i="4"/>
  <c r="Q327" i="4"/>
  <c r="S1355" i="2"/>
  <c r="S622" i="2" s="1"/>
  <c r="S621" i="2" s="1"/>
  <c r="Z578" i="2"/>
  <c r="P385" i="4"/>
  <c r="P403" i="4"/>
  <c r="P404" i="4" s="1"/>
  <c r="P377" i="4"/>
  <c r="P378" i="4" s="1"/>
  <c r="P401" i="4"/>
  <c r="P402" i="4" s="1"/>
  <c r="P396" i="4"/>
  <c r="AD15" i="2"/>
  <c r="AE13" i="2"/>
  <c r="AD23" i="2"/>
  <c r="Z1311" i="2"/>
  <c r="Y167" i="4"/>
  <c r="AD32" i="2"/>
  <c r="AC34" i="2"/>
  <c r="AC43" i="2"/>
  <c r="AC116" i="2"/>
  <c r="AD114" i="2"/>
  <c r="AC125" i="2"/>
  <c r="AC65" i="2"/>
  <c r="AC56" i="2"/>
  <c r="AD54" i="2"/>
  <c r="R1355" i="2"/>
  <c r="Q403" i="4"/>
  <c r="Q404" i="4" s="1"/>
  <c r="Q377" i="4"/>
  <c r="Q385" i="4"/>
  <c r="Q401" i="4"/>
  <c r="Q402" i="4" s="1"/>
  <c r="P334" i="4"/>
  <c r="P327" i="4"/>
  <c r="P328" i="4" s="1"/>
  <c r="Q1183" i="2"/>
  <c r="Q1263" i="2"/>
  <c r="AA1296" i="2"/>
  <c r="AA1297" i="2" s="1"/>
  <c r="AA489" i="4"/>
  <c r="P274" i="4"/>
  <c r="O265" i="4"/>
  <c r="O203" i="4"/>
  <c r="O255" i="4"/>
  <c r="Q285" i="4"/>
  <c r="Q278" i="4"/>
  <c r="S117" i="4"/>
  <c r="S242" i="4"/>
  <c r="S243" i="4" s="1"/>
  <c r="AA126" i="4"/>
  <c r="AA136" i="2"/>
  <c r="P202" i="4"/>
  <c r="P225" i="4"/>
  <c r="P254" i="4"/>
  <c r="Y499" i="4"/>
  <c r="Y1340" i="2"/>
  <c r="Y501" i="4"/>
  <c r="Q216" i="4"/>
  <c r="Q214" i="4"/>
  <c r="Q1262" i="2" s="1"/>
  <c r="P1183" i="2"/>
  <c r="P1263" i="2"/>
  <c r="P155" i="4"/>
  <c r="U1348" i="2"/>
  <c r="Q200" i="4"/>
  <c r="Q254" i="4" s="1"/>
  <c r="D182" i="7" l="1"/>
  <c r="AC135" i="2"/>
  <c r="AC1298" i="2" s="1"/>
  <c r="AC1309" i="2" s="1"/>
  <c r="AC1295" i="2" s="1"/>
  <c r="AD134" i="2"/>
  <c r="AC132" i="2"/>
  <c r="Q253" i="4"/>
  <c r="S1354" i="2"/>
  <c r="S129" i="4" s="1"/>
  <c r="S135" i="4" s="1"/>
  <c r="S1265" i="2" s="1"/>
  <c r="S500" i="4"/>
  <c r="S504" i="4" s="1"/>
  <c r="S511" i="4" s="1"/>
  <c r="S512" i="4" s="1"/>
  <c r="S513" i="4" s="1"/>
  <c r="S439" i="4"/>
  <c r="S441" i="4" s="1"/>
  <c r="S448" i="4" s="1"/>
  <c r="S449" i="4" s="1"/>
  <c r="S450" i="4" s="1"/>
  <c r="AB580" i="2"/>
  <c r="AB581" i="2" s="1"/>
  <c r="AB582" i="2" s="1"/>
  <c r="S477" i="4"/>
  <c r="AA461" i="4"/>
  <c r="AA488" i="4"/>
  <c r="AA434" i="4"/>
  <c r="Q286" i="4"/>
  <c r="Q312" i="4"/>
  <c r="Q313" i="4" s="1"/>
  <c r="Q294" i="4"/>
  <c r="Q310" i="4"/>
  <c r="Q311" i="4" s="1"/>
  <c r="Z167" i="4"/>
  <c r="AA1311" i="2"/>
  <c r="AE105" i="2"/>
  <c r="AE96" i="2"/>
  <c r="AF94" i="2"/>
  <c r="T632" i="2"/>
  <c r="T633" i="2" s="1"/>
  <c r="T185" i="4"/>
  <c r="T190" i="4" s="1"/>
  <c r="Q202" i="4"/>
  <c r="Q225" i="4"/>
  <c r="P285" i="4"/>
  <c r="P278" i="4"/>
  <c r="AB489" i="4"/>
  <c r="AB1296" i="2"/>
  <c r="AB1297" i="2" s="1"/>
  <c r="P359" i="4"/>
  <c r="P360" i="4" s="1"/>
  <c r="P335" i="4"/>
  <c r="P336" i="4" s="1"/>
  <c r="P361" i="4"/>
  <c r="P362" i="4" s="1"/>
  <c r="P343" i="4"/>
  <c r="P354" i="4"/>
  <c r="AE114" i="2"/>
  <c r="AD125" i="2"/>
  <c r="AD116" i="2"/>
  <c r="AE23" i="2"/>
  <c r="AF13" i="2"/>
  <c r="AE15" i="2"/>
  <c r="Z187" i="4"/>
  <c r="U1349" i="2"/>
  <c r="U1350" i="2" s="1"/>
  <c r="U1344" i="2" s="1"/>
  <c r="R622" i="2"/>
  <c r="R621" i="2" s="1"/>
  <c r="S632" i="2"/>
  <c r="S633" i="2" s="1"/>
  <c r="S185" i="4"/>
  <c r="S190" i="4" s="1"/>
  <c r="Q155" i="4"/>
  <c r="P161" i="4"/>
  <c r="P170" i="4" s="1"/>
  <c r="P1182" i="2"/>
  <c r="P1261" i="2"/>
  <c r="Q154" i="4"/>
  <c r="P1138" i="2"/>
  <c r="AA1351" i="2"/>
  <c r="AA1342" i="2"/>
  <c r="AA1339" i="2" s="1"/>
  <c r="AA1347" i="2"/>
  <c r="Q396" i="4"/>
  <c r="Q397" i="4" s="1"/>
  <c r="P397" i="4"/>
  <c r="T1346" i="2"/>
  <c r="R120" i="4"/>
  <c r="R246" i="4"/>
  <c r="R129" i="4"/>
  <c r="R135" i="4" s="1"/>
  <c r="Y1341" i="2"/>
  <c r="AA578" i="2"/>
  <c r="AA582" i="2"/>
  <c r="Q328" i="4"/>
  <c r="AD76" i="2"/>
  <c r="AE74" i="2"/>
  <c r="AD85" i="2"/>
  <c r="S120" i="4"/>
  <c r="S246" i="4"/>
  <c r="AD65" i="2"/>
  <c r="AD56" i="2"/>
  <c r="AE54" i="2"/>
  <c r="AD34" i="2"/>
  <c r="AD43" i="2"/>
  <c r="AE32" i="2"/>
  <c r="P392" i="4"/>
  <c r="Q378" i="4"/>
  <c r="Q392" i="4" s="1"/>
  <c r="Q359" i="4"/>
  <c r="Q360" i="4" s="1"/>
  <c r="Q335" i="4"/>
  <c r="Q361" i="4"/>
  <c r="Q362" i="4" s="1"/>
  <c r="Q343" i="4"/>
  <c r="AB136" i="2"/>
  <c r="AB126" i="4"/>
  <c r="Z1341" i="2"/>
  <c r="T117" i="4"/>
  <c r="T242" i="4"/>
  <c r="T243" i="4" s="1"/>
  <c r="D185" i="7" l="1"/>
  <c r="AD132" i="2"/>
  <c r="AD126" i="4" s="1"/>
  <c r="AD1347" i="2" s="1"/>
  <c r="AE134" i="2"/>
  <c r="AD135" i="2"/>
  <c r="AD1298" i="2" s="1"/>
  <c r="AD1309" i="2" s="1"/>
  <c r="AD1295" i="2" s="1"/>
  <c r="S153" i="4"/>
  <c r="S1263" i="2" s="1"/>
  <c r="S372" i="4"/>
  <c r="S371" i="4" s="1"/>
  <c r="S403" i="4" s="1"/>
  <c r="S404" i="4" s="1"/>
  <c r="S1185" i="2"/>
  <c r="S275" i="4"/>
  <c r="S211" i="4"/>
  <c r="S216" i="4" s="1"/>
  <c r="S323" i="4"/>
  <c r="S322" i="4" s="1"/>
  <c r="S334" i="4" s="1"/>
  <c r="AC580" i="2"/>
  <c r="AC581" i="2" s="1"/>
  <c r="AC582" i="2" s="1"/>
  <c r="T634" i="2"/>
  <c r="AC489" i="4"/>
  <c r="AC1296" i="2"/>
  <c r="AC1297" i="2" s="1"/>
  <c r="V1348" i="2"/>
  <c r="V1349" i="2" s="1"/>
  <c r="W1348" i="2" s="1"/>
  <c r="R153" i="4"/>
  <c r="R1185" i="2"/>
  <c r="R1265" i="2"/>
  <c r="R211" i="4"/>
  <c r="R323" i="4"/>
  <c r="R322" i="4" s="1"/>
  <c r="R372" i="4"/>
  <c r="R371" i="4" s="1"/>
  <c r="R275" i="4"/>
  <c r="Q161" i="4"/>
  <c r="Q170" i="4" s="1"/>
  <c r="Q1261" i="2"/>
  <c r="Q1182" i="2"/>
  <c r="Q1138" i="2"/>
  <c r="R154" i="4"/>
  <c r="AE125" i="2"/>
  <c r="AF114" i="2"/>
  <c r="AE116" i="2"/>
  <c r="AE43" i="2"/>
  <c r="AE34" i="2"/>
  <c r="AF32" i="2"/>
  <c r="AA501" i="4"/>
  <c r="AA1340" i="2"/>
  <c r="AA499" i="4"/>
  <c r="U1345" i="2"/>
  <c r="U1355" i="2" s="1"/>
  <c r="U622" i="2" s="1"/>
  <c r="U621" i="2" s="1"/>
  <c r="U116" i="4"/>
  <c r="U1353" i="2"/>
  <c r="P355" i="4"/>
  <c r="Q354" i="4"/>
  <c r="Q355" i="4" s="1"/>
  <c r="P279" i="4"/>
  <c r="Q279" i="4" s="1"/>
  <c r="AF105" i="2"/>
  <c r="AF96" i="2"/>
  <c r="AG94" i="2"/>
  <c r="T120" i="4"/>
  <c r="T246" i="4"/>
  <c r="AA187" i="4"/>
  <c r="P312" i="4"/>
  <c r="P286" i="4"/>
  <c r="P310" i="4"/>
  <c r="P294" i="4"/>
  <c r="P305" i="4"/>
  <c r="Z498" i="4"/>
  <c r="Z465" i="4"/>
  <c r="Z438" i="4"/>
  <c r="AF54" i="2"/>
  <c r="AE65" i="2"/>
  <c r="AE56" i="2"/>
  <c r="R198" i="4"/>
  <c r="AF23" i="2"/>
  <c r="AF15" i="2"/>
  <c r="AG13" i="2"/>
  <c r="Q336" i="4"/>
  <c r="Q350" i="4" s="1"/>
  <c r="P350" i="4"/>
  <c r="AB578" i="2"/>
  <c r="AC126" i="4"/>
  <c r="AC136" i="2"/>
  <c r="Y438" i="4"/>
  <c r="Y465" i="4"/>
  <c r="Y498" i="4"/>
  <c r="T500" i="4"/>
  <c r="T504" i="4" s="1"/>
  <c r="T511" i="4" s="1"/>
  <c r="T512" i="4" s="1"/>
  <c r="T513" i="4" s="1"/>
  <c r="T439" i="4"/>
  <c r="T441" i="4" s="1"/>
  <c r="T448" i="4" s="1"/>
  <c r="T449" i="4" s="1"/>
  <c r="T450" i="4" s="1"/>
  <c r="T466" i="4"/>
  <c r="T468" i="4" s="1"/>
  <c r="T475" i="4" s="1"/>
  <c r="T476" i="4" s="1"/>
  <c r="T477" i="4" s="1"/>
  <c r="T1354" i="2"/>
  <c r="T129" i="4" s="1"/>
  <c r="T135" i="4" s="1"/>
  <c r="AB1311" i="2"/>
  <c r="AA167" i="4"/>
  <c r="AF74" i="2"/>
  <c r="AE85" i="2"/>
  <c r="AE76" i="2"/>
  <c r="AB1351" i="2"/>
  <c r="AB1347" i="2"/>
  <c r="AB1342" i="2"/>
  <c r="AB1339" i="2" s="1"/>
  <c r="P181" i="4"/>
  <c r="P258" i="4"/>
  <c r="R185" i="4"/>
  <c r="R190" i="4" s="1"/>
  <c r="R632" i="2"/>
  <c r="R633" i="2" s="1"/>
  <c r="R634" i="2" s="1"/>
  <c r="AB434" i="4"/>
  <c r="AB461" i="4"/>
  <c r="AB488" i="4"/>
  <c r="D195" i="7" l="1"/>
  <c r="S1183" i="2"/>
  <c r="AF134" i="2"/>
  <c r="AE132" i="2"/>
  <c r="AE135" i="2"/>
  <c r="AE1298" i="2" s="1"/>
  <c r="AE1309" i="2" s="1"/>
  <c r="AE1295" i="2" s="1"/>
  <c r="S274" i="4"/>
  <c r="S385" i="4"/>
  <c r="S401" i="4"/>
  <c r="S402" i="4" s="1"/>
  <c r="S377" i="4"/>
  <c r="S214" i="4"/>
  <c r="S1262" i="2" s="1"/>
  <c r="S327" i="4"/>
  <c r="AD1351" i="2"/>
  <c r="AD1342" i="2"/>
  <c r="AD1339" i="2" s="1"/>
  <c r="AD499" i="4" s="1"/>
  <c r="AD136" i="2"/>
  <c r="AD580" i="2"/>
  <c r="AD581" i="2" s="1"/>
  <c r="AD582" i="2" s="1"/>
  <c r="U1346" i="2"/>
  <c r="U500" i="4" s="1"/>
  <c r="U504" i="4" s="1"/>
  <c r="U511" i="4" s="1"/>
  <c r="U512" i="4" s="1"/>
  <c r="U513" i="4" s="1"/>
  <c r="AC578" i="2"/>
  <c r="AC187" i="4" s="1"/>
  <c r="AB499" i="4"/>
  <c r="AB501" i="4"/>
  <c r="AB1340" i="2"/>
  <c r="AB1341" i="2" s="1"/>
  <c r="AB167" i="4"/>
  <c r="AC1311" i="2"/>
  <c r="AA1341" i="2"/>
  <c r="W1349" i="2"/>
  <c r="W1350" i="2" s="1"/>
  <c r="W1344" i="2" s="1"/>
  <c r="S634" i="2"/>
  <c r="S359" i="4"/>
  <c r="S360" i="4" s="1"/>
  <c r="S343" i="4"/>
  <c r="S335" i="4"/>
  <c r="S361" i="4"/>
  <c r="S362" i="4" s="1"/>
  <c r="V1350" i="2"/>
  <c r="R274" i="4"/>
  <c r="T1265" i="2"/>
  <c r="T323" i="4"/>
  <c r="T322" i="4" s="1"/>
  <c r="T372" i="4"/>
  <c r="T371" i="4" s="1"/>
  <c r="T1185" i="2"/>
  <c r="T153" i="4"/>
  <c r="T275" i="4"/>
  <c r="T274" i="4" s="1"/>
  <c r="T211" i="4"/>
  <c r="AC1351" i="2"/>
  <c r="AC1342" i="2"/>
  <c r="AC1339" i="2" s="1"/>
  <c r="AC1347" i="2"/>
  <c r="Q305" i="4"/>
  <c r="P306" i="4"/>
  <c r="U117" i="4"/>
  <c r="U242" i="4"/>
  <c r="U243" i="4" s="1"/>
  <c r="R396" i="4"/>
  <c r="R401" i="4"/>
  <c r="R402" i="4" s="1"/>
  <c r="R385" i="4"/>
  <c r="R403" i="4"/>
  <c r="R404" i="4" s="1"/>
  <c r="R377" i="4"/>
  <c r="R378" i="4" s="1"/>
  <c r="R392" i="4" s="1"/>
  <c r="AG74" i="2"/>
  <c r="AF85" i="2"/>
  <c r="AF76" i="2"/>
  <c r="AB187" i="4"/>
  <c r="AF56" i="2"/>
  <c r="AG54" i="2"/>
  <c r="AF65" i="2"/>
  <c r="R327" i="4"/>
  <c r="R328" i="4" s="1"/>
  <c r="R334" i="4"/>
  <c r="U185" i="4"/>
  <c r="U190" i="4" s="1"/>
  <c r="U632" i="2"/>
  <c r="U633" i="2" s="1"/>
  <c r="U634" i="2" s="1"/>
  <c r="AF43" i="2"/>
  <c r="AG32" i="2"/>
  <c r="AF34" i="2"/>
  <c r="AF125" i="2"/>
  <c r="AG114" i="2"/>
  <c r="AF116" i="2"/>
  <c r="R216" i="4"/>
  <c r="R214" i="4"/>
  <c r="R1262" i="2" s="1"/>
  <c r="P311" i="4"/>
  <c r="AG96" i="2"/>
  <c r="AH94" i="2"/>
  <c r="AG105" i="2"/>
  <c r="P255" i="4"/>
  <c r="P203" i="4"/>
  <c r="P265" i="4"/>
  <c r="AH13" i="2"/>
  <c r="AG23" i="2"/>
  <c r="AG15" i="2"/>
  <c r="S198" i="4"/>
  <c r="R200" i="4"/>
  <c r="P287" i="4"/>
  <c r="Q181" i="4"/>
  <c r="Q255" i="4" s="1"/>
  <c r="Q258" i="4"/>
  <c r="AC488" i="4"/>
  <c r="AC461" i="4"/>
  <c r="AC434" i="4"/>
  <c r="AD1296" i="2"/>
  <c r="AD1297" i="2" s="1"/>
  <c r="AD489" i="4"/>
  <c r="P313" i="4"/>
  <c r="R155" i="4"/>
  <c r="R1263" i="2"/>
  <c r="R1183" i="2"/>
  <c r="D194" i="7" l="1"/>
  <c r="AG134" i="2"/>
  <c r="AF132" i="2"/>
  <c r="AF135" i="2"/>
  <c r="AF1298" i="2" s="1"/>
  <c r="AF1309" i="2" s="1"/>
  <c r="AF1295" i="2" s="1"/>
  <c r="S285" i="4"/>
  <c r="S278" i="4"/>
  <c r="S328" i="4"/>
  <c r="AD501" i="4"/>
  <c r="AD1340" i="2"/>
  <c r="U466" i="4"/>
  <c r="U468" i="4" s="1"/>
  <c r="U475" i="4" s="1"/>
  <c r="U476" i="4" s="1"/>
  <c r="U477" i="4" s="1"/>
  <c r="U439" i="4"/>
  <c r="U441" i="4" s="1"/>
  <c r="U448" i="4" s="1"/>
  <c r="U449" i="4" s="1"/>
  <c r="U450" i="4" s="1"/>
  <c r="U1354" i="2"/>
  <c r="U129" i="4" s="1"/>
  <c r="U135" i="4" s="1"/>
  <c r="U153" i="4" s="1"/>
  <c r="X1348" i="2"/>
  <c r="X1349" i="2" s="1"/>
  <c r="Y1348" i="2" s="1"/>
  <c r="Q265" i="4"/>
  <c r="R354" i="4"/>
  <c r="R343" i="4"/>
  <c r="R361" i="4"/>
  <c r="R362" i="4" s="1"/>
  <c r="R335" i="4"/>
  <c r="R336" i="4" s="1"/>
  <c r="R350" i="4" s="1"/>
  <c r="R359" i="4"/>
  <c r="R360" i="4" s="1"/>
  <c r="AH74" i="2"/>
  <c r="AG76" i="2"/>
  <c r="AG85" i="2"/>
  <c r="T278" i="4"/>
  <c r="T285" i="4"/>
  <c r="R285" i="4"/>
  <c r="R278" i="4"/>
  <c r="AE126" i="4"/>
  <c r="AE136" i="2"/>
  <c r="AI13" i="2"/>
  <c r="AH23" i="2"/>
  <c r="AH15" i="2"/>
  <c r="Q306" i="4"/>
  <c r="T1263" i="2"/>
  <c r="T1183" i="2"/>
  <c r="W116" i="4"/>
  <c r="W1345" i="2"/>
  <c r="W1355" i="2" s="1"/>
  <c r="W622" i="2" s="1"/>
  <c r="W621" i="2" s="1"/>
  <c r="W1353" i="2"/>
  <c r="Q287" i="4"/>
  <c r="P301" i="4"/>
  <c r="AH105" i="2"/>
  <c r="AH96" i="2"/>
  <c r="AI94" i="2"/>
  <c r="AD578" i="2"/>
  <c r="AD187" i="4" s="1"/>
  <c r="AE489" i="4"/>
  <c r="AE1296" i="2"/>
  <c r="AE1297" i="2" s="1"/>
  <c r="V1344" i="2"/>
  <c r="AB438" i="4"/>
  <c r="AB498" i="4"/>
  <c r="AB465" i="4"/>
  <c r="S378" i="4"/>
  <c r="T385" i="4"/>
  <c r="T377" i="4"/>
  <c r="T401" i="4"/>
  <c r="T402" i="4" s="1"/>
  <c r="T403" i="4"/>
  <c r="T404" i="4" s="1"/>
  <c r="AA498" i="4"/>
  <c r="AA438" i="4"/>
  <c r="AA465" i="4"/>
  <c r="R1182" i="2"/>
  <c r="R1261" i="2"/>
  <c r="S154" i="4"/>
  <c r="R1138" i="2"/>
  <c r="R161" i="4"/>
  <c r="R170" i="4" s="1"/>
  <c r="S155" i="4"/>
  <c r="T155" i="4" s="1"/>
  <c r="R253" i="4"/>
  <c r="R225" i="4"/>
  <c r="R202" i="4"/>
  <c r="R254" i="4"/>
  <c r="AG116" i="2"/>
  <c r="AH114" i="2"/>
  <c r="AG125" i="2"/>
  <c r="T334" i="4"/>
  <c r="T327" i="4"/>
  <c r="T198" i="4"/>
  <c r="S200" i="4"/>
  <c r="R397" i="4"/>
  <c r="S396" i="4"/>
  <c r="AC501" i="4"/>
  <c r="AC499" i="4"/>
  <c r="AC1340" i="2"/>
  <c r="AE580" i="2"/>
  <c r="AD434" i="4"/>
  <c r="AD488" i="4"/>
  <c r="AD461" i="4"/>
  <c r="AD1311" i="2"/>
  <c r="AC167" i="4"/>
  <c r="Q203" i="4"/>
  <c r="AG34" i="2"/>
  <c r="AG43" i="2"/>
  <c r="AH32" i="2"/>
  <c r="AG65" i="2"/>
  <c r="AG56" i="2"/>
  <c r="AH54" i="2"/>
  <c r="U120" i="4"/>
  <c r="U246" i="4"/>
  <c r="T216" i="4"/>
  <c r="T214" i="4"/>
  <c r="T1262" i="2" s="1"/>
  <c r="D198" i="7" l="1"/>
  <c r="D205" i="7"/>
  <c r="AH134" i="2"/>
  <c r="AG132" i="2"/>
  <c r="AG135" i="2"/>
  <c r="S253" i="4"/>
  <c r="S310" i="4"/>
  <c r="S312" i="4"/>
  <c r="S294" i="4"/>
  <c r="S286" i="4"/>
  <c r="T328" i="4"/>
  <c r="AD1341" i="2"/>
  <c r="AD498" i="4" s="1"/>
  <c r="U1185" i="2"/>
  <c r="U275" i="4"/>
  <c r="U323" i="4"/>
  <c r="U322" i="4" s="1"/>
  <c r="U334" i="4" s="1"/>
  <c r="U211" i="4"/>
  <c r="U214" i="4" s="1"/>
  <c r="U1262" i="2" s="1"/>
  <c r="U372" i="4"/>
  <c r="U371" i="4" s="1"/>
  <c r="U385" i="4" s="1"/>
  <c r="U1265" i="2"/>
  <c r="AF580" i="2"/>
  <c r="AF581" i="2" s="1"/>
  <c r="S336" i="4"/>
  <c r="S350" i="4" s="1"/>
  <c r="S225" i="4"/>
  <c r="S202" i="4"/>
  <c r="R279" i="4"/>
  <c r="AI32" i="2"/>
  <c r="AH34" i="2"/>
  <c r="AH43" i="2"/>
  <c r="T200" i="4"/>
  <c r="T254" i="4" s="1"/>
  <c r="U198" i="4"/>
  <c r="T359" i="4"/>
  <c r="T360" i="4" s="1"/>
  <c r="T343" i="4"/>
  <c r="T335" i="4"/>
  <c r="T361" i="4"/>
  <c r="T362" i="4" s="1"/>
  <c r="AF126" i="4"/>
  <c r="AF136" i="2"/>
  <c r="R286" i="4"/>
  <c r="R312" i="4"/>
  <c r="R310" i="4"/>
  <c r="R294" i="4"/>
  <c r="AD167" i="4"/>
  <c r="AE1311" i="2"/>
  <c r="T396" i="4"/>
  <c r="S397" i="4"/>
  <c r="AI105" i="2"/>
  <c r="AJ94" i="2"/>
  <c r="AI96" i="2"/>
  <c r="W632" i="2"/>
  <c r="W633" i="2" s="1"/>
  <c r="W185" i="4"/>
  <c r="W190" i="4" s="1"/>
  <c r="T312" i="4"/>
  <c r="T313" i="4" s="1"/>
  <c r="T294" i="4"/>
  <c r="T310" i="4"/>
  <c r="T311" i="4" s="1"/>
  <c r="T286" i="4"/>
  <c r="AF1296" i="2"/>
  <c r="AF1297" i="2" s="1"/>
  <c r="AF489" i="4"/>
  <c r="S1138" i="2"/>
  <c r="S161" i="4"/>
  <c r="S170" i="4" s="1"/>
  <c r="S1261" i="2"/>
  <c r="T154" i="4"/>
  <c r="S1182" i="2"/>
  <c r="W242" i="4"/>
  <c r="W243" i="4" s="1"/>
  <c r="W117" i="4"/>
  <c r="AH116" i="2"/>
  <c r="AH125" i="2"/>
  <c r="AI114" i="2"/>
  <c r="R181" i="4"/>
  <c r="R258" i="4"/>
  <c r="S392" i="4"/>
  <c r="T378" i="4"/>
  <c r="T392" i="4" s="1"/>
  <c r="T1261" i="2"/>
  <c r="U154" i="4"/>
  <c r="T161" i="4"/>
  <c r="T170" i="4" s="1"/>
  <c r="T1182" i="2"/>
  <c r="T1138" i="2"/>
  <c r="AH65" i="2"/>
  <c r="AH56" i="2"/>
  <c r="AI54" i="2"/>
  <c r="AE581" i="2"/>
  <c r="AE582" i="2" s="1"/>
  <c r="AI23" i="2"/>
  <c r="AI15" i="2"/>
  <c r="AJ13" i="2"/>
  <c r="R355" i="4"/>
  <c r="S354" i="4"/>
  <c r="S254" i="4"/>
  <c r="V1345" i="2"/>
  <c r="V1346" i="2" s="1"/>
  <c r="V1353" i="2"/>
  <c r="V116" i="4"/>
  <c r="U1263" i="2"/>
  <c r="U155" i="4"/>
  <c r="U1183" i="2"/>
  <c r="Q301" i="4"/>
  <c r="Y1349" i="2"/>
  <c r="Y1350" i="2" s="1"/>
  <c r="Y1344" i="2" s="1"/>
  <c r="AE1342" i="2"/>
  <c r="AE1339" i="2" s="1"/>
  <c r="AE1351" i="2"/>
  <c r="AE1347" i="2"/>
  <c r="AC1341" i="2"/>
  <c r="AE434" i="4"/>
  <c r="AE461" i="4"/>
  <c r="AE488" i="4"/>
  <c r="R305" i="4"/>
  <c r="X1350" i="2"/>
  <c r="AH76" i="2"/>
  <c r="AH85" i="2"/>
  <c r="AI74" i="2"/>
  <c r="D206" i="7" l="1"/>
  <c r="D225" i="7"/>
  <c r="D214" i="7"/>
  <c r="D230" i="7"/>
  <c r="D199" i="7"/>
  <c r="D232" i="7"/>
  <c r="AI134" i="2"/>
  <c r="AH135" i="2"/>
  <c r="AH1298" i="2" s="1"/>
  <c r="AH1309" i="2" s="1"/>
  <c r="AH132" i="2"/>
  <c r="U401" i="4"/>
  <c r="U402" i="4" s="1"/>
  <c r="T253" i="4"/>
  <c r="AD465" i="4"/>
  <c r="AD438" i="4"/>
  <c r="S313" i="4"/>
  <c r="S311" i="4"/>
  <c r="U274" i="4"/>
  <c r="U377" i="4"/>
  <c r="U378" i="4" s="1"/>
  <c r="U327" i="4"/>
  <c r="U328" i="4" s="1"/>
  <c r="U216" i="4"/>
  <c r="U403" i="4"/>
  <c r="U404" i="4" s="1"/>
  <c r="T336" i="4"/>
  <c r="T350" i="4" s="1"/>
  <c r="R287" i="4"/>
  <c r="AF582" i="2"/>
  <c r="AE578" i="2"/>
  <c r="AE187" i="4" s="1"/>
  <c r="Z1348" i="2"/>
  <c r="Z1349" i="2" s="1"/>
  <c r="Z1350" i="2" s="1"/>
  <c r="Z1344" i="2" s="1"/>
  <c r="V466" i="4"/>
  <c r="V468" i="4" s="1"/>
  <c r="V475" i="4" s="1"/>
  <c r="V476" i="4" s="1"/>
  <c r="V477" i="4" s="1"/>
  <c r="V439" i="4"/>
  <c r="V441" i="4" s="1"/>
  <c r="V448" i="4" s="1"/>
  <c r="V449" i="4" s="1"/>
  <c r="V450" i="4" s="1"/>
  <c r="V500" i="4"/>
  <c r="V504" i="4" s="1"/>
  <c r="V511" i="4" s="1"/>
  <c r="V512" i="4" s="1"/>
  <c r="V513" i="4" s="1"/>
  <c r="V1354" i="2"/>
  <c r="V129" i="4" s="1"/>
  <c r="V135" i="4" s="1"/>
  <c r="X1344" i="2"/>
  <c r="AE1340" i="2"/>
  <c r="AE1341" i="2" s="1"/>
  <c r="AE501" i="4"/>
  <c r="AE499" i="4"/>
  <c r="W120" i="4"/>
  <c r="W246" i="4"/>
  <c r="U396" i="4"/>
  <c r="T397" i="4"/>
  <c r="R311" i="4"/>
  <c r="AI43" i="2"/>
  <c r="AJ32" i="2"/>
  <c r="AI34" i="2"/>
  <c r="R306" i="4"/>
  <c r="S305" i="4"/>
  <c r="V117" i="4"/>
  <c r="V242" i="4"/>
  <c r="V243" i="4" s="1"/>
  <c r="AG126" i="4"/>
  <c r="AF434" i="4"/>
  <c r="AF488" i="4"/>
  <c r="AF461" i="4"/>
  <c r="AF1311" i="2"/>
  <c r="AE167" i="4"/>
  <c r="R313" i="4"/>
  <c r="Y1345" i="2"/>
  <c r="Y1355" i="2" s="1"/>
  <c r="Y622" i="2" s="1"/>
  <c r="Y621" i="2" s="1"/>
  <c r="Y1353" i="2"/>
  <c r="Y116" i="4"/>
  <c r="BD1067" i="2"/>
  <c r="AJ96" i="2"/>
  <c r="AJ105" i="2"/>
  <c r="AK94" i="2"/>
  <c r="AJ74" i="2"/>
  <c r="AI76" i="2"/>
  <c r="AI85" i="2"/>
  <c r="AC438" i="4"/>
  <c r="AC498" i="4"/>
  <c r="AC465" i="4"/>
  <c r="V1355" i="2"/>
  <c r="V622" i="2" s="1"/>
  <c r="V621" i="2" s="1"/>
  <c r="W1346" i="2"/>
  <c r="S355" i="4"/>
  <c r="T354" i="4"/>
  <c r="AI65" i="2"/>
  <c r="AI56" i="2"/>
  <c r="AJ54" i="2"/>
  <c r="T181" i="4"/>
  <c r="T258" i="4"/>
  <c r="R203" i="4"/>
  <c r="R265" i="4"/>
  <c r="R255" i="4"/>
  <c r="U200" i="4"/>
  <c r="AG580" i="2"/>
  <c r="AG1298" i="2"/>
  <c r="AG1309" i="2" s="1"/>
  <c r="AG1295" i="2" s="1"/>
  <c r="AH136" i="2"/>
  <c r="AJ114" i="2"/>
  <c r="AI116" i="2"/>
  <c r="AI125" i="2"/>
  <c r="S181" i="4"/>
  <c r="S255" i="4" s="1"/>
  <c r="S258" i="4"/>
  <c r="AF1342" i="2"/>
  <c r="AF1339" i="2" s="1"/>
  <c r="AF1351" i="2"/>
  <c r="AF1347" i="2"/>
  <c r="T225" i="4"/>
  <c r="T202" i="4"/>
  <c r="AF578" i="2"/>
  <c r="AF187" i="4" s="1"/>
  <c r="U1182" i="2"/>
  <c r="V154" i="4"/>
  <c r="U161" i="4"/>
  <c r="U170" i="4" s="1"/>
  <c r="U1138" i="2"/>
  <c r="U1261" i="2"/>
  <c r="AG136" i="2"/>
  <c r="U343" i="4"/>
  <c r="U335" i="4"/>
  <c r="U359" i="4"/>
  <c r="U360" i="4" s="1"/>
  <c r="U361" i="4"/>
  <c r="U362" i="4" s="1"/>
  <c r="AJ23" i="2"/>
  <c r="AJ15" i="2"/>
  <c r="AK13" i="2"/>
  <c r="S279" i="4"/>
  <c r="T279" i="4" s="1"/>
  <c r="D233" i="7" l="1"/>
  <c r="D226" i="7"/>
  <c r="D231" i="7"/>
  <c r="D207" i="7"/>
  <c r="U285" i="4"/>
  <c r="AJ134" i="2"/>
  <c r="AI132" i="2"/>
  <c r="AI135" i="2"/>
  <c r="AI1298" i="2" s="1"/>
  <c r="AI1309" i="2" s="1"/>
  <c r="AI1295" i="2" s="1"/>
  <c r="U278" i="4"/>
  <c r="R301" i="4"/>
  <c r="U336" i="4"/>
  <c r="U350" i="4" s="1"/>
  <c r="S287" i="4"/>
  <c r="T287" i="4" s="1"/>
  <c r="T301" i="4" s="1"/>
  <c r="AH580" i="2"/>
  <c r="AH581" i="2" s="1"/>
  <c r="U181" i="4"/>
  <c r="U255" i="4" s="1"/>
  <c r="U258" i="4"/>
  <c r="T255" i="4"/>
  <c r="T203" i="4"/>
  <c r="V185" i="4"/>
  <c r="V190" i="4" s="1"/>
  <c r="V632" i="2"/>
  <c r="V633" i="2" s="1"/>
  <c r="AK105" i="2"/>
  <c r="AK96" i="2"/>
  <c r="AL94" i="2"/>
  <c r="Z116" i="4"/>
  <c r="Z1345" i="2"/>
  <c r="Z1355" i="2" s="1"/>
  <c r="Z622" i="2" s="1"/>
  <c r="Z621" i="2" s="1"/>
  <c r="Z1353" i="2"/>
  <c r="X1353" i="2"/>
  <c r="X1345" i="2"/>
  <c r="X1355" i="2" s="1"/>
  <c r="X622" i="2" s="1"/>
  <c r="X621" i="2" s="1"/>
  <c r="X116" i="4"/>
  <c r="AL13" i="2"/>
  <c r="AK23" i="2"/>
  <c r="AK15" i="2"/>
  <c r="AJ116" i="2"/>
  <c r="AK114" i="2"/>
  <c r="AJ125" i="2"/>
  <c r="U253" i="4"/>
  <c r="U202" i="4"/>
  <c r="U225" i="4"/>
  <c r="AK54" i="2"/>
  <c r="AJ65" i="2"/>
  <c r="AJ56" i="2"/>
  <c r="T305" i="4"/>
  <c r="S306" i="4"/>
  <c r="AH126" i="4"/>
  <c r="U397" i="4"/>
  <c r="AF501" i="4"/>
  <c r="AF1340" i="2"/>
  <c r="AF1341" i="2" s="1"/>
  <c r="AF499" i="4"/>
  <c r="AG1296" i="2"/>
  <c r="AG1297" i="2" s="1"/>
  <c r="AG489" i="4"/>
  <c r="Y117" i="4"/>
  <c r="Y242" i="4"/>
  <c r="Y243" i="4" s="1"/>
  <c r="AG1342" i="2"/>
  <c r="AG1339" i="2" s="1"/>
  <c r="AG1347" i="2"/>
  <c r="AG1351" i="2"/>
  <c r="AH1295" i="2"/>
  <c r="AG581" i="2"/>
  <c r="AG582" i="2" s="1"/>
  <c r="V211" i="4"/>
  <c r="V1185" i="2"/>
  <c r="V372" i="4"/>
  <c r="V371" i="4" s="1"/>
  <c r="V396" i="4" s="1"/>
  <c r="V153" i="4"/>
  <c r="V275" i="4"/>
  <c r="V323" i="4"/>
  <c r="V322" i="4" s="1"/>
  <c r="V1265" i="2"/>
  <c r="U392" i="4"/>
  <c r="U354" i="4"/>
  <c r="T355" i="4"/>
  <c r="AF167" i="4"/>
  <c r="AG1311" i="2"/>
  <c r="AJ43" i="2"/>
  <c r="AK32" i="2"/>
  <c r="AJ34" i="2"/>
  <c r="U254" i="4"/>
  <c r="S265" i="4"/>
  <c r="S203" i="4"/>
  <c r="T265" i="4"/>
  <c r="Y185" i="4"/>
  <c r="Y190" i="4" s="1"/>
  <c r="Y632" i="2"/>
  <c r="Y633" i="2" s="1"/>
  <c r="V120" i="4"/>
  <c r="V246" i="4"/>
  <c r="AE438" i="4"/>
  <c r="AE498" i="4"/>
  <c r="AE465" i="4"/>
  <c r="W1354" i="2"/>
  <c r="W466" i="4"/>
  <c r="W468" i="4" s="1"/>
  <c r="W475" i="4" s="1"/>
  <c r="W476" i="4" s="1"/>
  <c r="W477" i="4" s="1"/>
  <c r="W439" i="4"/>
  <c r="W441" i="4" s="1"/>
  <c r="W448" i="4" s="1"/>
  <c r="W449" i="4" s="1"/>
  <c r="W450" i="4" s="1"/>
  <c r="W500" i="4"/>
  <c r="W504" i="4" s="1"/>
  <c r="W511" i="4" s="1"/>
  <c r="W512" i="4" s="1"/>
  <c r="W513" i="4" s="1"/>
  <c r="AJ85" i="2"/>
  <c r="AJ76" i="2"/>
  <c r="AK74" i="2"/>
  <c r="AA1348" i="2"/>
  <c r="D221" i="7" l="1"/>
  <c r="U310" i="4"/>
  <c r="U294" i="4"/>
  <c r="U286" i="4"/>
  <c r="U312" i="4"/>
  <c r="AJ132" i="2"/>
  <c r="AJ126" i="4" s="1"/>
  <c r="AJ135" i="2"/>
  <c r="AJ1298" i="2" s="1"/>
  <c r="AJ1309" i="2" s="1"/>
  <c r="AJ1295" i="2" s="1"/>
  <c r="AK134" i="2"/>
  <c r="V274" i="4"/>
  <c r="U279" i="4"/>
  <c r="S301" i="4"/>
  <c r="Y1346" i="2"/>
  <c r="Y1354" i="2" s="1"/>
  <c r="Y129" i="4" s="1"/>
  <c r="Y135" i="4" s="1"/>
  <c r="AI580" i="2"/>
  <c r="AI581" i="2" s="1"/>
  <c r="AI582" i="2" s="1"/>
  <c r="X1346" i="2"/>
  <c r="X500" i="4" s="1"/>
  <c r="X504" i="4" s="1"/>
  <c r="X511" i="4" s="1"/>
  <c r="X512" i="4" s="1"/>
  <c r="X513" i="4" s="1"/>
  <c r="AH489" i="4"/>
  <c r="AH1296" i="2"/>
  <c r="AH1297" i="2" s="1"/>
  <c r="AH582" i="2"/>
  <c r="V397" i="4"/>
  <c r="AK65" i="2"/>
  <c r="AK56" i="2"/>
  <c r="AL54" i="2"/>
  <c r="Z1346" i="2"/>
  <c r="AG167" i="4"/>
  <c r="AH1311" i="2"/>
  <c r="AI126" i="4"/>
  <c r="Z185" i="4"/>
  <c r="Z190" i="4" s="1"/>
  <c r="Z632" i="2"/>
  <c r="Z633" i="2" s="1"/>
  <c r="Z634" i="2" s="1"/>
  <c r="V327" i="4"/>
  <c r="V328" i="4" s="1"/>
  <c r="V334" i="4"/>
  <c r="V354" i="4" s="1"/>
  <c r="AI1296" i="2"/>
  <c r="AI489" i="4"/>
  <c r="AL15" i="2"/>
  <c r="AL23" i="2"/>
  <c r="AM13" i="2"/>
  <c r="Z117" i="4"/>
  <c r="Z242" i="4"/>
  <c r="Z243" i="4" s="1"/>
  <c r="AG434" i="4"/>
  <c r="AG488" i="4"/>
  <c r="AG461" i="4"/>
  <c r="X117" i="4"/>
  <c r="X242" i="4"/>
  <c r="X243" i="4" s="1"/>
  <c r="AM94" i="2"/>
  <c r="AL105" i="2"/>
  <c r="AL96" i="2"/>
  <c r="V1183" i="2"/>
  <c r="V1263" i="2"/>
  <c r="V155" i="4"/>
  <c r="AG499" i="4"/>
  <c r="AG1340" i="2"/>
  <c r="AG1341" i="2" s="1"/>
  <c r="AG501" i="4"/>
  <c r="T306" i="4"/>
  <c r="U305" i="4"/>
  <c r="U265" i="4"/>
  <c r="U203" i="4"/>
  <c r="W129" i="4"/>
  <c r="W135" i="4" s="1"/>
  <c r="U355" i="4"/>
  <c r="V403" i="4"/>
  <c r="V404" i="4" s="1"/>
  <c r="V401" i="4"/>
  <c r="V402" i="4" s="1"/>
  <c r="V385" i="4"/>
  <c r="V377" i="4"/>
  <c r="V378" i="4" s="1"/>
  <c r="AK116" i="2"/>
  <c r="AL114" i="2"/>
  <c r="AK125" i="2"/>
  <c r="X632" i="2"/>
  <c r="X633" i="2" s="1"/>
  <c r="X634" i="2" s="1"/>
  <c r="X185" i="4"/>
  <c r="X190" i="4" s="1"/>
  <c r="AA1349" i="2"/>
  <c r="AB1348" i="2" s="1"/>
  <c r="V198" i="4"/>
  <c r="Y246" i="4"/>
  <c r="Y120" i="4"/>
  <c r="AF465" i="4"/>
  <c r="AF498" i="4"/>
  <c r="AF438" i="4"/>
  <c r="AH1347" i="2"/>
  <c r="AH1351" i="2"/>
  <c r="AH1342" i="2"/>
  <c r="AH1339" i="2" s="1"/>
  <c r="W634" i="2"/>
  <c r="V634" i="2"/>
  <c r="AI136" i="2"/>
  <c r="AL74" i="2"/>
  <c r="AK76" i="2"/>
  <c r="AK85" i="2"/>
  <c r="AL32" i="2"/>
  <c r="AK34" i="2"/>
  <c r="AK43" i="2"/>
  <c r="V214" i="4"/>
  <c r="V1262" i="2" s="1"/>
  <c r="V216" i="4"/>
  <c r="AG578" i="2"/>
  <c r="AH578" i="2"/>
  <c r="AH187" i="4" s="1"/>
  <c r="U311" i="4" l="1"/>
  <c r="U287" i="4"/>
  <c r="U313" i="4"/>
  <c r="V285" i="4"/>
  <c r="AL134" i="2"/>
  <c r="AK132" i="2"/>
  <c r="AK135" i="2"/>
  <c r="AK1298" i="2" s="1"/>
  <c r="AK1309" i="2" s="1"/>
  <c r="AK1295" i="2" s="1"/>
  <c r="Y500" i="4"/>
  <c r="Y504" i="4" s="1"/>
  <c r="Y511" i="4" s="1"/>
  <c r="Y512" i="4" s="1"/>
  <c r="Y513" i="4" s="1"/>
  <c r="V278" i="4"/>
  <c r="Y439" i="4"/>
  <c r="Y441" i="4" s="1"/>
  <c r="Y448" i="4" s="1"/>
  <c r="Y449" i="4" s="1"/>
  <c r="Y466" i="4"/>
  <c r="Y468" i="4" s="1"/>
  <c r="Y475" i="4" s="1"/>
  <c r="Y476" i="4" s="1"/>
  <c r="X466" i="4"/>
  <c r="X468" i="4" s="1"/>
  <c r="X475" i="4" s="1"/>
  <c r="X476" i="4" s="1"/>
  <c r="X477" i="4" s="1"/>
  <c r="X1354" i="2"/>
  <c r="X129" i="4" s="1"/>
  <c r="X135" i="4" s="1"/>
  <c r="X372" i="4" s="1"/>
  <c r="X371" i="4" s="1"/>
  <c r="X439" i="4"/>
  <c r="X441" i="4" s="1"/>
  <c r="X448" i="4" s="1"/>
  <c r="X449" i="4" s="1"/>
  <c r="X450" i="4" s="1"/>
  <c r="AJ136" i="2"/>
  <c r="AJ580" i="2"/>
  <c r="AJ581" i="2" s="1"/>
  <c r="AJ582" i="2" s="1"/>
  <c r="AI1297" i="2"/>
  <c r="AI461" i="4" s="1"/>
  <c r="AG187" i="4"/>
  <c r="AH499" i="4"/>
  <c r="AH501" i="4"/>
  <c r="AH1340" i="2"/>
  <c r="AH1341" i="2" s="1"/>
  <c r="Z500" i="4"/>
  <c r="Z504" i="4" s="1"/>
  <c r="Z511" i="4" s="1"/>
  <c r="Z512" i="4" s="1"/>
  <c r="Z439" i="4"/>
  <c r="Z441" i="4" s="1"/>
  <c r="Z448" i="4" s="1"/>
  <c r="Z449" i="4" s="1"/>
  <c r="Z466" i="4"/>
  <c r="Z468" i="4" s="1"/>
  <c r="Z475" i="4" s="1"/>
  <c r="Z476" i="4" s="1"/>
  <c r="Z1354" i="2"/>
  <c r="Z129" i="4" s="1"/>
  <c r="Z135" i="4" s="1"/>
  <c r="AH434" i="4"/>
  <c r="AH461" i="4"/>
  <c r="AH488" i="4"/>
  <c r="AL85" i="2"/>
  <c r="AM74" i="2"/>
  <c r="AL76" i="2"/>
  <c r="U306" i="4"/>
  <c r="W154" i="4"/>
  <c r="V1261" i="2"/>
  <c r="V161" i="4"/>
  <c r="V170" i="4" s="1"/>
  <c r="V1182" i="2"/>
  <c r="V1138" i="2"/>
  <c r="Z246" i="4"/>
  <c r="Z120" i="4"/>
  <c r="V361" i="4"/>
  <c r="V362" i="4" s="1"/>
  <c r="V359" i="4"/>
  <c r="V360" i="4" s="1"/>
  <c r="V343" i="4"/>
  <c r="V335" i="4"/>
  <c r="V336" i="4" s="1"/>
  <c r="AL116" i="2"/>
  <c r="AM114" i="2"/>
  <c r="AL125" i="2"/>
  <c r="X120" i="4"/>
  <c r="X246" i="4"/>
  <c r="AM15" i="2"/>
  <c r="AM23" i="2"/>
  <c r="AN13" i="2"/>
  <c r="AL65" i="2"/>
  <c r="AL56" i="2"/>
  <c r="AM54" i="2"/>
  <c r="W198" i="4"/>
  <c r="V200" i="4"/>
  <c r="AI578" i="2"/>
  <c r="U301" i="4"/>
  <c r="V355" i="4"/>
  <c r="Y275" i="4"/>
  <c r="Y274" i="4" s="1"/>
  <c r="Y153" i="4"/>
  <c r="Y1265" i="2"/>
  <c r="Y1185" i="2"/>
  <c r="Y372" i="4"/>
  <c r="Y371" i="4" s="1"/>
  <c r="Y211" i="4"/>
  <c r="Y323" i="4"/>
  <c r="Y322" i="4" s="1"/>
  <c r="AI1351" i="2"/>
  <c r="AI1347" i="2"/>
  <c r="AI1342" i="2"/>
  <c r="AI1339" i="2" s="1"/>
  <c r="AM32" i="2"/>
  <c r="AL43" i="2"/>
  <c r="AL34" i="2"/>
  <c r="AB1349" i="2"/>
  <c r="AB1350" i="2" s="1"/>
  <c r="AB1344" i="2" s="1"/>
  <c r="AG465" i="4"/>
  <c r="AG438" i="4"/>
  <c r="AG498" i="4"/>
  <c r="AI1311" i="2"/>
  <c r="AH167" i="4"/>
  <c r="AJ489" i="4"/>
  <c r="AJ1296" i="2"/>
  <c r="AJ1297" i="2" s="1"/>
  <c r="Y634" i="2"/>
  <c r="AA1350" i="2"/>
  <c r="W372" i="4"/>
  <c r="W371" i="4" s="1"/>
  <c r="W1265" i="2"/>
  <c r="W1185" i="2"/>
  <c r="W323" i="4"/>
  <c r="W322" i="4" s="1"/>
  <c r="W211" i="4"/>
  <c r="W153" i="4"/>
  <c r="W275" i="4"/>
  <c r="AJ1351" i="2"/>
  <c r="AJ1347" i="2"/>
  <c r="AJ1342" i="2"/>
  <c r="AJ1339" i="2" s="1"/>
  <c r="V392" i="4"/>
  <c r="AM96" i="2"/>
  <c r="AN94" i="2"/>
  <c r="AM105" i="2"/>
  <c r="V294" i="4" l="1"/>
  <c r="V305" i="4"/>
  <c r="V306" i="4" s="1"/>
  <c r="V310" i="4"/>
  <c r="V312" i="4"/>
  <c r="V279" i="4"/>
  <c r="V286" i="4"/>
  <c r="AL132" i="2"/>
  <c r="AL126" i="4" s="1"/>
  <c r="AM134" i="2"/>
  <c r="AL135" i="2"/>
  <c r="AL1298" i="2" s="1"/>
  <c r="AL1309" i="2" s="1"/>
  <c r="AL1295" i="2" s="1"/>
  <c r="V253" i="4"/>
  <c r="Y450" i="4"/>
  <c r="Z450" i="4" s="1"/>
  <c r="X1265" i="2"/>
  <c r="X323" i="4"/>
  <c r="X322" i="4" s="1"/>
  <c r="X334" i="4" s="1"/>
  <c r="Y477" i="4"/>
  <c r="Z477" i="4" s="1"/>
  <c r="X275" i="4"/>
  <c r="X274" i="4" s="1"/>
  <c r="X285" i="4" s="1"/>
  <c r="X153" i="4"/>
  <c r="X1183" i="2" s="1"/>
  <c r="Z513" i="4"/>
  <c r="X211" i="4"/>
  <c r="X216" i="4" s="1"/>
  <c r="X1185" i="2"/>
  <c r="AJ578" i="2"/>
  <c r="AJ187" i="4" s="1"/>
  <c r="AI434" i="4"/>
  <c r="AI488" i="4"/>
  <c r="AC1348" i="2"/>
  <c r="AC1349" i="2" s="1"/>
  <c r="AC1350" i="2" s="1"/>
  <c r="AC1344" i="2" s="1"/>
  <c r="W385" i="4"/>
  <c r="W401" i="4"/>
  <c r="W402" i="4" s="1"/>
  <c r="W377" i="4"/>
  <c r="W378" i="4" s="1"/>
  <c r="W403" i="4"/>
  <c r="W404" i="4" s="1"/>
  <c r="W396" i="4"/>
  <c r="Y334" i="4"/>
  <c r="Y327" i="4"/>
  <c r="W200" i="4"/>
  <c r="W253" i="4" s="1"/>
  <c r="X198" i="4"/>
  <c r="V350" i="4"/>
  <c r="AH498" i="4"/>
  <c r="AH438" i="4"/>
  <c r="AH465" i="4"/>
  <c r="X377" i="4"/>
  <c r="X385" i="4"/>
  <c r="X401" i="4"/>
  <c r="X402" i="4" s="1"/>
  <c r="X403" i="4"/>
  <c r="X404" i="4" s="1"/>
  <c r="Y214" i="4"/>
  <c r="Y1262" i="2" s="1"/>
  <c r="Y216" i="4"/>
  <c r="AN96" i="2"/>
  <c r="AO94" i="2"/>
  <c r="AN105" i="2"/>
  <c r="W274" i="4"/>
  <c r="AN32" i="2"/>
  <c r="AM43" i="2"/>
  <c r="AM34" i="2"/>
  <c r="Y403" i="4"/>
  <c r="Y404" i="4" s="1"/>
  <c r="Y401" i="4"/>
  <c r="Y402" i="4" s="1"/>
  <c r="Y377" i="4"/>
  <c r="Y385" i="4"/>
  <c r="AO13" i="2"/>
  <c r="AN15" i="2"/>
  <c r="AN23" i="2"/>
  <c r="W1183" i="2"/>
  <c r="W1263" i="2"/>
  <c r="W155" i="4"/>
  <c r="AA1344" i="2"/>
  <c r="AK126" i="4"/>
  <c r="AK136" i="2"/>
  <c r="AM125" i="2"/>
  <c r="AM116" i="2"/>
  <c r="AN114" i="2"/>
  <c r="AM85" i="2"/>
  <c r="AM76" i="2"/>
  <c r="AN74" i="2"/>
  <c r="Z275" i="4"/>
  <c r="Z274" i="4" s="1"/>
  <c r="Z153" i="4"/>
  <c r="Z1185" i="2"/>
  <c r="Z1265" i="2"/>
  <c r="Z211" i="4"/>
  <c r="Z372" i="4"/>
  <c r="Z371" i="4" s="1"/>
  <c r="Z323" i="4"/>
  <c r="Z322" i="4" s="1"/>
  <c r="W216" i="4"/>
  <c r="W214" i="4"/>
  <c r="W1262" i="2" s="1"/>
  <c r="AI167" i="4"/>
  <c r="AJ1311" i="2"/>
  <c r="AK1296" i="2"/>
  <c r="AK1297" i="2" s="1"/>
  <c r="AK489" i="4"/>
  <c r="AN54" i="2"/>
  <c r="AM65" i="2"/>
  <c r="AM56" i="2"/>
  <c r="W327" i="4"/>
  <c r="W328" i="4" s="1"/>
  <c r="W334" i="4"/>
  <c r="AI1340" i="2"/>
  <c r="AI1341" i="2" s="1"/>
  <c r="AI501" i="4"/>
  <c r="AI499" i="4"/>
  <c r="Y1183" i="2"/>
  <c r="Y1263" i="2"/>
  <c r="V181" i="4"/>
  <c r="V258" i="4"/>
  <c r="AJ461" i="4"/>
  <c r="AJ434" i="4"/>
  <c r="AJ488" i="4"/>
  <c r="Y285" i="4"/>
  <c r="Y278" i="4"/>
  <c r="AI187" i="4"/>
  <c r="AK580" i="2"/>
  <c r="AJ499" i="4"/>
  <c r="AJ1340" i="2"/>
  <c r="AJ501" i="4"/>
  <c r="AB1345" i="2"/>
  <c r="AB1355" i="2" s="1"/>
  <c r="AB622" i="2" s="1"/>
  <c r="AB621" i="2" s="1"/>
  <c r="AB116" i="4"/>
  <c r="AB1353" i="2"/>
  <c r="V202" i="4"/>
  <c r="V225" i="4"/>
  <c r="V254" i="4"/>
  <c r="V313" i="4" l="1"/>
  <c r="V311" i="4"/>
  <c r="V287" i="4"/>
  <c r="V301" i="4" s="1"/>
  <c r="AM135" i="2"/>
  <c r="AM580" i="2" s="1"/>
  <c r="AN134" i="2"/>
  <c r="AM132" i="2"/>
  <c r="AM126" i="4" s="1"/>
  <c r="AM1342" i="2" s="1"/>
  <c r="AM1339" i="2" s="1"/>
  <c r="X327" i="4"/>
  <c r="X328" i="4" s="1"/>
  <c r="Y328" i="4" s="1"/>
  <c r="X278" i="4"/>
  <c r="X1263" i="2"/>
  <c r="X155" i="4"/>
  <c r="X1182" i="2" s="1"/>
  <c r="X214" i="4"/>
  <c r="X1262" i="2" s="1"/>
  <c r="AL580" i="2"/>
  <c r="AL581" i="2" s="1"/>
  <c r="AL578" i="2" s="1"/>
  <c r="AL187" i="4" s="1"/>
  <c r="AD1348" i="2"/>
  <c r="AD1349" i="2" s="1"/>
  <c r="AE1348" i="2" s="1"/>
  <c r="AI498" i="4"/>
  <c r="AI438" i="4"/>
  <c r="AI465" i="4"/>
  <c r="AJ1341" i="2"/>
  <c r="AL1347" i="2"/>
  <c r="AL1351" i="2"/>
  <c r="AL1342" i="2"/>
  <c r="AL1339" i="2" s="1"/>
  <c r="AK488" i="4"/>
  <c r="AK434" i="4"/>
  <c r="AK461" i="4"/>
  <c r="Z1263" i="2"/>
  <c r="Z1183" i="2"/>
  <c r="W392" i="4"/>
  <c r="X378" i="4"/>
  <c r="X392" i="4" s="1"/>
  <c r="AK1311" i="2"/>
  <c r="AJ167" i="4"/>
  <c r="Z285" i="4"/>
  <c r="Z278" i="4"/>
  <c r="AO32" i="2"/>
  <c r="AN34" i="2"/>
  <c r="AN43" i="2"/>
  <c r="X200" i="4"/>
  <c r="X254" i="4" s="1"/>
  <c r="Y198" i="4"/>
  <c r="Y294" i="4"/>
  <c r="Y310" i="4"/>
  <c r="Y311" i="4" s="1"/>
  <c r="Y286" i="4"/>
  <c r="Y312" i="4"/>
  <c r="Y313" i="4" s="1"/>
  <c r="AN76" i="2"/>
  <c r="AO74" i="2"/>
  <c r="AN85" i="2"/>
  <c r="W254" i="4"/>
  <c r="W202" i="4"/>
  <c r="W225" i="4"/>
  <c r="AB242" i="4"/>
  <c r="AB243" i="4" s="1"/>
  <c r="AB117" i="4"/>
  <c r="W335" i="4"/>
  <c r="W336" i="4" s="1"/>
  <c r="W343" i="4"/>
  <c r="W359" i="4"/>
  <c r="W360" i="4" s="1"/>
  <c r="W361" i="4"/>
  <c r="W362" i="4" s="1"/>
  <c r="W354" i="4"/>
  <c r="Z327" i="4"/>
  <c r="Z334" i="4"/>
  <c r="AK1342" i="2"/>
  <c r="AK1339" i="2" s="1"/>
  <c r="AK1347" i="2"/>
  <c r="AK1351" i="2"/>
  <c r="W278" i="4"/>
  <c r="W285" i="4"/>
  <c r="AN65" i="2"/>
  <c r="AN56" i="2"/>
  <c r="AO54" i="2"/>
  <c r="Z403" i="4"/>
  <c r="Z404" i="4" s="1"/>
  <c r="Z377" i="4"/>
  <c r="Z401" i="4"/>
  <c r="Z402" i="4" s="1"/>
  <c r="Z385" i="4"/>
  <c r="Y335" i="4"/>
  <c r="Y343" i="4"/>
  <c r="Y359" i="4"/>
  <c r="Y360" i="4" s="1"/>
  <c r="Y361" i="4"/>
  <c r="Y362" i="4" s="1"/>
  <c r="AB185" i="4"/>
  <c r="AB190" i="4" s="1"/>
  <c r="AB632" i="2"/>
  <c r="AB633" i="2" s="1"/>
  <c r="AK581" i="2"/>
  <c r="AK582" i="2" s="1"/>
  <c r="AC116" i="4"/>
  <c r="AC1345" i="2"/>
  <c r="AC1355" i="2" s="1"/>
  <c r="AC622" i="2" s="1"/>
  <c r="AC621" i="2" s="1"/>
  <c r="AC1353" i="2"/>
  <c r="X359" i="4"/>
  <c r="X360" i="4" s="1"/>
  <c r="X335" i="4"/>
  <c r="X343" i="4"/>
  <c r="X361" i="4"/>
  <c r="X362" i="4" s="1"/>
  <c r="X310" i="4"/>
  <c r="X311" i="4" s="1"/>
  <c r="X294" i="4"/>
  <c r="X286" i="4"/>
  <c r="X312" i="4"/>
  <c r="X313" i="4" s="1"/>
  <c r="Z216" i="4"/>
  <c r="Z214" i="4"/>
  <c r="Z1262" i="2" s="1"/>
  <c r="AN116" i="2"/>
  <c r="AO114" i="2"/>
  <c r="AN125" i="2"/>
  <c r="AA116" i="4"/>
  <c r="AA1345" i="2"/>
  <c r="AA1353" i="2"/>
  <c r="AL136" i="2"/>
  <c r="AL1296" i="2"/>
  <c r="AL1297" i="2" s="1"/>
  <c r="AL489" i="4"/>
  <c r="W1138" i="2"/>
  <c r="W1182" i="2"/>
  <c r="X154" i="4"/>
  <c r="W1261" i="2"/>
  <c r="W161" i="4"/>
  <c r="W170" i="4" s="1"/>
  <c r="AO96" i="2"/>
  <c r="AO105" i="2"/>
  <c r="AP94" i="2"/>
  <c r="W397" i="4"/>
  <c r="X396" i="4"/>
  <c r="V203" i="4"/>
  <c r="V265" i="4"/>
  <c r="V255" i="4"/>
  <c r="AO23" i="2"/>
  <c r="AO15" i="2"/>
  <c r="AP13" i="2"/>
  <c r="AO134" i="2" l="1"/>
  <c r="AN135" i="2"/>
  <c r="AN1298" i="2" s="1"/>
  <c r="AN1309" i="2" s="1"/>
  <c r="AN132" i="2"/>
  <c r="X161" i="4"/>
  <c r="X170" i="4" s="1"/>
  <c r="X258" i="4" s="1"/>
  <c r="X1261" i="2"/>
  <c r="Y154" i="4"/>
  <c r="Y155" i="4"/>
  <c r="Y1182" i="2" s="1"/>
  <c r="X1138" i="2"/>
  <c r="AM1298" i="2"/>
  <c r="AM1309" i="2" s="1"/>
  <c r="AM1295" i="2" s="1"/>
  <c r="Z328" i="4"/>
  <c r="AM581" i="2"/>
  <c r="AM578" i="2" s="1"/>
  <c r="AM187" i="4" s="1"/>
  <c r="Y378" i="4"/>
  <c r="Z378" i="4" s="1"/>
  <c r="AM136" i="2"/>
  <c r="AM1351" i="2"/>
  <c r="AM1347" i="2"/>
  <c r="Y396" i="4"/>
  <c r="X397" i="4"/>
  <c r="AK578" i="2"/>
  <c r="AO65" i="2"/>
  <c r="AP54" i="2"/>
  <c r="AO56" i="2"/>
  <c r="AO85" i="2"/>
  <c r="AO76" i="2"/>
  <c r="AP74" i="2"/>
  <c r="AP23" i="2"/>
  <c r="AP15" i="2"/>
  <c r="AQ13" i="2"/>
  <c r="AK499" i="4"/>
  <c r="AK1340" i="2"/>
  <c r="AK1341" i="2" s="1"/>
  <c r="AK501" i="4"/>
  <c r="Y200" i="4"/>
  <c r="Y254" i="4" s="1"/>
  <c r="Z198" i="4"/>
  <c r="AP96" i="2"/>
  <c r="AQ94" i="2"/>
  <c r="AP105" i="2"/>
  <c r="AA1346" i="2"/>
  <c r="AA1355" i="2"/>
  <c r="AA622" i="2" s="1"/>
  <c r="AA621" i="2" s="1"/>
  <c r="AB1346" i="2"/>
  <c r="Z361" i="4"/>
  <c r="Z362" i="4" s="1"/>
  <c r="Z335" i="4"/>
  <c r="Z359" i="4"/>
  <c r="Z360" i="4" s="1"/>
  <c r="Z343" i="4"/>
  <c r="X253" i="4"/>
  <c r="X225" i="4"/>
  <c r="X202" i="4"/>
  <c r="AM499" i="4"/>
  <c r="AM1340" i="2"/>
  <c r="AM501" i="4"/>
  <c r="AJ498" i="4"/>
  <c r="AJ465" i="4"/>
  <c r="AJ438" i="4"/>
  <c r="AA242" i="4"/>
  <c r="AA243" i="4" s="1"/>
  <c r="AA117" i="4"/>
  <c r="AC1346" i="2"/>
  <c r="X336" i="4"/>
  <c r="X350" i="4" s="1"/>
  <c r="W350" i="4"/>
  <c r="AL499" i="4"/>
  <c r="AL1340" i="2"/>
  <c r="AL501" i="4"/>
  <c r="W181" i="4"/>
  <c r="W258" i="4"/>
  <c r="AL488" i="4"/>
  <c r="AL461" i="4"/>
  <c r="AL434" i="4"/>
  <c r="AP114" i="2"/>
  <c r="AO125" i="2"/>
  <c r="AO116" i="2"/>
  <c r="AC632" i="2"/>
  <c r="AC633" i="2" s="1"/>
  <c r="AC634" i="2" s="1"/>
  <c r="AC185" i="4"/>
  <c r="AC190" i="4" s="1"/>
  <c r="AE1349" i="2"/>
  <c r="AE1350" i="2" s="1"/>
  <c r="AE1344" i="2" s="1"/>
  <c r="W310" i="4"/>
  <c r="W312" i="4"/>
  <c r="W286" i="4"/>
  <c r="W287" i="4" s="1"/>
  <c r="W294" i="4"/>
  <c r="W305" i="4"/>
  <c r="AO43" i="2"/>
  <c r="AO34" i="2"/>
  <c r="AP32" i="2"/>
  <c r="Z310" i="4"/>
  <c r="Z311" i="4" s="1"/>
  <c r="Z294" i="4"/>
  <c r="Z286" i="4"/>
  <c r="Z312" i="4"/>
  <c r="Z313" i="4" s="1"/>
  <c r="AC242" i="4"/>
  <c r="AC243" i="4" s="1"/>
  <c r="AC117" i="4"/>
  <c r="W279" i="4"/>
  <c r="X279" i="4" s="1"/>
  <c r="Y279" i="4" s="1"/>
  <c r="Z279" i="4" s="1"/>
  <c r="AB246" i="4"/>
  <c r="AB120" i="4"/>
  <c r="AL582" i="2"/>
  <c r="AD1350" i="2"/>
  <c r="X354" i="4"/>
  <c r="W355" i="4"/>
  <c r="AK167" i="4"/>
  <c r="AL1311" i="2"/>
  <c r="AP134" i="2" l="1"/>
  <c r="X181" i="4"/>
  <c r="AO132" i="2"/>
  <c r="AO135" i="2"/>
  <c r="AO1298" i="2" s="1"/>
  <c r="AO1309" i="2" s="1"/>
  <c r="AO1295" i="2" s="1"/>
  <c r="Z154" i="4"/>
  <c r="Y1261" i="2"/>
  <c r="Z155" i="4"/>
  <c r="AA154" i="4" s="1"/>
  <c r="Y1138" i="2"/>
  <c r="Y161" i="4"/>
  <c r="Y170" i="4" s="1"/>
  <c r="Y181" i="4" s="1"/>
  <c r="AN1295" i="2"/>
  <c r="AN1296" i="2" s="1"/>
  <c r="AM489" i="4"/>
  <c r="AM1296" i="2"/>
  <c r="AM1297" i="2" s="1"/>
  <c r="AM434" i="4" s="1"/>
  <c r="AM582" i="2"/>
  <c r="Y392" i="4"/>
  <c r="AL1341" i="2"/>
  <c r="AL465" i="4" s="1"/>
  <c r="AN580" i="2"/>
  <c r="AN581" i="2" s="1"/>
  <c r="AN582" i="2" s="1"/>
  <c r="AM1341" i="2"/>
  <c r="AM465" i="4" s="1"/>
  <c r="W313" i="4"/>
  <c r="AP116" i="2"/>
  <c r="AP125" i="2"/>
  <c r="AQ114" i="2"/>
  <c r="W311" i="4"/>
  <c r="Z392" i="4"/>
  <c r="AN126" i="4"/>
  <c r="AN136" i="2"/>
  <c r="AP56" i="2"/>
  <c r="AQ54" i="2"/>
  <c r="AP65" i="2"/>
  <c r="AD1344" i="2"/>
  <c r="AF1348" i="2"/>
  <c r="Z200" i="4"/>
  <c r="Z254" i="4" s="1"/>
  <c r="Y336" i="4"/>
  <c r="AP76" i="2"/>
  <c r="AQ74" i="2"/>
  <c r="AP85" i="2"/>
  <c r="AC120" i="4"/>
  <c r="AC246" i="4"/>
  <c r="AP34" i="2"/>
  <c r="AP43" i="2"/>
  <c r="AQ32" i="2"/>
  <c r="W306" i="4"/>
  <c r="X305" i="4"/>
  <c r="AE1345" i="2"/>
  <c r="AE1355" i="2" s="1"/>
  <c r="AE622" i="2" s="1"/>
  <c r="AE621" i="2" s="1"/>
  <c r="AE116" i="4"/>
  <c r="AE1353" i="2"/>
  <c r="AA246" i="4"/>
  <c r="AA120" i="4"/>
  <c r="X203" i="4"/>
  <c r="AB500" i="4"/>
  <c r="AB504" i="4" s="1"/>
  <c r="AB511" i="4" s="1"/>
  <c r="AB512" i="4" s="1"/>
  <c r="AB439" i="4"/>
  <c r="AB441" i="4" s="1"/>
  <c r="AB448" i="4" s="1"/>
  <c r="AB449" i="4" s="1"/>
  <c r="AB466" i="4"/>
  <c r="AB468" i="4" s="1"/>
  <c r="AB475" i="4" s="1"/>
  <c r="AB476" i="4" s="1"/>
  <c r="AB1354" i="2"/>
  <c r="AB129" i="4" s="1"/>
  <c r="AB135" i="4" s="1"/>
  <c r="Y253" i="4"/>
  <c r="Y225" i="4"/>
  <c r="Y202" i="4"/>
  <c r="AK187" i="4"/>
  <c r="AM1311" i="2"/>
  <c r="AL167" i="4"/>
  <c r="AA185" i="4"/>
  <c r="AA190" i="4" s="1"/>
  <c r="AA632" i="2"/>
  <c r="AA633" i="2" s="1"/>
  <c r="AQ15" i="2"/>
  <c r="AR13" i="2"/>
  <c r="AQ23" i="2"/>
  <c r="W265" i="4"/>
  <c r="W203" i="4"/>
  <c r="X255" i="4"/>
  <c r="X265" i="4"/>
  <c r="W255" i="4"/>
  <c r="AC466" i="4"/>
  <c r="AC468" i="4" s="1"/>
  <c r="AC475" i="4" s="1"/>
  <c r="AC476" i="4" s="1"/>
  <c r="AC439" i="4"/>
  <c r="AC441" i="4" s="1"/>
  <c r="AC448" i="4" s="1"/>
  <c r="AC449" i="4" s="1"/>
  <c r="AC500" i="4"/>
  <c r="AC504" i="4" s="1"/>
  <c r="AC511" i="4" s="1"/>
  <c r="AC512" i="4" s="1"/>
  <c r="AC1354" i="2"/>
  <c r="AC129" i="4" s="1"/>
  <c r="AC135" i="4" s="1"/>
  <c r="AA466" i="4"/>
  <c r="AA468" i="4" s="1"/>
  <c r="AA475" i="4" s="1"/>
  <c r="AA476" i="4" s="1"/>
  <c r="AA477" i="4" s="1"/>
  <c r="AA500" i="4"/>
  <c r="AA504" i="4" s="1"/>
  <c r="AA511" i="4" s="1"/>
  <c r="AA512" i="4" s="1"/>
  <c r="AA513" i="4" s="1"/>
  <c r="AA439" i="4"/>
  <c r="AA441" i="4" s="1"/>
  <c r="AA448" i="4" s="1"/>
  <c r="AA449" i="4" s="1"/>
  <c r="AA450" i="4" s="1"/>
  <c r="AA1354" i="2"/>
  <c r="Z396" i="4"/>
  <c r="Y397" i="4"/>
  <c r="Y354" i="4"/>
  <c r="X355" i="4"/>
  <c r="W301" i="4"/>
  <c r="X287" i="4"/>
  <c r="AQ96" i="2"/>
  <c r="AR94" i="2"/>
  <c r="AQ105" i="2"/>
  <c r="AK438" i="4"/>
  <c r="AK498" i="4"/>
  <c r="AK465" i="4"/>
  <c r="AP135" i="2" l="1"/>
  <c r="AP1298" i="2" s="1"/>
  <c r="AP1309" i="2" s="1"/>
  <c r="AP1295" i="2" s="1"/>
  <c r="AQ134" i="2"/>
  <c r="AP132" i="2"/>
  <c r="Z1138" i="2"/>
  <c r="Z1261" i="2"/>
  <c r="Z161" i="4"/>
  <c r="Z170" i="4" s="1"/>
  <c r="Z181" i="4" s="1"/>
  <c r="Z265" i="4" s="1"/>
  <c r="Z1182" i="2"/>
  <c r="Y258" i="4"/>
  <c r="AN489" i="4"/>
  <c r="AM461" i="4"/>
  <c r="AM488" i="4"/>
  <c r="AL438" i="4"/>
  <c r="AN1297" i="2"/>
  <c r="AL498" i="4"/>
  <c r="AM498" i="4"/>
  <c r="AM438" i="4"/>
  <c r="AB513" i="4"/>
  <c r="AC513" i="4" s="1"/>
  <c r="Z354" i="4"/>
  <c r="Y355" i="4"/>
  <c r="AA129" i="4"/>
  <c r="AA135" i="4" s="1"/>
  <c r="AO1296" i="2"/>
  <c r="AO1297" i="2" s="1"/>
  <c r="AO489" i="4"/>
  <c r="AQ125" i="2"/>
  <c r="AQ116" i="2"/>
  <c r="AR114" i="2"/>
  <c r="AA634" i="2"/>
  <c r="AB634" i="2"/>
  <c r="AM167" i="4"/>
  <c r="AN1311" i="2"/>
  <c r="AB372" i="4"/>
  <c r="AB371" i="4" s="1"/>
  <c r="AB1265" i="2"/>
  <c r="AB211" i="4"/>
  <c r="AB323" i="4"/>
  <c r="AB322" i="4" s="1"/>
  <c r="AB275" i="4"/>
  <c r="AB274" i="4" s="1"/>
  <c r="AB153" i="4"/>
  <c r="AB1185" i="2"/>
  <c r="AQ34" i="2"/>
  <c r="AR32" i="2"/>
  <c r="AQ43" i="2"/>
  <c r="AD1345" i="2"/>
  <c r="AD116" i="4"/>
  <c r="AD1353" i="2"/>
  <c r="AO136" i="2"/>
  <c r="AO126" i="4"/>
  <c r="AB477" i="4"/>
  <c r="AC477" i="4" s="1"/>
  <c r="AQ85" i="2"/>
  <c r="AQ76" i="2"/>
  <c r="AR74" i="2"/>
  <c r="Y265" i="4"/>
  <c r="Y203" i="4"/>
  <c r="AN578" i="2"/>
  <c r="AR105" i="2"/>
  <c r="AS94" i="2"/>
  <c r="AR96" i="2"/>
  <c r="AB450" i="4"/>
  <c r="AC450" i="4" s="1"/>
  <c r="AE117" i="4"/>
  <c r="AE242" i="4"/>
  <c r="AE243" i="4" s="1"/>
  <c r="Y350" i="4"/>
  <c r="Z336" i="4"/>
  <c r="AN1351" i="2"/>
  <c r="AN1342" i="2"/>
  <c r="AN1339" i="2" s="1"/>
  <c r="AN1347" i="2"/>
  <c r="X301" i="4"/>
  <c r="Y287" i="4"/>
  <c r="Y255" i="4"/>
  <c r="Z253" i="4"/>
  <c r="Z202" i="4"/>
  <c r="Z225" i="4"/>
  <c r="AR54" i="2"/>
  <c r="AQ65" i="2"/>
  <c r="AQ56" i="2"/>
  <c r="Z397" i="4"/>
  <c r="AE185" i="4"/>
  <c r="AE190" i="4" s="1"/>
  <c r="AE632" i="2"/>
  <c r="AE633" i="2" s="1"/>
  <c r="AA198" i="4"/>
  <c r="AO580" i="2"/>
  <c r="BB141" i="1"/>
  <c r="AC153" i="4"/>
  <c r="AC275" i="4"/>
  <c r="AC274" i="4" s="1"/>
  <c r="AC211" i="4"/>
  <c r="AC372" i="4"/>
  <c r="AC371" i="4" s="1"/>
  <c r="AC323" i="4"/>
  <c r="AC322" i="4" s="1"/>
  <c r="AC1185" i="2"/>
  <c r="AC1265" i="2"/>
  <c r="AR15" i="2"/>
  <c r="AS13" i="2"/>
  <c r="AR23" i="2"/>
  <c r="X306" i="4"/>
  <c r="Y305" i="4"/>
  <c r="AF1349" i="2"/>
  <c r="AF1350" i="2" s="1"/>
  <c r="AF1344" i="2" s="1"/>
  <c r="E181" i="7" l="1"/>
  <c r="AR134" i="2"/>
  <c r="AQ135" i="2"/>
  <c r="AQ1298" i="2" s="1"/>
  <c r="AQ1309" i="2" s="1"/>
  <c r="AQ1295" i="2" s="1"/>
  <c r="AQ132" i="2"/>
  <c r="Z258" i="4"/>
  <c r="AN434" i="4"/>
  <c r="AN488" i="4"/>
  <c r="AN461" i="4"/>
  <c r="AP580" i="2"/>
  <c r="AP581" i="2" s="1"/>
  <c r="AP578" i="2" s="1"/>
  <c r="AP187" i="4" s="1"/>
  <c r="AG1348" i="2"/>
  <c r="AG1349" i="2" s="1"/>
  <c r="AH1348" i="2" s="1"/>
  <c r="AO461" i="4"/>
  <c r="AO434" i="4"/>
  <c r="AO488" i="4"/>
  <c r="AR65" i="2"/>
  <c r="AS54" i="2"/>
  <c r="AR56" i="2"/>
  <c r="AB1183" i="2"/>
  <c r="AB1263" i="2"/>
  <c r="AA275" i="4"/>
  <c r="AA372" i="4"/>
  <c r="AA371" i="4" s="1"/>
  <c r="AA1185" i="2"/>
  <c r="AA211" i="4"/>
  <c r="AA1265" i="2"/>
  <c r="AA323" i="4"/>
  <c r="AA322" i="4" s="1"/>
  <c r="AA153" i="4"/>
  <c r="AN1340" i="2"/>
  <c r="AN1341" i="2" s="1"/>
  <c r="AN499" i="4"/>
  <c r="AN501" i="4"/>
  <c r="AN187" i="4"/>
  <c r="AD242" i="4"/>
  <c r="AD243" i="4" s="1"/>
  <c r="AD117" i="4"/>
  <c r="AB285" i="4"/>
  <c r="AB278" i="4"/>
  <c r="AO581" i="2"/>
  <c r="AO582" i="2" s="1"/>
  <c r="AD1355" i="2"/>
  <c r="AE1346" i="2"/>
  <c r="AB334" i="4"/>
  <c r="AB327" i="4"/>
  <c r="AR125" i="2"/>
  <c r="AR116" i="2"/>
  <c r="AS114" i="2"/>
  <c r="Z355" i="4"/>
  <c r="AF116" i="4"/>
  <c r="AF1345" i="2"/>
  <c r="AF1355" i="2" s="1"/>
  <c r="AF622" i="2" s="1"/>
  <c r="AF621" i="2" s="1"/>
  <c r="AF1353" i="2"/>
  <c r="AC334" i="4"/>
  <c r="AC327" i="4"/>
  <c r="AP126" i="4"/>
  <c r="AP489" i="4"/>
  <c r="AP1296" i="2"/>
  <c r="AP1297" i="2" s="1"/>
  <c r="AB216" i="4"/>
  <c r="AB214" i="4"/>
  <c r="AB1262" i="2" s="1"/>
  <c r="Y306" i="4"/>
  <c r="Z305" i="4"/>
  <c r="AC403" i="4"/>
  <c r="AC404" i="4" s="1"/>
  <c r="AC377" i="4"/>
  <c r="AC401" i="4"/>
  <c r="AC402" i="4" s="1"/>
  <c r="AC385" i="4"/>
  <c r="AA200" i="4"/>
  <c r="AB198" i="4"/>
  <c r="Z350" i="4"/>
  <c r="AO1342" i="2"/>
  <c r="AO1339" i="2" s="1"/>
  <c r="AO1351" i="2"/>
  <c r="AO1347" i="2"/>
  <c r="AS32" i="2"/>
  <c r="AR43" i="2"/>
  <c r="AR34" i="2"/>
  <c r="BA141" i="1"/>
  <c r="AC216" i="4"/>
  <c r="AC214" i="4"/>
  <c r="AC1262" i="2" s="1"/>
  <c r="Y301" i="4"/>
  <c r="Z287" i="4"/>
  <c r="AP136" i="2"/>
  <c r="AB401" i="4"/>
  <c r="AB402" i="4" s="1"/>
  <c r="AB377" i="4"/>
  <c r="AB403" i="4"/>
  <c r="AB404" i="4" s="1"/>
  <c r="AB385" i="4"/>
  <c r="Z255" i="4"/>
  <c r="Z203" i="4"/>
  <c r="AC278" i="4"/>
  <c r="AC285" i="4"/>
  <c r="AS96" i="2"/>
  <c r="AT94" i="2"/>
  <c r="AS105" i="2"/>
  <c r="AR85" i="2"/>
  <c r="AR76" i="2"/>
  <c r="AS74" i="2"/>
  <c r="AN167" i="4"/>
  <c r="AO1311" i="2"/>
  <c r="AS23" i="2"/>
  <c r="AS15" i="2"/>
  <c r="AT13" i="2"/>
  <c r="AC1263" i="2"/>
  <c r="AC1183" i="2"/>
  <c r="AE120" i="4"/>
  <c r="AE246" i="4"/>
  <c r="AD1346" i="2"/>
  <c r="E182" i="7" l="1"/>
  <c r="AR135" i="2"/>
  <c r="AR1298" i="2" s="1"/>
  <c r="AR1309" i="2" s="1"/>
  <c r="AR1295" i="2" s="1"/>
  <c r="AR132" i="2"/>
  <c r="AS134" i="2"/>
  <c r="AO578" i="2"/>
  <c r="AO187" i="4" s="1"/>
  <c r="AQ580" i="2"/>
  <c r="AQ581" i="2" s="1"/>
  <c r="AQ582" i="2" s="1"/>
  <c r="AF1346" i="2"/>
  <c r="AF466" i="4" s="1"/>
  <c r="AF468" i="4" s="1"/>
  <c r="AF475" i="4" s="1"/>
  <c r="AF476" i="4" s="1"/>
  <c r="AP582" i="2"/>
  <c r="AS85" i="2"/>
  <c r="AS76" i="2"/>
  <c r="AT74" i="2"/>
  <c r="AC361" i="4"/>
  <c r="AC362" i="4" s="1"/>
  <c r="AC359" i="4"/>
  <c r="AC360" i="4" s="1"/>
  <c r="AC335" i="4"/>
  <c r="AC343" i="4"/>
  <c r="AD622" i="2"/>
  <c r="AD621" i="2" s="1"/>
  <c r="AH1349" i="2"/>
  <c r="AH1350" i="2" s="1"/>
  <c r="AH1344" i="2" s="1"/>
  <c r="AO499" i="4"/>
  <c r="AO501" i="4"/>
  <c r="AO1340" i="2"/>
  <c r="AO1341" i="2" s="1"/>
  <c r="AT114" i="2"/>
  <c r="AS116" i="2"/>
  <c r="AS125" i="2"/>
  <c r="AG1350" i="2"/>
  <c r="AN498" i="4"/>
  <c r="AN438" i="4"/>
  <c r="AN465" i="4"/>
  <c r="AA385" i="4"/>
  <c r="AA401" i="4"/>
  <c r="AA402" i="4" s="1"/>
  <c r="AA403" i="4"/>
  <c r="AA404" i="4" s="1"/>
  <c r="AA377" i="4"/>
  <c r="AA378" i="4" s="1"/>
  <c r="AA396" i="4"/>
  <c r="AS65" i="2"/>
  <c r="AT54" i="2"/>
  <c r="AS56" i="2"/>
  <c r="AP488" i="4"/>
  <c r="AP434" i="4"/>
  <c r="AP461" i="4"/>
  <c r="AA274" i="4"/>
  <c r="AD500" i="4"/>
  <c r="AD504" i="4" s="1"/>
  <c r="AD511" i="4" s="1"/>
  <c r="AD512" i="4" s="1"/>
  <c r="AD513" i="4" s="1"/>
  <c r="AD466" i="4"/>
  <c r="AD468" i="4" s="1"/>
  <c r="AD475" i="4" s="1"/>
  <c r="AD476" i="4" s="1"/>
  <c r="AD477" i="4" s="1"/>
  <c r="AD1354" i="2"/>
  <c r="AD439" i="4"/>
  <c r="AD441" i="4" s="1"/>
  <c r="AD448" i="4" s="1"/>
  <c r="AD449" i="4" s="1"/>
  <c r="AD450" i="4" s="1"/>
  <c r="AT15" i="2"/>
  <c r="AT23" i="2"/>
  <c r="AU13" i="2"/>
  <c r="Z306" i="4"/>
  <c r="AF632" i="2"/>
  <c r="AF633" i="2" s="1"/>
  <c r="AF634" i="2" s="1"/>
  <c r="AF185" i="4"/>
  <c r="AF190" i="4" s="1"/>
  <c r="AB312" i="4"/>
  <c r="AB313" i="4" s="1"/>
  <c r="AB310" i="4"/>
  <c r="AB311" i="4" s="1"/>
  <c r="AB286" i="4"/>
  <c r="AB294" i="4"/>
  <c r="AT96" i="2"/>
  <c r="AT105" i="2"/>
  <c r="AU94" i="2"/>
  <c r="Z301" i="4"/>
  <c r="AC198" i="4"/>
  <c r="AB200" i="4"/>
  <c r="AF117" i="4"/>
  <c r="AF242" i="4"/>
  <c r="AF243" i="4" s="1"/>
  <c r="AA1263" i="2"/>
  <c r="AA1183" i="2"/>
  <c r="AA155" i="4"/>
  <c r="AA253" i="4"/>
  <c r="AA225" i="4"/>
  <c r="AA202" i="4"/>
  <c r="AA254" i="4"/>
  <c r="AB335" i="4"/>
  <c r="AB343" i="4"/>
  <c r="AB359" i="4"/>
  <c r="AB360" i="4" s="1"/>
  <c r="AB361" i="4"/>
  <c r="AB362" i="4" s="1"/>
  <c r="AD120" i="4"/>
  <c r="AD246" i="4"/>
  <c r="AA327" i="4"/>
  <c r="AA328" i="4" s="1"/>
  <c r="AB328" i="4" s="1"/>
  <c r="AC328" i="4" s="1"/>
  <c r="AA334" i="4"/>
  <c r="AP1311" i="2"/>
  <c r="AO167" i="4"/>
  <c r="AQ136" i="2"/>
  <c r="AQ126" i="4"/>
  <c r="AT32" i="2"/>
  <c r="AS43" i="2"/>
  <c r="AS34" i="2"/>
  <c r="AP1342" i="2"/>
  <c r="AP1339" i="2" s="1"/>
  <c r="AP1347" i="2"/>
  <c r="AP1351" i="2"/>
  <c r="AE500" i="4"/>
  <c r="AE504" i="4" s="1"/>
  <c r="AE511" i="4" s="1"/>
  <c r="AE512" i="4" s="1"/>
  <c r="AE439" i="4"/>
  <c r="AE441" i="4" s="1"/>
  <c r="AE448" i="4" s="1"/>
  <c r="AE449" i="4" s="1"/>
  <c r="AE466" i="4"/>
  <c r="AE468" i="4" s="1"/>
  <c r="AE475" i="4" s="1"/>
  <c r="AE476" i="4" s="1"/>
  <c r="AE1354" i="2"/>
  <c r="AE129" i="4" s="1"/>
  <c r="AE135" i="4" s="1"/>
  <c r="AZ141" i="1"/>
  <c r="AQ489" i="4"/>
  <c r="AQ1296" i="2"/>
  <c r="AQ1297" i="2" s="1"/>
  <c r="AC312" i="4"/>
  <c r="AC313" i="4" s="1"/>
  <c r="AC286" i="4"/>
  <c r="AC294" i="4"/>
  <c r="AC310" i="4"/>
  <c r="AC311" i="4" s="1"/>
  <c r="AA214" i="4"/>
  <c r="AA1262" i="2" s="1"/>
  <c r="AA216" i="4"/>
  <c r="E185" i="7" l="1"/>
  <c r="AS135" i="2"/>
  <c r="AS132" i="2"/>
  <c r="AS126" i="4" s="1"/>
  <c r="AS1351" i="2" s="1"/>
  <c r="AT134" i="2"/>
  <c r="AQ578" i="2"/>
  <c r="AQ187" i="4" s="1"/>
  <c r="AR580" i="2"/>
  <c r="AR581" i="2" s="1"/>
  <c r="AR582" i="2" s="1"/>
  <c r="AI1348" i="2"/>
  <c r="AI1349" i="2" s="1"/>
  <c r="AI1350" i="2" s="1"/>
  <c r="AI1344" i="2" s="1"/>
  <c r="AE477" i="4"/>
  <c r="AF477" i="4" s="1"/>
  <c r="AF1354" i="2"/>
  <c r="AF129" i="4" s="1"/>
  <c r="AF135" i="4" s="1"/>
  <c r="AF372" i="4" s="1"/>
  <c r="AF371" i="4" s="1"/>
  <c r="AE513" i="4"/>
  <c r="AF439" i="4"/>
  <c r="AF441" i="4" s="1"/>
  <c r="AF448" i="4" s="1"/>
  <c r="AF449" i="4" s="1"/>
  <c r="AF500" i="4"/>
  <c r="AF504" i="4" s="1"/>
  <c r="AF511" i="4" s="1"/>
  <c r="AF512" i="4" s="1"/>
  <c r="AQ488" i="4"/>
  <c r="AQ434" i="4"/>
  <c r="AQ461" i="4"/>
  <c r="AP501" i="4"/>
  <c r="AP1340" i="2"/>
  <c r="AP1341" i="2" s="1"/>
  <c r="AP499" i="4"/>
  <c r="AE450" i="4"/>
  <c r="AA392" i="4"/>
  <c r="AB378" i="4"/>
  <c r="AG1344" i="2"/>
  <c r="AQ1311" i="2"/>
  <c r="AP167" i="4"/>
  <c r="AF246" i="4"/>
  <c r="AF120" i="4"/>
  <c r="AD129" i="4"/>
  <c r="AD135" i="4" s="1"/>
  <c r="AE323" i="4"/>
  <c r="AE322" i="4" s="1"/>
  <c r="AE275" i="4"/>
  <c r="AE1185" i="2"/>
  <c r="AE211" i="4"/>
  <c r="AE372" i="4"/>
  <c r="AE371" i="4" s="1"/>
  <c r="AE153" i="4"/>
  <c r="AE1265" i="2"/>
  <c r="AA343" i="4"/>
  <c r="AA359" i="4"/>
  <c r="AA360" i="4" s="1"/>
  <c r="AA335" i="4"/>
  <c r="AA336" i="4" s="1"/>
  <c r="AA361" i="4"/>
  <c r="AA362" i="4" s="1"/>
  <c r="AA354" i="4"/>
  <c r="AT43" i="2"/>
  <c r="AU32" i="2"/>
  <c r="AT34" i="2"/>
  <c r="AB253" i="4"/>
  <c r="AB225" i="4"/>
  <c r="AB202" i="4"/>
  <c r="AT116" i="2"/>
  <c r="AU114" i="2"/>
  <c r="AT125" i="2"/>
  <c r="AR126" i="4"/>
  <c r="AY141" i="1"/>
  <c r="AA1138" i="2"/>
  <c r="AB154" i="4"/>
  <c r="AA161" i="4"/>
  <c r="AA170" i="4" s="1"/>
  <c r="AA1261" i="2"/>
  <c r="AA1182" i="2"/>
  <c r="AB155" i="4"/>
  <c r="AC200" i="4"/>
  <c r="AD198" i="4"/>
  <c r="AU15" i="2"/>
  <c r="AV13" i="2"/>
  <c r="AU23" i="2"/>
  <c r="AU54" i="2"/>
  <c r="AT56" i="2"/>
  <c r="AT65" i="2"/>
  <c r="AQ1342" i="2"/>
  <c r="AQ1339" i="2" s="1"/>
  <c r="AQ1347" i="2"/>
  <c r="AQ1351" i="2"/>
  <c r="AR1296" i="2"/>
  <c r="AR1297" i="2" s="1"/>
  <c r="AR489" i="4"/>
  <c r="AH1353" i="2"/>
  <c r="AH1345" i="2"/>
  <c r="AH1355" i="2" s="1"/>
  <c r="AH622" i="2" s="1"/>
  <c r="AH621" i="2" s="1"/>
  <c r="AH116" i="4"/>
  <c r="AA397" i="4"/>
  <c r="AB396" i="4"/>
  <c r="AO438" i="4"/>
  <c r="AO465" i="4"/>
  <c r="AO498" i="4"/>
  <c r="AU74" i="2"/>
  <c r="AT85" i="2"/>
  <c r="AT76" i="2"/>
  <c r="AB254" i="4"/>
  <c r="AU105" i="2"/>
  <c r="AU96" i="2"/>
  <c r="AV94" i="2"/>
  <c r="AA285" i="4"/>
  <c r="AA278" i="4"/>
  <c r="AD632" i="2"/>
  <c r="AD633" i="2" s="1"/>
  <c r="AD185" i="4"/>
  <c r="AD190" i="4" s="1"/>
  <c r="AR136" i="2"/>
  <c r="AT132" i="2" l="1"/>
  <c r="AT135" i="2"/>
  <c r="AT580" i="2" s="1"/>
  <c r="AU134" i="2"/>
  <c r="AC253" i="4"/>
  <c r="AE274" i="4"/>
  <c r="AS1342" i="2"/>
  <c r="AS1339" i="2" s="1"/>
  <c r="AS1340" i="2" s="1"/>
  <c r="AF450" i="4"/>
  <c r="AF275" i="4"/>
  <c r="AF274" i="4" s="1"/>
  <c r="AF285" i="4" s="1"/>
  <c r="AF211" i="4"/>
  <c r="AF214" i="4" s="1"/>
  <c r="AF1262" i="2" s="1"/>
  <c r="AS1347" i="2"/>
  <c r="AF1265" i="2"/>
  <c r="AF323" i="4"/>
  <c r="AF322" i="4" s="1"/>
  <c r="AF327" i="4" s="1"/>
  <c r="AF1185" i="2"/>
  <c r="AF153" i="4"/>
  <c r="AF1263" i="2" s="1"/>
  <c r="AS136" i="2"/>
  <c r="AF513" i="4"/>
  <c r="AR578" i="2"/>
  <c r="AR187" i="4" s="1"/>
  <c r="AX141" i="1"/>
  <c r="AU76" i="2"/>
  <c r="AV74" i="2"/>
  <c r="AU85" i="2"/>
  <c r="AH117" i="4"/>
  <c r="AH242" i="4"/>
  <c r="AH243" i="4" s="1"/>
  <c r="AA181" i="4"/>
  <c r="AA258" i="4"/>
  <c r="AE1263" i="2"/>
  <c r="AE1183" i="2"/>
  <c r="AD1185" i="2"/>
  <c r="AD1265" i="2"/>
  <c r="AD153" i="4"/>
  <c r="AD275" i="4"/>
  <c r="AD323" i="4"/>
  <c r="AD322" i="4" s="1"/>
  <c r="AD211" i="4"/>
  <c r="AD372" i="4"/>
  <c r="AD371" i="4" s="1"/>
  <c r="AP498" i="4"/>
  <c r="AP465" i="4"/>
  <c r="AP438" i="4"/>
  <c r="AQ1340" i="2"/>
  <c r="AQ1341" i="2" s="1"/>
  <c r="AQ499" i="4"/>
  <c r="AQ501" i="4"/>
  <c r="AW13" i="2"/>
  <c r="AV23" i="2"/>
  <c r="AV15" i="2"/>
  <c r="AF377" i="4"/>
  <c r="AF401" i="4"/>
  <c r="AF402" i="4" s="1"/>
  <c r="AF403" i="4"/>
  <c r="AF404" i="4" s="1"/>
  <c r="AF385" i="4"/>
  <c r="AB354" i="4"/>
  <c r="AA355" i="4"/>
  <c r="AE403" i="4"/>
  <c r="AE404" i="4" s="1"/>
  <c r="AE385" i="4"/>
  <c r="AE401" i="4"/>
  <c r="AE402" i="4" s="1"/>
  <c r="AE377" i="4"/>
  <c r="AG1353" i="2"/>
  <c r="AG1345" i="2"/>
  <c r="AG1355" i="2" s="1"/>
  <c r="AG622" i="2" s="1"/>
  <c r="AG621" i="2" s="1"/>
  <c r="AG116" i="4"/>
  <c r="AD634" i="2"/>
  <c r="AE634" i="2"/>
  <c r="AH632" i="2"/>
  <c r="AH633" i="2" s="1"/>
  <c r="AH185" i="4"/>
  <c r="AH190" i="4" s="1"/>
  <c r="AJ1348" i="2"/>
  <c r="AR1342" i="2"/>
  <c r="AR1339" i="2" s="1"/>
  <c r="AR1347" i="2"/>
  <c r="AR1351" i="2"/>
  <c r="AE214" i="4"/>
  <c r="AE1262" i="2" s="1"/>
  <c r="AE216" i="4"/>
  <c r="AB392" i="4"/>
  <c r="AC378" i="4"/>
  <c r="AC392" i="4" s="1"/>
  <c r="AI1345" i="2"/>
  <c r="AI1355" i="2" s="1"/>
  <c r="AI622" i="2" s="1"/>
  <c r="AI621" i="2" s="1"/>
  <c r="AI1353" i="2"/>
  <c r="AI116" i="4"/>
  <c r="AD200" i="4"/>
  <c r="AD253" i="4" s="1"/>
  <c r="AE198" i="4"/>
  <c r="AU34" i="2"/>
  <c r="AV32" i="2"/>
  <c r="AU43" i="2"/>
  <c r="AS580" i="2"/>
  <c r="AS1298" i="2"/>
  <c r="AS1309" i="2" s="1"/>
  <c r="AS1295" i="2" s="1"/>
  <c r="AC225" i="4"/>
  <c r="AC202" i="4"/>
  <c r="AU125" i="2"/>
  <c r="AV114" i="2"/>
  <c r="AU116" i="2"/>
  <c r="AB336" i="4"/>
  <c r="AA350" i="4"/>
  <c r="AA279" i="4"/>
  <c r="AB279" i="4" s="1"/>
  <c r="AC279" i="4" s="1"/>
  <c r="AC396" i="4"/>
  <c r="AB397" i="4"/>
  <c r="AB1261" i="2"/>
  <c r="AB161" i="4"/>
  <c r="AB170" i="4" s="1"/>
  <c r="AC154" i="4"/>
  <c r="AB1138" i="2"/>
  <c r="AB1182" i="2"/>
  <c r="AC155" i="4"/>
  <c r="AE334" i="4"/>
  <c r="AE327" i="4"/>
  <c r="AQ167" i="4"/>
  <c r="AR1311" i="2"/>
  <c r="AA286" i="4"/>
  <c r="AA287" i="4" s="1"/>
  <c r="AA294" i="4"/>
  <c r="AA312" i="4"/>
  <c r="AA310" i="4"/>
  <c r="AA305" i="4"/>
  <c r="AR461" i="4"/>
  <c r="AR488" i="4"/>
  <c r="AR434" i="4"/>
  <c r="AC254" i="4"/>
  <c r="AW94" i="2"/>
  <c r="AV105" i="2"/>
  <c r="AV96" i="2"/>
  <c r="AU56" i="2"/>
  <c r="AV54" i="2"/>
  <c r="AU65" i="2"/>
  <c r="E195" i="7" l="1"/>
  <c r="AV134" i="2"/>
  <c r="AU135" i="2"/>
  <c r="AU1298" i="2" s="1"/>
  <c r="AU1309" i="2" s="1"/>
  <c r="AU132" i="2"/>
  <c r="AS499" i="4"/>
  <c r="AE285" i="4"/>
  <c r="AE278" i="4"/>
  <c r="AS501" i="4"/>
  <c r="AF216" i="4"/>
  <c r="AF278" i="4"/>
  <c r="AG1346" i="2"/>
  <c r="AG466" i="4" s="1"/>
  <c r="AG468" i="4" s="1"/>
  <c r="AG475" i="4" s="1"/>
  <c r="AG476" i="4" s="1"/>
  <c r="AG477" i="4" s="1"/>
  <c r="AT1298" i="2"/>
  <c r="AT1309" i="2" s="1"/>
  <c r="AT1295" i="2" s="1"/>
  <c r="AT489" i="4" s="1"/>
  <c r="AF1183" i="2"/>
  <c r="AF334" i="4"/>
  <c r="AF361" i="4" s="1"/>
  <c r="AF362" i="4" s="1"/>
  <c r="AQ438" i="4"/>
  <c r="AQ498" i="4"/>
  <c r="AQ465" i="4"/>
  <c r="AA311" i="4"/>
  <c r="AR1340" i="2"/>
  <c r="AR1341" i="2" s="1"/>
  <c r="AR501" i="4"/>
  <c r="AR499" i="4"/>
  <c r="AA265" i="4"/>
  <c r="AA203" i="4"/>
  <c r="AA255" i="4"/>
  <c r="AV65" i="2"/>
  <c r="AV56" i="2"/>
  <c r="AW54" i="2"/>
  <c r="AT126" i="4"/>
  <c r="AT136" i="2"/>
  <c r="AA313" i="4"/>
  <c r="AE335" i="4"/>
  <c r="AE359" i="4"/>
  <c r="AE360" i="4" s="1"/>
  <c r="AE343" i="4"/>
  <c r="AE361" i="4"/>
  <c r="AE362" i="4" s="1"/>
  <c r="AF286" i="4"/>
  <c r="AF310" i="4"/>
  <c r="AF311" i="4" s="1"/>
  <c r="AF294" i="4"/>
  <c r="AF312" i="4"/>
  <c r="AF313" i="4" s="1"/>
  <c r="AS1296" i="2"/>
  <c r="AS1297" i="2" s="1"/>
  <c r="AS489" i="4"/>
  <c r="AE200" i="4"/>
  <c r="AE254" i="4" s="1"/>
  <c r="AF198" i="4"/>
  <c r="AJ1349" i="2"/>
  <c r="AK1348" i="2" s="1"/>
  <c r="AG117" i="4"/>
  <c r="AG242" i="4"/>
  <c r="AG243" i="4" s="1"/>
  <c r="AC1182" i="2"/>
  <c r="AD154" i="4"/>
  <c r="AC1138" i="2"/>
  <c r="AC1261" i="2"/>
  <c r="AC161" i="4"/>
  <c r="AC170" i="4" s="1"/>
  <c r="AC397" i="4"/>
  <c r="AD396" i="4"/>
  <c r="AT581" i="2"/>
  <c r="AS581" i="2"/>
  <c r="AS582" i="2" s="1"/>
  <c r="AD202" i="4"/>
  <c r="AD225" i="4"/>
  <c r="AA301" i="4"/>
  <c r="AB287" i="4"/>
  <c r="AV125" i="2"/>
  <c r="AW114" i="2"/>
  <c r="AV116" i="2"/>
  <c r="AI117" i="4"/>
  <c r="AI242" i="4"/>
  <c r="AI243" i="4" s="1"/>
  <c r="AG185" i="4"/>
  <c r="AG190" i="4" s="1"/>
  <c r="AG632" i="2"/>
  <c r="AG633" i="2" s="1"/>
  <c r="AG634" i="2" s="1"/>
  <c r="AC354" i="4"/>
  <c r="AB355" i="4"/>
  <c r="AD385" i="4"/>
  <c r="AD377" i="4"/>
  <c r="AD378" i="4" s="1"/>
  <c r="AD403" i="4"/>
  <c r="AD404" i="4" s="1"/>
  <c r="AD401" i="4"/>
  <c r="AD402" i="4" s="1"/>
  <c r="AV34" i="2"/>
  <c r="AV43" i="2"/>
  <c r="AW32" i="2"/>
  <c r="AD216" i="4"/>
  <c r="AD214" i="4"/>
  <c r="AD1262" i="2" s="1"/>
  <c r="AH246" i="4"/>
  <c r="AH120" i="4"/>
  <c r="AW141" i="1"/>
  <c r="AB305" i="4"/>
  <c r="AA306" i="4"/>
  <c r="AD254" i="4"/>
  <c r="AI1346" i="2"/>
  <c r="AH1346" i="2"/>
  <c r="AD334" i="4"/>
  <c r="AD327" i="4"/>
  <c r="AD328" i="4" s="1"/>
  <c r="AE328" i="4" s="1"/>
  <c r="AF328" i="4" s="1"/>
  <c r="AW96" i="2"/>
  <c r="AW105" i="2"/>
  <c r="AX94" i="2"/>
  <c r="AR167" i="4"/>
  <c r="AS1311" i="2"/>
  <c r="AB181" i="4"/>
  <c r="AB255" i="4" s="1"/>
  <c r="AB258" i="4"/>
  <c r="AI185" i="4"/>
  <c r="AI190" i="4" s="1"/>
  <c r="AI632" i="2"/>
  <c r="AI633" i="2" s="1"/>
  <c r="AI634" i="2" s="1"/>
  <c r="AW15" i="2"/>
  <c r="AW23" i="2"/>
  <c r="AX13" i="2"/>
  <c r="AD274" i="4"/>
  <c r="AW74" i="2"/>
  <c r="AV85" i="2"/>
  <c r="AV76" i="2"/>
  <c r="AB350" i="4"/>
  <c r="AC336" i="4"/>
  <c r="AC350" i="4" s="1"/>
  <c r="AD1263" i="2"/>
  <c r="AD1183" i="2"/>
  <c r="AD155" i="4"/>
  <c r="E194" i="7" l="1"/>
  <c r="AE312" i="4"/>
  <c r="AW134" i="2"/>
  <c r="AV132" i="2"/>
  <c r="AV136" i="2" s="1"/>
  <c r="AV135" i="2"/>
  <c r="AV1298" i="2" s="1"/>
  <c r="AV1309" i="2" s="1"/>
  <c r="AV1295" i="2" s="1"/>
  <c r="AE310" i="4"/>
  <c r="AE294" i="4"/>
  <c r="AE286" i="4"/>
  <c r="AG439" i="4"/>
  <c r="AG441" i="4" s="1"/>
  <c r="AG448" i="4" s="1"/>
  <c r="AG449" i="4" s="1"/>
  <c r="AG450" i="4" s="1"/>
  <c r="AG1354" i="2"/>
  <c r="AG129" i="4" s="1"/>
  <c r="AG135" i="4" s="1"/>
  <c r="AG275" i="4" s="1"/>
  <c r="AG500" i="4"/>
  <c r="AG504" i="4" s="1"/>
  <c r="AG511" i="4" s="1"/>
  <c r="AG512" i="4" s="1"/>
  <c r="AG513" i="4" s="1"/>
  <c r="AU1295" i="2"/>
  <c r="AU489" i="4" s="1"/>
  <c r="AF359" i="4"/>
  <c r="AF360" i="4" s="1"/>
  <c r="AF335" i="4"/>
  <c r="AT1296" i="2"/>
  <c r="AT1297" i="2" s="1"/>
  <c r="AF343" i="4"/>
  <c r="AS578" i="2"/>
  <c r="AS187" i="4" s="1"/>
  <c r="AU580" i="2"/>
  <c r="AU581" i="2" s="1"/>
  <c r="AU582" i="2" s="1"/>
  <c r="AT582" i="2"/>
  <c r="AY94" i="2"/>
  <c r="AX105" i="2"/>
  <c r="AX96" i="2"/>
  <c r="AU126" i="4"/>
  <c r="AE396" i="4"/>
  <c r="AD397" i="4"/>
  <c r="AW85" i="2"/>
  <c r="AW76" i="2"/>
  <c r="AX74" i="2"/>
  <c r="AD392" i="4"/>
  <c r="AE378" i="4"/>
  <c r="AI246" i="4"/>
  <c r="AI120" i="4"/>
  <c r="AS1341" i="2"/>
  <c r="AS488" i="4"/>
  <c r="AS434" i="4"/>
  <c r="AS461" i="4"/>
  <c r="AD335" i="4"/>
  <c r="AD336" i="4" s="1"/>
  <c r="AD343" i="4"/>
  <c r="AD359" i="4"/>
  <c r="AD360" i="4" s="1"/>
  <c r="AD361" i="4"/>
  <c r="AD362" i="4" s="1"/>
  <c r="AC181" i="4"/>
  <c r="AC255" i="4" s="1"/>
  <c r="AC258" i="4"/>
  <c r="AR498" i="4"/>
  <c r="AR465" i="4"/>
  <c r="AR438" i="4"/>
  <c r="AD278" i="4"/>
  <c r="AD285" i="4"/>
  <c r="AH500" i="4"/>
  <c r="AH504" i="4" s="1"/>
  <c r="AH511" i="4" s="1"/>
  <c r="AH512" i="4" s="1"/>
  <c r="AH439" i="4"/>
  <c r="AH441" i="4" s="1"/>
  <c r="AH448" i="4" s="1"/>
  <c r="AH449" i="4" s="1"/>
  <c r="AH466" i="4"/>
  <c r="AH468" i="4" s="1"/>
  <c r="AH475" i="4" s="1"/>
  <c r="AH476" i="4" s="1"/>
  <c r="AH477" i="4" s="1"/>
  <c r="AH1354" i="2"/>
  <c r="AC305" i="4"/>
  <c r="AB306" i="4"/>
  <c r="AX114" i="2"/>
  <c r="AW116" i="2"/>
  <c r="AW125" i="2"/>
  <c r="AG246" i="4"/>
  <c r="AG120" i="4"/>
  <c r="AD1138" i="2"/>
  <c r="AD161" i="4"/>
  <c r="AD170" i="4" s="1"/>
  <c r="AE154" i="4"/>
  <c r="AD1261" i="2"/>
  <c r="AD1182" i="2"/>
  <c r="AE155" i="4"/>
  <c r="AX23" i="2"/>
  <c r="AY13" i="2"/>
  <c r="AX15" i="2"/>
  <c r="AI466" i="4"/>
  <c r="AI468" i="4" s="1"/>
  <c r="AI475" i="4" s="1"/>
  <c r="AI476" i="4" s="1"/>
  <c r="AI439" i="4"/>
  <c r="AI441" i="4" s="1"/>
  <c r="AI448" i="4" s="1"/>
  <c r="AI449" i="4" s="1"/>
  <c r="AI500" i="4"/>
  <c r="AI504" i="4" s="1"/>
  <c r="AI511" i="4" s="1"/>
  <c r="AI512" i="4" s="1"/>
  <c r="AI1354" i="2"/>
  <c r="AI129" i="4" s="1"/>
  <c r="AI135" i="4" s="1"/>
  <c r="AD354" i="4"/>
  <c r="AC355" i="4"/>
  <c r="AK1349" i="2"/>
  <c r="AK1350" i="2" s="1"/>
  <c r="AK1344" i="2" s="1"/>
  <c r="AT1342" i="2"/>
  <c r="AT1339" i="2" s="1"/>
  <c r="AT1347" i="2"/>
  <c r="AT1351" i="2"/>
  <c r="AB203" i="4"/>
  <c r="AJ1350" i="2"/>
  <c r="AW56" i="2"/>
  <c r="AW65" i="2"/>
  <c r="AX54" i="2"/>
  <c r="AB265" i="4"/>
  <c r="AV141" i="1"/>
  <c r="AS167" i="4"/>
  <c r="AT1311" i="2"/>
  <c r="AW43" i="2"/>
  <c r="AX32" i="2"/>
  <c r="AW34" i="2"/>
  <c r="AB301" i="4"/>
  <c r="AC287" i="4"/>
  <c r="AF200" i="4"/>
  <c r="AF254" i="4" s="1"/>
  <c r="AT578" i="2"/>
  <c r="AT187" i="4" s="1"/>
  <c r="AH634" i="2"/>
  <c r="AE253" i="4"/>
  <c r="AE202" i="4"/>
  <c r="AE225" i="4"/>
  <c r="AU136" i="2"/>
  <c r="E198" i="7" l="1"/>
  <c r="E205" i="7"/>
  <c r="AE313" i="4"/>
  <c r="AE311" i="4"/>
  <c r="AW135" i="2"/>
  <c r="AW1298" i="2" s="1"/>
  <c r="AW1309" i="2" s="1"/>
  <c r="AW1295" i="2" s="1"/>
  <c r="AX134" i="2"/>
  <c r="AW132" i="2"/>
  <c r="AG1185" i="2"/>
  <c r="AH450" i="4"/>
  <c r="AI450" i="4" s="1"/>
  <c r="AG274" i="4"/>
  <c r="AG1265" i="2"/>
  <c r="AG323" i="4"/>
  <c r="AG322" i="4" s="1"/>
  <c r="AG334" i="4" s="1"/>
  <c r="AG372" i="4"/>
  <c r="AG371" i="4" s="1"/>
  <c r="AG385" i="4" s="1"/>
  <c r="AG153" i="4"/>
  <c r="AG1263" i="2" s="1"/>
  <c r="AG211" i="4"/>
  <c r="AG216" i="4" s="1"/>
  <c r="AH513" i="4"/>
  <c r="AI513" i="4" s="1"/>
  <c r="AU1296" i="2"/>
  <c r="AU1297" i="2" s="1"/>
  <c r="AU488" i="4" s="1"/>
  <c r="AT461" i="4"/>
  <c r="AT434" i="4"/>
  <c r="AT488" i="4"/>
  <c r="AU578" i="2"/>
  <c r="AU187" i="4" s="1"/>
  <c r="AL1348" i="2"/>
  <c r="AL1349" i="2" s="1"/>
  <c r="AI477" i="4"/>
  <c r="AF253" i="4"/>
  <c r="AF225" i="4"/>
  <c r="AF202" i="4"/>
  <c r="AD310" i="4"/>
  <c r="AD312" i="4"/>
  <c r="AD286" i="4"/>
  <c r="AD294" i="4"/>
  <c r="AE392" i="4"/>
  <c r="AF378" i="4"/>
  <c r="AC301" i="4"/>
  <c r="AU1311" i="2"/>
  <c r="AT167" i="4"/>
  <c r="AK116" i="4"/>
  <c r="AK1345" i="2"/>
  <c r="AK1355" i="2" s="1"/>
  <c r="AK622" i="2" s="1"/>
  <c r="AK621" i="2" s="1"/>
  <c r="AK1353" i="2"/>
  <c r="AC306" i="4"/>
  <c r="AD305" i="4"/>
  <c r="AD279" i="4"/>
  <c r="AJ1344" i="2"/>
  <c r="AD181" i="4"/>
  <c r="AD265" i="4" s="1"/>
  <c r="AD258" i="4"/>
  <c r="AH129" i="4"/>
  <c r="AH135" i="4" s="1"/>
  <c r="AC265" i="4"/>
  <c r="AC203" i="4"/>
  <c r="AD350" i="4"/>
  <c r="AE336" i="4"/>
  <c r="AS465" i="4"/>
  <c r="AS438" i="4"/>
  <c r="AS498" i="4"/>
  <c r="AX56" i="2"/>
  <c r="AX65" i="2"/>
  <c r="AY54" i="2"/>
  <c r="AY15" i="2"/>
  <c r="AZ13" i="2"/>
  <c r="AY23" i="2"/>
  <c r="AF396" i="4"/>
  <c r="AE397" i="4"/>
  <c r="AY105" i="2"/>
  <c r="AY96" i="2"/>
  <c r="AZ94" i="2"/>
  <c r="AU141" i="1"/>
  <c r="AV126" i="4"/>
  <c r="AX43" i="2"/>
  <c r="AX34" i="2"/>
  <c r="AY32" i="2"/>
  <c r="AV1296" i="2"/>
  <c r="AV489" i="4"/>
  <c r="AD355" i="4"/>
  <c r="AE354" i="4"/>
  <c r="AE1182" i="2"/>
  <c r="AF154" i="4"/>
  <c r="AE1261" i="2"/>
  <c r="AE1138" i="2"/>
  <c r="AE161" i="4"/>
  <c r="AE170" i="4" s="1"/>
  <c r="AF155" i="4"/>
  <c r="AY74" i="2"/>
  <c r="AX85" i="2"/>
  <c r="AX76" i="2"/>
  <c r="AG198" i="4"/>
  <c r="AT1340" i="2"/>
  <c r="AT1341" i="2" s="1"/>
  <c r="AT499" i="4"/>
  <c r="AT501" i="4"/>
  <c r="AI323" i="4"/>
  <c r="AI322" i="4" s="1"/>
  <c r="AI1265" i="2"/>
  <c r="AI275" i="4"/>
  <c r="AI274" i="4" s="1"/>
  <c r="AI372" i="4"/>
  <c r="AI371" i="4" s="1"/>
  <c r="AI211" i="4"/>
  <c r="AI153" i="4"/>
  <c r="AI1185" i="2"/>
  <c r="AX125" i="2"/>
  <c r="AY114" i="2"/>
  <c r="AX116" i="2"/>
  <c r="AV580" i="2"/>
  <c r="AU1351" i="2"/>
  <c r="AU1342" i="2"/>
  <c r="AU1339" i="2" s="1"/>
  <c r="AU1347" i="2"/>
  <c r="E225" i="7" l="1"/>
  <c r="E214" i="7"/>
  <c r="E206" i="7"/>
  <c r="E232" i="7"/>
  <c r="E230" i="7"/>
  <c r="E199" i="7"/>
  <c r="AG285" i="4"/>
  <c r="AX132" i="2"/>
  <c r="AY134" i="2"/>
  <c r="AX135" i="2"/>
  <c r="AX1298" i="2" s="1"/>
  <c r="AX1309" i="2" s="1"/>
  <c r="AG278" i="4"/>
  <c r="AG155" i="4"/>
  <c r="AG1138" i="2" s="1"/>
  <c r="AG377" i="4"/>
  <c r="AG378" i="4" s="1"/>
  <c r="AG1183" i="2"/>
  <c r="AG401" i="4"/>
  <c r="AG402" i="4" s="1"/>
  <c r="AG327" i="4"/>
  <c r="AG328" i="4" s="1"/>
  <c r="AG403" i="4"/>
  <c r="AG404" i="4" s="1"/>
  <c r="AG214" i="4"/>
  <c r="AG1262" i="2" s="1"/>
  <c r="AV1297" i="2"/>
  <c r="AV488" i="4" s="1"/>
  <c r="AU461" i="4"/>
  <c r="AU434" i="4"/>
  <c r="AD255" i="4"/>
  <c r="AW580" i="2"/>
  <c r="AW581" i="2" s="1"/>
  <c r="AT465" i="4"/>
  <c r="AT498" i="4"/>
  <c r="AT438" i="4"/>
  <c r="AV581" i="2"/>
  <c r="AV582" i="2" s="1"/>
  <c r="AI285" i="4"/>
  <c r="AI278" i="4"/>
  <c r="AF354" i="4"/>
  <c r="AE355" i="4"/>
  <c r="AZ96" i="2"/>
  <c r="AZ105" i="2"/>
  <c r="BA94" i="2"/>
  <c r="AE305" i="4"/>
  <c r="AD306" i="4"/>
  <c r="AV1311" i="2"/>
  <c r="AU167" i="4"/>
  <c r="AL1350" i="2"/>
  <c r="AT141" i="1"/>
  <c r="AW126" i="4"/>
  <c r="AY76" i="2"/>
  <c r="AZ74" i="2"/>
  <c r="AY85" i="2"/>
  <c r="AW136" i="2"/>
  <c r="AG361" i="4"/>
  <c r="AG362" i="4" s="1"/>
  <c r="AG343" i="4"/>
  <c r="AG335" i="4"/>
  <c r="AG359" i="4"/>
  <c r="AG360" i="4" s="1"/>
  <c r="AD203" i="4"/>
  <c r="AD287" i="4"/>
  <c r="AY116" i="2"/>
  <c r="AY125" i="2"/>
  <c r="AZ114" i="2"/>
  <c r="AI327" i="4"/>
  <c r="AI334" i="4"/>
  <c r="AG154" i="4"/>
  <c r="AF1138" i="2"/>
  <c r="AF1261" i="2"/>
  <c r="AF1182" i="2"/>
  <c r="AF161" i="4"/>
  <c r="AF170" i="4" s="1"/>
  <c r="AE350" i="4"/>
  <c r="AF336" i="4"/>
  <c r="AE258" i="4"/>
  <c r="AE181" i="4"/>
  <c r="AW1296" i="2"/>
  <c r="AW1297" i="2" s="1"/>
  <c r="AW489" i="4"/>
  <c r="AJ1345" i="2"/>
  <c r="AJ1346" i="2" s="1"/>
  <c r="AJ1353" i="2"/>
  <c r="AJ116" i="4"/>
  <c r="AG200" i="4"/>
  <c r="AH198" i="4"/>
  <c r="AV1347" i="2"/>
  <c r="AV1342" i="2"/>
  <c r="AV1339" i="2" s="1"/>
  <c r="AV1351" i="2"/>
  <c r="AG396" i="4"/>
  <c r="AF397" i="4"/>
  <c r="AY65" i="2"/>
  <c r="AZ54" i="2"/>
  <c r="AY56" i="2"/>
  <c r="AD313" i="4"/>
  <c r="AI1183" i="2"/>
  <c r="AI1263" i="2"/>
  <c r="AK185" i="4"/>
  <c r="AK190" i="4" s="1"/>
  <c r="AK632" i="2"/>
  <c r="AK633" i="2" s="1"/>
  <c r="AD311" i="4"/>
  <c r="AU501" i="4"/>
  <c r="AU1340" i="2"/>
  <c r="AU1341" i="2" s="1"/>
  <c r="AU499" i="4"/>
  <c r="AI216" i="4"/>
  <c r="AI214" i="4"/>
  <c r="AI1262" i="2" s="1"/>
  <c r="AY34" i="2"/>
  <c r="AY43" i="2"/>
  <c r="AZ32" i="2"/>
  <c r="AH211" i="4"/>
  <c r="AH1265" i="2"/>
  <c r="AH153" i="4"/>
  <c r="AH323" i="4"/>
  <c r="AH322" i="4" s="1"/>
  <c r="AH1185" i="2"/>
  <c r="AH372" i="4"/>
  <c r="AH371" i="4" s="1"/>
  <c r="AH275" i="4"/>
  <c r="AE279" i="4"/>
  <c r="AF279" i="4" s="1"/>
  <c r="AK117" i="4"/>
  <c r="AK242" i="4"/>
  <c r="AK243" i="4" s="1"/>
  <c r="AF392" i="4"/>
  <c r="AI385" i="4"/>
  <c r="AI401" i="4"/>
  <c r="AI402" i="4" s="1"/>
  <c r="AI403" i="4"/>
  <c r="AI404" i="4" s="1"/>
  <c r="AI377" i="4"/>
  <c r="AZ15" i="2"/>
  <c r="AZ23" i="2"/>
  <c r="BA13" i="2"/>
  <c r="AM1348" i="2"/>
  <c r="E231" i="7" l="1"/>
  <c r="E207" i="7"/>
  <c r="E226" i="7"/>
  <c r="E233" i="7"/>
  <c r="AG294" i="4"/>
  <c r="AG310" i="4"/>
  <c r="AG312" i="4"/>
  <c r="AG286" i="4"/>
  <c r="AZ134" i="2"/>
  <c r="AG279" i="4"/>
  <c r="AY132" i="2"/>
  <c r="AY135" i="2"/>
  <c r="AY1298" i="2" s="1"/>
  <c r="AY1309" i="2" s="1"/>
  <c r="AY1295" i="2" s="1"/>
  <c r="AG161" i="4"/>
  <c r="AG170" i="4" s="1"/>
  <c r="AG258" i="4" s="1"/>
  <c r="AG1261" i="2"/>
  <c r="AG1182" i="2"/>
  <c r="AH154" i="4"/>
  <c r="AV434" i="4"/>
  <c r="AV461" i="4"/>
  <c r="AW582" i="2"/>
  <c r="AJ439" i="4"/>
  <c r="AJ441" i="4" s="1"/>
  <c r="AJ448" i="4" s="1"/>
  <c r="AJ449" i="4" s="1"/>
  <c r="AJ450" i="4" s="1"/>
  <c r="AJ466" i="4"/>
  <c r="AJ468" i="4" s="1"/>
  <c r="AJ475" i="4" s="1"/>
  <c r="AJ476" i="4" s="1"/>
  <c r="AJ477" i="4" s="1"/>
  <c r="AJ500" i="4"/>
  <c r="AJ504" i="4" s="1"/>
  <c r="AJ511" i="4" s="1"/>
  <c r="AJ512" i="4" s="1"/>
  <c r="AJ513" i="4" s="1"/>
  <c r="AJ1354" i="2"/>
  <c r="AW488" i="4"/>
  <c r="AW461" i="4"/>
  <c r="AW434" i="4"/>
  <c r="AH334" i="4"/>
  <c r="AH327" i="4"/>
  <c r="AH328" i="4" s="1"/>
  <c r="AI328" i="4" s="1"/>
  <c r="AV1340" i="2"/>
  <c r="AV1341" i="2" s="1"/>
  <c r="AV501" i="4"/>
  <c r="AV499" i="4"/>
  <c r="AL1344" i="2"/>
  <c r="AH1263" i="2"/>
  <c r="AH1183" i="2"/>
  <c r="AH155" i="4"/>
  <c r="AV578" i="2"/>
  <c r="AV187" i="4" s="1"/>
  <c r="AK120" i="4"/>
  <c r="AK246" i="4"/>
  <c r="AX580" i="2"/>
  <c r="AV167" i="4"/>
  <c r="AW1311" i="2"/>
  <c r="AG354" i="4"/>
  <c r="AF355" i="4"/>
  <c r="AH216" i="4"/>
  <c r="AH214" i="4"/>
  <c r="AH1262" i="2" s="1"/>
  <c r="AX1295" i="2"/>
  <c r="AU438" i="4"/>
  <c r="AU465" i="4"/>
  <c r="AU498" i="4"/>
  <c r="AZ56" i="2"/>
  <c r="BA54" i="2"/>
  <c r="AZ65" i="2"/>
  <c r="AJ242" i="4"/>
  <c r="AJ243" i="4" s="1"/>
  <c r="AJ117" i="4"/>
  <c r="AF350" i="4"/>
  <c r="AG336" i="4"/>
  <c r="AE287" i="4"/>
  <c r="AD301" i="4"/>
  <c r="AW1351" i="2"/>
  <c r="AW1342" i="2"/>
  <c r="AW1339" i="2" s="1"/>
  <c r="AW1347" i="2"/>
  <c r="AS141" i="1"/>
  <c r="AM1349" i="2"/>
  <c r="AN1348" i="2" s="1"/>
  <c r="AX126" i="4"/>
  <c r="AX136" i="2"/>
  <c r="BA32" i="2"/>
  <c r="AZ34" i="2"/>
  <c r="AZ43" i="2"/>
  <c r="AI335" i="4"/>
  <c r="AI359" i="4"/>
  <c r="AI360" i="4" s="1"/>
  <c r="AI361" i="4"/>
  <c r="AI362" i="4" s="1"/>
  <c r="AI343" i="4"/>
  <c r="AI286" i="4"/>
  <c r="AI294" i="4"/>
  <c r="AI310" i="4"/>
  <c r="AI311" i="4" s="1"/>
  <c r="AI312" i="4"/>
  <c r="AI313" i="4" s="1"/>
  <c r="BA15" i="2"/>
  <c r="BB13" i="2"/>
  <c r="BA23" i="2"/>
  <c r="AH274" i="4"/>
  <c r="AI198" i="4"/>
  <c r="AH200" i="4"/>
  <c r="AW578" i="2"/>
  <c r="AW187" i="4" s="1"/>
  <c r="AF181" i="4"/>
  <c r="AF255" i="4" s="1"/>
  <c r="AF258" i="4"/>
  <c r="AE306" i="4"/>
  <c r="AF305" i="4"/>
  <c r="AH401" i="4"/>
  <c r="AH402" i="4" s="1"/>
  <c r="AH385" i="4"/>
  <c r="AH377" i="4"/>
  <c r="AH378" i="4" s="1"/>
  <c r="AH403" i="4"/>
  <c r="AH404" i="4" s="1"/>
  <c r="AG397" i="4"/>
  <c r="AH396" i="4"/>
  <c r="AG253" i="4"/>
  <c r="AG225" i="4"/>
  <c r="AG202" i="4"/>
  <c r="AG254" i="4"/>
  <c r="AJ1355" i="2"/>
  <c r="AJ622" i="2" s="1"/>
  <c r="AJ621" i="2" s="1"/>
  <c r="AK1346" i="2"/>
  <c r="AE255" i="4"/>
  <c r="AE203" i="4"/>
  <c r="AZ116" i="2"/>
  <c r="AZ125" i="2"/>
  <c r="BA114" i="2"/>
  <c r="BA96" i="2"/>
  <c r="BA105" i="2"/>
  <c r="BB94" i="2"/>
  <c r="AG392" i="4"/>
  <c r="AE265" i="4"/>
  <c r="BA74" i="2"/>
  <c r="AZ76" i="2"/>
  <c r="AZ85" i="2"/>
  <c r="E221" i="7" l="1"/>
  <c r="AG313" i="4"/>
  <c r="AG311" i="4"/>
  <c r="BA134" i="2"/>
  <c r="AG181" i="4"/>
  <c r="AG255" i="4" s="1"/>
  <c r="AZ135" i="2"/>
  <c r="AZ1298" i="2" s="1"/>
  <c r="AZ1309" i="2" s="1"/>
  <c r="AZ1295" i="2" s="1"/>
  <c r="AZ132" i="2"/>
  <c r="AH254" i="4"/>
  <c r="AY580" i="2"/>
  <c r="AY581" i="2" s="1"/>
  <c r="AY578" i="2" s="1"/>
  <c r="AY187" i="4" s="1"/>
  <c r="AF265" i="4"/>
  <c r="AV465" i="4"/>
  <c r="AV498" i="4"/>
  <c r="AV438" i="4"/>
  <c r="AN1349" i="2"/>
  <c r="AN1350" i="2" s="1"/>
  <c r="AN1344" i="2" s="1"/>
  <c r="AK500" i="4"/>
  <c r="AK504" i="4" s="1"/>
  <c r="AK511" i="4" s="1"/>
  <c r="AK512" i="4" s="1"/>
  <c r="AK513" i="4" s="1"/>
  <c r="AK466" i="4"/>
  <c r="AK468" i="4" s="1"/>
  <c r="AK475" i="4" s="1"/>
  <c r="AK476" i="4" s="1"/>
  <c r="AK477" i="4" s="1"/>
  <c r="AK439" i="4"/>
  <c r="AK441" i="4" s="1"/>
  <c r="AK448" i="4" s="1"/>
  <c r="AK449" i="4" s="1"/>
  <c r="AK450" i="4" s="1"/>
  <c r="AK1354" i="2"/>
  <c r="AK129" i="4" s="1"/>
  <c r="AK135" i="4" s="1"/>
  <c r="AH253" i="4"/>
  <c r="AH202" i="4"/>
  <c r="AH225" i="4"/>
  <c r="AX1351" i="2"/>
  <c r="AX1347" i="2"/>
  <c r="AX1342" i="2"/>
  <c r="AX1339" i="2" s="1"/>
  <c r="AY126" i="4"/>
  <c r="AR141" i="1"/>
  <c r="BA116" i="2"/>
  <c r="BB114" i="2"/>
  <c r="BA125" i="2"/>
  <c r="AJ185" i="4"/>
  <c r="AJ190" i="4" s="1"/>
  <c r="AJ632" i="2"/>
  <c r="AJ633" i="2" s="1"/>
  <c r="AI200" i="4"/>
  <c r="AI254" i="4" s="1"/>
  <c r="AF287" i="4"/>
  <c r="AE301" i="4"/>
  <c r="AH392" i="4"/>
  <c r="AI378" i="4"/>
  <c r="AM1350" i="2"/>
  <c r="AX489" i="4"/>
  <c r="AX1296" i="2"/>
  <c r="AX1297" i="2" s="1"/>
  <c r="AH1261" i="2"/>
  <c r="AH1182" i="2"/>
  <c r="AI154" i="4"/>
  <c r="AH1138" i="2"/>
  <c r="AH161" i="4"/>
  <c r="AH170" i="4" s="1"/>
  <c r="AI155" i="4"/>
  <c r="AJ129" i="4"/>
  <c r="AJ135" i="4" s="1"/>
  <c r="AH285" i="4"/>
  <c r="AH278" i="4"/>
  <c r="BA65" i="2"/>
  <c r="BA56" i="2"/>
  <c r="BB54" i="2"/>
  <c r="AY1296" i="2"/>
  <c r="AY489" i="4"/>
  <c r="BA76" i="2"/>
  <c r="BA85" i="2"/>
  <c r="BB74" i="2"/>
  <c r="BA34" i="2"/>
  <c r="BB32" i="2"/>
  <c r="BA43" i="2"/>
  <c r="AG350" i="4"/>
  <c r="AL116" i="4"/>
  <c r="AL1345" i="2"/>
  <c r="AL1355" i="2" s="1"/>
  <c r="AL622" i="2" s="1"/>
  <c r="AL621" i="2" s="1"/>
  <c r="AL1353" i="2"/>
  <c r="BB15" i="2"/>
  <c r="BB23" i="2"/>
  <c r="AW167" i="4"/>
  <c r="AX1311" i="2"/>
  <c r="BB96" i="2"/>
  <c r="BB105" i="2"/>
  <c r="AF203" i="4"/>
  <c r="AW501" i="4"/>
  <c r="AW1340" i="2"/>
  <c r="AW1341" i="2" s="1"/>
  <c r="AW499" i="4"/>
  <c r="AX581" i="2"/>
  <c r="AX582" i="2" s="1"/>
  <c r="AH361" i="4"/>
  <c r="AH362" i="4" s="1"/>
  <c r="AH359" i="4"/>
  <c r="AH360" i="4" s="1"/>
  <c r="AH335" i="4"/>
  <c r="AH336" i="4" s="1"/>
  <c r="AH343" i="4"/>
  <c r="AH397" i="4"/>
  <c r="AI396" i="4"/>
  <c r="AG305" i="4"/>
  <c r="AF306" i="4"/>
  <c r="AJ246" i="4"/>
  <c r="AJ120" i="4"/>
  <c r="AH354" i="4"/>
  <c r="AG355" i="4"/>
  <c r="AY136" i="2"/>
  <c r="AG203" i="4" l="1"/>
  <c r="AG265" i="4"/>
  <c r="BA132" i="2"/>
  <c r="BA136" i="2" s="1"/>
  <c r="BB134" i="2"/>
  <c r="BA135" i="2"/>
  <c r="BA1298" i="2" s="1"/>
  <c r="BA1309" i="2" s="1"/>
  <c r="BA1295" i="2" s="1"/>
  <c r="AI253" i="4"/>
  <c r="AX461" i="4"/>
  <c r="AX434" i="4"/>
  <c r="AX488" i="4"/>
  <c r="AZ489" i="4"/>
  <c r="AZ1296" i="2"/>
  <c r="AZ1297" i="2" s="1"/>
  <c r="AZ580" i="2"/>
  <c r="AK1265" i="2"/>
  <c r="AK323" i="4"/>
  <c r="AK322" i="4" s="1"/>
  <c r="AK153" i="4"/>
  <c r="AK1185" i="2"/>
  <c r="AK372" i="4"/>
  <c r="AK371" i="4" s="1"/>
  <c r="AK211" i="4"/>
  <c r="AK275" i="4"/>
  <c r="AK274" i="4" s="1"/>
  <c r="AL1346" i="2"/>
  <c r="AY582" i="2"/>
  <c r="AH279" i="4"/>
  <c r="AI279" i="4" s="1"/>
  <c r="BB125" i="2"/>
  <c r="BB116" i="2"/>
  <c r="AX1340" i="2"/>
  <c r="AX1341" i="2" s="1"/>
  <c r="AX501" i="4"/>
  <c r="AX499" i="4"/>
  <c r="AQ141" i="1"/>
  <c r="AX578" i="2"/>
  <c r="AX187" i="4" s="1"/>
  <c r="AL632" i="2"/>
  <c r="AL633" i="2" s="1"/>
  <c r="AL634" i="2" s="1"/>
  <c r="AL185" i="4"/>
  <c r="AL190" i="4" s="1"/>
  <c r="BB85" i="2"/>
  <c r="BB76" i="2"/>
  <c r="AH294" i="4"/>
  <c r="AH312" i="4"/>
  <c r="AH310" i="4"/>
  <c r="AH286" i="4"/>
  <c r="AM1344" i="2"/>
  <c r="AG287" i="4"/>
  <c r="AF301" i="4"/>
  <c r="AG306" i="4"/>
  <c r="AH305" i="4"/>
  <c r="AL117" i="4"/>
  <c r="AL242" i="4"/>
  <c r="AL243" i="4" s="1"/>
  <c r="AZ126" i="4"/>
  <c r="AZ136" i="2"/>
  <c r="AY1347" i="2"/>
  <c r="AY1351" i="2"/>
  <c r="AY1342" i="2"/>
  <c r="AY1339" i="2" s="1"/>
  <c r="AO1348" i="2"/>
  <c r="AI397" i="4"/>
  <c r="AY1311" i="2"/>
  <c r="AX167" i="4"/>
  <c r="AH350" i="4"/>
  <c r="AI336" i="4"/>
  <c r="BB56" i="2"/>
  <c r="BB65" i="2"/>
  <c r="AJ153" i="4"/>
  <c r="AJ323" i="4"/>
  <c r="AJ322" i="4" s="1"/>
  <c r="AJ372" i="4"/>
  <c r="AJ371" i="4" s="1"/>
  <c r="AJ211" i="4"/>
  <c r="AJ1185" i="2"/>
  <c r="AJ1265" i="2"/>
  <c r="AJ275" i="4"/>
  <c r="AJ198" i="4"/>
  <c r="AN1345" i="2"/>
  <c r="AN1355" i="2" s="1"/>
  <c r="AN622" i="2" s="1"/>
  <c r="AN621" i="2" s="1"/>
  <c r="AN1353" i="2"/>
  <c r="AN116" i="4"/>
  <c r="AH355" i="4"/>
  <c r="AI354" i="4"/>
  <c r="AI161" i="4"/>
  <c r="AI170" i="4" s="1"/>
  <c r="AJ154" i="4"/>
  <c r="AI1182" i="2"/>
  <c r="AI1261" i="2"/>
  <c r="AI1138" i="2"/>
  <c r="AI392" i="4"/>
  <c r="AI202" i="4"/>
  <c r="AI225" i="4"/>
  <c r="AP141" i="1"/>
  <c r="AH181" i="4"/>
  <c r="AH258" i="4"/>
  <c r="AY1297" i="2"/>
  <c r="AJ634" i="2"/>
  <c r="AK634" i="2"/>
  <c r="AW438" i="4"/>
  <c r="AW498" i="4"/>
  <c r="AW465" i="4"/>
  <c r="BB34" i="2"/>
  <c r="BB43" i="2"/>
  <c r="BB135" i="2" l="1"/>
  <c r="BB580" i="2" s="1"/>
  <c r="BB132" i="2"/>
  <c r="AH313" i="4"/>
  <c r="AX465" i="4"/>
  <c r="AX438" i="4"/>
  <c r="AX498" i="4"/>
  <c r="AZ461" i="4"/>
  <c r="AZ488" i="4"/>
  <c r="AZ434" i="4"/>
  <c r="BA126" i="4"/>
  <c r="AN242" i="4"/>
  <c r="AN243" i="4" s="1"/>
  <c r="AN117" i="4"/>
  <c r="AJ274" i="4"/>
  <c r="AI305" i="4"/>
  <c r="AH306" i="4"/>
  <c r="AK334" i="4"/>
  <c r="AK327" i="4"/>
  <c r="AH311" i="4"/>
  <c r="AZ1351" i="2"/>
  <c r="AZ1342" i="2"/>
  <c r="AZ1339" i="2" s="1"/>
  <c r="AZ1347" i="2"/>
  <c r="AH287" i="4"/>
  <c r="AG301" i="4"/>
  <c r="AO141" i="1"/>
  <c r="AN185" i="4"/>
  <c r="AN190" i="4" s="1"/>
  <c r="AN632" i="2"/>
  <c r="AN633" i="2" s="1"/>
  <c r="AJ216" i="4"/>
  <c r="AJ214" i="4"/>
  <c r="AJ1262" i="2" s="1"/>
  <c r="AI350" i="4"/>
  <c r="AL466" i="4"/>
  <c r="AL468" i="4" s="1"/>
  <c r="AL475" i="4" s="1"/>
  <c r="AL476" i="4" s="1"/>
  <c r="AL477" i="4" s="1"/>
  <c r="AL439" i="4"/>
  <c r="AL441" i="4" s="1"/>
  <c r="AL448" i="4" s="1"/>
  <c r="AL449" i="4" s="1"/>
  <c r="AL450" i="4" s="1"/>
  <c r="AL500" i="4"/>
  <c r="AL504" i="4" s="1"/>
  <c r="AL511" i="4" s="1"/>
  <c r="AL512" i="4" s="1"/>
  <c r="AL513" i="4" s="1"/>
  <c r="AL1354" i="2"/>
  <c r="AK285" i="4"/>
  <c r="AK278" i="4"/>
  <c r="AY461" i="4"/>
  <c r="AY434" i="4"/>
  <c r="AY488" i="4"/>
  <c r="AI355" i="4"/>
  <c r="AJ385" i="4"/>
  <c r="AJ377" i="4"/>
  <c r="AJ378" i="4" s="1"/>
  <c r="AJ403" i="4"/>
  <c r="AJ404" i="4" s="1"/>
  <c r="AJ401" i="4"/>
  <c r="AJ402" i="4" s="1"/>
  <c r="AJ396" i="4"/>
  <c r="AO1349" i="2"/>
  <c r="AO1350" i="2" s="1"/>
  <c r="AO1344" i="2" s="1"/>
  <c r="AK214" i="4"/>
  <c r="AK1262" i="2" s="1"/>
  <c r="AK216" i="4"/>
  <c r="BA580" i="2"/>
  <c r="BA581" i="2" s="1"/>
  <c r="AJ327" i="4"/>
  <c r="AJ328" i="4" s="1"/>
  <c r="AJ334" i="4"/>
  <c r="AJ354" i="4" s="1"/>
  <c r="AL120" i="4"/>
  <c r="AL246" i="4"/>
  <c r="AM1345" i="2"/>
  <c r="AM1355" i="2" s="1"/>
  <c r="AM622" i="2" s="1"/>
  <c r="AM621" i="2" s="1"/>
  <c r="AM116" i="4"/>
  <c r="AM1353" i="2"/>
  <c r="AK377" i="4"/>
  <c r="AK385" i="4"/>
  <c r="AK403" i="4"/>
  <c r="AK404" i="4" s="1"/>
  <c r="AK401" i="4"/>
  <c r="AK402" i="4" s="1"/>
  <c r="AZ581" i="2"/>
  <c r="AZ582" i="2" s="1"/>
  <c r="AH265" i="4"/>
  <c r="AH203" i="4"/>
  <c r="AH255" i="4"/>
  <c r="AJ1183" i="2"/>
  <c r="AJ1263" i="2"/>
  <c r="AJ155" i="4"/>
  <c r="AZ1311" i="2"/>
  <c r="AY167" i="4"/>
  <c r="AY499" i="4"/>
  <c r="AY501" i="4"/>
  <c r="AY1340" i="2"/>
  <c r="AY1341" i="2" s="1"/>
  <c r="BA489" i="4"/>
  <c r="BA1296" i="2"/>
  <c r="BA1297" i="2" s="1"/>
  <c r="AI181" i="4"/>
  <c r="AI265" i="4" s="1"/>
  <c r="AI258" i="4"/>
  <c r="AJ200" i="4"/>
  <c r="AK198" i="4"/>
  <c r="AK1183" i="2"/>
  <c r="AK1263" i="2"/>
  <c r="BB1298" i="2" l="1"/>
  <c r="BB1309" i="2" s="1"/>
  <c r="BB1295" i="2" s="1"/>
  <c r="AZ578" i="2"/>
  <c r="AZ187" i="4" s="1"/>
  <c r="BA582" i="2"/>
  <c r="AN1346" i="2"/>
  <c r="AN466" i="4" s="1"/>
  <c r="AN468" i="4" s="1"/>
  <c r="AN475" i="4" s="1"/>
  <c r="AN476" i="4" s="1"/>
  <c r="BA461" i="4"/>
  <c r="BA434" i="4"/>
  <c r="BA488" i="4"/>
  <c r="AK155" i="4"/>
  <c r="AJ161" i="4"/>
  <c r="AJ170" i="4" s="1"/>
  <c r="AJ1138" i="2"/>
  <c r="AK154" i="4"/>
  <c r="AJ1182" i="2"/>
  <c r="AJ1261" i="2"/>
  <c r="AJ397" i="4"/>
  <c r="AK396" i="4"/>
  <c r="AK286" i="4"/>
  <c r="AK310" i="4"/>
  <c r="AK311" i="4" s="1"/>
  <c r="AK312" i="4"/>
  <c r="AK313" i="4" s="1"/>
  <c r="AK294" i="4"/>
  <c r="AL129" i="4"/>
  <c r="AL135" i="4" s="1"/>
  <c r="AI203" i="4"/>
  <c r="BA1342" i="2"/>
  <c r="BA1339" i="2" s="1"/>
  <c r="BA1347" i="2"/>
  <c r="BA1351" i="2"/>
  <c r="AY465" i="4"/>
  <c r="AY438" i="4"/>
  <c r="AY498" i="4"/>
  <c r="AJ355" i="4"/>
  <c r="AK354" i="4"/>
  <c r="AI287" i="4"/>
  <c r="AH301" i="4"/>
  <c r="AI306" i="4"/>
  <c r="BA578" i="2"/>
  <c r="BA187" i="4" s="1"/>
  <c r="AN246" i="4"/>
  <c r="AN120" i="4"/>
  <c r="AJ392" i="4"/>
  <c r="AK378" i="4"/>
  <c r="AZ1340" i="2"/>
  <c r="AZ1341" i="2" s="1"/>
  <c r="AZ499" i="4"/>
  <c r="AZ501" i="4"/>
  <c r="AL198" i="4"/>
  <c r="AK200" i="4"/>
  <c r="AI255" i="4"/>
  <c r="AM117" i="4"/>
  <c r="AM242" i="4"/>
  <c r="AM243" i="4" s="1"/>
  <c r="AJ359" i="4"/>
  <c r="AJ360" i="4" s="1"/>
  <c r="AJ361" i="4"/>
  <c r="AJ362" i="4" s="1"/>
  <c r="AJ335" i="4"/>
  <c r="AJ336" i="4" s="1"/>
  <c r="AJ343" i="4"/>
  <c r="AP1348" i="2"/>
  <c r="AK328" i="4"/>
  <c r="AJ253" i="4"/>
  <c r="AJ202" i="4"/>
  <c r="AJ225" i="4"/>
  <c r="AJ254" i="4"/>
  <c r="AN141" i="1"/>
  <c r="BB581" i="2"/>
  <c r="BB582" i="2" s="1"/>
  <c r="AM1346" i="2"/>
  <c r="AO1345" i="2"/>
  <c r="AO1355" i="2" s="1"/>
  <c r="AO622" i="2" s="1"/>
  <c r="AO621" i="2" s="1"/>
  <c r="AO116" i="4"/>
  <c r="AO1353" i="2"/>
  <c r="AK335" i="4"/>
  <c r="AK361" i="4"/>
  <c r="AK362" i="4" s="1"/>
  <c r="AK359" i="4"/>
  <c r="AK360" i="4" s="1"/>
  <c r="AK343" i="4"/>
  <c r="AZ167" i="4"/>
  <c r="BA1311" i="2"/>
  <c r="AM185" i="4"/>
  <c r="AM190" i="4" s="1"/>
  <c r="AM632" i="2"/>
  <c r="AM633" i="2" s="1"/>
  <c r="AM634" i="2" s="1"/>
  <c r="BB126" i="4"/>
  <c r="BB136" i="2"/>
  <c r="AJ285" i="4"/>
  <c r="AJ305" i="4" s="1"/>
  <c r="AJ278" i="4"/>
  <c r="BB489" i="4" l="1"/>
  <c r="BB1296" i="2"/>
  <c r="BB1297" i="2" s="1"/>
  <c r="BB461" i="4" s="1"/>
  <c r="AN439" i="4"/>
  <c r="AN441" i="4" s="1"/>
  <c r="AN448" i="4" s="1"/>
  <c r="AN449" i="4" s="1"/>
  <c r="AN500" i="4"/>
  <c r="AN504" i="4" s="1"/>
  <c r="AN511" i="4" s="1"/>
  <c r="AN512" i="4" s="1"/>
  <c r="AN1354" i="2"/>
  <c r="AN129" i="4" s="1"/>
  <c r="AN135" i="4" s="1"/>
  <c r="AN153" i="4" s="1"/>
  <c r="AK305" i="4"/>
  <c r="AJ306" i="4"/>
  <c r="BB1342" i="2"/>
  <c r="BB1339" i="2" s="1"/>
  <c r="BB1351" i="2"/>
  <c r="BB1347" i="2"/>
  <c r="BA167" i="4"/>
  <c r="BB1311" i="2"/>
  <c r="AZ438" i="4"/>
  <c r="AZ465" i="4"/>
  <c r="AZ498" i="4"/>
  <c r="AM120" i="4"/>
  <c r="AM198" i="4" s="1"/>
  <c r="AM246" i="4"/>
  <c r="AI301" i="4"/>
  <c r="AJ258" i="4"/>
  <c r="AJ181" i="4"/>
  <c r="BB578" i="2"/>
  <c r="BB187" i="4" s="1"/>
  <c r="AK392" i="4"/>
  <c r="AK1182" i="2"/>
  <c r="AK1138" i="2"/>
  <c r="AL154" i="4"/>
  <c r="AK1261" i="2"/>
  <c r="AK161" i="4"/>
  <c r="AK170" i="4" s="1"/>
  <c r="AJ350" i="4"/>
  <c r="AK336" i="4"/>
  <c r="BA499" i="4"/>
  <c r="BA1340" i="2"/>
  <c r="BA1341" i="2" s="1"/>
  <c r="BA501" i="4"/>
  <c r="AJ279" i="4"/>
  <c r="AK279" i="4" s="1"/>
  <c r="AN634" i="2"/>
  <c r="AM141" i="1"/>
  <c r="AJ294" i="4"/>
  <c r="AJ286" i="4"/>
  <c r="AJ310" i="4"/>
  <c r="AJ312" i="4"/>
  <c r="AO242" i="4"/>
  <c r="AO243" i="4" s="1"/>
  <c r="AO117" i="4"/>
  <c r="AK253" i="4"/>
  <c r="AK225" i="4"/>
  <c r="AK202" i="4"/>
  <c r="AK397" i="4"/>
  <c r="AO1346" i="2"/>
  <c r="AM466" i="4"/>
  <c r="AM468" i="4" s="1"/>
  <c r="AM475" i="4" s="1"/>
  <c r="AM476" i="4" s="1"/>
  <c r="AM477" i="4" s="1"/>
  <c r="AN477" i="4" s="1"/>
  <c r="AM439" i="4"/>
  <c r="AM441" i="4" s="1"/>
  <c r="AM448" i="4" s="1"/>
  <c r="AM449" i="4" s="1"/>
  <c r="AM450" i="4" s="1"/>
  <c r="AM500" i="4"/>
  <c r="AM504" i="4" s="1"/>
  <c r="AM511" i="4" s="1"/>
  <c r="AM512" i="4" s="1"/>
  <c r="AM513" i="4" s="1"/>
  <c r="AM1354" i="2"/>
  <c r="AK254" i="4"/>
  <c r="AP1349" i="2"/>
  <c r="AQ1348" i="2" s="1"/>
  <c r="AL200" i="4"/>
  <c r="AK355" i="4"/>
  <c r="AL372" i="4"/>
  <c r="AL371" i="4" s="1"/>
  <c r="AL211" i="4"/>
  <c r="AL153" i="4"/>
  <c r="AL323" i="4"/>
  <c r="AL322" i="4" s="1"/>
  <c r="AL1265" i="2"/>
  <c r="AL1185" i="2"/>
  <c r="AL275" i="4"/>
  <c r="AO185" i="4"/>
  <c r="AO190" i="4" s="1"/>
  <c r="AO632" i="2"/>
  <c r="AO633" i="2" s="1"/>
  <c r="AO634" i="2" s="1"/>
  <c r="AJ313" i="4" l="1"/>
  <c r="AN450" i="4"/>
  <c r="AN275" i="4"/>
  <c r="AN274" i="4" s="1"/>
  <c r="AN285" i="4" s="1"/>
  <c r="AN1265" i="2"/>
  <c r="AN1185" i="2"/>
  <c r="BB434" i="4"/>
  <c r="BB488" i="4"/>
  <c r="AN323" i="4"/>
  <c r="AN322" i="4" s="1"/>
  <c r="AN334" i="4" s="1"/>
  <c r="AN513" i="4"/>
  <c r="AN372" i="4"/>
  <c r="AN371" i="4" s="1"/>
  <c r="AN385" i="4" s="1"/>
  <c r="AN211" i="4"/>
  <c r="AN214" i="4" s="1"/>
  <c r="AN1262" i="2" s="1"/>
  <c r="AL141" i="1"/>
  <c r="AL388" i="4" s="1"/>
  <c r="AM129" i="4"/>
  <c r="AM135" i="4" s="1"/>
  <c r="AK141" i="1"/>
  <c r="AL327" i="4"/>
  <c r="AL328" i="4" s="1"/>
  <c r="AL334" i="4"/>
  <c r="AO500" i="4"/>
  <c r="AO504" i="4" s="1"/>
  <c r="AO511" i="4" s="1"/>
  <c r="AO512" i="4" s="1"/>
  <c r="AO439" i="4"/>
  <c r="AO441" i="4" s="1"/>
  <c r="AO448" i="4" s="1"/>
  <c r="AO449" i="4" s="1"/>
  <c r="AO466" i="4"/>
  <c r="AO468" i="4" s="1"/>
  <c r="AO475" i="4" s="1"/>
  <c r="AO476" i="4" s="1"/>
  <c r="AO477" i="4" s="1"/>
  <c r="AO1354" i="2"/>
  <c r="AO129" i="4" s="1"/>
  <c r="AO135" i="4" s="1"/>
  <c r="AL253" i="4"/>
  <c r="AO246" i="4"/>
  <c r="AO120" i="4"/>
  <c r="AJ311" i="4"/>
  <c r="AN1263" i="2"/>
  <c r="AN1183" i="2"/>
  <c r="AL1183" i="2"/>
  <c r="AL1263" i="2"/>
  <c r="AL155" i="4"/>
  <c r="AL202" i="4"/>
  <c r="AL225" i="4"/>
  <c r="AL254" i="4"/>
  <c r="AK181" i="4"/>
  <c r="AK255" i="4" s="1"/>
  <c r="AK258" i="4"/>
  <c r="AJ287" i="4"/>
  <c r="BB167" i="4"/>
  <c r="AL216" i="4"/>
  <c r="AL214" i="4"/>
  <c r="AL1262" i="2" s="1"/>
  <c r="AM200" i="4"/>
  <c r="AN198" i="4"/>
  <c r="AP1350" i="2"/>
  <c r="BA465" i="4"/>
  <c r="BA438" i="4"/>
  <c r="BA498" i="4"/>
  <c r="AK306" i="4"/>
  <c r="AL385" i="4"/>
  <c r="AL403" i="4"/>
  <c r="AL404" i="4" s="1"/>
  <c r="AL377" i="4"/>
  <c r="AL378" i="4" s="1"/>
  <c r="AL401" i="4"/>
  <c r="AL402" i="4" s="1"/>
  <c r="AL274" i="4"/>
  <c r="AK350" i="4"/>
  <c r="AJ255" i="4"/>
  <c r="AJ203" i="4"/>
  <c r="AJ265" i="4"/>
  <c r="BB501" i="4"/>
  <c r="BB499" i="4"/>
  <c r="BB1340" i="2"/>
  <c r="BB1341" i="2" s="1"/>
  <c r="AQ1349" i="2"/>
  <c r="AQ1350" i="2" s="1"/>
  <c r="AQ1344" i="2" s="1"/>
  <c r="AL396" i="4"/>
  <c r="AO450" i="4" l="1"/>
  <c r="AM254" i="4"/>
  <c r="AM253" i="4"/>
  <c r="AN278" i="4"/>
  <c r="AN403" i="4"/>
  <c r="AN404" i="4" s="1"/>
  <c r="AN377" i="4"/>
  <c r="AN388" i="4"/>
  <c r="AN327" i="4"/>
  <c r="AN216" i="4"/>
  <c r="AN401" i="4"/>
  <c r="AN402" i="4" s="1"/>
  <c r="AO513" i="4"/>
  <c r="AK265" i="4"/>
  <c r="AR1348" i="2"/>
  <c r="AR1349" i="2" s="1"/>
  <c r="AR1350" i="2" s="1"/>
  <c r="AR1344" i="2" s="1"/>
  <c r="AJ141" i="1"/>
  <c r="AL285" i="4"/>
  <c r="AL278" i="4"/>
  <c r="AL361" i="4"/>
  <c r="AL362" i="4" s="1"/>
  <c r="AL335" i="4"/>
  <c r="AL336" i="4" s="1"/>
  <c r="AL346" i="4"/>
  <c r="AL359" i="4"/>
  <c r="AL360" i="4" s="1"/>
  <c r="AL343" i="4"/>
  <c r="AL354" i="4"/>
  <c r="AL392" i="4"/>
  <c r="AN286" i="4"/>
  <c r="AN312" i="4"/>
  <c r="AN313" i="4" s="1"/>
  <c r="AN310" i="4"/>
  <c r="AN311" i="4" s="1"/>
  <c r="AN294" i="4"/>
  <c r="AN297" i="4"/>
  <c r="AP1344" i="2"/>
  <c r="AL397" i="4"/>
  <c r="AQ1345" i="2"/>
  <c r="AQ1355" i="2" s="1"/>
  <c r="AQ622" i="2" s="1"/>
  <c r="AQ621" i="2" s="1"/>
  <c r="AQ116" i="4"/>
  <c r="AQ1353" i="2"/>
  <c r="AN200" i="4"/>
  <c r="AO198" i="4"/>
  <c r="AJ301" i="4"/>
  <c r="AK287" i="4"/>
  <c r="AM202" i="4"/>
  <c r="AM225" i="4"/>
  <c r="AK203" i="4"/>
  <c r="AN361" i="4"/>
  <c r="AN362" i="4" s="1"/>
  <c r="AN343" i="4"/>
  <c r="AN335" i="4"/>
  <c r="AN359" i="4"/>
  <c r="AN360" i="4" s="1"/>
  <c r="AN346" i="4"/>
  <c r="AK388" i="4"/>
  <c r="AK297" i="4"/>
  <c r="AK346" i="4"/>
  <c r="AM372" i="4"/>
  <c r="AM371" i="4" s="1"/>
  <c r="AM153" i="4"/>
  <c r="AM275" i="4"/>
  <c r="AM211" i="4"/>
  <c r="AM323" i="4"/>
  <c r="AM322" i="4" s="1"/>
  <c r="AM1265" i="2"/>
  <c r="AM1185" i="2"/>
  <c r="BB465" i="4"/>
  <c r="BB498" i="4"/>
  <c r="BB438" i="4"/>
  <c r="AL1182" i="2"/>
  <c r="AM154" i="4"/>
  <c r="AL1261" i="2"/>
  <c r="AL1138" i="2"/>
  <c r="AL161" i="4"/>
  <c r="AL170" i="4" s="1"/>
  <c r="AO1265" i="2"/>
  <c r="AO372" i="4"/>
  <c r="AO371" i="4" s="1"/>
  <c r="AO1185" i="2"/>
  <c r="AO275" i="4"/>
  <c r="AO274" i="4" s="1"/>
  <c r="AO211" i="4"/>
  <c r="AO153" i="4"/>
  <c r="AO323" i="4"/>
  <c r="AO322" i="4" s="1"/>
  <c r="AN254" i="4" l="1"/>
  <c r="AN253" i="4"/>
  <c r="AM403" i="4"/>
  <c r="AM404" i="4" s="1"/>
  <c r="AM388" i="4"/>
  <c r="AM377" i="4"/>
  <c r="AM378" i="4" s="1"/>
  <c r="AM385" i="4"/>
  <c r="AM401" i="4"/>
  <c r="AM402" i="4" s="1"/>
  <c r="AO278" i="4"/>
  <c r="AO285" i="4"/>
  <c r="AI141" i="1"/>
  <c r="AO327" i="4"/>
  <c r="AO334" i="4"/>
  <c r="AJ388" i="4"/>
  <c r="AJ346" i="4"/>
  <c r="AJ297" i="4"/>
  <c r="AM274" i="4"/>
  <c r="AO1183" i="2"/>
  <c r="AO1263" i="2"/>
  <c r="AM1183" i="2"/>
  <c r="AM1263" i="2"/>
  <c r="AM155" i="4"/>
  <c r="AQ632" i="2"/>
  <c r="AQ633" i="2" s="1"/>
  <c r="AQ185" i="4"/>
  <c r="AQ190" i="4" s="1"/>
  <c r="AL350" i="4"/>
  <c r="AO200" i="4"/>
  <c r="AO254" i="4" s="1"/>
  <c r="AM396" i="4"/>
  <c r="AN225" i="4"/>
  <c r="AN202" i="4"/>
  <c r="AO214" i="4"/>
  <c r="AO1262" i="2" s="1"/>
  <c r="AO216" i="4"/>
  <c r="AK301" i="4"/>
  <c r="AP1345" i="2"/>
  <c r="AP1346" i="2" s="1"/>
  <c r="AP1353" i="2"/>
  <c r="AP116" i="4"/>
  <c r="AL355" i="4"/>
  <c r="AO403" i="4"/>
  <c r="AO404" i="4" s="1"/>
  <c r="AO388" i="4"/>
  <c r="AO385" i="4"/>
  <c r="AO401" i="4"/>
  <c r="AO402" i="4" s="1"/>
  <c r="AO377" i="4"/>
  <c r="AL181" i="4"/>
  <c r="AL258" i="4"/>
  <c r="AM327" i="4"/>
  <c r="AM328" i="4" s="1"/>
  <c r="AN328" i="4" s="1"/>
  <c r="AM334" i="4"/>
  <c r="AS1348" i="2"/>
  <c r="AL279" i="4"/>
  <c r="AM216" i="4"/>
  <c r="AM214" i="4"/>
  <c r="AM1262" i="2" s="1"/>
  <c r="AQ117" i="4"/>
  <c r="AQ242" i="4"/>
  <c r="AQ243" i="4" s="1"/>
  <c r="AR1353" i="2"/>
  <c r="AR1345" i="2"/>
  <c r="AR1355" i="2" s="1"/>
  <c r="AR622" i="2" s="1"/>
  <c r="AR621" i="2" s="1"/>
  <c r="AR116" i="4"/>
  <c r="AL294" i="4"/>
  <c r="AL286" i="4"/>
  <c r="AL287" i="4" s="1"/>
  <c r="AL312" i="4"/>
  <c r="AL310" i="4"/>
  <c r="AL297" i="4"/>
  <c r="AL305" i="4"/>
  <c r="F181" i="7" l="1"/>
  <c r="AO253" i="4"/>
  <c r="AL313" i="4"/>
  <c r="AP500" i="4"/>
  <c r="AP504" i="4" s="1"/>
  <c r="AP511" i="4" s="1"/>
  <c r="AP512" i="4" s="1"/>
  <c r="AP513" i="4" s="1"/>
  <c r="AP439" i="4"/>
  <c r="AP441" i="4" s="1"/>
  <c r="AP448" i="4" s="1"/>
  <c r="AP449" i="4" s="1"/>
  <c r="AP450" i="4" s="1"/>
  <c r="AP466" i="4"/>
  <c r="AP468" i="4" s="1"/>
  <c r="AP475" i="4" s="1"/>
  <c r="AP476" i="4" s="1"/>
  <c r="AP477" i="4" s="1"/>
  <c r="AP1354" i="2"/>
  <c r="AL301" i="4"/>
  <c r="AL306" i="4"/>
  <c r="AR1346" i="2"/>
  <c r="AI388" i="4"/>
  <c r="AI297" i="4"/>
  <c r="AI346" i="4"/>
  <c r="AR117" i="4"/>
  <c r="AR242" i="4"/>
  <c r="AR243" i="4" s="1"/>
  <c r="AO225" i="4"/>
  <c r="AO202" i="4"/>
  <c r="AM285" i="4"/>
  <c r="AM278" i="4"/>
  <c r="AM279" i="4" s="1"/>
  <c r="AN279" i="4" s="1"/>
  <c r="AO279" i="4" s="1"/>
  <c r="AS1349" i="2"/>
  <c r="AS1350" i="2" s="1"/>
  <c r="AS1344" i="2" s="1"/>
  <c r="AL311" i="4"/>
  <c r="AR632" i="2"/>
  <c r="AR633" i="2" s="1"/>
  <c r="AR634" i="2" s="1"/>
  <c r="AR185" i="4"/>
  <c r="AR190" i="4" s="1"/>
  <c r="AL265" i="4"/>
  <c r="AL203" i="4"/>
  <c r="AL255" i="4"/>
  <c r="AM346" i="4"/>
  <c r="AM343" i="4"/>
  <c r="AM361" i="4"/>
  <c r="AM362" i="4" s="1"/>
  <c r="AM359" i="4"/>
  <c r="AM360" i="4" s="1"/>
  <c r="AM335" i="4"/>
  <c r="AM336" i="4" s="1"/>
  <c r="AP117" i="4"/>
  <c r="AP242" i="4"/>
  <c r="AP243" i="4" s="1"/>
  <c r="AO297" i="4"/>
  <c r="AO294" i="4"/>
  <c r="AO312" i="4"/>
  <c r="AO313" i="4" s="1"/>
  <c r="AO286" i="4"/>
  <c r="AO310" i="4"/>
  <c r="AO311" i="4" s="1"/>
  <c r="AQ246" i="4"/>
  <c r="AQ120" i="4"/>
  <c r="AM354" i="4"/>
  <c r="AP1355" i="2"/>
  <c r="AQ1346" i="2"/>
  <c r="AN396" i="4"/>
  <c r="AM397" i="4"/>
  <c r="AM161" i="4"/>
  <c r="AM170" i="4" s="1"/>
  <c r="AM1138" i="2"/>
  <c r="AN154" i="4"/>
  <c r="AM1182" i="2"/>
  <c r="AM1261" i="2"/>
  <c r="AN155" i="4"/>
  <c r="AH141" i="1"/>
  <c r="AH346" i="4" s="1"/>
  <c r="AO335" i="4"/>
  <c r="AO346" i="4"/>
  <c r="AO343" i="4"/>
  <c r="AO361" i="4"/>
  <c r="AO362" i="4" s="1"/>
  <c r="AO359" i="4"/>
  <c r="AO360" i="4" s="1"/>
  <c r="AO328" i="4"/>
  <c r="AM392" i="4"/>
  <c r="AN378" i="4"/>
  <c r="F182" i="7" l="1"/>
  <c r="AT1348" i="2"/>
  <c r="AT1349" i="2" s="1"/>
  <c r="AU1348" i="2" s="1"/>
  <c r="AM181" i="4"/>
  <c r="AM258" i="4"/>
  <c r="AS116" i="4"/>
  <c r="AS1353" i="2"/>
  <c r="AS1345" i="2"/>
  <c r="AS1355" i="2" s="1"/>
  <c r="AS622" i="2" s="1"/>
  <c r="AS621" i="2" s="1"/>
  <c r="AP129" i="4"/>
  <c r="AP135" i="4" s="1"/>
  <c r="AQ439" i="4"/>
  <c r="AQ441" i="4" s="1"/>
  <c r="AQ448" i="4" s="1"/>
  <c r="AQ449" i="4" s="1"/>
  <c r="AQ450" i="4" s="1"/>
  <c r="AQ466" i="4"/>
  <c r="AQ468" i="4" s="1"/>
  <c r="AQ475" i="4" s="1"/>
  <c r="AQ476" i="4" s="1"/>
  <c r="AQ477" i="4" s="1"/>
  <c r="AQ500" i="4"/>
  <c r="AQ504" i="4" s="1"/>
  <c r="AQ511" i="4" s="1"/>
  <c r="AQ512" i="4" s="1"/>
  <c r="AQ513" i="4" s="1"/>
  <c r="AQ1354" i="2"/>
  <c r="AQ129" i="4" s="1"/>
  <c r="AQ135" i="4" s="1"/>
  <c r="AG141" i="1"/>
  <c r="AG346" i="4" s="1"/>
  <c r="AP120" i="4"/>
  <c r="AP246" i="4"/>
  <c r="AM286" i="4"/>
  <c r="AM287" i="4" s="1"/>
  <c r="AM294" i="4"/>
  <c r="AM297" i="4"/>
  <c r="AM310" i="4"/>
  <c r="AM312" i="4"/>
  <c r="AM313" i="4" s="1"/>
  <c r="AR120" i="4"/>
  <c r="AR246" i="4"/>
  <c r="AR439" i="4"/>
  <c r="AR441" i="4" s="1"/>
  <c r="AR448" i="4" s="1"/>
  <c r="AR449" i="4" s="1"/>
  <c r="AR466" i="4"/>
  <c r="AR468" i="4" s="1"/>
  <c r="AR475" i="4" s="1"/>
  <c r="AR476" i="4" s="1"/>
  <c r="AR500" i="4"/>
  <c r="AR504" i="4" s="1"/>
  <c r="AR511" i="4" s="1"/>
  <c r="AR512" i="4" s="1"/>
  <c r="AR1354" i="2"/>
  <c r="AR129" i="4" s="1"/>
  <c r="AR135" i="4" s="1"/>
  <c r="AH388" i="4"/>
  <c r="AH297" i="4"/>
  <c r="AN392" i="4"/>
  <c r="AO378" i="4"/>
  <c r="AO392" i="4" s="1"/>
  <c r="AN397" i="4"/>
  <c r="AO396" i="4"/>
  <c r="AN1261" i="2"/>
  <c r="AO154" i="4"/>
  <c r="AN1138" i="2"/>
  <c r="AN161" i="4"/>
  <c r="AN170" i="4" s="1"/>
  <c r="AN1182" i="2"/>
  <c r="AO155" i="4"/>
  <c r="AP622" i="2"/>
  <c r="AP621" i="2" s="1"/>
  <c r="AM350" i="4"/>
  <c r="AN336" i="4"/>
  <c r="AM355" i="4"/>
  <c r="AN354" i="4"/>
  <c r="AM305" i="4"/>
  <c r="F185" i="7" l="1"/>
  <c r="AR477" i="4"/>
  <c r="AS1346" i="2"/>
  <c r="AS466" i="4" s="1"/>
  <c r="AS468" i="4" s="1"/>
  <c r="AS475" i="4" s="1"/>
  <c r="AS476" i="4" s="1"/>
  <c r="AR450" i="4"/>
  <c r="AP185" i="4"/>
  <c r="AP190" i="4" s="1"/>
  <c r="AP632" i="2"/>
  <c r="AP633" i="2" s="1"/>
  <c r="AM311" i="4"/>
  <c r="AP198" i="4"/>
  <c r="AG388" i="4"/>
  <c r="AG297" i="4"/>
  <c r="AM203" i="4"/>
  <c r="AM265" i="4"/>
  <c r="AM255" i="4"/>
  <c r="AU1349" i="2"/>
  <c r="AU1350" i="2" s="1"/>
  <c r="AU1344" i="2" s="1"/>
  <c r="AN350" i="4"/>
  <c r="AO336" i="4"/>
  <c r="AO350" i="4" s="1"/>
  <c r="AP211" i="4"/>
  <c r="AP1185" i="2"/>
  <c r="AP275" i="4"/>
  <c r="AP323" i="4"/>
  <c r="AP322" i="4" s="1"/>
  <c r="AP372" i="4"/>
  <c r="AP371" i="4" s="1"/>
  <c r="AP396" i="4" s="1"/>
  <c r="AP1265" i="2"/>
  <c r="AP153" i="4"/>
  <c r="AS632" i="2"/>
  <c r="AS633" i="2" s="1"/>
  <c r="AS634" i="2" s="1"/>
  <c r="AS185" i="4"/>
  <c r="AS190" i="4" s="1"/>
  <c r="AT1350" i="2"/>
  <c r="AT1344" i="2" s="1"/>
  <c r="AQ1185" i="2"/>
  <c r="AQ211" i="4"/>
  <c r="AQ153" i="4"/>
  <c r="AQ372" i="4"/>
  <c r="AQ371" i="4" s="1"/>
  <c r="AQ275" i="4"/>
  <c r="AQ323" i="4"/>
  <c r="AQ322" i="4" s="1"/>
  <c r="AQ1265" i="2"/>
  <c r="AM301" i="4"/>
  <c r="AN287" i="4"/>
  <c r="AS242" i="4"/>
  <c r="AS243" i="4" s="1"/>
  <c r="AS117" i="4"/>
  <c r="AO1261" i="2"/>
  <c r="AO1138" i="2"/>
  <c r="AO161" i="4"/>
  <c r="AO170" i="4" s="1"/>
  <c r="AP154" i="4"/>
  <c r="AO1182" i="2"/>
  <c r="AM306" i="4"/>
  <c r="AN305" i="4"/>
  <c r="AR1185" i="2"/>
  <c r="AR153" i="4"/>
  <c r="AR211" i="4"/>
  <c r="AR1265" i="2"/>
  <c r="AR372" i="4"/>
  <c r="AR371" i="4" s="1"/>
  <c r="AR323" i="4"/>
  <c r="AR322" i="4" s="1"/>
  <c r="AR275" i="4"/>
  <c r="AR274" i="4" s="1"/>
  <c r="AN355" i="4"/>
  <c r="AO354" i="4"/>
  <c r="AO397" i="4"/>
  <c r="AN181" i="4"/>
  <c r="AN258" i="4"/>
  <c r="AR513" i="4"/>
  <c r="AF141" i="1"/>
  <c r="AF346" i="4" s="1"/>
  <c r="F195" i="7" l="1"/>
  <c r="AQ274" i="4"/>
  <c r="AS477" i="4"/>
  <c r="AS439" i="4"/>
  <c r="AS441" i="4" s="1"/>
  <c r="AS448" i="4" s="1"/>
  <c r="AS449" i="4" s="1"/>
  <c r="AS450" i="4" s="1"/>
  <c r="AS500" i="4"/>
  <c r="AS504" i="4" s="1"/>
  <c r="AS511" i="4" s="1"/>
  <c r="AS512" i="4" s="1"/>
  <c r="AS513" i="4" s="1"/>
  <c r="AS1354" i="2"/>
  <c r="AS129" i="4" s="1"/>
  <c r="AS135" i="4" s="1"/>
  <c r="AS275" i="4" s="1"/>
  <c r="AS274" i="4" s="1"/>
  <c r="AO181" i="4"/>
  <c r="AO265" i="4" s="1"/>
  <c r="AO258" i="4"/>
  <c r="AP634" i="2"/>
  <c r="AQ634" i="2"/>
  <c r="AN203" i="4"/>
  <c r="AN306" i="4"/>
  <c r="AO305" i="4"/>
  <c r="AN301" i="4"/>
  <c r="AO287" i="4"/>
  <c r="AP1183" i="2"/>
  <c r="AP1263" i="2"/>
  <c r="AP155" i="4"/>
  <c r="AQ155" i="4" s="1"/>
  <c r="AR155" i="4" s="1"/>
  <c r="AR278" i="4"/>
  <c r="AR285" i="4"/>
  <c r="AP200" i="4"/>
  <c r="AQ198" i="4"/>
  <c r="AF388" i="4"/>
  <c r="AF297" i="4"/>
  <c r="AR327" i="4"/>
  <c r="AR334" i="4"/>
  <c r="AQ327" i="4"/>
  <c r="AQ334" i="4"/>
  <c r="AP388" i="4"/>
  <c r="AP377" i="4"/>
  <c r="AP378" i="4" s="1"/>
  <c r="AP392" i="4" s="1"/>
  <c r="AP385" i="4"/>
  <c r="AP403" i="4"/>
  <c r="AP404" i="4" s="1"/>
  <c r="AP401" i="4"/>
  <c r="AP402" i="4" s="1"/>
  <c r="AV1348" i="2"/>
  <c r="AN255" i="4"/>
  <c r="AT1345" i="2"/>
  <c r="AT1355" i="2" s="1"/>
  <c r="AT622" i="2" s="1"/>
  <c r="AT621" i="2" s="1"/>
  <c r="AT1353" i="2"/>
  <c r="AT116" i="4"/>
  <c r="AP327" i="4"/>
  <c r="AP328" i="4" s="1"/>
  <c r="AP334" i="4"/>
  <c r="AP354" i="4" s="1"/>
  <c r="AU1345" i="2"/>
  <c r="AU1355" i="2" s="1"/>
  <c r="AU622" i="2" s="1"/>
  <c r="AU621" i="2" s="1"/>
  <c r="AU116" i="4"/>
  <c r="AU1353" i="2"/>
  <c r="AN265" i="4"/>
  <c r="AE141" i="1"/>
  <c r="AE346" i="4" s="1"/>
  <c r="AQ403" i="4"/>
  <c r="AQ404" i="4" s="1"/>
  <c r="AQ377" i="4"/>
  <c r="AQ385" i="4"/>
  <c r="AQ388" i="4"/>
  <c r="AQ401" i="4"/>
  <c r="AQ402" i="4" s="1"/>
  <c r="AP274" i="4"/>
  <c r="AR216" i="4"/>
  <c r="AR214" i="4"/>
  <c r="AR1262" i="2" s="1"/>
  <c r="AQ1183" i="2"/>
  <c r="AQ1263" i="2"/>
  <c r="AR385" i="4"/>
  <c r="AR377" i="4"/>
  <c r="AR388" i="4"/>
  <c r="AR403" i="4"/>
  <c r="AR404" i="4" s="1"/>
  <c r="AR401" i="4"/>
  <c r="AR402" i="4" s="1"/>
  <c r="AS120" i="4"/>
  <c r="AS246" i="4"/>
  <c r="AQ396" i="4"/>
  <c r="AP397" i="4"/>
  <c r="AO355" i="4"/>
  <c r="AR1183" i="2"/>
  <c r="AR1263" i="2"/>
  <c r="AQ216" i="4"/>
  <c r="AQ214" i="4"/>
  <c r="AQ1262" i="2" s="1"/>
  <c r="AP216" i="4"/>
  <c r="AP214" i="4"/>
  <c r="AP1262" i="2" s="1"/>
  <c r="F194" i="7" l="1"/>
  <c r="AQ285" i="4"/>
  <c r="AQ278" i="4"/>
  <c r="AP253" i="4"/>
  <c r="AS1185" i="2"/>
  <c r="AS153" i="4"/>
  <c r="AS1183" i="2" s="1"/>
  <c r="AS372" i="4"/>
  <c r="AS371" i="4" s="1"/>
  <c r="AS403" i="4" s="1"/>
  <c r="AS404" i="4" s="1"/>
  <c r="AO255" i="4"/>
  <c r="AS323" i="4"/>
  <c r="AS322" i="4" s="1"/>
  <c r="AS334" i="4" s="1"/>
  <c r="AS211" i="4"/>
  <c r="AS216" i="4" s="1"/>
  <c r="AS1265" i="2"/>
  <c r="AU1346" i="2"/>
  <c r="AU439" i="4" s="1"/>
  <c r="AU441" i="4" s="1"/>
  <c r="AU448" i="4" s="1"/>
  <c r="AU449" i="4" s="1"/>
  <c r="AQ1138" i="2"/>
  <c r="AQ1182" i="2"/>
  <c r="AR154" i="4"/>
  <c r="AQ161" i="4"/>
  <c r="AQ170" i="4" s="1"/>
  <c r="AQ1261" i="2"/>
  <c r="AP359" i="4"/>
  <c r="AP360" i="4" s="1"/>
  <c r="AP361" i="4"/>
  <c r="AP362" i="4" s="1"/>
  <c r="AP343" i="4"/>
  <c r="AP335" i="4"/>
  <c r="AP336" i="4" s="1"/>
  <c r="AP350" i="4" s="1"/>
  <c r="AP346" i="4"/>
  <c r="AV1349" i="2"/>
  <c r="AW1348" i="2" s="1"/>
  <c r="AR335" i="4"/>
  <c r="AR346" i="4"/>
  <c r="AR359" i="4"/>
  <c r="AR360" i="4" s="1"/>
  <c r="AR343" i="4"/>
  <c r="AR361" i="4"/>
  <c r="AR362" i="4" s="1"/>
  <c r="AR312" i="4"/>
  <c r="AR313" i="4" s="1"/>
  <c r="AR294" i="4"/>
  <c r="AR297" i="4"/>
  <c r="AR310" i="4"/>
  <c r="AR311" i="4" s="1"/>
  <c r="AR286" i="4"/>
  <c r="AO203" i="4"/>
  <c r="AO306" i="4"/>
  <c r="AR1261" i="2"/>
  <c r="AR1182" i="2"/>
  <c r="AR1138" i="2"/>
  <c r="AS154" i="4"/>
  <c r="AR161" i="4"/>
  <c r="AR170" i="4" s="1"/>
  <c r="AP355" i="4"/>
  <c r="AQ354" i="4"/>
  <c r="AP278" i="4"/>
  <c r="AP285" i="4"/>
  <c r="AQ359" i="4"/>
  <c r="AQ360" i="4" s="1"/>
  <c r="AQ361" i="4"/>
  <c r="AQ362" i="4" s="1"/>
  <c r="AQ346" i="4"/>
  <c r="AQ343" i="4"/>
  <c r="AQ335" i="4"/>
  <c r="AE388" i="4"/>
  <c r="AE297" i="4"/>
  <c r="AU117" i="4"/>
  <c r="AU242" i="4"/>
  <c r="AU243" i="4" s="1"/>
  <c r="AQ328" i="4"/>
  <c r="AR328" i="4" s="1"/>
  <c r="AQ200" i="4"/>
  <c r="AR198" i="4"/>
  <c r="AD141" i="1"/>
  <c r="AD346" i="4" s="1"/>
  <c r="AU185" i="4"/>
  <c r="AU190" i="4" s="1"/>
  <c r="AU632" i="2"/>
  <c r="AU633" i="2" s="1"/>
  <c r="AT117" i="4"/>
  <c r="AT242" i="4"/>
  <c r="AT243" i="4" s="1"/>
  <c r="AP225" i="4"/>
  <c r="AP202" i="4"/>
  <c r="AP254" i="4"/>
  <c r="AO301" i="4"/>
  <c r="AQ397" i="4"/>
  <c r="AR396" i="4"/>
  <c r="AT1346" i="2"/>
  <c r="AP1182" i="2"/>
  <c r="AQ154" i="4"/>
  <c r="AP1138" i="2"/>
  <c r="AP161" i="4"/>
  <c r="AP170" i="4" s="1"/>
  <c r="AP1261" i="2"/>
  <c r="AS285" i="4"/>
  <c r="AS278" i="4"/>
  <c r="AQ378" i="4"/>
  <c r="AQ392" i="4" s="1"/>
  <c r="AT185" i="4"/>
  <c r="AT190" i="4" s="1"/>
  <c r="AT632" i="2"/>
  <c r="AT633" i="2" s="1"/>
  <c r="AT634" i="2" s="1"/>
  <c r="F205" i="7" l="1"/>
  <c r="F198" i="7"/>
  <c r="AQ294" i="4"/>
  <c r="AQ286" i="4"/>
  <c r="AQ312" i="4"/>
  <c r="AQ310" i="4"/>
  <c r="AQ297" i="4"/>
  <c r="AS388" i="4"/>
  <c r="AQ253" i="4"/>
  <c r="AS155" i="4"/>
  <c r="AS1182" i="2" s="1"/>
  <c r="AP305" i="4"/>
  <c r="AS1263" i="2"/>
  <c r="AS214" i="4"/>
  <c r="AS1262" i="2" s="1"/>
  <c r="AU500" i="4"/>
  <c r="AU504" i="4" s="1"/>
  <c r="AU511" i="4" s="1"/>
  <c r="AU512" i="4" s="1"/>
  <c r="AS385" i="4"/>
  <c r="AS401" i="4"/>
  <c r="AS402" i="4" s="1"/>
  <c r="AS377" i="4"/>
  <c r="AS327" i="4"/>
  <c r="AS328" i="4" s="1"/>
  <c r="AQ336" i="4"/>
  <c r="AQ350" i="4" s="1"/>
  <c r="AU1354" i="2"/>
  <c r="AU129" i="4" s="1"/>
  <c r="AU135" i="4" s="1"/>
  <c r="AU211" i="4" s="1"/>
  <c r="AU466" i="4"/>
  <c r="AU468" i="4" s="1"/>
  <c r="AU475" i="4" s="1"/>
  <c r="AU476" i="4" s="1"/>
  <c r="AT120" i="4"/>
  <c r="AT246" i="4"/>
  <c r="AQ181" i="4"/>
  <c r="AQ258" i="4"/>
  <c r="AU634" i="2"/>
  <c r="AR200" i="4"/>
  <c r="AS198" i="4"/>
  <c r="AQ355" i="4"/>
  <c r="AR354" i="4"/>
  <c r="AR355" i="4" s="1"/>
  <c r="AS359" i="4"/>
  <c r="AS360" i="4" s="1"/>
  <c r="AS361" i="4"/>
  <c r="AS362" i="4" s="1"/>
  <c r="AS346" i="4"/>
  <c r="AS335" i="4"/>
  <c r="AS343" i="4"/>
  <c r="AR378" i="4"/>
  <c r="AR392" i="4" s="1"/>
  <c r="AV1350" i="2"/>
  <c r="AV1344" i="2" s="1"/>
  <c r="AW1349" i="2"/>
  <c r="AW1350" i="2" s="1"/>
  <c r="AW1344" i="2" s="1"/>
  <c r="AP181" i="4"/>
  <c r="AP258" i="4"/>
  <c r="AT439" i="4"/>
  <c r="AT441" i="4" s="1"/>
  <c r="AT448" i="4" s="1"/>
  <c r="AT449" i="4" s="1"/>
  <c r="AT450" i="4" s="1"/>
  <c r="AU450" i="4" s="1"/>
  <c r="AT466" i="4"/>
  <c r="AT468" i="4" s="1"/>
  <c r="AT475" i="4" s="1"/>
  <c r="AT476" i="4" s="1"/>
  <c r="AT477" i="4" s="1"/>
  <c r="AT1354" i="2"/>
  <c r="AT129" i="4" s="1"/>
  <c r="AT135" i="4" s="1"/>
  <c r="AT500" i="4"/>
  <c r="AT504" i="4" s="1"/>
  <c r="AT511" i="4" s="1"/>
  <c r="AT512" i="4" s="1"/>
  <c r="AT513" i="4" s="1"/>
  <c r="AR397" i="4"/>
  <c r="AS396" i="4"/>
  <c r="AD388" i="4"/>
  <c r="AD297" i="4"/>
  <c r="AC141" i="1"/>
  <c r="AC346" i="4" s="1"/>
  <c r="AR181" i="4"/>
  <c r="AR258" i="4"/>
  <c r="AQ225" i="4"/>
  <c r="AQ202" i="4"/>
  <c r="AQ254" i="4"/>
  <c r="AS297" i="4"/>
  <c r="AS294" i="4"/>
  <c r="AS286" i="4"/>
  <c r="AS312" i="4"/>
  <c r="AS313" i="4" s="1"/>
  <c r="AS310" i="4"/>
  <c r="AS311" i="4" s="1"/>
  <c r="AP286" i="4"/>
  <c r="AP297" i="4"/>
  <c r="F217" i="7" s="1"/>
  <c r="AP294" i="4"/>
  <c r="AP312" i="4"/>
  <c r="AP310" i="4"/>
  <c r="AU120" i="4"/>
  <c r="AU246" i="4"/>
  <c r="AP279" i="4"/>
  <c r="F214" i="7" l="1"/>
  <c r="F206" i="7"/>
  <c r="F230" i="7"/>
  <c r="F232" i="7"/>
  <c r="F199" i="7"/>
  <c r="F225" i="7"/>
  <c r="AQ313" i="4"/>
  <c r="AQ311" i="4"/>
  <c r="AR254" i="4"/>
  <c r="AR253" i="4"/>
  <c r="AS161" i="4"/>
  <c r="AS170" i="4" s="1"/>
  <c r="AS181" i="4" s="1"/>
  <c r="AS265" i="4" s="1"/>
  <c r="AS1261" i="2"/>
  <c r="AS1138" i="2"/>
  <c r="AP306" i="4"/>
  <c r="AT154" i="4"/>
  <c r="AQ305" i="4"/>
  <c r="AR305" i="4" s="1"/>
  <c r="AR336" i="4"/>
  <c r="AR350" i="4" s="1"/>
  <c r="AU1265" i="2"/>
  <c r="AU513" i="4"/>
  <c r="AU372" i="4"/>
  <c r="AU371" i="4" s="1"/>
  <c r="AU377" i="4" s="1"/>
  <c r="AU1185" i="2"/>
  <c r="AU153" i="4"/>
  <c r="AU1263" i="2" s="1"/>
  <c r="AU323" i="4"/>
  <c r="AU322" i="4" s="1"/>
  <c r="AU327" i="4" s="1"/>
  <c r="AU275" i="4"/>
  <c r="AU274" i="4" s="1"/>
  <c r="AU278" i="4" s="1"/>
  <c r="AU477" i="4"/>
  <c r="AS378" i="4"/>
  <c r="AS392" i="4" s="1"/>
  <c r="AC388" i="4"/>
  <c r="AC297" i="4"/>
  <c r="AX1348" i="2"/>
  <c r="AS354" i="4"/>
  <c r="AW1345" i="2"/>
  <c r="AW1355" i="2" s="1"/>
  <c r="AW622" i="2" s="1"/>
  <c r="AW621" i="2" s="1"/>
  <c r="AW116" i="4"/>
  <c r="AW1353" i="2"/>
  <c r="AT211" i="4"/>
  <c r="AT1185" i="2"/>
  <c r="AT275" i="4"/>
  <c r="AT372" i="4"/>
  <c r="AT371" i="4" s="1"/>
  <c r="AT396" i="4" s="1"/>
  <c r="AT1265" i="2"/>
  <c r="AT323" i="4"/>
  <c r="AT322" i="4" s="1"/>
  <c r="AT153" i="4"/>
  <c r="AP311" i="4"/>
  <c r="AV116" i="4"/>
  <c r="AV1353" i="2"/>
  <c r="AV1345" i="2"/>
  <c r="AV1346" i="2" s="1"/>
  <c r="AP313" i="4"/>
  <c r="AT198" i="4"/>
  <c r="AS200" i="4"/>
  <c r="AS253" i="4" s="1"/>
  <c r="AR225" i="4"/>
  <c r="AR202" i="4"/>
  <c r="AR203" i="4" s="1"/>
  <c r="AB141" i="1"/>
  <c r="AQ265" i="4"/>
  <c r="AQ203" i="4"/>
  <c r="AR255" i="4"/>
  <c r="AR265" i="4"/>
  <c r="AQ279" i="4"/>
  <c r="AR279" i="4" s="1"/>
  <c r="AS279" i="4" s="1"/>
  <c r="AU214" i="4"/>
  <c r="AU1262" i="2" s="1"/>
  <c r="AU216" i="4"/>
  <c r="AP287" i="4"/>
  <c r="AS397" i="4"/>
  <c r="AP203" i="4"/>
  <c r="AQ255" i="4"/>
  <c r="AP265" i="4"/>
  <c r="AP255" i="4"/>
  <c r="F207" i="7" l="1"/>
  <c r="F233" i="7"/>
  <c r="F231" i="7"/>
  <c r="F226" i="7"/>
  <c r="AS258" i="4"/>
  <c r="AS254" i="4"/>
  <c r="AQ306" i="4"/>
  <c r="AS336" i="4"/>
  <c r="AS350" i="4" s="1"/>
  <c r="AU285" i="4"/>
  <c r="AU312" i="4" s="1"/>
  <c r="AU313" i="4" s="1"/>
  <c r="AT274" i="4"/>
  <c r="AU385" i="4"/>
  <c r="AU401" i="4"/>
  <c r="AU402" i="4" s="1"/>
  <c r="AU403" i="4"/>
  <c r="AU404" i="4" s="1"/>
  <c r="AU388" i="4"/>
  <c r="AU1183" i="2"/>
  <c r="AU334" i="4"/>
  <c r="AU359" i="4" s="1"/>
  <c r="AU360" i="4" s="1"/>
  <c r="AS255" i="4"/>
  <c r="AA141" i="1"/>
  <c r="AR306" i="4"/>
  <c r="AS305" i="4"/>
  <c r="AS225" i="4"/>
  <c r="AS202" i="4"/>
  <c r="AS203" i="4" s="1"/>
  <c r="AT200" i="4"/>
  <c r="AT253" i="4" s="1"/>
  <c r="AU198" i="4"/>
  <c r="AT216" i="4"/>
  <c r="AT214" i="4"/>
  <c r="AT1262" i="2" s="1"/>
  <c r="AV500" i="4"/>
  <c r="AV504" i="4" s="1"/>
  <c r="AV511" i="4" s="1"/>
  <c r="AV512" i="4" s="1"/>
  <c r="AV513" i="4" s="1"/>
  <c r="AV466" i="4"/>
  <c r="AV468" i="4" s="1"/>
  <c r="AV475" i="4" s="1"/>
  <c r="AV476" i="4" s="1"/>
  <c r="AV477" i="4" s="1"/>
  <c r="AV439" i="4"/>
  <c r="AV441" i="4" s="1"/>
  <c r="AV448" i="4" s="1"/>
  <c r="AV449" i="4" s="1"/>
  <c r="AV450" i="4" s="1"/>
  <c r="AV1354" i="2"/>
  <c r="AV129" i="4" s="1"/>
  <c r="AV135" i="4" s="1"/>
  <c r="AW1346" i="2"/>
  <c r="AV1355" i="2"/>
  <c r="AV622" i="2" s="1"/>
  <c r="AV621" i="2" s="1"/>
  <c r="AT1183" i="2"/>
  <c r="AT1263" i="2"/>
  <c r="AT155" i="4"/>
  <c r="AU396" i="4"/>
  <c r="AT397" i="4"/>
  <c r="AT327" i="4"/>
  <c r="AT328" i="4" s="1"/>
  <c r="AU328" i="4" s="1"/>
  <c r="AT334" i="4"/>
  <c r="AT354" i="4" s="1"/>
  <c r="AT355" i="4" s="1"/>
  <c r="AW242" i="4"/>
  <c r="AW243" i="4" s="1"/>
  <c r="AW117" i="4"/>
  <c r="AV117" i="4"/>
  <c r="AV242" i="4"/>
  <c r="AV243" i="4" s="1"/>
  <c r="AW632" i="2"/>
  <c r="AW633" i="2" s="1"/>
  <c r="AW185" i="4"/>
  <c r="AW190" i="4" s="1"/>
  <c r="AS355" i="4"/>
  <c r="AX1349" i="2"/>
  <c r="AY1348" i="2" s="1"/>
  <c r="AQ287" i="4"/>
  <c r="AP301" i="4"/>
  <c r="AB388" i="4"/>
  <c r="AB297" i="4"/>
  <c r="AB346" i="4"/>
  <c r="AT388" i="4"/>
  <c r="AT385" i="4"/>
  <c r="AT377" i="4"/>
  <c r="AT378" i="4" s="1"/>
  <c r="AT392" i="4" s="1"/>
  <c r="AT403" i="4"/>
  <c r="AT404" i="4" s="1"/>
  <c r="AT401" i="4"/>
  <c r="AT402" i="4" s="1"/>
  <c r="F221" i="7" l="1"/>
  <c r="AT278" i="4"/>
  <c r="AU294" i="4"/>
  <c r="AU297" i="4"/>
  <c r="AU286" i="4"/>
  <c r="AU310" i="4"/>
  <c r="AU311" i="4" s="1"/>
  <c r="AT254" i="4"/>
  <c r="AT285" i="4"/>
  <c r="AU361" i="4"/>
  <c r="AU362" i="4" s="1"/>
  <c r="AU335" i="4"/>
  <c r="AU343" i="4"/>
  <c r="AU346" i="4"/>
  <c r="AW246" i="4"/>
  <c r="AW120" i="4"/>
  <c r="Z141" i="1"/>
  <c r="AU354" i="4"/>
  <c r="AV246" i="4"/>
  <c r="AV120" i="4"/>
  <c r="AV198" i="4" s="1"/>
  <c r="AU378" i="4"/>
  <c r="AU392" i="4" s="1"/>
  <c r="AV1185" i="2"/>
  <c r="AV372" i="4"/>
  <c r="AV371" i="4" s="1"/>
  <c r="AV396" i="4" s="1"/>
  <c r="AV211" i="4"/>
  <c r="AV275" i="4"/>
  <c r="AV323" i="4"/>
  <c r="AV322" i="4" s="1"/>
  <c r="AV153" i="4"/>
  <c r="AV1265" i="2"/>
  <c r="AS306" i="4"/>
  <c r="AA388" i="4"/>
  <c r="AA346" i="4"/>
  <c r="AA297" i="4"/>
  <c r="AT346" i="4"/>
  <c r="AT335" i="4"/>
  <c r="AT336" i="4" s="1"/>
  <c r="AT350" i="4" s="1"/>
  <c r="AT359" i="4"/>
  <c r="AT360" i="4" s="1"/>
  <c r="AT343" i="4"/>
  <c r="AT361" i="4"/>
  <c r="AT362" i="4" s="1"/>
  <c r="AU200" i="4"/>
  <c r="AU253" i="4" s="1"/>
  <c r="AU397" i="4"/>
  <c r="AQ301" i="4"/>
  <c r="AR287" i="4"/>
  <c r="AY1349" i="2"/>
  <c r="AY1350" i="2" s="1"/>
  <c r="AY1344" i="2" s="1"/>
  <c r="AT1182" i="2"/>
  <c r="AT1138" i="2"/>
  <c r="AT161" i="4"/>
  <c r="AT170" i="4" s="1"/>
  <c r="AU154" i="4"/>
  <c r="AT1261" i="2"/>
  <c r="AU155" i="4"/>
  <c r="AV185" i="4"/>
  <c r="AV190" i="4" s="1"/>
  <c r="AV632" i="2"/>
  <c r="AV633" i="2" s="1"/>
  <c r="AV634" i="2" s="1"/>
  <c r="AT225" i="4"/>
  <c r="AT202" i="4"/>
  <c r="AX1350" i="2"/>
  <c r="AX1344" i="2" s="1"/>
  <c r="AW1354" i="2"/>
  <c r="AW129" i="4" s="1"/>
  <c r="AW135" i="4" s="1"/>
  <c r="AW500" i="4"/>
  <c r="AW504" i="4" s="1"/>
  <c r="AW511" i="4" s="1"/>
  <c r="AW512" i="4" s="1"/>
  <c r="AW513" i="4" s="1"/>
  <c r="AW466" i="4"/>
  <c r="AW468" i="4" s="1"/>
  <c r="AW475" i="4" s="1"/>
  <c r="AW476" i="4" s="1"/>
  <c r="AW477" i="4" s="1"/>
  <c r="AW439" i="4"/>
  <c r="AW441" i="4" s="1"/>
  <c r="AW448" i="4" s="1"/>
  <c r="AW449" i="4" s="1"/>
  <c r="AW450" i="4" s="1"/>
  <c r="AT279" i="4" l="1"/>
  <c r="AU279" i="4" s="1"/>
  <c r="AT310" i="4"/>
  <c r="AT294" i="4"/>
  <c r="AT305" i="4"/>
  <c r="AT306" i="4" s="1"/>
  <c r="AT297" i="4"/>
  <c r="AT286" i="4"/>
  <c r="AT312" i="4"/>
  <c r="AU336" i="4"/>
  <c r="AU350" i="4" s="1"/>
  <c r="AZ1348" i="2"/>
  <c r="AZ1349" i="2" s="1"/>
  <c r="AZ1350" i="2" s="1"/>
  <c r="AZ1344" i="2" s="1"/>
  <c r="AW1185" i="2"/>
  <c r="AW372" i="4"/>
  <c r="AW371" i="4" s="1"/>
  <c r="AW396" i="4" s="1"/>
  <c r="AW211" i="4"/>
  <c r="AW323" i="4"/>
  <c r="AW322" i="4" s="1"/>
  <c r="AW1265" i="2"/>
  <c r="AW153" i="4"/>
  <c r="AW275" i="4"/>
  <c r="AW274" i="4" s="1"/>
  <c r="AV397" i="4"/>
  <c r="AV1263" i="2"/>
  <c r="AV1183" i="2"/>
  <c r="AV155" i="4"/>
  <c r="AV327" i="4"/>
  <c r="AV328" i="4" s="1"/>
  <c r="AV334" i="4"/>
  <c r="AV354" i="4" s="1"/>
  <c r="AX1345" i="2"/>
  <c r="AX1355" i="2" s="1"/>
  <c r="AX622" i="2" s="1"/>
  <c r="AX621" i="2" s="1"/>
  <c r="AX116" i="4"/>
  <c r="AX1353" i="2"/>
  <c r="AV200" i="4"/>
  <c r="AV253" i="4" s="1"/>
  <c r="AW198" i="4"/>
  <c r="AV274" i="4"/>
  <c r="Z388" i="4"/>
  <c r="Z297" i="4"/>
  <c r="Z346" i="4"/>
  <c r="AU1261" i="2"/>
  <c r="AU161" i="4"/>
  <c r="AU170" i="4" s="1"/>
  <c r="AU1138" i="2"/>
  <c r="AU1182" i="2"/>
  <c r="AV154" i="4"/>
  <c r="AU254" i="4"/>
  <c r="AU202" i="4"/>
  <c r="AU225" i="4"/>
  <c r="AU355" i="4"/>
  <c r="AV214" i="4"/>
  <c r="AV1262" i="2" s="1"/>
  <c r="AV216" i="4"/>
  <c r="AW634" i="2"/>
  <c r="AY1353" i="2"/>
  <c r="AY116" i="4"/>
  <c r="AY1345" i="2"/>
  <c r="AY1355" i="2" s="1"/>
  <c r="AY622" i="2" s="1"/>
  <c r="AY621" i="2" s="1"/>
  <c r="AV401" i="4"/>
  <c r="AV402" i="4" s="1"/>
  <c r="AV377" i="4"/>
  <c r="AV378" i="4" s="1"/>
  <c r="AV385" i="4"/>
  <c r="AV403" i="4"/>
  <c r="AV404" i="4" s="1"/>
  <c r="AV388" i="4"/>
  <c r="AR301" i="4"/>
  <c r="AS287" i="4"/>
  <c r="Y141" i="1"/>
  <c r="AT181" i="4"/>
  <c r="AT258" i="4"/>
  <c r="AT311" i="4" l="1"/>
  <c r="AT313" i="4"/>
  <c r="AU305" i="4"/>
  <c r="AU306" i="4" s="1"/>
  <c r="BA1348" i="2"/>
  <c r="BA1349" i="2" s="1"/>
  <c r="BA1350" i="2" s="1"/>
  <c r="BA1344" i="2" s="1"/>
  <c r="X141" i="1"/>
  <c r="AU181" i="4"/>
  <c r="AU255" i="4" s="1"/>
  <c r="AU258" i="4"/>
  <c r="AV225" i="4"/>
  <c r="AV202" i="4"/>
  <c r="AV1182" i="2"/>
  <c r="AV1261" i="2"/>
  <c r="AW154" i="4"/>
  <c r="AV1138" i="2"/>
  <c r="AV161" i="4"/>
  <c r="AV170" i="4" s="1"/>
  <c r="Y388" i="4"/>
  <c r="Y346" i="4"/>
  <c r="Y297" i="4"/>
  <c r="AT287" i="4"/>
  <c r="AS301" i="4"/>
  <c r="AX242" i="4"/>
  <c r="AX243" i="4" s="1"/>
  <c r="AX117" i="4"/>
  <c r="AV343" i="4"/>
  <c r="AV359" i="4"/>
  <c r="AV360" i="4" s="1"/>
  <c r="AV346" i="4"/>
  <c r="AV335" i="4"/>
  <c r="AV336" i="4" s="1"/>
  <c r="AV361" i="4"/>
  <c r="AV362" i="4" s="1"/>
  <c r="AW285" i="4"/>
  <c r="AW278" i="4"/>
  <c r="AV254" i="4"/>
  <c r="AW1263" i="2"/>
  <c r="AW1183" i="2"/>
  <c r="AW155" i="4"/>
  <c r="AZ1345" i="2"/>
  <c r="AZ1355" i="2" s="1"/>
  <c r="AZ622" i="2" s="1"/>
  <c r="AZ621" i="2" s="1"/>
  <c r="AZ116" i="4"/>
  <c r="AZ1353" i="2"/>
  <c r="AV392" i="4"/>
  <c r="AV285" i="4"/>
  <c r="AV278" i="4"/>
  <c r="AV355" i="4"/>
  <c r="AT265" i="4"/>
  <c r="AT203" i="4"/>
  <c r="AT255" i="4"/>
  <c r="AY1346" i="2"/>
  <c r="AW327" i="4"/>
  <c r="AW328" i="4" s="1"/>
  <c r="AW334" i="4"/>
  <c r="AY185" i="4"/>
  <c r="AY190" i="4" s="1"/>
  <c r="AY632" i="2"/>
  <c r="AY633" i="2" s="1"/>
  <c r="AW216" i="4"/>
  <c r="AW214" i="4"/>
  <c r="AW1262" i="2" s="1"/>
  <c r="AX185" i="4"/>
  <c r="AX190" i="4" s="1"/>
  <c r="AX632" i="2"/>
  <c r="AX633" i="2" s="1"/>
  <c r="AX634" i="2" s="1"/>
  <c r="AY242" i="4"/>
  <c r="AY243" i="4" s="1"/>
  <c r="AY117" i="4"/>
  <c r="AW200" i="4"/>
  <c r="AX1346" i="2"/>
  <c r="AW397" i="4"/>
  <c r="AW377" i="4"/>
  <c r="AW378" i="4" s="1"/>
  <c r="AW385" i="4"/>
  <c r="AW401" i="4"/>
  <c r="AW402" i="4" s="1"/>
  <c r="AW403" i="4"/>
  <c r="AW404" i="4" s="1"/>
  <c r="AW388" i="4"/>
  <c r="AV305" i="4" l="1"/>
  <c r="AV306" i="4" s="1"/>
  <c r="BB1348" i="2"/>
  <c r="BB1349" i="2" s="1"/>
  <c r="AY634" i="2"/>
  <c r="AW202" i="4"/>
  <c r="AW225" i="4"/>
  <c r="AV350" i="4"/>
  <c r="AV181" i="4"/>
  <c r="AV265" i="4" s="1"/>
  <c r="AV258" i="4"/>
  <c r="AW254" i="4"/>
  <c r="AW1182" i="2"/>
  <c r="AW161" i="4"/>
  <c r="AW170" i="4" s="1"/>
  <c r="AW1138" i="2"/>
  <c r="AX154" i="4"/>
  <c r="AW1261" i="2"/>
  <c r="AZ1346" i="2"/>
  <c r="AW297" i="4"/>
  <c r="AW294" i="4"/>
  <c r="AW310" i="4"/>
  <c r="AW311" i="4" s="1"/>
  <c r="AW312" i="4"/>
  <c r="AW313" i="4" s="1"/>
  <c r="AW286" i="4"/>
  <c r="AX120" i="4"/>
  <c r="AX198" i="4" s="1"/>
  <c r="AX246" i="4"/>
  <c r="X388" i="4"/>
  <c r="X346" i="4"/>
  <c r="X297" i="4"/>
  <c r="AZ117" i="4"/>
  <c r="AZ242" i="4"/>
  <c r="AZ243" i="4" s="1"/>
  <c r="AY120" i="4"/>
  <c r="AY246" i="4"/>
  <c r="AY1354" i="2"/>
  <c r="AY129" i="4" s="1"/>
  <c r="AY135" i="4" s="1"/>
  <c r="AY500" i="4"/>
  <c r="AY504" i="4" s="1"/>
  <c r="AY511" i="4" s="1"/>
  <c r="AY512" i="4" s="1"/>
  <c r="AY439" i="4"/>
  <c r="AY441" i="4" s="1"/>
  <c r="AY448" i="4" s="1"/>
  <c r="AY449" i="4" s="1"/>
  <c r="AY466" i="4"/>
  <c r="AY468" i="4" s="1"/>
  <c r="AY475" i="4" s="1"/>
  <c r="AY476" i="4" s="1"/>
  <c r="AZ185" i="4"/>
  <c r="AZ190" i="4" s="1"/>
  <c r="AZ632" i="2"/>
  <c r="AZ633" i="2" s="1"/>
  <c r="AZ634" i="2" s="1"/>
  <c r="AW392" i="4"/>
  <c r="AU265" i="4"/>
  <c r="AU203" i="4"/>
  <c r="AW343" i="4"/>
  <c r="AW361" i="4"/>
  <c r="AW362" i="4" s="1"/>
  <c r="AW346" i="4"/>
  <c r="AW359" i="4"/>
  <c r="AW360" i="4" s="1"/>
  <c r="AW335" i="4"/>
  <c r="AW336" i="4" s="1"/>
  <c r="AV279" i="4"/>
  <c r="AW279" i="4" s="1"/>
  <c r="BA1345" i="2"/>
  <c r="BA1355" i="2" s="1"/>
  <c r="BA622" i="2" s="1"/>
  <c r="BA621" i="2" s="1"/>
  <c r="BA116" i="4"/>
  <c r="BA1353" i="2"/>
  <c r="AX500" i="4"/>
  <c r="AX504" i="4" s="1"/>
  <c r="AX511" i="4" s="1"/>
  <c r="AX512" i="4" s="1"/>
  <c r="AX513" i="4" s="1"/>
  <c r="AX439" i="4"/>
  <c r="AX441" i="4" s="1"/>
  <c r="AX448" i="4" s="1"/>
  <c r="AX449" i="4" s="1"/>
  <c r="AX450" i="4" s="1"/>
  <c r="AX1354" i="2"/>
  <c r="AX129" i="4" s="1"/>
  <c r="AX135" i="4" s="1"/>
  <c r="AX466" i="4"/>
  <c r="AX468" i="4" s="1"/>
  <c r="AX475" i="4" s="1"/>
  <c r="AX476" i="4" s="1"/>
  <c r="AX477" i="4" s="1"/>
  <c r="AV310" i="4"/>
  <c r="AV312" i="4"/>
  <c r="AV294" i="4"/>
  <c r="AV297" i="4"/>
  <c r="AV286" i="4"/>
  <c r="W141" i="1"/>
  <c r="AW354" i="4"/>
  <c r="AT301" i="4"/>
  <c r="AU287" i="4"/>
  <c r="AW253" i="4"/>
  <c r="AW305" i="4" l="1"/>
  <c r="AW306" i="4" s="1"/>
  <c r="AV255" i="4"/>
  <c r="AY513" i="4"/>
  <c r="AW350" i="4"/>
  <c r="W388" i="4"/>
  <c r="W346" i="4"/>
  <c r="W297" i="4"/>
  <c r="AU301" i="4"/>
  <c r="AV287" i="4"/>
  <c r="BA1346" i="2"/>
  <c r="AX200" i="4"/>
  <c r="AY198" i="4"/>
  <c r="AW355" i="4"/>
  <c r="AY477" i="4"/>
  <c r="AW181" i="4"/>
  <c r="AW265" i="4" s="1"/>
  <c r="AW258" i="4"/>
  <c r="AV203" i="4"/>
  <c r="AV313" i="4"/>
  <c r="BA242" i="4"/>
  <c r="BA243" i="4" s="1"/>
  <c r="BA117" i="4"/>
  <c r="AY450" i="4"/>
  <c r="V141" i="1"/>
  <c r="AV311" i="4"/>
  <c r="BA185" i="4"/>
  <c r="BA190" i="4" s="1"/>
  <c r="BA632" i="2"/>
  <c r="BA633" i="2" s="1"/>
  <c r="BA634" i="2" s="1"/>
  <c r="AZ120" i="4"/>
  <c r="AZ246" i="4"/>
  <c r="AY1185" i="2"/>
  <c r="AY153" i="4"/>
  <c r="AY275" i="4"/>
  <c r="AY274" i="4" s="1"/>
  <c r="AY323" i="4"/>
  <c r="AY322" i="4" s="1"/>
  <c r="AY211" i="4"/>
  <c r="AY372" i="4"/>
  <c r="AY371" i="4" s="1"/>
  <c r="AY1265" i="2"/>
  <c r="BB1350" i="2"/>
  <c r="AX1265" i="2"/>
  <c r="AX1185" i="2"/>
  <c r="AX275" i="4"/>
  <c r="AX211" i="4"/>
  <c r="AX323" i="4"/>
  <c r="AX322" i="4" s="1"/>
  <c r="AX372" i="4"/>
  <c r="AX371" i="4" s="1"/>
  <c r="AX153" i="4"/>
  <c r="AZ1354" i="2"/>
  <c r="AZ129" i="4" s="1"/>
  <c r="AZ135" i="4" s="1"/>
  <c r="AZ500" i="4"/>
  <c r="AZ504" i="4" s="1"/>
  <c r="AZ511" i="4" s="1"/>
  <c r="AZ512" i="4" s="1"/>
  <c r="AZ466" i="4"/>
  <c r="AZ468" i="4" s="1"/>
  <c r="AZ475" i="4" s="1"/>
  <c r="AZ476" i="4" s="1"/>
  <c r="AZ439" i="4"/>
  <c r="AZ441" i="4" s="1"/>
  <c r="AZ448" i="4" s="1"/>
  <c r="AZ449" i="4" s="1"/>
  <c r="AZ450" i="4" l="1"/>
  <c r="AZ513" i="4"/>
  <c r="AZ477" i="4"/>
  <c r="AY334" i="4"/>
  <c r="AY327" i="4"/>
  <c r="AW255" i="4"/>
  <c r="AW203" i="4"/>
  <c r="BB1344" i="2"/>
  <c r="AY278" i="4"/>
  <c r="AY285" i="4"/>
  <c r="V346" i="4"/>
  <c r="V297" i="4"/>
  <c r="V388" i="4"/>
  <c r="AY1183" i="2"/>
  <c r="AY1263" i="2"/>
  <c r="AV301" i="4"/>
  <c r="AW287" i="4"/>
  <c r="AX1183" i="2"/>
  <c r="AX1263" i="2"/>
  <c r="AX155" i="4"/>
  <c r="U141" i="1"/>
  <c r="AY200" i="4"/>
  <c r="AY254" i="4" s="1"/>
  <c r="AZ198" i="4"/>
  <c r="AZ200" i="4" s="1"/>
  <c r="AX202" i="4"/>
  <c r="AX225" i="4"/>
  <c r="AX253" i="4"/>
  <c r="AX254" i="4"/>
  <c r="AX403" i="4"/>
  <c r="AX404" i="4" s="1"/>
  <c r="AX385" i="4"/>
  <c r="AX388" i="4"/>
  <c r="AX401" i="4"/>
  <c r="AX402" i="4" s="1"/>
  <c r="AX377" i="4"/>
  <c r="AX378" i="4" s="1"/>
  <c r="AX396" i="4"/>
  <c r="AX334" i="4"/>
  <c r="AX327" i="4"/>
  <c r="AX328" i="4" s="1"/>
  <c r="AX216" i="4"/>
  <c r="AX214" i="4"/>
  <c r="AX1262" i="2" s="1"/>
  <c r="AY388" i="4"/>
  <c r="AY401" i="4"/>
  <c r="AY402" i="4" s="1"/>
  <c r="AY403" i="4"/>
  <c r="AY404" i="4" s="1"/>
  <c r="AY385" i="4"/>
  <c r="AY377" i="4"/>
  <c r="AZ323" i="4"/>
  <c r="AZ322" i="4" s="1"/>
  <c r="AZ211" i="4"/>
  <c r="AZ275" i="4"/>
  <c r="AZ274" i="4" s="1"/>
  <c r="AZ1185" i="2"/>
  <c r="AZ372" i="4"/>
  <c r="AZ371" i="4" s="1"/>
  <c r="AZ153" i="4"/>
  <c r="AZ1265" i="2"/>
  <c r="AX274" i="4"/>
  <c r="AY214" i="4"/>
  <c r="AY1262" i="2" s="1"/>
  <c r="AY216" i="4"/>
  <c r="BA246" i="4"/>
  <c r="BA120" i="4"/>
  <c r="BA500" i="4"/>
  <c r="BA504" i="4" s="1"/>
  <c r="BA511" i="4" s="1"/>
  <c r="BA512" i="4" s="1"/>
  <c r="BA466" i="4"/>
  <c r="BA468" i="4" s="1"/>
  <c r="BA475" i="4" s="1"/>
  <c r="BA476" i="4" s="1"/>
  <c r="BA1354" i="2"/>
  <c r="BA129" i="4" s="1"/>
  <c r="BA135" i="4" s="1"/>
  <c r="BA439" i="4"/>
  <c r="BA441" i="4" s="1"/>
  <c r="BA448" i="4" s="1"/>
  <c r="BA449" i="4" s="1"/>
  <c r="BA450" i="4" l="1"/>
  <c r="BA477" i="4"/>
  <c r="BA513" i="4"/>
  <c r="BA198" i="4"/>
  <c r="BA200" i="4" s="1"/>
  <c r="AX392" i="4"/>
  <c r="AY378" i="4"/>
  <c r="AZ403" i="4"/>
  <c r="AZ404" i="4" s="1"/>
  <c r="AZ385" i="4"/>
  <c r="AZ401" i="4"/>
  <c r="AZ402" i="4" s="1"/>
  <c r="AZ377" i="4"/>
  <c r="AZ388" i="4"/>
  <c r="BB1353" i="2"/>
  <c r="BB116" i="4"/>
  <c r="BB1345" i="2"/>
  <c r="BB1346" i="2" s="1"/>
  <c r="AZ216" i="4"/>
  <c r="AZ214" i="4"/>
  <c r="AZ1262" i="2" s="1"/>
  <c r="AZ278" i="4"/>
  <c r="AZ285" i="4"/>
  <c r="AY155" i="4"/>
  <c r="AZ155" i="4" s="1"/>
  <c r="AX1138" i="2"/>
  <c r="AY154" i="4"/>
  <c r="AX1182" i="2"/>
  <c r="AX1261" i="2"/>
  <c r="AX161" i="4"/>
  <c r="AX170" i="4" s="1"/>
  <c r="T141" i="1"/>
  <c r="AX285" i="4"/>
  <c r="AX278" i="4"/>
  <c r="AZ334" i="4"/>
  <c r="AZ327" i="4"/>
  <c r="AZ253" i="4"/>
  <c r="AZ202" i="4"/>
  <c r="AZ225" i="4"/>
  <c r="AY328" i="4"/>
  <c r="AX346" i="4"/>
  <c r="AX343" i="4"/>
  <c r="AX335" i="4"/>
  <c r="AX336" i="4" s="1"/>
  <c r="AX359" i="4"/>
  <c r="AX360" i="4" s="1"/>
  <c r="AX361" i="4"/>
  <c r="AX362" i="4" s="1"/>
  <c r="AX354" i="4"/>
  <c r="BA153" i="4"/>
  <c r="BA1185" i="2"/>
  <c r="BA1265" i="2"/>
  <c r="BA275" i="4"/>
  <c r="BA323" i="4"/>
  <c r="BA322" i="4" s="1"/>
  <c r="BA211" i="4"/>
  <c r="BA372" i="4"/>
  <c r="BA371" i="4" s="1"/>
  <c r="AX397" i="4"/>
  <c r="AY396" i="4"/>
  <c r="AY253" i="4"/>
  <c r="AY225" i="4"/>
  <c r="AY202" i="4"/>
  <c r="AZ254" i="4"/>
  <c r="AY335" i="4"/>
  <c r="AY361" i="4"/>
  <c r="AY362" i="4" s="1"/>
  <c r="AY343" i="4"/>
  <c r="AY359" i="4"/>
  <c r="AY360" i="4" s="1"/>
  <c r="AY346" i="4"/>
  <c r="AZ1263" i="2"/>
  <c r="AZ1183" i="2"/>
  <c r="U346" i="4"/>
  <c r="U297" i="4"/>
  <c r="U388" i="4"/>
  <c r="AW301" i="4"/>
  <c r="AY294" i="4"/>
  <c r="AY286" i="4"/>
  <c r="AY297" i="4"/>
  <c r="AY312" i="4"/>
  <c r="AY313" i="4" s="1"/>
  <c r="AY310" i="4"/>
  <c r="AY311" i="4" s="1"/>
  <c r="G181" i="7" l="1"/>
  <c r="AZ328" i="4"/>
  <c r="AX181" i="4"/>
  <c r="AX258" i="4"/>
  <c r="T346" i="4"/>
  <c r="T388" i="4"/>
  <c r="T297" i="4"/>
  <c r="BA1183" i="2"/>
  <c r="BA1263" i="2"/>
  <c r="BA155" i="4"/>
  <c r="AZ335" i="4"/>
  <c r="AZ343" i="4"/>
  <c r="AZ346" i="4"/>
  <c r="AZ361" i="4"/>
  <c r="AZ362" i="4" s="1"/>
  <c r="AZ359" i="4"/>
  <c r="AZ360" i="4" s="1"/>
  <c r="AZ297" i="4"/>
  <c r="AZ294" i="4"/>
  <c r="AZ312" i="4"/>
  <c r="AZ313" i="4" s="1"/>
  <c r="AZ310" i="4"/>
  <c r="AZ311" i="4" s="1"/>
  <c r="AZ286" i="4"/>
  <c r="BB500" i="4"/>
  <c r="BB504" i="4" s="1"/>
  <c r="BB511" i="4" s="1"/>
  <c r="BB512" i="4" s="1"/>
  <c r="BB513" i="4" s="1"/>
  <c r="BB439" i="4"/>
  <c r="BB441" i="4" s="1"/>
  <c r="BB448" i="4" s="1"/>
  <c r="BB449" i="4" s="1"/>
  <c r="BB450" i="4" s="1"/>
  <c r="BB466" i="4"/>
  <c r="BB468" i="4" s="1"/>
  <c r="BB475" i="4" s="1"/>
  <c r="BB476" i="4" s="1"/>
  <c r="BB477" i="4" s="1"/>
  <c r="BB1354" i="2"/>
  <c r="S141" i="1"/>
  <c r="BB1355" i="2"/>
  <c r="BA403" i="4"/>
  <c r="BA404" i="4" s="1"/>
  <c r="BA401" i="4"/>
  <c r="BA402" i="4" s="1"/>
  <c r="BA385" i="4"/>
  <c r="BA388" i="4"/>
  <c r="BA377" i="4"/>
  <c r="AX355" i="4"/>
  <c r="AY354" i="4"/>
  <c r="AX279" i="4"/>
  <c r="AY279" i="4" s="1"/>
  <c r="AZ279" i="4" s="1"/>
  <c r="BB242" i="4"/>
  <c r="BB243" i="4" s="1"/>
  <c r="BB117" i="4"/>
  <c r="AZ1261" i="2"/>
  <c r="AZ1138" i="2"/>
  <c r="AZ161" i="4"/>
  <c r="AZ170" i="4" s="1"/>
  <c r="AZ1182" i="2"/>
  <c r="BA154" i="4"/>
  <c r="BA214" i="4"/>
  <c r="BA1262" i="2" s="1"/>
  <c r="BA216" i="4"/>
  <c r="AX286" i="4"/>
  <c r="AX310" i="4"/>
  <c r="AX294" i="4"/>
  <c r="AX297" i="4"/>
  <c r="AX312" i="4"/>
  <c r="AX305" i="4"/>
  <c r="BA253" i="4"/>
  <c r="BA225" i="4"/>
  <c r="BA202" i="4"/>
  <c r="AY392" i="4"/>
  <c r="AZ378" i="4"/>
  <c r="AZ392" i="4" s="1"/>
  <c r="BA254" i="4"/>
  <c r="AY1138" i="2"/>
  <c r="AY1182" i="2"/>
  <c r="AY1261" i="2"/>
  <c r="AZ154" i="4"/>
  <c r="AY161" i="4"/>
  <c r="AY170" i="4" s="1"/>
  <c r="AZ396" i="4"/>
  <c r="AY397" i="4"/>
  <c r="BA334" i="4"/>
  <c r="BA327" i="4"/>
  <c r="BA274" i="4"/>
  <c r="AX350" i="4"/>
  <c r="AY336" i="4"/>
  <c r="G182" i="7" l="1"/>
  <c r="BA328" i="4"/>
  <c r="AX287" i="4"/>
  <c r="AX265" i="4"/>
  <c r="AX203" i="4"/>
  <c r="AX255" i="4"/>
  <c r="AZ397" i="4"/>
  <c r="BA396" i="4"/>
  <c r="BB622" i="2"/>
  <c r="BB621" i="2" s="1"/>
  <c r="BB129" i="4"/>
  <c r="BB135" i="4" s="1"/>
  <c r="AX313" i="4"/>
  <c r="AX306" i="4"/>
  <c r="AY305" i="4"/>
  <c r="BA1138" i="2"/>
  <c r="BB154" i="4"/>
  <c r="BA1182" i="2"/>
  <c r="BA1261" i="2"/>
  <c r="BA161" i="4"/>
  <c r="BA170" i="4" s="1"/>
  <c r="BB246" i="4"/>
  <c r="BB120" i="4"/>
  <c r="AY355" i="4"/>
  <c r="AZ354" i="4"/>
  <c r="BA359" i="4"/>
  <c r="BA360" i="4" s="1"/>
  <c r="BA343" i="4"/>
  <c r="BA361" i="4"/>
  <c r="BA362" i="4" s="1"/>
  <c r="BA335" i="4"/>
  <c r="BA346" i="4"/>
  <c r="AZ336" i="4"/>
  <c r="AZ350" i="4" s="1"/>
  <c r="AY350" i="4"/>
  <c r="AY181" i="4"/>
  <c r="AY258" i="4"/>
  <c r="AZ181" i="4"/>
  <c r="AZ258" i="4"/>
  <c r="BA378" i="4"/>
  <c r="S346" i="4"/>
  <c r="S388" i="4"/>
  <c r="S297" i="4"/>
  <c r="R141" i="1"/>
  <c r="BA278" i="4"/>
  <c r="BA285" i="4"/>
  <c r="AX311" i="4"/>
  <c r="G185" i="7" l="1"/>
  <c r="E217" i="7"/>
  <c r="AY203" i="4"/>
  <c r="AZ255" i="4"/>
  <c r="BA181" i="4"/>
  <c r="BA255" i="4" s="1"/>
  <c r="BA258" i="4"/>
  <c r="BB153" i="4"/>
  <c r="BB372" i="4"/>
  <c r="BB371" i="4" s="1"/>
  <c r="BB396" i="4" s="1"/>
  <c r="BB211" i="4"/>
  <c r="BB275" i="4"/>
  <c r="BB1185" i="2"/>
  <c r="BB323" i="4"/>
  <c r="BB322" i="4" s="1"/>
  <c r="BB1265" i="2"/>
  <c r="BA397" i="4"/>
  <c r="R346" i="4"/>
  <c r="R388" i="4"/>
  <c r="R297" i="4"/>
  <c r="BA336" i="4"/>
  <c r="AZ305" i="4"/>
  <c r="AY306" i="4"/>
  <c r="AY265" i="4"/>
  <c r="AY255" i="4"/>
  <c r="BA392" i="4"/>
  <c r="AZ265" i="4"/>
  <c r="AZ203" i="4"/>
  <c r="BB185" i="4"/>
  <c r="BB190" i="4" s="1"/>
  <c r="BB632" i="2"/>
  <c r="BB633" i="2" s="1"/>
  <c r="BA312" i="4"/>
  <c r="BA286" i="4"/>
  <c r="BA294" i="4"/>
  <c r="BA310" i="4"/>
  <c r="BA297" i="4"/>
  <c r="BA279" i="4"/>
  <c r="Q141" i="1"/>
  <c r="BB198" i="4"/>
  <c r="AZ355" i="4"/>
  <c r="BA354" i="4"/>
  <c r="AX301" i="4"/>
  <c r="AY287" i="4"/>
  <c r="G195" i="7" l="1"/>
  <c r="BA265" i="4"/>
  <c r="BB397" i="4"/>
  <c r="Q346" i="4"/>
  <c r="Q388" i="4"/>
  <c r="Q297" i="4"/>
  <c r="BA311" i="4"/>
  <c r="AZ306" i="4"/>
  <c r="BA305" i="4"/>
  <c r="BB274" i="4"/>
  <c r="BA355" i="4"/>
  <c r="BB634" i="2"/>
  <c r="BB214" i="4"/>
  <c r="BB1262" i="2" s="1"/>
  <c r="BB216" i="4"/>
  <c r="BB200" i="4"/>
  <c r="BB253" i="4" s="1"/>
  <c r="BB403" i="4"/>
  <c r="BB404" i="4" s="1"/>
  <c r="BB401" i="4"/>
  <c r="BB402" i="4" s="1"/>
  <c r="BB385" i="4"/>
  <c r="BB377" i="4"/>
  <c r="BB378" i="4" s="1"/>
  <c r="BB388" i="4"/>
  <c r="AY301" i="4"/>
  <c r="AZ287" i="4"/>
  <c r="AZ301" i="4" s="1"/>
  <c r="BA313" i="4"/>
  <c r="P141" i="1"/>
  <c r="BB1263" i="2"/>
  <c r="BB155" i="4"/>
  <c r="BB1183" i="2"/>
  <c r="BA350" i="4"/>
  <c r="BA203" i="4"/>
  <c r="BB327" i="4"/>
  <c r="BB328" i="4" s="1"/>
  <c r="BB334" i="4"/>
  <c r="G194" i="7" l="1"/>
  <c r="BA287" i="4"/>
  <c r="BA301" i="4" s="1"/>
  <c r="O141" i="1"/>
  <c r="BA306" i="4"/>
  <c r="BB335" i="4"/>
  <c r="BB336" i="4" s="1"/>
  <c r="BB359" i="4"/>
  <c r="BB360" i="4" s="1"/>
  <c r="BB346" i="4"/>
  <c r="BB343" i="4"/>
  <c r="BB361" i="4"/>
  <c r="BB362" i="4" s="1"/>
  <c r="P346" i="4"/>
  <c r="P388" i="4"/>
  <c r="P297" i="4"/>
  <c r="BB354" i="4"/>
  <c r="BB225" i="4"/>
  <c r="BB202" i="4"/>
  <c r="BB254" i="4"/>
  <c r="BB1138" i="2"/>
  <c r="BB161" i="4"/>
  <c r="BB170" i="4" s="1"/>
  <c r="BB1182" i="2"/>
  <c r="BB1261" i="2"/>
  <c r="BB392" i="4"/>
  <c r="BB278" i="4"/>
  <c r="BB285" i="4"/>
  <c r="G205" i="7" l="1"/>
  <c r="G198" i="7"/>
  <c r="BB305" i="4"/>
  <c r="BB355" i="4"/>
  <c r="N141" i="1"/>
  <c r="BB350" i="4"/>
  <c r="BB181" i="4"/>
  <c r="BB258" i="4"/>
  <c r="BB297" i="4"/>
  <c r="BB310" i="4"/>
  <c r="BB294" i="4"/>
  <c r="BB286" i="4"/>
  <c r="BB312" i="4"/>
  <c r="BB279" i="4"/>
  <c r="O388" i="4"/>
  <c r="O297" i="4"/>
  <c r="O346" i="4"/>
  <c r="G199" i="7" l="1"/>
  <c r="G225" i="7"/>
  <c r="G217" i="7"/>
  <c r="G232" i="7"/>
  <c r="G206" i="7"/>
  <c r="G214" i="7"/>
  <c r="G230" i="7"/>
  <c r="BB306" i="4"/>
  <c r="M141" i="1"/>
  <c r="BB313" i="4"/>
  <c r="BB203" i="4"/>
  <c r="BB255" i="4"/>
  <c r="BB265" i="4"/>
  <c r="BB287" i="4"/>
  <c r="BB311" i="4"/>
  <c r="N297" i="4"/>
  <c r="N388" i="4"/>
  <c r="N346" i="4"/>
  <c r="G226" i="7" l="1"/>
  <c r="G231" i="7"/>
  <c r="G207" i="7"/>
  <c r="G233" i="7"/>
  <c r="BB301" i="4"/>
  <c r="M388" i="4"/>
  <c r="BB389" i="4" s="1"/>
  <c r="M297" i="4"/>
  <c r="M346" i="4"/>
  <c r="L141" i="1"/>
  <c r="D217" i="7" l="1"/>
  <c r="G221" i="7"/>
  <c r="BB298" i="4"/>
  <c r="K141" i="1"/>
  <c r="G218" i="7" l="1"/>
  <c r="J141" i="1"/>
  <c r="B136" i="1"/>
  <c r="B137" i="1" s="1"/>
  <c r="I141" i="1" l="1"/>
  <c r="H141" i="1" l="1"/>
  <c r="BD133" i="10" l="1"/>
  <c r="G141" i="1"/>
  <c r="G346" i="4" s="1"/>
  <c r="BB347" i="4" s="1"/>
  <c r="BD1275" i="2"/>
  <c r="BD1221" i="2"/>
  <c r="BD1136" i="2"/>
  <c r="BD1109" i="2"/>
  <c r="BD1202" i="2"/>
  <c r="BD1151" i="2"/>
  <c r="BD1121" i="2"/>
  <c r="BD1026" i="2"/>
  <c r="BD1032" i="2"/>
  <c r="BD546" i="2"/>
  <c r="BD1281" i="2"/>
  <c r="BD1147" i="2"/>
  <c r="BD551" i="2"/>
  <c r="BD1208" i="2"/>
  <c r="BD332" i="4"/>
  <c r="BD283" i="4"/>
  <c r="BD805" i="2" l="1"/>
  <c r="BD197" i="2"/>
  <c r="BD437" i="2"/>
  <c r="BD1084" i="2"/>
  <c r="BD643" i="2"/>
  <c r="BC1028" i="2"/>
  <c r="BD143" i="2"/>
  <c r="BD729" i="2"/>
  <c r="BD656" i="2"/>
  <c r="BD7" i="2"/>
  <c r="BD1234" i="2"/>
  <c r="BD831" i="2"/>
  <c r="BD737" i="2"/>
  <c r="BD779" i="2"/>
  <c r="BD753" i="2"/>
  <c r="BD50" i="2"/>
  <c r="BD70" i="2"/>
  <c r="BD800" i="2"/>
  <c r="BD915" i="2"/>
  <c r="BD852" i="2"/>
  <c r="BD890" i="2"/>
  <c r="BD712" i="2"/>
  <c r="BD167" i="2"/>
  <c r="BD1272" i="2"/>
  <c r="BD1233" i="2"/>
  <c r="BD682" i="2"/>
  <c r="BD923" i="2"/>
  <c r="BD25" i="2"/>
  <c r="BD707" i="2"/>
  <c r="BD677" i="2"/>
  <c r="BD860" i="2"/>
  <c r="BD1278" i="2"/>
  <c r="BD826" i="2"/>
  <c r="BD1039" i="2"/>
  <c r="BD1038" i="2"/>
  <c r="H9" i="7" l="1"/>
  <c r="H14" i="7"/>
  <c r="BD83" i="2"/>
  <c r="BD110" i="2"/>
  <c r="BD10" i="4"/>
  <c r="BD7" i="4"/>
  <c r="BD319" i="2"/>
  <c r="BD84" i="2"/>
  <c r="BD124" i="2"/>
  <c r="BD768" i="2"/>
  <c r="BD358" i="2"/>
  <c r="BD911" i="2"/>
  <c r="BD907" i="2"/>
  <c r="BD902" i="2"/>
  <c r="BD310" i="2"/>
  <c r="BD937" i="2"/>
  <c r="BD846" i="2"/>
  <c r="BD63" i="2"/>
  <c r="BD741" i="2"/>
  <c r="BD488" i="2"/>
  <c r="BD483" i="2"/>
  <c r="BD931" i="2"/>
  <c r="BD988" i="2"/>
  <c r="BD940" i="2"/>
  <c r="BD822" i="2"/>
  <c r="BD818" i="2"/>
  <c r="BD814" i="2"/>
  <c r="BD774" i="2"/>
  <c r="BD453" i="2"/>
  <c r="BD21" i="2"/>
  <c r="BD9" i="2"/>
  <c r="BD145" i="2"/>
  <c r="BD652" i="2"/>
  <c r="BD367" i="2"/>
  <c r="BD820" i="2"/>
  <c r="BD796" i="2"/>
  <c r="BD792" i="2"/>
  <c r="BD788" i="2"/>
  <c r="BD762" i="2"/>
  <c r="BD468" i="2"/>
  <c r="BD463" i="2"/>
  <c r="BD647" i="2"/>
  <c r="BD445" i="2"/>
  <c r="BD440" i="2"/>
  <c r="BD662" i="2"/>
  <c r="BD671" i="2"/>
  <c r="BD289" i="2"/>
  <c r="BD1251" i="2"/>
  <c r="BD909" i="2"/>
  <c r="BD879" i="2"/>
  <c r="BD8" i="4"/>
  <c r="BD691" i="2"/>
  <c r="BD701" i="2"/>
  <c r="BD977" i="2"/>
  <c r="BD885" i="2"/>
  <c r="BD1252" i="2"/>
  <c r="BD673" i="2"/>
  <c r="BD669" i="2"/>
  <c r="BD665" i="2"/>
  <c r="BD196" i="2"/>
  <c r="BD1092" i="2"/>
  <c r="BD434" i="2"/>
  <c r="BD429" i="2"/>
  <c r="M1236" i="2"/>
  <c r="Z1236" i="2"/>
  <c r="AI1236" i="2"/>
  <c r="AA1236" i="2"/>
  <c r="AU1236" i="2"/>
  <c r="AX1236" i="2"/>
  <c r="AS1236" i="2"/>
  <c r="AM1236" i="2"/>
  <c r="Q1236" i="2"/>
  <c r="V1236" i="2"/>
  <c r="AJ1236" i="2"/>
  <c r="AG1236" i="2"/>
  <c r="AH1236" i="2"/>
  <c r="X1236" i="2"/>
  <c r="BB1236" i="2"/>
  <c r="H1236" i="2"/>
  <c r="AK1236" i="2"/>
  <c r="T1236" i="2"/>
  <c r="G1236" i="2"/>
  <c r="BA1236" i="2"/>
  <c r="Y1236" i="2"/>
  <c r="AC1236" i="2"/>
  <c r="I1236" i="2"/>
  <c r="L1236" i="2"/>
  <c r="AV1236" i="2"/>
  <c r="AE1236" i="2"/>
  <c r="J1236" i="2"/>
  <c r="AW1236" i="2"/>
  <c r="AL1236" i="2"/>
  <c r="AF1236" i="2"/>
  <c r="R1236" i="2"/>
  <c r="AZ1236" i="2"/>
  <c r="O1236" i="2"/>
  <c r="W1236" i="2"/>
  <c r="AQ1236" i="2"/>
  <c r="AR1236" i="2"/>
  <c r="AP1236" i="2"/>
  <c r="AO1236" i="2"/>
  <c r="P1236" i="2"/>
  <c r="U1236" i="2"/>
  <c r="K1236" i="2"/>
  <c r="AT1236" i="2"/>
  <c r="S1236" i="2"/>
  <c r="AD1236" i="2"/>
  <c r="N1236" i="2"/>
  <c r="AN1236" i="2"/>
  <c r="AB1236" i="2"/>
  <c r="AY1236" i="2"/>
  <c r="BD724" i="2"/>
  <c r="BD720" i="2"/>
  <c r="BD1282" i="2"/>
  <c r="BD1280" i="2"/>
  <c r="BD872" i="2"/>
  <c r="BD41" i="2"/>
  <c r="BD28" i="2"/>
  <c r="BD703" i="2"/>
  <c r="BD699" i="2"/>
  <c r="BD694" i="2"/>
  <c r="BD1276" i="2"/>
  <c r="BD1274" i="2"/>
  <c r="BD123" i="2"/>
  <c r="BD794" i="2"/>
  <c r="BD51" i="2"/>
  <c r="BD848" i="2"/>
  <c r="BD844" i="2"/>
  <c r="BD840" i="2"/>
  <c r="BD1061" i="2"/>
  <c r="BD379" i="2"/>
  <c r="BD717" i="2"/>
  <c r="BD726" i="2"/>
  <c r="BD18" i="4"/>
  <c r="B18" i="4" s="1"/>
  <c r="BD19" i="4"/>
  <c r="B19" i="4" s="1"/>
  <c r="H85" i="7" l="1"/>
  <c r="H88" i="7"/>
  <c r="H24" i="7"/>
  <c r="H61" i="7"/>
  <c r="H65" i="7"/>
  <c r="H86" i="7"/>
  <c r="H72" i="7"/>
  <c r="H38" i="7"/>
  <c r="H42" i="7"/>
  <c r="B10" i="4"/>
  <c r="BD108" i="4"/>
  <c r="H173" i="7" s="1"/>
  <c r="BD54" i="4"/>
  <c r="B7" i="4"/>
  <c r="BD52" i="4"/>
  <c r="BD71" i="2"/>
  <c r="BD853" i="2"/>
  <c r="BD847" i="2"/>
  <c r="BD708" i="2"/>
  <c r="BD702" i="2"/>
  <c r="BD81" i="4"/>
  <c r="BD869" i="2"/>
  <c r="BD827" i="2"/>
  <c r="BD821" i="2"/>
  <c r="BD78" i="4"/>
  <c r="BD837" i="2"/>
  <c r="BD955" i="2"/>
  <c r="BD678" i="2"/>
  <c r="BD672" i="2"/>
  <c r="BD970" i="2"/>
  <c r="BD769" i="2"/>
  <c r="BD916" i="2"/>
  <c r="BD910" i="2"/>
  <c r="BD403" i="2"/>
  <c r="B8" i="4"/>
  <c r="BD1299" i="2"/>
  <c r="BD142" i="4"/>
  <c r="BD962" i="2"/>
  <c r="BD985" i="2"/>
  <c r="BD941" i="2"/>
  <c r="BD938" i="2"/>
  <c r="BD1236" i="2"/>
  <c r="B1229" i="2" s="1"/>
  <c r="BD77" i="4"/>
  <c r="BD811" i="2"/>
  <c r="BD458" i="2"/>
  <c r="BD64" i="2"/>
  <c r="BD76" i="4"/>
  <c r="BD785" i="2"/>
  <c r="BD730" i="2"/>
  <c r="BD727" i="2"/>
  <c r="BD373" i="4"/>
  <c r="BD130" i="4"/>
  <c r="BD51" i="4"/>
  <c r="BD746" i="2"/>
  <c r="BD395" i="2"/>
  <c r="BD111" i="2"/>
  <c r="BD1259" i="2"/>
  <c r="BD294" i="2"/>
  <c r="BD383" i="2"/>
  <c r="BD801" i="2"/>
  <c r="BD795" i="2"/>
  <c r="BD85" i="4"/>
  <c r="BD928" i="2"/>
  <c r="BD42" i="2"/>
  <c r="BD82" i="4"/>
  <c r="BD899" i="2"/>
  <c r="BD984" i="2"/>
  <c r="BD387" i="2"/>
  <c r="BD971" i="2"/>
  <c r="BD886" i="2"/>
  <c r="BD880" i="2"/>
  <c r="BD75" i="4"/>
  <c r="BD759" i="2"/>
  <c r="H146" i="7" l="1"/>
  <c r="AZ302" i="7"/>
  <c r="H140" i="7"/>
  <c r="AZ296" i="7"/>
  <c r="H141" i="7"/>
  <c r="AZ297" i="7"/>
  <c r="H142" i="7"/>
  <c r="AZ298" i="7"/>
  <c r="H147" i="7"/>
  <c r="AZ303" i="7"/>
  <c r="H143" i="7"/>
  <c r="AZ299" i="7"/>
  <c r="H150" i="7"/>
  <c r="AZ306" i="7"/>
  <c r="H119" i="7"/>
  <c r="H118" i="7"/>
  <c r="B86" i="7"/>
  <c r="B88" i="7"/>
  <c r="B85" i="7"/>
  <c r="H121" i="7"/>
  <c r="B54" i="4"/>
  <c r="BD152" i="2"/>
  <c r="BD276" i="4"/>
  <c r="H196" i="7" s="1"/>
  <c r="B75" i="4"/>
  <c r="B78" i="4"/>
  <c r="B76" i="4"/>
  <c r="B77" i="4"/>
  <c r="B52" i="4"/>
  <c r="BD165" i="2"/>
  <c r="BD29" i="2"/>
  <c r="BD164" i="2"/>
  <c r="B51" i="4"/>
  <c r="BD371" i="2"/>
  <c r="B81" i="4"/>
  <c r="B82" i="4"/>
  <c r="BD314" i="2"/>
  <c r="BD298" i="2"/>
  <c r="BD412" i="2"/>
  <c r="BD1307" i="2"/>
  <c r="BD956" i="2"/>
  <c r="BD323" i="2"/>
  <c r="BD139" i="4"/>
  <c r="BD963" i="2"/>
  <c r="B85" i="4"/>
  <c r="BD140" i="4"/>
  <c r="BD978" i="2"/>
  <c r="BD22" i="2"/>
  <c r="BD170" i="2"/>
  <c r="BD10" i="2"/>
  <c r="BD990" i="2"/>
  <c r="BD949" i="2"/>
  <c r="BD362" i="2"/>
  <c r="BD1305" i="2"/>
  <c r="BD991" i="2"/>
  <c r="BD293" i="2"/>
  <c r="BD90" i="2"/>
  <c r="B140" i="7" l="1"/>
  <c r="B296" i="7"/>
  <c r="B147" i="7"/>
  <c r="B303" i="7"/>
  <c r="B142" i="7"/>
  <c r="B298" i="7"/>
  <c r="B150" i="7"/>
  <c r="B306" i="7"/>
  <c r="B146" i="7"/>
  <c r="B302" i="7"/>
  <c r="B141" i="7"/>
  <c r="B297" i="7"/>
  <c r="B143" i="7"/>
  <c r="B299" i="7"/>
  <c r="H19" i="7"/>
  <c r="B118" i="7"/>
  <c r="B121" i="7"/>
  <c r="B119" i="7"/>
  <c r="BD153" i="2"/>
  <c r="BD363" i="2"/>
  <c r="BD418" i="2"/>
  <c r="BD302" i="2"/>
  <c r="BD128" i="4"/>
  <c r="BD396" i="2"/>
  <c r="BD42" i="4"/>
  <c r="BD324" i="2"/>
  <c r="BD384" i="2"/>
  <c r="BD303" i="2"/>
  <c r="BD103" i="2"/>
  <c r="BD138" i="4"/>
  <c r="BD402" i="2"/>
  <c r="BD409" i="2"/>
  <c r="BD404" i="2"/>
  <c r="BD457" i="4"/>
  <c r="BD315" i="2"/>
  <c r="BD484" i="4"/>
  <c r="BD9" i="4"/>
  <c r="BD128" i="2"/>
  <c r="BC1029" i="2"/>
  <c r="BD430" i="4"/>
  <c r="BD388" i="2"/>
  <c r="BD775" i="2"/>
  <c r="BD372" i="2"/>
  <c r="H27" i="7" l="1"/>
  <c r="H76" i="7"/>
  <c r="H109" i="7"/>
  <c r="H87" i="7"/>
  <c r="BD36" i="4"/>
  <c r="BD43" i="4"/>
  <c r="BD177" i="2"/>
  <c r="BD386" i="2"/>
  <c r="B9" i="4"/>
  <c r="BD104" i="2"/>
  <c r="B42" i="4"/>
  <c r="BD413" i="2"/>
  <c r="AV1030" i="2"/>
  <c r="AL1030" i="2"/>
  <c r="AA1030" i="2"/>
  <c r="Y1030" i="2"/>
  <c r="AF1030" i="2"/>
  <c r="AX1030" i="2"/>
  <c r="AK1030" i="2"/>
  <c r="N1030" i="2"/>
  <c r="S1030" i="2"/>
  <c r="Z1030" i="2"/>
  <c r="AC1030" i="2"/>
  <c r="AH1030" i="2"/>
  <c r="AG1030" i="2"/>
  <c r="AR1030" i="2"/>
  <c r="I1030" i="2"/>
  <c r="R1030" i="2"/>
  <c r="O1030" i="2"/>
  <c r="AS1030" i="2"/>
  <c r="Q1030" i="2"/>
  <c r="AD1030" i="2"/>
  <c r="AM1030" i="2"/>
  <c r="AI1030" i="2"/>
  <c r="AY1030" i="2"/>
  <c r="AO1030" i="2"/>
  <c r="J1030" i="2"/>
  <c r="V1030" i="2"/>
  <c r="U1030" i="2"/>
  <c r="K1030" i="2"/>
  <c r="AN1030" i="2"/>
  <c r="BA1030" i="2"/>
  <c r="AE1030" i="2"/>
  <c r="L1030" i="2"/>
  <c r="AB1030" i="2"/>
  <c r="AT1030" i="2"/>
  <c r="T1030" i="2"/>
  <c r="G1030" i="2"/>
  <c r="AU1030" i="2"/>
  <c r="P1030" i="2"/>
  <c r="AZ1030" i="2"/>
  <c r="W1030" i="2"/>
  <c r="AP1030" i="2"/>
  <c r="M1030" i="2"/>
  <c r="BB1030" i="2"/>
  <c r="AJ1030" i="2"/>
  <c r="H1030" i="2"/>
  <c r="X1030" i="2"/>
  <c r="AW1030" i="2"/>
  <c r="AQ1030" i="2"/>
  <c r="BC1030" i="2"/>
  <c r="BD219" i="2"/>
  <c r="BD130" i="2"/>
  <c r="BD243" i="2"/>
  <c r="BD158" i="2"/>
  <c r="BD519" i="2"/>
  <c r="BD394" i="2"/>
  <c r="BD46" i="4"/>
  <c r="BD473" i="2"/>
  <c r="BD995" i="2"/>
  <c r="BD6" i="4"/>
  <c r="BD35" i="4"/>
  <c r="BD277" i="4"/>
  <c r="H197" i="7" s="1"/>
  <c r="BD374" i="4"/>
  <c r="BD324" i="4"/>
  <c r="BD144" i="4"/>
  <c r="BD1264" i="2"/>
  <c r="BD1184" i="2"/>
  <c r="BD189" i="2"/>
  <c r="H113" i="7" l="1"/>
  <c r="B109" i="7"/>
  <c r="H75" i="7"/>
  <c r="B87" i="7"/>
  <c r="H74" i="7"/>
  <c r="H102" i="7"/>
  <c r="H84" i="7"/>
  <c r="H110" i="7"/>
  <c r="H103" i="7"/>
  <c r="B36" i="4"/>
  <c r="B43" i="4"/>
  <c r="BD112" i="4"/>
  <c r="H177" i="7" s="1"/>
  <c r="BD178" i="2"/>
  <c r="BD190" i="2"/>
  <c r="BD91" i="2"/>
  <c r="BD41" i="4"/>
  <c r="BD1321" i="2"/>
  <c r="BD553" i="2"/>
  <c r="BD93" i="4"/>
  <c r="BD554" i="2"/>
  <c r="BD524" i="2"/>
  <c r="BD478" i="2"/>
  <c r="BD221" i="2"/>
  <c r="BD527" i="2"/>
  <c r="BD61" i="4"/>
  <c r="BD1291" i="2"/>
  <c r="B35" i="4"/>
  <c r="BD45" i="4"/>
  <c r="BD1322" i="2"/>
  <c r="BD393" i="2"/>
  <c r="B46" i="4"/>
  <c r="BD34" i="4"/>
  <c r="BD245" i="2"/>
  <c r="BD410" i="2"/>
  <c r="B6" i="4"/>
  <c r="BD53" i="4"/>
  <c r="B1030" i="2"/>
  <c r="BD129" i="2"/>
  <c r="B113" i="7" l="1"/>
  <c r="B102" i="7"/>
  <c r="H120" i="7"/>
  <c r="H158" i="7"/>
  <c r="H77" i="7"/>
  <c r="B103" i="7"/>
  <c r="H126" i="7"/>
  <c r="H112" i="7"/>
  <c r="B84" i="7"/>
  <c r="B110" i="7"/>
  <c r="H101" i="7"/>
  <c r="H108" i="7"/>
  <c r="BD96" i="4"/>
  <c r="BD131" i="2"/>
  <c r="BD559" i="2"/>
  <c r="BD204" i="2"/>
  <c r="BD32" i="4"/>
  <c r="BD485" i="4"/>
  <c r="BD565" i="2"/>
  <c r="BD1302" i="2"/>
  <c r="BD528" i="2"/>
  <c r="BD100" i="4"/>
  <c r="H1034" i="2"/>
  <c r="G1034" i="2"/>
  <c r="BD458" i="4"/>
  <c r="BD533" i="2"/>
  <c r="BD552" i="2"/>
  <c r="BD419" i="2"/>
  <c r="BD431" i="4"/>
  <c r="BD268" i="2"/>
  <c r="BD497" i="4"/>
  <c r="B61" i="4"/>
  <c r="B45" i="4"/>
  <c r="BD60" i="4"/>
  <c r="BD50" i="4"/>
  <c r="B53" i="4"/>
  <c r="B34" i="4"/>
  <c r="B41" i="4"/>
  <c r="H117" i="7" l="1"/>
  <c r="B120" i="7"/>
  <c r="B112" i="7"/>
  <c r="B126" i="7"/>
  <c r="H165" i="7"/>
  <c r="H125" i="7"/>
  <c r="H99" i="7"/>
  <c r="B108" i="7"/>
  <c r="B101" i="7"/>
  <c r="H161" i="7"/>
  <c r="BD102" i="4"/>
  <c r="BD97" i="4"/>
  <c r="BD30" i="4"/>
  <c r="BD183" i="2"/>
  <c r="BD265" i="2"/>
  <c r="BD252" i="2"/>
  <c r="BD264" i="2"/>
  <c r="BD240" i="2"/>
  <c r="BD228" i="2"/>
  <c r="BD241" i="2"/>
  <c r="BD48" i="4"/>
  <c r="B32" i="4"/>
  <c r="BD464" i="4"/>
  <c r="BD437" i="4"/>
  <c r="BD496" i="4"/>
  <c r="BD1323" i="2"/>
  <c r="BD271" i="2"/>
  <c r="H1036" i="2"/>
  <c r="G1035" i="2"/>
  <c r="I1034" i="2"/>
  <c r="J1034" i="2" s="1"/>
  <c r="J1036" i="2" s="1"/>
  <c r="H1035" i="2"/>
  <c r="G1036" i="2"/>
  <c r="BD401" i="2"/>
  <c r="BD205" i="2"/>
  <c r="BD95" i="4"/>
  <c r="BD216" i="2"/>
  <c r="B50" i="4"/>
  <c r="B60" i="4"/>
  <c r="BD526" i="2"/>
  <c r="BD217" i="2"/>
  <c r="BD28" i="4"/>
  <c r="B99" i="7" l="1"/>
  <c r="B125" i="7"/>
  <c r="B117" i="7"/>
  <c r="H115" i="7"/>
  <c r="H97" i="7"/>
  <c r="H167" i="7"/>
  <c r="H160" i="7"/>
  <c r="H95" i="7"/>
  <c r="H162" i="7"/>
  <c r="B30" i="4"/>
  <c r="BD29" i="4"/>
  <c r="BD253" i="2"/>
  <c r="I1035" i="2"/>
  <c r="BD564" i="2"/>
  <c r="BD538" i="2"/>
  <c r="BD566" i="2"/>
  <c r="B28" i="4"/>
  <c r="B48" i="4"/>
  <c r="K1034" i="2"/>
  <c r="K1035" i="2" s="1"/>
  <c r="BD94" i="4"/>
  <c r="I1036" i="2"/>
  <c r="J1035" i="2"/>
  <c r="B115" i="7" l="1"/>
  <c r="H159" i="7"/>
  <c r="B97" i="7"/>
  <c r="B95" i="7"/>
  <c r="H96" i="7"/>
  <c r="BD27" i="4"/>
  <c r="B29" i="4"/>
  <c r="BD274" i="2"/>
  <c r="BD210" i="2"/>
  <c r="BD1292" i="2"/>
  <c r="L1034" i="2"/>
  <c r="BD1301" i="2"/>
  <c r="BD269" i="2"/>
  <c r="BD270" i="2"/>
  <c r="BD229" i="2"/>
  <c r="BD98" i="4"/>
  <c r="K1036" i="2"/>
  <c r="H163" i="7" l="1"/>
  <c r="B96" i="7"/>
  <c r="H94" i="7"/>
  <c r="BD258" i="2"/>
  <c r="B27" i="4"/>
  <c r="BD127" i="4"/>
  <c r="BD234" i="2"/>
  <c r="BD432" i="4"/>
  <c r="BD486" i="4"/>
  <c r="BD459" i="4"/>
  <c r="BD272" i="2"/>
  <c r="BD70" i="10"/>
  <c r="L1035" i="2"/>
  <c r="L1036" i="2"/>
  <c r="M1034" i="2"/>
  <c r="N1034" i="2" s="1"/>
  <c r="N1035" i="2" s="1"/>
  <c r="B94" i="7" l="1"/>
  <c r="BD273" i="2"/>
  <c r="M1035" i="2"/>
  <c r="N1036" i="2"/>
  <c r="M1036" i="2"/>
  <c r="O1034" i="2"/>
  <c r="BD280" i="2" l="1"/>
  <c r="O1035" i="2"/>
  <c r="O1036" i="2"/>
  <c r="P1034" i="2"/>
  <c r="P1035" i="2" s="1"/>
  <c r="Q1034" i="2" l="1"/>
  <c r="Q1036" i="2" s="1"/>
  <c r="P1036" i="2"/>
  <c r="R1034" i="2" l="1"/>
  <c r="Q1035" i="2"/>
  <c r="R1036" i="2" l="1"/>
  <c r="S1034" i="2"/>
  <c r="R1035" i="2"/>
  <c r="S1035" i="2" l="1"/>
  <c r="T1034" i="2"/>
  <c r="S1036" i="2"/>
  <c r="T1035" i="2" l="1"/>
  <c r="T1036" i="2"/>
  <c r="U1034" i="2"/>
  <c r="V1034" i="2" l="1"/>
  <c r="U1035" i="2"/>
  <c r="U1036" i="2"/>
  <c r="V1036" i="2" l="1"/>
  <c r="V1035" i="2"/>
  <c r="W1034" i="2"/>
  <c r="W1035" i="2" l="1"/>
  <c r="X1034" i="2"/>
  <c r="W1036" i="2"/>
  <c r="Y1034" i="2" l="1"/>
  <c r="X1036" i="2"/>
  <c r="X1035" i="2"/>
  <c r="Y1035" i="2" l="1"/>
  <c r="Y1036" i="2"/>
  <c r="Z1034" i="2"/>
  <c r="Z1035" i="2" l="1"/>
  <c r="Z1036" i="2"/>
  <c r="AA1034" i="2"/>
  <c r="AA1035" i="2" l="1"/>
  <c r="AB1034" i="2"/>
  <c r="AA1036" i="2"/>
  <c r="AB1036" i="2" l="1"/>
  <c r="AB1035" i="2"/>
  <c r="AC1034" i="2"/>
  <c r="AC1036" i="2" l="1"/>
  <c r="AC1035" i="2"/>
  <c r="AD1034" i="2"/>
  <c r="AD1036" i="2" l="1"/>
  <c r="AD1035" i="2"/>
  <c r="AE1034" i="2"/>
  <c r="AE1035" i="2" l="1"/>
  <c r="AF1034" i="2"/>
  <c r="AE1036" i="2"/>
  <c r="BD441" i="4"/>
  <c r="BD468" i="4"/>
  <c r="BD504" i="4"/>
  <c r="AF1035" i="2" l="1"/>
  <c r="AF1036" i="2"/>
  <c r="AG1034" i="2"/>
  <c r="BD1107" i="2"/>
  <c r="BD1106" i="2"/>
  <c r="BD511" i="4"/>
  <c r="BD475" i="4"/>
  <c r="BD448" i="4"/>
  <c r="B1102" i="2" l="1"/>
  <c r="AG1036" i="2"/>
  <c r="AG1035" i="2"/>
  <c r="AH1034" i="2"/>
  <c r="BD476" i="4"/>
  <c r="B479" i="4" s="1"/>
  <c r="BD449" i="4"/>
  <c r="B452" i="4" s="1"/>
  <c r="BD512" i="4"/>
  <c r="B515" i="4" s="1"/>
  <c r="AI1034" i="2" l="1"/>
  <c r="AH1035" i="2"/>
  <c r="AH1036" i="2"/>
  <c r="AI1036" i="2" l="1"/>
  <c r="AJ1034" i="2"/>
  <c r="AI1035" i="2"/>
  <c r="AK1034" i="2" l="1"/>
  <c r="AJ1035" i="2"/>
  <c r="AJ1036" i="2"/>
  <c r="AK1035" i="2" l="1"/>
  <c r="AL1034" i="2"/>
  <c r="AK1036" i="2"/>
  <c r="AL1035" i="2" l="1"/>
  <c r="AL1036" i="2"/>
  <c r="AM1034" i="2"/>
  <c r="BD1119" i="2"/>
  <c r="BD1118" i="2"/>
  <c r="B1114" i="2" l="1"/>
  <c r="AN1034" i="2"/>
  <c r="AM1036" i="2"/>
  <c r="AM1035" i="2"/>
  <c r="BD1200" i="2"/>
  <c r="BD1199" i="2"/>
  <c r="AO1034" i="2" l="1"/>
  <c r="AN1036" i="2"/>
  <c r="AN1035" i="2"/>
  <c r="B1195" i="2"/>
  <c r="BD117" i="10"/>
  <c r="BD116" i="10"/>
  <c r="AO1036" i="2" l="1"/>
  <c r="AO1035" i="2"/>
  <c r="AP1034" i="2"/>
  <c r="AP1035" i="2" l="1"/>
  <c r="AQ1034" i="2"/>
  <c r="AP1036" i="2"/>
  <c r="AQ1036" i="2" l="1"/>
  <c r="AQ1035" i="2"/>
  <c r="AR1034" i="2"/>
  <c r="BD1219" i="2"/>
  <c r="BD1218" i="2"/>
  <c r="B1214" i="2" l="1"/>
  <c r="AR1036" i="2"/>
  <c r="AR1035" i="2"/>
  <c r="AS1034" i="2"/>
  <c r="BD110" i="10" l="1"/>
  <c r="BD109" i="10"/>
  <c r="AS1036" i="2"/>
  <c r="AS1035" i="2"/>
  <c r="AT1034" i="2"/>
  <c r="AU1034" i="2" l="1"/>
  <c r="AT1035" i="2"/>
  <c r="AT1036" i="2"/>
  <c r="AV1034" i="2" l="1"/>
  <c r="AU1035" i="2"/>
  <c r="AU1036" i="2"/>
  <c r="AV1036" i="2" l="1"/>
  <c r="AV1035" i="2"/>
  <c r="AW1034" i="2"/>
  <c r="AX1034" i="2" l="1"/>
  <c r="AW1036" i="2"/>
  <c r="AW1035" i="2"/>
  <c r="AX1035" i="2" l="1"/>
  <c r="AY1034" i="2"/>
  <c r="AX1036" i="2"/>
  <c r="AZ1034" i="2" l="1"/>
  <c r="AY1036" i="2"/>
  <c r="AY1035" i="2"/>
  <c r="BD1014" i="2" l="1"/>
  <c r="AZ1036" i="2"/>
  <c r="BA1034" i="2"/>
  <c r="AZ1035" i="2"/>
  <c r="BD1012" i="2"/>
  <c r="G1008" i="2" l="1"/>
  <c r="H1008" i="2" s="1"/>
  <c r="H1019" i="2" s="1"/>
  <c r="G1009" i="2"/>
  <c r="H1009" i="2" s="1"/>
  <c r="H1018" i="2" s="1"/>
  <c r="BB1034" i="2"/>
  <c r="BA1035" i="2"/>
  <c r="BA1036" i="2"/>
  <c r="I1009" i="2" l="1"/>
  <c r="I1018" i="2" s="1"/>
  <c r="BB1036" i="2"/>
  <c r="BB1035" i="2"/>
  <c r="I1008" i="2"/>
  <c r="J1009" i="2"/>
  <c r="G1015" i="2"/>
  <c r="G1018" i="2"/>
  <c r="G1016" i="2"/>
  <c r="H1015" i="2"/>
  <c r="H1016" i="2"/>
  <c r="I1015" i="2"/>
  <c r="G1019" i="2"/>
  <c r="I1016" i="2" l="1"/>
  <c r="J1018" i="2"/>
  <c r="I1019" i="2"/>
  <c r="J1008" i="2"/>
  <c r="K1009" i="2"/>
  <c r="K1016" i="2" s="1"/>
  <c r="J1015" i="2"/>
  <c r="J1016" i="2"/>
  <c r="L1009" i="2" l="1"/>
  <c r="K1015" i="2"/>
  <c r="K1018" i="2"/>
  <c r="M1009" i="2"/>
  <c r="M1018" i="2" s="1"/>
  <c r="J1019" i="2"/>
  <c r="K1008" i="2"/>
  <c r="L1016" i="2"/>
  <c r="M1015" i="2" l="1"/>
  <c r="N1009" i="2"/>
  <c r="O1009" i="2" s="1"/>
  <c r="L1018" i="2"/>
  <c r="M1016" i="2"/>
  <c r="K1019" i="2"/>
  <c r="L1008" i="2"/>
  <c r="M1008" i="2" s="1"/>
  <c r="L1015" i="2"/>
  <c r="N1016" i="2" l="1"/>
  <c r="M1019" i="2"/>
  <c r="N1008" i="2"/>
  <c r="N1019" i="2" s="1"/>
  <c r="O1016" i="2"/>
  <c r="L1019" i="2"/>
  <c r="O1008" i="2"/>
  <c r="N1018" i="2"/>
  <c r="N1015" i="2"/>
  <c r="O1015" i="2"/>
  <c r="O1018" i="2"/>
  <c r="P1009" i="2"/>
  <c r="O1019" i="2" l="1"/>
  <c r="P1016" i="2"/>
  <c r="P1015" i="2"/>
  <c r="P1008" i="2"/>
  <c r="P1018" i="2"/>
  <c r="Q1009" i="2"/>
  <c r="Q1015" i="2" s="1"/>
  <c r="Q1016" i="2" l="1"/>
  <c r="R1009" i="2"/>
  <c r="P1019" i="2"/>
  <c r="Q1008" i="2"/>
  <c r="Q1018" i="2"/>
  <c r="Q1019" i="2" l="1"/>
  <c r="R1008" i="2"/>
  <c r="R1018" i="2"/>
  <c r="S1009" i="2"/>
  <c r="R1016" i="2"/>
  <c r="R1015" i="2"/>
  <c r="R1019" i="2" l="1"/>
  <c r="S1008" i="2"/>
  <c r="S1018" i="2"/>
  <c r="T1009" i="2"/>
  <c r="S1015" i="2"/>
  <c r="S1016" i="2"/>
  <c r="S1019" i="2" l="1"/>
  <c r="T1008" i="2"/>
  <c r="T1018" i="2"/>
  <c r="T1016" i="2"/>
  <c r="U1009" i="2"/>
  <c r="T1015" i="2"/>
  <c r="T1019" i="2" l="1"/>
  <c r="U1008" i="2"/>
  <c r="U1018" i="2"/>
  <c r="V1009" i="2"/>
  <c r="U1015" i="2"/>
  <c r="U1016" i="2"/>
  <c r="U1019" i="2" l="1"/>
  <c r="V1008" i="2"/>
  <c r="V1018" i="2"/>
  <c r="V1015" i="2"/>
  <c r="W1009" i="2"/>
  <c r="V1016" i="2"/>
  <c r="V1019" i="2" l="1"/>
  <c r="W1008" i="2"/>
  <c r="W1018" i="2"/>
  <c r="X1009" i="2"/>
  <c r="W1016" i="2"/>
  <c r="W1015" i="2"/>
  <c r="X1018" i="2" l="1"/>
  <c r="X1016" i="2"/>
  <c r="X1015" i="2"/>
  <c r="Y1009" i="2"/>
  <c r="W1019" i="2"/>
  <c r="X1008" i="2"/>
  <c r="Y1018" i="2" l="1"/>
  <c r="Z1009" i="2"/>
  <c r="Y1016" i="2"/>
  <c r="Y1015" i="2"/>
  <c r="X1019" i="2"/>
  <c r="Y1008" i="2"/>
  <c r="Y1019" i="2" l="1"/>
  <c r="Z1008" i="2"/>
  <c r="Z1018" i="2"/>
  <c r="AA1009" i="2"/>
  <c r="Z1015" i="2"/>
  <c r="Z1016" i="2"/>
  <c r="AA1018" i="2" l="1"/>
  <c r="AA1016" i="2"/>
  <c r="AA1015" i="2"/>
  <c r="AB1009" i="2"/>
  <c r="Z1019" i="2"/>
  <c r="AA1008" i="2"/>
  <c r="AA1019" i="2" l="1"/>
  <c r="AB1008" i="2"/>
  <c r="AB1018" i="2"/>
  <c r="AB1015" i="2"/>
  <c r="AB1016" i="2"/>
  <c r="AC1009" i="2"/>
  <c r="AC1018" i="2" l="1"/>
  <c r="AD1009" i="2"/>
  <c r="AC1015" i="2"/>
  <c r="AC1016" i="2"/>
  <c r="AB1019" i="2"/>
  <c r="AC1008" i="2"/>
  <c r="AD1018" i="2" l="1"/>
  <c r="AE1009" i="2"/>
  <c r="AD1016" i="2"/>
  <c r="AD1015" i="2"/>
  <c r="AC1019" i="2"/>
  <c r="AD1008" i="2"/>
  <c r="AD1019" i="2" l="1"/>
  <c r="AE1008" i="2"/>
  <c r="AE1018" i="2"/>
  <c r="AF1009" i="2"/>
  <c r="AE1016" i="2"/>
  <c r="AE1015" i="2"/>
  <c r="AE1019" i="2" l="1"/>
  <c r="AF1008" i="2"/>
  <c r="AF1018" i="2"/>
  <c r="AF1015" i="2"/>
  <c r="AF1016" i="2"/>
  <c r="AG1009" i="2"/>
  <c r="AF1019" i="2" l="1"/>
  <c r="AG1008" i="2"/>
  <c r="AG1018" i="2"/>
  <c r="AH1009" i="2"/>
  <c r="AG1015" i="2"/>
  <c r="AG1016" i="2"/>
  <c r="AH1018" i="2" l="1"/>
  <c r="AI1009" i="2"/>
  <c r="AH1016" i="2"/>
  <c r="AH1015" i="2"/>
  <c r="AG1019" i="2"/>
  <c r="AH1008" i="2"/>
  <c r="AH1019" i="2" l="1"/>
  <c r="AI1008" i="2"/>
  <c r="AI1018" i="2"/>
  <c r="AJ1009" i="2"/>
  <c r="AI1016" i="2"/>
  <c r="AI1015" i="2"/>
  <c r="AI1019" i="2" l="1"/>
  <c r="AJ1008" i="2"/>
  <c r="AJ1018" i="2"/>
  <c r="AJ1015" i="2"/>
  <c r="AJ1016" i="2"/>
  <c r="AK1009" i="2"/>
  <c r="AJ1019" i="2" l="1"/>
  <c r="AK1008" i="2"/>
  <c r="AK1018" i="2"/>
  <c r="AL1009" i="2"/>
  <c r="AK1015" i="2"/>
  <c r="AK1016" i="2"/>
  <c r="AL1018" i="2" l="1"/>
  <c r="AM1009" i="2"/>
  <c r="AL1015" i="2"/>
  <c r="AL1016" i="2"/>
  <c r="AK1019" i="2"/>
  <c r="AL1008" i="2"/>
  <c r="AL1019" i="2" l="1"/>
  <c r="AM1008" i="2"/>
  <c r="AM1018" i="2"/>
  <c r="AN1009" i="2"/>
  <c r="AM1015" i="2"/>
  <c r="AM1016" i="2"/>
  <c r="AN1018" i="2" l="1"/>
  <c r="AO1009" i="2"/>
  <c r="AN1015" i="2"/>
  <c r="AN1016" i="2"/>
  <c r="AM1019" i="2"/>
  <c r="AN1008" i="2"/>
  <c r="AN1019" i="2" l="1"/>
  <c r="AO1008" i="2"/>
  <c r="AO1018" i="2"/>
  <c r="AO1015" i="2"/>
  <c r="AP1009" i="2"/>
  <c r="AO1016" i="2"/>
  <c r="AP1018" i="2" l="1"/>
  <c r="AQ1009" i="2"/>
  <c r="AP1016" i="2"/>
  <c r="AP1015" i="2"/>
  <c r="AO1019" i="2"/>
  <c r="AP1008" i="2"/>
  <c r="AP1019" i="2" l="1"/>
  <c r="AQ1008" i="2"/>
  <c r="AQ1018" i="2"/>
  <c r="AR1009" i="2"/>
  <c r="AQ1015" i="2"/>
  <c r="AQ1016" i="2"/>
  <c r="AR1018" i="2" l="1"/>
  <c r="AR1015" i="2"/>
  <c r="AS1009" i="2"/>
  <c r="AR1016" i="2"/>
  <c r="AQ1019" i="2"/>
  <c r="AR1008" i="2"/>
  <c r="AR1019" i="2" l="1"/>
  <c r="AS1008" i="2"/>
  <c r="AS1018" i="2"/>
  <c r="AS1016" i="2"/>
  <c r="AT1009" i="2"/>
  <c r="AS1015" i="2"/>
  <c r="AS1019" i="2" l="1"/>
  <c r="AT1008" i="2"/>
  <c r="AT1018" i="2"/>
  <c r="AU1009" i="2"/>
  <c r="AT1015" i="2"/>
  <c r="AT1016" i="2"/>
  <c r="AT1019" i="2" l="1"/>
  <c r="AU1008" i="2"/>
  <c r="AU1018" i="2"/>
  <c r="AV1009" i="2"/>
  <c r="AU1015" i="2"/>
  <c r="AU1016" i="2"/>
  <c r="AV1018" i="2" l="1"/>
  <c r="AV1015" i="2"/>
  <c r="AV1016" i="2"/>
  <c r="AW1009" i="2"/>
  <c r="AU1019" i="2"/>
  <c r="AV1008" i="2"/>
  <c r="AW1018" i="2" l="1"/>
  <c r="AX1009" i="2"/>
  <c r="AW1015" i="2"/>
  <c r="AW1016" i="2"/>
  <c r="AV1019" i="2"/>
  <c r="AW1008" i="2"/>
  <c r="AX1018" i="2" l="1"/>
  <c r="AY1009" i="2"/>
  <c r="AX1016" i="2"/>
  <c r="AX1015" i="2"/>
  <c r="AW1019" i="2"/>
  <c r="AX1008" i="2"/>
  <c r="AX1019" i="2" l="1"/>
  <c r="AY1008" i="2"/>
  <c r="AY1018" i="2"/>
  <c r="AY1015" i="2"/>
  <c r="AZ1009" i="2"/>
  <c r="AY1016" i="2"/>
  <c r="AZ1018" i="2" l="1"/>
  <c r="BA1009" i="2"/>
  <c r="AZ1015" i="2"/>
  <c r="AZ1016" i="2"/>
  <c r="AY1019" i="2"/>
  <c r="AZ1008" i="2"/>
  <c r="AZ1019" i="2" l="1"/>
  <c r="BA1008" i="2"/>
  <c r="BA1018" i="2"/>
  <c r="BA1016" i="2"/>
  <c r="BB1009" i="2"/>
  <c r="BA1015" i="2"/>
  <c r="BA1019" i="2" l="1"/>
  <c r="BB1008" i="2"/>
  <c r="BB1018" i="2"/>
  <c r="BB1015" i="2"/>
  <c r="BB1016" i="2"/>
  <c r="BD23" i="2" l="1"/>
  <c r="BD15" i="2"/>
  <c r="BB1019" i="2"/>
  <c r="BD105" i="2"/>
  <c r="BD96" i="2"/>
  <c r="BD43" i="2" l="1"/>
  <c r="BD34" i="2"/>
  <c r="BD85" i="2"/>
  <c r="BD76" i="2"/>
  <c r="BD125" i="2"/>
  <c r="BD116" i="2"/>
  <c r="BD56" i="2" l="1"/>
  <c r="BD65" i="2"/>
  <c r="BD136" i="2" l="1"/>
  <c r="BD132" i="2"/>
  <c r="BD135" i="2"/>
  <c r="BD1351" i="2" l="1"/>
  <c r="BD126" i="4"/>
  <c r="BD1298" i="2"/>
  <c r="BD1311" i="2" l="1"/>
  <c r="BD1309" i="2"/>
  <c r="BD1347" i="2"/>
  <c r="BD1342" i="2"/>
  <c r="BD489" i="4" l="1"/>
  <c r="BD1295" i="2"/>
  <c r="BD499" i="4"/>
  <c r="BD501" i="4"/>
  <c r="BD1340" i="2"/>
  <c r="BD1339" i="2"/>
  <c r="BD465" i="4" l="1"/>
  <c r="BD1296" i="2"/>
  <c r="BD1297" i="2"/>
  <c r="BD498" i="4" l="1"/>
  <c r="BD1341" i="2"/>
  <c r="BD438" i="4"/>
  <c r="BD488" i="4"/>
  <c r="BD434" i="4"/>
  <c r="BD461" i="4"/>
  <c r="BD1349" i="2" l="1"/>
  <c r="BD1350" i="2" l="1"/>
  <c r="BD1345" i="2" l="1"/>
  <c r="BD1344" i="2"/>
  <c r="BD439" i="4" l="1"/>
  <c r="BD500" i="4"/>
  <c r="BD1346" i="2"/>
  <c r="BD466" i="4" l="1"/>
  <c r="BD1258" i="2" l="1"/>
  <c r="BD1242" i="2"/>
  <c r="BD1034" i="2" l="1"/>
  <c r="BD982" i="2" l="1"/>
  <c r="BD935" i="2"/>
  <c r="BD968" i="2"/>
  <c r="BD877" i="2"/>
  <c r="BD972" i="2" l="1"/>
  <c r="BD881" i="2"/>
  <c r="BD957" i="2"/>
  <c r="BD770" i="2"/>
  <c r="BD766" i="2"/>
  <c r="BD953" i="2" l="1"/>
  <c r="BD63" i="4" l="1"/>
  <c r="H128" i="7" l="1"/>
  <c r="BD65" i="4"/>
  <c r="B63" i="4"/>
  <c r="H130" i="7" l="1"/>
  <c r="B128" i="7"/>
  <c r="B65" i="4"/>
  <c r="BD84" i="10"/>
  <c r="B130" i="7" l="1"/>
  <c r="BD1018" i="2"/>
  <c r="BD1009" i="2"/>
  <c r="BD1019" i="2" l="1"/>
  <c r="BD1008" i="2"/>
  <c r="BD77" i="10" l="1"/>
  <c r="BD107" i="4" l="1"/>
  <c r="H172" i="7" l="1"/>
  <c r="BD495" i="4"/>
  <c r="BD1313" i="2"/>
  <c r="BD103" i="4" l="1"/>
  <c r="BD1314" i="2"/>
  <c r="H168" i="7" l="1"/>
  <c r="BD494" i="4"/>
  <c r="BD436" i="4"/>
  <c r="BD463" i="4"/>
  <c r="BD1315" i="2"/>
  <c r="B249" i="4"/>
  <c r="G249" i="4" s="1"/>
  <c r="BD333" i="4"/>
  <c r="BD104" i="4"/>
  <c r="H169" i="7" l="1"/>
  <c r="BD284" i="4"/>
  <c r="BD109" i="4"/>
  <c r="H249" i="4"/>
  <c r="G250" i="4"/>
  <c r="H174" i="7" l="1"/>
  <c r="H204" i="7"/>
  <c r="H250" i="4"/>
  <c r="I249" i="4"/>
  <c r="BD492" i="4"/>
  <c r="BD115" i="4"/>
  <c r="H180" i="7" l="1"/>
  <c r="BD1328" i="2"/>
  <c r="J249" i="4"/>
  <c r="I250" i="4"/>
  <c r="BD1336" i="2" l="1"/>
  <c r="J250" i="4"/>
  <c r="K249" i="4"/>
  <c r="BD1331" i="2"/>
  <c r="L249" i="4" l="1"/>
  <c r="K250" i="4"/>
  <c r="BD1337" i="2"/>
  <c r="L250" i="4" l="1"/>
  <c r="M249" i="4"/>
  <c r="BD491" i="4"/>
  <c r="BD1325" i="2"/>
  <c r="BD1353" i="2"/>
  <c r="BD1326" i="2" l="1"/>
  <c r="BD116" i="4"/>
  <c r="N249" i="4"/>
  <c r="M250" i="4"/>
  <c r="M251" i="4" s="1"/>
  <c r="H181" i="7" l="1"/>
  <c r="N250" i="4"/>
  <c r="N251" i="4" s="1"/>
  <c r="O249" i="4"/>
  <c r="BD117" i="4"/>
  <c r="BD1327" i="2"/>
  <c r="H182" i="7" l="1"/>
  <c r="O250" i="4"/>
  <c r="O251" i="4" s="1"/>
  <c r="P249" i="4"/>
  <c r="BD1354" i="2"/>
  <c r="BD435" i="4"/>
  <c r="BD120" i="4"/>
  <c r="BD462" i="4"/>
  <c r="BD490" i="4"/>
  <c r="H185" i="7" l="1"/>
  <c r="P250" i="4"/>
  <c r="P251" i="4" s="1"/>
  <c r="Q249" i="4"/>
  <c r="BD129" i="4"/>
  <c r="BD1185" i="2" l="1"/>
  <c r="BD1265" i="2"/>
  <c r="BD135" i="4"/>
  <c r="R249" i="4"/>
  <c r="Q250" i="4"/>
  <c r="Q251" i="4" s="1"/>
  <c r="BD323" i="4" l="1"/>
  <c r="BD1183" i="2"/>
  <c r="BD1263" i="2"/>
  <c r="BD153" i="4"/>
  <c r="BD275" i="4"/>
  <c r="R250" i="4"/>
  <c r="R251" i="4" s="1"/>
  <c r="S249" i="4"/>
  <c r="BD372" i="4"/>
  <c r="H195" i="7" l="1"/>
  <c r="AK221" i="4"/>
  <c r="AK223" i="4" s="1"/>
  <c r="AZ221" i="4"/>
  <c r="AZ223" i="4" s="1"/>
  <c r="AR221" i="4"/>
  <c r="AR223" i="4" s="1"/>
  <c r="AD221" i="4"/>
  <c r="AD223" i="4" s="1"/>
  <c r="AO221" i="4"/>
  <c r="AO223" i="4" s="1"/>
  <c r="AP221" i="4"/>
  <c r="AP223" i="4" s="1"/>
  <c r="Q221" i="4"/>
  <c r="Q223" i="4" s="1"/>
  <c r="AN221" i="4"/>
  <c r="AN223" i="4" s="1"/>
  <c r="AU221" i="4"/>
  <c r="AU223" i="4" s="1"/>
  <c r="AQ221" i="4"/>
  <c r="AQ223" i="4" s="1"/>
  <c r="Z221" i="4"/>
  <c r="Z223" i="4" s="1"/>
  <c r="AM221" i="4"/>
  <c r="AM223" i="4" s="1"/>
  <c r="AB221" i="4"/>
  <c r="AB223" i="4" s="1"/>
  <c r="K221" i="4"/>
  <c r="K223" i="4" s="1"/>
  <c r="AG221" i="4"/>
  <c r="AG223" i="4" s="1"/>
  <c r="AH221" i="4"/>
  <c r="AH223" i="4" s="1"/>
  <c r="AL221" i="4"/>
  <c r="AL223" i="4" s="1"/>
  <c r="AF221" i="4"/>
  <c r="AF223" i="4" s="1"/>
  <c r="W221" i="4"/>
  <c r="W223" i="4" s="1"/>
  <c r="L221" i="4"/>
  <c r="L223" i="4" s="1"/>
  <c r="H221" i="4"/>
  <c r="H223" i="4" s="1"/>
  <c r="U221" i="4"/>
  <c r="U223" i="4" s="1"/>
  <c r="G221" i="4"/>
  <c r="G223" i="4" s="1"/>
  <c r="M221" i="4"/>
  <c r="M223" i="4" s="1"/>
  <c r="R221" i="4"/>
  <c r="R223" i="4" s="1"/>
  <c r="Y221" i="4"/>
  <c r="Y223" i="4" s="1"/>
  <c r="AA221" i="4"/>
  <c r="AA223" i="4" s="1"/>
  <c r="N221" i="4"/>
  <c r="N223" i="4" s="1"/>
  <c r="J221" i="4"/>
  <c r="J223" i="4" s="1"/>
  <c r="BB221" i="4"/>
  <c r="BB223" i="4" s="1"/>
  <c r="AY221" i="4"/>
  <c r="AY223" i="4" s="1"/>
  <c r="AX221" i="4"/>
  <c r="AX223" i="4" s="1"/>
  <c r="S221" i="4"/>
  <c r="S223" i="4" s="1"/>
  <c r="AT221" i="4"/>
  <c r="AT223" i="4" s="1"/>
  <c r="AE221" i="4"/>
  <c r="AE223" i="4" s="1"/>
  <c r="AW221" i="4"/>
  <c r="AW223" i="4" s="1"/>
  <c r="AJ221" i="4"/>
  <c r="AJ223" i="4" s="1"/>
  <c r="AV221" i="4"/>
  <c r="AV223" i="4" s="1"/>
  <c r="X221" i="4"/>
  <c r="X223" i="4" s="1"/>
  <c r="AC221" i="4"/>
  <c r="AC223" i="4" s="1"/>
  <c r="AI221" i="4"/>
  <c r="AI223" i="4" s="1"/>
  <c r="O221" i="4"/>
  <c r="O223" i="4" s="1"/>
  <c r="I221" i="4"/>
  <c r="I223" i="4" s="1"/>
  <c r="P221" i="4"/>
  <c r="P223" i="4" s="1"/>
  <c r="BA221" i="4"/>
  <c r="BA223" i="4" s="1"/>
  <c r="V221" i="4"/>
  <c r="V223" i="4" s="1"/>
  <c r="T221" i="4"/>
  <c r="T223" i="4" s="1"/>
  <c r="AS221" i="4"/>
  <c r="AS223" i="4" s="1"/>
  <c r="BD371" i="4"/>
  <c r="B397" i="4"/>
  <c r="T249" i="4"/>
  <c r="S250" i="4"/>
  <c r="S251" i="4" s="1"/>
  <c r="BD274" i="4"/>
  <c r="BD322" i="4"/>
  <c r="H194" i="7" l="1"/>
  <c r="Y398" i="4"/>
  <c r="Z398" i="4"/>
  <c r="K398" i="4"/>
  <c r="H398" i="4"/>
  <c r="BB398" i="4"/>
  <c r="AQ398" i="4"/>
  <c r="AC398" i="4"/>
  <c r="AB398" i="4"/>
  <c r="AH398" i="4"/>
  <c r="AX398" i="4"/>
  <c r="BA398" i="4"/>
  <c r="W398" i="4"/>
  <c r="AS398" i="4"/>
  <c r="O398" i="4"/>
  <c r="J398" i="4"/>
  <c r="AE398" i="4"/>
  <c r="X398" i="4"/>
  <c r="AF398" i="4"/>
  <c r="L398" i="4"/>
  <c r="G398" i="4"/>
  <c r="AK398" i="4"/>
  <c r="R398" i="4"/>
  <c r="AY398" i="4"/>
  <c r="AV398" i="4"/>
  <c r="AD398" i="4"/>
  <c r="AA398" i="4"/>
  <c r="I398" i="4"/>
  <c r="U398" i="4"/>
  <c r="N398" i="4"/>
  <c r="V398" i="4"/>
  <c r="AU398" i="4"/>
  <c r="AM398" i="4"/>
  <c r="AG398" i="4"/>
  <c r="AR398" i="4"/>
  <c r="AW398" i="4"/>
  <c r="AT398" i="4"/>
  <c r="AZ398" i="4"/>
  <c r="Q398" i="4"/>
  <c r="T398" i="4"/>
  <c r="AP398" i="4"/>
  <c r="AL398" i="4"/>
  <c r="P398" i="4"/>
  <c r="AI398" i="4"/>
  <c r="S398" i="4"/>
  <c r="M398" i="4"/>
  <c r="AO398" i="4"/>
  <c r="AJ398" i="4"/>
  <c r="AN398" i="4"/>
  <c r="T250" i="4"/>
  <c r="T251" i="4" s="1"/>
  <c r="U249" i="4"/>
  <c r="BD388" i="4"/>
  <c r="G389" i="4"/>
  <c r="BD402" i="4"/>
  <c r="BD401" i="4"/>
  <c r="BD285" i="4"/>
  <c r="BD377" i="4"/>
  <c r="B380" i="4" s="1"/>
  <c r="B392" i="4"/>
  <c r="BD334" i="4"/>
  <c r="B355" i="4"/>
  <c r="BD327" i="4"/>
  <c r="B329" i="4" s="1"/>
  <c r="BD404" i="4"/>
  <c r="BD403" i="4"/>
  <c r="BD278" i="4"/>
  <c r="BD385" i="4"/>
  <c r="B382" i="4"/>
  <c r="H198" i="7" l="1"/>
  <c r="H205" i="7"/>
  <c r="B400" i="4"/>
  <c r="B340" i="4"/>
  <c r="BD343" i="4"/>
  <c r="B291" i="4"/>
  <c r="BD294" i="4"/>
  <c r="BD360" i="4"/>
  <c r="BD359" i="4"/>
  <c r="BD310" i="4"/>
  <c r="V249" i="4"/>
  <c r="U250" i="4"/>
  <c r="U251" i="4" s="1"/>
  <c r="BD346" i="4"/>
  <c r="G347" i="4"/>
  <c r="I393" i="4"/>
  <c r="BB393" i="4"/>
  <c r="AB393" i="4"/>
  <c r="AT393" i="4"/>
  <c r="AW393" i="4"/>
  <c r="U393" i="4"/>
  <c r="AX393" i="4"/>
  <c r="AK393" i="4"/>
  <c r="S393" i="4"/>
  <c r="J393" i="4"/>
  <c r="AO393" i="4"/>
  <c r="V393" i="4"/>
  <c r="Q393" i="4"/>
  <c r="P393" i="4"/>
  <c r="H393" i="4"/>
  <c r="N393" i="4"/>
  <c r="AF393" i="4"/>
  <c r="AN393" i="4"/>
  <c r="AC393" i="4"/>
  <c r="AY393" i="4"/>
  <c r="BA393" i="4"/>
  <c r="AS393" i="4"/>
  <c r="M393" i="4"/>
  <c r="AI393" i="4"/>
  <c r="AE393" i="4"/>
  <c r="AJ393" i="4"/>
  <c r="Z393" i="4"/>
  <c r="AV393" i="4"/>
  <c r="T393" i="4"/>
  <c r="O393" i="4"/>
  <c r="AD393" i="4"/>
  <c r="AU393" i="4"/>
  <c r="X393" i="4"/>
  <c r="K393" i="4"/>
  <c r="AP393" i="4"/>
  <c r="L393" i="4"/>
  <c r="AZ393" i="4"/>
  <c r="Y393" i="4"/>
  <c r="AG393" i="4"/>
  <c r="AM393" i="4"/>
  <c r="AL393" i="4"/>
  <c r="G393" i="4"/>
  <c r="AR393" i="4"/>
  <c r="W393" i="4"/>
  <c r="R393" i="4"/>
  <c r="AQ393" i="4"/>
  <c r="AA393" i="4"/>
  <c r="AH393" i="4"/>
  <c r="B387" i="4"/>
  <c r="BD389" i="4"/>
  <c r="BD312" i="4"/>
  <c r="BD286" i="4"/>
  <c r="AM356" i="4"/>
  <c r="AH356" i="4"/>
  <c r="H356" i="4"/>
  <c r="I356" i="4"/>
  <c r="AK356" i="4"/>
  <c r="AR356" i="4"/>
  <c r="AU356" i="4"/>
  <c r="AW356" i="4"/>
  <c r="J356" i="4"/>
  <c r="S356" i="4"/>
  <c r="K356" i="4"/>
  <c r="X356" i="4"/>
  <c r="AD356" i="4"/>
  <c r="O356" i="4"/>
  <c r="AG356" i="4"/>
  <c r="N356" i="4"/>
  <c r="AO356" i="4"/>
  <c r="AI356" i="4"/>
  <c r="T356" i="4"/>
  <c r="BA356" i="4"/>
  <c r="AZ356" i="4"/>
  <c r="AL356" i="4"/>
  <c r="AS356" i="4"/>
  <c r="Y356" i="4"/>
  <c r="R356" i="4"/>
  <c r="AC356" i="4"/>
  <c r="Q356" i="4"/>
  <c r="M356" i="4"/>
  <c r="BB356" i="4"/>
  <c r="AA356" i="4"/>
  <c r="AE356" i="4"/>
  <c r="AN356" i="4"/>
  <c r="W356" i="4"/>
  <c r="Z356" i="4"/>
  <c r="AJ356" i="4"/>
  <c r="AQ356" i="4"/>
  <c r="L356" i="4"/>
  <c r="G356" i="4"/>
  <c r="AY356" i="4"/>
  <c r="AB356" i="4"/>
  <c r="U356" i="4"/>
  <c r="AP356" i="4"/>
  <c r="AF356" i="4"/>
  <c r="P356" i="4"/>
  <c r="AT356" i="4"/>
  <c r="V356" i="4"/>
  <c r="AV356" i="4"/>
  <c r="AX356" i="4"/>
  <c r="B280" i="4"/>
  <c r="BD335" i="4"/>
  <c r="B338" i="4" s="1"/>
  <c r="B350" i="4"/>
  <c r="C203" i="4"/>
  <c r="BD362" i="4"/>
  <c r="BD361" i="4"/>
  <c r="BD297" i="4"/>
  <c r="G298" i="4"/>
  <c r="BD398" i="4"/>
  <c r="B211" i="7" l="1"/>
  <c r="B200" i="7"/>
  <c r="H232" i="7"/>
  <c r="D218" i="7"/>
  <c r="H206" i="7"/>
  <c r="H230" i="7"/>
  <c r="H217" i="7"/>
  <c r="H214" i="7"/>
  <c r="B358" i="4"/>
  <c r="BD313" i="4"/>
  <c r="BD311" i="4"/>
  <c r="B306" i="4"/>
  <c r="BD393" i="4"/>
  <c r="W249" i="4"/>
  <c r="V250" i="4"/>
  <c r="V251" i="4" s="1"/>
  <c r="BD298" i="4"/>
  <c r="B296" i="4"/>
  <c r="AE351" i="4"/>
  <c r="AW351" i="4"/>
  <c r="U351" i="4"/>
  <c r="V351" i="4"/>
  <c r="AQ351" i="4"/>
  <c r="AP351" i="4"/>
  <c r="AR351" i="4"/>
  <c r="AY351" i="4"/>
  <c r="R351" i="4"/>
  <c r="W351" i="4"/>
  <c r="X351" i="4"/>
  <c r="K351" i="4"/>
  <c r="P351" i="4"/>
  <c r="T351" i="4"/>
  <c r="AS351" i="4"/>
  <c r="AV351" i="4"/>
  <c r="H351" i="4"/>
  <c r="AU351" i="4"/>
  <c r="Y351" i="4"/>
  <c r="J351" i="4"/>
  <c r="O351" i="4"/>
  <c r="AM351" i="4"/>
  <c r="AN351" i="4"/>
  <c r="AG351" i="4"/>
  <c r="L351" i="4"/>
  <c r="AZ351" i="4"/>
  <c r="AA351" i="4"/>
  <c r="AT351" i="4"/>
  <c r="AD351" i="4"/>
  <c r="Q351" i="4"/>
  <c r="I351" i="4"/>
  <c r="AJ351" i="4"/>
  <c r="AH351" i="4"/>
  <c r="AB351" i="4"/>
  <c r="AC351" i="4"/>
  <c r="AI351" i="4"/>
  <c r="S351" i="4"/>
  <c r="AX351" i="4"/>
  <c r="G351" i="4"/>
  <c r="AF351" i="4"/>
  <c r="N351" i="4"/>
  <c r="AO351" i="4"/>
  <c r="M351" i="4"/>
  <c r="Z351" i="4"/>
  <c r="BA351" i="4"/>
  <c r="AK351" i="4"/>
  <c r="BB351" i="4"/>
  <c r="AL351" i="4"/>
  <c r="B289" i="4"/>
  <c r="B345" i="4"/>
  <c r="BD347" i="4"/>
  <c r="B398" i="4"/>
  <c r="B395" i="4"/>
  <c r="BD356" i="4"/>
  <c r="B226" i="7" l="1"/>
  <c r="H218" i="7"/>
  <c r="H231" i="7"/>
  <c r="B209" i="7"/>
  <c r="H233" i="7"/>
  <c r="B216" i="7"/>
  <c r="B309" i="4"/>
  <c r="AR307" i="4"/>
  <c r="BA307" i="4"/>
  <c r="O307" i="4"/>
  <c r="AL307" i="4"/>
  <c r="AV307" i="4"/>
  <c r="X307" i="4"/>
  <c r="M307" i="4"/>
  <c r="I307" i="4"/>
  <c r="Y307" i="4"/>
  <c r="AK307" i="4"/>
  <c r="L307" i="4"/>
  <c r="AW307" i="4"/>
  <c r="N307" i="4"/>
  <c r="S307" i="4"/>
  <c r="AX307" i="4"/>
  <c r="P307" i="4"/>
  <c r="AM307" i="4"/>
  <c r="AY307" i="4"/>
  <c r="AU307" i="4"/>
  <c r="W307" i="4"/>
  <c r="AZ307" i="4"/>
  <c r="AG307" i="4"/>
  <c r="T307" i="4"/>
  <c r="BB307" i="4"/>
  <c r="AI307" i="4"/>
  <c r="K307" i="4"/>
  <c r="AF307" i="4"/>
  <c r="AC307" i="4"/>
  <c r="AE307" i="4"/>
  <c r="AO307" i="4"/>
  <c r="AA307" i="4"/>
  <c r="AQ307" i="4"/>
  <c r="H307" i="4"/>
  <c r="AS307" i="4"/>
  <c r="AN307" i="4"/>
  <c r="AB307" i="4"/>
  <c r="Z307" i="4"/>
  <c r="V307" i="4"/>
  <c r="AJ307" i="4"/>
  <c r="Q307" i="4"/>
  <c r="J307" i="4"/>
  <c r="R307" i="4"/>
  <c r="AP307" i="4"/>
  <c r="AT307" i="4"/>
  <c r="U307" i="4"/>
  <c r="AD307" i="4"/>
  <c r="AH307" i="4"/>
  <c r="G307" i="4"/>
  <c r="B301" i="4"/>
  <c r="B393" i="4"/>
  <c r="B391" i="4"/>
  <c r="B356" i="4"/>
  <c r="B353" i="4"/>
  <c r="X249" i="4"/>
  <c r="W250" i="4"/>
  <c r="W251" i="4" s="1"/>
  <c r="BD351" i="4"/>
  <c r="B221" i="7" l="1"/>
  <c r="B229" i="7"/>
  <c r="E227" i="7"/>
  <c r="F227" i="7"/>
  <c r="D227" i="7"/>
  <c r="G227" i="7"/>
  <c r="Y302" i="4"/>
  <c r="AW302" i="4"/>
  <c r="BA302" i="4"/>
  <c r="AK302" i="4"/>
  <c r="G302" i="4"/>
  <c r="R302" i="4"/>
  <c r="S302" i="4"/>
  <c r="AO302" i="4"/>
  <c r="AY302" i="4"/>
  <c r="AR302" i="4"/>
  <c r="N302" i="4"/>
  <c r="I302" i="4"/>
  <c r="Q302" i="4"/>
  <c r="AT302" i="4"/>
  <c r="M302" i="4"/>
  <c r="AG302" i="4"/>
  <c r="K302" i="4"/>
  <c r="AB302" i="4"/>
  <c r="AI302" i="4"/>
  <c r="AC302" i="4"/>
  <c r="AV302" i="4"/>
  <c r="H302" i="4"/>
  <c r="AJ302" i="4"/>
  <c r="AF302" i="4"/>
  <c r="P302" i="4"/>
  <c r="U302" i="4"/>
  <c r="AP302" i="4"/>
  <c r="AX302" i="4"/>
  <c r="J302" i="4"/>
  <c r="AU302" i="4"/>
  <c r="X302" i="4"/>
  <c r="AQ302" i="4"/>
  <c r="AD302" i="4"/>
  <c r="T302" i="4"/>
  <c r="BB302" i="4"/>
  <c r="V302" i="4"/>
  <c r="W302" i="4"/>
  <c r="AM302" i="4"/>
  <c r="AE302" i="4"/>
  <c r="AZ302" i="4"/>
  <c r="AA302" i="4"/>
  <c r="AH302" i="4"/>
  <c r="AL302" i="4"/>
  <c r="AS302" i="4"/>
  <c r="AN302" i="4"/>
  <c r="O302" i="4"/>
  <c r="L302" i="4"/>
  <c r="Z302" i="4"/>
  <c r="BD307" i="4"/>
  <c r="B351" i="4"/>
  <c r="B349" i="4"/>
  <c r="X250" i="4"/>
  <c r="X251" i="4" s="1"/>
  <c r="Y249" i="4"/>
  <c r="H227" i="7" l="1"/>
  <c r="G222" i="7"/>
  <c r="E222" i="7"/>
  <c r="F222" i="7"/>
  <c r="D222" i="7"/>
  <c r="BD302" i="4"/>
  <c r="B307" i="4"/>
  <c r="B304" i="4"/>
  <c r="Z249" i="4"/>
  <c r="Y250" i="4"/>
  <c r="Y251" i="4" s="1"/>
  <c r="B227" i="7" l="1"/>
  <c r="B224" i="7"/>
  <c r="H222" i="7"/>
  <c r="B300" i="4"/>
  <c r="B302" i="4"/>
  <c r="AA249" i="4"/>
  <c r="Z250" i="4"/>
  <c r="Z251" i="4" s="1"/>
  <c r="B222" i="7" l="1"/>
  <c r="B220" i="7"/>
  <c r="AA250" i="4"/>
  <c r="AA251" i="4" s="1"/>
  <c r="AB249" i="4"/>
  <c r="AC249" i="4" l="1"/>
  <c r="AB250" i="4"/>
  <c r="AB251" i="4" s="1"/>
  <c r="AD249" i="4" l="1"/>
  <c r="AC250" i="4"/>
  <c r="AC251" i="4" s="1"/>
  <c r="AD250" i="4" l="1"/>
  <c r="AD251" i="4" s="1"/>
  <c r="AE249" i="4"/>
  <c r="AF249" i="4" l="1"/>
  <c r="AE250" i="4"/>
  <c r="AE251" i="4" s="1"/>
  <c r="AG249" i="4" l="1"/>
  <c r="AF250" i="4"/>
  <c r="AF251" i="4" s="1"/>
  <c r="AG250" i="4" l="1"/>
  <c r="AG251" i="4" s="1"/>
  <c r="AH249" i="4"/>
  <c r="AI249" i="4" l="1"/>
  <c r="AH250" i="4"/>
  <c r="AH251" i="4" s="1"/>
  <c r="AJ249" i="4" l="1"/>
  <c r="AI250" i="4"/>
  <c r="AI251" i="4" s="1"/>
  <c r="AK249" i="4" l="1"/>
  <c r="AJ250" i="4"/>
  <c r="AJ251" i="4" s="1"/>
  <c r="AL249" i="4" l="1"/>
  <c r="AK250" i="4"/>
  <c r="AK251" i="4" s="1"/>
  <c r="AL250" i="4" l="1"/>
  <c r="AL251" i="4" s="1"/>
  <c r="AM249" i="4"/>
  <c r="AN249" i="4" l="1"/>
  <c r="AM250" i="4"/>
  <c r="AM251" i="4" s="1"/>
  <c r="AN250" i="4" l="1"/>
  <c r="AN251" i="4" s="1"/>
  <c r="AO249" i="4"/>
  <c r="AO250" i="4" l="1"/>
  <c r="AO251" i="4" s="1"/>
  <c r="AP249" i="4"/>
  <c r="AQ249" i="4" l="1"/>
  <c r="AP250" i="4"/>
  <c r="AP251" i="4" s="1"/>
  <c r="AQ250" i="4" l="1"/>
  <c r="AQ251" i="4" s="1"/>
  <c r="AR249" i="4"/>
  <c r="AS249" i="4" l="1"/>
  <c r="AR250" i="4"/>
  <c r="AR251" i="4" s="1"/>
  <c r="AT249" i="4" l="1"/>
  <c r="AS250" i="4"/>
  <c r="AS251" i="4" s="1"/>
  <c r="AU249" i="4" l="1"/>
  <c r="AT250" i="4"/>
  <c r="AT251" i="4" s="1"/>
  <c r="AV249" i="4" l="1"/>
  <c r="AU250" i="4"/>
  <c r="AU251" i="4" s="1"/>
  <c r="AV250" i="4" l="1"/>
  <c r="AV251" i="4" s="1"/>
  <c r="AW249" i="4"/>
  <c r="AX249" i="4" l="1"/>
  <c r="AW250" i="4"/>
  <c r="AW251" i="4" s="1"/>
  <c r="AY249" i="4" l="1"/>
  <c r="AX250" i="4"/>
  <c r="AX251" i="4" s="1"/>
  <c r="AZ249" i="4" l="1"/>
  <c r="AY250" i="4"/>
  <c r="AY251" i="4" s="1"/>
  <c r="BA249" i="4" l="1"/>
  <c r="AZ250" i="4"/>
  <c r="AZ251" i="4" s="1"/>
  <c r="BB249" i="4" l="1"/>
  <c r="BA250" i="4"/>
  <c r="BA251" i="4" s="1"/>
  <c r="BB250" i="4" l="1"/>
  <c r="BB251"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Александров Валерий</author>
  </authors>
  <commentList>
    <comment ref="G211" authorId="0" shapeId="0" xr:uid="{00000000-0006-0000-0300-000001000000}">
      <text>
        <r>
          <rPr>
            <sz val="9"/>
            <color indexed="81"/>
            <rFont val="Tahoma"/>
            <family val="2"/>
            <charset val="204"/>
          </rPr>
          <t>Плюсовать займы?</t>
        </r>
      </text>
    </comment>
  </commentList>
</comments>
</file>

<file path=xl/sharedStrings.xml><?xml version="1.0" encoding="utf-8"?>
<sst xmlns="http://schemas.openxmlformats.org/spreadsheetml/2006/main" count="7065" uniqueCount="3536">
  <si>
    <t>ИТОГО</t>
  </si>
  <si>
    <t>%</t>
  </si>
  <si>
    <t>лет</t>
  </si>
  <si>
    <t>период</t>
  </si>
  <si>
    <t>ID</t>
  </si>
  <si>
    <t>Flags</t>
  </si>
  <si>
    <t>Cur</t>
  </si>
  <si>
    <t>Дата начала проекта</t>
  </si>
  <si>
    <t>Шаг планирования</t>
  </si>
  <si>
    <t>Длительность шага планирования</t>
  </si>
  <si>
    <t>Основная валюта расчетов</t>
  </si>
  <si>
    <t>Вторая валюта</t>
  </si>
  <si>
    <t>Третья валюта</t>
  </si>
  <si>
    <t>Язык интерфейса и отчетности</t>
  </si>
  <si>
    <t>Включена</t>
  </si>
  <si>
    <t>Русский</t>
  </si>
  <si>
    <t>$</t>
  </si>
  <si>
    <t>EUR</t>
  </si>
  <si>
    <t>Год начала проекта</t>
  </si>
  <si>
    <t>Месяц начала проекта</t>
  </si>
  <si>
    <t>Дата начала периода</t>
  </si>
  <si>
    <t>ДАТА НАЧАЛА И ДЛИТЕЛЬНОСТЬ</t>
  </si>
  <si>
    <t>Год периода</t>
  </si>
  <si>
    <t>Месяц начала периода</t>
  </si>
  <si>
    <t>Номер периода</t>
  </si>
  <si>
    <t>Длительность периода в днях</t>
  </si>
  <si>
    <t>Название периода для заголовков таблиц</t>
  </si>
  <si>
    <t>Неполный период (1 - да)?</t>
  </si>
  <si>
    <t>Коэффициент для учета неполного периода</t>
  </si>
  <si>
    <t>НАСТРОЙКА ВИДА ТАБЛИЦ</t>
  </si>
  <si>
    <t>ВАЛЮТЫ, КУРСЫ, ИНФЛЯЦИЯ</t>
  </si>
  <si>
    <t>Предполагаемый темп годового роста цен</t>
  </si>
  <si>
    <t>То же, в пересчете на период, равный шагу проекта</t>
  </si>
  <si>
    <t>Учитывать</t>
  </si>
  <si>
    <t>Темпы роста курса к основной валюте</t>
  </si>
  <si>
    <t>% в год</t>
  </si>
  <si>
    <t>Стиль оформления листов</t>
  </si>
  <si>
    <t>English</t>
  </si>
  <si>
    <t>Название проекта</t>
  </si>
  <si>
    <t>Проект без названия</t>
  </si>
  <si>
    <t>Темпы роста цен, базовые</t>
  </si>
  <si>
    <t>Продажи</t>
  </si>
  <si>
    <t>Материалы и комплектующие</t>
  </si>
  <si>
    <t>Прочие переменные затраты</t>
  </si>
  <si>
    <t>Постоянные производственные издержки</t>
  </si>
  <si>
    <t>Постоянные административные издержки</t>
  </si>
  <si>
    <t>Постоянные маркетинговые издержки</t>
  </si>
  <si>
    <t>Персонал</t>
  </si>
  <si>
    <t>Детализация; темпы роста цен в отдельных категориях:</t>
  </si>
  <si>
    <t>Учет инфляции при планировании цен</t>
  </si>
  <si>
    <t>Альт-Инвест</t>
  </si>
  <si>
    <t>ПАРАМЕТРЫ НАЛОГОВ</t>
  </si>
  <si>
    <t>Ставка налога, федеральная составляющая</t>
  </si>
  <si>
    <t>Ставка налога, местная составляющая</t>
  </si>
  <si>
    <t>Суммарная ставка налога на прибыль</t>
  </si>
  <si>
    <t>мес.</t>
  </si>
  <si>
    <t>НАЛОГ НА ПРИБЫЛЬ</t>
  </si>
  <si>
    <t>НАЛОГ НА ИМУЩЕСТВО</t>
  </si>
  <si>
    <t>Ставка налога для недвижимости</t>
  </si>
  <si>
    <t>Ставка налога для оборудования</t>
  </si>
  <si>
    <t>НАЛОГ С ОБОРОТА (УСН)</t>
  </si>
  <si>
    <t>Стандартная ставка налога</t>
  </si>
  <si>
    <t>НАЛОГ НА ДОБАВЛЕННУЮ СТОИМОСТЬ</t>
  </si>
  <si>
    <t>периодов</t>
  </si>
  <si>
    <t>Ставка страхования от несчастных случаев</t>
  </si>
  <si>
    <t>прямое возмещение через</t>
  </si>
  <si>
    <t>Способ зачета переплаченного НДС:</t>
  </si>
  <si>
    <t>НАЛОГ С ДОХОДА, УМЕНЬШЕННОГО НА РАСХОДЫ (УСН, ЕСХН)</t>
  </si>
  <si>
    <t>СТАВКИ ДИСКОНТИРОВАНИЯ</t>
  </si>
  <si>
    <t>Расчет средневзвешенной ставки:</t>
  </si>
  <si>
    <t xml:space="preserve">WACC = Re * We + Rd * Wd * (1-T) = </t>
  </si>
  <si>
    <t>Доля собственного капитала в расчете ставки, We</t>
  </si>
  <si>
    <t>Доля заемного капитала в расчете ставки, Wd</t>
  </si>
  <si>
    <t>Ставка налога на прибыль, T</t>
  </si>
  <si>
    <t>Ставка для собственного капитала, Re</t>
  </si>
  <si>
    <t>Долгосрочные темпы роста в постпрогнозный период</t>
  </si>
  <si>
    <t>зачитывать при будущих расчетах</t>
  </si>
  <si>
    <t>Валюта, используемая при расчете эффективности</t>
  </si>
  <si>
    <t>Ставка реинвестирования доходов (для расчета MIRR)</t>
  </si>
  <si>
    <t>Выключена</t>
  </si>
  <si>
    <t>Включена (с паролем)</t>
  </si>
  <si>
    <t>Сборка дистрибутива выполнена?</t>
  </si>
  <si>
    <t>Дата сборки</t>
  </si>
  <si>
    <t>Это демоверсия?</t>
  </si>
  <si>
    <t>Это версия СУММ?</t>
  </si>
  <si>
    <t>Технические флаги</t>
  </si>
  <si>
    <t>Параметры</t>
  </si>
  <si>
    <t>Старт</t>
  </si>
  <si>
    <t>Результаты</t>
  </si>
  <si>
    <t>Сценарии</t>
  </si>
  <si>
    <t>Графики</t>
  </si>
  <si>
    <t>Отчет</t>
  </si>
  <si>
    <t>Цветовые схемы</t>
  </si>
  <si>
    <t>Оттенки серого</t>
  </si>
  <si>
    <t>Текущие настройки</t>
  </si>
  <si>
    <t>Заголовок</t>
  </si>
  <si>
    <t>Пароль защиты</t>
  </si>
  <si>
    <t>Флаги сборки</t>
  </si>
  <si>
    <t>Сумм?</t>
  </si>
  <si>
    <t>Базовый язык интерфейса?</t>
  </si>
  <si>
    <t>Будет собрана версия:</t>
  </si>
  <si>
    <t>Отмена</t>
  </si>
  <si>
    <t>Пароль:</t>
  </si>
  <si>
    <t>Показывать вводимый текст</t>
  </si>
  <si>
    <t>Английский</t>
  </si>
  <si>
    <t>Фиксированные строки, используемые в макросах (и иногда на листах тоже). Строки для листов начинаются после зеленого заголовка</t>
  </si>
  <si>
    <t>Внешний вид модели</t>
  </si>
  <si>
    <t>Язык интерфейса и отчетных форм</t>
  </si>
  <si>
    <t>Цвета, используемые в модели</t>
  </si>
  <si>
    <t>Удалить из проекта макросы и формулы...</t>
  </si>
  <si>
    <t>Проверяются до 8 колонок</t>
  </si>
  <si>
    <t>Настройки пользователя</t>
  </si>
  <si>
    <t>Загрузить готовый стиль оформления:</t>
  </si>
  <si>
    <t>Стандартный</t>
  </si>
  <si>
    <t>С этого места начинаются строки, которые могут применяться ТОЛЬКО на листах</t>
  </si>
  <si>
    <t>Main</t>
  </si>
  <si>
    <t>Start</t>
  </si>
  <si>
    <t>Project</t>
  </si>
  <si>
    <t>Results</t>
  </si>
  <si>
    <t>Charts</t>
  </si>
  <si>
    <t>Report</t>
  </si>
  <si>
    <t>Изменить</t>
  </si>
  <si>
    <t>Edit</t>
  </si>
  <si>
    <t>Удалить все формулы</t>
  </si>
  <si>
    <t>Январь</t>
  </si>
  <si>
    <t>Февраль</t>
  </si>
  <si>
    <t>Март</t>
  </si>
  <si>
    <t>Апрель</t>
  </si>
  <si>
    <t>Май</t>
  </si>
  <si>
    <t>Июнь</t>
  </si>
  <si>
    <t>Июль</t>
  </si>
  <si>
    <t>Август</t>
  </si>
  <si>
    <t>Сентябрь</t>
  </si>
  <si>
    <t>Октябрь</t>
  </si>
  <si>
    <t>Ноябрь</t>
  </si>
  <si>
    <t>Декабрь</t>
  </si>
  <si>
    <t>Дата начала и длительность</t>
  </si>
  <si>
    <t>Начало проекта</t>
  </si>
  <si>
    <t>Число периодов</t>
  </si>
  <si>
    <t>Длительность периода</t>
  </si>
  <si>
    <t>Alt-Invest</t>
  </si>
  <si>
    <t>Cancel</t>
  </si>
  <si>
    <t>Password:</t>
  </si>
  <si>
    <t>Display password</t>
  </si>
  <si>
    <t>Do not forget your password. You cannot unlock the model without it.</t>
  </si>
  <si>
    <t>Russian</t>
  </si>
  <si>
    <t>January</t>
  </si>
  <si>
    <t>February</t>
  </si>
  <si>
    <t>March</t>
  </si>
  <si>
    <t>April</t>
  </si>
  <si>
    <t>May</t>
  </si>
  <si>
    <t>June</t>
  </si>
  <si>
    <t>July</t>
  </si>
  <si>
    <t>August</t>
  </si>
  <si>
    <t>September</t>
  </si>
  <si>
    <t>October</t>
  </si>
  <si>
    <t>November</t>
  </si>
  <si>
    <t>December</t>
  </si>
  <si>
    <t>Start date and duration</t>
  </si>
  <si>
    <t>Project start</t>
  </si>
  <si>
    <t>Number of periods</t>
  </si>
  <si>
    <t>Planning step</t>
  </si>
  <si>
    <t>Первый период проекта будет иметь неполную длину.</t>
  </si>
  <si>
    <t>кв.</t>
  </si>
  <si>
    <t>дн.</t>
  </si>
  <si>
    <t>Длительность периода в месяцах</t>
  </si>
  <si>
    <t>Дата конца периода</t>
  </si>
  <si>
    <t>янв</t>
  </si>
  <si>
    <t>фев</t>
  </si>
  <si>
    <t>мар</t>
  </si>
  <si>
    <t>апр</t>
  </si>
  <si>
    <t>май</t>
  </si>
  <si>
    <t>июн</t>
  </si>
  <si>
    <t>июл</t>
  </si>
  <si>
    <t>авг</t>
  </si>
  <si>
    <t>сен</t>
  </si>
  <si>
    <t>окт</t>
  </si>
  <si>
    <t>ноя</t>
  </si>
  <si>
    <t>дек</t>
  </si>
  <si>
    <t>Евро</t>
  </si>
  <si>
    <t>Австралийские доллары</t>
  </si>
  <si>
    <t>Датские кроны</t>
  </si>
  <si>
    <t>Доллары США</t>
  </si>
  <si>
    <t>Индийские рупии</t>
  </si>
  <si>
    <t>Казахские тенге</t>
  </si>
  <si>
    <t>Канадские доллары</t>
  </si>
  <si>
    <t>Китайские юани</t>
  </si>
  <si>
    <t>Молдавские леи</t>
  </si>
  <si>
    <t>Норвежские кроны</t>
  </si>
  <si>
    <t>Польские злотые</t>
  </si>
  <si>
    <t>Турецкие лиры</t>
  </si>
  <si>
    <t>Украинские гривны</t>
  </si>
  <si>
    <t>Фунты стерлингов</t>
  </si>
  <si>
    <t>Чешские кроны</t>
  </si>
  <si>
    <t>Швейцарские франки</t>
  </si>
  <si>
    <t>Японские йены</t>
  </si>
  <si>
    <t>Российские рубли</t>
  </si>
  <si>
    <t>не использовать</t>
  </si>
  <si>
    <t>Венгерский форинт</t>
  </si>
  <si>
    <t>Румынский лей</t>
  </si>
  <si>
    <t>Валюты и инфляция</t>
  </si>
  <si>
    <t>Основная валюта</t>
  </si>
  <si>
    <t>Валюта отчетности</t>
  </si>
  <si>
    <t>Учет инфляции в расчетах</t>
  </si>
  <si>
    <t>Учитывать (цены будут расти с инфляцией)</t>
  </si>
  <si>
    <t>Не учитывать (постоянные цены)</t>
  </si>
  <si>
    <t>Горизонт планирования проекта</t>
  </si>
  <si>
    <t>AUD</t>
  </si>
  <si>
    <t>HUF</t>
  </si>
  <si>
    <t>DKK</t>
  </si>
  <si>
    <t>INR</t>
  </si>
  <si>
    <t>KZT</t>
  </si>
  <si>
    <t>CAD</t>
  </si>
  <si>
    <t>CNY</t>
  </si>
  <si>
    <t>MDL</t>
  </si>
  <si>
    <t>NOK</t>
  </si>
  <si>
    <t>PLN</t>
  </si>
  <si>
    <t>руб.</t>
  </si>
  <si>
    <t>RON</t>
  </si>
  <si>
    <t>TRY</t>
  </si>
  <si>
    <t>грн.</t>
  </si>
  <si>
    <t>GBP</t>
  </si>
  <si>
    <t>CZK</t>
  </si>
  <si>
    <t>CHF</t>
  </si>
  <si>
    <t>JPY</t>
  </si>
  <si>
    <t>тыс. ***</t>
  </si>
  <si>
    <t>Инвестиционная фаза</t>
  </si>
  <si>
    <t>Инвестиционная фаза проекта</t>
  </si>
  <si>
    <t>Инвестфаза</t>
  </si>
  <si>
    <t>Цвет заголовков таблиц</t>
  </si>
  <si>
    <t>Налоги</t>
  </si>
  <si>
    <t>Планирование возврата переплаченного НДС</t>
  </si>
  <si>
    <t>Зачитывать при будущих расчетах</t>
  </si>
  <si>
    <t>Возврат переплаченных сумм из бюджета</t>
  </si>
  <si>
    <t>Налог на добавленную стоимость</t>
  </si>
  <si>
    <t>Налог на прибыль</t>
  </si>
  <si>
    <t>Налог на имущество</t>
  </si>
  <si>
    <t>Налог с оборота (для упрощенной системы)</t>
  </si>
  <si>
    <t>Периодичность выплаты налога, месяцев</t>
  </si>
  <si>
    <t>Ставка налога</t>
  </si>
  <si>
    <t>Налог с дохода, уменьшенного на расходы (УСН, ЕСХН)</t>
  </si>
  <si>
    <t>возврат из бюджета</t>
  </si>
  <si>
    <t>ИНВЕСТИЦИИ В ОСНОВНЫЕ СРЕДСТВА</t>
  </si>
  <si>
    <t>Земля</t>
  </si>
  <si>
    <t>Здания и сооружения</t>
  </si>
  <si>
    <t>Оборудование</t>
  </si>
  <si>
    <t>Нематериальные активы</t>
  </si>
  <si>
    <t>Итого: Земля</t>
  </si>
  <si>
    <t>Добавить...</t>
  </si>
  <si>
    <t>Удалить</t>
  </si>
  <si>
    <t>Закрыть</t>
  </si>
  <si>
    <t>Валюта</t>
  </si>
  <si>
    <t>Добавить</t>
  </si>
  <si>
    <t>Массовое добавление:</t>
  </si>
  <si>
    <t>элементов</t>
  </si>
  <si>
    <t>Название единицы измерения:</t>
  </si>
  <si>
    <t>Валюта:</t>
  </si>
  <si>
    <t>Вы действительно хотите удалить выделенные пункты?</t>
  </si>
  <si>
    <t>Полный список всех разделов и таблиц:</t>
  </si>
  <si>
    <t>Листы модели:</t>
  </si>
  <si>
    <t>Версия модели:</t>
  </si>
  <si>
    <t>Дата выпуска:</t>
  </si>
  <si>
    <t>Номер лицензии:</t>
  </si>
  <si>
    <t>Навигатор</t>
  </si>
  <si>
    <t>ФИНАНСОВЫЕ ВЛОЖЕНИЯ</t>
  </si>
  <si>
    <t>Долгосрочные вложения</t>
  </si>
  <si>
    <t>Краткосрочные вложения</t>
  </si>
  <si>
    <t>Добавить из списка</t>
  </si>
  <si>
    <t>Таблица</t>
  </si>
  <si>
    <t>Раздел</t>
  </si>
  <si>
    <t>Счетчик уникальных номеров</t>
  </si>
  <si>
    <t>Составить отчет…</t>
  </si>
  <si>
    <t>Печать…</t>
  </si>
  <si>
    <t>Экспорт в новый файл MS Excel…</t>
  </si>
  <si>
    <t>Печать отчета</t>
  </si>
  <si>
    <t>Повторять первую колонку на каждой странице</t>
  </si>
  <si>
    <t>Просмотр</t>
  </si>
  <si>
    <t>&lt;пусто&gt;</t>
  </si>
  <si>
    <t>[Имя файла]</t>
  </si>
  <si>
    <t>Стр. &amp;P из &amp;N</t>
  </si>
  <si>
    <t>Сохранить ссылки на файл проекта</t>
  </si>
  <si>
    <t>Добавить данные в отчет</t>
  </si>
  <si>
    <t>Очистить лист</t>
  </si>
  <si>
    <t>Сжать интервалы данных:</t>
  </si>
  <si>
    <t>по кварталам с</t>
  </si>
  <si>
    <t>г.</t>
  </si>
  <si>
    <t>по годам с</t>
  </si>
  <si>
    <t>Выберите разделы и таблицы, которые надо добавить в отчет:</t>
  </si>
  <si>
    <t>Шаблон земельного участка</t>
  </si>
  <si>
    <t>Шаблон здания</t>
  </si>
  <si>
    <t>Шаблон оборудования</t>
  </si>
  <si>
    <t>Шаблон нематериальных активов</t>
  </si>
  <si>
    <t>Итого: Здания и сооружения, с НДС</t>
  </si>
  <si>
    <t>Итого: Оборудование, с НДС и пошлинами</t>
  </si>
  <si>
    <t>Итого: Нематериальные активы, с НДС</t>
  </si>
  <si>
    <t>график оплаты</t>
  </si>
  <si>
    <t>ранее осуществленные инвестиции</t>
  </si>
  <si>
    <t>график ввода в эксплуатацию</t>
  </si>
  <si>
    <t>выручка от продажи актива</t>
  </si>
  <si>
    <t>суммы в осн. валюте: график оплаты</t>
  </si>
  <si>
    <t>ранее осуществленные инвестици</t>
  </si>
  <si>
    <t>незавершенные инвестиции</t>
  </si>
  <si>
    <t>кредиторская задолженность</t>
  </si>
  <si>
    <t>балансовая стоимость</t>
  </si>
  <si>
    <t>прибыль/убыток от продажи актива</t>
  </si>
  <si>
    <t>график оплаты, без НДС</t>
  </si>
  <si>
    <t>ранее осуществленные инвестиции, без НДС</t>
  </si>
  <si>
    <t>график ввода в эксплуатацию, без НДС</t>
  </si>
  <si>
    <t>суммы в осн. валюте: график оплаты, без НДС</t>
  </si>
  <si>
    <t xml:space="preserve">срок полезного использования </t>
  </si>
  <si>
    <t>амортизация (бухгалтерская)</t>
  </si>
  <si>
    <t>балансовая стоимость (бухгалтерская)</t>
  </si>
  <si>
    <t>ставка НДС</t>
  </si>
  <si>
    <t>выплаченный НДС</t>
  </si>
  <si>
    <t>зачтенный НДС</t>
  </si>
  <si>
    <t>амортизация (налоговая)</t>
  </si>
  <si>
    <t>балансовая стоимость (налоговая)</t>
  </si>
  <si>
    <t>выручка от продажи актива, без НДС</t>
  </si>
  <si>
    <t>прибыль/убыток от продажи актива (бухгалтерская)</t>
  </si>
  <si>
    <t>прибыль/убыток от продажи актива (налоговая)</t>
  </si>
  <si>
    <t>НДС к выручке от продажи актива</t>
  </si>
  <si>
    <t>амортизационная премия для налоговой амортизации</t>
  </si>
  <si>
    <t>импорт оборудования</t>
  </si>
  <si>
    <t>пересечение границы при импорте</t>
  </si>
  <si>
    <t>импортная пошлина</t>
  </si>
  <si>
    <t>выручка от продажи актива (без НДС)</t>
  </si>
  <si>
    <t>Суммарные инвестиции, с НДС и пошлинами</t>
  </si>
  <si>
    <t>Земельный участок</t>
  </si>
  <si>
    <t>Подготовка территории строительства</t>
  </si>
  <si>
    <t>Проектирование здания</t>
  </si>
  <si>
    <t>Строительство здания</t>
  </si>
  <si>
    <t>Внутренняя отделка здания</t>
  </si>
  <si>
    <t>Коммуникации</t>
  </si>
  <si>
    <t>Благоустройство территории</t>
  </si>
  <si>
    <t>Основное оборудование</t>
  </si>
  <si>
    <t>Вспомогательное оборудование</t>
  </si>
  <si>
    <t>Оборудование склада</t>
  </si>
  <si>
    <t>Транспорт</t>
  </si>
  <si>
    <t>Офисная мебель, компьютеры, оргтехника</t>
  </si>
  <si>
    <t>Получение лицензии</t>
  </si>
  <si>
    <t>Разработка сайта</t>
  </si>
  <si>
    <t>Система бухгалтерского учета</t>
  </si>
  <si>
    <t>Система взаимодействия с клиентами (CRM)</t>
  </si>
  <si>
    <t>Программы для рабочих мест сотрудников</t>
  </si>
  <si>
    <t>Синие заголовки, зеленые ячейки</t>
  </si>
  <si>
    <t>Красные заголовки и розовые ячейки</t>
  </si>
  <si>
    <t>Синие заголовки, выделить инвестиционную фазу</t>
  </si>
  <si>
    <t>Оттенки серого, выделить инвестиционную фазу</t>
  </si>
  <si>
    <t>Красные заголовки, выделить инвестиционную фазу</t>
  </si>
  <si>
    <t>Шаблон долгосрочных вложений</t>
  </si>
  <si>
    <t>Шаблон краткосрочных вложений</t>
  </si>
  <si>
    <t>увеличение финансовых вложений</t>
  </si>
  <si>
    <t>снижение финансовых вложений (возврат)</t>
  </si>
  <si>
    <t xml:space="preserve">доход </t>
  </si>
  <si>
    <t>финансовые вложения на конец периода</t>
  </si>
  <si>
    <t>финансовые вложения на начало периода</t>
  </si>
  <si>
    <t>на начало периода (без учета изменения курса)</t>
  </si>
  <si>
    <t>на конец периода (без учета изменения курса)</t>
  </si>
  <si>
    <t>Display options</t>
  </si>
  <si>
    <t>Language of the model and dialogs</t>
  </si>
  <si>
    <t>Colors used in the model</t>
  </si>
  <si>
    <t>Load color scheme from the library:</t>
  </si>
  <si>
    <t>Table headers color</t>
  </si>
  <si>
    <t>Remove all macros and/or formulas…</t>
  </si>
  <si>
    <t>Standard</t>
  </si>
  <si>
    <t>Blue headers, green editable cells</t>
  </si>
  <si>
    <t>Gray scale</t>
  </si>
  <si>
    <t>Red headers, rose editable cells</t>
  </si>
  <si>
    <t>Green headers, highlight the investment stage</t>
  </si>
  <si>
    <t>Blue headers, highlight the investment stage</t>
  </si>
  <si>
    <t>Gray scale, highlight the investment stage</t>
  </si>
  <si>
    <t>Red headers, highlight the investment stage</t>
  </si>
  <si>
    <t>Custom settings</t>
  </si>
  <si>
    <t>Create report…</t>
  </si>
  <si>
    <t>Print…</t>
  </si>
  <si>
    <t>mon</t>
  </si>
  <si>
    <t>q.</t>
  </si>
  <si>
    <t>years</t>
  </si>
  <si>
    <t>d.</t>
  </si>
  <si>
    <t>First period will have partial length</t>
  </si>
  <si>
    <t>Australian dollar</t>
  </si>
  <si>
    <t>Hungarian forint</t>
  </si>
  <si>
    <t>Danish krone</t>
  </si>
  <si>
    <t>United States dollar</t>
  </si>
  <si>
    <t>Euro</t>
  </si>
  <si>
    <t>Indian rupee</t>
  </si>
  <si>
    <t>Kazakhstani tenge</t>
  </si>
  <si>
    <t>Canadian dollar</t>
  </si>
  <si>
    <t>Chinese renminbi</t>
  </si>
  <si>
    <t>Moldovan leu</t>
  </si>
  <si>
    <t>Norwegian krone</t>
  </si>
  <si>
    <t>Polish zloty</t>
  </si>
  <si>
    <t>Russian ruble</t>
  </si>
  <si>
    <t>Romanian leu</t>
  </si>
  <si>
    <t>Turkish new lira</t>
  </si>
  <si>
    <t>Ukrainian hryvnia</t>
  </si>
  <si>
    <t>British pound</t>
  </si>
  <si>
    <t>Czech koruna</t>
  </si>
  <si>
    <t>Swiss franc</t>
  </si>
  <si>
    <t>Japanese yen</t>
  </si>
  <si>
    <t>do not use</t>
  </si>
  <si>
    <t>Currencies and inflation</t>
  </si>
  <si>
    <t>Main currency</t>
  </si>
  <si>
    <t>Second currency</t>
  </si>
  <si>
    <t>Third currency</t>
  </si>
  <si>
    <t>Currency of reports</t>
  </si>
  <si>
    <t>*** 000</t>
  </si>
  <si>
    <t>***M</t>
  </si>
  <si>
    <t>RUR</t>
  </si>
  <si>
    <t>Inflation adjustment</t>
  </si>
  <si>
    <t>Forecast prices (inflation adjustment)</t>
  </si>
  <si>
    <t>Constant prices (without inflation adjustment)</t>
  </si>
  <si>
    <t>UAH</t>
  </si>
  <si>
    <t>Investment stage</t>
  </si>
  <si>
    <t>periods</t>
  </si>
  <si>
    <t>Taxes</t>
  </si>
  <si>
    <t>Offset method for overpaid VAT</t>
  </si>
  <si>
    <t>Used to offset future payments</t>
  </si>
  <si>
    <t>Returned by tax authorities</t>
  </si>
  <si>
    <t>Value added tax</t>
  </si>
  <si>
    <t>Income tax</t>
  </si>
  <si>
    <t>Payroll taxes</t>
  </si>
  <si>
    <t>Property tax</t>
  </si>
  <si>
    <t>Sales tax</t>
  </si>
  <si>
    <t>Income tax, cash basis</t>
  </si>
  <si>
    <t>Add…</t>
  </si>
  <si>
    <t>Insert space</t>
  </si>
  <si>
    <t>Delete</t>
  </si>
  <si>
    <t>Close</t>
  </si>
  <si>
    <t>Item name</t>
  </si>
  <si>
    <t>Currency</t>
  </si>
  <si>
    <t>Add</t>
  </si>
  <si>
    <t>Name:</t>
  </si>
  <si>
    <t>Create multiple copies of the item:</t>
  </si>
  <si>
    <t>copies</t>
  </si>
  <si>
    <t>Enter prices and volumes</t>
  </si>
  <si>
    <t>Unit name</t>
  </si>
  <si>
    <t>Currency:</t>
  </si>
  <si>
    <t>Do you really want to delete selected items?</t>
  </si>
  <si>
    <t>List of all tables:</t>
  </si>
  <si>
    <t>Version:</t>
  </si>
  <si>
    <t>Build date:</t>
  </si>
  <si>
    <t>License number:</t>
  </si>
  <si>
    <t>Navigator</t>
  </si>
  <si>
    <t>Add from the list</t>
  </si>
  <si>
    <t>Добавить из списка…</t>
  </si>
  <si>
    <t>Choose sample items to add them to the project</t>
  </si>
  <si>
    <t>Section</t>
  </si>
  <si>
    <t>Print report</t>
  </si>
  <si>
    <t>Repeat first column on every page</t>
  </si>
  <si>
    <t>Preview</t>
  </si>
  <si>
    <t>&lt;empty&gt;</t>
  </si>
  <si>
    <t>[Date], [Time]</t>
  </si>
  <si>
    <t>[File name]</t>
  </si>
  <si>
    <t>Page &amp;P of &amp;N</t>
  </si>
  <si>
    <t>Page [No.] of [Number]</t>
  </si>
  <si>
    <t>Report will be copied to a new Excel file</t>
  </si>
  <si>
    <t>Copy to a new Excel file</t>
  </si>
  <si>
    <t>Copy to a new Excel file…</t>
  </si>
  <si>
    <t>Retain links to the project file</t>
  </si>
  <si>
    <t>Add data to the report</t>
  </si>
  <si>
    <t>Select table to add to the report</t>
  </si>
  <si>
    <t>Clear report</t>
  </si>
  <si>
    <t>Condense periods</t>
  </si>
  <si>
    <t>by years from</t>
  </si>
  <si>
    <t>by quart. from</t>
  </si>
  <si>
    <t>Sheets:</t>
  </si>
  <si>
    <t>Номер версии</t>
  </si>
  <si>
    <t>ставка на расчетный период</t>
  </si>
  <si>
    <t>Не учитывать</t>
  </si>
  <si>
    <t>Курс к основной валюте</t>
  </si>
  <si>
    <t>Protected with password</t>
  </si>
  <si>
    <t>Protected</t>
  </si>
  <si>
    <t>Not protected</t>
  </si>
  <si>
    <t>Jan</t>
  </si>
  <si>
    <t>Feb</t>
  </si>
  <si>
    <t>Mar</t>
  </si>
  <si>
    <t>Apr</t>
  </si>
  <si>
    <t>Jun</t>
  </si>
  <si>
    <t>Jul</t>
  </si>
  <si>
    <t>Aug</t>
  </si>
  <si>
    <t>Sep</t>
  </si>
  <si>
    <t>Oct</t>
  </si>
  <si>
    <t>Nov</t>
  </si>
  <si>
    <t>Dec</t>
  </si>
  <si>
    <t>offset to future liabilities</t>
  </si>
  <si>
    <t>repaid</t>
  </si>
  <si>
    <t>Project name</t>
  </si>
  <si>
    <t>No name</t>
  </si>
  <si>
    <t>DISPLAY OPTIONS</t>
  </si>
  <si>
    <t>Language of the interface and reports</t>
  </si>
  <si>
    <t>Protection of the data</t>
  </si>
  <si>
    <t>Color scheme</t>
  </si>
  <si>
    <t>START DATE AND DURATION</t>
  </si>
  <si>
    <t>Project start date</t>
  </si>
  <si>
    <t>Project duration</t>
  </si>
  <si>
    <t>Duration of the investment stage</t>
  </si>
  <si>
    <t>Planning step duration</t>
  </si>
  <si>
    <t>Project start year</t>
  </si>
  <si>
    <t>Project start month</t>
  </si>
  <si>
    <t>Period number</t>
  </si>
  <si>
    <t>Period start date</t>
  </si>
  <si>
    <t>Period end date</t>
  </si>
  <si>
    <t>Period year</t>
  </si>
  <si>
    <t>Period start month</t>
  </si>
  <si>
    <t>Duration of the period, days</t>
  </si>
  <si>
    <t>Duration of the period, months</t>
  </si>
  <si>
    <t>Partial period (1 - yes)?</t>
  </si>
  <si>
    <t>Partial period factor</t>
  </si>
  <si>
    <t>Period name for the headers</t>
  </si>
  <si>
    <t>ПРОДАЖИ</t>
  </si>
  <si>
    <t>ПОСТОЯННЫЕ ИЗДЕРЖКИ</t>
  </si>
  <si>
    <t>Производственные издержки</t>
  </si>
  <si>
    <t>Коммерческие издержки</t>
  </si>
  <si>
    <t>Управленческие издержки</t>
  </si>
  <si>
    <t>Итого: Производственные издержки, с НДС</t>
  </si>
  <si>
    <t>Всего постоянных издержек, с НДС</t>
  </si>
  <si>
    <t>период появления затрат</t>
  </si>
  <si>
    <t>темп изменения цен</t>
  </si>
  <si>
    <t>коэффициент изменения цен</t>
  </si>
  <si>
    <t>НДС начисленный</t>
  </si>
  <si>
    <t>ед.</t>
  </si>
  <si>
    <t>Стоимость объекта аренды (без НДС)</t>
  </si>
  <si>
    <t>Период начала аренды</t>
  </si>
  <si>
    <t>Срок аренды</t>
  </si>
  <si>
    <t>Ставка доходности лизинговой компании</t>
  </si>
  <si>
    <t>Авансовый платеж по аренде</t>
  </si>
  <si>
    <t>дней</t>
  </si>
  <si>
    <t>График арендных платежей (без НДС)</t>
  </si>
  <si>
    <t>Шаблон без графика платежей</t>
  </si>
  <si>
    <t>Шаблон с графиком платежей</t>
  </si>
  <si>
    <t>Известен плановый график платежей по лизингу</t>
  </si>
  <si>
    <t>месяц</t>
  </si>
  <si>
    <t>квартал</t>
  </si>
  <si>
    <t>год</t>
  </si>
  <si>
    <t>month</t>
  </si>
  <si>
    <t>quarter</t>
  </si>
  <si>
    <t>year</t>
  </si>
  <si>
    <t>объем продаж за период</t>
  </si>
  <si>
    <t>выручка от реализации, без НДС</t>
  </si>
  <si>
    <t>дебиторская задолженность</t>
  </si>
  <si>
    <t xml:space="preserve">авансы полученные </t>
  </si>
  <si>
    <t>акцизы, на единицу</t>
  </si>
  <si>
    <t>акцизы начисленные</t>
  </si>
  <si>
    <t>средний период предоплаты</t>
  </si>
  <si>
    <t>средний период отсрочки платежа</t>
  </si>
  <si>
    <t>ПЕРСОНАЛ</t>
  </si>
  <si>
    <t>численность</t>
  </si>
  <si>
    <t>человек</t>
  </si>
  <si>
    <t>средний оклад, в месяц</t>
  </si>
  <si>
    <t>заработная плата</t>
  </si>
  <si>
    <t>за период</t>
  </si>
  <si>
    <t>заработная плата сотрудников, в месяц</t>
  </si>
  <si>
    <t>Производственный персонал</t>
  </si>
  <si>
    <t>Коммерческий персонал</t>
  </si>
  <si>
    <t>Административный персонал</t>
  </si>
  <si>
    <t>затраты в запасах готовой продукции</t>
  </si>
  <si>
    <t>периодичность отгрузки</t>
  </si>
  <si>
    <t>затраты в незавершенном производстве</t>
  </si>
  <si>
    <t>длительность производственного цикла</t>
  </si>
  <si>
    <t>списано на продажи</t>
  </si>
  <si>
    <t>задолженность по заработной плате</t>
  </si>
  <si>
    <t>периодичность выплаты заработной платы</t>
  </si>
  <si>
    <t>задолженность перед внебюджетными фондами</t>
  </si>
  <si>
    <t>оплата расходов на заработную плату</t>
  </si>
  <si>
    <t>СОБСТВЕННЫЙ КАПИТАЛ</t>
  </si>
  <si>
    <t>Наименование</t>
  </si>
  <si>
    <t>вложение собственных средств</t>
  </si>
  <si>
    <t>Итого: Вложение собственных средств</t>
  </si>
  <si>
    <t>Долгосрочные кредиты</t>
  </si>
  <si>
    <t>Краткосрочные кредиты</t>
  </si>
  <si>
    <t>ставка процентов по кредиту</t>
  </si>
  <si>
    <t>отсрочка выплаты процентов</t>
  </si>
  <si>
    <t>капитализация невыплаченных процентов</t>
  </si>
  <si>
    <t>поступление денег от кредита</t>
  </si>
  <si>
    <t>погашение кредита</t>
  </si>
  <si>
    <t>начисленные проценты</t>
  </si>
  <si>
    <t>выплаченные проценты</t>
  </si>
  <si>
    <t>задолженность по кредиту</t>
  </si>
  <si>
    <t>период начала кредитования</t>
  </si>
  <si>
    <t>отнесение процентов на стоимость основных средств</t>
  </si>
  <si>
    <t>период ввода основных средств</t>
  </si>
  <si>
    <t>срок амортизации основных средств</t>
  </si>
  <si>
    <t>списание процентов на затраты</t>
  </si>
  <si>
    <t>Шаблон долгосрочного кредита</t>
  </si>
  <si>
    <t>Шаблон краткосрочного кредита</t>
  </si>
  <si>
    <t>Итого:</t>
  </si>
  <si>
    <t>Автоматический подбор кредита</t>
  </si>
  <si>
    <t>Подобрать график поступления и возврата кредитных средств для плановых периодов в интервале:</t>
  </si>
  <si>
    <t>от</t>
  </si>
  <si>
    <t>до</t>
  </si>
  <si>
    <t>периода</t>
  </si>
  <si>
    <t>Минимальный остаток на счете:</t>
  </si>
  <si>
    <t>При выплатах обеспечивать коэффициент покрытия долга не ниже, чем:</t>
  </si>
  <si>
    <t>Подобрать кредит...</t>
  </si>
  <si>
    <t>СЫРЬЕ И МАТЕРИАЛЬНЫЕ ЗАТРАТЫ</t>
  </si>
  <si>
    <t>запасы сырья и материалов</t>
  </si>
  <si>
    <t>общий расход за период, без НДС</t>
  </si>
  <si>
    <t>период отсрочки платежа</t>
  </si>
  <si>
    <t>авансы уплаченные</t>
  </si>
  <si>
    <t>период предоплаты</t>
  </si>
  <si>
    <t>ставка импортной пошлины</t>
  </si>
  <si>
    <t>пошлины начисленные</t>
  </si>
  <si>
    <t>END::SETUP</t>
  </si>
  <si>
    <t>END::TAX</t>
  </si>
  <si>
    <t>END::CURRENCY</t>
  </si>
  <si>
    <t>END::DISCOUNT</t>
  </si>
  <si>
    <t>Установить защиту модели</t>
  </si>
  <si>
    <t>END::GENERAL</t>
  </si>
  <si>
    <t>Зеленые заголовки, выделить инвестиционную фазу</t>
  </si>
  <si>
    <t>Защитить модель от изменения…</t>
  </si>
  <si>
    <t>Снять защиту модели…</t>
  </si>
  <si>
    <t>Неправильный пароль.</t>
  </si>
  <si>
    <t>Incorrect password.</t>
  </si>
  <si>
    <t>Удалить макросы и формулы</t>
  </si>
  <si>
    <t>Снять защиту модели</t>
  </si>
  <si>
    <t>Защита модели</t>
  </si>
  <si>
    <t>PeriodBeg</t>
  </si>
  <si>
    <t>PeriodEnd</t>
  </si>
  <si>
    <t>PeriodYear</t>
  </si>
  <si>
    <t>PeriodMonth</t>
  </si>
  <si>
    <t>PeriodTitle</t>
  </si>
  <si>
    <t>PeriodLen</t>
  </si>
  <si>
    <t>Известна только стоимость объекта и процентные ставки лизинга</t>
  </si>
  <si>
    <t>график оплаты (без НДС)</t>
  </si>
  <si>
    <t>в том числе НДС</t>
  </si>
  <si>
    <t>Cur1</t>
  </si>
  <si>
    <t>Row=6</t>
  </si>
  <si>
    <t>Cur2</t>
  </si>
  <si>
    <t>Cur3</t>
  </si>
  <si>
    <t>Tax1</t>
  </si>
  <si>
    <t>Tax2</t>
  </si>
  <si>
    <t>Row=7</t>
  </si>
  <si>
    <t>Tax3</t>
  </si>
  <si>
    <t>Row=10</t>
  </si>
  <si>
    <t>Tax4</t>
  </si>
  <si>
    <t>Tax5</t>
  </si>
  <si>
    <t>Row=5</t>
  </si>
  <si>
    <t>Tax6</t>
  </si>
  <si>
    <t>СЦЕНАРИИ ПРОЕКТА</t>
  </si>
  <si>
    <t>Текущий сценарий</t>
  </si>
  <si>
    <t>END::LOAN</t>
  </si>
  <si>
    <t>TEMPLATE</t>
  </si>
  <si>
    <t>Count=2</t>
  </si>
  <si>
    <t>Level=2</t>
  </si>
  <si>
    <t>ОТЧЕТ О ПРИБЫЛЯХ И УБЫТКАХ</t>
  </si>
  <si>
    <t>Выручка</t>
  </si>
  <si>
    <t>Себестоимость:</t>
  </si>
  <si>
    <t>Суммарная себестоимость</t>
  </si>
  <si>
    <t>Валовая прибыль</t>
  </si>
  <si>
    <t>EBITDA</t>
  </si>
  <si>
    <t>Прибыль (убыток) от операционной деятельности</t>
  </si>
  <si>
    <t>Прибыль до налогообложения</t>
  </si>
  <si>
    <t>Чистая прибыль (убыток)</t>
  </si>
  <si>
    <t>ОТЧЕТ О ДВИЖЕНИИ ДЕНЕЖНЫХ СРЕДСТВ</t>
  </si>
  <si>
    <t>Денежные потоки от операционной деятельности</t>
  </si>
  <si>
    <t>Денежные потоки от инвестиционной деятельности</t>
  </si>
  <si>
    <t>Денежные потоки от финансовой деятельности</t>
  </si>
  <si>
    <t>Суммарный денежный поток за период</t>
  </si>
  <si>
    <t>Денежные средства на начало периода</t>
  </si>
  <si>
    <t>Денежные средства на конец периода</t>
  </si>
  <si>
    <t>БАЛАНС</t>
  </si>
  <si>
    <t>Суммарные оборотные активы</t>
  </si>
  <si>
    <t>Суммарные внеоборотные активы</t>
  </si>
  <si>
    <t>ИТОГО АКТИВОВ</t>
  </si>
  <si>
    <t>Суммарные краткосрочные обязательства</t>
  </si>
  <si>
    <t>Суммарные долгосрочные обязательства</t>
  </si>
  <si>
    <t>Суммарный собственный капитал</t>
  </si>
  <si>
    <t>ИТОГО ПАССИВОВ</t>
  </si>
  <si>
    <t>ПОКАЗАТЕЛИ ДОЛГА</t>
  </si>
  <si>
    <t>TD / EBITDA</t>
  </si>
  <si>
    <t>Покрытие выплаты долга, DSCR</t>
  </si>
  <si>
    <t>Отношение Долг / Собственный капитал</t>
  </si>
  <si>
    <t>Доля кредитов в источниках финансирования</t>
  </si>
  <si>
    <t>РЕНТАБЕЛЬНОСТЬ И ОБОРАЧИВАЕМОСТЬ</t>
  </si>
  <si>
    <t>Рентабельность продаж по чистой прибыли, NPM</t>
  </si>
  <si>
    <t>Рентабельность продаж по EBITDA</t>
  </si>
  <si>
    <t>Рентабельность собственного капитала, ROE</t>
  </si>
  <si>
    <t>Рентабельность инвестированного капитала, ROIC</t>
  </si>
  <si>
    <t>Рентабельность суммарных активов, ROTA</t>
  </si>
  <si>
    <t>Рентабельность внеоборотных активов, ROFA</t>
  </si>
  <si>
    <t>Период сбора дебиторской задолженности</t>
  </si>
  <si>
    <t>Период хранения запасов продукции</t>
  </si>
  <si>
    <t>Период хранения сырья и материалов</t>
  </si>
  <si>
    <t>Оборачиваемость внеоборотных активов</t>
  </si>
  <si>
    <t>раз</t>
  </si>
  <si>
    <t>Ставка дисконтирования</t>
  </si>
  <si>
    <t>Скорректированные проценты по кредитам, * (1 - налог)</t>
  </si>
  <si>
    <t>Свободный денежный поток компании, FCFF</t>
  </si>
  <si>
    <t>Дисконтированный денежный поток</t>
  </si>
  <si>
    <t>Дисконтированный поток нарастающим итогом</t>
  </si>
  <si>
    <t>Чистая приведенная стоимость, NPV</t>
  </si>
  <si>
    <t>Внутренняя норма рентабельности, IRR</t>
  </si>
  <si>
    <t>Дисконтированный срок окупаемости, PBP</t>
  </si>
  <si>
    <t>Модифицированная IRR, MIRR</t>
  </si>
  <si>
    <t>END::ROI</t>
  </si>
  <si>
    <t>Верхний колонтитул</t>
  </si>
  <si>
    <t>Нижний колонтитул</t>
  </si>
  <si>
    <t>Слева</t>
  </si>
  <si>
    <t>Справа</t>
  </si>
  <si>
    <t>[Дата] [Время]</t>
  </si>
  <si>
    <t>Экспорт отчета в новый файл Excel</t>
  </si>
  <si>
    <t>Отчет будет перенесен в новый файл Excel</t>
  </si>
  <si>
    <t>Header</t>
  </si>
  <si>
    <t>Footer</t>
  </si>
  <si>
    <t>Left</t>
  </si>
  <si>
    <t>Right</t>
  </si>
  <si>
    <t>END::BALANCE</t>
  </si>
  <si>
    <t>END::PROFIT</t>
  </si>
  <si>
    <t>END::CASH</t>
  </si>
  <si>
    <t>HeaderL=2;HeaderR=3;FooterL=4;FooterR=5;Repeat=0;</t>
  </si>
  <si>
    <t>END::BRA</t>
  </si>
  <si>
    <t>TOTAL</t>
  </si>
  <si>
    <t>END::EQUITY</t>
  </si>
  <si>
    <t>Count=1</t>
  </si>
  <si>
    <t>DATA1</t>
  </si>
  <si>
    <t>DATA2</t>
  </si>
  <si>
    <t>DATA</t>
  </si>
  <si>
    <t>Шаблон</t>
  </si>
  <si>
    <t>сырье и материалы</t>
  </si>
  <si>
    <t>Административные расходы</t>
  </si>
  <si>
    <t>Коммерческие расходы</t>
  </si>
  <si>
    <t>Налоги и сборы</t>
  </si>
  <si>
    <t>Лизинговые платежи</t>
  </si>
  <si>
    <t>Амортизация</t>
  </si>
  <si>
    <t>Доходы от реализации внеоборотных активов</t>
  </si>
  <si>
    <t>Прочие доходы</t>
  </si>
  <si>
    <t>Прочие расходы</t>
  </si>
  <si>
    <t>Выплаченные дивиденды</t>
  </si>
  <si>
    <t>END::FIXED</t>
  </si>
  <si>
    <t>DATA3</t>
  </si>
  <si>
    <t>DATA4</t>
  </si>
  <si>
    <t>Поступления кредитов</t>
  </si>
  <si>
    <t>Учитывать рыночную стоимость начальных активов?</t>
  </si>
  <si>
    <t>Учитывать продленную стоимость?</t>
  </si>
  <si>
    <t>END::FCFF</t>
  </si>
  <si>
    <t>END::FCFE</t>
  </si>
  <si>
    <t>END::CFADS</t>
  </si>
  <si>
    <t>Поступления собственного капитала</t>
  </si>
  <si>
    <t>END::TAXR</t>
  </si>
  <si>
    <t>Mode=sum</t>
  </si>
  <si>
    <t>Mode=end</t>
  </si>
  <si>
    <t>Level=1;Mode=sum</t>
  </si>
  <si>
    <t>Level=2;Mode=sum</t>
  </si>
  <si>
    <t>Mode=beg</t>
  </si>
  <si>
    <t>Mode=avg</t>
  </si>
  <si>
    <t>Init=1;Mode=avg</t>
  </si>
  <si>
    <t>Level=2;Mode=end</t>
  </si>
  <si>
    <t>Level=2;Mode=avg</t>
  </si>
  <si>
    <t>Level=1;Mode=avg</t>
  </si>
  <si>
    <t>cost</t>
  </si>
  <si>
    <t>pay</t>
  </si>
  <si>
    <t>credit</t>
  </si>
  <si>
    <t>Level=1</t>
  </si>
  <si>
    <t>inprogress</t>
  </si>
  <si>
    <t>sale</t>
  </si>
  <si>
    <t>depracc</t>
  </si>
  <si>
    <t>valacc</t>
  </si>
  <si>
    <t>vatpaid</t>
  </si>
  <si>
    <t>vataccrued</t>
  </si>
  <si>
    <t>deptax</t>
  </si>
  <si>
    <t>valtax</t>
  </si>
  <si>
    <t>profitacc</t>
  </si>
  <si>
    <t>profittax</t>
  </si>
  <si>
    <t>vatsale</t>
  </si>
  <si>
    <t>tariff</t>
  </si>
  <si>
    <t>раз в год</t>
  </si>
  <si>
    <t>Налог с оборота</t>
  </si>
  <si>
    <t>Налог с дохода, уменьшенного на расходы</t>
  </si>
  <si>
    <t>Суммарные налоговые и социальные выплаты</t>
  </si>
  <si>
    <t>Валюта отчетности и ее курс к основной валюте</t>
  </si>
  <si>
    <t>НАЛОГОВЫЕ ПЛАТЕЖИ</t>
  </si>
  <si>
    <t>sum</t>
  </si>
  <si>
    <t>Акционерный капитал (с учетом начального баланса)</t>
  </si>
  <si>
    <t>END::FINANCE</t>
  </si>
  <si>
    <t>Level=1;Mode=end</t>
  </si>
  <si>
    <t>Level=2;Mode=beg</t>
  </si>
  <si>
    <t>END::LEASE</t>
  </si>
  <si>
    <t>END::EXPENSE</t>
  </si>
  <si>
    <t>Шаблон издержки без единиц</t>
  </si>
  <si>
    <t>Шаблон издержки с единицами</t>
  </si>
  <si>
    <t>Шаблон персонала без численности</t>
  </si>
  <si>
    <t>Шаблон персонала с численностью</t>
  </si>
  <si>
    <t>END::STAFF</t>
  </si>
  <si>
    <t>salary</t>
  </si>
  <si>
    <t>vat</t>
  </si>
  <si>
    <t>сумма без НДС</t>
  </si>
  <si>
    <t>Итого: Коммерческие издержки, с НДС</t>
  </si>
  <si>
    <t>Итого: Управленческие издержки, с НДС</t>
  </si>
  <si>
    <t>Шаблон продажи с единицами</t>
  </si>
  <si>
    <t>Шаблон продажи без единиц</t>
  </si>
  <si>
    <t>коэффициент загрузки</t>
  </si>
  <si>
    <t>Count=4</t>
  </si>
  <si>
    <t>Настройки печати</t>
  </si>
  <si>
    <t>FIXED</t>
  </si>
  <si>
    <t>день</t>
  </si>
  <si>
    <t>day</t>
  </si>
  <si>
    <t>Список</t>
  </si>
  <si>
    <t>Item list</t>
  </si>
  <si>
    <t>Разделитель</t>
  </si>
  <si>
    <t>Add item</t>
  </si>
  <si>
    <t>&lt;название&gt;</t>
  </si>
  <si>
    <t>&lt;name&gt;</t>
  </si>
  <si>
    <t>Необходимо указать наименование пункта.</t>
  </si>
  <si>
    <t>Использовать детализацию "физический объем * цена"</t>
  </si>
  <si>
    <t>Использовать детализацию "численность * оклад"</t>
  </si>
  <si>
    <t>Наименование статьи</t>
  </si>
  <si>
    <t>Выберите стандартные статьи, которые Вы хотите добавить в проект</t>
  </si>
  <si>
    <t>EXPENSE</t>
  </si>
  <si>
    <t>Наименование:</t>
  </si>
  <si>
    <t>Сейчас модель не использует сценарии</t>
  </si>
  <si>
    <t>Сценарий</t>
  </si>
  <si>
    <t>Настройка сценариев</t>
  </si>
  <si>
    <t>Использовать несколько сценариев</t>
  </si>
  <si>
    <t>Количество сценариев:</t>
  </si>
  <si>
    <t>Необходимо выбрать хотя бы один параметр.</t>
  </si>
  <si>
    <t>Все параметры будут удалены?</t>
  </si>
  <si>
    <t>Слишком много параметров.</t>
  </si>
  <si>
    <t>Список параметров пуст.</t>
  </si>
  <si>
    <t>Необходимо выбрать параметры для удаления.</t>
  </si>
  <si>
    <t>Вы действительно хотите удалить выбранные параметры?</t>
  </si>
  <si>
    <t>y.</t>
  </si>
  <si>
    <t>Добавить параметр</t>
  </si>
  <si>
    <t>Где находится параметр:</t>
  </si>
  <si>
    <t>Название параметра:</t>
  </si>
  <si>
    <t>Тип параметра:</t>
  </si>
  <si>
    <t>Константа (значение в колонке B)</t>
  </si>
  <si>
    <t>Ряд (значения в колонках периодов)</t>
  </si>
  <si>
    <t>Выбранные Вами данные теперь будут редактироваться на листе Сценарии и для каждого сценария можно будет указать свое значение.</t>
  </si>
  <si>
    <t>Неправильная ссылка.</t>
  </si>
  <si>
    <t>Необходимо выбрать одну строку.</t>
  </si>
  <si>
    <t>Параметр не выбран.</t>
  </si>
  <si>
    <t>Необходимо указать название параметра.</t>
  </si>
  <si>
    <t>Выбранный параметр не является константой.</t>
  </si>
  <si>
    <t>Выбранный параметр не является рядом.</t>
  </si>
  <si>
    <t>Вариант</t>
  </si>
  <si>
    <t>Variant</t>
  </si>
  <si>
    <t>Параметры, которые устанавливаются для каждого сценария:</t>
  </si>
  <si>
    <t>Шаблон материала с единицами</t>
  </si>
  <si>
    <t>END::MATERIAL</t>
  </si>
  <si>
    <t>Итого: Материальные затраты</t>
  </si>
  <si>
    <t>Шаблон материала без единиц</t>
  </si>
  <si>
    <t>price</t>
  </si>
  <si>
    <t>count</t>
  </si>
  <si>
    <t>wage</t>
  </si>
  <si>
    <t>END::PRODUCT</t>
  </si>
  <si>
    <t>Type=1;Row=6</t>
  </si>
  <si>
    <t>Type=2;Row=6</t>
  </si>
  <si>
    <t>Type=2;Row=7</t>
  </si>
  <si>
    <t>Type=1;Row=2</t>
  </si>
  <si>
    <t>текст</t>
  </si>
  <si>
    <t>Пересчитать</t>
  </si>
  <si>
    <t>ГРАФИК ЧУВСТВИТЕЛЬНОСТИ</t>
  </si>
  <si>
    <t>Столбцы:</t>
  </si>
  <si>
    <t>Объем продаж</t>
  </si>
  <si>
    <t>с шагом</t>
  </si>
  <si>
    <t>Результат:</t>
  </si>
  <si>
    <t>Таблица данных</t>
  </si>
  <si>
    <t>Настройки анализа чувствительности</t>
  </si>
  <si>
    <t>Исходные параметры:</t>
  </si>
  <si>
    <t>Название параметра</t>
  </si>
  <si>
    <t>Имя области</t>
  </si>
  <si>
    <t>Проценты?</t>
  </si>
  <si>
    <t>Цены продаж</t>
  </si>
  <si>
    <t>Sens_Price</t>
  </si>
  <si>
    <t>Инвестиции в основные средства</t>
  </si>
  <si>
    <t>Sens_Invest</t>
  </si>
  <si>
    <t>Sens_Discount</t>
  </si>
  <si>
    <t>Результаты анализа:</t>
  </si>
  <si>
    <t>Суммарная прибыль</t>
  </si>
  <si>
    <t>Sens_Profit</t>
  </si>
  <si>
    <t>Sens_NPV1</t>
  </si>
  <si>
    <t>График: EBITDA</t>
  </si>
  <si>
    <t>CHART::EBITDA</t>
  </si>
  <si>
    <t>Sens_IRR1</t>
  </si>
  <si>
    <t>CHART::SENS</t>
  </si>
  <si>
    <t>Настроить</t>
  </si>
  <si>
    <t>Setup</t>
  </si>
  <si>
    <t>Recalc</t>
  </si>
  <si>
    <t>Управлять?</t>
  </si>
  <si>
    <t>TABLE::GENERAL</t>
  </si>
  <si>
    <t>TABLE::SETUP</t>
  </si>
  <si>
    <t>TABLE::CURRENCY</t>
  </si>
  <si>
    <t>TABLE::TAX</t>
  </si>
  <si>
    <t>TABLE::DISCOUNT</t>
  </si>
  <si>
    <t>TABLE::FIXED</t>
  </si>
  <si>
    <t>TABLE::LEASE</t>
  </si>
  <si>
    <t>TABLE::FINANCE</t>
  </si>
  <si>
    <t>TABLE::PRODUCT</t>
  </si>
  <si>
    <t>TABLE::MATERIAL</t>
  </si>
  <si>
    <t>TABLE::STAFF</t>
  </si>
  <si>
    <t>TABLE::EXPENSE</t>
  </si>
  <si>
    <t>TABLE::EQUITY</t>
  </si>
  <si>
    <t>TABLE::LOAN</t>
  </si>
  <si>
    <t>TABLE::PROFIT</t>
  </si>
  <si>
    <t>TABLE::CASH</t>
  </si>
  <si>
    <t>TABLE::BALANCE</t>
  </si>
  <si>
    <t>TABLE::BRA</t>
  </si>
  <si>
    <t>TABLE::ROI</t>
  </si>
  <si>
    <t>TABLE::FCFF</t>
  </si>
  <si>
    <t>TABLE::FCFE</t>
  </si>
  <si>
    <t>TABLE::CFADS</t>
  </si>
  <si>
    <t>TABLE::TAXR</t>
  </si>
  <si>
    <t>TABLE::SCEN</t>
  </si>
  <si>
    <t>Листы проекта</t>
  </si>
  <si>
    <t>Продукты…</t>
  </si>
  <si>
    <t>Необходимо выбрать материал!</t>
  </si>
  <si>
    <t>Настройка анализа чувствительности</t>
  </si>
  <si>
    <t>unit</t>
  </si>
  <si>
    <t>Расход материала</t>
  </si>
  <si>
    <t>Данные для каждого из сценариев</t>
  </si>
  <si>
    <t>Изменяемый параметр для столбцов:</t>
  </si>
  <si>
    <t>Изменяемый параметр для линий:</t>
  </si>
  <si>
    <t>Параметр, который будет использован как результат:</t>
  </si>
  <si>
    <t>Использовать несколько линий</t>
  </si>
  <si>
    <t>Неправильные настройки изменяемого параметра для столбцов!</t>
  </si>
  <si>
    <t>Неправильные настройки изменяемого параметра для линий!</t>
  </si>
  <si>
    <t>Неправильные настройки результирующего параметра!</t>
  </si>
  <si>
    <t>Книга Excel (*.xlsx),*.xlsx, Все файлы (*.*),*.*</t>
  </si>
  <si>
    <t>Сохранить проект как</t>
  </si>
  <si>
    <t>Внимание! Последние изменения в файле не сохранены. Мы рекомендуем Вам сначала сохранить рабочий файл, так как после нажатия ОК макросы и кнопки будут удалены.</t>
  </si>
  <si>
    <t>Файл не удалось сохранить, но все запрошенные данные были удалены из модели. Не сохраняйте ее под именем рабочей модели, так как это приведет к потере данных! Просто закройте модель без сохранения.</t>
  </si>
  <si>
    <t>Remove all macros and formulas</t>
  </si>
  <si>
    <t>Внимание! После нажатия ОК все макросы и кнопки будут удалены из модели. Вам будет предложено сохранить файл под новым именем.</t>
  </si>
  <si>
    <t>Не забудьте введенный пароль. Без него разблокировать модель будет невозможно!</t>
  </si>
  <si>
    <t>TABLE::STFIXED</t>
  </si>
  <si>
    <t>TABLE::STBAL</t>
  </si>
  <si>
    <t>TABLE::STLOANS</t>
  </si>
  <si>
    <t>Контроль сходимости баланса</t>
  </si>
  <si>
    <t>END::STBAL</t>
  </si>
  <si>
    <t>END::STLOANS</t>
  </si>
  <si>
    <t>Земельные участки</t>
  </si>
  <si>
    <t>График постановки на баланс:</t>
  </si>
  <si>
    <t>Оборудование и прочие активы</t>
  </si>
  <si>
    <t>Долгосрочные финансовые вложения</t>
  </si>
  <si>
    <t>первоначальная стоимость</t>
  </si>
  <si>
    <t>срок амортизации</t>
  </si>
  <si>
    <t>амортизация</t>
  </si>
  <si>
    <t>накопленная амортизация</t>
  </si>
  <si>
    <t>остаточная балансовая стоимость</t>
  </si>
  <si>
    <t>Незавершенные капвложения на начало периода</t>
  </si>
  <si>
    <t>Незавершенные капвложения на конец периода</t>
  </si>
  <si>
    <t>END::STFIXED</t>
  </si>
  <si>
    <t>Проект</t>
  </si>
  <si>
    <t>startdebt</t>
  </si>
  <si>
    <t>qty</t>
  </si>
  <si>
    <t>Идентификатор языка (если 0, то не доступен):</t>
  </si>
  <si>
    <t>PL01</t>
  </si>
  <si>
    <t>CF01</t>
  </si>
  <si>
    <t>BL01</t>
  </si>
  <si>
    <t>increase</t>
  </si>
  <si>
    <t>decrease</t>
  </si>
  <si>
    <t>interest</t>
  </si>
  <si>
    <t>begin</t>
  </si>
  <si>
    <t>end</t>
  </si>
  <si>
    <t>прибыль (убыток) от курсовой разницы</t>
  </si>
  <si>
    <t>Итого: Долгосрочные вложения на конец периода</t>
  </si>
  <si>
    <t>Итого: Краткосрочные вложения на конец периода</t>
  </si>
  <si>
    <t>Проценты к уплате</t>
  </si>
  <si>
    <t>PL02</t>
  </si>
  <si>
    <t>PL03</t>
  </si>
  <si>
    <t>PL04</t>
  </si>
  <si>
    <t>PL05</t>
  </si>
  <si>
    <t>PL07</t>
  </si>
  <si>
    <t>PL08</t>
  </si>
  <si>
    <t>PL09</t>
  </si>
  <si>
    <t>PL10</t>
  </si>
  <si>
    <t>PL11</t>
  </si>
  <si>
    <t>PL12</t>
  </si>
  <si>
    <t>PL13</t>
  </si>
  <si>
    <t>PL14</t>
  </si>
  <si>
    <t>PL15</t>
  </si>
  <si>
    <t>PL16</t>
  </si>
  <si>
    <t>PL17</t>
  </si>
  <si>
    <t>PL18</t>
  </si>
  <si>
    <t>PL19</t>
  </si>
  <si>
    <t>PL20</t>
  </si>
  <si>
    <t>PL21</t>
  </si>
  <si>
    <t>PL22</t>
  </si>
  <si>
    <t>PL23</t>
  </si>
  <si>
    <t>PL24</t>
  </si>
  <si>
    <t>TABLE::TAXPAY</t>
  </si>
  <si>
    <t>END::TAXPAY</t>
  </si>
  <si>
    <t>БЮДЖЕТНАЯ ЭФФЕКТИВНОСТЬ</t>
  </si>
  <si>
    <t>Поступления от продаж, с НДС</t>
  </si>
  <si>
    <t>Дебиторская задолженность</t>
  </si>
  <si>
    <t>Авансы полученные</t>
  </si>
  <si>
    <t>Выручка в отчете о прибылях и убытках, без НДС</t>
  </si>
  <si>
    <t>Акцизы начисленные</t>
  </si>
  <si>
    <t>TABLE::NWC</t>
  </si>
  <si>
    <t>ОБОРОТНЫЙ КАПИТАЛ</t>
  </si>
  <si>
    <t>END::NWC</t>
  </si>
  <si>
    <t>income</t>
  </si>
  <si>
    <t>cash</t>
  </si>
  <si>
    <t>receivable</t>
  </si>
  <si>
    <t>advance</t>
  </si>
  <si>
    <t>excise</t>
  </si>
  <si>
    <t>коэффициент прироста цен к предыдущему периоду</t>
  </si>
  <si>
    <t>коэффициент изменения цен к началу проекта</t>
  </si>
  <si>
    <t>объем продаж за период, без учета инфляции</t>
  </si>
  <si>
    <t>НДС уплаченный на сырье и материалы</t>
  </si>
  <si>
    <t>Итого, баланс расчетов по НДС</t>
  </si>
  <si>
    <t>Акцизы на проданные товары</t>
  </si>
  <si>
    <t>Оплата материалов и комплектующих, с НДС</t>
  </si>
  <si>
    <t>Незавершенное производство</t>
  </si>
  <si>
    <t>Запасы готовой продукции</t>
  </si>
  <si>
    <t>Кредиторская задолженность</t>
  </si>
  <si>
    <t>Авансы уплаченные</t>
  </si>
  <si>
    <t>Начисленные импортные пошлины</t>
  </si>
  <si>
    <t>Суммарные затраты в отчете о прибылях и убытках</t>
  </si>
  <si>
    <t>duties</t>
  </si>
  <si>
    <t>rawmat</t>
  </si>
  <si>
    <t>finished</t>
  </si>
  <si>
    <t>payable</t>
  </si>
  <si>
    <t>затраты на проданный товар, без НДС</t>
  </si>
  <si>
    <t>ставка акцизов, в процентах</t>
  </si>
  <si>
    <t>физический расход на проданные товары за период</t>
  </si>
  <si>
    <t>средний период оборачиваемости</t>
  </si>
  <si>
    <t>Запасы материалов и комплектующих</t>
  </si>
  <si>
    <t>Периоды?</t>
  </si>
  <si>
    <t>Задолженность по заработной плате</t>
  </si>
  <si>
    <t>Численность персонала</t>
  </si>
  <si>
    <t>производственный персонал</t>
  </si>
  <si>
    <t>Административный и коммерческий персонал</t>
  </si>
  <si>
    <t>НДС уплаченный с постоянными издержками</t>
  </si>
  <si>
    <t>оплата постоянных издержек, с НДС</t>
  </si>
  <si>
    <t>CF02</t>
  </si>
  <si>
    <t>CF03</t>
  </si>
  <si>
    <t>CF05</t>
  </si>
  <si>
    <t>CF06</t>
  </si>
  <si>
    <t>CF07</t>
  </si>
  <si>
    <t>CF08</t>
  </si>
  <si>
    <t>CF09</t>
  </si>
  <si>
    <t>Выплата основного долга</t>
  </si>
  <si>
    <t>Проценты начисленные</t>
  </si>
  <si>
    <t>Проценты уплаченные</t>
  </si>
  <si>
    <t>Долгосрочные кредиты на конец периода</t>
  </si>
  <si>
    <t>Краткосрочные кредиты на конец периода</t>
  </si>
  <si>
    <t>out</t>
  </si>
  <si>
    <t>balance</t>
  </si>
  <si>
    <t>asasset</t>
  </si>
  <si>
    <t>Амортизация процентов в основных средствах</t>
  </si>
  <si>
    <t>intdepr</t>
  </si>
  <si>
    <t>Итого: Задолженность на конец периода</t>
  </si>
  <si>
    <t>списано на продажи в отчете о прибылях и убытках</t>
  </si>
  <si>
    <t>Программа не активирована. Изменение параметров проекта невозможно.</t>
  </si>
  <si>
    <t>Total=sum;Data=DATA1.pay;Mode=sum</t>
  </si>
  <si>
    <t>Total=sum;Data=DATA1.inprogress;Mode=end</t>
  </si>
  <si>
    <t>Total=sum;Data=DATA1.credit;Mode=end</t>
  </si>
  <si>
    <t>Total=sum;Data=DATA1.cost;Mode=end</t>
  </si>
  <si>
    <t>Total=sum;Data=DATA1.sale;Mode=sum</t>
  </si>
  <si>
    <t>Total=sum;Data=DATA1.profitacc;Mode=sum</t>
  </si>
  <si>
    <t>Total=sum;Data=DATA2.pay;Mode=sum</t>
  </si>
  <si>
    <t>Total=sum;Data=DATA2.inprogress;Mode=end</t>
  </si>
  <si>
    <t>Total=sum;Data=DATA2.credit;Mode=end</t>
  </si>
  <si>
    <t>Total=sum;Data=DATA2.depracc;Mode=sum</t>
  </si>
  <si>
    <t>Total=sum;Data=DATA2.valacc;Mode=end</t>
  </si>
  <si>
    <t>Total=sum;Data=DATA2.vatpaid;Mode=sum</t>
  </si>
  <si>
    <t>Total=sum;Data=DATA2.vataccrued;Mode=sum</t>
  </si>
  <si>
    <t>Total=sum;Data=DATA2.deptax;Mode=sum</t>
  </si>
  <si>
    <t>Total=sum;Data=DATA2.valtax;Mode=end</t>
  </si>
  <si>
    <t>Total=sum;Data=DATA2.sale;Mode=sum</t>
  </si>
  <si>
    <t>Total=sum;Data=DATA2.profitacc;Mode=sum</t>
  </si>
  <si>
    <t>Total=sum;Data=DATA2.profittax;Mode=sum</t>
  </si>
  <si>
    <t>Total=sum;Data=DATA2.vatsale;Mode=sum</t>
  </si>
  <si>
    <t>Total=sum;Data=DATA3.pay;Mode=sum</t>
  </si>
  <si>
    <t>Total=sum;Data=DATA3.tariff;Mode=sum</t>
  </si>
  <si>
    <t>Total=sum;Data=DATA3.inprogress;Mode=end</t>
  </si>
  <si>
    <t>Total=sum;Data=DATA3.credit;Mode=end</t>
  </si>
  <si>
    <t>Total=sum;Data=DATA3.depracc;Mode=sum</t>
  </si>
  <si>
    <t>Total=sum;Data=DATA3.valacc;Mode=end</t>
  </si>
  <si>
    <t>Total=sum;Data=DATA3.vatpaid;Mode=sum</t>
  </si>
  <si>
    <t>Total=sum;Data=DATA3.vataccrued;Mode=sum</t>
  </si>
  <si>
    <t>Total=sum;Data=DATA3.deptax;Mode=sum</t>
  </si>
  <si>
    <t>Total=sum;Data=DATA3.valtax;Mode=end</t>
  </si>
  <si>
    <t>Total=sum;Data=DATA3.sale;Mode=sum</t>
  </si>
  <si>
    <t>Total=sum;Data=DATA3.profitacc;Mode=sum</t>
  </si>
  <si>
    <t>Total=sum;Data=DATA3.profittax;Mode=sum</t>
  </si>
  <si>
    <t>Total=sum;Data=DATA3.vatsale;Mode=sum</t>
  </si>
  <si>
    <t>Total=sum;Data=DATA4.pay;Mode=sum</t>
  </si>
  <si>
    <t>Total=sum;Data=DATA4.inprogress;Mode=end</t>
  </si>
  <si>
    <t>Total=sum;Data=DATA4.credit;Mode=end</t>
  </si>
  <si>
    <t>Total=sum;Data=DATA4.depracc;Mode=sum</t>
  </si>
  <si>
    <t>Total=sum;Data=DATA4.valacc;Mode=end</t>
  </si>
  <si>
    <t>Total=sum;Data=DATA4.vatpaid;Mode=sum</t>
  </si>
  <si>
    <t>Total=sum;Data=DATA4.vataccrued;Mode=sum</t>
  </si>
  <si>
    <t>Total=sum;Data=DATA4.sale;Mode=sum</t>
  </si>
  <si>
    <t>Total=sum;Data=DATA4.profitacc;Mode=sum</t>
  </si>
  <si>
    <t>Total=sum;Data=DATA4.vatsale;Mode=sum</t>
  </si>
  <si>
    <t>Total=sum;Data=DATA1.increase;Mode=sum</t>
  </si>
  <si>
    <t>Total=sum;Data=DATA1.decrease;Mode=sum</t>
  </si>
  <si>
    <t>Total=sum;Data=DATA1.interest;Mode=sum</t>
  </si>
  <si>
    <t>Total=sum;Data=DATA1.end;Mode=end</t>
  </si>
  <si>
    <t>Total=sum;Data=DATA2.increase;Mode=sum</t>
  </si>
  <si>
    <t>Total=sum;Data=DATA2.decrease;Mode=sum</t>
  </si>
  <si>
    <t>Total=sum;Data=DATA2.interest;Mode=sum</t>
  </si>
  <si>
    <t>Total=sum;Data=DATA2.end;Mode=end</t>
  </si>
  <si>
    <t>Total=sum;Data=income;Mode=sum</t>
  </si>
  <si>
    <t>Total=sum;Data=cash;Mode=sum</t>
  </si>
  <si>
    <t>Total=sum;Data=receivable;Mode=end</t>
  </si>
  <si>
    <t>Total=sum;Data=advance;Mode=end</t>
  </si>
  <si>
    <t>Total=sum;Data=excise;Mode=sum</t>
  </si>
  <si>
    <t>Total=sum;Data=duties;Mode=sum</t>
  </si>
  <si>
    <t>Total=sum;Data=rawmat;Mode=end</t>
  </si>
  <si>
    <t>Total=sum;Data=finished;Mode=end</t>
  </si>
  <si>
    <t>Total=sum;Data=inprogress;Mode=end</t>
  </si>
  <si>
    <t>Total=sum;Data=payable;Mode=end</t>
  </si>
  <si>
    <t>Total=sum;Data=DATA1.salary;Mode=sum</t>
  </si>
  <si>
    <t>Total=sum;Data=DATA2.salary;Mode=sum</t>
  </si>
  <si>
    <t>Total=sum;Data=DATA3.salary;Mode=sum</t>
  </si>
  <si>
    <t>Total=sum;Data=count;Mode=avg</t>
  </si>
  <si>
    <t>Total=sum;Data=DATA1.vat;Mode=sum</t>
  </si>
  <si>
    <t>Total=sum;Data=DATA2.vat;Mode=sum</t>
  </si>
  <si>
    <t>Total=sum;Data=DATA3.vat;Mode=sum</t>
  </si>
  <si>
    <t>Total=sum;Data=sum;Mode=sum</t>
  </si>
  <si>
    <t>Total=sum;Data=out;Mode=sum</t>
  </si>
  <si>
    <t>Total=sum;Data=DATA1.balance;Mode=end</t>
  </si>
  <si>
    <t>Total=sum;Data=DATA2.balance;Mode=end</t>
  </si>
  <si>
    <t>Total=sum;Data=DATA1.asasset;Mode=end</t>
  </si>
  <si>
    <t>Total=sum;Data=DATA1.intdepr;Mode=sum</t>
  </si>
  <si>
    <t>Total=sum;Data=vat;Mode=sum</t>
  </si>
  <si>
    <t>Row=8</t>
  </si>
  <si>
    <t>Прочие долгосрочные кредиты</t>
  </si>
  <si>
    <t>Прочие краткосрочные кредиты</t>
  </si>
  <si>
    <t>Долгосрочные кредиты на начало периода</t>
  </si>
  <si>
    <t>Краткосрочные кредиты на начало периода</t>
  </si>
  <si>
    <t>Total=sum;Data=DATA1.startdebt;Mode=beg</t>
  </si>
  <si>
    <t>Total=sum;Data=DATA2.startdebt;Mode=beg</t>
  </si>
  <si>
    <t>CHART::SALES</t>
  </si>
  <si>
    <t>CHART::INVEST</t>
  </si>
  <si>
    <t>CHART::CASH</t>
  </si>
  <si>
    <t>График: Задолженность по кредитам</t>
  </si>
  <si>
    <t>CHART::DEBT</t>
  </si>
  <si>
    <t>CHART::PBPFCFF</t>
  </si>
  <si>
    <t>CHART::PBPFCFE</t>
  </si>
  <si>
    <t>График окупаемости (FCFF)</t>
  </si>
  <si>
    <t>График окупаемости (FCFE)</t>
  </si>
  <si>
    <t>График окупаемости (CFADS)</t>
  </si>
  <si>
    <t>CHART::PBPCFADS</t>
  </si>
  <si>
    <t>График: Денежные средства на конец периода</t>
  </si>
  <si>
    <t>График: Инвестиционные денежные потоки</t>
  </si>
  <si>
    <t>Чистая приведенная стоимость потоков проекта</t>
  </si>
  <si>
    <t>Учет активов начального баланса</t>
  </si>
  <si>
    <t>Учет продленной стоимости</t>
  </si>
  <si>
    <t>Флаг периода окупаемости (число целых лет)</t>
  </si>
  <si>
    <t>Стоимость чистых активов стартового баланса</t>
  </si>
  <si>
    <t>Рыночная стоимость (для анализа эффективности)</t>
  </si>
  <si>
    <t>Продленная стоимость, на конец проекта</t>
  </si>
  <si>
    <t>NOPLAT</t>
  </si>
  <si>
    <t>Расчет окупаемости в месяцах</t>
  </si>
  <si>
    <t>Сырье и материалы</t>
  </si>
  <si>
    <t>Операционные расходы</t>
  </si>
  <si>
    <t>Расходы на персонал</t>
  </si>
  <si>
    <t>Амортизация, лизинг и проценты</t>
  </si>
  <si>
    <t>Оборачиваемость суммарных активов</t>
  </si>
  <si>
    <t>Структура затрат:</t>
  </si>
  <si>
    <t>НДС полученный при продаже основных средств</t>
  </si>
  <si>
    <t>НДС полученный с доходами от продаж</t>
  </si>
  <si>
    <t>Средняя стоимость зданий и сооружений</t>
  </si>
  <si>
    <t>Средняя стоимость оборудования</t>
  </si>
  <si>
    <t>Начисленный налог на имущество</t>
  </si>
  <si>
    <t>ЭФФЕКТИВНОСТЬ ДЛЯ ПРОЕКТА (FCFF)</t>
  </si>
  <si>
    <t>ЭФФЕКТИВНОСТЬ ДЛЯ АКЦИОНЕРОВ (FCFE)</t>
  </si>
  <si>
    <t>Свободный денежный поток акционеров, FCFE</t>
  </si>
  <si>
    <t>ЭФФЕКТИВНОСТЬ ДЛЯ БАНКА (CFADS)</t>
  </si>
  <si>
    <t>Денежный поток, доступный для погашения долга (CFADS)</t>
  </si>
  <si>
    <t>Флаг периода окупаемости (число целых периодов)</t>
  </si>
  <si>
    <t>Расчет выполняется в номинальных ценах</t>
  </si>
  <si>
    <t>В расчете используются реальные ставки (без инфляции)</t>
  </si>
  <si>
    <t>ФИНАНСОВАЯ АРЕНДА (ЛИЗИНГ)</t>
  </si>
  <si>
    <t>НДС к платежам в оттоках денежных средств</t>
  </si>
  <si>
    <t>НДС к начисленным платежам</t>
  </si>
  <si>
    <t>платеж по аренде в затратах (без НДС)</t>
  </si>
  <si>
    <t>платеж по аренде в оттоках денежных средств (без НДС)</t>
  </si>
  <si>
    <t>стоимость объекта аренды (без НДС)</t>
  </si>
  <si>
    <t>балансовая стоимость объекта аренды</t>
  </si>
  <si>
    <t>количество дней аренды в периоде</t>
  </si>
  <si>
    <t>финансовый расход</t>
  </si>
  <si>
    <t>задолженность по аренде</t>
  </si>
  <si>
    <t>авансы выплаченные</t>
  </si>
  <si>
    <t>Type=1;Row=18</t>
  </si>
  <si>
    <t>поток для расчета ставки доходности</t>
  </si>
  <si>
    <t>даты для расчета ставки доходности</t>
  </si>
  <si>
    <t>ставка доходности лизинговой компании</t>
  </si>
  <si>
    <t>Type=2;Row=20</t>
  </si>
  <si>
    <t>платеж по аренде в оттоках денежных средств, без НДС</t>
  </si>
  <si>
    <t>платеж по аренде начисленный, без НДС</t>
  </si>
  <si>
    <t>амортизация объекта аренды</t>
  </si>
  <si>
    <t>Итого: Лизинговые платежи, с НДС</t>
  </si>
  <si>
    <t>Total=sum;Data=cashpmt;Mode=sum</t>
  </si>
  <si>
    <t>cashpmt</t>
  </si>
  <si>
    <t>Total=sum;Data=VATcash;Mode=sum</t>
  </si>
  <si>
    <t>VATcash</t>
  </si>
  <si>
    <t>Total=sum;Data=leasexpense;Mode=sum</t>
  </si>
  <si>
    <t>leasexpense</t>
  </si>
  <si>
    <t>Total=sum;Data=VATexpense;Mode=sum</t>
  </si>
  <si>
    <t>VATexpense</t>
  </si>
  <si>
    <t>Total=sum;Data=balanceval;Mode=sum</t>
  </si>
  <si>
    <t>balanceval</t>
  </si>
  <si>
    <t>Total=sum;Data=depreciation;Mode=sum</t>
  </si>
  <si>
    <t>depreciation</t>
  </si>
  <si>
    <t>Total=sum;Data=finexpence;Mode=sum</t>
  </si>
  <si>
    <t>finexpence</t>
  </si>
  <si>
    <t>Total=sum;Data=payable;Mode=sum</t>
  </si>
  <si>
    <t>Total=sum;Data=advpaid;Mode=sum</t>
  </si>
  <si>
    <t>advpaid</t>
  </si>
  <si>
    <t>Справочно: Остаток денег на счете</t>
  </si>
  <si>
    <t>Импортная пошлина на оборудование</t>
  </si>
  <si>
    <t>НДС уплаченный по инвестициям</t>
  </si>
  <si>
    <t>НДС зачтенный по инвестициям</t>
  </si>
  <si>
    <t>Отложенный возврат НДС</t>
  </si>
  <si>
    <t>Начисленный НДС</t>
  </si>
  <si>
    <t>НДС как актив по инвестициям</t>
  </si>
  <si>
    <t>Начисленные социальные взносы</t>
  </si>
  <si>
    <t>СОЦИАЛЬНЫЕ ВЗНОСЫ</t>
  </si>
  <si>
    <t>Ставка взносов в пенсионный фонд</t>
  </si>
  <si>
    <t>Ставка взносов на медицинское страхование</t>
  </si>
  <si>
    <t>Ставка взносов в фонд социального страхования</t>
  </si>
  <si>
    <t>Ставка других социальных взносов</t>
  </si>
  <si>
    <t>Суммарная ставка социальных взносов</t>
  </si>
  <si>
    <t>социальные взносы</t>
  </si>
  <si>
    <t>оплата социальных взносов</t>
  </si>
  <si>
    <t>периодичность социальных взносов</t>
  </si>
  <si>
    <t>Затраты на коммерческий персонал, с соц. взносами</t>
  </si>
  <si>
    <t>Затраты на производственный персонал, с соц. взносами</t>
  </si>
  <si>
    <t>Затраты на административный персонал, с соц. взносами</t>
  </si>
  <si>
    <t>Итого: затраты на персонал, с соц. взносами</t>
  </si>
  <si>
    <t>Начисленный налог на прибыль</t>
  </si>
  <si>
    <t>Доходы, не облагаемые налогом</t>
  </si>
  <si>
    <t>Убытки предыдущих периодов</t>
  </si>
  <si>
    <t>Списание убытков предыдущих периодов</t>
  </si>
  <si>
    <t>Прибыль для налогообложения</t>
  </si>
  <si>
    <t>Начисленный налог с оборота (УСН)</t>
  </si>
  <si>
    <t>Облагаемая база</t>
  </si>
  <si>
    <t>НДС уплаченный по финансовой аренде</t>
  </si>
  <si>
    <t>НДС зачтенный по финансовой аренде</t>
  </si>
  <si>
    <t>Импортная пошлина на сырье и материалы</t>
  </si>
  <si>
    <t>уплаченный НДС</t>
  </si>
  <si>
    <t>задолженность по налогу</t>
  </si>
  <si>
    <t>Начисленные налоговые платежи</t>
  </si>
  <si>
    <t>Уплаченные налоговые платежи</t>
  </si>
  <si>
    <t>уплаченный налог на имущество</t>
  </si>
  <si>
    <t>задолженность по взносам</t>
  </si>
  <si>
    <t>уплаченные социальные взносы</t>
  </si>
  <si>
    <t>Задолженность перед бюджетом и внебюджетными фондами</t>
  </si>
  <si>
    <t>уплаченный налог на прибыль</t>
  </si>
  <si>
    <t>уплаченный налог с оборота</t>
  </si>
  <si>
    <t>уплаченный налог с дохода, уменьшенного на расходы</t>
  </si>
  <si>
    <t>Облагаемая база до списания убытков</t>
  </si>
  <si>
    <t>Минимальный налог (% от доходов)</t>
  </si>
  <si>
    <t>задолженность учредителей по взносам в уставный капитал</t>
  </si>
  <si>
    <t>СТАРТОВЫЙ БАЛАНС</t>
  </si>
  <si>
    <t>СУЩЕСТВУЮЩИЕ ОСНОВНЫЕ СРЕДСТВА</t>
  </si>
  <si>
    <t>СУЩЕСТВУЮЩИЕ КРЕДИТЫ</t>
  </si>
  <si>
    <t>возврат финансовых вложений</t>
  </si>
  <si>
    <t>Type=1;Row=7</t>
  </si>
  <si>
    <t>задолженность по кредиту на начало планирования</t>
  </si>
  <si>
    <t>коэффициент дисконта на начало периода</t>
  </si>
  <si>
    <t>Курсовые разницы</t>
  </si>
  <si>
    <t>величина из плана продаж</t>
  </si>
  <si>
    <t>величина из стартового баланса</t>
  </si>
  <si>
    <t>влияние стартового баланса на денежные средства</t>
  </si>
  <si>
    <t>величина из плана затрат</t>
  </si>
  <si>
    <t>величина из плана продаж и затрат</t>
  </si>
  <si>
    <t>расход за период, без учета инфляции, без НДС</t>
  </si>
  <si>
    <t>оплата расходов, c НДС</t>
  </si>
  <si>
    <t>поступление денежных средств, с НДС</t>
  </si>
  <si>
    <t>НДС полученный с авансов</t>
  </si>
  <si>
    <t>Ранее осуществленные инвестиции, с НДС</t>
  </si>
  <si>
    <t>start</t>
  </si>
  <si>
    <t>Total=sum;Data=start;Mode=sum</t>
  </si>
  <si>
    <t>НДС к ранее осуществленным инвестициям</t>
  </si>
  <si>
    <t>Total=sum;Data=vatstart;Mode=sum</t>
  </si>
  <si>
    <t>vatstart</t>
  </si>
  <si>
    <t>Зачет НДС из активов стартового баланса</t>
  </si>
  <si>
    <t>Type=1;Row=13</t>
  </si>
  <si>
    <t>курсовые разницы</t>
  </si>
  <si>
    <t>Total=sum;Data=exch;Mode=sum</t>
  </si>
  <si>
    <t>exch</t>
  </si>
  <si>
    <t>СУЩЕСТВУЮЩИЕ ФИНАНСОВЫЕ ВЛОЖЕНИЯ</t>
  </si>
  <si>
    <t>TABLE::STFIN</t>
  </si>
  <si>
    <t>END::STFIN</t>
  </si>
  <si>
    <t>Краткосрочные финансовые вложения</t>
  </si>
  <si>
    <t>Кредиторская задолженность перед поставщиками</t>
  </si>
  <si>
    <t>Кредиторская задолженность за внеоборотные активы</t>
  </si>
  <si>
    <t>величина из плана инвестиций</t>
  </si>
  <si>
    <t>Protect model…</t>
  </si>
  <si>
    <t>Unprotect model…</t>
  </si>
  <si>
    <t>Protect model</t>
  </si>
  <si>
    <t>Unprotect model</t>
  </si>
  <si>
    <t>Remove all formulas</t>
  </si>
  <si>
    <t>Important! You are removing all macros and buttons from the model. After that, the file will be saved under a new name.</t>
  </si>
  <si>
    <t>Important! Some changes in the file were not saved. We recommend to save the file before removing macros and buttons</t>
  </si>
  <si>
    <t>Save project as</t>
  </si>
  <si>
    <t>Excel workbook (*.xlsx),*.xlsx, All files (*.*),*.*</t>
  </si>
  <si>
    <t>The program is not activated. You cannot change parameters of the model</t>
  </si>
  <si>
    <t>Products…</t>
  </si>
  <si>
    <t>Please choose component</t>
  </si>
  <si>
    <t>Fit the loan…</t>
  </si>
  <si>
    <t>Select the loan to fit</t>
  </si>
  <si>
    <t>Use the price of the lease object and interest rate</t>
  </si>
  <si>
    <t>Use payment schedule</t>
  </si>
  <si>
    <t>Enter headcount and salary</t>
  </si>
  <si>
    <t>Volume</t>
  </si>
  <si>
    <t>Fit the loan</t>
  </si>
  <si>
    <t>Fit the disbursement and repayment schedules for the period:</t>
  </si>
  <si>
    <t>from</t>
  </si>
  <si>
    <t>till</t>
  </si>
  <si>
    <t>period</t>
  </si>
  <si>
    <t>Minimum cash:</t>
  </si>
  <si>
    <t>During the repayment period DSCR should be at least:</t>
  </si>
  <si>
    <t>Land plot</t>
  </si>
  <si>
    <t>Construction site preparation</t>
  </si>
  <si>
    <t>Construction design</t>
  </si>
  <si>
    <t>Buildings</t>
  </si>
  <si>
    <t>Building interior</t>
  </si>
  <si>
    <t>Communications</t>
  </si>
  <si>
    <t>Site improvement</t>
  </si>
  <si>
    <t>Plant</t>
  </si>
  <si>
    <t>Auxiliary equipment</t>
  </si>
  <si>
    <t>Warehouse</t>
  </si>
  <si>
    <t>Transport</t>
  </si>
  <si>
    <t>Office furniture and computers</t>
  </si>
  <si>
    <t>Licenses and permissions</t>
  </si>
  <si>
    <t>Internet site development</t>
  </si>
  <si>
    <t>ERP system implementation</t>
  </si>
  <si>
    <t>CRM system implementation</t>
  </si>
  <si>
    <t>Software</t>
  </si>
  <si>
    <t>Sensitivity analysis setup</t>
  </si>
  <si>
    <t>Parameter in columns</t>
  </si>
  <si>
    <t>Parameter in rows</t>
  </si>
  <si>
    <t>Result of the analysis</t>
  </si>
  <si>
    <t>Create several lines</t>
  </si>
  <si>
    <t>step</t>
  </si>
  <si>
    <t>Incorrect parameter for columns!</t>
  </si>
  <si>
    <t>Incorrect parameter for rows!</t>
  </si>
  <si>
    <t>Incorrect value for the result!</t>
  </si>
  <si>
    <t>Scenarios setup</t>
  </si>
  <si>
    <t>Use scenarios</t>
  </si>
  <si>
    <t>Number of scenarios:</t>
  </si>
  <si>
    <t>Parameters specific for every scenario</t>
  </si>
  <si>
    <t>Delele</t>
  </si>
  <si>
    <t>Please choose at least one parameter</t>
  </si>
  <si>
    <t>Remove all parameters?</t>
  </si>
  <si>
    <t>Too many parameters</t>
  </si>
  <si>
    <t>List of parameters is empty</t>
  </si>
  <si>
    <t>Please select parameters to delete</t>
  </si>
  <si>
    <t>Do you really want to delete selected parameters?</t>
  </si>
  <si>
    <t>Incorrect link</t>
  </si>
  <si>
    <t>Please select one row</t>
  </si>
  <si>
    <t>No parameter selected</t>
  </si>
  <si>
    <t>Enter parameter name</t>
  </si>
  <si>
    <t>The selected parameter is not a constant</t>
  </si>
  <si>
    <t>The selected parameter is not a series</t>
  </si>
  <si>
    <t>Add parameter</t>
  </si>
  <si>
    <t>Parameter location:</t>
  </si>
  <si>
    <t>Parameter name:</t>
  </si>
  <si>
    <t>Parameter type</t>
  </si>
  <si>
    <t>Constant (the value is in B column)</t>
  </si>
  <si>
    <t>Series (the values are in periods)</t>
  </si>
  <si>
    <t>Now you can edit selected data in Scenarios sheet, and you can enter different values for every scenario</t>
  </si>
  <si>
    <t>Аренда производственного помещения</t>
  </si>
  <si>
    <t>Rent of manufacturing facility</t>
  </si>
  <si>
    <t>Коммунальные расходы</t>
  </si>
  <si>
    <t>Utility costs</t>
  </si>
  <si>
    <t>Содержание оборудования</t>
  </si>
  <si>
    <t>Machine maintenance</t>
  </si>
  <si>
    <t>Охрана и безопасность</t>
  </si>
  <si>
    <t>Security</t>
  </si>
  <si>
    <t>Уборка и содержание территории</t>
  </si>
  <si>
    <t>Cleaning and maintenance of the facility</t>
  </si>
  <si>
    <t>Транспортные расходы</t>
  </si>
  <si>
    <t>Transport costs</t>
  </si>
  <si>
    <t>Аренда офиса</t>
  </si>
  <si>
    <t>Office rent</t>
  </si>
  <si>
    <t>Офисные расходы</t>
  </si>
  <si>
    <t>Office expense</t>
  </si>
  <si>
    <t>Телекоммуникации</t>
  </si>
  <si>
    <t>Telecommunications</t>
  </si>
  <si>
    <t>IT расходы</t>
  </si>
  <si>
    <t>IT expenses</t>
  </si>
  <si>
    <t>Командировки</t>
  </si>
  <si>
    <t>Business travel</t>
  </si>
  <si>
    <t>Услуги юристов и консультантов</t>
  </si>
  <si>
    <t>Legal services and consultants</t>
  </si>
  <si>
    <t>Реклама в прессе и интернете</t>
  </si>
  <si>
    <t>Ads in media and the internet</t>
  </si>
  <si>
    <t>Рекламные мероприятия</t>
  </si>
  <si>
    <t>Marketing events</t>
  </si>
  <si>
    <t>Маркетинговые материалы</t>
  </si>
  <si>
    <t>Marketing materials</t>
  </si>
  <si>
    <t>Участие в выставках и конференциях</t>
  </si>
  <si>
    <t>Shows, fairs, conferences</t>
  </si>
  <si>
    <t>Scenarios</t>
  </si>
  <si>
    <t>В демонстрационной версии эта возможность недоступна.</t>
  </si>
  <si>
    <t>Вы используете демонстрационную версию программы. В ней работают почти все функции и промежуточные расчеты, но значения на листе Результаты не меняются.</t>
  </si>
  <si>
    <t>Начальный баланс</t>
  </si>
  <si>
    <t>Денежные средства</t>
  </si>
  <si>
    <t>Авансы уплаченные поставщикам</t>
  </si>
  <si>
    <t>Готовая продукция на складе</t>
  </si>
  <si>
    <t>НДС на приобретенные товары</t>
  </si>
  <si>
    <t>Прочие оборотные активы</t>
  </si>
  <si>
    <t>Незавершенные капиталовложения</t>
  </si>
  <si>
    <t>Прочие внеоборотные активы</t>
  </si>
  <si>
    <t>Расчеты с бюджетом</t>
  </si>
  <si>
    <t>Расчеты с персоналом</t>
  </si>
  <si>
    <t>Полученные авансы покупателей</t>
  </si>
  <si>
    <t>Прочие краткосрочные обязательства</t>
  </si>
  <si>
    <t>Прочие долгосрочные обязательства</t>
  </si>
  <si>
    <t>Акционерный капитал</t>
  </si>
  <si>
    <t>Нераспределенная прибыль</t>
  </si>
  <si>
    <t>Прочий собственный капитал</t>
  </si>
  <si>
    <t>Данные</t>
  </si>
  <si>
    <t>Возврат кредитов</t>
  </si>
  <si>
    <t>Поступления от продаж</t>
  </si>
  <si>
    <t>Заработная плата</t>
  </si>
  <si>
    <t>Постоянные издержки</t>
  </si>
  <si>
    <t>Выплата процентов по кредитам</t>
  </si>
  <si>
    <t>Прочие поступления</t>
  </si>
  <si>
    <t>Прочие затраты</t>
  </si>
  <si>
    <t>Инвестиции в земельные участки</t>
  </si>
  <si>
    <t>Инвестиции в здания и сооружения</t>
  </si>
  <si>
    <t>Инвестиции в оборудование и прочие активы</t>
  </si>
  <si>
    <t>Инвестиции в нематериальные активы</t>
  </si>
  <si>
    <t>Инвестиции в финансовые активы</t>
  </si>
  <si>
    <t>Выручка от реализации активов</t>
  </si>
  <si>
    <t>Выплата дивидендов</t>
  </si>
  <si>
    <t>Расчеты с бюджетом и внебюджетными фондами</t>
  </si>
  <si>
    <t>Обязательства по финансовой аренде</t>
  </si>
  <si>
    <t>Суммарная задолженность, TD</t>
  </si>
  <si>
    <t>Денежный поток, доступный для погашения долга</t>
  </si>
  <si>
    <t>Выплаты процентов</t>
  </si>
  <si>
    <t>Выплаты основной суммы долга</t>
  </si>
  <si>
    <t>Суммарные привлеченные кредиты</t>
  </si>
  <si>
    <t>Суммарный вклад собственного капитала</t>
  </si>
  <si>
    <t>TABLE::OTHER</t>
  </si>
  <si>
    <t>END::OTHER</t>
  </si>
  <si>
    <t>ПРОЧИЕ ДОХОДЫ И РАСХОДЫ</t>
  </si>
  <si>
    <t>Шаблон прочих доходов</t>
  </si>
  <si>
    <t>Шаблон прочих расходов</t>
  </si>
  <si>
    <t>НДС</t>
  </si>
  <si>
    <t>прочие доходы (без НДС)</t>
  </si>
  <si>
    <t>Type=1;Row=4</t>
  </si>
  <si>
    <t>Type=2;Row=4</t>
  </si>
  <si>
    <t>expence</t>
  </si>
  <si>
    <t>Итого: прочие доходы (с НДС)</t>
  </si>
  <si>
    <t>Итого: прочие расходы (с НДС)</t>
  </si>
  <si>
    <t>прочие расходы (без НДС)</t>
  </si>
  <si>
    <t>Total=sum;Data=DATA1.income;Mode=sum</t>
  </si>
  <si>
    <t>Total=sum;Data=DATA2.expence;Mode=sum</t>
  </si>
  <si>
    <t>НДС полученный по прочим доходам</t>
  </si>
  <si>
    <t>НДС уплаченный по прочим расходам</t>
  </si>
  <si>
    <t>Социальные взносы</t>
  </si>
  <si>
    <t>accrued</t>
  </si>
  <si>
    <t>Total=sum;Data=accrued;Mode=sum</t>
  </si>
  <si>
    <t>Total=sum;Data=paid;Mode=sum</t>
  </si>
  <si>
    <t>paid</t>
  </si>
  <si>
    <t>taxadv</t>
  </si>
  <si>
    <t>Total=sum;Data=taxadv;Mode=sum</t>
  </si>
  <si>
    <t>taxsoc</t>
  </si>
  <si>
    <t>Total=sum;Data=DATA1.taxsoc;Mode=sum</t>
  </si>
  <si>
    <t>Total=sum;Data=DATA2.taxsoc;Mode=sum</t>
  </si>
  <si>
    <t>Total=sum;Data=DATA3.taxsoc;Mode=sum</t>
  </si>
  <si>
    <t>inflow</t>
  </si>
  <si>
    <t>outflow</t>
  </si>
  <si>
    <t>intaccrued</t>
  </si>
  <si>
    <t>intpaid</t>
  </si>
  <si>
    <t>Total=sum;Data=inflow;Mode=sum</t>
  </si>
  <si>
    <t>Total=sum;Data=outflow;Mode=sum</t>
  </si>
  <si>
    <t>Total=sum;Data=intaccrued;Mode=sum</t>
  </si>
  <si>
    <t>Total=sum;Data=intpaid;Mode=sum</t>
  </si>
  <si>
    <t>Подбор кредита... Период № ***</t>
  </si>
  <si>
    <t>Обратите внимание! При заданных параметрах платежей кредит не будет возвращен к концу расчетного периода.</t>
  </si>
  <si>
    <t>CF10</t>
  </si>
  <si>
    <t>CF11</t>
  </si>
  <si>
    <t>CF12</t>
  </si>
  <si>
    <t>CF13</t>
  </si>
  <si>
    <t>CF14</t>
  </si>
  <si>
    <t>CF15</t>
  </si>
  <si>
    <t>CF16</t>
  </si>
  <si>
    <t>CF17</t>
  </si>
  <si>
    <t>CF18</t>
  </si>
  <si>
    <t>CF19</t>
  </si>
  <si>
    <t>CF20</t>
  </si>
  <si>
    <t>CF21</t>
  </si>
  <si>
    <t>CF22</t>
  </si>
  <si>
    <t>CF23</t>
  </si>
  <si>
    <t>CF24</t>
  </si>
  <si>
    <t>CF25</t>
  </si>
  <si>
    <t>BL02</t>
  </si>
  <si>
    <t>BL03</t>
  </si>
  <si>
    <t>BL04</t>
  </si>
  <si>
    <t>BL05</t>
  </si>
  <si>
    <t>BL06</t>
  </si>
  <si>
    <t>BL07</t>
  </si>
  <si>
    <t>BL08</t>
  </si>
  <si>
    <t>BL09</t>
  </si>
  <si>
    <t>BL10</t>
  </si>
  <si>
    <t>BL11</t>
  </si>
  <si>
    <t>BL12</t>
  </si>
  <si>
    <t>BL13</t>
  </si>
  <si>
    <t>BL14</t>
  </si>
  <si>
    <t>BL15</t>
  </si>
  <si>
    <t>BL16</t>
  </si>
  <si>
    <t>BL17</t>
  </si>
  <si>
    <t>BL18</t>
  </si>
  <si>
    <t>BL19</t>
  </si>
  <si>
    <t>BL20</t>
  </si>
  <si>
    <t>BL21</t>
  </si>
  <si>
    <t>BL22</t>
  </si>
  <si>
    <t>BL23</t>
  </si>
  <si>
    <t>BL24</t>
  </si>
  <si>
    <t>BL25</t>
  </si>
  <si>
    <t>BL26</t>
  </si>
  <si>
    <t>BL27</t>
  </si>
  <si>
    <t>BL28</t>
  </si>
  <si>
    <t>BL29</t>
  </si>
  <si>
    <t>BL30</t>
  </si>
  <si>
    <t>BL31</t>
  </si>
  <si>
    <t>BL32</t>
  </si>
  <si>
    <t>BL33</t>
  </si>
  <si>
    <t>BL34</t>
  </si>
  <si>
    <t>BL35</t>
  </si>
  <si>
    <t>BRA01</t>
  </si>
  <si>
    <t>BRA02</t>
  </si>
  <si>
    <t>BRA03</t>
  </si>
  <si>
    <t>BRA04</t>
  </si>
  <si>
    <t>BRA05</t>
  </si>
  <si>
    <t>BRA06</t>
  </si>
  <si>
    <t>BRA07</t>
  </si>
  <si>
    <t>BRA08</t>
  </si>
  <si>
    <t>BRA09</t>
  </si>
  <si>
    <t>BRA10</t>
  </si>
  <si>
    <t>BRA11</t>
  </si>
  <si>
    <t>rate</t>
  </si>
  <si>
    <t>PL06</t>
  </si>
  <si>
    <t>Анализ чувствительности… Расчет № ***</t>
  </si>
  <si>
    <t>Level=2;Mode=max</t>
  </si>
  <si>
    <t>в том числе, не облагаемых налогом</t>
  </si>
  <si>
    <t>в том числе, не облагаемого налогом</t>
  </si>
  <si>
    <t>Начисленный налог с дохода минус расходы (УСН)</t>
  </si>
  <si>
    <t>Mode=max</t>
  </si>
  <si>
    <t xml:space="preserve"> Демо</t>
  </si>
  <si>
    <t xml:space="preserve"> Demo</t>
  </si>
  <si>
    <t>Стоимость активов начального баланса</t>
  </si>
  <si>
    <t>Продленная стоимость проекта</t>
  </si>
  <si>
    <t>в пересчете на шаг планирования</t>
  </si>
  <si>
    <t>расход в единицах за период</t>
  </si>
  <si>
    <t>затраты за период</t>
  </si>
  <si>
    <t>без НДС</t>
  </si>
  <si>
    <t>коэффициент расходов</t>
  </si>
  <si>
    <t>проценты в стоимости основных средств</t>
  </si>
  <si>
    <t>Балансовая стоимость процентов в основных средствах</t>
  </si>
  <si>
    <t>intinv</t>
  </si>
  <si>
    <t>Total=sum;Data=DATA1.intinv;Mode=sum</t>
  </si>
  <si>
    <t>Отнесение процентов на стоимость основных средств</t>
  </si>
  <si>
    <t>Незавершенные инвестиции</t>
  </si>
  <si>
    <t>intprog</t>
  </si>
  <si>
    <t>Total=sum;Data=DATA1.intprog;Mode=end</t>
  </si>
  <si>
    <t>Добавление периодов на листе "***" …</t>
  </si>
  <si>
    <t>Удаление периодов на листе "***" …</t>
  </si>
  <si>
    <t>Итого оборотные активы</t>
  </si>
  <si>
    <t>Итого краткосрочные обязательства</t>
  </si>
  <si>
    <t>Чистый оборотный капитал</t>
  </si>
  <si>
    <t>Изменение чистого оборотного капитала</t>
  </si>
  <si>
    <t>Все операционные затраты</t>
  </si>
  <si>
    <t>Денежный поток для расчета эффективности</t>
  </si>
  <si>
    <t>Ставка дисконтирования для бюджетной эффективности</t>
  </si>
  <si>
    <t>Поступление налогов в бюджет</t>
  </si>
  <si>
    <t>Поступление бюджетного финансирования в проект</t>
  </si>
  <si>
    <t>Возврат бюджетного финансирования</t>
  </si>
  <si>
    <t>Платежи за использование бюджетного финансирования</t>
  </si>
  <si>
    <t>Бюджетное финансирование</t>
  </si>
  <si>
    <t>NPV проекта</t>
  </si>
  <si>
    <t>IRR проекта</t>
  </si>
  <si>
    <t>График: Продажи</t>
  </si>
  <si>
    <t>Линии:</t>
  </si>
  <si>
    <t>FCFF01</t>
  </si>
  <si>
    <t>PBP проекта</t>
  </si>
  <si>
    <t>Sens_IRR2</t>
  </si>
  <si>
    <t>Sens_PBP1</t>
  </si>
  <si>
    <t>NPV для собственников</t>
  </si>
  <si>
    <t>IRR для собственников</t>
  </si>
  <si>
    <t>PBP для собственников</t>
  </si>
  <si>
    <t>NPV для банка</t>
  </si>
  <si>
    <t>IRR для банка</t>
  </si>
  <si>
    <t>PBP для банка</t>
  </si>
  <si>
    <t>Sens_NPV2</t>
  </si>
  <si>
    <t>Sens_PBP2</t>
  </si>
  <si>
    <t>Sens_NPV3</t>
  </si>
  <si>
    <t>Sens_IRR3</t>
  </si>
  <si>
    <t>Sens_PBP3</t>
  </si>
  <si>
    <t>Затраты на сырье и материалы</t>
  </si>
  <si>
    <t>Sens_Mat</t>
  </si>
  <si>
    <t>Затраты на оплату труда</t>
  </si>
  <si>
    <t>Sens_Staff</t>
  </si>
  <si>
    <t>Sens_Exp1</t>
  </si>
  <si>
    <t>Sens_Exp2</t>
  </si>
  <si>
    <t>Sens_Exp3</t>
  </si>
  <si>
    <t>Sens_Exp4</t>
  </si>
  <si>
    <t>(с учетом инфляции, номинальная)</t>
  </si>
  <si>
    <t>(без учета инфляции, реальная)</t>
  </si>
  <si>
    <t>TAXR01</t>
  </si>
  <si>
    <t>TAXR02</t>
  </si>
  <si>
    <t>TAXR03</t>
  </si>
  <si>
    <t>TAXR04</t>
  </si>
  <si>
    <t>начисленный налог</t>
  </si>
  <si>
    <t>TAXR05</t>
  </si>
  <si>
    <t>TAXR06</t>
  </si>
  <si>
    <t>TAXR07</t>
  </si>
  <si>
    <t>TAXR08</t>
  </si>
  <si>
    <t>TAXR09</t>
  </si>
  <si>
    <t>TAXR10</t>
  </si>
  <si>
    <t>TAXR11</t>
  </si>
  <si>
    <t>TAXR12</t>
  </si>
  <si>
    <t>TAXR13</t>
  </si>
  <si>
    <t>TAXR14</t>
  </si>
  <si>
    <t>TAXR15</t>
  </si>
  <si>
    <t>TAXR16</t>
  </si>
  <si>
    <t>TAXR17</t>
  </si>
  <si>
    <t>TAXR18</t>
  </si>
  <si>
    <t>CURRENCY, INFLATION</t>
  </si>
  <si>
    <t>Adjust prices for inflation</t>
  </si>
  <si>
    <t>Inflation rate</t>
  </si>
  <si>
    <t>Inflation in specific categories:</t>
  </si>
  <si>
    <t>Sales</t>
  </si>
  <si>
    <t>Raw materials and components</t>
  </si>
  <si>
    <t>Other direct costs</t>
  </si>
  <si>
    <t>Production expenses</t>
  </si>
  <si>
    <t>General and administrative expenses</t>
  </si>
  <si>
    <t>Sales and marketing expenses</t>
  </si>
  <si>
    <t>Wages and salaries</t>
  </si>
  <si>
    <t>Reporting currency and its rate to the main currency</t>
  </si>
  <si>
    <t>Rate to the main currency</t>
  </si>
  <si>
    <t>Annual exchange rate appreciation</t>
  </si>
  <si>
    <t>The above, recalculated per project step</t>
  </si>
  <si>
    <t>Inflation rate for the foreign currency</t>
  </si>
  <si>
    <t>TAX PARAMETERS</t>
  </si>
  <si>
    <t>VALUE ADDED TAX</t>
  </si>
  <si>
    <t>Standard rate</t>
  </si>
  <si>
    <t>Payment period, months</t>
  </si>
  <si>
    <t>returned by tax authorities</t>
  </si>
  <si>
    <t>INCOME TAX</t>
  </si>
  <si>
    <t>Federal income tax rate</t>
  </si>
  <si>
    <t>Local income tax rate</t>
  </si>
  <si>
    <t>Total tax rate</t>
  </si>
  <si>
    <t>SOCIAL INSURANCE PAYMENTS</t>
  </si>
  <si>
    <t>Pension fund contribution rate</t>
  </si>
  <si>
    <t>Medical insurance contribution rate</t>
  </si>
  <si>
    <t>Social insurance contribution rate</t>
  </si>
  <si>
    <t>Accident insurance contribution rate</t>
  </si>
  <si>
    <t>Other social contributions rate</t>
  </si>
  <si>
    <t>Total social contribution rate</t>
  </si>
  <si>
    <t>PROPERTY TAX</t>
  </si>
  <si>
    <t>Tax rate for real estate</t>
  </si>
  <si>
    <t>Tax rate for equipment</t>
  </si>
  <si>
    <t>SALES TAX</t>
  </si>
  <si>
    <t>Tax rate</t>
  </si>
  <si>
    <t>SMALL BUSINESS INCOME TAX</t>
  </si>
  <si>
    <t>DISCOUNT RATE</t>
  </si>
  <si>
    <t>Currency used for project efficiency calculation</t>
  </si>
  <si>
    <t>Nominal prices</t>
  </si>
  <si>
    <t>Discount rate for equity, Re</t>
  </si>
  <si>
    <t>rate per project period</t>
  </si>
  <si>
    <t>discount index at the beginning of period</t>
  </si>
  <si>
    <t>Discount rate for debt, Rd</t>
  </si>
  <si>
    <t>Weighted average rate calculation:</t>
  </si>
  <si>
    <t>Income tax rate, T</t>
  </si>
  <si>
    <t>Percentage of financing that is debt, Wd</t>
  </si>
  <si>
    <t>Percentage of financing that is equity, We</t>
  </si>
  <si>
    <t>Include prior period investments?</t>
  </si>
  <si>
    <t>Add continuing value?</t>
  </si>
  <si>
    <t>Perpetuity growth rate</t>
  </si>
  <si>
    <t>Reinvestment rate for MIRR</t>
  </si>
  <si>
    <t>Do not use</t>
  </si>
  <si>
    <t>Use</t>
  </si>
  <si>
    <t>% p.a.</t>
  </si>
  <si>
    <t>Real prices (net of inflation)</t>
  </si>
  <si>
    <t>Initial balance</t>
  </si>
  <si>
    <t>INITIAL BALANCE SHEET</t>
  </si>
  <si>
    <t>Cash</t>
  </si>
  <si>
    <t>Accounts receivable</t>
  </si>
  <si>
    <t>Advances paid</t>
  </si>
  <si>
    <t>Finished goods</t>
  </si>
  <si>
    <t>Work-in-progress</t>
  </si>
  <si>
    <t>VAT paid</t>
  </si>
  <si>
    <t>Short-term financial assets</t>
  </si>
  <si>
    <t>Other current assets</t>
  </si>
  <si>
    <t>Total current assets</t>
  </si>
  <si>
    <t>Land</t>
  </si>
  <si>
    <t>Buildings and structures</t>
  </si>
  <si>
    <t>Equipment and other assets</t>
  </si>
  <si>
    <t>Intangible assets</t>
  </si>
  <si>
    <t>Long-term financial assets</t>
  </si>
  <si>
    <t>Investments in progress</t>
  </si>
  <si>
    <t>Other fixed assets</t>
  </si>
  <si>
    <t>Total fixed assets</t>
  </si>
  <si>
    <t>TOTAL ASSETS</t>
  </si>
  <si>
    <t>Accounts payable to supplies</t>
  </si>
  <si>
    <t>Accounts payable for fixed assets</t>
  </si>
  <si>
    <t>Taxes payable</t>
  </si>
  <si>
    <t>Wages and salaries payable</t>
  </si>
  <si>
    <t>Advances received</t>
  </si>
  <si>
    <t>Short-term loans</t>
  </si>
  <si>
    <t>Other short-term liabilities</t>
  </si>
  <si>
    <t>Total short-term liabilities</t>
  </si>
  <si>
    <t>Long-term loans</t>
  </si>
  <si>
    <t>Other long-term liabilities</t>
  </si>
  <si>
    <t>Total long-term liabilities</t>
  </si>
  <si>
    <t>Owners' equity</t>
  </si>
  <si>
    <t>Retained earnings</t>
  </si>
  <si>
    <t>Other equity</t>
  </si>
  <si>
    <t>Total equity</t>
  </si>
  <si>
    <t>TOTAL LIABILITIES AND EQUITY</t>
  </si>
  <si>
    <t>Balance check</t>
  </si>
  <si>
    <t>Net assets in the initial balance sheet</t>
  </si>
  <si>
    <t>Unpaid shareholders' equity</t>
  </si>
  <si>
    <t>Market value of the net assets</t>
  </si>
  <si>
    <t>PRESENT PROJECT ASSETS</t>
  </si>
  <si>
    <t>Investments in progress at the beginning of period</t>
  </si>
  <si>
    <t>Recognition of fixed assets:</t>
  </si>
  <si>
    <t>Investments in progress at the end of period</t>
  </si>
  <si>
    <t>book value</t>
  </si>
  <si>
    <t>gross book value</t>
  </si>
  <si>
    <t>depreciation period</t>
  </si>
  <si>
    <t>accumulated depreciation</t>
  </si>
  <si>
    <t>net book value</t>
  </si>
  <si>
    <t>PRESENT FINANCIAL ASSETS</t>
  </si>
  <si>
    <t>sale of assets</t>
  </si>
  <si>
    <t>PRIOR PERIOD LOANS</t>
  </si>
  <si>
    <t>Long-term loan template</t>
  </si>
  <si>
    <t>outstanding debt at the beginning of project</t>
  </si>
  <si>
    <t>interest rate</t>
  </si>
  <si>
    <t>repayment of principal</t>
  </si>
  <si>
    <t>outstanding debt</t>
  </si>
  <si>
    <t>interest accrued</t>
  </si>
  <si>
    <t>interest paid</t>
  </si>
  <si>
    <t>Short-term loan template</t>
  </si>
  <si>
    <t>Total: Outstanding debt</t>
  </si>
  <si>
    <t>Repayment of principal</t>
  </si>
  <si>
    <t>Interest accrued</t>
  </si>
  <si>
    <t>Interest paid</t>
  </si>
  <si>
    <t>Long-term loans at the beginning of period</t>
  </si>
  <si>
    <t>Short-term loans at the beginning of period</t>
  </si>
  <si>
    <t>Long-term loans at the end of period</t>
  </si>
  <si>
    <t>Short-term loans at the end of period</t>
  </si>
  <si>
    <t>Gain (loss) from exchange rate fluctuations</t>
  </si>
  <si>
    <t>Other long-term loans</t>
  </si>
  <si>
    <t>Other short-term loans</t>
  </si>
  <si>
    <t>SALES</t>
  </si>
  <si>
    <t>Discount rate for budget efficiency analysis</t>
  </si>
  <si>
    <t>PROFIT AND LOSS STATEMENT</t>
  </si>
  <si>
    <t>Sales revenue</t>
  </si>
  <si>
    <t>Cost of sales</t>
  </si>
  <si>
    <t>raw materials and components</t>
  </si>
  <si>
    <t>wages and salaries of production personnel</t>
  </si>
  <si>
    <t>Total cost of sales</t>
  </si>
  <si>
    <t>Gross profit</t>
  </si>
  <si>
    <t>Wages and salaries of admin. and marketing personnel</t>
  </si>
  <si>
    <t>Taxes, excl. income tax</t>
  </si>
  <si>
    <t>Leasing expenses</t>
  </si>
  <si>
    <t>Depreciation</t>
  </si>
  <si>
    <t>Interest</t>
  </si>
  <si>
    <t>Operating profit (loss)</t>
  </si>
  <si>
    <t>Gain (loss) from sale of fixed assets</t>
  </si>
  <si>
    <t>Other income</t>
  </si>
  <si>
    <t>Other loss</t>
  </si>
  <si>
    <t>Profit (loss) before tax</t>
  </si>
  <si>
    <t>Net profit (loss)</t>
  </si>
  <si>
    <t>Dividends</t>
  </si>
  <si>
    <t>Retained earnings (per period)</t>
  </si>
  <si>
    <t>CASH FLOW STATEMENT</t>
  </si>
  <si>
    <t>Cash received from customers</t>
  </si>
  <si>
    <t>Cash paid to employees</t>
  </si>
  <si>
    <t>Operating expenses</t>
  </si>
  <si>
    <t>Lease payments</t>
  </si>
  <si>
    <t>Other inflows</t>
  </si>
  <si>
    <t>Other outflows</t>
  </si>
  <si>
    <t>Cash flow from operating activities</t>
  </si>
  <si>
    <t>Investment in land</t>
  </si>
  <si>
    <t>Investment in buildings and structures</t>
  </si>
  <si>
    <t>Investment in equipment and other assets</t>
  </si>
  <si>
    <t>Investment in intangible assets</t>
  </si>
  <si>
    <t>Investment in financial assets</t>
  </si>
  <si>
    <t>Proceeds from sale of fixed assets</t>
  </si>
  <si>
    <t>Cash flow from investing activities</t>
  </si>
  <si>
    <t>Equity inflow</t>
  </si>
  <si>
    <t>Proceeds from borrowing</t>
  </si>
  <si>
    <t>Repayment of debt</t>
  </si>
  <si>
    <t>Dividends paid</t>
  </si>
  <si>
    <t>Cash flow from financing activities</t>
  </si>
  <si>
    <t>Change in cash</t>
  </si>
  <si>
    <t>Cash at the beginning of period</t>
  </si>
  <si>
    <t>Cash at the end of period</t>
  </si>
  <si>
    <t>BALANCE SHEET</t>
  </si>
  <si>
    <t>Lease liabilities</t>
  </si>
  <si>
    <t>DEBT RATIOS</t>
  </si>
  <si>
    <t>Total debt, TD</t>
  </si>
  <si>
    <t>Cash flow available for debt service, CFADS</t>
  </si>
  <si>
    <t>Debt service coverage ratio, DSCR</t>
  </si>
  <si>
    <t>Total debt / Equity</t>
  </si>
  <si>
    <t>Total loans raised</t>
  </si>
  <si>
    <t>Total equity raised</t>
  </si>
  <si>
    <t>Debt ratio</t>
  </si>
  <si>
    <t>PROFITABILITY AND TURNOVER</t>
  </si>
  <si>
    <t>Cost structure:</t>
  </si>
  <si>
    <t>Sales revenue = 100%</t>
  </si>
  <si>
    <t>Other cost items</t>
  </si>
  <si>
    <t>Net profit margin, NPM</t>
  </si>
  <si>
    <t>EBITDA margin</t>
  </si>
  <si>
    <t>Return on equity, ROE</t>
  </si>
  <si>
    <t>Return on invested capital, ROIC</t>
  </si>
  <si>
    <t>Return on assets, ROA</t>
  </si>
  <si>
    <t>Return on fixed assets, ROFA</t>
  </si>
  <si>
    <t>Accounts receivable collection period, CP</t>
  </si>
  <si>
    <t>Finished goods turnover days</t>
  </si>
  <si>
    <t>Turnover days for raw materials</t>
  </si>
  <si>
    <t>Fixed assets turnover</t>
  </si>
  <si>
    <t>Total assets turnover</t>
  </si>
  <si>
    <t>Total expenses</t>
  </si>
  <si>
    <t>PROJECT EFFICIENCY (FCFF)</t>
  </si>
  <si>
    <t>Discount rate</t>
  </si>
  <si>
    <t>discount rate per period</t>
  </si>
  <si>
    <t>discount ratio at the beginning of period</t>
  </si>
  <si>
    <t>Free cash flow to the firm, FCFF</t>
  </si>
  <si>
    <t>Adjusted interest paid, * (1 - tax)</t>
  </si>
  <si>
    <t>Discounted free cash flow</t>
  </si>
  <si>
    <t>Discounted free cash flow, cumulative</t>
  </si>
  <si>
    <t>Present value of the project's cash flow</t>
  </si>
  <si>
    <t>Initial project's balance</t>
  </si>
  <si>
    <t>Continuing value</t>
  </si>
  <si>
    <t>Continuing value, at the end of the project</t>
  </si>
  <si>
    <t>Net present value, NPV</t>
  </si>
  <si>
    <t>Internal rate of return, IRR</t>
  </si>
  <si>
    <t>Modified IRR, MIRR</t>
  </si>
  <si>
    <t>Discounted payback period, PBP</t>
  </si>
  <si>
    <t>Payback period flag (number of full years)</t>
  </si>
  <si>
    <t>Payback period calculation</t>
  </si>
  <si>
    <t>Cash flow for the efficiency calculation</t>
  </si>
  <si>
    <t>(nominal, including inflation)</t>
  </si>
  <si>
    <t>(real, net of inflation)</t>
  </si>
  <si>
    <t>PROJECT EFFICIENCY (FCFE)</t>
  </si>
  <si>
    <t>Free cash flow to equity, FCFE</t>
  </si>
  <si>
    <t>RETURN ON LENDER(S)</t>
  </si>
  <si>
    <t>Cash flow available to debt service, CFADS</t>
  </si>
  <si>
    <t>TAX PAYMENTS</t>
  </si>
  <si>
    <t>Value added tax, VAT</t>
  </si>
  <si>
    <t>Social insurance contribution</t>
  </si>
  <si>
    <t>Small business income tax</t>
  </si>
  <si>
    <t>Total</t>
  </si>
  <si>
    <t>Tax payments</t>
  </si>
  <si>
    <t>Chart: Sales revenue</t>
  </si>
  <si>
    <t>Chart: EBITDA</t>
  </si>
  <si>
    <t>Chart: Cash flows from investing activities</t>
  </si>
  <si>
    <t>Chart: Cash at the end of period</t>
  </si>
  <si>
    <t>Chart: Outstanding debt</t>
  </si>
  <si>
    <t>Payback chart, FCFF</t>
  </si>
  <si>
    <t>Payback chart, FCFE</t>
  </si>
  <si>
    <t>Payback chart, CFADS</t>
  </si>
  <si>
    <t>SENSITIVITY ANALYSIS</t>
  </si>
  <si>
    <t>Columns:</t>
  </si>
  <si>
    <t>Lines:</t>
  </si>
  <si>
    <t>Result:</t>
  </si>
  <si>
    <t>Data table</t>
  </si>
  <si>
    <t>Sensitivity analysis settings</t>
  </si>
  <si>
    <t>Inputs:</t>
  </si>
  <si>
    <t>Output:</t>
  </si>
  <si>
    <t>Parameter</t>
  </si>
  <si>
    <t>Range name</t>
  </si>
  <si>
    <t>Percents?</t>
  </si>
  <si>
    <t>Sale prices</t>
  </si>
  <si>
    <t>Investment in fixed assets</t>
  </si>
  <si>
    <t>Cost of raw materials and components</t>
  </si>
  <si>
    <t>Total operating expenses</t>
  </si>
  <si>
    <t>Total profit</t>
  </si>
  <si>
    <t>NPV (FCFF)</t>
  </si>
  <si>
    <t>IRR (FCFF)</t>
  </si>
  <si>
    <t>PBP (FCFF)</t>
  </si>
  <si>
    <t>NPV (FCFE)</t>
  </si>
  <si>
    <t>IRR (FCFE)</t>
  </si>
  <si>
    <t>PBP (FCFE)</t>
  </si>
  <si>
    <t>NPV (CFADS)</t>
  </si>
  <si>
    <t>IRR (CFADS)</t>
  </si>
  <si>
    <t>PBP (CFADS)</t>
  </si>
  <si>
    <t>SCENARIO ANALYSIS</t>
  </si>
  <si>
    <t>The model does not use scenarios</t>
  </si>
  <si>
    <t>Current scenario</t>
  </si>
  <si>
    <t>Data for the scenarios</t>
  </si>
  <si>
    <t>accrued tax</t>
  </si>
  <si>
    <t>State financing</t>
  </si>
  <si>
    <t>State financing inflow</t>
  </si>
  <si>
    <t>Repayment of debt to state</t>
  </si>
  <si>
    <t>Payments for state financing</t>
  </si>
  <si>
    <t>Ставка для заемного капитала, Rd</t>
  </si>
  <si>
    <t>Sales template w/o units</t>
  </si>
  <si>
    <t>capacity utilization</t>
  </si>
  <si>
    <t>sales per period, w/o inflation</t>
  </si>
  <si>
    <t>sales revenue, net of VAT</t>
  </si>
  <si>
    <t>accounts receivable</t>
  </si>
  <si>
    <t>average accounts receivable term</t>
  </si>
  <si>
    <t>advances received</t>
  </si>
  <si>
    <t>average advance payment term</t>
  </si>
  <si>
    <t>payments, including VAT</t>
  </si>
  <si>
    <t>inflation rate</t>
  </si>
  <si>
    <t>VAT rate</t>
  </si>
  <si>
    <t>excise rate</t>
  </si>
  <si>
    <t>price index to the beginning of project</t>
  </si>
  <si>
    <t>excise accrued</t>
  </si>
  <si>
    <t>VAT accrued</t>
  </si>
  <si>
    <t>VAT on advances</t>
  </si>
  <si>
    <t>Sales template with units</t>
  </si>
  <si>
    <t>sales per period, units</t>
  </si>
  <si>
    <t>excise per unit</t>
  </si>
  <si>
    <t>Total:</t>
  </si>
  <si>
    <t>Sales revenue in profit and loss statement, net of VAT</t>
  </si>
  <si>
    <t>Proceeds from sales, including VAT</t>
  </si>
  <si>
    <t>Excise accrued</t>
  </si>
  <si>
    <t>RAW MATERIALS AND COMPONENTS</t>
  </si>
  <si>
    <t>Cost item template w/o units</t>
  </si>
  <si>
    <t>expenses per period, net of inflation and VAT</t>
  </si>
  <si>
    <t>cost of sales, net of VAT</t>
  </si>
  <si>
    <t>stock of raw materials and component</t>
  </si>
  <si>
    <t>average days in stock</t>
  </si>
  <si>
    <t>remainder cost in inventory of finished goods</t>
  </si>
  <si>
    <t>average days in inventory of finished goods</t>
  </si>
  <si>
    <t>remainder cost in work-in-progress</t>
  </si>
  <si>
    <t>production cycle</t>
  </si>
  <si>
    <t>cost per period, net of VAT</t>
  </si>
  <si>
    <t>accounts payable</t>
  </si>
  <si>
    <t>average days in accounts payable</t>
  </si>
  <si>
    <t>advances paid</t>
  </si>
  <si>
    <t>average days in advances</t>
  </si>
  <si>
    <t>cost payments, including VAT</t>
  </si>
  <si>
    <t>import duty rate</t>
  </si>
  <si>
    <t>import duties accrued</t>
  </si>
  <si>
    <t>Cost item template with units</t>
  </si>
  <si>
    <t>use per period, units</t>
  </si>
  <si>
    <t>price index to the previous period</t>
  </si>
  <si>
    <t>Total: Raw materials and components</t>
  </si>
  <si>
    <t>Total costs in profit and loss statement</t>
  </si>
  <si>
    <t>Cash paid to suppliers, including VAT</t>
  </si>
  <si>
    <t>Duties accrued</t>
  </si>
  <si>
    <t>Stock of raw materials and components</t>
  </si>
  <si>
    <t>Inventory of finished goods</t>
  </si>
  <si>
    <t>PERSONNEL</t>
  </si>
  <si>
    <t>Position template w/o headcount</t>
  </si>
  <si>
    <t>wages and salaries per month</t>
  </si>
  <si>
    <t>workload</t>
  </si>
  <si>
    <t>wages and salaries</t>
  </si>
  <si>
    <t>social insurance contribution</t>
  </si>
  <si>
    <t>price change coefficient</t>
  </si>
  <si>
    <t>Position template with headcount</t>
  </si>
  <si>
    <t>headcount</t>
  </si>
  <si>
    <t>average salary per month</t>
  </si>
  <si>
    <t>Production personnel</t>
  </si>
  <si>
    <t>Sales and marketing personnel</t>
  </si>
  <si>
    <t>Administrative personnel</t>
  </si>
  <si>
    <t>Wages and salaries including social insurance</t>
  </si>
  <si>
    <t>remainder expenses in finished goods stock</t>
  </si>
  <si>
    <t>remainder expenses in work-in-progress</t>
  </si>
  <si>
    <t>expenses written off against sales</t>
  </si>
  <si>
    <t>Administrative personnel expenses, incl. social insurance</t>
  </si>
  <si>
    <t>Sales personnel expenses, incl. social insurance</t>
  </si>
  <si>
    <t>Total: wages, salaries, social insurance</t>
  </si>
  <si>
    <t>Personnel headcount</t>
  </si>
  <si>
    <t>payment period for salaries</t>
  </si>
  <si>
    <t>wages and salaries payable</t>
  </si>
  <si>
    <t>payment period for social insurance</t>
  </si>
  <si>
    <t>social insurance contribution payable</t>
  </si>
  <si>
    <t>cash paid to employees</t>
  </si>
  <si>
    <t>cash paid to social funds</t>
  </si>
  <si>
    <t>OPERATING EXPENSES</t>
  </si>
  <si>
    <t>Template w/o units</t>
  </si>
  <si>
    <t>first period of the expense</t>
  </si>
  <si>
    <t>expenses per period</t>
  </si>
  <si>
    <t>net of VAT</t>
  </si>
  <si>
    <t>expenses with inflation, net of VAT</t>
  </si>
  <si>
    <t>Template with units</t>
  </si>
  <si>
    <t>use in units</t>
  </si>
  <si>
    <t>Total: Production expenses including VAT</t>
  </si>
  <si>
    <t>expenses net of VAT</t>
  </si>
  <si>
    <t>average days in advances paid</t>
  </si>
  <si>
    <t>cash paid for expenses, including VAT</t>
  </si>
  <si>
    <t>Total: Sales and marketing expenses including VAT</t>
  </si>
  <si>
    <t>Total: General and administrative expenses including VAT</t>
  </si>
  <si>
    <t>Total operating expenses including VAT</t>
  </si>
  <si>
    <t>WORKING CAPITAL</t>
  </si>
  <si>
    <t>average days</t>
  </si>
  <si>
    <t>forecasted value</t>
  </si>
  <si>
    <t>value form the initial balance sheet</t>
  </si>
  <si>
    <t>change in cash</t>
  </si>
  <si>
    <t>Accounts payable to suppliers</t>
  </si>
  <si>
    <t>Social insurance contribution payable</t>
  </si>
  <si>
    <t>Net working capital</t>
  </si>
  <si>
    <t>Change in net working capital</t>
  </si>
  <si>
    <t>FIXED ASSETS</t>
  </si>
  <si>
    <t>Land template</t>
  </si>
  <si>
    <t>payments</t>
  </si>
  <si>
    <t>prior period investments</t>
  </si>
  <si>
    <t>recognition of fixed asset</t>
  </si>
  <si>
    <t>sale of asset</t>
  </si>
  <si>
    <t>main currency: payments</t>
  </si>
  <si>
    <t>investments in progress</t>
  </si>
  <si>
    <t>gain (loss) from sale of asset</t>
  </si>
  <si>
    <t>gain (loss) from exchange rate fluctuations</t>
  </si>
  <si>
    <t>Building template</t>
  </si>
  <si>
    <t>payments, net of VAT</t>
  </si>
  <si>
    <t>prior period investments, net of VAT</t>
  </si>
  <si>
    <t>recognition of fixed asset, net of VAT</t>
  </si>
  <si>
    <t>depreciation premium</t>
  </si>
  <si>
    <t>sale of asset, net of VAT</t>
  </si>
  <si>
    <t>main currency: payments, net of VAT</t>
  </si>
  <si>
    <t>VAT on prior period investments</t>
  </si>
  <si>
    <t>depreciation (accounting)</t>
  </si>
  <si>
    <t>net book value (accounting)</t>
  </si>
  <si>
    <t>VAT recognised</t>
  </si>
  <si>
    <t>depreciation (tax)</t>
  </si>
  <si>
    <t>net book value (tax)</t>
  </si>
  <si>
    <t>gain (loss) from sale of asset (accounting)</t>
  </si>
  <si>
    <t>gain (loss) from sale of asset (tax)</t>
  </si>
  <si>
    <t>VAT on revenue from sale of asset</t>
  </si>
  <si>
    <t>Equipment template</t>
  </si>
  <si>
    <t>import equipment</t>
  </si>
  <si>
    <t>period of importing</t>
  </si>
  <si>
    <t>import custom duty</t>
  </si>
  <si>
    <t>Intangible asset template</t>
  </si>
  <si>
    <t>recognition of asset, net of VAT</t>
  </si>
  <si>
    <t>Equipment</t>
  </si>
  <si>
    <t>Total: Land</t>
  </si>
  <si>
    <t>Total: Buildings and structures, including VAT</t>
  </si>
  <si>
    <t>Total: Equipment, including duties and VAT</t>
  </si>
  <si>
    <t>Total: Intangible assets, including VAT</t>
  </si>
  <si>
    <t>Total investments including duties and VAT</t>
  </si>
  <si>
    <t>VAT</t>
  </si>
  <si>
    <t>Prior period investments including VAT</t>
  </si>
  <si>
    <t>LEASING</t>
  </si>
  <si>
    <t>Template w/o payment schedule</t>
  </si>
  <si>
    <t>Equipment cost, net of VAT</t>
  </si>
  <si>
    <t>No. of period in which equipment operation started</t>
  </si>
  <si>
    <t>Leasing term</t>
  </si>
  <si>
    <t>Lessor's renumeration</t>
  </si>
  <si>
    <t>Advance payment</t>
  </si>
  <si>
    <t>leasing expenses, accrued, net of VAT</t>
  </si>
  <si>
    <t>cash paid for leasing, net of VAT</t>
  </si>
  <si>
    <t>value, net of VAT</t>
  </si>
  <si>
    <t>days of leasing in the period</t>
  </si>
  <si>
    <t>financial expense</t>
  </si>
  <si>
    <t>leasing liability</t>
  </si>
  <si>
    <t>VAT on cash paid</t>
  </si>
  <si>
    <t>VAT on accrued expenses</t>
  </si>
  <si>
    <t>Template with payment schedule</t>
  </si>
  <si>
    <t>Payments, net of VAT</t>
  </si>
  <si>
    <t>cash flow used for the renumeration rate calculation</t>
  </si>
  <si>
    <t>dates for the renumeration rate calculation</t>
  </si>
  <si>
    <t>lessor's renumeration</t>
  </si>
  <si>
    <t>Total: Leasing payments, including VAT</t>
  </si>
  <si>
    <t>cash payments net of VAT</t>
  </si>
  <si>
    <t>FINANCIAL INVESTMENTS</t>
  </si>
  <si>
    <t>Long-term investment template</t>
  </si>
  <si>
    <t>purchase of asset</t>
  </si>
  <si>
    <t>financial assets at the end of period</t>
  </si>
  <si>
    <t>financial assets at the beginning of period</t>
  </si>
  <si>
    <t>Short-term investment template</t>
  </si>
  <si>
    <t>Long-term investments</t>
  </si>
  <si>
    <t>Short-term investments</t>
  </si>
  <si>
    <t>Total: Long-term investments at the end of period</t>
  </si>
  <si>
    <t>the above, net of exchange rate fluctuations</t>
  </si>
  <si>
    <t>at the beginning of period, net of exch. rate fluctuations</t>
  </si>
  <si>
    <t>Total: Short-term investments at the end of period</t>
  </si>
  <si>
    <t>OTHER INCOME AND LOSS</t>
  </si>
  <si>
    <t>Other income template</t>
  </si>
  <si>
    <t>other income, net of VAT</t>
  </si>
  <si>
    <t>Other loss template</t>
  </si>
  <si>
    <t>other loss, net of VAT</t>
  </si>
  <si>
    <t>Total: other income, including VAT</t>
  </si>
  <si>
    <t>other income net of VAT</t>
  </si>
  <si>
    <t>Total: other loss, including VAT</t>
  </si>
  <si>
    <t>other loss net of VAT</t>
  </si>
  <si>
    <t>EQUITY</t>
  </si>
  <si>
    <t>Template</t>
  </si>
  <si>
    <t>owner's contribution</t>
  </si>
  <si>
    <t>Total: owners' contribution</t>
  </si>
  <si>
    <t>Shareholders' capital</t>
  </si>
  <si>
    <t>grace period on interest payments</t>
  </si>
  <si>
    <t>capitalization of interest</t>
  </si>
  <si>
    <t>proceeds from loan disbursement</t>
  </si>
  <si>
    <t>the first period of loan</t>
  </si>
  <si>
    <t>add interest to the cost of fixed assets</t>
  </si>
  <si>
    <t>interest in fixed assets</t>
  </si>
  <si>
    <t>period of recognition of the fixed assets</t>
  </si>
  <si>
    <t>accrued interest amortization</t>
  </si>
  <si>
    <t>Total: Outstanding debt at the end of period</t>
  </si>
  <si>
    <t>Proceeds from loan disbursement</t>
  </si>
  <si>
    <t>Interest added to the cost of fixed assets</t>
  </si>
  <si>
    <t>Net book value of interest in the fixed assets</t>
  </si>
  <si>
    <t>Amortization of interest</t>
  </si>
  <si>
    <t>Excise paid</t>
  </si>
  <si>
    <t>Custom import duty on raw materials and components</t>
  </si>
  <si>
    <t>Custom import duty on equipment</t>
  </si>
  <si>
    <t>VAT payable</t>
  </si>
  <si>
    <t>VAT received on sales</t>
  </si>
  <si>
    <t>VAT received on sale of assets</t>
  </si>
  <si>
    <t>VAT paid on raw materials and components</t>
  </si>
  <si>
    <t>VAT paid on operating expenses</t>
  </si>
  <si>
    <t>VAT paid on leasing</t>
  </si>
  <si>
    <t>VAT paid on fixed assets</t>
  </si>
  <si>
    <t>VAT recognized on leasing</t>
  </si>
  <si>
    <t>VAT recognized on investments in fixed assets</t>
  </si>
  <si>
    <t>Recognition of VAT from the initial balance</t>
  </si>
  <si>
    <t>Total: VAT balance</t>
  </si>
  <si>
    <t>VAT as asset</t>
  </si>
  <si>
    <t>VAT overpaid</t>
  </si>
  <si>
    <t>Property tax accrued</t>
  </si>
  <si>
    <t>tax payable</t>
  </si>
  <si>
    <t>tax payment</t>
  </si>
  <si>
    <t>Average value of buldings and structures</t>
  </si>
  <si>
    <t>including exempt from property tax</t>
  </si>
  <si>
    <t>Average value of equipment</t>
  </si>
  <si>
    <t>Social insurance contribution accrued</t>
  </si>
  <si>
    <t>contribution payable</t>
  </si>
  <si>
    <t>contribution paid</t>
  </si>
  <si>
    <t>Income tax accrued</t>
  </si>
  <si>
    <t>income tax payable</t>
  </si>
  <si>
    <t>income tax paid</t>
  </si>
  <si>
    <t>Profit exempt from tax</t>
  </si>
  <si>
    <t>Prior period losses</t>
  </si>
  <si>
    <t>Prior period losses recognized</t>
  </si>
  <si>
    <t>Taxable profit</t>
  </si>
  <si>
    <t>Sales tax accrued</t>
  </si>
  <si>
    <t>sales tax payable</t>
  </si>
  <si>
    <t>sales tax paid</t>
  </si>
  <si>
    <t>Taxable revenue</t>
  </si>
  <si>
    <t>Small business profit tax</t>
  </si>
  <si>
    <t>tax paid</t>
  </si>
  <si>
    <t>taxable profit before recognition of prior period losses</t>
  </si>
  <si>
    <t>Recognition of prior period losses</t>
  </si>
  <si>
    <t>Minimum tax as percentage of sales</t>
  </si>
  <si>
    <t>Tax accrued</t>
  </si>
  <si>
    <t>Tax paid</t>
  </si>
  <si>
    <t>Задолженность перед бюджетом и фондами</t>
  </si>
  <si>
    <t>days</t>
  </si>
  <si>
    <t>Да</t>
  </si>
  <si>
    <t>Нет</t>
  </si>
  <si>
    <t>Yes</t>
  </si>
  <si>
    <t>No</t>
  </si>
  <si>
    <t>times</t>
  </si>
  <si>
    <t>times p.a.</t>
  </si>
  <si>
    <t>per period</t>
  </si>
  <si>
    <t>Импорт</t>
  </si>
  <si>
    <t>Не импорт</t>
  </si>
  <si>
    <t>Import</t>
  </si>
  <si>
    <t>Not import</t>
  </si>
  <si>
    <t>persons</t>
  </si>
  <si>
    <t>Adding periods to the sheet "***" …</t>
  </si>
  <si>
    <t>Deleting periods from the sheet "***" …</t>
  </si>
  <si>
    <t>This function is unavailable in the demo version.</t>
  </si>
  <si>
    <t>You are using demo version. It works like the full version, but does not calculate the results.</t>
  </si>
  <si>
    <t>Warning! A loan with these parameters cannot be paid before the end of the project</t>
  </si>
  <si>
    <t>Sensitivity analysis … Calculation # ***</t>
  </si>
  <si>
    <t>Стр. [# стр] из [Число стр.]</t>
  </si>
  <si>
    <t>Нераспределенная чистая прибыль за период</t>
  </si>
  <si>
    <t>цена за единицу (</t>
  </si>
  <si>
    <t>), без НДС</t>
  </si>
  <si>
    <t>), net of VAT</t>
  </si>
  <si>
    <t>price per unit (</t>
  </si>
  <si>
    <t>Подождите пожалуйста. Идет пересчет формул…</t>
  </si>
  <si>
    <t>Please wait. Recalculating all formulas…</t>
  </si>
  <si>
    <t>Confirm password:</t>
  </si>
  <si>
    <t>Подтверждение пароля:</t>
  </si>
  <si>
    <t>You are using trial version.</t>
  </si>
  <si>
    <t>В пробной версии эта возможность недоступна.</t>
  </si>
  <si>
    <t>This function is unavailable in the trial version.</t>
  </si>
  <si>
    <t>Вы используете пробную версию программы.</t>
  </si>
  <si>
    <t>Fixed costs / COGS</t>
  </si>
  <si>
    <t>Доля постоянных затрат</t>
  </si>
  <si>
    <t>Break-even point</t>
  </si>
  <si>
    <t>"Margin of safety"</t>
  </si>
  <si>
    <t>Точка безубыточности</t>
  </si>
  <si>
    <t>"Запас прочности"</t>
  </si>
  <si>
    <t>Коэффициент текущей ликвидности</t>
  </si>
  <si>
    <t>Current ratio (CR)</t>
  </si>
  <si>
    <t>EBITDA (year)</t>
  </si>
  <si>
    <t>EBITDA (в годовом выражении)</t>
  </si>
  <si>
    <t>коэффициент реинвестирования</t>
  </si>
  <si>
    <t>reinvestment index at the beginning of period</t>
  </si>
  <si>
    <t>Modified Cash Flow</t>
  </si>
  <si>
    <t>Модифицированный денежный поток</t>
  </si>
  <si>
    <t>Норма доходности дисконтированных затрат (PI)</t>
  </si>
  <si>
    <t>Profitability Index (PI)</t>
  </si>
  <si>
    <t xml:space="preserve">    inflows</t>
  </si>
  <si>
    <t xml:space="preserve">    discounted inflows</t>
  </si>
  <si>
    <t xml:space="preserve">    outflows</t>
  </si>
  <si>
    <t xml:space="preserve">    discounted outflows</t>
  </si>
  <si>
    <t>притоки</t>
  </si>
  <si>
    <t>дисконтированные притоки</t>
  </si>
  <si>
    <t>оттоки</t>
  </si>
  <si>
    <t>дисконтированные оттоки</t>
  </si>
  <si>
    <t>срок кредитования</t>
  </si>
  <si>
    <t>loan term</t>
  </si>
  <si>
    <t>Type=1;Row=19</t>
  </si>
  <si>
    <t>Type=2;Row=12</t>
  </si>
  <si>
    <t>Простой срок окупаемости</t>
  </si>
  <si>
    <t>Simple payback period</t>
  </si>
  <si>
    <t>Недисконтированный поток нарастающим итогом</t>
  </si>
  <si>
    <t>Undiscounted cash flow, cumulative</t>
  </si>
  <si>
    <t>Флаг периода окупаемости</t>
  </si>
  <si>
    <t xml:space="preserve">Payback period flag </t>
  </si>
  <si>
    <t>средняя оборачиваемость готовой продукции</t>
  </si>
  <si>
    <t>средняя оборачиваемость запасов</t>
  </si>
  <si>
    <t>Лист "***" не найден.</t>
  </si>
  <si>
    <t>Edit item</t>
  </si>
  <si>
    <t>Использовать детализацию</t>
  </si>
  <si>
    <t>Please choose item name.</t>
  </si>
  <si>
    <t>Изменить…</t>
  </si>
  <si>
    <t>Edit…</t>
  </si>
  <si>
    <t>Необходимо выбрать пункт для редактирования!</t>
  </si>
  <si>
    <t>Nothing to edit. No item is selected!</t>
  </si>
  <si>
    <t>Header=2;Type=1;Count=0;</t>
  </si>
  <si>
    <t>Header=2;Type=2;Count=0;</t>
  </si>
  <si>
    <t>Filling the schedule of payments… Period # ***</t>
  </si>
  <si>
    <t>Необходимо выбрать кредит для подбора графика!</t>
  </si>
  <si>
    <t>Необходимо выбрать пункты для удаления!</t>
  </si>
  <si>
    <t>Nothing to delete. No item is selected!</t>
  </si>
  <si>
    <t>Установить защиту?</t>
  </si>
  <si>
    <t>В списке нет ни одного пункта!</t>
  </si>
  <si>
    <t>The list is empty!</t>
  </si>
  <si>
    <t>Cannot find sheet "***"</t>
  </si>
  <si>
    <t>Слишком много пунктов в списке.</t>
  </si>
  <si>
    <t>To many items.</t>
  </si>
  <si>
    <t>Затраты, без НДС</t>
  </si>
  <si>
    <t>Costs, net of VAT</t>
  </si>
  <si>
    <t>Оплата, c НДС</t>
  </si>
  <si>
    <t>Cash paid, including VAT</t>
  </si>
  <si>
    <t>индексировать в начале года</t>
  </si>
  <si>
    <t>price changes at the beginning of year</t>
  </si>
  <si>
    <t>Type=1;Row=10</t>
  </si>
  <si>
    <t>затраты с учетом инфляции, без НДС</t>
  </si>
  <si>
    <t>Шаблон прочих налогов</t>
  </si>
  <si>
    <t>Other taxes template</t>
  </si>
  <si>
    <t>Прочие налоги</t>
  </si>
  <si>
    <t>Other taxes</t>
  </si>
  <si>
    <t>Начисленный налог</t>
  </si>
  <si>
    <t>уплаченный налог</t>
  </si>
  <si>
    <t>Итого: прочие налоги</t>
  </si>
  <si>
    <t>Total: other taxes</t>
  </si>
  <si>
    <t>начисленные налоги</t>
  </si>
  <si>
    <t>уплаченные налоги</t>
  </si>
  <si>
    <t>taxes paid</t>
  </si>
  <si>
    <t>taxes accrued</t>
  </si>
  <si>
    <t>задолженность по налогам</t>
  </si>
  <si>
    <t>taxes payable</t>
  </si>
  <si>
    <t>othertax</t>
  </si>
  <si>
    <t>Total=sum;Data=othertax;Mode=sum</t>
  </si>
  <si>
    <t>paidtax</t>
  </si>
  <si>
    <t>Total=sum;Data=paidtax;Mode=sum</t>
  </si>
  <si>
    <t>unpaidtax</t>
  </si>
  <si>
    <t>Total=sum;Data=unpaidtax;Mode=end</t>
  </si>
  <si>
    <t>Loan life coverage ratio (LLCR)</t>
  </si>
  <si>
    <t>Коэффициент покрытия за весь срок кредита (LLCR)</t>
  </si>
  <si>
    <t>BRA12</t>
  </si>
  <si>
    <t>BRA13</t>
  </si>
  <si>
    <t>BRA14</t>
  </si>
  <si>
    <t>BRA15</t>
  </si>
  <si>
    <t>NPV CFADS</t>
  </si>
  <si>
    <t>Приведенная стоимость будущих денежных потоков (NPV CFADS)</t>
  </si>
  <si>
    <t>множитель для дисконтирования</t>
  </si>
  <si>
    <t>discounting factor</t>
  </si>
  <si>
    <t>ОПЕРАЦИОННЫЕ РАСХОДЫ</t>
  </si>
  <si>
    <t>Облагаемая база в денежном выражении</t>
  </si>
  <si>
    <t>Облагаемая база в натуральных единицах</t>
  </si>
  <si>
    <t>Taxable base, monetary</t>
  </si>
  <si>
    <t>Taxable base, units</t>
  </si>
  <si>
    <t>TAXR19</t>
  </si>
  <si>
    <t>DATA.PRODUCT</t>
  </si>
  <si>
    <t>Итого</t>
  </si>
  <si>
    <t>TABLE::INVEST</t>
  </si>
  <si>
    <t>END::INVEST</t>
  </si>
  <si>
    <t>Выручка от реализации, с НДС</t>
  </si>
  <si>
    <t>Суммарные затраты, с НДС</t>
  </si>
  <si>
    <t>Total costs, including VAT</t>
  </si>
  <si>
    <t>TABLE::TOTALEXP</t>
  </si>
  <si>
    <t>END::TOTALEXP</t>
  </si>
  <si>
    <t>Сырье и материальные затраты</t>
  </si>
  <si>
    <t>Personnel</t>
  </si>
  <si>
    <t>DATA.MATERIAL</t>
  </si>
  <si>
    <t>DATA1.FIXED</t>
  </si>
  <si>
    <t>DATA2.FIXED</t>
  </si>
  <si>
    <t>DATA3.FIXED</t>
  </si>
  <si>
    <t>DATA4.FIXED</t>
  </si>
  <si>
    <t>график оплаты, c НДС</t>
  </si>
  <si>
    <t>payments,  including VAT</t>
  </si>
  <si>
    <t>НДС к кредиторской задолженности</t>
  </si>
  <si>
    <t>VAT for accounts payable</t>
  </si>
  <si>
    <t>Type=2;Row=26</t>
  </si>
  <si>
    <t>actvat</t>
  </si>
  <si>
    <t>Total=sum;Data=actvat;Mode=end</t>
  </si>
  <si>
    <t>Type=3;Row=30</t>
  </si>
  <si>
    <t>Type=4;Row=22</t>
  </si>
  <si>
    <t>ОТЧЕТ - ДОХОДЫ (без НДС)</t>
  </si>
  <si>
    <t>ОТЧЕТ – ЗАТРАТЫ (без НДС)</t>
  </si>
  <si>
    <t>REPORT – REVENUE (net of VAT)</t>
  </si>
  <si>
    <t>REPORT – EXPENSES (net of VAT)</t>
  </si>
  <si>
    <t>Выручка от реализации</t>
  </si>
  <si>
    <t>выручка от реализации, с НДС</t>
  </si>
  <si>
    <t>sales revenue,  including VAT</t>
  </si>
  <si>
    <t>Sales revenue,  including VAT</t>
  </si>
  <si>
    <t>Type=1;Row=24;Product=0</t>
  </si>
  <si>
    <t>общий расход за период, с НДС</t>
  </si>
  <si>
    <t>cost per period, including VAT</t>
  </si>
  <si>
    <t>Type=2;Row=25;Product=0</t>
  </si>
  <si>
    <t>Общий расход за период, с НДС</t>
  </si>
  <si>
    <t>Cost per period, including VAT</t>
  </si>
  <si>
    <t>accexp</t>
  </si>
  <si>
    <t>Total=sum;Data=accexp;Mode=sum</t>
  </si>
  <si>
    <t>Суммарные затраты в отчете о прибылях и убытках, с НДС</t>
  </si>
  <si>
    <t>Total costs in profit and loss statement, including VAT</t>
  </si>
  <si>
    <t>Общий расход за период, без НДС</t>
  </si>
  <si>
    <t>Cost per period, net of VAT</t>
  </si>
  <si>
    <t>exptotal</t>
  </si>
  <si>
    <t>Total=sum;Data=exptotal;Mode=sum</t>
  </si>
  <si>
    <t>DATA1.STAFF</t>
  </si>
  <si>
    <t>Type=1;Row=9</t>
  </si>
  <si>
    <t>wages and salaries including social insurance</t>
  </si>
  <si>
    <t>затраты на персонал, с соц. взносами</t>
  </si>
  <si>
    <t>Type=2;Row=9</t>
  </si>
  <si>
    <t>DATA2.STAFF</t>
  </si>
  <si>
    <t>DATA3.STAFF</t>
  </si>
  <si>
    <t>DATA1.EXPENSE</t>
  </si>
  <si>
    <t>DATA2.EXPENSE</t>
  </si>
  <si>
    <t>DATA3.EXPENSE</t>
  </si>
  <si>
    <t>Всего постоянных издержек, без НДС</t>
  </si>
  <si>
    <t>Total operating expenses, net of VAT</t>
  </si>
  <si>
    <t>Справка</t>
  </si>
  <si>
    <t>Help</t>
  </si>
  <si>
    <t>ai7 UGuide RU.pdf</t>
  </si>
  <si>
    <t>Type=2;Row=11</t>
  </si>
  <si>
    <t>OK</t>
  </si>
  <si>
    <t>Init=1;Color=*;Mode=avg</t>
  </si>
  <si>
    <t>Цвет заголовков таблиц (инвестиционный период)</t>
  </si>
  <si>
    <t>Table headers color (investment stage)</t>
  </si>
  <si>
    <t>Доп.</t>
  </si>
  <si>
    <t>Level=1;Color=*;Mode=sum</t>
  </si>
  <si>
    <t>Level=2;Color=*;Mode=end</t>
  </si>
  <si>
    <t>Level=2;Color=b</t>
  </si>
  <si>
    <t>Level=2;Color=*;Mode=avg</t>
  </si>
  <si>
    <t>Level=2;Color=b;Mode=avg</t>
  </si>
  <si>
    <t>Color=*;Mode=avg</t>
  </si>
  <si>
    <t>Color=b</t>
  </si>
  <si>
    <t>Level=2;Color=*;Mode=sum</t>
  </si>
  <si>
    <t>Level=1;Color=*;Mode=avg</t>
  </si>
  <si>
    <t>Color=*;Mode=end</t>
  </si>
  <si>
    <t>Level=1;Color=b</t>
  </si>
  <si>
    <t>Level=2;Color=b;Mode=sum</t>
  </si>
  <si>
    <t>Color=*;Mode=sum</t>
  </si>
  <si>
    <t>ПОЛУЧЕННЫЕ КРЕДИТЫ И ЗАЙМЫ</t>
  </si>
  <si>
    <t>RECEIVED LOANS</t>
  </si>
  <si>
    <t>Налог на доходы физических лиц</t>
  </si>
  <si>
    <t>Individual income tax</t>
  </si>
  <si>
    <t>TAXR20</t>
  </si>
  <si>
    <t>Доли налоговых поступлений в бюджеты разных уровней</t>
  </si>
  <si>
    <t>Tax revenues to various governments</t>
  </si>
  <si>
    <t>федеральный</t>
  </si>
  <si>
    <t>federal</t>
  </si>
  <si>
    <t>территории</t>
  </si>
  <si>
    <t>regional / local</t>
  </si>
  <si>
    <t>Федеральный бюджет</t>
  </si>
  <si>
    <t>Federal government</t>
  </si>
  <si>
    <t>Территориальный бюджет</t>
  </si>
  <si>
    <t>Regional and local governments</t>
  </si>
  <si>
    <t>Total tax payments</t>
  </si>
  <si>
    <t>Общая бюджетная эффективность</t>
  </si>
  <si>
    <t>TAXR21</t>
  </si>
  <si>
    <t>TAXR22</t>
  </si>
  <si>
    <t>TAXR23</t>
  </si>
  <si>
    <t>TAXR24</t>
  </si>
  <si>
    <t>TAXR25</t>
  </si>
  <si>
    <t>TAXR26</t>
  </si>
  <si>
    <t>TAXR27</t>
  </si>
  <si>
    <t>TAXR28</t>
  </si>
  <si>
    <t>TAXR29</t>
  </si>
  <si>
    <t>TAXR30</t>
  </si>
  <si>
    <t>TAXR31</t>
  </si>
  <si>
    <t>TAXR32</t>
  </si>
  <si>
    <t>TAXR33</t>
  </si>
  <si>
    <t>TAXR34</t>
  </si>
  <si>
    <t>TAXR35</t>
  </si>
  <si>
    <t>TAXR36</t>
  </si>
  <si>
    <t>TAXR37</t>
  </si>
  <si>
    <t>TAXR38</t>
  </si>
  <si>
    <t>TAXR39</t>
  </si>
  <si>
    <t>TAXR40</t>
  </si>
  <si>
    <t>TAXR41</t>
  </si>
  <si>
    <t>TAXR42</t>
  </si>
  <si>
    <t>TAXR43</t>
  </si>
  <si>
    <t>TAXR44</t>
  </si>
  <si>
    <t>TAXR45</t>
  </si>
  <si>
    <t>TAXR46</t>
  </si>
  <si>
    <t>TAXR47</t>
  </si>
  <si>
    <t>TAXR48</t>
  </si>
  <si>
    <t>TAXR49</t>
  </si>
  <si>
    <t>TAXR50</t>
  </si>
  <si>
    <t>Орос</t>
  </si>
  <si>
    <t>Англи</t>
  </si>
  <si>
    <t>Хэмжигдэхүүнүүд</t>
  </si>
  <si>
    <t>Эхлэл</t>
  </si>
  <si>
    <t>Төсөл</t>
  </si>
  <si>
    <t>Үр дүн</t>
  </si>
  <si>
    <t>Хувилбарууд</t>
  </si>
  <si>
    <t>Графикууд</t>
  </si>
  <si>
    <t>Тайлан</t>
  </si>
  <si>
    <t>Өөрчлөх</t>
  </si>
  <si>
    <t>Тохируулах</t>
  </si>
  <si>
    <t>Дахин тооцоолох</t>
  </si>
  <si>
    <t>Тайлан үүсгэх</t>
  </si>
  <si>
    <t>Хэвлэх</t>
  </si>
  <si>
    <t>Экселийн шинэ файл үүсгэх</t>
  </si>
  <si>
    <t>өдөр</t>
  </si>
  <si>
    <t>сар</t>
  </si>
  <si>
    <t>улирал</t>
  </si>
  <si>
    <t>жил</t>
  </si>
  <si>
    <t>өд.</t>
  </si>
  <si>
    <t>ул.</t>
  </si>
  <si>
    <t xml:space="preserve">Нэгдүгээр сар </t>
  </si>
  <si>
    <t xml:space="preserve">Хоёрдугаар сар </t>
  </si>
  <si>
    <t xml:space="preserve">Гуравдугаар сар </t>
  </si>
  <si>
    <t xml:space="preserve">Дөрөвдүгээр сар </t>
  </si>
  <si>
    <t xml:space="preserve">Тавдугаар сар </t>
  </si>
  <si>
    <t xml:space="preserve">Зургаадугаар сар </t>
  </si>
  <si>
    <t xml:space="preserve">Долоодугаар сар </t>
  </si>
  <si>
    <t xml:space="preserve">Наймдугаар сар </t>
  </si>
  <si>
    <t xml:space="preserve">Есдүгээр сар </t>
  </si>
  <si>
    <t xml:space="preserve">Аравдугаар сар </t>
  </si>
  <si>
    <t xml:space="preserve">Арваннэгдүгээр сар </t>
  </si>
  <si>
    <t xml:space="preserve">Арванхоёрдугаар сар </t>
  </si>
  <si>
    <t>1-р сар</t>
  </si>
  <si>
    <t>2-р сар</t>
  </si>
  <si>
    <t>3-р сар</t>
  </si>
  <si>
    <t>4-р сар</t>
  </si>
  <si>
    <t>5-р сар</t>
  </si>
  <si>
    <t>6-р сар</t>
  </si>
  <si>
    <t>7-р сар</t>
  </si>
  <si>
    <t>8-р сар</t>
  </si>
  <si>
    <t>9-р сар</t>
  </si>
  <si>
    <t>10-р сар</t>
  </si>
  <si>
    <t>11-р сар</t>
  </si>
  <si>
    <t>12-р сар</t>
  </si>
  <si>
    <t>Австрали доллар</t>
  </si>
  <si>
    <t>Унгарын форинт</t>
  </si>
  <si>
    <t>Данийн крон</t>
  </si>
  <si>
    <t>ам.долл.</t>
  </si>
  <si>
    <t>евро</t>
  </si>
  <si>
    <t>Энэтхэгийн руппи</t>
  </si>
  <si>
    <t>Казакстанын тэнгэ</t>
  </si>
  <si>
    <t>Канадын доллар</t>
  </si>
  <si>
    <t>Хятадын юань</t>
  </si>
  <si>
    <t>Молдавын лев</t>
  </si>
  <si>
    <t>Норвегийн крон</t>
  </si>
  <si>
    <t>Польшийн злот</t>
  </si>
  <si>
    <t>Оросын рубль</t>
  </si>
  <si>
    <t>Румыны леи</t>
  </si>
  <si>
    <t>Туркийн лийр</t>
  </si>
  <si>
    <t>Украйны гривн</t>
  </si>
  <si>
    <t>фунт стерлинг</t>
  </si>
  <si>
    <t>Чехийн крон</t>
  </si>
  <si>
    <t>Швейцарийн франк</t>
  </si>
  <si>
    <t>Японы иен</t>
  </si>
  <si>
    <t>мян. ***</t>
  </si>
  <si>
    <t>сая. ***</t>
  </si>
  <si>
    <t>хаах</t>
  </si>
  <si>
    <t>Хүчингүй болгох</t>
  </si>
  <si>
    <t>Загварын гадаад байдал</t>
  </si>
  <si>
    <t>Интерфейсийн хэл ба тайлангийн маягт</t>
  </si>
  <si>
    <t>Загварт ашиглаж буй өнгө</t>
  </si>
  <si>
    <t>Бэлэн маягтыг ачаалах</t>
  </si>
  <si>
    <t>Хүснэгтийн гарчигийн өнгө</t>
  </si>
  <si>
    <t>Хүснэгтийн гарчигийн өнгө /хөрөнгө оруулалтын хугацааны/</t>
  </si>
  <si>
    <t>Өгөгдөл оруулах нүдний өнгө</t>
  </si>
  <si>
    <t>Загварыг өөрчлөхөөс хамгаалах</t>
  </si>
  <si>
    <t>Загварын хамгаалалтыг авах</t>
  </si>
  <si>
    <t>Макрос болон томъёог устгах</t>
  </si>
  <si>
    <t>Стандартын</t>
  </si>
  <si>
    <t>Хүснэгтийн гарчиг цэнхэр, нүд ногоон өнгөтэй</t>
  </si>
  <si>
    <t>Саарал сүүдэртэй</t>
  </si>
  <si>
    <t>Хүснэгтийн гарчиг улаан, нүд ягаан  өнгөтэй</t>
  </si>
  <si>
    <t>Хөрөнгө оруулалтын үе шатыг ялгах хүснэгтийн гарчиг ногоон өнгөтэй</t>
  </si>
  <si>
    <t>Хөрөнгө оруулалтын үе шатыг ялгах хүснэгтийн гарчиг цэнхэр өнгөтэй</t>
  </si>
  <si>
    <t>Хөрөнгө оруулалтын үе шатыг ялгах хүснэгтийн гарчиг саарал сүүдэртэй</t>
  </si>
  <si>
    <t>Хөрөнгө оруулалтын үе шатыг ялгах хүснэгтийн гарчиг улаан өнгөтэй</t>
  </si>
  <si>
    <t>Хэрэглэгчийн тохиргоо</t>
  </si>
  <si>
    <t>Загварт хамгаалалт хийх</t>
  </si>
  <si>
    <t>Нууц үг</t>
  </si>
  <si>
    <t xml:space="preserve">Нууц үгийг баталгаажуулах </t>
  </si>
  <si>
    <t>Оруулах текстийг харуулах</t>
  </si>
  <si>
    <t>Нууц үгээ мартаж болохгүй. Нууц үггүйгээр ажиллах боломжгүй.</t>
  </si>
  <si>
    <t>Нууц үг буруу</t>
  </si>
  <si>
    <t>Бүх томъёог устгах</t>
  </si>
  <si>
    <t>Анхаар! ОК товчийг дарахад загварын макрос болон товчлуурууд бүгд устах болно. Таньд шинэ нэрээр файлыг хадгалахыг санал болгож байна.</t>
  </si>
  <si>
    <t>Анхаар! Файлын сүүлийн өөрчлөлт хадгалагдаагүй байна. Бид таньд ажлын файлаа эхэлж хадгалахыг санал болгож байна. ОК товчийг дарахад макрос болон товчлуурууд устах болно.</t>
  </si>
  <si>
    <t>Төслийг хэрхэн хадгалах</t>
  </si>
  <si>
    <t>Excel файл (*.xlsx),*.xlsx, бүх файл (*.*),*.*</t>
  </si>
  <si>
    <t>Файл хадгалагдсангүй, сүүлд хийгдсэн өгөгдлүүд загвараас устгагдсан байна. Ажлын загварын нэрээр бүү хадгалаарай.Тэгвэл өгөгдлүүдээ алдах болно. Загвараа хадгалахгүйгээр хаагаарай..</t>
  </si>
  <si>
    <t>Эхлэх  болон үргэлжлэх хугацаа</t>
  </si>
  <si>
    <t>Төслийн эхлэх хугацаа</t>
  </si>
  <si>
    <t>Үргэлжлэх хугацаа</t>
  </si>
  <si>
    <t>Үргэлжлэх тоо</t>
  </si>
  <si>
    <t>Хөрөнгө оруулалтын үе шат</t>
  </si>
  <si>
    <t>Төлөвлөлтийн хугацаа</t>
  </si>
  <si>
    <t>Төслийн эхлэх хугацаа бүрэн бус байна.</t>
  </si>
  <si>
    <t>Валютууд болон инфляци</t>
  </si>
  <si>
    <t>Үндсэн валют</t>
  </si>
  <si>
    <t>Хоёр дахь валют</t>
  </si>
  <si>
    <t>Гурав дахь валют</t>
  </si>
  <si>
    <t>Валютийн тайлан</t>
  </si>
  <si>
    <t>Инфляцийн тооцоолол</t>
  </si>
  <si>
    <t>Инфляци тооцоогүй /тогтмол үнэ/</t>
  </si>
  <si>
    <t>Тооцох /инфляцитай холбоотойгоор үнэ өснө/</t>
  </si>
  <si>
    <t>хэрэглэхгүй</t>
  </si>
  <si>
    <t>Татварууд</t>
  </si>
  <si>
    <t>НӨАТ-ын буцаалтын төлөвлөгөө</t>
  </si>
  <si>
    <t>Ирээдүйн тооцоололд оруулах</t>
  </si>
  <si>
    <t>Илүү төлөлтийн буцаалт /төсвөөс/</t>
  </si>
  <si>
    <t>Нэмэгдсэн өртгийн албан татвар</t>
  </si>
  <si>
    <t>ААНОАТ</t>
  </si>
  <si>
    <t>Нийгмийн даатгалын шимтгэл</t>
  </si>
  <si>
    <t>Үл хөдлөх хөрөнгийн албан татвар</t>
  </si>
  <si>
    <t>борлуулалтын татвар</t>
  </si>
  <si>
    <t>Ногдуулсан татвар</t>
  </si>
  <si>
    <t>Хуудас дотор хугацаа нэмэх "***" …</t>
  </si>
  <si>
    <t>Хуудас дотор хугацаа хасах "***" …</t>
  </si>
  <si>
    <t>Хүлээнэ үү. Томьёоны тооцоолол хийгдэж байна.</t>
  </si>
  <si>
    <t>Сургалтын хувилбар дээр энэ боломж хаалттай.</t>
  </si>
  <si>
    <t>Та сургалтын хувилбарыг ашиглаж байна.</t>
  </si>
  <si>
    <t>Туршилтын хувилбар дээр энэ боломж хаалттай.</t>
  </si>
  <si>
    <t>Та туршилтын хувилбарыг ашиглаж байна. Тус программ дээр бараг бүх функц болон завсрын тооцооллууд ажиллах боловч үр дүнгийн хуудасны утгууд нь өөрчлөгдөхгүй болно.</t>
  </si>
  <si>
    <t>Программ идэвхжээгүй байна. Төслийн өгөгдлүүдэд өөрчлөлт оруулах боломжгүй.</t>
  </si>
  <si>
    <t>Чиглүүлэгч</t>
  </si>
  <si>
    <t>Бүх хэсэг болон хүснэгтийн бүрэн жагсаалт</t>
  </si>
  <si>
    <t>Загварын хуудсууд</t>
  </si>
  <si>
    <t>Загварын хувилбар</t>
  </si>
  <si>
    <t>Дуусах хугацаа</t>
  </si>
  <si>
    <t>Лицензийн дугаар</t>
  </si>
  <si>
    <t>Тайлан хэвлэх</t>
  </si>
  <si>
    <t>Хуудасны толгой</t>
  </si>
  <si>
    <t>Хуудасны хөл</t>
  </si>
  <si>
    <t>Зүүн талаас</t>
  </si>
  <si>
    <t>Баруун талаас</t>
  </si>
  <si>
    <t>Эхний баганыг бүх хуудаснуудад давтах</t>
  </si>
  <si>
    <t>Урьдчилан харах</t>
  </si>
  <si>
    <t>&lt;хоосон&gt;</t>
  </si>
  <si>
    <t>[Хугацаа] [цаг]</t>
  </si>
  <si>
    <t>[Файлын нэр]</t>
  </si>
  <si>
    <t>Хуудас. [# хуудас] из [хуудасны тоо.]</t>
  </si>
  <si>
    <t>Хуудас. &amp;Х из &amp;ХТ</t>
  </si>
  <si>
    <t>Экселийн шинэ файл руу тайланг шилжүүлэх</t>
  </si>
  <si>
    <t>Экселийн шинэ файл руу тайлан шилжүүлэгдэнэ.</t>
  </si>
  <si>
    <t>Төслийн файлд таталтыг хадгалах</t>
  </si>
  <si>
    <t>Тайланд өгөгдөл нэмэх</t>
  </si>
  <si>
    <t>Тайланд нэмэх шаардлагатай хэсэг болон хүснэгтүүдийг сонгох</t>
  </si>
  <si>
    <t>Нэмэх</t>
  </si>
  <si>
    <t>Хуудас цэвэрлэх</t>
  </si>
  <si>
    <t>Өгөгдлүүдийн интервалыг шахах</t>
  </si>
  <si>
    <t>улирлаар</t>
  </si>
  <si>
    <t>жилээр</t>
  </si>
  <si>
    <t>ж</t>
  </si>
  <si>
    <t>Жагсаалт</t>
  </si>
  <si>
    <t>Нэр</t>
  </si>
  <si>
    <t>Валют</t>
  </si>
  <si>
    <t>Жагсаалтаас нэмэх</t>
  </si>
  <si>
    <t>Хуваагч</t>
  </si>
  <si>
    <t>Устгах</t>
  </si>
  <si>
    <t>Сонгосон хэсгээ та  устгахыг үнэхээр хүсэж байна уу?</t>
  </si>
  <si>
    <t>Бүтээгдэхүүнүүд</t>
  </si>
  <si>
    <t>Материалыг сонгох хэрэгтэй!</t>
  </si>
  <si>
    <t>... зээл сонгох</t>
  </si>
  <si>
    <t>Зээлийн авах графикийг сонгох хэрэгтэй.</t>
  </si>
  <si>
    <t>Зээлийн төрөл сонголт ... Хугацаа №</t>
  </si>
  <si>
    <t>Анхаараарай! Өгөгдсөн параметртэй зээл нь төсөл дуусахаас өмнө төлөгдөхгүй</t>
  </si>
  <si>
    <t>&lt;нэр&gt;</t>
  </si>
  <si>
    <t>Олноор нь нэмэх</t>
  </si>
  <si>
    <t>элементүүд</t>
  </si>
  <si>
    <t>Хэмжих нэгжийн нэр</t>
  </si>
  <si>
    <t>нэгж</t>
  </si>
  <si>
    <t>Объектийн үнэ болон лизингийн хувь хэмжээ нь тодорхой байх ёстой</t>
  </si>
  <si>
    <t>Лизинг төлөх хуваарь тодорхой байх</t>
  </si>
  <si>
    <t>Үнэ болон биет хэмжээ тодорхой байх</t>
  </si>
  <si>
    <t>Хүний тоо болон цалин тодорхой байх</t>
  </si>
  <si>
    <t>Материалын зарцуулалт</t>
  </si>
  <si>
    <t>Зээлийг автоматаар сонгох</t>
  </si>
  <si>
    <t>Төлөвлөгөөт хугацаанд авах /  шаардлагатай эсвэл хэрэгцээт/ зээл болон эргэн төлөлтийн хуваарь гаргах</t>
  </si>
  <si>
    <t>- ээс</t>
  </si>
  <si>
    <t>хүртэл</t>
  </si>
  <si>
    <t xml:space="preserve">үе </t>
  </si>
  <si>
    <t>Дансны хамгийн бага үлдэгдэл</t>
  </si>
  <si>
    <t>Өр барагдуулах коэффициент төлөх үед  - с багагүй байх нөхцөл хангах</t>
  </si>
  <si>
    <t>Төсөлд таны хүсч буй стандарт хэсгийг сонгох</t>
  </si>
  <si>
    <t>Хэсгийн нэр</t>
  </si>
  <si>
    <t>Бүлэг</t>
  </si>
  <si>
    <t>Газар</t>
  </si>
  <si>
    <t>Барилга барих талбай бэлдэх</t>
  </si>
  <si>
    <t>Барилгын зураг төсөл</t>
  </si>
  <si>
    <t>Барилгын ажил</t>
  </si>
  <si>
    <t>Барилгын засал чимэглэл</t>
  </si>
  <si>
    <t>Харилцаа холбоо</t>
  </si>
  <si>
    <t>Үндсэн тоног төхөөрөмж</t>
  </si>
  <si>
    <t>Туслах тоног төхөөрөмж</t>
  </si>
  <si>
    <t>Агуулахын тоног төхөөрөмж</t>
  </si>
  <si>
    <t>Тээвэрлэлт</t>
  </si>
  <si>
    <t>Албан тасалгааны мебель, комюпьютер,</t>
  </si>
  <si>
    <t>Тусгай зөвшөөрөл олж авах</t>
  </si>
  <si>
    <t>Сайт боловсруулах</t>
  </si>
  <si>
    <t>Нягтлан бодох бүртгэлийн систем</t>
  </si>
  <si>
    <t>Хэрэглэгчидтэй харилцах систем</t>
  </si>
  <si>
    <t>Ажиллагсдын ажлын байрны программ</t>
  </si>
  <si>
    <t>Үйлдвэрлэлийн барилгын түрээс</t>
  </si>
  <si>
    <t>Холбооны зардал</t>
  </si>
  <si>
    <t>Тоног төхөөрөмжийн ашиглалт</t>
  </si>
  <si>
    <t>Хөдөлмөрийн аюулгүй байдал ба хөдөлмөр хамгаалал</t>
  </si>
  <si>
    <t>Талбайн цэвэрлэгээ</t>
  </si>
  <si>
    <t>Тээврийн зардал</t>
  </si>
  <si>
    <t>Ажлын байрны түрээс</t>
  </si>
  <si>
    <t>Бичиг хэргийн зардал</t>
  </si>
  <si>
    <t>Мэдээллийн технологйин зардал</t>
  </si>
  <si>
    <t>Томилолт</t>
  </si>
  <si>
    <t>Хуулийн болон зөвлөх үйлчилгээ</t>
  </si>
  <si>
    <t>Интернет болон хэвлэл мэдээлийн зар сурталчилгаа</t>
  </si>
  <si>
    <t>Зар сурталчилгаа</t>
  </si>
  <si>
    <t>Маркетингийн материалууд</t>
  </si>
  <si>
    <t>Үзэсгэлэн, яармаг болон бага хуралд оролцох</t>
  </si>
  <si>
    <t>Мэдрэмжийн шинжилгээний тохируулга</t>
  </si>
  <si>
    <t>Баганын  дагуу хувьсах хэмжигдэхүүнүүд</t>
  </si>
  <si>
    <t>Шугамын  дагуу хувьсах хэмжигдэхүүнүүд</t>
  </si>
  <si>
    <t>Үр дүн болгон ашигладагхэмжигдэхүүн</t>
  </si>
  <si>
    <t>Хэд хэдэн шугамыг ашиглах</t>
  </si>
  <si>
    <t>алхамтайгаар</t>
  </si>
  <si>
    <t>Баганын  дагуу хувьсах хэмжигдэхүүнүүдийн буруу тохиргоо</t>
  </si>
  <si>
    <t>Шугамын  дагуу хувьсах хэмжигдэхүүнүүдийн буруу тохиргоо</t>
  </si>
  <si>
    <t>Үр дүнг илэрхийлэх параметрын буруу тохиргоо</t>
  </si>
  <si>
    <t>Мэдрэмжийн шинжилгээ.... Тооцоо №***</t>
  </si>
  <si>
    <t>Хувилбаруудын /сценария/ тохируулга</t>
  </si>
  <si>
    <t>Хэд хэдэн хувилбар ашиглах</t>
  </si>
  <si>
    <t>Хувилбаруудын тоо</t>
  </si>
  <si>
    <t>Хувилбар бүрийн онцлог хэмжигдэхүүнүүд</t>
  </si>
  <si>
    <t>Хувилбар /вариант/</t>
  </si>
  <si>
    <t>Аль нэг хэмжигдэхүүнийг сонгох шаардлагатай.</t>
  </si>
  <si>
    <t>Бүх хэмжигдэхүүнүүдийг устгах уу?</t>
  </si>
  <si>
    <t>Хэтэрхий олон хэмжигдэхүүн байна.</t>
  </si>
  <si>
    <t>Хоосон хэмжигдэхүүний жагсаалт</t>
  </si>
  <si>
    <t>Устгах хэмжигдэхүүнүүдийг сонгох шаардлагатай.</t>
  </si>
  <si>
    <t>Сонгосон хэмжигдэхүүнүүдээ бүгдийг нь устгахыг хүсэж байна уу?</t>
  </si>
  <si>
    <t>Таталт буруу байна.</t>
  </si>
  <si>
    <t>Нэг мөрийг сонгох хэрэгтэй.</t>
  </si>
  <si>
    <t>Хэмжигдэхүүн сонгогдоогүй байна.</t>
  </si>
  <si>
    <t>Хэмжигдэхүүний нэрийг заах хэрэгтэй.</t>
  </si>
  <si>
    <t>Сонгогдсон хэмжигдэхүүн тогмол биш байна.</t>
  </si>
  <si>
    <t>Сонгогдсон хэмжигдэхүүн эгнээндээ биш байна.</t>
  </si>
  <si>
    <t>Хэмжигдэхүүн нэмэх</t>
  </si>
  <si>
    <t>Хэмжигдэхүүн хаана байна вэ?</t>
  </si>
  <si>
    <t>Хэмжигдэхүүний нэр</t>
  </si>
  <si>
    <t>Хэмжигдэхүүний төрөл</t>
  </si>
  <si>
    <t>Тогтмол /В багана дахь утга/</t>
  </si>
  <si>
    <t>Эгнээ /багананын дагуух үеүүдийн утга/</t>
  </si>
  <si>
    <t>Одоо таны сонгосон өгөгдлүүдийг хувилбарын /сценарии/хуудсанд засварлах ба хувилбар бүр дээр өөрийн утгуудыг нь зааж өгнө.</t>
  </si>
  <si>
    <t xml:space="preserve">Хамгаалаагүй </t>
  </si>
  <si>
    <t xml:space="preserve"> Хамгаалсан</t>
  </si>
  <si>
    <r>
      <rPr>
        <strike/>
        <sz val="11"/>
        <rFont val="Times New Roman"/>
        <family val="1"/>
        <charset val="204"/>
      </rPr>
      <t xml:space="preserve"> </t>
    </r>
    <r>
      <rPr>
        <sz val="11"/>
        <rFont val="Times New Roman"/>
        <family val="1"/>
        <charset val="204"/>
      </rPr>
      <t>Хамгаалалтын паспорт оруулах</t>
    </r>
  </si>
  <si>
    <t>ирээдүйн тооцоонд оруулах</t>
  </si>
  <si>
    <t>төсвөөс буцаах</t>
  </si>
  <si>
    <t>Төслийн нэр</t>
  </si>
  <si>
    <t>Нэргүй төсөл</t>
  </si>
  <si>
    <t>Хүснэгтийн төрлийн тохиргоо</t>
  </si>
  <si>
    <t>Интерфайсын хэл ба тайлагнал</t>
  </si>
  <si>
    <t>Загварын хамгаалалт</t>
  </si>
  <si>
    <t>Хуудсыг гаргах загвар</t>
  </si>
  <si>
    <t>Эхлэх болон үргэлжлэх хугацаа</t>
  </si>
  <si>
    <t>Төслийг төлөвлөх мөчлөг /горизонт/</t>
  </si>
  <si>
    <t>Төслийн хөрөнгө оруулалтын үе шат</t>
  </si>
  <si>
    <t xml:space="preserve">Төлөвлөлтийн алхам </t>
  </si>
  <si>
    <t>Төлөвлөлтийн алхамын үргэлжлэх хугацаа</t>
  </si>
  <si>
    <t>Төсөл эхлэх он</t>
  </si>
  <si>
    <t>Төсөл эхлэх сар</t>
  </si>
  <si>
    <t>Хугацааны дугаар</t>
  </si>
  <si>
    <t>Эхлэх хугацаа</t>
  </si>
  <si>
    <t>Хугацаа жилээр</t>
  </si>
  <si>
    <t>Эхлэх хугацаа, сар</t>
  </si>
  <si>
    <t>Үргэлжлэх хугацаа, өдрөөр</t>
  </si>
  <si>
    <t>Үргэлжлэх хугацаа,сараар</t>
  </si>
  <si>
    <t>Бүрэн бус үргэлжлэх хугацаа (1 - тийм)?</t>
  </si>
  <si>
    <t>Бүрэн бус үргэлжлэх хугацааг тооцсон коэффициент</t>
  </si>
  <si>
    <t>Хүснэгтийн гарчиг дахь үргэлжлэх хугацааны нэр</t>
  </si>
  <si>
    <t>Валют, ханш, инфляци</t>
  </si>
  <si>
    <t>Инфляц тооцсон үнэ</t>
  </si>
  <si>
    <t>Тооцооны үндсэн валют</t>
  </si>
  <si>
    <t xml:space="preserve"> Инфляцийн түвшин</t>
  </si>
  <si>
    <t>Категори тус бүрт инфляцийг нарийвчлан тооцох</t>
  </si>
  <si>
    <t>Борлуулалт</t>
  </si>
  <si>
    <t>Материалууд болон бүрдэл хэсгүүд</t>
  </si>
  <si>
    <t>Бусад хувьсах зардлууд</t>
  </si>
  <si>
    <t>Үйлдвэрлэлийн тогтмол зардал</t>
  </si>
  <si>
    <t>Удирдлагын тогтмол зардал</t>
  </si>
  <si>
    <t>Маркетингийн тогтмол зардал</t>
  </si>
  <si>
    <t>Цалингийн фонд</t>
  </si>
  <si>
    <t>Валютын тайлагнал ба түүний үндсэн валютай харьцах ханш</t>
  </si>
  <si>
    <t>Үндсэн валюттай харьцах ханш</t>
  </si>
  <si>
    <t>Үндсэн валюттай харьцах ханшийн өсөлтийн хурд</t>
  </si>
  <si>
    <t>Төслийн шат бүхэнд дахин тооцоолсон</t>
  </si>
  <si>
    <t>Гадаад валютын инфляцийн түвшин</t>
  </si>
  <si>
    <t>Татварын хэмжигдэхүүнүүд</t>
  </si>
  <si>
    <t>Нэмэгдсэн өртгийн албан татвар /НӨАТ/</t>
  </si>
  <si>
    <t>Татварын хувь хэмжээ</t>
  </si>
  <si>
    <t>Татвар төлөх давтамж, сараар</t>
  </si>
  <si>
    <t>Илүү төлөгдсөн НӨАТ-ыг тооцох арга</t>
  </si>
  <si>
    <t>Шууд нөхөн олговор</t>
  </si>
  <si>
    <t>Улсын төсөвт төлөх татварын хувь хэмжээ</t>
  </si>
  <si>
    <t>Орон нутгийн төсөвт төлөх татварын хувь хэмжээ</t>
  </si>
  <si>
    <t>Ашгийн татварын нийт хувь хэмжээ</t>
  </si>
  <si>
    <t>Тэтгэврийн сангийн татварын хэмжээ</t>
  </si>
  <si>
    <t>Эрүүл мэндийн даатгалын сангийн татварын хэмжээ</t>
  </si>
  <si>
    <r>
      <t xml:space="preserve">Нийгмийн даатгалын татварын хэмжээ </t>
    </r>
    <r>
      <rPr>
        <strike/>
        <sz val="11"/>
        <rFont val="Times New Roman"/>
        <family val="1"/>
        <charset val="204"/>
      </rPr>
      <t xml:space="preserve"> </t>
    </r>
  </si>
  <si>
    <t>Гэнэтийн ослын даатгалын хувь хэмжээ</t>
  </si>
  <si>
    <t>Нийгмийн даатгалын бусад татварын хэмжээ</t>
  </si>
  <si>
    <t>Нийгмийн даатгалын нийт татварын хэмжээ</t>
  </si>
  <si>
    <t>ҮЛ ХӨДЛӨХ ЭД ХӨРӨНГИЙН ТАТВАР</t>
  </si>
  <si>
    <t>Үл хөдлөх эд хөрөнгийн албан татварын хувь хэмжээ</t>
  </si>
  <si>
    <t>Тоног төхөөрөмжийн татварын хувь хэмжээ</t>
  </si>
  <si>
    <t>Дискаунтын норм</t>
  </si>
  <si>
    <t>Үр ашгийг тооцоход ашигласан валют</t>
  </si>
  <si>
    <t xml:space="preserve"> Бодит үнэ /инфляци тооцоогүй/</t>
  </si>
  <si>
    <t>Хэвийн үнийн үед хийгдсэн тооцоо</t>
  </si>
  <si>
    <t>Өөрийн хөрөнгийн хувь хэмжээ, Re</t>
  </si>
  <si>
    <t>Тооцооны үргэлжлэх хугацаан дахь хувь хэмжээ</t>
  </si>
  <si>
    <t>Тайлант хугацааны эхэн дэх дискаунтын итгэлцүүр</t>
  </si>
  <si>
    <t>Зээлийн хөрөнгийн хувь хэмжээ, Rd</t>
  </si>
  <si>
    <t>Капиталын жигнэсэн дундаж өртгийн хувь хэмжээ</t>
  </si>
  <si>
    <t>Ашгийн татварын хувь хэмжээ, Т</t>
  </si>
  <si>
    <t>Зээлийн хөрөнгийн эзлэх хувь, Wd</t>
  </si>
  <si>
    <t>Өөрийн хөрөнгийн эзлэх хувь, Wе</t>
  </si>
  <si>
    <t>Анхны хөрөнгийг зах зээлийн үнээр тооцох уу?</t>
  </si>
  <si>
    <t>Нэмэлт өртгийг тооцох уу?</t>
  </si>
  <si>
    <t>Таамагын дараах үеийн мөнгөн урсгалын тогтвортой өсөлт</t>
  </si>
  <si>
    <t>төлөвлөлтийн алхамыг дахин тооцоолох</t>
  </si>
  <si>
    <t>Орлогоор дахин хөрөнгө оруулалт хийх хувь хэмжээ /MIRR-ийг тооцоход/</t>
  </si>
  <si>
    <t>Дахин хөрөнгө оруулалтын итгэлцүүр</t>
  </si>
  <si>
    <t>Засварлагдсан мөнгөн урсгал</t>
  </si>
  <si>
    <t>Төсвийн үр дүнгийн дискаунтын хувь хэмжээ</t>
  </si>
  <si>
    <t>Тооцохгүй байх</t>
  </si>
  <si>
    <t>Тооцох</t>
  </si>
  <si>
    <t>Жилийн хувь</t>
  </si>
  <si>
    <t>Эхний баланс</t>
  </si>
  <si>
    <t>Эхлэлийн баланс</t>
  </si>
  <si>
    <t>Мөнгөн хөрөнгө</t>
  </si>
  <si>
    <t>Дансны авлага</t>
  </si>
  <si>
    <t>Бэлтгэн нийлүүлэгчдэд төлсөн урьдчилгаа</t>
  </si>
  <si>
    <t>Агуулах дахь бэлэн бүтээгдэхүүн</t>
  </si>
  <si>
    <t>Дуусаагүй үйлдвэрлэл</t>
  </si>
  <si>
    <t>Материалын нөөц ба иж бүрдэл</t>
  </si>
  <si>
    <t>Худалдаж авсан бүтээгдэхүүний НӨАТ</t>
  </si>
  <si>
    <t>Богино хугацаат санхүүгийн хөрөнгө оруулалт</t>
  </si>
  <si>
    <t>Бусад эргэлтийн хөрөнгө</t>
  </si>
  <si>
    <t>Эргэлтийн хөрөнгийн дүн</t>
  </si>
  <si>
    <t>Барилга байгууламж</t>
  </si>
  <si>
    <t>Тоног төхөөрөмж болон бусад хөрөнгүүд</t>
  </si>
  <si>
    <t>Материаллаг бус хөрөнгө</t>
  </si>
  <si>
    <t>Урт хугацаат санхүүгийн хөрөнгө оруулалт</t>
  </si>
  <si>
    <t>Дуусаагүй хөрөнгө оруулалт</t>
  </si>
  <si>
    <t>Бусад эргэлтийн бус хөрөнгө</t>
  </si>
  <si>
    <t>Эргэлтийн бус хөрөнгийн дүн</t>
  </si>
  <si>
    <t>НИЙТ ХӨРӨНГИИЙН ДҮН</t>
  </si>
  <si>
    <t>Бэлтгэн нийлүүлэгчдэд төлөх өглөг</t>
  </si>
  <si>
    <t>Эргэлтийн бус хөрөнгийн өглөг</t>
  </si>
  <si>
    <t>Төсвийн өр</t>
  </si>
  <si>
    <t>Цалингийн өглөг</t>
  </si>
  <si>
    <t>Худалдан авагчдаас авсан урьдчилгаа /Урьдчилж орсон орлого/</t>
  </si>
  <si>
    <t>Богино хугацаат зээл</t>
  </si>
  <si>
    <t>Бусад богино хугацаат өр төлбөр</t>
  </si>
  <si>
    <t>Богино хугацаат өр төлбөрийн дүн</t>
  </si>
  <si>
    <t>Урт хугацаат зээл</t>
  </si>
  <si>
    <t>Бусад урт хугацаат өр төлбөр</t>
  </si>
  <si>
    <t>Урт хугацаат өр төлбөрийн дүн</t>
  </si>
  <si>
    <t>Хувь нийлүүлсэн хөрөнгө</t>
  </si>
  <si>
    <t>Хуваарилагдаагүй ашиг</t>
  </si>
  <si>
    <t xml:space="preserve">Бусад өөрийн хөрөнгө </t>
  </si>
  <si>
    <t>Эзэмшигчийн өмчийн дүн</t>
  </si>
  <si>
    <t>ӨР ТӨЛБӨР БА ЭЗЭМШИГЧИЙН ӨМЧИЙН ДҮН</t>
  </si>
  <si>
    <t>Балансад хийх хяналт</t>
  </si>
  <si>
    <t>Эхлэлийн балансын цэвэр хөрөнгө</t>
  </si>
  <si>
    <t>Үүсгэн байгуулагчдын дүрмийн санд оруулсан хувь</t>
  </si>
  <si>
    <t>Зах зээлийн өртөг /үр ашгийн дүн шинжилгээнд/</t>
  </si>
  <si>
    <t>ОДООГИЙН БАЙГАА ҮНДСЭН ХӨРӨНГӨ</t>
  </si>
  <si>
    <t>Хугацааны эхэн дэх дуусаагүй хөрөнгө оруулалт</t>
  </si>
  <si>
    <t>Балансад хуваарь хийх</t>
  </si>
  <si>
    <t>Тоног төхөөрөмж болон бусад хөрөнгө</t>
  </si>
  <si>
    <t>Биет бус хөрөнгө</t>
  </si>
  <si>
    <t>Тайлант хугацааны төгсгөл дэх дуусаагүй хөрөнгө оруулалт</t>
  </si>
  <si>
    <t>Балансын дүн</t>
  </si>
  <si>
    <t>Анхны үнэ</t>
  </si>
  <si>
    <t>Элэгдүүлэх хугацаа</t>
  </si>
  <si>
    <t>Элэгдэл хорогдлын шимтгэл</t>
  </si>
  <si>
    <t>Хуримтлагдсан элэгдэл</t>
  </si>
  <si>
    <t xml:space="preserve">Балансын үлдэгдэл  дүн </t>
  </si>
  <si>
    <t>Ашиглалтын хугацаа</t>
  </si>
  <si>
    <t>Балансын үлдэгдэл өртөг</t>
  </si>
  <si>
    <t>Элэгдэл байгуулах хугацаа</t>
  </si>
  <si>
    <t xml:space="preserve"> САНХҮҮГИЙН ӨНӨӨГИЙН ХӨРӨНГӨ ОРУУЛАЛТ</t>
  </si>
  <si>
    <t>Санхүүгийн хөрөнгө оруулалтын буцаалт</t>
  </si>
  <si>
    <t xml:space="preserve"> ЗЭЭЛИЙН ӨНӨӨГИЙН БАЙДАЛ</t>
  </si>
  <si>
    <t>Урт хугацаат зээлийн ангилал</t>
  </si>
  <si>
    <t>Төлөвлөлтийн эхэн дэх зээлийн өр</t>
  </si>
  <si>
    <t>Зээлийн хүүгийн хувь хэмжээ</t>
  </si>
  <si>
    <t>Зээлийн эргэн төлөлт</t>
  </si>
  <si>
    <t>Зээлийн өр</t>
  </si>
  <si>
    <t>Тооцсон хүү</t>
  </si>
  <si>
    <t>Төлсөн хүү</t>
  </si>
  <si>
    <t>Урт хугацаат зээлийн үеийн загвар</t>
  </si>
  <si>
    <t>Бодогдсон хүү</t>
  </si>
  <si>
    <t>Хугацааны эцэс дэх өр төлбөр</t>
  </si>
  <si>
    <t>Үндсэн өр төлөлт</t>
  </si>
  <si>
    <t>Тайлант хугацааны эхэн дэх урт хугацаат зээл</t>
  </si>
  <si>
    <t>Тайлант хугацааны эхэн дэх богино хугацаат зээл</t>
  </si>
  <si>
    <t>Тайлант хугацааны төгсгөл дэх урт хугацаат зээл</t>
  </si>
  <si>
    <t>Тайлант хугацааны төгсгөл дэх богино хугацаат зээл</t>
  </si>
  <si>
    <t>Валютын ханшны зөрүү</t>
  </si>
  <si>
    <t>Бусад урт хугацаат зээл</t>
  </si>
  <si>
    <t>Бусад богино хугацаат зээл</t>
  </si>
  <si>
    <t>Өгөгдлүүд</t>
  </si>
  <si>
    <t>Борлуулалтын нэгжгүй үеийн загвар</t>
  </si>
  <si>
    <t>Ашиглалтын коэффициент</t>
  </si>
  <si>
    <t>Тухайн хугацаан дах борлуулалтын хэмжээ /инфляци тооцоогүй/</t>
  </si>
  <si>
    <t>Борлуулалтын орлого, НӨАТ-гүй</t>
  </si>
  <si>
    <t>урьдчилж орсон орлого</t>
  </si>
  <si>
    <t>урьдчилгаа төлбөрийн дундаж хугацаа</t>
  </si>
  <si>
    <t>Орж ирж буй мөнгөн хөрөнгө, НӨАТ-тэй</t>
  </si>
  <si>
    <t>Инфляцийн хэмжээ</t>
  </si>
  <si>
    <t>НӨАТ-ын хувь хэмжээ</t>
  </si>
  <si>
    <t>Төслийн эхэн дэх үнийн өөрчлөлтийн итгэлцүүр</t>
  </si>
  <si>
    <t>Тооцсон акциз</t>
  </si>
  <si>
    <t>Ногдуулсан НӨАТ</t>
  </si>
  <si>
    <t>Борлуулалтын нэгжтэй үеийн загвар</t>
  </si>
  <si>
    <t>Тайлант үеийн борлуулалтын хэмжээ</t>
  </si>
  <si>
    <t>Нэгжийн үнэ</t>
  </si>
  <si>
    <t>Төлбөр хойшлуулсан дундаж хугацаа</t>
  </si>
  <si>
    <t>Акциз, нэгжид</t>
  </si>
  <si>
    <t>Акцизийн хувь хэмжээ, %</t>
  </si>
  <si>
    <t>өмнөх хугацааны үнийн өсөлтийн итгэлцүүр</t>
  </si>
  <si>
    <t>Авсан урьдчилгааны НӨАТ</t>
  </si>
  <si>
    <t>НИЙТ</t>
  </si>
  <si>
    <t xml:space="preserve">Ашиг ба алдагдлын тайлан дахь борлуулалт (НӨАТ-гүй) </t>
  </si>
  <si>
    <t>Борлуулалтын орлого, НӨАТ-тэй</t>
  </si>
  <si>
    <t>Урьдчилж орсон орлого</t>
  </si>
  <si>
    <t>Валютын ханшийн зөрүү</t>
  </si>
  <si>
    <t>ТҮҮХИЙ ЭД, МАТЕРИАЛЫН ЗАРДАЛ</t>
  </si>
  <si>
    <t>Материалын загвар, тоо хэмжээнээс хамаарахгүй үеийн</t>
  </si>
  <si>
    <t>Тайлант үеийн зардал, инфляци тооцоогүй, НӨАТ-гүй</t>
  </si>
  <si>
    <t>Борлуулсан бүтээгдэхүүний өртөг /НӨАТ-гүй/</t>
  </si>
  <si>
    <t>Түүхий эд материалын нөөц</t>
  </si>
  <si>
    <t>Худалдан авалтын давтамж</t>
  </si>
  <si>
    <t>Бэлэн бүтээгдэхүүний нөөцийн зардал</t>
  </si>
  <si>
    <t>ачилтын давтамж</t>
  </si>
  <si>
    <t>Дуусаагүй үйлдвэрлэлийн зардал</t>
  </si>
  <si>
    <t>Үйлдвэрлэлийн циклийн үргэлжлэх хугацаа</t>
  </si>
  <si>
    <t>Тайлант үеийн нийт зардал, НӨАТ-гүй</t>
  </si>
  <si>
    <t>Өр төлбөр</t>
  </si>
  <si>
    <t>Төлбөр хойшлуулах хугацаа</t>
  </si>
  <si>
    <t xml:space="preserve">Урьдчилгаа төлбөр  </t>
  </si>
  <si>
    <t>Урьдчилгаа төлбөрийн  хугацаа</t>
  </si>
  <si>
    <t>Зардлын төлөлт, НӨАТ-тэй</t>
  </si>
  <si>
    <t>Гаалийн татварын хувь хэмжээ</t>
  </si>
  <si>
    <t>Төслийн эхлэлийн үеийн үнийн индекс</t>
  </si>
  <si>
    <t>Ногдуулах гаалийн татвар</t>
  </si>
  <si>
    <t>Ногдуулах НӨАТ</t>
  </si>
  <si>
    <t xml:space="preserve">Материалын загвар, тоо хэмжээнээс хамаарах үеийн </t>
  </si>
  <si>
    <t>Тайлант үед борлуулсан бүтээгдэхүүний биет хэмжээ</t>
  </si>
  <si>
    <t>нэгжийн үнэ</t>
  </si>
  <si>
    <t>Борлуулсан бүтээгдэхүүний өртөг, НӨАТ-гүй</t>
  </si>
  <si>
    <t>Бэлэн бүтээгдэхүүний нөөц дэх зардал</t>
  </si>
  <si>
    <t>Төлсөн урьдчилгаа</t>
  </si>
  <si>
    <t xml:space="preserve">Инфляцийн хэмжээ </t>
  </si>
  <si>
    <t>Өмнөх үеийн үнийн индекс</t>
  </si>
  <si>
    <t>Материалын нийт зардал</t>
  </si>
  <si>
    <t>Орлогын дэлгэрэнгүй тайлан</t>
  </si>
  <si>
    <t>Материал болон иж бүрдлийн төлбөр, НӨАТ-ын хамт</t>
  </si>
  <si>
    <t xml:space="preserve">Бэлэн бүтээгдэхүүний нөөц </t>
  </si>
  <si>
    <t>Ажиллах хүч</t>
  </si>
  <si>
    <t xml:space="preserve">Ажилтны тоог оруулаагүй загвар </t>
  </si>
  <si>
    <t>Ажилтны сарын цалин хөлс</t>
  </si>
  <si>
    <t>зардлын коэффициент</t>
  </si>
  <si>
    <t>Цалин хөлс</t>
  </si>
  <si>
    <t>Үнийн өөрчлөлтийн хурд</t>
  </si>
  <si>
    <t>Үнийн өөрчлөлтийн коэффициент</t>
  </si>
  <si>
    <t xml:space="preserve">Ажилтны тоог оруулсан загвар </t>
  </si>
  <si>
    <t>Нийт ажилтны тоо</t>
  </si>
  <si>
    <t>Дундаж үндсэн цалин, сард</t>
  </si>
  <si>
    <t>Үйлдвэрлэлийн ажилтан</t>
  </si>
  <si>
    <t>Удирдлагын ажилтан</t>
  </si>
  <si>
    <t>Борлуулалтын ажилтан</t>
  </si>
  <si>
    <t xml:space="preserve">Үйлдвэрлэлийн ажилтны цалин, нийгмийн даатгалын шимтгэлийн хамт </t>
  </si>
  <si>
    <t>Ачилтын давтамж</t>
  </si>
  <si>
    <t xml:space="preserve">Бэлэн бүтээгдэхүүний нөөцийн зардал </t>
  </si>
  <si>
    <t>орлогын тайлангийн борлуулалтаас хасагдах дүн</t>
  </si>
  <si>
    <t xml:space="preserve">Захиргааны ажилтны цалин, нийгмийн даатгалын шимтгэлийн хамт </t>
  </si>
  <si>
    <t xml:space="preserve">Борлуулалтын ажилтны цалин, нийгмийн даатгалын шимтгэлийн хамт </t>
  </si>
  <si>
    <t>Нийт цалингийн зардал, нийгмийн даатгалын шимтгэл тооцсон</t>
  </si>
  <si>
    <t>Ажилтны тоо</t>
  </si>
  <si>
    <t>Цалин төлөх давтамж</t>
  </si>
  <si>
    <t>Нийгмийн даатгалын шимтгэл төлөх давтамж</t>
  </si>
  <si>
    <t>Төсвийн бус өглөг /НДШ-ийн өглөг/</t>
  </si>
  <si>
    <t>Цалингийн зардлын төлбөр</t>
  </si>
  <si>
    <t>Нийгмийн даатгалын шимтгэлийн төлбөр</t>
  </si>
  <si>
    <t>ТОГТМОЛ ЗАРДАЛ</t>
  </si>
  <si>
    <t>Тоо хэмжээнээс хамаараагүй зардлын загвар</t>
  </si>
  <si>
    <t>Зардал үүсэх эхний үе</t>
  </si>
  <si>
    <t xml:space="preserve">Тайлант үеийн зардал </t>
  </si>
  <si>
    <t>НӨАТ-гүй</t>
  </si>
  <si>
    <t>Үнийн хувьсацын итгэлцүүр</t>
  </si>
  <si>
    <t xml:space="preserve">Инфляци тооцсон зардал, НӨАТ-гүй </t>
  </si>
  <si>
    <t>Тоо хэмжээнээс хамаарсан зардлын загвар</t>
  </si>
  <si>
    <t>Зардал гарч эхлэх хугацаа</t>
  </si>
  <si>
    <t>Тухайн хугацааны нэгжийн зардал</t>
  </si>
  <si>
    <t>Үйлдвэрлэлийн зардал</t>
  </si>
  <si>
    <t>Удирдлагын зардал</t>
  </si>
  <si>
    <t>Борлуулалтын зардал</t>
  </si>
  <si>
    <t>Үйлдвэрлэлийн нийт зардал, НӨАТ-тэй хамт</t>
  </si>
  <si>
    <t>НӨАТ-гүй дүн</t>
  </si>
  <si>
    <t>Борлуулалтаас хасагдсан дүн</t>
  </si>
  <si>
    <t>Зээлийн өглөг</t>
  </si>
  <si>
    <t>Төлбөр хойшлуулах хугацаа, өдрөөр</t>
  </si>
  <si>
    <t>Урьдчилж гарсан зардал</t>
  </si>
  <si>
    <t>Урьдчилгаа төлбөрийн  хугацаа, өдрөөр</t>
  </si>
  <si>
    <t>Тогтмол зардлын төлбөр, НӨАТ-тэй</t>
  </si>
  <si>
    <t>Удирдлагын нийт зардал, НӨАТ-тэй</t>
  </si>
  <si>
    <t>Борлуулалтын зардал, НӨАТ-тэй</t>
  </si>
  <si>
    <t>Тогтмол зардлын нийт дүн, НӨАТ-тэй</t>
  </si>
  <si>
    <t>ЭРГЭЛТИЙН ХӨРӨНГӨ</t>
  </si>
  <si>
    <t>Төлбөр хойшлуулах дундаж хугацаа, өдрөөр</t>
  </si>
  <si>
    <t xml:space="preserve">Борлуулалтын төлөвлөлтийн хэмжээ </t>
  </si>
  <si>
    <t>Эхлэлийн балансын дүн</t>
  </si>
  <si>
    <t>Эхлэлийн балансын мөнгөн хөрөнгөний нөлөөлөл</t>
  </si>
  <si>
    <t>Урьдчилгаа төлбөрийн дундаж хугацаа, өдрөөр</t>
  </si>
  <si>
    <t>Материал болон иж бүрдлийн нөөц</t>
  </si>
  <si>
    <t>Эргэцийн дундаж хугацаа</t>
  </si>
  <si>
    <t>Төлөвлөгөөт зардлын хэмжээ</t>
  </si>
  <si>
    <t>Бэлтгэн нийлүүлэгчдийн өглөг</t>
  </si>
  <si>
    <t>Төлбөр хойшлуулах дундаж хугацаа</t>
  </si>
  <si>
    <t>Урьдчилгаа хийх дундаж хугацаа</t>
  </si>
  <si>
    <t>Төсвийн болон төсвийн бус өглөг</t>
  </si>
  <si>
    <t>Төлөвлөгөөт борлуулалт болон зардлын хэмжээ</t>
  </si>
  <si>
    <t>Төсөвлөсөн хөрөнгө оруулалтын дүн</t>
  </si>
  <si>
    <t>Нийт эргэлтийн хөрөнгийн дүн</t>
  </si>
  <si>
    <t>Цэвэр эргэлтийн хөрөнгө</t>
  </si>
  <si>
    <t>Цэвэр эргэлтийн хөрөнгийн өөрчлөлт</t>
  </si>
  <si>
    <t>Үндсэн хөрөнгийн хөрөнгө оруулалт</t>
  </si>
  <si>
    <t>Газрын загвар</t>
  </si>
  <si>
    <t>Төлбөрийн хуваарь</t>
  </si>
  <si>
    <t>Өмнө хийгдсэн хөрөнгө оруулалт</t>
  </si>
  <si>
    <t>Ашиглалтанд оруулах хуваарь</t>
  </si>
  <si>
    <t>Хөрөнгө борлуулсны орлого</t>
  </si>
  <si>
    <t>Үндсэн валютын дүн: төлбөрийн хуваарь</t>
  </si>
  <si>
    <t>Хөрөнгө борлуулсны олз/гарз</t>
  </si>
  <si>
    <t>Барилга байгууламжийн загвар</t>
  </si>
  <si>
    <t>Төлбөрийн хуваарь, НӨАТ-гүй</t>
  </si>
  <si>
    <t>Өмнө хийгдсэн хөрөнгө оруулалт, НӨАТ-гүй</t>
  </si>
  <si>
    <t>Ашиглалтанд оруулах хуваарь, НӨАТ-гүй</t>
  </si>
  <si>
    <t>Элэгдлийн шимтгэл тооцох мөчлөг</t>
  </si>
  <si>
    <t>Элэгдэл хорогдлын шагнал</t>
  </si>
  <si>
    <t>Хөрөнгө борлуулсны орлого, НӨАТ-гүй</t>
  </si>
  <si>
    <t>Үндсэн валютын дүн: Төлбөрийн хуваарь, НӨАТ-гүй</t>
  </si>
  <si>
    <t>Урд нь хийгдсэн хөрөнгө оруулалтын НӨАТ</t>
  </si>
  <si>
    <t>Элэгдэл хорогдлын шимтгэл (санхүүгийн тайлангийн)</t>
  </si>
  <si>
    <t>Балансын дүн (санхүүгийн тайлангийн)</t>
  </si>
  <si>
    <t>Төлсөн НӨАТ</t>
  </si>
  <si>
    <t>тооцсон НӨАТ</t>
  </si>
  <si>
    <t>Элэгдэл хорогдлын шимтгэл(татварын)</t>
  </si>
  <si>
    <t>Балансын дүн (татварын)</t>
  </si>
  <si>
    <t>Хөрөнгө борлуулсны олз/гар з(санхүүгийн тайлангийн)</t>
  </si>
  <si>
    <t>Хөрөнгө борлуулсны олз/гарз (татварын)</t>
  </si>
  <si>
    <t>Хөрөнгө борлуулсны орлогын НӨАТ</t>
  </si>
  <si>
    <t>Тоног төхөөрөмжийн загвар</t>
  </si>
  <si>
    <t>Татварын тайлангаар байгуулсан  элэгдэл</t>
  </si>
  <si>
    <t>Гадаадаас авсан тоног төхөөрөмж</t>
  </si>
  <si>
    <t xml:space="preserve">Гадаадаас хил нэвтрэх хугацаа </t>
  </si>
  <si>
    <t>Гаалийн татвар</t>
  </si>
  <si>
    <t>Биет бус хөрөнгийн загвар</t>
  </si>
  <si>
    <t>Урд нь хийгдсэн хөрөнгө оруулалт, НӨАТ-гүй</t>
  </si>
  <si>
    <t>Байшин, барилга байгууламж</t>
  </si>
  <si>
    <t>Тоног төхөөрөмж</t>
  </si>
  <si>
    <t>Нийт: Газар</t>
  </si>
  <si>
    <t>Байшин, барилга байгууламжийн НӨАТ-тэй дүн</t>
  </si>
  <si>
    <t>Тоног төхөөрөмжийн НӨАТ, гаалийн татвартай дүн</t>
  </si>
  <si>
    <t>Биет бус хөрөнгийн НӨАТ-тэй дүн</t>
  </si>
  <si>
    <t>НӨАТ болон гаалийн татвартай хөрөнгө оруулалтын нийт дүн</t>
  </si>
  <si>
    <t>үүнээс: НӨАТ</t>
  </si>
  <si>
    <t>Урд нь хийгдсэн хөрөнгө оруулалтын НӨАТ-тэй дүн</t>
  </si>
  <si>
    <t>Санхүүгийн түрээс (Лизинг)</t>
  </si>
  <si>
    <t>Төлбөрийн хуваарьгүй загвар</t>
  </si>
  <si>
    <t>Түрээсийн объектын үнэ (НӨАТ -гүй)</t>
  </si>
  <si>
    <t>Түрээсийн эхлэх хугацаа</t>
  </si>
  <si>
    <t>Түрээсийн хугацаа</t>
  </si>
  <si>
    <t>Түрээсийн компанийн ашгийн хувь хэмжээ</t>
  </si>
  <si>
    <t>Түрээсийн урьдчилгаа төлбөр</t>
  </si>
  <si>
    <t>түрээсийн зардлын төлбөр (НӨАТ-гүй)</t>
  </si>
  <si>
    <t>Түрээсийн төлбөрийн гарах мөнгөн урсгал , НӨАТ-гүй</t>
  </si>
  <si>
    <t>Түрээслэх объектын үнэ (өртөг), НӨАТ-гүй</t>
  </si>
  <si>
    <t>Түрээслэх объектын балансын дүн</t>
  </si>
  <si>
    <t>Тайлант үеийн түрээслэх өдрийн тоо</t>
  </si>
  <si>
    <t>Санхүүгийн зардал</t>
  </si>
  <si>
    <t>Түрээсийн авлага</t>
  </si>
  <si>
    <t>НӨАТ-ийн хувь хэмжээ</t>
  </si>
  <si>
    <t>Төлбөрийн гарах мөнгөн хөрөнгийн  НӨАТ</t>
  </si>
  <si>
    <t>Тооцоолсон төлбөрийн НӨАТ</t>
  </si>
  <si>
    <t>Төлбөрийн хуваарьтай үеийн загвар</t>
  </si>
  <si>
    <t>Түрээсийн төлбөрийн хуваарь</t>
  </si>
  <si>
    <t>ашгийн хувь хэмжээ тодорхойлох мөнгөн урсгал</t>
  </si>
  <si>
    <t>ашгийн хувь хэмжээ тодорхойлох хугацаа</t>
  </si>
  <si>
    <t>Түрээсийн нийт төлбөр, НӨАТ-тай</t>
  </si>
  <si>
    <t>Тооцоолсон түрээсийн төлбөр, НӨАТ-гүй</t>
  </si>
  <si>
    <t>Түрээсийн объектын балансын дүн</t>
  </si>
  <si>
    <t>Түрээсийн объектын элэгдэл хорогдлын шимтгэл</t>
  </si>
  <si>
    <t>САНХҮҮГИЙН ХӨРӨНГӨ ОРУУЛАЛТ</t>
  </si>
  <si>
    <t>Урт хугацаат хөрөнгө оруулалтын загвар</t>
  </si>
  <si>
    <t>Санхүүгийн хөрөнгө оруулалтын өсөлт</t>
  </si>
  <si>
    <t>Санхүүгийн хөрөнгө оруулалтын бууралт (буцаалт)</t>
  </si>
  <si>
    <t>Орлого</t>
  </si>
  <si>
    <t>Тайлант хугацааны төгсгөл дэх санхүүгийн хөрөнгө оруулалт</t>
  </si>
  <si>
    <t>Тайлант хугацааны эхэн дэх санхүүгийн хөрөнгө оруулалт</t>
  </si>
  <si>
    <t>Богино хугацаат хөрөнгө оруулалтын загвар</t>
  </si>
  <si>
    <t>Урт хугацаат хөрөнгө оруулалт</t>
  </si>
  <si>
    <t>Богино хугацаат хөрөнгө оруулалт</t>
  </si>
  <si>
    <t>Тайлант үеийн төгсгөл дэх урт хугацаат хөрөнгө оруулалтын нийт дүн</t>
  </si>
  <si>
    <t>Тайлант хугацааны төгсгөлд (ханшийн өөрчлөлт тооцоогүй)</t>
  </si>
  <si>
    <t>Тайлант хугацааны эхэнд (ханшийн өөрчлөлт тооцоогүй)</t>
  </si>
  <si>
    <t>Ханшийн зөрүүнөөс гарах олз/гарз</t>
  </si>
  <si>
    <t>Тайлант үеийн төгсгөл дэх богино хугацаат хөрөнгө оруулалтын нийт дүн</t>
  </si>
  <si>
    <t>БУСАД ОРЛОГО БА ЗАРДАЛ</t>
  </si>
  <si>
    <t>Бусад орлогын загвар</t>
  </si>
  <si>
    <t>Бусад орлого (НӨАТ-гүй)</t>
  </si>
  <si>
    <t>НӨАТ</t>
  </si>
  <si>
    <t>Бусад зардлын загвар</t>
  </si>
  <si>
    <t>Бусад зардал (НӨАТ-гүй)</t>
  </si>
  <si>
    <t>Бусад орлого</t>
  </si>
  <si>
    <t xml:space="preserve">Бусад зардал </t>
  </si>
  <si>
    <t>Бусад орлогын (НӨАТ-тэй) нийт дүн</t>
  </si>
  <si>
    <t>Бусад орлогын (НӨАТ-гүй) нийт дүн</t>
  </si>
  <si>
    <t>Бусад зардлын (НӨАТ-тэй) нийт дүн</t>
  </si>
  <si>
    <t>Бусад зардал (НӨАТ-гүй) нийт дүн</t>
  </si>
  <si>
    <t>ЭЗЭМШИГЧИЙН ӨМЧ</t>
  </si>
  <si>
    <t>Загвар</t>
  </si>
  <si>
    <t>Өөрийн хөрөнгөөр хийх хөрөнгө оруулалт</t>
  </si>
  <si>
    <t>Өөрийн хөрөнгөөр хийх нийт хөрөнгө оруулалт</t>
  </si>
  <si>
    <t>Хувь нийлүүлэгчдийн хөрөнгө (эхний балансыг тооцсон)</t>
  </si>
  <si>
    <t>Төлсөн ногдол ашиг</t>
  </si>
  <si>
    <t>ЗЭЭЛ</t>
  </si>
  <si>
    <t>Хүүгийн төлбөрийн хойшлуулалт</t>
  </si>
  <si>
    <t>Төлөгдөөгүй хүүгийн хөрөнгөжүүлэлт</t>
  </si>
  <si>
    <t>Зээл олгох хугацаа</t>
  </si>
  <si>
    <t>Зээлээр орж ирсэн мөнгө</t>
  </si>
  <si>
    <t>Зээлийн төлөлт</t>
  </si>
  <si>
    <t>Зээл</t>
  </si>
  <si>
    <t>Зээл олгож эхлэх хугацаа</t>
  </si>
  <si>
    <t>үндсэн хөрөнгийг нэмэгдүүлэх хувь хэмжээ</t>
  </si>
  <si>
    <t>Үндсэн хөрөнгийн өртгөөс тооцсон хүү</t>
  </si>
  <si>
    <t>Үндсэн хөрөнгийг ашиглалтанд оруулах хугацаа</t>
  </si>
  <si>
    <t>Үндсэн хөрөнгийн элэгдэл байгуулах хугацаа</t>
  </si>
  <si>
    <t>Балансын өртөг</t>
  </si>
  <si>
    <t>Богино хугацаат зээлийн загвар</t>
  </si>
  <si>
    <t>Тайлант хугацааны төгсгөл дэх өр төлбөр</t>
  </si>
  <si>
    <t>Зээл олголт</t>
  </si>
  <si>
    <t>Үндсэн зээл төлөлт</t>
  </si>
  <si>
    <t>Тайлант үеийн төгсгөл дэх урт хугацаат зээл</t>
  </si>
  <si>
    <t>Тайлант үеийн эхэн дэх богино хугацаат зээл</t>
  </si>
  <si>
    <t>Үндсэн хөрөнгийн балансын үнийн хувь</t>
  </si>
  <si>
    <t>Үндсэн хөрөнгийн элэгдэл хорогдлын шимтгэлийн хувь</t>
  </si>
  <si>
    <t>Лавлагаа: Харилцах дансны үлдэгдэл</t>
  </si>
  <si>
    <t>Өр барагдуулах, DSCR</t>
  </si>
  <si>
    <t>ТАТВАР, ТӨЛБӨР</t>
  </si>
  <si>
    <t>Борлуулсан барааны акциз</t>
  </si>
  <si>
    <t>Түүхий эд болон материалын гаалийн татвар</t>
  </si>
  <si>
    <t>Тоног төхөөрөмжийн гаалийн татвар</t>
  </si>
  <si>
    <t>Татварын өглөг</t>
  </si>
  <si>
    <t>Борлуулалтын орлогоос авсан НӨАТ</t>
  </si>
  <si>
    <t>Үндсэн хөрөнгийн борлуулалтаас авсан НӨАТ</t>
  </si>
  <si>
    <t>Түүхий эд болон материалаас төлсөн НӨАТ</t>
  </si>
  <si>
    <t>Тогтмол зардлаас төлсөн НӨАТ</t>
  </si>
  <si>
    <t>Санхүүгийн түрээсээс төлсөн НӨАТ</t>
  </si>
  <si>
    <t>Хөрөнгө оруулалтаас төлсөн НӨАТ</t>
  </si>
  <si>
    <t>Санхүүгийн түрээсээс тооцогдсон НӨАТ</t>
  </si>
  <si>
    <t>Хөрөнгө оруулалтаас тооцогдсон НӨАТ</t>
  </si>
  <si>
    <t>Эхлэлийн балансын хөрөнгөөс тооцсон НӨАТ</t>
  </si>
  <si>
    <t>Нийт НӨАТ-ын тооцоот баланс</t>
  </si>
  <si>
    <t xml:space="preserve"> хөрөнгө оруулалтын НӨАТ</t>
  </si>
  <si>
    <t>Хойшлогдсон НӨАТ-ын буцаалт</t>
  </si>
  <si>
    <t>Үл хөдлөх эд хөрөнгийн албан татвар</t>
  </si>
  <si>
    <t>Төлсөн үл хөдлөхэд  хөрөнгийн албан татвар</t>
  </si>
  <si>
    <t xml:space="preserve">Барилга байгууламжийн дундаж үнэ </t>
  </si>
  <si>
    <t>үүнээс: татвар ногдуулахгүй</t>
  </si>
  <si>
    <t>Тоног төхөөрөмжийн дундаж үнэ</t>
  </si>
  <si>
    <t>Тооцсон НДШ</t>
  </si>
  <si>
    <t>НДШ өглөг</t>
  </si>
  <si>
    <t>төлсөн НДШ</t>
  </si>
  <si>
    <t>Ногдуулсан   ААНОАТ</t>
  </si>
  <si>
    <t>Төлсөн ААНОАТ</t>
  </si>
  <si>
    <t>Татвар ноогдох ашиг</t>
  </si>
  <si>
    <t>Татвар ногдуулахгүй орлого</t>
  </si>
  <si>
    <t>Өмнөх үеийн алдагдал</t>
  </si>
  <si>
    <t>Өмнөх үеийн алдагдлын хасалт</t>
  </si>
  <si>
    <t>Татвар төлөхийн өмнөх ашиг</t>
  </si>
  <si>
    <t>Борлуулалтын тооцогдсон татвар</t>
  </si>
  <si>
    <t>Борлуулалтаас төлөгдсөн татвар</t>
  </si>
  <si>
    <t xml:space="preserve">Татвар ногдуулах суурь   </t>
  </si>
  <si>
    <t>Жижиг бизнесийн ашгийн татвар</t>
  </si>
  <si>
    <t>Төлсөн татвар</t>
  </si>
  <si>
    <t>Алдагдлыг хасах хүртэлх татвар ноогдох суурь</t>
  </si>
  <si>
    <t>Татвар ногдуулах суурь  = О-З</t>
  </si>
  <si>
    <t>Хамгийн бага татвар (Орлогоос %)</t>
  </si>
  <si>
    <t>Төсөвт төлөх өглөг</t>
  </si>
  <si>
    <t>Орлогын тайлан</t>
  </si>
  <si>
    <t>Өртөг:</t>
  </si>
  <si>
    <t>Түүхий эд, материал</t>
  </si>
  <si>
    <t>Үйлдвэрлэлийн цалин</t>
  </si>
  <si>
    <t>Бусад үйлдвэрлэлийн зардал</t>
  </si>
  <si>
    <t>Нийт өртөг</t>
  </si>
  <si>
    <t>Нийт ашиг</t>
  </si>
  <si>
    <t>Удирдлагын болон борлуулалтын цалин</t>
  </si>
  <si>
    <t>борлуулалтын зардал</t>
  </si>
  <si>
    <t>Татвар, төлбөр хураамж</t>
  </si>
  <si>
    <t xml:space="preserve">Элэгдэл хорогдлын шимэтгэл, хүү болон татварын өмнөх ашиг </t>
  </si>
  <si>
    <t>Лизингийн төлбөр</t>
  </si>
  <si>
    <t>Төлөх хүү</t>
  </si>
  <si>
    <t>Үйл ажиллагааны ашиг (алдагдал)</t>
  </si>
  <si>
    <t>Үндсэн хөрөнгө борлуулсны орлого</t>
  </si>
  <si>
    <t>Бусад зардал</t>
  </si>
  <si>
    <t>Татвар ногдуулах орлого</t>
  </si>
  <si>
    <t>Цэвэр ашиг (алдагдал)</t>
  </si>
  <si>
    <t>Төлсөн ноогдол ашиг</t>
  </si>
  <si>
    <t>Тайлант хугацааны хуваарилагдаагүй ашиг</t>
  </si>
  <si>
    <t>МӨНГӨН ГҮЙЛГЭЭНИЙ ТАЙЛАН</t>
  </si>
  <si>
    <t>Борлуулалтаас орох орлого</t>
  </si>
  <si>
    <t>Цалин</t>
  </si>
  <si>
    <t>Тогтмол зардлууд</t>
  </si>
  <si>
    <t>Зээлийн хүүгийн төлбөр</t>
  </si>
  <si>
    <t>Үйл ажиллагааны мөнгөн гүйлгээ</t>
  </si>
  <si>
    <t>Газар авахад оруулсан хөрөнгө оруулалт</t>
  </si>
  <si>
    <t>Барилга байгууламжид хийсэн хөрөнгө оруулалт</t>
  </si>
  <si>
    <t>Тоног төхөөрөмж болон бусад хөрөнгө авахад хийсэн хөрөнгө оруулалт</t>
  </si>
  <si>
    <t>Биет бус хөрөнгийн хөрөнгө оруулалт</t>
  </si>
  <si>
    <t>Санхүүгийн хөрөнгийн хөрөнгө оруулалт</t>
  </si>
  <si>
    <t>Хөрөнгө оруулалтын үйл ажиллагааны мөнгөн гүйлгээ</t>
  </si>
  <si>
    <t>Өөрийн хөрөнгийн өсөлт</t>
  </si>
  <si>
    <t xml:space="preserve">Авсан зээл </t>
  </si>
  <si>
    <t>Зээлийн буцаан төлөлт</t>
  </si>
  <si>
    <t>Ноогдол ашиг хуваарилалт</t>
  </si>
  <si>
    <t>Санхүүгийн үйл ажиллагааны мөнгөн гүйлгээ</t>
  </si>
  <si>
    <t>Тухайн үеийн мөнгөн гүйлгээ</t>
  </si>
  <si>
    <t>Тайлант хугацааны эхэн дэх мөнгөн хөрөнгө</t>
  </si>
  <si>
    <t>Тайлант хугацааны төгсгөл дэх мөнгөн хөрөнгө</t>
  </si>
  <si>
    <t>Агуулахад буй бэлэн бүтээгдхүүн</t>
  </si>
  <si>
    <t>Төсвийн болон төсвийн бус өр</t>
  </si>
  <si>
    <t>Санхүүгийн түрээсийн өр</t>
  </si>
  <si>
    <t>Хувь нийлүүлэгчдийн хөрөнгө</t>
  </si>
  <si>
    <t>Хуримтлагдсан ашиг</t>
  </si>
  <si>
    <t>Бусад эзэмшигчийн өмч</t>
  </si>
  <si>
    <t>ӨР ТӨЛБӨРИЙН ҮЗҮҮЛЭЛТҮҮД</t>
  </si>
  <si>
    <t>Элэгдэл хорогдлын шимтгэл, хүү болон татварын өмнөх ашиг, EBITDA</t>
  </si>
  <si>
    <t>Нийт өр төлбөр, TD</t>
  </si>
  <si>
    <t>TD/EBITDA</t>
  </si>
  <si>
    <t>Өр төлөх мөнгөн урсгал</t>
  </si>
  <si>
    <t>Үндсэн өрийн нийт төлбөр</t>
  </si>
  <si>
    <t>Өр барагдуулах</t>
  </si>
  <si>
    <t>Өр/Эзэмшигчийн өмчийн харьцаа</t>
  </si>
  <si>
    <t>Нийт зээл</t>
  </si>
  <si>
    <t>Эзэмшигчийн өмчийн нийт мөнгө</t>
  </si>
  <si>
    <t>Санхүүжүүлэх эх үүсвэрт зээлийн эзлэх хувь</t>
  </si>
  <si>
    <t>АШИГТ АЖИЛЛАГАА БОЛОН ЭРГЭЦ</t>
  </si>
  <si>
    <t>Зардлын бүтэц:</t>
  </si>
  <si>
    <t>Үйл ажиллагааны зардал</t>
  </si>
  <si>
    <t>Цалингийн зардал</t>
  </si>
  <si>
    <t>Элэгдэл хорогдлын шимтгэл, лизинг ба хүү</t>
  </si>
  <si>
    <t>Үйл ажиллагааны нийт зардал</t>
  </si>
  <si>
    <t>Цэвэр ашгаарх борлуулалтын ашигт ажиллагаа, NPM</t>
  </si>
  <si>
    <t>Элэгдэл хорогдлын шимтгэл, хүү болон татварын өмнөх ашгаарх /EBITDA/ борлуулалтын ашигт ажиллагаа</t>
  </si>
  <si>
    <t>Тогтмол зардлын эзлэх хувь</t>
  </si>
  <si>
    <t>Хугарлын цэг</t>
  </si>
  <si>
    <t>"Бат бэхийн нөөц"</t>
  </si>
  <si>
    <t>Өөрийн хөрөнгийн ашигт ажиллагаа, ROE</t>
  </si>
  <si>
    <t>Оруулсан хөрөнгийн ашигт ажиллагаа, ROIC</t>
  </si>
  <si>
    <t>Нийт хөрөнгийн ашигт ажиллагаа, ROTA</t>
  </si>
  <si>
    <t>Эргэлтийн бус хөрөнгийн ашигт ажиллагаа, ROFA</t>
  </si>
  <si>
    <t>Эргэлтийн харьцаа</t>
  </si>
  <si>
    <t>Дансны авлага цуглуулах хугацаа</t>
  </si>
  <si>
    <t>Бүтээгдэхүүний нөөц хадгалах хугацаа</t>
  </si>
  <si>
    <t>Түүхий эд, материал хадгалах хугацаа</t>
  </si>
  <si>
    <t>Эргэлтийн бус хөрөнгийн эргэц</t>
  </si>
  <si>
    <t>Нийт хөрөнгийн эргэц</t>
  </si>
  <si>
    <t>ТӨСЛИЙН ҮР АШИГ (FCFF)</t>
  </si>
  <si>
    <t>Дискаунтын хувь хэмжээ</t>
  </si>
  <si>
    <t>Тооцоот хугацаан дах хувь хэмжээ</t>
  </si>
  <si>
    <t>Тайлант хугацааны эхэн дэх дискаунтын коэффициент</t>
  </si>
  <si>
    <t>Компанийн мөнгөн урсгал, FCFF</t>
  </si>
  <si>
    <t>Зээлийн тодотгосон хүү, * (1 -татвар)</t>
  </si>
  <si>
    <t>Эхлэлийн балансын хөрөнгийн үнэ</t>
  </si>
  <si>
    <t>Төслийн нэмэлт өртөг</t>
  </si>
  <si>
    <t>Үр ашиг тооцох мөнгөн гүйлгээ</t>
  </si>
  <si>
    <t>Дискаунтчилагдсан мөнгөн гүйлгээ</t>
  </si>
  <si>
    <t>Дискаунтчилагдсан мөнгөн гүйлгээ өссөн дүнгээр</t>
  </si>
  <si>
    <t xml:space="preserve">Төслийн цэвэр мөнгөн урсгал </t>
  </si>
  <si>
    <t>Эхлэлийн балансын хөрөнгийн тооцоо</t>
  </si>
  <si>
    <t>Татварын дараах үйл ажиллагааны цэвэр ашиг</t>
  </si>
  <si>
    <t>Төслийн төгсгөл дэх нэмэлт өртөг</t>
  </si>
  <si>
    <t>Цэвэр өнөөгийн үнэ цэнэ, NPV</t>
  </si>
  <si>
    <t>Өгөөжийн дотоод норм, IRR</t>
  </si>
  <si>
    <t>(инфляци тооцсон, хэвийн)</t>
  </si>
  <si>
    <t>(инфляци тооцоогүй, бодит)</t>
  </si>
  <si>
    <t>Засварлагдсан IRR, MIRR</t>
  </si>
  <si>
    <t>Хөрөнгө оруулалтыг нөхөх дискаунтласан хугацаа, РВР</t>
  </si>
  <si>
    <t>Хөрөнгө оруулалтаа бүрэн нөхөх хугацаа</t>
  </si>
  <si>
    <t>Хөрөнгө оруулалтаа нөхөх хугацаа сараар</t>
  </si>
  <si>
    <t>Хөрөнгө оруулалтаа нөхөх энгийн хугацаа</t>
  </si>
  <si>
    <t>Дискаунтчилагдаагүй мөнгөн гүйлгээ өссөн дүнгээр</t>
  </si>
  <si>
    <t>Дискаунтчилагдсан ашгийн индекс (PI)</t>
  </si>
  <si>
    <t>орох мөнгөн урсгал</t>
  </si>
  <si>
    <t>Дискаунтчилагдсан орох мөнгөн урсгал</t>
  </si>
  <si>
    <t>Гарах мөнгөн урсгал</t>
  </si>
  <si>
    <t>Дискаунтчилагдсан гарах мөнгөн урсгал</t>
  </si>
  <si>
    <t>ХУВЬ НИЙЛҮҮЛЭГЧДИЙН ҮР АШИГ (FCFE)</t>
  </si>
  <si>
    <t>Хувь нийлүүлэгчдийн мөнгөн урсгал, FCFЕ</t>
  </si>
  <si>
    <t>Дискаунтчилагдсан  мөнгөн урсгал</t>
  </si>
  <si>
    <t>Дискаунтчилагдсан  мөнгөн урсгал өссөн дүнгээр</t>
  </si>
  <si>
    <t>Хөрөнгө оруулалтаа бүрэн нөхөх хугацаа /бүтэн жилээр/</t>
  </si>
  <si>
    <t>БАНКНЫ ҮР АШИГ (CFADS)</t>
  </si>
  <si>
    <t>Өр хаах боломжит мөнгөн урсгал</t>
  </si>
  <si>
    <t>Өөрийн хөрөнгийн оролтын мөнгөн гүйлгээ</t>
  </si>
  <si>
    <t xml:space="preserve">ТӨСВИЙН ҮР АШИГ </t>
  </si>
  <si>
    <t>Төсөвт орох татварын мөнгө</t>
  </si>
  <si>
    <t>Үл хөдлөх эд хөрөнгийн татвар</t>
  </si>
  <si>
    <t>Борлуулалтын татвар</t>
  </si>
  <si>
    <t>Татвар болон нийгэмд төлөх нийт дүн</t>
  </si>
  <si>
    <t>Төсвийн санхүүжилт</t>
  </si>
  <si>
    <t>Төслийн төсвийн санхүүжилтээс орох мөнгөн урсгал</t>
  </si>
  <si>
    <t>Төсвийн санхүүжилтийн буцаалт</t>
  </si>
  <si>
    <t>Төсвийг санхүүжүүлэхэд ашиглах төлбөр</t>
  </si>
  <si>
    <t>График: Борлуулалт</t>
  </si>
  <si>
    <t>График: ЭХШ, хүү ба татварын өмнөх ашиг</t>
  </si>
  <si>
    <t>График: Хөрөнгө оруулалтын мөнгөн гүйлгээ</t>
  </si>
  <si>
    <t>График: Тайлант үеийн төгсгөл дэх мөнгөн хөрөнгө</t>
  </si>
  <si>
    <t>График: Зээлийн өр</t>
  </si>
  <si>
    <t>Хөрөнгө оруулалтаа нөхөх хугацааны график (FCFF-төслийн хувьд)</t>
  </si>
  <si>
    <t>Хөрөнгө оруулалтаа нөхөх хугацааны график (FCFЕ-эзэмшигчийн хувьд)</t>
  </si>
  <si>
    <t>Хөрөнгө оруулалтаа нөхөх хугацааны график (FCFЕ-банкны хувьд)</t>
  </si>
  <si>
    <t>Мэдрэмжийн шинжилгээний график</t>
  </si>
  <si>
    <t>Мөр</t>
  </si>
  <si>
    <t>Шугам</t>
  </si>
  <si>
    <t xml:space="preserve">   - ээс</t>
  </si>
  <si>
    <t>алхалтаар</t>
  </si>
  <si>
    <t>Өгөгдлийн хүснэгт</t>
  </si>
  <si>
    <t>Мэдрэмжийн шинжилгээний тохиргоо</t>
  </si>
  <si>
    <t>Өгөгдлийн хэмжигдэхүүнүүд:</t>
  </si>
  <si>
    <t>Дүн шинжилгээний үр дүн:</t>
  </si>
  <si>
    <t>Мужийн нэр</t>
  </si>
  <si>
    <t>Хувь ?</t>
  </si>
  <si>
    <t>Борлуулалтын тоо хэмжээ</t>
  </si>
  <si>
    <t>Борлуулалтын үнэ</t>
  </si>
  <si>
    <t>Түүхий эд, материалын зардал</t>
  </si>
  <si>
    <t>Нийт тогтмол зардал</t>
  </si>
  <si>
    <t>Төслийн NPV</t>
  </si>
  <si>
    <t xml:space="preserve">Төслийн IRR </t>
  </si>
  <si>
    <t xml:space="preserve">Төслийн PBP </t>
  </si>
  <si>
    <t>NPV эзэмшигчдийн хувьд</t>
  </si>
  <si>
    <t>IRR эзэмшигчдийн хувьд</t>
  </si>
  <si>
    <t>PBP эзэмшигчдийн хувьд</t>
  </si>
  <si>
    <t>NPV банкны хувьд</t>
  </si>
  <si>
    <t>IRR банкны хувьд</t>
  </si>
  <si>
    <t>PBP банкны хувьд</t>
  </si>
  <si>
    <t>Төслийн хувилбарууд</t>
  </si>
  <si>
    <t>Одоо загвар дээр хувилбарууд ашиглагдаагүй байна.</t>
  </si>
  <si>
    <t>Өнөөгийн хувилбар</t>
  </si>
  <si>
    <t>Хувилбар бүрийн өгөгдлүүд</t>
  </si>
  <si>
    <t>Тооцоологдсон татвар</t>
  </si>
  <si>
    <t>БҮГД</t>
  </si>
  <si>
    <t>Тийм</t>
  </si>
  <si>
    <t>Үгүй</t>
  </si>
  <si>
    <t>удаа</t>
  </si>
  <si>
    <t>жилд хэдэн удаа</t>
  </si>
  <si>
    <t>тайлант үед</t>
  </si>
  <si>
    <t>хугацаа</t>
  </si>
  <si>
    <t>Импортоор авах</t>
  </si>
  <si>
    <t>Импортын бус</t>
  </si>
  <si>
    <t>хүн</t>
  </si>
  <si>
    <t>), НӨАТ-гүй</t>
  </si>
  <si>
    <t>тайлант үеийн нийт зардал, НӨАТ-гүй</t>
  </si>
  <si>
    <t xml:space="preserve">Зардал, НӨАТ болон </t>
  </si>
  <si>
    <t>Төлбөр, НӨАТ-тэй</t>
  </si>
  <si>
    <t>затраты для расчета среднего периода оборота</t>
  </si>
  <si>
    <t>costs for turnover period calculation</t>
  </si>
  <si>
    <t>эргэлт хугацаа тооцох зардал</t>
  </si>
  <si>
    <t>Цвет редактируемых ячеек (дополнительные)</t>
  </si>
  <si>
    <t>Цвет редактируемых ячеек (основные)</t>
  </si>
  <si>
    <t>Основные</t>
  </si>
  <si>
    <t>Input cells color (main data)</t>
  </si>
  <si>
    <t>Input cells color (additional data)</t>
  </si>
  <si>
    <t>Оплата материалов и операционных расходов</t>
  </si>
  <si>
    <t>Cash paid to suppliers and operating expenses</t>
  </si>
  <si>
    <t>Материал болон иж бүрдлийн төлбөр, тогтмол зардлууд</t>
  </si>
  <si>
    <t>производственные расходы</t>
  </si>
  <si>
    <t>direct costs</t>
  </si>
  <si>
    <t>ПРЕДОСТАВЛЕННЫЕ ЗАЙМЫ</t>
  </si>
  <si>
    <t>LENDED LOANS</t>
  </si>
  <si>
    <t>Шаблон долгосрочного займа</t>
  </si>
  <si>
    <t>Template of a long-term loan</t>
  </si>
  <si>
    <t>Шаблон краткосрочного займа</t>
  </si>
  <si>
    <t>Template of a short-term loan</t>
  </si>
  <si>
    <t>ставка процентов по займу</t>
  </si>
  <si>
    <t>выдача займа</t>
  </si>
  <si>
    <t>lending</t>
  </si>
  <si>
    <t>возврат займа</t>
  </si>
  <si>
    <t>задолженность по займу</t>
  </si>
  <si>
    <t>Долгосрочные займы</t>
  </si>
  <si>
    <t>Краткосрочные займы</t>
  </si>
  <si>
    <t>Выдача займа</t>
  </si>
  <si>
    <t>Lending</t>
  </si>
  <si>
    <t>Возврат займа</t>
  </si>
  <si>
    <t>Repayment</t>
  </si>
  <si>
    <t>Долгосрочные займы на конец периода</t>
  </si>
  <si>
    <t>Краткосрочные займы на конец периода</t>
  </si>
  <si>
    <t>Type=1;Row=12</t>
  </si>
  <si>
    <t>TABLE::LENDED</t>
  </si>
  <si>
    <t>END::LENDED</t>
  </si>
  <si>
    <t>Payment period</t>
  </si>
  <si>
    <t>Татвар төлөх давтамж</t>
  </si>
  <si>
    <t>Периодичность выплаты налога</t>
  </si>
  <si>
    <t>Монгольский</t>
  </si>
  <si>
    <t>Mongolian</t>
  </si>
  <si>
    <t>Монгол</t>
  </si>
  <si>
    <t>коэффициент продаж периода</t>
  </si>
  <si>
    <t>sales ratio for the period</t>
  </si>
  <si>
    <t>полученные проценты</t>
  </si>
  <si>
    <t>Проценты полученные</t>
  </si>
  <si>
    <t>interest earned</t>
  </si>
  <si>
    <t>Interest earned</t>
  </si>
  <si>
    <t>ОТЧЕТ – ИНВЕСТИЦИИ (с НДС)</t>
  </si>
  <si>
    <t>REPORT – FIXED ASSETS (including VAT)</t>
  </si>
  <si>
    <t>млн ***</t>
  </si>
  <si>
    <t>Операционные расходы - всего</t>
  </si>
  <si>
    <t>Лавлагаа</t>
  </si>
  <si>
    <t>Өгөгдөл оруулах нүдний өнгө (нэмэлтээр)</t>
  </si>
  <si>
    <t xml:space="preserve"> "***" нэртэй хуудас олдохгүй байна. </t>
  </si>
  <si>
    <t>Жагсаалтанд хэтэрхий их /өгөгдлүүд/ заалтууд байна.</t>
  </si>
  <si>
    <t>Жагсаалтанд нэг ч заалт/өгөгдөл/  байхгүй байна.</t>
  </si>
  <si>
    <t>Өгөгдөл оруулах заалт /өгөгдлийг/ыг сонгох хэрэгтэй.</t>
  </si>
  <si>
    <t>Устгах заалт /өгөгдөл/-ыг сонгох хэрэгтэй.</t>
  </si>
  <si>
    <t>Нарийвчлан хэрэглэх</t>
  </si>
  <si>
    <t xml:space="preserve">Заалт/өгөгдөл/ын нэрийг заах хэрэгтэй </t>
  </si>
  <si>
    <t>Оногдуулах суурь /мөнгөн дүн/</t>
  </si>
  <si>
    <t>Оногдуулах суурь /бодит нэгжээр/</t>
  </si>
  <si>
    <t>борлуулалтын орлого, НӨАТ-тэй</t>
  </si>
  <si>
    <t>тухайн хугацааны нийт зардал, НӨАТ-тэй</t>
  </si>
  <si>
    <t>Тухайн хугацааны нийт зардал, НӨАТ-тэй</t>
  </si>
  <si>
    <t>Ашиг, орлогын тайлангийн нийт зардал, НӨАТ-тэй</t>
  </si>
  <si>
    <t>Нийт тогтмол зардал, НӨАТ-гүй</t>
  </si>
  <si>
    <t>Жилийн эхнээс индексжүүлэх</t>
  </si>
  <si>
    <t>Бусад татварын загвар</t>
  </si>
  <si>
    <t>Бусад татварууд</t>
  </si>
  <si>
    <t>Нийт: Бусад татварууд</t>
  </si>
  <si>
    <t>Ногдуулсан татварууд</t>
  </si>
  <si>
    <t>Төлсөн татварууд</t>
  </si>
  <si>
    <t>Татварын өр</t>
  </si>
  <si>
    <t>Нийт хугацааны зээл төлөлтийн итгэлцүүр (LLCR)</t>
  </si>
  <si>
    <t>Ирээдүйн мөнгөн урсгалын өнөөгийн үнэ цэнэ (NPV CFADS)</t>
  </si>
  <si>
    <t>Дискаунтын үржүүлэгч</t>
  </si>
  <si>
    <t>Орлогын тайлан (НӨАТ-гүй)</t>
  </si>
  <si>
    <t>Зардлын тайлан (НӨАТ-гүй)</t>
  </si>
  <si>
    <t>Нийт дүн</t>
  </si>
  <si>
    <t>Хөрөнгө оруулалтын тайлан</t>
  </si>
  <si>
    <t>Борлуулалтын орлого</t>
  </si>
  <si>
    <t>төлбөрийн хуваарь, НӨАТ-тэй</t>
  </si>
  <si>
    <t>НӨАТ-ын өглөг</t>
  </si>
  <si>
    <t xml:space="preserve">Нийт зардал, НӨАТ-тэй </t>
  </si>
  <si>
    <t>Хувь хүний орлогын албан татвар</t>
  </si>
  <si>
    <t>Төсөвт оруулах татварын хувь хэмжээ</t>
  </si>
  <si>
    <t xml:space="preserve">Улсын </t>
  </si>
  <si>
    <t xml:space="preserve">Орон нутгийн </t>
  </si>
  <si>
    <t>Улсын төсөв</t>
  </si>
  <si>
    <t>Орон нутгийн төсөв</t>
  </si>
  <si>
    <t>Нийт төсвийн үр ашиг</t>
  </si>
  <si>
    <t>хүүг зардалд тусгасан</t>
  </si>
  <si>
    <t>Списание убытков текущего года</t>
  </si>
  <si>
    <t>Убытки предыдущих лет</t>
  </si>
  <si>
    <t>Максимальный размер списания убытков (% от прибыли)</t>
  </si>
  <si>
    <t>Списание убытков предыдущих лет</t>
  </si>
  <si>
    <t>Убытки текущего года</t>
  </si>
  <si>
    <t>нарастающим итогом</t>
  </si>
  <si>
    <t>Не списанные убытки текущего года</t>
  </si>
  <si>
    <t>Справочно: Суммарный денежный поток за период</t>
  </si>
  <si>
    <t>Справочно: Денежные потоки от инвестиционной деятельности</t>
  </si>
  <si>
    <t>Справочно: Денежные потоки от операционной деятельности</t>
  </si>
  <si>
    <t>Losses of the current year</t>
  </si>
  <si>
    <t>Offsetting current year losses</t>
  </si>
  <si>
    <t>accumulated</t>
  </si>
  <si>
    <t>Outstanding current year losses</t>
  </si>
  <si>
    <t>Losses of previous years</t>
  </si>
  <si>
    <t>Max offset of losses (% of the profit)</t>
  </si>
  <si>
    <t>Recovery of the previous years losses</t>
  </si>
  <si>
    <t>ОТЧЕТ - ЗАТРАТЫ НА МАТЕРИАЛЫ ПО ПРОДУКТАМ (без НДС)</t>
  </si>
  <si>
    <t>REPORT – RAW MATERIALS ROR PRODUCTS (net of VAT)</t>
  </si>
  <si>
    <t>TABLE::PRODUCTINC</t>
  </si>
  <si>
    <t>TABLE::PRODUCTEXP</t>
  </si>
  <si>
    <t>END::PRODUCTINC</t>
  </si>
  <si>
    <t>END::PRODUCTEXP</t>
  </si>
  <si>
    <t>7.2</t>
  </si>
  <si>
    <t>Зээлийн тодотгосон хүү</t>
  </si>
  <si>
    <t>Проценты по кредитам</t>
  </si>
  <si>
    <t>Color=b;Mode=avg</t>
  </si>
  <si>
    <t>Header=2;Type=1;Count=1;</t>
  </si>
  <si>
    <t>Header=1;Type=1;Count=1;</t>
  </si>
  <si>
    <t>Header=1;Type=1;Count=0;</t>
  </si>
  <si>
    <t>Rest=500;Cover=150;</t>
  </si>
  <si>
    <t>Header=1;Data=pay;Count=1;Mode=sum</t>
  </si>
  <si>
    <t>Header=1;Data=cash;Count=1;Mode=sum</t>
  </si>
  <si>
    <t>Header=2;Type=4;Count=1;</t>
  </si>
  <si>
    <t>ID=148;Type=1;Row=2</t>
  </si>
  <si>
    <t>Count=0;Item=0;</t>
  </si>
  <si>
    <t>AVV</t>
  </si>
  <si>
    <t>ID=149;Type=2;Row=20</t>
  </si>
  <si>
    <t>ID=149;Mode=sum</t>
  </si>
  <si>
    <t>ID=150;Mode=sum</t>
  </si>
  <si>
    <t>Product=149;Mode=sum</t>
  </si>
  <si>
    <t>ID=150;Type=1;Row=25;Product=1;</t>
  </si>
  <si>
    <t>Material=150;Mode=sum</t>
  </si>
  <si>
    <t>Row=2;ID=149;Mode=sum</t>
  </si>
  <si>
    <t>Питание гостей</t>
  </si>
  <si>
    <t>Себестоимость еды</t>
  </si>
  <si>
    <t>ID=153;Type=2;Row=20</t>
  </si>
  <si>
    <t>ID=153;Mode=sum</t>
  </si>
  <si>
    <t>Header=1;Type=1;Count=3;</t>
  </si>
  <si>
    <t>Спа/банные услуги</t>
  </si>
  <si>
    <t>ID=154;Type=2;Row=20</t>
  </si>
  <si>
    <t>ID=154;Mode=sum</t>
  </si>
  <si>
    <t>Управляющий</t>
  </si>
  <si>
    <t>ID=159;Type=2;Row=9</t>
  </si>
  <si>
    <t>ID=159;Mode=sum</t>
  </si>
  <si>
    <t>Администраторы</t>
  </si>
  <si>
    <t>ID=162;Type=2;Row=9</t>
  </si>
  <si>
    <t>Header=1;Data=accexp;Count=3;Mode=sum</t>
  </si>
  <si>
    <t>ID=162;Mode=sum</t>
  </si>
  <si>
    <t>Бухгалтер</t>
  </si>
  <si>
    <t>ID=163;Type=2;Row=9</t>
  </si>
  <si>
    <t>ID=163;Mode=sum</t>
  </si>
  <si>
    <t>Горничная</t>
  </si>
  <si>
    <t>ID=164;Type=2;Row=9</t>
  </si>
  <si>
    <t>ID=164;Mode=sum</t>
  </si>
  <si>
    <t>Охранник</t>
  </si>
  <si>
    <t>ID=165;Type=2;Row=9</t>
  </si>
  <si>
    <t>ID=165;Mode=sum</t>
  </si>
  <si>
    <t>Header=1;Data=pay;Count=0;Mode=sum</t>
  </si>
  <si>
    <t>Коммунальные расходы всего объекта</t>
  </si>
  <si>
    <t>ID=172;Type=1;Row=10</t>
  </si>
  <si>
    <t>ID=172;Mode=sum</t>
  </si>
  <si>
    <t>ID=173;Type=1;Row=10</t>
  </si>
  <si>
    <t>ID=173;Mode=sum</t>
  </si>
  <si>
    <t>ПО и связь</t>
  </si>
  <si>
    <t>ID=174;Type=1;Row=10</t>
  </si>
  <si>
    <t>ID=174;Mode=sum</t>
  </si>
  <si>
    <t>ID=175;Type=1;Row=10</t>
  </si>
  <si>
    <t>ID=175;Mode=sum</t>
  </si>
  <si>
    <t>Питание штата</t>
  </si>
  <si>
    <t>ID=176;Type=1;Row=10</t>
  </si>
  <si>
    <t>ID=176;Mode=sum</t>
  </si>
  <si>
    <t>ID=177;Type=1;Row=24;Product=0</t>
  </si>
  <si>
    <t>ID=177;Mode=sum</t>
  </si>
  <si>
    <t>Агрегаторы бронирования (50% от потока, 15% комиссия)</t>
  </si>
  <si>
    <t>ID=178;Type=1;Row=24;Product=0</t>
  </si>
  <si>
    <t>ID=178;Mode=sum</t>
  </si>
  <si>
    <t>Эквайринг (2,5%)</t>
  </si>
  <si>
    <t>Инвентарь для проекта</t>
  </si>
  <si>
    <t>ID=188;Type=3;Row=30</t>
  </si>
  <si>
    <t>ID=188;Mode=sum</t>
  </si>
  <si>
    <t>Регистрационные действия при открытии проекта</t>
  </si>
  <si>
    <t>ID=190;Type=4;Row=22</t>
  </si>
  <si>
    <t>ID=190;Mode=sum</t>
  </si>
  <si>
    <t>Инженерные сети</t>
  </si>
  <si>
    <t>ID=191;Type=3;Row=30</t>
  </si>
  <si>
    <t>ID=191;Mode=sum</t>
  </si>
  <si>
    <t>Облагораживание территории</t>
  </si>
  <si>
    <t>ID=192;Type=1;Row=13</t>
  </si>
  <si>
    <t>ID=192;Mode=sum</t>
  </si>
  <si>
    <t>Кредитное финансирование</t>
  </si>
  <si>
    <t>ID=194;Type=1;Row=19</t>
  </si>
  <si>
    <t>Color=b;Mode=sum</t>
  </si>
  <si>
    <t xml:space="preserve"> </t>
  </si>
  <si>
    <t>ID=195;Type=2;Row=20</t>
  </si>
  <si>
    <t>ID=195;Mode=sum</t>
  </si>
  <si>
    <t>Header=1;Data=accexp;Count=5;Mode=sum</t>
  </si>
  <si>
    <t>Header=2;Type=1;Count=5;</t>
  </si>
  <si>
    <t>Header=1;Data=accexp;Count=1;Mode=sum</t>
  </si>
  <si>
    <t>Покупка здания ресторана</t>
  </si>
  <si>
    <t>ID=196;Type=2;Row=26</t>
  </si>
  <si>
    <t>ID=196;Mode=sum</t>
  </si>
  <si>
    <t>Реконструкция здания ресторана</t>
  </si>
  <si>
    <t>ID=197;Type=2;Row=26</t>
  </si>
  <si>
    <t>ID=197;Mode=sum</t>
  </si>
  <si>
    <t>Header=1;Data=cash;Count=4;Mode=sum</t>
  </si>
  <si>
    <t>Выкуп незавершенного строительства корпуса</t>
  </si>
  <si>
    <t>ID=198;Type=2;Row=26</t>
  </si>
  <si>
    <t>ID=198;Mode=sum</t>
  </si>
  <si>
    <t>Завершение строительства корпуса</t>
  </si>
  <si>
    <t>ID=199;Type=2;Row=26</t>
  </si>
  <si>
    <t>ID=199;Mode=sum</t>
  </si>
  <si>
    <t>Header=2;Type=2;Count=4;</t>
  </si>
  <si>
    <t>Дополнительные услуги и аренда</t>
  </si>
  <si>
    <t>SPORT PLACE</t>
  </si>
  <si>
    <t>Непредвиденные расходы (5%)</t>
  </si>
  <si>
    <t>Header=1;Data=income;Count=4;Mode=sum</t>
  </si>
  <si>
    <t>Header=1;Count=4;Mode=sum</t>
  </si>
  <si>
    <t>Header=1;Type=1;Count=4;</t>
  </si>
  <si>
    <t>Дворник</t>
  </si>
  <si>
    <t>ID=200;Type=2;Row=9</t>
  </si>
  <si>
    <t>ID=200;Mode=sum</t>
  </si>
  <si>
    <t>Header=2;Type=1;Count=6;</t>
  </si>
  <si>
    <t>Сотрудник бани</t>
  </si>
  <si>
    <t>ID=201;Type=2;Row=9</t>
  </si>
  <si>
    <t>ID=201;Mode=sum</t>
  </si>
  <si>
    <t>Сотрудник кухни</t>
  </si>
  <si>
    <t>ID=202;Type=2;Row=9</t>
  </si>
  <si>
    <t>ID=202;Mode=sum</t>
  </si>
  <si>
    <t>Header=1;Data=accexp;Count=2;Mode=sum</t>
  </si>
  <si>
    <t>Header=2;Type=1;Count=2;</t>
  </si>
  <si>
    <t>Header=1;Data=cash;Count=2;Mode=sum</t>
  </si>
  <si>
    <t>Header=2;Type=3;Count=2;</t>
  </si>
  <si>
    <t>Маркетинговые расходы (5%)</t>
  </si>
  <si>
    <t xml:space="preserve">Проживание гостей (Групповые и семейные номера) </t>
  </si>
  <si>
    <t>ПОПРАВИТЬ</t>
  </si>
  <si>
    <t>Вывоз твердых бытовых расходов</t>
  </si>
  <si>
    <t>ID=203;Type=1;Row=10</t>
  </si>
  <si>
    <t>ID=203;Mode=sum</t>
  </si>
  <si>
    <t>Тревожная кнопка</t>
  </si>
  <si>
    <t>ID=204;Type=1;Row=10</t>
  </si>
  <si>
    <t>Header=1;Data=pay;Count=6;Mode=sum</t>
  </si>
  <si>
    <t>ID=204;Mode=sum</t>
  </si>
  <si>
    <t>Финансовая модель(пример)</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</si>
</sst>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0"/>
    <numFmt numFmtId="165" formatCode="0.0%"/>
    <numFmt numFmtId="166" formatCode="0.0000"/>
    <numFmt numFmtId="167" formatCode="0.0"/>
    <numFmt numFmtId="168" formatCode="#,##0.0"/>
    <numFmt numFmtId="169" formatCode="#,##0;\ \-#,##0;\-"/>
    <numFmt numFmtId="170" formatCode="#,##0.00;\ \-#,##0.00;\-"/>
    <numFmt numFmtId="171" formatCode="0.0%;\-0.0%;\-"/>
    <numFmt numFmtId="172" formatCode="0.00000%"/>
    <numFmt numFmtId="173" formatCode="0.0000000"/>
  </numFmts>
  <fonts count="68" x14ac:knownFonts="1">
    <font>
      <sz val="10"/>
      <color theme="1"/>
      <name val="Calibri"/>
      <family val="2"/>
      <charset val="204"/>
    </font>
    <font>
      <sz val="10"/>
      <color theme="1"/>
      <name val="Arial"/>
      <family val="2"/>
      <charset val="204"/>
    </font>
    <font>
      <sz val="10"/>
      <color rgb="FFFF0000"/>
      <name val="Calibri"/>
      <family val="2"/>
      <charset val="204"/>
      <scheme val="minor"/>
    </font>
    <font>
      <sz val="10"/>
      <color theme="1"/>
      <name val="Calibri"/>
      <family val="2"/>
      <charset val="204"/>
      <scheme val="minor"/>
    </font>
    <font>
      <sz val="8"/>
      <color theme="1" tint="0.499984740745262"/>
      <name val="Calibri"/>
      <family val="2"/>
      <charset val="204"/>
      <scheme val="minor"/>
    </font>
    <font>
      <sz val="8"/>
      <color theme="1"/>
      <name val="Calibri"/>
      <family val="2"/>
      <charset val="204"/>
      <scheme val="minor"/>
    </font>
    <font>
      <sz val="10"/>
      <color theme="1" tint="0.499984740745262"/>
      <name val="Calibri"/>
      <family val="2"/>
      <charset val="204"/>
      <scheme val="minor"/>
    </font>
    <font>
      <b/>
      <sz val="10"/>
      <color theme="1"/>
      <name val="Calibri"/>
      <family val="2"/>
      <charset val="204"/>
      <scheme val="minor"/>
    </font>
    <font>
      <sz val="10"/>
      <name val="Calibri"/>
      <family val="2"/>
      <charset val="204"/>
      <scheme val="minor"/>
    </font>
    <font>
      <i/>
      <sz val="10"/>
      <color theme="1" tint="0.499984740745262"/>
      <name val="Calibri"/>
      <family val="2"/>
      <charset val="204"/>
      <scheme val="minor"/>
    </font>
    <font>
      <b/>
      <sz val="10"/>
      <name val="Calibri"/>
      <family val="2"/>
      <charset val="204"/>
      <scheme val="minor"/>
    </font>
    <font>
      <i/>
      <sz val="8"/>
      <color theme="1" tint="0.499984740745262"/>
      <name val="Calibri"/>
      <family val="2"/>
      <charset val="204"/>
      <scheme val="minor"/>
    </font>
    <font>
      <i/>
      <sz val="10"/>
      <color theme="1"/>
      <name val="Calibri"/>
      <family val="2"/>
      <charset val="204"/>
      <scheme val="minor"/>
    </font>
    <font>
      <i/>
      <sz val="8"/>
      <color theme="1"/>
      <name val="Calibri"/>
      <family val="2"/>
      <charset val="204"/>
      <scheme val="minor"/>
    </font>
    <font>
      <sz val="8"/>
      <name val="Calibri"/>
      <family val="2"/>
      <charset val="204"/>
      <scheme val="minor"/>
    </font>
    <font>
      <i/>
      <sz val="10"/>
      <name val="Calibri"/>
      <family val="2"/>
      <charset val="204"/>
      <scheme val="minor"/>
    </font>
    <font>
      <b/>
      <sz val="8"/>
      <color theme="1"/>
      <name val="Calibri"/>
      <family val="2"/>
      <charset val="204"/>
      <scheme val="minor"/>
    </font>
    <font>
      <b/>
      <i/>
      <sz val="10"/>
      <color theme="1"/>
      <name val="Calibri"/>
      <family val="2"/>
      <charset val="204"/>
      <scheme val="minor"/>
    </font>
    <font>
      <b/>
      <sz val="10"/>
      <color theme="1" tint="0.499984740745262"/>
      <name val="Calibri"/>
      <family val="2"/>
      <charset val="204"/>
      <scheme val="minor"/>
    </font>
    <font>
      <sz val="10"/>
      <color rgb="FF000000"/>
      <name val="Calibri"/>
      <family val="2"/>
      <charset val="204"/>
      <scheme val="minor"/>
    </font>
    <font>
      <sz val="11"/>
      <name val="Times New Roman"/>
      <family val="1"/>
      <charset val="204"/>
    </font>
    <font>
      <strike/>
      <sz val="11"/>
      <name val="Times New Roman"/>
      <family val="1"/>
      <charset val="204"/>
    </font>
    <font>
      <sz val="10"/>
      <color theme="1"/>
      <name val="Times New Roman"/>
      <family val="1"/>
      <charset val="204"/>
    </font>
    <font>
      <sz val="10"/>
      <name val="Times New Roman"/>
      <family val="1"/>
      <charset val="204"/>
    </font>
    <font>
      <sz val="10"/>
      <color rgb="FFFF0000"/>
      <name val="Calibri"/>
      <family val="2"/>
      <charset val="204"/>
      <scheme val="minor"/>
    </font>
    <font>
      <sz val="10"/>
      <color theme="1"/>
      <name val="Calibri"/>
      <family val="2"/>
      <charset val="204"/>
      <scheme val="minor"/>
    </font>
    <font>
      <sz val="8"/>
      <color theme="1" tint="0.499984740745262"/>
      <name val="Calibri"/>
      <family val="2"/>
      <charset val="204"/>
      <scheme val="minor"/>
    </font>
    <font>
      <i/>
      <sz val="8"/>
      <color theme="1" tint="0.499984740745262"/>
      <name val="Calibri"/>
      <family val="2"/>
      <charset val="204"/>
      <scheme val="minor"/>
    </font>
    <font>
      <sz val="8"/>
      <color theme="1"/>
      <name val="Calibri"/>
      <family val="2"/>
      <charset val="204"/>
      <scheme val="minor"/>
    </font>
    <font>
      <b/>
      <sz val="10"/>
      <color theme="1"/>
      <name val="Calibri"/>
      <family val="2"/>
      <charset val="204"/>
      <scheme val="minor"/>
    </font>
    <font>
      <sz val="10"/>
      <color theme="1" tint="0.499984740745262"/>
      <name val="Calibri"/>
      <family val="2"/>
      <charset val="204"/>
      <scheme val="minor"/>
    </font>
    <font>
      <i/>
      <sz val="10"/>
      <color theme="1"/>
      <name val="Calibri"/>
      <family val="2"/>
      <charset val="204"/>
      <scheme val="minor"/>
    </font>
    <font>
      <sz val="10"/>
      <name val="Calibri"/>
      <family val="2"/>
      <charset val="204"/>
      <scheme val="minor"/>
    </font>
    <font>
      <sz val="8"/>
      <name val="Calibri"/>
      <family val="2"/>
      <charset val="204"/>
      <scheme val="minor"/>
    </font>
    <font>
      <i/>
      <sz val="10"/>
      <name val="Calibri"/>
      <family val="2"/>
      <charset val="204"/>
      <scheme val="minor"/>
    </font>
    <font>
      <i/>
      <sz val="10"/>
      <color theme="1" tint="0.499984740745262"/>
      <name val="Calibri"/>
      <family val="2"/>
      <charset val="204"/>
      <scheme val="minor"/>
    </font>
    <font>
      <b/>
      <sz val="8"/>
      <color theme="1" tint="0.499984740745262"/>
      <name val="Calibri"/>
      <family val="2"/>
      <charset val="204"/>
      <scheme val="minor"/>
    </font>
    <font>
      <b/>
      <i/>
      <sz val="10"/>
      <color theme="1"/>
      <name val="Calibri"/>
      <family val="2"/>
      <charset val="204"/>
      <scheme val="minor"/>
    </font>
    <font>
      <sz val="8"/>
      <color theme="0" tint="-0.499984740745262"/>
      <name val="Calibri"/>
      <family val="2"/>
      <charset val="204"/>
      <scheme val="minor"/>
    </font>
    <font>
      <sz val="10"/>
      <color theme="0" tint="-0.499984740745262"/>
      <name val="Calibri"/>
      <family val="2"/>
      <charset val="204"/>
      <scheme val="minor"/>
    </font>
    <font>
      <i/>
      <sz val="10"/>
      <color theme="0" tint="-0.499984740745262"/>
      <name val="Calibri"/>
      <family val="2"/>
      <charset val="204"/>
      <scheme val="minor"/>
    </font>
    <font>
      <i/>
      <sz val="8"/>
      <color theme="1"/>
      <name val="Calibri"/>
      <family val="2"/>
      <charset val="204"/>
      <scheme val="minor"/>
    </font>
    <font>
      <b/>
      <sz val="10"/>
      <color rgb="FFFF0000"/>
      <name val="Calibri"/>
      <family val="2"/>
      <charset val="204"/>
      <scheme val="minor"/>
    </font>
    <font>
      <sz val="10"/>
      <color theme="0"/>
      <name val="Calibri"/>
      <family val="2"/>
      <charset val="204"/>
      <scheme val="minor"/>
    </font>
    <font>
      <sz val="8"/>
      <color theme="1"/>
      <name val="Arial"/>
      <family val="2"/>
      <charset val="204"/>
    </font>
    <font>
      <sz val="9"/>
      <color indexed="81"/>
      <name val="Tahoma"/>
      <family val="2"/>
      <charset val="204"/>
    </font>
    <font>
      <sz val="11"/>
      <color theme="1"/>
      <name val="Calibri"/>
      <family val="2"/>
      <charset val="204"/>
      <scheme val="minor"/>
    </font>
    <font>
      <sz val="5"/>
      <color theme="0" tint="-0.249977111117893"/>
      <name val="Calibri"/>
      <family val="2"/>
      <charset val="204"/>
      <scheme val="minor"/>
    </font>
    <font>
      <sz val="10"/>
      <color theme="1"/>
      <name val="Calibri"/>
      <family val="2"/>
      <scheme val="minor"/>
    </font>
    <font>
      <sz val="8"/>
      <color theme="1"/>
      <name val="Calibri"/>
      <family val="2"/>
      <scheme val="minor"/>
    </font>
    <font>
      <sz val="10"/>
      <color theme="1" tint="0.499984740745262"/>
      <name val="Calibri"/>
      <family val="2"/>
      <scheme val="minor"/>
    </font>
    <font>
      <i/>
      <sz val="10"/>
      <color theme="1"/>
      <name val="Calibri"/>
      <family val="2"/>
      <scheme val="minor"/>
    </font>
    <font>
      <sz val="10"/>
      <color indexed="8"/>
      <name val="Calibri"/>
      <family val="2"/>
    </font>
    <font>
      <b/>
      <sz val="10"/>
      <color indexed="8"/>
      <name val="Calibri"/>
      <family val="2"/>
    </font>
    <font>
      <i/>
      <sz val="10"/>
      <color indexed="8"/>
      <name val="Calibri"/>
      <family val="2"/>
    </font>
    <font>
      <b/>
      <sz val="10"/>
      <color indexed="10"/>
      <name val="Calibri"/>
      <family val="2"/>
    </font>
    <font>
      <sz val="8"/>
      <color indexed="8"/>
      <name val="Calibri"/>
      <family val="2"/>
    </font>
    <font>
      <sz val="10"/>
      <name val="Calibri"/>
      <family val="2"/>
    </font>
    <font>
      <sz val="8"/>
      <name val="Calibri"/>
      <family val="2"/>
    </font>
    <font>
      <i/>
      <sz val="10"/>
      <name val="Calibri"/>
      <family val="2"/>
    </font>
    <font>
      <sz val="8"/>
      <color indexed="23"/>
      <name val="Calibri"/>
      <family val="2"/>
    </font>
    <font>
      <b/>
      <sz val="8"/>
      <color indexed="23"/>
      <name val="Calibri"/>
      <family val="2"/>
    </font>
    <font>
      <b/>
      <i/>
      <sz val="10"/>
      <color indexed="8"/>
      <name val="Calibri"/>
      <family val="2"/>
    </font>
    <font>
      <sz val="10"/>
      <color indexed="23"/>
      <name val="Calibri"/>
      <family val="2"/>
    </font>
    <font>
      <b/>
      <sz val="10"/>
      <name val="Calibri"/>
      <family val="2"/>
    </font>
    <font>
      <b/>
      <sz val="8"/>
      <color indexed="8"/>
      <name val="Calibri"/>
      <family val="2"/>
    </font>
    <font>
      <b/>
      <sz val="10"/>
      <color theme="1"/>
      <name val="Calibri"/>
      <family val="2"/>
      <scheme val="minor"/>
    </font>
    <font>
      <sz val="10"/>
      <color rgb="FF000000"/>
      <name val="Calibri"/>
      <family val="2"/>
      <charset val="204"/>
    </font>
  </fonts>
  <fills count="21">
    <fill>
      <patternFill patternType="none"/>
    </fill>
    <fill>
      <patternFill patternType="gray125"/>
    </fill>
    <fill>
      <patternFill patternType="solid">
        <fgColor theme="6" tint="0.59999389629810485"/>
        <bgColor indexed="64"/>
      </patternFill>
    </fill>
    <fill>
      <patternFill patternType="solid">
        <fgColor theme="3" tint="0.79998168889431442"/>
        <bgColor indexed="64"/>
      </patternFill>
    </fill>
    <fill>
      <patternFill patternType="solid">
        <fgColor theme="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theme="5" tint="0.79998168889431442"/>
        <bgColor indexed="64"/>
      </patternFill>
    </fill>
    <fill>
      <patternFill patternType="solid">
        <fgColor rgb="FFC0C0C0"/>
        <bgColor indexed="64"/>
      </patternFill>
    </fill>
    <fill>
      <patternFill patternType="solid">
        <fgColor rgb="FFE0E0E0"/>
        <bgColor indexed="64"/>
      </patternFill>
    </fill>
    <fill>
      <patternFill patternType="solid">
        <fgColor rgb="FFF0F0F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E2E2E2"/>
        <bgColor indexed="64"/>
      </patternFill>
    </fill>
    <fill>
      <patternFill patternType="solid">
        <fgColor rgb="FF76E413"/>
        <bgColor indexed="64"/>
      </patternFill>
    </fill>
    <fill>
      <patternFill patternType="solid">
        <fgColor rgb="FF71F108"/>
        <bgColor indexed="64"/>
      </patternFill>
    </fill>
  </fills>
  <borders count="16">
    <border>
      <left/>
      <right/>
      <top/>
      <bottom/>
      <diagonal/>
    </border>
    <border>
      <left/>
      <right/>
      <top style="thin">
        <color auto="1"/>
      </top>
      <bottom style="double">
        <color auto="1"/>
      </bottom>
      <diagonal/>
    </border>
    <border>
      <left/>
      <right/>
      <top/>
      <bottom style="thin">
        <color auto="1"/>
      </bottom>
      <diagonal/>
    </border>
    <border>
      <left/>
      <right/>
      <top/>
      <bottom style="dotted">
        <color auto="1"/>
      </bottom>
      <diagonal/>
    </border>
    <border>
      <left/>
      <right style="thin">
        <color auto="1"/>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auto="1"/>
      </top>
      <bottom/>
      <diagonal/>
    </border>
    <border>
      <left style="thin">
        <color auto="1"/>
      </left>
      <right/>
      <top/>
      <bottom style="thin">
        <color auto="1"/>
      </bottom>
      <diagonal/>
    </border>
    <border>
      <left/>
      <right/>
      <top/>
      <bottom style="dashed">
        <color auto="1"/>
      </bottom>
      <diagonal/>
    </border>
    <border>
      <left/>
      <right/>
      <top style="double">
        <color auto="1"/>
      </top>
      <bottom/>
      <diagonal/>
    </border>
    <border>
      <left/>
      <right/>
      <top style="dotted">
        <color auto="1"/>
      </top>
      <bottom/>
      <diagonal/>
    </border>
  </borders>
  <cellStyleXfs count="4">
    <xf numFmtId="0" fontId="0" fillId="0" borderId="0"/>
    <xf numFmtId="9" fontId="1" fillId="0" borderId="0" applyFont="0" applyFill="0" applyBorder="0" applyAlignment="0" applyProtection="0"/>
    <xf numFmtId="0" fontId="44" fillId="0" borderId="0"/>
    <xf numFmtId="0" fontId="46" fillId="0" borderId="0"/>
  </cellStyleXfs>
  <cellXfs count="460">
    <xf numFmtId="0" fontId="0" fillId="0" borderId="0" xfId="0"/>
    <xf numFmtId="0" fontId="4" fillId="0" borderId="0" xfId="0" applyFont="1" applyAlignment="1">
      <alignment horizontal="center"/>
    </xf>
    <xf numFmtId="49" fontId="4" fillId="0" borderId="0" xfId="0" applyNumberFormat="1" applyFont="1" applyAlignment="1">
      <alignment horizontal="center"/>
    </xf>
    <xf numFmtId="0" fontId="5" fillId="0" borderId="0" xfId="0" applyFont="1"/>
    <xf numFmtId="0" fontId="4" fillId="0" borderId="0" xfId="0" applyFont="1"/>
    <xf numFmtId="0" fontId="3" fillId="0" borderId="0" xfId="0" applyFont="1"/>
    <xf numFmtId="0" fontId="6" fillId="0" borderId="0" xfId="0" applyFont="1"/>
    <xf numFmtId="0" fontId="3" fillId="3" borderId="0" xfId="0" applyFont="1" applyFill="1"/>
    <xf numFmtId="0" fontId="3" fillId="0" borderId="0" xfId="0" applyFont="1" applyAlignment="1">
      <alignment horizontal="center" vertical="center"/>
    </xf>
    <xf numFmtId="0" fontId="3" fillId="0" borderId="0" xfId="0" applyFont="1" applyAlignment="1">
      <alignment vertical="center"/>
    </xf>
    <xf numFmtId="0" fontId="3" fillId="0" borderId="0" xfId="0" applyFont="1" applyAlignment="1">
      <alignment horizontal="left"/>
    </xf>
    <xf numFmtId="0" fontId="6" fillId="0" borderId="0" xfId="0" applyFont="1" applyAlignment="1">
      <alignment horizontal="center"/>
    </xf>
    <xf numFmtId="0" fontId="3" fillId="0" borderId="2" xfId="0" applyFont="1" applyBorder="1" applyAlignment="1">
      <alignment horizontal="left"/>
    </xf>
    <xf numFmtId="0" fontId="3" fillId="0" borderId="2" xfId="0" applyFont="1" applyBorder="1"/>
    <xf numFmtId="0" fontId="6" fillId="0" borderId="2" xfId="0" applyFont="1" applyBorder="1"/>
    <xf numFmtId="14" fontId="3" fillId="0" borderId="0" xfId="0" applyNumberFormat="1" applyFont="1" applyAlignment="1">
      <alignment horizontal="center"/>
    </xf>
    <xf numFmtId="2" fontId="3" fillId="0" borderId="0" xfId="0" applyNumberFormat="1" applyFont="1" applyAlignment="1">
      <alignment horizontal="center"/>
    </xf>
    <xf numFmtId="0" fontId="3" fillId="0" borderId="0" xfId="0" applyFont="1" applyAlignment="1">
      <alignment horizontal="center"/>
    </xf>
    <xf numFmtId="14" fontId="3" fillId="0" borderId="0" xfId="0" applyNumberFormat="1" applyFont="1"/>
    <xf numFmtId="2" fontId="3" fillId="0" borderId="0" xfId="0" applyNumberFormat="1" applyFont="1"/>
    <xf numFmtId="0" fontId="3" fillId="0" borderId="0" xfId="0" applyFont="1" applyAlignment="1">
      <alignment horizontal="right"/>
    </xf>
    <xf numFmtId="0" fontId="8" fillId="0" borderId="0" xfId="0" applyFont="1" applyAlignment="1">
      <alignment horizontal="center"/>
    </xf>
    <xf numFmtId="0" fontId="7" fillId="0" borderId="0" xfId="0" applyFont="1" applyAlignment="1">
      <alignment horizontal="left"/>
    </xf>
    <xf numFmtId="0" fontId="7" fillId="0" borderId="0" xfId="0" applyFont="1" applyAlignment="1">
      <alignment horizontal="center"/>
    </xf>
    <xf numFmtId="0" fontId="8" fillId="0" borderId="0" xfId="0" applyFont="1" applyAlignment="1">
      <alignment horizontal="left" indent="1"/>
    </xf>
    <xf numFmtId="9" fontId="4" fillId="0" borderId="0" xfId="0" applyNumberFormat="1" applyFont="1" applyAlignment="1">
      <alignment horizontal="center"/>
    </xf>
    <xf numFmtId="2" fontId="8" fillId="0" borderId="0" xfId="0" applyNumberFormat="1" applyFont="1"/>
    <xf numFmtId="2" fontId="6" fillId="0" borderId="0" xfId="0" applyNumberFormat="1" applyFont="1"/>
    <xf numFmtId="0" fontId="9" fillId="0" borderId="0" xfId="0" applyFont="1"/>
    <xf numFmtId="165" fontId="3" fillId="0" borderId="0" xfId="0" applyNumberFormat="1" applyFont="1"/>
    <xf numFmtId="0" fontId="10" fillId="0" borderId="0" xfId="0" applyFont="1" applyAlignment="1">
      <alignment horizontal="center"/>
    </xf>
    <xf numFmtId="166" fontId="3" fillId="0" borderId="0" xfId="0" applyNumberFormat="1" applyFont="1"/>
    <xf numFmtId="0" fontId="3" fillId="3" borderId="0" xfId="0" applyFont="1" applyFill="1" applyAlignment="1">
      <alignment horizontal="center"/>
    </xf>
    <xf numFmtId="165" fontId="3" fillId="0" borderId="0" xfId="0" applyNumberFormat="1" applyFont="1" applyAlignment="1">
      <alignment horizontal="center"/>
    </xf>
    <xf numFmtId="0" fontId="7" fillId="0" borderId="0" xfId="0" applyFont="1"/>
    <xf numFmtId="0" fontId="3" fillId="0" borderId="0" xfId="0" applyFont="1" applyAlignment="1">
      <alignment horizontal="left" indent="1"/>
    </xf>
    <xf numFmtId="0" fontId="3" fillId="0" borderId="2" xfId="0" applyFont="1" applyBorder="1" applyAlignment="1">
      <alignment horizontal="center"/>
    </xf>
    <xf numFmtId="0" fontId="5" fillId="0" borderId="0" xfId="0" applyFont="1" applyAlignment="1">
      <alignment horizontal="center"/>
    </xf>
    <xf numFmtId="165" fontId="3" fillId="0" borderId="2" xfId="0" applyNumberFormat="1" applyFont="1" applyBorder="1" applyAlignment="1">
      <alignment horizontal="center"/>
    </xf>
    <xf numFmtId="0" fontId="11" fillId="0" borderId="0" xfId="0" applyFont="1" applyAlignment="1">
      <alignment horizontal="center"/>
    </xf>
    <xf numFmtId="0" fontId="11" fillId="0" borderId="0" xfId="0" applyFont="1"/>
    <xf numFmtId="0" fontId="12" fillId="0" borderId="0" xfId="0" applyFont="1"/>
    <xf numFmtId="0" fontId="12" fillId="0" borderId="0" xfId="0" applyFont="1" applyAlignment="1">
      <alignment horizontal="center" vertical="center"/>
    </xf>
    <xf numFmtId="0" fontId="7" fillId="0" borderId="3" xfId="0" applyFont="1" applyBorder="1" applyAlignment="1">
      <alignment horizontal="left"/>
    </xf>
    <xf numFmtId="3" fontId="8" fillId="0" borderId="3" xfId="0" applyNumberFormat="1" applyFont="1" applyBorder="1" applyAlignment="1">
      <alignment horizontal="right"/>
    </xf>
    <xf numFmtId="0" fontId="5" fillId="0" borderId="3" xfId="0" applyFont="1" applyBorder="1" applyAlignment="1">
      <alignment horizontal="center" vertical="center"/>
    </xf>
    <xf numFmtId="0" fontId="6" fillId="0" borderId="3" xfId="0" applyFont="1" applyBorder="1"/>
    <xf numFmtId="3" fontId="8" fillId="0" borderId="0" xfId="0" applyNumberFormat="1" applyFont="1" applyAlignment="1">
      <alignment horizontal="right"/>
    </xf>
    <xf numFmtId="0" fontId="5" fillId="0" borderId="0" xfId="0" applyFont="1" applyAlignment="1">
      <alignment horizontal="center" vertical="center"/>
    </xf>
    <xf numFmtId="0" fontId="7" fillId="0" borderId="2" xfId="0" applyFont="1" applyBorder="1" applyAlignment="1">
      <alignment horizontal="left"/>
    </xf>
    <xf numFmtId="3" fontId="10" fillId="0" borderId="2" xfId="0" applyNumberFormat="1" applyFont="1" applyBorder="1" applyAlignment="1">
      <alignment horizontal="right"/>
    </xf>
    <xf numFmtId="0" fontId="5" fillId="0" borderId="2" xfId="0" applyFont="1" applyBorder="1" applyAlignment="1">
      <alignment horizontal="center" vertical="center"/>
    </xf>
    <xf numFmtId="0" fontId="13" fillId="0" borderId="0" xfId="0" applyFont="1" applyAlignment="1">
      <alignment horizontal="left"/>
    </xf>
    <xf numFmtId="3" fontId="13" fillId="0" borderId="0" xfId="0" applyNumberFormat="1" applyFont="1"/>
    <xf numFmtId="0" fontId="13" fillId="0" borderId="0" xfId="0" applyFont="1" applyAlignment="1">
      <alignment horizontal="center"/>
    </xf>
    <xf numFmtId="3" fontId="3" fillId="0" borderId="0" xfId="0" applyNumberFormat="1" applyFont="1"/>
    <xf numFmtId="0" fontId="6" fillId="0" borderId="0" xfId="0" applyFont="1" applyAlignment="1">
      <alignment horizontal="left" wrapText="1" indent="1"/>
    </xf>
    <xf numFmtId="3" fontId="12" fillId="0" borderId="0" xfId="0" applyNumberFormat="1" applyFont="1"/>
    <xf numFmtId="3" fontId="7" fillId="0" borderId="0" xfId="0" applyNumberFormat="1" applyFont="1"/>
    <xf numFmtId="0" fontId="3" fillId="0" borderId="3" xfId="0" applyFont="1" applyBorder="1"/>
    <xf numFmtId="3" fontId="3" fillId="0" borderId="3" xfId="0" applyNumberFormat="1" applyFont="1" applyBorder="1"/>
    <xf numFmtId="0" fontId="14" fillId="0" borderId="0" xfId="0" applyFont="1" applyAlignment="1">
      <alignment horizontal="center"/>
    </xf>
    <xf numFmtId="0" fontId="3" fillId="0" borderId="11" xfId="0" applyFont="1" applyBorder="1"/>
    <xf numFmtId="0" fontId="6" fillId="0" borderId="11" xfId="0" applyFont="1" applyBorder="1"/>
    <xf numFmtId="3" fontId="3" fillId="0" borderId="11" xfId="0" applyNumberFormat="1" applyFont="1" applyBorder="1"/>
    <xf numFmtId="0" fontId="12" fillId="0" borderId="2" xfId="0" applyFont="1" applyBorder="1"/>
    <xf numFmtId="9" fontId="14" fillId="0" borderId="0" xfId="0" applyNumberFormat="1" applyFont="1" applyAlignment="1">
      <alignment horizontal="center"/>
    </xf>
    <xf numFmtId="165" fontId="8" fillId="0" borderId="0" xfId="0" applyNumberFormat="1" applyFont="1" applyAlignment="1">
      <alignment horizontal="right"/>
    </xf>
    <xf numFmtId="3" fontId="8" fillId="0" borderId="0" xfId="0" applyNumberFormat="1" applyFont="1"/>
    <xf numFmtId="3" fontId="15" fillId="0" borderId="0" xfId="0" applyNumberFormat="1" applyFont="1"/>
    <xf numFmtId="0" fontId="8" fillId="0" borderId="0" xfId="0" applyFont="1"/>
    <xf numFmtId="0" fontId="6" fillId="0" borderId="0" xfId="0" applyFont="1" applyAlignment="1">
      <alignment horizontal="left" indent="1"/>
    </xf>
    <xf numFmtId="3" fontId="6" fillId="0" borderId="0" xfId="0" applyNumberFormat="1" applyFont="1" applyAlignment="1">
      <alignment horizontal="right"/>
    </xf>
    <xf numFmtId="3" fontId="9" fillId="0" borderId="0" xfId="0" applyNumberFormat="1" applyFont="1"/>
    <xf numFmtId="3" fontId="6" fillId="0" borderId="0" xfId="0" applyNumberFormat="1" applyFont="1"/>
    <xf numFmtId="0" fontId="7" fillId="0" borderId="2" xfId="0" applyFont="1" applyBorder="1"/>
    <xf numFmtId="3" fontId="17" fillId="0" borderId="0" xfId="0" applyNumberFormat="1" applyFont="1"/>
    <xf numFmtId="3" fontId="8" fillId="0" borderId="0" xfId="0" applyNumberFormat="1" applyFont="1" applyAlignment="1">
      <alignment horizontal="center"/>
    </xf>
    <xf numFmtId="9" fontId="8" fillId="0" borderId="0" xfId="0" applyNumberFormat="1" applyFont="1" applyAlignment="1">
      <alignment horizontal="center"/>
    </xf>
    <xf numFmtId="3" fontId="3" fillId="0" borderId="2" xfId="0" applyNumberFormat="1" applyFont="1" applyBorder="1"/>
    <xf numFmtId="0" fontId="8" fillId="0" borderId="3" xfId="0" applyFont="1" applyBorder="1" applyAlignment="1">
      <alignment horizontal="center"/>
    </xf>
    <xf numFmtId="3" fontId="7" fillId="0" borderId="3" xfId="0" applyNumberFormat="1" applyFont="1" applyBorder="1"/>
    <xf numFmtId="3" fontId="17" fillId="0" borderId="3" xfId="0" applyNumberFormat="1" applyFont="1" applyBorder="1"/>
    <xf numFmtId="0" fontId="8" fillId="0" borderId="2" xfId="0" applyFont="1" applyBorder="1" applyAlignment="1">
      <alignment horizontal="center"/>
    </xf>
    <xf numFmtId="3" fontId="7" fillId="0" borderId="2" xfId="0" applyNumberFormat="1" applyFont="1" applyBorder="1"/>
    <xf numFmtId="3" fontId="3" fillId="0" borderId="0" xfId="0" applyNumberFormat="1" applyFont="1" applyAlignment="1">
      <alignment horizontal="right"/>
    </xf>
    <xf numFmtId="167" fontId="7" fillId="0" borderId="3" xfId="0" applyNumberFormat="1" applyFont="1" applyBorder="1" applyAlignment="1">
      <alignment horizontal="right"/>
    </xf>
    <xf numFmtId="4" fontId="3" fillId="0" borderId="0" xfId="0" applyNumberFormat="1" applyFont="1" applyAlignment="1">
      <alignment horizontal="right"/>
    </xf>
    <xf numFmtId="9" fontId="7" fillId="0" borderId="0" xfId="1" applyFont="1" applyAlignment="1">
      <alignment horizontal="right"/>
    </xf>
    <xf numFmtId="0" fontId="3" fillId="0" borderId="13" xfId="0" applyFont="1" applyBorder="1" applyAlignment="1">
      <alignment horizontal="left"/>
    </xf>
    <xf numFmtId="0" fontId="8" fillId="0" borderId="13" xfId="0" applyFont="1" applyBorder="1" applyAlignment="1">
      <alignment horizontal="center"/>
    </xf>
    <xf numFmtId="0" fontId="5" fillId="0" borderId="13" xfId="0" applyFont="1" applyBorder="1" applyAlignment="1">
      <alignment horizontal="center" vertical="center"/>
    </xf>
    <xf numFmtId="0" fontId="6" fillId="0" borderId="13" xfId="0" applyFont="1" applyBorder="1"/>
    <xf numFmtId="0" fontId="3" fillId="0" borderId="13" xfId="0" applyFont="1" applyBorder="1"/>
    <xf numFmtId="165" fontId="3" fillId="0" borderId="0" xfId="0" applyNumberFormat="1" applyFont="1" applyAlignment="1">
      <alignment horizontal="right"/>
    </xf>
    <xf numFmtId="165" fontId="3" fillId="0" borderId="3" xfId="0" applyNumberFormat="1" applyFont="1" applyBorder="1" applyAlignment="1">
      <alignment horizontal="right"/>
    </xf>
    <xf numFmtId="2" fontId="3" fillId="0" borderId="0" xfId="0" applyNumberFormat="1" applyFont="1" applyAlignment="1">
      <alignment horizontal="right"/>
    </xf>
    <xf numFmtId="165" fontId="10" fillId="0" borderId="0" xfId="1" applyNumberFormat="1" applyFont="1" applyAlignment="1">
      <alignment horizontal="center"/>
    </xf>
    <xf numFmtId="165" fontId="3" fillId="0" borderId="0" xfId="1" applyNumberFormat="1" applyFont="1"/>
    <xf numFmtId="3" fontId="10" fillId="0" borderId="0" xfId="0" applyNumberFormat="1" applyFont="1" applyAlignment="1">
      <alignment horizontal="center"/>
    </xf>
    <xf numFmtId="0" fontId="16" fillId="0" borderId="0" xfId="0" applyFont="1" applyAlignment="1">
      <alignment horizontal="center" vertical="center"/>
    </xf>
    <xf numFmtId="0" fontId="18" fillId="0" borderId="0" xfId="0" applyFont="1"/>
    <xf numFmtId="165" fontId="8" fillId="0" borderId="0" xfId="1" applyNumberFormat="1" applyFont="1" applyAlignment="1">
      <alignment horizontal="center"/>
    </xf>
    <xf numFmtId="168" fontId="10" fillId="0" borderId="0" xfId="0" applyNumberFormat="1" applyFont="1" applyAlignment="1">
      <alignment horizontal="center"/>
    </xf>
    <xf numFmtId="1" fontId="8" fillId="0" borderId="0" xfId="0" applyNumberFormat="1" applyFont="1" applyAlignment="1">
      <alignment horizontal="center"/>
    </xf>
    <xf numFmtId="1" fontId="3" fillId="0" borderId="0" xfId="0" applyNumberFormat="1" applyFont="1"/>
    <xf numFmtId="167" fontId="3" fillId="0" borderId="0" xfId="0" applyNumberFormat="1" applyFont="1"/>
    <xf numFmtId="168" fontId="8" fillId="0" borderId="0" xfId="0" applyNumberFormat="1" applyFont="1" applyAlignment="1">
      <alignment horizontal="center"/>
    </xf>
    <xf numFmtId="167" fontId="12" fillId="0" borderId="0" xfId="0" applyNumberFormat="1" applyFont="1"/>
    <xf numFmtId="0" fontId="8" fillId="0" borderId="0" xfId="0" applyFont="1" applyAlignment="1">
      <alignment horizontal="left"/>
    </xf>
    <xf numFmtId="0" fontId="5" fillId="0" borderId="0" xfId="0" applyFont="1" applyAlignment="1">
      <alignment horizontal="centerContinuous" vertical="center"/>
    </xf>
    <xf numFmtId="9" fontId="3" fillId="0" borderId="0" xfId="0" applyNumberFormat="1" applyFont="1" applyAlignment="1">
      <alignment horizontal="center"/>
    </xf>
    <xf numFmtId="0" fontId="3" fillId="4" borderId="0" xfId="0" applyFont="1" applyFill="1"/>
    <xf numFmtId="14" fontId="3" fillId="3" borderId="0" xfId="0" applyNumberFormat="1" applyFont="1" applyFill="1" applyAlignment="1">
      <alignment horizontal="center"/>
    </xf>
    <xf numFmtId="0" fontId="3" fillId="2" borderId="0" xfId="0" applyFont="1" applyFill="1"/>
    <xf numFmtId="0" fontId="8" fillId="8" borderId="0" xfId="0" applyFont="1" applyFill="1"/>
    <xf numFmtId="0" fontId="3" fillId="10" borderId="0" xfId="0" applyFont="1" applyFill="1"/>
    <xf numFmtId="0" fontId="3" fillId="13" borderId="0" xfId="0" applyFont="1" applyFill="1"/>
    <xf numFmtId="0" fontId="3" fillId="14" borderId="0" xfId="0" applyFont="1" applyFill="1"/>
    <xf numFmtId="0" fontId="3" fillId="8" borderId="0" xfId="0" applyFont="1" applyFill="1"/>
    <xf numFmtId="0" fontId="3" fillId="7" borderId="0" xfId="0" applyFont="1" applyFill="1"/>
    <xf numFmtId="0" fontId="3" fillId="9" borderId="0" xfId="0" applyFont="1" applyFill="1"/>
    <xf numFmtId="0" fontId="3" fillId="15" borderId="0" xfId="0" applyFont="1" applyFill="1"/>
    <xf numFmtId="0" fontId="3" fillId="12" borderId="0" xfId="0" applyFont="1" applyFill="1"/>
    <xf numFmtId="3" fontId="0" fillId="0" borderId="0" xfId="0" applyNumberFormat="1"/>
    <xf numFmtId="0" fontId="12" fillId="0" borderId="11" xfId="0" applyFont="1" applyBorder="1"/>
    <xf numFmtId="4" fontId="7" fillId="0" borderId="0" xfId="0" applyNumberFormat="1" applyFont="1" applyAlignment="1">
      <alignment horizontal="right"/>
    </xf>
    <xf numFmtId="164" fontId="3" fillId="0" borderId="0" xfId="0" applyNumberFormat="1" applyFont="1" applyAlignment="1">
      <alignment horizontal="right"/>
    </xf>
    <xf numFmtId="0" fontId="3" fillId="0" borderId="11" xfId="0" applyFont="1" applyBorder="1" applyAlignment="1">
      <alignment vertical="center"/>
    </xf>
    <xf numFmtId="0" fontId="6" fillId="0" borderId="11" xfId="0" applyFont="1" applyBorder="1" applyAlignment="1">
      <alignment horizontal="center"/>
    </xf>
    <xf numFmtId="0" fontId="4" fillId="0" borderId="11" xfId="0" applyFont="1" applyBorder="1" applyAlignment="1">
      <alignment horizontal="center"/>
    </xf>
    <xf numFmtId="3" fontId="3" fillId="0" borderId="0" xfId="0" applyNumberFormat="1" applyFont="1" applyAlignment="1">
      <alignment vertical="center"/>
    </xf>
    <xf numFmtId="3" fontId="4" fillId="0" borderId="0" xfId="0" applyNumberFormat="1" applyFont="1" applyAlignment="1">
      <alignment horizontal="center"/>
    </xf>
    <xf numFmtId="3" fontId="4" fillId="0" borderId="11" xfId="0" applyNumberFormat="1" applyFont="1" applyBorder="1" applyAlignment="1">
      <alignment horizontal="center"/>
    </xf>
    <xf numFmtId="3" fontId="6" fillId="0" borderId="11" xfId="0" applyNumberFormat="1" applyFont="1" applyBorder="1"/>
    <xf numFmtId="3" fontId="3" fillId="0" borderId="11" xfId="0" applyNumberFormat="1" applyFont="1" applyBorder="1" applyAlignment="1">
      <alignment vertical="center"/>
    </xf>
    <xf numFmtId="3" fontId="3" fillId="0" borderId="0" xfId="0" applyNumberFormat="1" applyFont="1" applyAlignment="1">
      <alignment horizontal="center" vertical="center"/>
    </xf>
    <xf numFmtId="3" fontId="7" fillId="0" borderId="0" xfId="0" applyNumberFormat="1" applyFont="1" applyAlignment="1">
      <alignment horizontal="center" vertical="center"/>
    </xf>
    <xf numFmtId="0" fontId="7" fillId="0" borderId="0" xfId="0" applyFont="1" applyAlignment="1">
      <alignment vertical="center"/>
    </xf>
    <xf numFmtId="0" fontId="18" fillId="0" borderId="0" xfId="0" applyFont="1" applyAlignment="1">
      <alignment horizontal="center"/>
    </xf>
    <xf numFmtId="0" fontId="7" fillId="0" borderId="11" xfId="0" applyFont="1" applyBorder="1" applyAlignment="1">
      <alignment vertical="center"/>
    </xf>
    <xf numFmtId="3" fontId="7" fillId="0" borderId="11" xfId="0" applyNumberFormat="1" applyFont="1" applyBorder="1" applyAlignment="1">
      <alignment horizontal="center" vertical="center"/>
    </xf>
    <xf numFmtId="0" fontId="16" fillId="0" borderId="11" xfId="0" applyFont="1" applyBorder="1" applyAlignment="1">
      <alignment horizontal="center" vertical="center"/>
    </xf>
    <xf numFmtId="3" fontId="7" fillId="0" borderId="11" xfId="0" applyNumberFormat="1" applyFont="1" applyBorder="1"/>
    <xf numFmtId="3" fontId="17" fillId="0" borderId="11" xfId="0" applyNumberFormat="1" applyFont="1" applyBorder="1"/>
    <xf numFmtId="3" fontId="18" fillId="0" borderId="0" xfId="0" applyNumberFormat="1" applyFont="1"/>
    <xf numFmtId="0" fontId="3" fillId="16" borderId="0" xfId="0" applyFont="1" applyFill="1"/>
    <xf numFmtId="0" fontId="3" fillId="17" borderId="0" xfId="0" applyFont="1" applyFill="1"/>
    <xf numFmtId="49" fontId="3" fillId="3" borderId="0" xfId="0" applyNumberFormat="1" applyFont="1" applyFill="1" applyAlignment="1">
      <alignment horizontal="center"/>
    </xf>
    <xf numFmtId="0" fontId="3" fillId="0" borderId="11" xfId="0" applyFont="1" applyBorder="1" applyAlignment="1">
      <alignment horizontal="left"/>
    </xf>
    <xf numFmtId="0" fontId="8" fillId="0" borderId="11" xfId="0" applyFont="1" applyBorder="1" applyAlignment="1">
      <alignment horizontal="center"/>
    </xf>
    <xf numFmtId="0" fontId="5" fillId="0" borderId="11" xfId="0" applyFont="1" applyBorder="1" applyAlignment="1">
      <alignment horizontal="center" vertical="center"/>
    </xf>
    <xf numFmtId="0" fontId="7" fillId="0" borderId="11" xfId="0" applyFont="1" applyBorder="1" applyAlignment="1">
      <alignment horizontal="left"/>
    </xf>
    <xf numFmtId="0" fontId="3" fillId="5" borderId="0" xfId="0" applyFont="1" applyFill="1"/>
    <xf numFmtId="0" fontId="3" fillId="11" borderId="0" xfId="0" applyFont="1" applyFill="1"/>
    <xf numFmtId="0" fontId="3" fillId="6" borderId="0" xfId="0" applyFont="1" applyFill="1"/>
    <xf numFmtId="0" fontId="19" fillId="0" borderId="0" xfId="0" applyFont="1"/>
    <xf numFmtId="0" fontId="8" fillId="0" borderId="0" xfId="0" applyFont="1" applyAlignment="1">
      <alignment wrapText="1"/>
    </xf>
    <xf numFmtId="0" fontId="22" fillId="0" borderId="0" xfId="0" applyFont="1"/>
    <xf numFmtId="0" fontId="23" fillId="0" borderId="0" xfId="0" applyFont="1"/>
    <xf numFmtId="0" fontId="3" fillId="0" borderId="2" xfId="0" applyFont="1" applyBorder="1" applyAlignment="1">
      <alignment vertical="center"/>
    </xf>
    <xf numFmtId="0" fontId="6" fillId="0" borderId="2" xfId="0" applyFont="1" applyBorder="1" applyAlignment="1">
      <alignment horizontal="center"/>
    </xf>
    <xf numFmtId="0" fontId="4" fillId="0" borderId="2" xfId="0" applyFont="1" applyBorder="1" applyAlignment="1">
      <alignment horizontal="center"/>
    </xf>
    <xf numFmtId="0" fontId="26" fillId="0" borderId="0" xfId="0" applyFont="1" applyAlignment="1">
      <alignment horizontal="center"/>
    </xf>
    <xf numFmtId="0" fontId="27" fillId="0" borderId="0" xfId="0" applyFont="1" applyAlignment="1">
      <alignment horizontal="center"/>
    </xf>
    <xf numFmtId="0" fontId="28" fillId="0" borderId="0" xfId="0" applyFont="1"/>
    <xf numFmtId="0" fontId="26" fillId="0" borderId="0" xfId="0" applyFont="1"/>
    <xf numFmtId="0" fontId="27" fillId="0" borderId="0" xfId="0" applyFont="1"/>
    <xf numFmtId="0" fontId="25" fillId="0" borderId="0" xfId="0" applyFont="1" applyAlignment="1">
      <alignment vertical="center"/>
    </xf>
    <xf numFmtId="0" fontId="25" fillId="0" borderId="0" xfId="0" applyFont="1"/>
    <xf numFmtId="0" fontId="30" fillId="0" borderId="0" xfId="0" applyFont="1"/>
    <xf numFmtId="0" fontId="31" fillId="0" borderId="0" xfId="0" applyFont="1"/>
    <xf numFmtId="0" fontId="25" fillId="0" borderId="0" xfId="0" applyFont="1" applyAlignment="1">
      <alignment horizontal="center"/>
    </xf>
    <xf numFmtId="0" fontId="32" fillId="0" borderId="0" xfId="0" applyFont="1"/>
    <xf numFmtId="0" fontId="30" fillId="0" borderId="0" xfId="0" applyFont="1" applyAlignment="1">
      <alignment horizontal="center"/>
    </xf>
    <xf numFmtId="0" fontId="25" fillId="0" borderId="0" xfId="0" applyFont="1" applyAlignment="1">
      <alignment horizontal="left" indent="1"/>
    </xf>
    <xf numFmtId="0" fontId="33" fillId="0" borderId="0" xfId="0" applyFont="1" applyAlignment="1">
      <alignment horizontal="center"/>
    </xf>
    <xf numFmtId="3" fontId="25" fillId="0" borderId="0" xfId="0" applyNumberFormat="1" applyFont="1"/>
    <xf numFmtId="3" fontId="31" fillId="0" borderId="0" xfId="0" applyNumberFormat="1" applyFont="1"/>
    <xf numFmtId="3" fontId="25" fillId="0" borderId="0" xfId="0" applyNumberFormat="1" applyFont="1" applyAlignment="1">
      <alignment horizontal="center"/>
    </xf>
    <xf numFmtId="9" fontId="25" fillId="0" borderId="0" xfId="0" applyNumberFormat="1" applyFont="1"/>
    <xf numFmtId="0" fontId="32" fillId="0" borderId="0" xfId="0" applyFont="1" applyAlignment="1">
      <alignment horizontal="left" indent="1"/>
    </xf>
    <xf numFmtId="3" fontId="32" fillId="0" borderId="0" xfId="0" applyNumberFormat="1" applyFont="1"/>
    <xf numFmtId="3" fontId="34" fillId="0" borderId="0" xfId="0" applyNumberFormat="1" applyFont="1"/>
    <xf numFmtId="0" fontId="30" fillId="0" borderId="0" xfId="0" applyFont="1" applyAlignment="1">
      <alignment horizontal="left" indent="1"/>
    </xf>
    <xf numFmtId="3" fontId="30" fillId="0" borderId="0" xfId="0" applyNumberFormat="1" applyFont="1"/>
    <xf numFmtId="0" fontId="35" fillId="0" borderId="0" xfId="0" applyFont="1"/>
    <xf numFmtId="0" fontId="30" fillId="0" borderId="0" xfId="0" applyFont="1" applyAlignment="1">
      <alignment horizontal="left" indent="2"/>
    </xf>
    <xf numFmtId="3" fontId="30" fillId="0" borderId="0" xfId="0" applyNumberFormat="1" applyFont="1" applyAlignment="1">
      <alignment horizontal="right"/>
    </xf>
    <xf numFmtId="9" fontId="26" fillId="0" borderId="0" xfId="0" applyNumberFormat="1" applyFont="1" applyAlignment="1">
      <alignment horizontal="center"/>
    </xf>
    <xf numFmtId="9" fontId="30" fillId="0" borderId="0" xfId="0" applyNumberFormat="1" applyFont="1"/>
    <xf numFmtId="2" fontId="30" fillId="0" borderId="0" xfId="0" applyNumberFormat="1" applyFont="1"/>
    <xf numFmtId="2" fontId="30" fillId="0" borderId="0" xfId="0" applyNumberFormat="1" applyFont="1" applyAlignment="1">
      <alignment horizontal="right"/>
    </xf>
    <xf numFmtId="3" fontId="35" fillId="0" borderId="0" xfId="0" applyNumberFormat="1" applyFont="1"/>
    <xf numFmtId="0" fontId="28" fillId="0" borderId="0" xfId="0" applyFont="1" applyAlignment="1">
      <alignment horizontal="center"/>
    </xf>
    <xf numFmtId="0" fontId="29" fillId="0" borderId="0" xfId="0" applyFont="1"/>
    <xf numFmtId="0" fontId="25" fillId="0" borderId="2" xfId="0" applyFont="1" applyBorder="1"/>
    <xf numFmtId="0" fontId="30" fillId="0" borderId="2" xfId="0" applyFont="1" applyBorder="1"/>
    <xf numFmtId="0" fontId="34" fillId="0" borderId="2" xfId="0" applyFont="1" applyBorder="1"/>
    <xf numFmtId="3" fontId="32" fillId="0" borderId="0" xfId="0" applyNumberFormat="1" applyFont="1" applyAlignment="1">
      <alignment horizontal="center"/>
    </xf>
    <xf numFmtId="0" fontId="32" fillId="0" borderId="0" xfId="0" applyFont="1" applyAlignment="1">
      <alignment horizontal="center"/>
    </xf>
    <xf numFmtId="3" fontId="25" fillId="0" borderId="0" xfId="0" applyNumberFormat="1" applyFont="1" applyAlignment="1">
      <alignment horizontal="right"/>
    </xf>
    <xf numFmtId="3" fontId="32" fillId="0" borderId="0" xfId="0" applyNumberFormat="1" applyFont="1" applyAlignment="1">
      <alignment horizontal="right"/>
    </xf>
    <xf numFmtId="9" fontId="30" fillId="0" borderId="0" xfId="0" applyNumberFormat="1" applyFont="1" applyAlignment="1">
      <alignment horizontal="center"/>
    </xf>
    <xf numFmtId="0" fontId="31" fillId="0" borderId="2" xfId="0" applyFont="1" applyBorder="1"/>
    <xf numFmtId="9" fontId="33" fillId="0" borderId="0" xfId="0" applyNumberFormat="1" applyFont="1" applyAlignment="1">
      <alignment horizontal="center"/>
    </xf>
    <xf numFmtId="2" fontId="25" fillId="0" borderId="0" xfId="0" applyNumberFormat="1" applyFont="1"/>
    <xf numFmtId="0" fontId="29" fillId="0" borderId="2" xfId="0" applyFont="1" applyBorder="1"/>
    <xf numFmtId="9" fontId="28" fillId="0" borderId="0" xfId="0" applyNumberFormat="1" applyFont="1" applyAlignment="1">
      <alignment horizontal="center"/>
    </xf>
    <xf numFmtId="9" fontId="36" fillId="0" borderId="0" xfId="0" applyNumberFormat="1" applyFont="1" applyAlignment="1">
      <alignment horizontal="center"/>
    </xf>
    <xf numFmtId="3" fontId="29" fillId="0" borderId="0" xfId="0" applyNumberFormat="1" applyFont="1"/>
    <xf numFmtId="3" fontId="37" fillId="0" borderId="0" xfId="0" applyNumberFormat="1" applyFont="1"/>
    <xf numFmtId="3" fontId="30" fillId="0" borderId="0" xfId="0" applyNumberFormat="1" applyFont="1" applyAlignment="1">
      <alignment horizontal="center"/>
    </xf>
    <xf numFmtId="3" fontId="29" fillId="0" borderId="0" xfId="0" applyNumberFormat="1" applyFont="1" applyAlignment="1">
      <alignment horizontal="right"/>
    </xf>
    <xf numFmtId="0" fontId="25" fillId="0" borderId="0" xfId="0" applyFont="1" applyAlignment="1">
      <alignment horizontal="left"/>
    </xf>
    <xf numFmtId="0" fontId="25" fillId="0" borderId="2" xfId="0" applyFont="1" applyBorder="1" applyAlignment="1">
      <alignment horizontal="left"/>
    </xf>
    <xf numFmtId="3" fontId="26" fillId="0" borderId="0" xfId="0" applyNumberFormat="1" applyFont="1" applyAlignment="1">
      <alignment horizontal="center"/>
    </xf>
    <xf numFmtId="3" fontId="33" fillId="0" borderId="0" xfId="0" applyNumberFormat="1" applyFont="1" applyAlignment="1">
      <alignment horizontal="center"/>
    </xf>
    <xf numFmtId="0" fontId="29" fillId="0" borderId="0" xfId="0" applyFont="1" applyAlignment="1">
      <alignment horizontal="left"/>
    </xf>
    <xf numFmtId="14" fontId="30" fillId="0" borderId="0" xfId="0" applyNumberFormat="1" applyFont="1"/>
    <xf numFmtId="165" fontId="30" fillId="0" borderId="0" xfId="0" applyNumberFormat="1" applyFont="1" applyAlignment="1">
      <alignment horizontal="center"/>
    </xf>
    <xf numFmtId="165" fontId="30" fillId="0" borderId="0" xfId="0" applyNumberFormat="1" applyFont="1" applyAlignment="1">
      <alignment horizontal="right"/>
    </xf>
    <xf numFmtId="9" fontId="38" fillId="0" borderId="0" xfId="0" applyNumberFormat="1" applyFont="1" applyAlignment="1">
      <alignment horizontal="center"/>
    </xf>
    <xf numFmtId="0" fontId="38" fillId="0" borderId="0" xfId="0" applyFont="1" applyAlignment="1">
      <alignment horizontal="center"/>
    </xf>
    <xf numFmtId="3" fontId="39" fillId="0" borderId="0" xfId="0" applyNumberFormat="1" applyFont="1"/>
    <xf numFmtId="3" fontId="40" fillId="0" borderId="0" xfId="0" applyNumberFormat="1" applyFont="1"/>
    <xf numFmtId="165" fontId="32" fillId="0" borderId="0" xfId="0" applyNumberFormat="1" applyFont="1" applyAlignment="1">
      <alignment horizontal="right"/>
    </xf>
    <xf numFmtId="168" fontId="32" fillId="0" borderId="0" xfId="0" applyNumberFormat="1" applyFont="1" applyAlignment="1">
      <alignment horizontal="center"/>
    </xf>
    <xf numFmtId="0" fontId="28" fillId="0" borderId="0" xfId="0" applyFont="1" applyAlignment="1">
      <alignment horizontal="center" vertical="center"/>
    </xf>
    <xf numFmtId="0" fontId="41" fillId="0" borderId="0" xfId="0" applyFont="1" applyAlignment="1">
      <alignment horizontal="center"/>
    </xf>
    <xf numFmtId="0" fontId="39" fillId="0" borderId="0" xfId="0" applyFont="1" applyAlignment="1">
      <alignment horizontal="center"/>
    </xf>
    <xf numFmtId="0" fontId="31" fillId="0" borderId="0" xfId="0" applyFont="1" applyAlignment="1">
      <alignment horizontal="left" indent="2"/>
    </xf>
    <xf numFmtId="2" fontId="31" fillId="0" borderId="0" xfId="0" applyNumberFormat="1" applyFont="1" applyAlignment="1">
      <alignment horizontal="right"/>
    </xf>
    <xf numFmtId="0" fontId="32" fillId="0" borderId="0" xfId="0" applyFont="1" applyAlignment="1">
      <alignment horizontal="left"/>
    </xf>
    <xf numFmtId="9" fontId="32" fillId="0" borderId="0" xfId="0" applyNumberFormat="1" applyFont="1"/>
    <xf numFmtId="0" fontId="34" fillId="0" borderId="0" xfId="0" applyFont="1"/>
    <xf numFmtId="9" fontId="32" fillId="0" borderId="0" xfId="0" applyNumberFormat="1" applyFont="1" applyAlignment="1">
      <alignment horizontal="center"/>
    </xf>
    <xf numFmtId="0" fontId="25" fillId="0" borderId="11" xfId="0" applyFont="1" applyBorder="1"/>
    <xf numFmtId="0" fontId="30" fillId="0" borderId="11" xfId="0" applyFont="1" applyBorder="1"/>
    <xf numFmtId="0" fontId="31" fillId="0" borderId="11" xfId="0" applyFont="1" applyBorder="1"/>
    <xf numFmtId="0" fontId="29" fillId="0" borderId="0" xfId="0" applyFont="1" applyAlignment="1">
      <alignment wrapText="1"/>
    </xf>
    <xf numFmtId="165" fontId="25" fillId="0" borderId="0" xfId="0" applyNumberFormat="1" applyFont="1" applyAlignment="1">
      <alignment horizontal="center"/>
    </xf>
    <xf numFmtId="3" fontId="25" fillId="0" borderId="2" xfId="0" applyNumberFormat="1" applyFont="1" applyBorder="1"/>
    <xf numFmtId="0" fontId="3" fillId="0" borderId="0" xfId="0" applyFont="1" applyAlignment="1">
      <alignment horizontal="left" vertical="center" indent="1"/>
    </xf>
    <xf numFmtId="0" fontId="42" fillId="0" borderId="0" xfId="0" applyFont="1"/>
    <xf numFmtId="0" fontId="42" fillId="0" borderId="0" xfId="0" applyFont="1" applyAlignment="1">
      <alignment horizontal="left"/>
    </xf>
    <xf numFmtId="0" fontId="25" fillId="0" borderId="0" xfId="0" applyFont="1" applyAlignment="1">
      <alignment horizontal="left" indent="2"/>
    </xf>
    <xf numFmtId="0" fontId="42" fillId="0" borderId="0" xfId="0" applyFont="1" applyAlignment="1">
      <alignment vertical="center"/>
    </xf>
    <xf numFmtId="170" fontId="8" fillId="0" borderId="0" xfId="0" applyNumberFormat="1" applyFont="1" applyAlignment="1">
      <alignment vertical="center"/>
    </xf>
    <xf numFmtId="171" fontId="3" fillId="0" borderId="0" xfId="0" applyNumberFormat="1" applyFont="1" applyAlignment="1">
      <alignment horizontal="right"/>
    </xf>
    <xf numFmtId="171" fontId="3" fillId="0" borderId="13" xfId="0" applyNumberFormat="1" applyFont="1" applyBorder="1"/>
    <xf numFmtId="171" fontId="7" fillId="0" borderId="0" xfId="0" applyNumberFormat="1" applyFont="1" applyAlignment="1">
      <alignment horizontal="right"/>
    </xf>
    <xf numFmtId="169" fontId="8" fillId="0" borderId="0" xfId="0" applyNumberFormat="1" applyFont="1" applyAlignment="1">
      <alignment vertical="center"/>
    </xf>
    <xf numFmtId="0" fontId="14" fillId="0" borderId="0" xfId="0" applyFont="1" applyAlignment="1">
      <alignment horizontal="center" vertical="center"/>
    </xf>
    <xf numFmtId="172" fontId="3" fillId="0" borderId="0" xfId="0" applyNumberFormat="1" applyFont="1"/>
    <xf numFmtId="170" fontId="10" fillId="0" borderId="0" xfId="0" applyNumberFormat="1" applyFont="1" applyAlignment="1">
      <alignment vertical="center"/>
    </xf>
    <xf numFmtId="4" fontId="13" fillId="0" borderId="0" xfId="0" applyNumberFormat="1" applyFont="1"/>
    <xf numFmtId="173" fontId="3" fillId="0" borderId="0" xfId="0" applyNumberFormat="1" applyFont="1"/>
    <xf numFmtId="1" fontId="3" fillId="0" borderId="2" xfId="0" applyNumberFormat="1" applyFont="1" applyBorder="1"/>
    <xf numFmtId="4" fontId="25" fillId="0" borderId="0" xfId="0" applyNumberFormat="1" applyFont="1"/>
    <xf numFmtId="0" fontId="3" fillId="18" borderId="0" xfId="0" applyFont="1" applyFill="1"/>
    <xf numFmtId="3" fontId="3" fillId="0" borderId="0" xfId="0" applyNumberFormat="1" applyFont="1" applyAlignment="1">
      <alignment horizontal="center"/>
    </xf>
    <xf numFmtId="3" fontId="3" fillId="0" borderId="4" xfId="0" applyNumberFormat="1" applyFont="1" applyBorder="1" applyAlignment="1">
      <alignment horizontal="center"/>
    </xf>
    <xf numFmtId="3" fontId="3" fillId="0" borderId="12" xfId="0" applyNumberFormat="1" applyFont="1" applyBorder="1" applyAlignment="1">
      <alignment horizontal="center"/>
    </xf>
    <xf numFmtId="3" fontId="3" fillId="0" borderId="2" xfId="0" applyNumberFormat="1" applyFont="1" applyBorder="1" applyAlignment="1">
      <alignment horizontal="center"/>
    </xf>
    <xf numFmtId="3" fontId="3" fillId="0" borderId="10" xfId="0" applyNumberFormat="1" applyFont="1" applyBorder="1" applyAlignment="1">
      <alignment horizontal="center"/>
    </xf>
    <xf numFmtId="0" fontId="19" fillId="0" borderId="0" xfId="0" applyFont="1" applyAlignment="1">
      <alignment horizontal="left"/>
    </xf>
    <xf numFmtId="49" fontId="3" fillId="14" borderId="0" xfId="0" applyNumberFormat="1" applyFont="1" applyFill="1" applyProtection="1">
      <protection locked="0"/>
    </xf>
    <xf numFmtId="165" fontId="3" fillId="14" borderId="0" xfId="0" applyNumberFormat="1" applyFont="1" applyFill="1" applyProtection="1">
      <protection locked="0"/>
    </xf>
    <xf numFmtId="165" fontId="6" fillId="15" borderId="0" xfId="0" applyNumberFormat="1" applyFont="1" applyFill="1" applyProtection="1">
      <protection locked="0"/>
    </xf>
    <xf numFmtId="164" fontId="3" fillId="14" borderId="0" xfId="0" applyNumberFormat="1" applyFont="1" applyFill="1" applyAlignment="1" applyProtection="1">
      <alignment horizontal="center"/>
      <protection locked="0"/>
    </xf>
    <xf numFmtId="164" fontId="3" fillId="15" borderId="0" xfId="0" applyNumberFormat="1" applyFont="1" applyFill="1" applyProtection="1">
      <protection locked="0"/>
    </xf>
    <xf numFmtId="0" fontId="3" fillId="14" borderId="0" xfId="0" applyFont="1" applyFill="1" applyAlignment="1" applyProtection="1">
      <alignment horizontal="center"/>
      <protection locked="0"/>
    </xf>
    <xf numFmtId="165" fontId="3" fillId="14" borderId="0" xfId="0" applyNumberFormat="1" applyFont="1" applyFill="1" applyAlignment="1" applyProtection="1">
      <alignment horizontal="center"/>
      <protection locked="0"/>
    </xf>
    <xf numFmtId="165" fontId="3" fillId="15" borderId="0" xfId="0" applyNumberFormat="1" applyFont="1" applyFill="1" applyAlignment="1" applyProtection="1">
      <alignment horizontal="center"/>
      <protection locked="0"/>
    </xf>
    <xf numFmtId="165" fontId="7" fillId="15" borderId="0" xfId="0" applyNumberFormat="1" applyFont="1" applyFill="1" applyAlignment="1" applyProtection="1">
      <alignment horizontal="center"/>
      <protection locked="0"/>
    </xf>
    <xf numFmtId="3" fontId="8" fillId="14" borderId="0" xfId="0" applyNumberFormat="1" applyFont="1" applyFill="1" applyAlignment="1" applyProtection="1">
      <alignment horizontal="right"/>
      <protection locked="0"/>
    </xf>
    <xf numFmtId="3" fontId="3" fillId="14" borderId="0" xfId="0" applyNumberFormat="1" applyFont="1" applyFill="1" applyProtection="1">
      <protection locked="0"/>
    </xf>
    <xf numFmtId="0" fontId="3" fillId="14" borderId="0" xfId="0" applyFont="1" applyFill="1" applyAlignment="1" applyProtection="1">
      <alignment horizontal="left"/>
      <protection locked="0"/>
    </xf>
    <xf numFmtId="3" fontId="3" fillId="14" borderId="0" xfId="0" applyNumberFormat="1" applyFont="1" applyFill="1" applyAlignment="1" applyProtection="1">
      <alignment horizontal="center"/>
      <protection locked="0"/>
    </xf>
    <xf numFmtId="165" fontId="8" fillId="14" borderId="0" xfId="0" applyNumberFormat="1" applyFont="1" applyFill="1" applyAlignment="1" applyProtection="1">
      <alignment horizontal="center"/>
      <protection locked="0"/>
    </xf>
    <xf numFmtId="165" fontId="8" fillId="14" borderId="0" xfId="0" applyNumberFormat="1" applyFont="1" applyFill="1" applyAlignment="1" applyProtection="1">
      <alignment horizontal="right"/>
      <protection locked="0"/>
    </xf>
    <xf numFmtId="3" fontId="6" fillId="15" borderId="0" xfId="0" applyNumberFormat="1" applyFont="1" applyFill="1" applyAlignment="1" applyProtection="1">
      <alignment horizontal="right"/>
      <protection locked="0"/>
    </xf>
    <xf numFmtId="0" fontId="25" fillId="14" borderId="0" xfId="0" applyFont="1" applyFill="1" applyProtection="1">
      <protection locked="0"/>
    </xf>
    <xf numFmtId="3" fontId="25" fillId="14" borderId="0" xfId="0" applyNumberFormat="1" applyFont="1" applyFill="1" applyAlignment="1" applyProtection="1">
      <alignment horizontal="center"/>
      <protection locked="0"/>
    </xf>
    <xf numFmtId="3" fontId="25" fillId="15" borderId="0" xfId="0" applyNumberFormat="1" applyFont="1" applyFill="1" applyProtection="1">
      <protection locked="0"/>
    </xf>
    <xf numFmtId="9" fontId="25" fillId="14" borderId="0" xfId="0" applyNumberFormat="1" applyFont="1" applyFill="1" applyProtection="1">
      <protection locked="0"/>
    </xf>
    <xf numFmtId="3" fontId="30" fillId="15" borderId="0" xfId="0" applyNumberFormat="1" applyFont="1" applyFill="1" applyProtection="1">
      <protection locked="0"/>
    </xf>
    <xf numFmtId="3" fontId="30" fillId="15" borderId="0" xfId="0" applyNumberFormat="1" applyFont="1" applyFill="1" applyAlignment="1" applyProtection="1">
      <alignment horizontal="center"/>
      <protection locked="0"/>
    </xf>
    <xf numFmtId="3" fontId="30" fillId="15" borderId="0" xfId="0" applyNumberFormat="1" applyFont="1" applyFill="1" applyAlignment="1" applyProtection="1">
      <alignment horizontal="right"/>
      <protection locked="0"/>
    </xf>
    <xf numFmtId="9" fontId="30" fillId="15" borderId="0" xfId="0" applyNumberFormat="1" applyFont="1" applyFill="1" applyProtection="1">
      <protection locked="0"/>
    </xf>
    <xf numFmtId="0" fontId="30" fillId="15" borderId="0" xfId="0" applyFont="1" applyFill="1" applyAlignment="1" applyProtection="1">
      <alignment horizontal="center"/>
      <protection locked="0"/>
    </xf>
    <xf numFmtId="0" fontId="32" fillId="14" borderId="0" xfId="0" applyFont="1" applyFill="1" applyAlignment="1" applyProtection="1">
      <alignment horizontal="center"/>
      <protection locked="0"/>
    </xf>
    <xf numFmtId="4" fontId="25" fillId="14" borderId="0" xfId="0" applyNumberFormat="1" applyFont="1" applyFill="1" applyAlignment="1" applyProtection="1">
      <alignment horizontal="center"/>
      <protection locked="0"/>
    </xf>
    <xf numFmtId="4" fontId="25" fillId="15" borderId="0" xfId="0" applyNumberFormat="1" applyFont="1" applyFill="1" applyProtection="1">
      <protection locked="0"/>
    </xf>
    <xf numFmtId="3" fontId="32" fillId="14" borderId="0" xfId="0" applyNumberFormat="1" applyFont="1" applyFill="1" applyAlignment="1" applyProtection="1">
      <alignment horizontal="center"/>
      <protection locked="0"/>
    </xf>
    <xf numFmtId="3" fontId="32" fillId="14" borderId="0" xfId="0" applyNumberFormat="1" applyFont="1" applyFill="1" applyAlignment="1" applyProtection="1">
      <alignment horizontal="right"/>
      <protection locked="0"/>
    </xf>
    <xf numFmtId="3" fontId="25" fillId="14" borderId="0" xfId="0" applyNumberFormat="1" applyFont="1" applyFill="1" applyProtection="1">
      <protection locked="0"/>
    </xf>
    <xf numFmtId="9" fontId="30" fillId="15" borderId="0" xfId="0" applyNumberFormat="1" applyFont="1" applyFill="1" applyAlignment="1" applyProtection="1">
      <alignment horizontal="center"/>
      <protection locked="0"/>
    </xf>
    <xf numFmtId="9" fontId="32" fillId="14" borderId="0" xfId="0" applyNumberFormat="1" applyFont="1" applyFill="1" applyAlignment="1" applyProtection="1">
      <alignment horizontal="center"/>
      <protection locked="0"/>
    </xf>
    <xf numFmtId="0" fontId="3" fillId="14" borderId="0" xfId="0" applyFont="1" applyFill="1" applyProtection="1">
      <protection locked="0"/>
    </xf>
    <xf numFmtId="165" fontId="25" fillId="14" borderId="0" xfId="0" applyNumberFormat="1" applyFont="1" applyFill="1" applyAlignment="1" applyProtection="1">
      <alignment horizontal="center"/>
      <protection locked="0"/>
    </xf>
    <xf numFmtId="9" fontId="25" fillId="14" borderId="0" xfId="0" applyNumberFormat="1" applyFont="1" applyFill="1" applyAlignment="1" applyProtection="1">
      <alignment horizontal="center"/>
      <protection locked="0"/>
    </xf>
    <xf numFmtId="165" fontId="32" fillId="14" borderId="0" xfId="0" applyNumberFormat="1" applyFont="1" applyFill="1" applyAlignment="1" applyProtection="1">
      <alignment horizontal="center"/>
      <protection locked="0"/>
    </xf>
    <xf numFmtId="165" fontId="32" fillId="14" borderId="0" xfId="0" applyNumberFormat="1" applyFont="1" applyFill="1" applyAlignment="1" applyProtection="1">
      <alignment horizontal="right"/>
      <protection locked="0"/>
    </xf>
    <xf numFmtId="3" fontId="32" fillId="15" borderId="0" xfId="0" applyNumberFormat="1" applyFont="1" applyFill="1" applyAlignment="1" applyProtection="1">
      <alignment horizontal="center"/>
      <protection locked="0"/>
    </xf>
    <xf numFmtId="9" fontId="32" fillId="15" borderId="0" xfId="0" applyNumberFormat="1" applyFont="1" applyFill="1" applyProtection="1">
      <protection locked="0"/>
    </xf>
    <xf numFmtId="3" fontId="32" fillId="15" borderId="0" xfId="0" applyNumberFormat="1" applyFont="1" applyFill="1" applyAlignment="1" applyProtection="1">
      <alignment horizontal="right"/>
      <protection locked="0"/>
    </xf>
    <xf numFmtId="165" fontId="25" fillId="14" borderId="0" xfId="0" applyNumberFormat="1" applyFont="1" applyFill="1" applyAlignment="1" applyProtection="1">
      <alignment horizontal="right"/>
      <protection locked="0"/>
    </xf>
    <xf numFmtId="3" fontId="8" fillId="15" borderId="0" xfId="0" applyNumberFormat="1" applyFont="1" applyFill="1" applyAlignment="1" applyProtection="1">
      <alignment horizontal="right"/>
      <protection locked="0"/>
    </xf>
    <xf numFmtId="0" fontId="7" fillId="14" borderId="0" xfId="0" applyFont="1" applyFill="1" applyAlignment="1" applyProtection="1">
      <alignment horizontal="left"/>
      <protection locked="0"/>
    </xf>
    <xf numFmtId="0" fontId="3" fillId="14" borderId="5" xfId="0" applyFont="1" applyFill="1" applyBorder="1" applyAlignment="1" applyProtection="1">
      <alignment horizontal="center"/>
      <protection locked="0"/>
    </xf>
    <xf numFmtId="9" fontId="7" fillId="14" borderId="6" xfId="0" applyNumberFormat="1" applyFont="1" applyFill="1" applyBorder="1" applyAlignment="1" applyProtection="1">
      <alignment horizontal="center"/>
      <protection locked="0"/>
    </xf>
    <xf numFmtId="9" fontId="7" fillId="14" borderId="7" xfId="0" applyNumberFormat="1" applyFont="1" applyFill="1" applyBorder="1" applyAlignment="1" applyProtection="1">
      <alignment horizontal="center"/>
      <protection locked="0"/>
    </xf>
    <xf numFmtId="9" fontId="7" fillId="14" borderId="8" xfId="0" applyNumberFormat="1" applyFont="1" applyFill="1" applyBorder="1" applyAlignment="1" applyProtection="1">
      <alignment horizontal="center"/>
      <protection locked="0"/>
    </xf>
    <xf numFmtId="9" fontId="7" fillId="14" borderId="9" xfId="0" applyNumberFormat="1" applyFont="1" applyFill="1" applyBorder="1" applyAlignment="1" applyProtection="1">
      <alignment horizontal="center"/>
      <protection locked="0"/>
    </xf>
    <xf numFmtId="165" fontId="8" fillId="14" borderId="0" xfId="0" applyNumberFormat="1" applyFont="1" applyFill="1" applyProtection="1">
      <protection locked="0"/>
    </xf>
    <xf numFmtId="0" fontId="47" fillId="0" borderId="0" xfId="0" applyFont="1" applyAlignment="1">
      <alignment horizontal="right"/>
    </xf>
    <xf numFmtId="165" fontId="3" fillId="10" borderId="0" xfId="0" applyNumberFormat="1" applyFont="1" applyFill="1" applyAlignment="1">
      <alignment horizontal="center"/>
    </xf>
    <xf numFmtId="0" fontId="43" fillId="19" borderId="0" xfId="0" applyFont="1" applyFill="1"/>
    <xf numFmtId="0" fontId="43" fillId="20" borderId="0" xfId="0" applyFont="1" applyFill="1"/>
    <xf numFmtId="0" fontId="8" fillId="19" borderId="0" xfId="0" applyFont="1" applyFill="1"/>
    <xf numFmtId="0" fontId="8" fillId="20" borderId="0" xfId="0" applyFont="1" applyFill="1"/>
    <xf numFmtId="0" fontId="3" fillId="19" borderId="1" xfId="0" applyFont="1" applyFill="1" applyBorder="1" applyAlignment="1">
      <alignment horizontal="left" vertical="center" indent="4"/>
    </xf>
    <xf numFmtId="0" fontId="7" fillId="19" borderId="1" xfId="0" applyFont="1" applyFill="1" applyBorder="1" applyAlignment="1">
      <alignment vertical="center"/>
    </xf>
    <xf numFmtId="0" fontId="3" fillId="19" borderId="1" xfId="0" applyFont="1" applyFill="1" applyBorder="1" applyAlignment="1">
      <alignment vertical="center"/>
    </xf>
    <xf numFmtId="0" fontId="6" fillId="19" borderId="1" xfId="0" applyFont="1" applyFill="1" applyBorder="1" applyAlignment="1">
      <alignment vertical="center"/>
    </xf>
    <xf numFmtId="0" fontId="3" fillId="20" borderId="1" xfId="0" applyFont="1" applyFill="1" applyBorder="1" applyAlignment="1">
      <alignment horizontal="center" vertical="center"/>
    </xf>
    <xf numFmtId="0" fontId="3" fillId="19" borderId="1" xfId="0" applyFont="1" applyFill="1" applyBorder="1" applyAlignment="1">
      <alignment horizontal="center" vertical="center"/>
    </xf>
    <xf numFmtId="0" fontId="12" fillId="19" borderId="1" xfId="0" applyFont="1" applyFill="1" applyBorder="1" applyAlignment="1">
      <alignment horizontal="center" vertical="center"/>
    </xf>
    <xf numFmtId="0" fontId="25" fillId="19" borderId="1" xfId="0" applyFont="1" applyFill="1" applyBorder="1" applyAlignment="1">
      <alignment horizontal="left" vertical="center" indent="4"/>
    </xf>
    <xf numFmtId="0" fontId="29" fillId="19" borderId="1" xfId="0" applyFont="1" applyFill="1" applyBorder="1" applyAlignment="1">
      <alignment vertical="center"/>
    </xf>
    <xf numFmtId="0" fontId="25" fillId="19" borderId="1" xfId="0" applyFont="1" applyFill="1" applyBorder="1" applyAlignment="1">
      <alignment vertical="center"/>
    </xf>
    <xf numFmtId="0" fontId="30" fillId="19" borderId="1" xfId="0" applyFont="1" applyFill="1" applyBorder="1" applyAlignment="1">
      <alignment vertical="center"/>
    </xf>
    <xf numFmtId="0" fontId="25" fillId="20" borderId="1" xfId="0" applyFont="1" applyFill="1" applyBorder="1" applyAlignment="1">
      <alignment horizontal="center" vertical="center"/>
    </xf>
    <xf numFmtId="0" fontId="25" fillId="19" borderId="1" xfId="0" applyFont="1" applyFill="1" applyBorder="1" applyAlignment="1">
      <alignment horizontal="center" vertical="center"/>
    </xf>
    <xf numFmtId="0" fontId="31" fillId="19" borderId="1" xfId="0" applyFont="1" applyFill="1" applyBorder="1" applyAlignment="1">
      <alignment horizontal="center" vertical="center"/>
    </xf>
    <xf numFmtId="0" fontId="10" fillId="19" borderId="1" xfId="0" applyFont="1" applyFill="1" applyBorder="1" applyAlignment="1">
      <alignment horizontal="center" vertical="center"/>
    </xf>
    <xf numFmtId="0" fontId="16" fillId="19" borderId="1" xfId="0" applyFont="1" applyFill="1" applyBorder="1" applyAlignment="1">
      <alignment horizontal="center" vertical="center"/>
    </xf>
    <xf numFmtId="0" fontId="48" fillId="0" borderId="0" xfId="0" applyFont="1" applyAlignment="1">
      <alignment horizontal="left" vertical="center" indent="1"/>
    </xf>
    <xf numFmtId="3" fontId="48" fillId="0" borderId="0" xfId="0" applyNumberFormat="1" applyFont="1" applyAlignment="1">
      <alignment horizontal="center" vertical="center"/>
    </xf>
    <xf numFmtId="0" fontId="49" fillId="0" borderId="0" xfId="0" applyFont="1" applyAlignment="1">
      <alignment horizontal="center" vertical="center"/>
    </xf>
    <xf numFmtId="0" fontId="50" fillId="0" borderId="0" xfId="0" applyFont="1" applyAlignment="1">
      <alignment horizontal="center"/>
    </xf>
    <xf numFmtId="0" fontId="50" fillId="0" borderId="0" xfId="0" applyFont="1"/>
    <xf numFmtId="3" fontId="48" fillId="0" borderId="0" xfId="0" applyNumberFormat="1" applyFont="1"/>
    <xf numFmtId="3" fontId="51" fillId="0" borderId="0" xfId="0" applyNumberFormat="1" applyFont="1"/>
    <xf numFmtId="0" fontId="48" fillId="0" borderId="0" xfId="0" applyFont="1"/>
    <xf numFmtId="0" fontId="48" fillId="0" borderId="0" xfId="0" applyFont="1" applyAlignment="1">
      <alignment horizontal="left" vertical="center"/>
    </xf>
    <xf numFmtId="3" fontId="50" fillId="0" borderId="0" xfId="0" applyNumberFormat="1" applyFont="1"/>
    <xf numFmtId="0" fontId="48" fillId="0" borderId="0" xfId="0" applyFont="1" applyAlignment="1">
      <alignment horizontal="left" indent="1"/>
    </xf>
    <xf numFmtId="3" fontId="52" fillId="0" borderId="0" xfId="0" applyNumberFormat="1" applyFont="1" applyAlignment="1">
      <alignment horizontal="center"/>
    </xf>
    <xf numFmtId="4" fontId="52" fillId="0" borderId="0" xfId="0" applyNumberFormat="1" applyFont="1" applyAlignment="1">
      <alignment horizontal="center"/>
    </xf>
    <xf numFmtId="9" fontId="58" fillId="0" borderId="0" xfId="0" applyNumberFormat="1" applyFont="1" applyAlignment="1">
      <alignment horizontal="center"/>
    </xf>
    <xf numFmtId="3" fontId="57" fillId="0" borderId="0" xfId="0" applyNumberFormat="1" applyFont="1" applyAlignment="1">
      <alignment horizontal="center"/>
    </xf>
    <xf numFmtId="3" fontId="57" fillId="0" borderId="0" xfId="0" applyNumberFormat="1" applyFont="1" applyAlignment="1">
      <alignment horizontal="right"/>
    </xf>
    <xf numFmtId="9" fontId="56" fillId="0" borderId="0" xfId="0" applyNumberFormat="1" applyFont="1" applyAlignment="1">
      <alignment horizontal="center"/>
    </xf>
    <xf numFmtId="9" fontId="60" fillId="0" borderId="0" xfId="0" applyNumberFormat="1" applyFont="1" applyAlignment="1">
      <alignment horizontal="center"/>
    </xf>
    <xf numFmtId="9" fontId="61" fillId="0" borderId="0" xfId="0" applyNumberFormat="1" applyFont="1" applyAlignment="1">
      <alignment horizontal="center"/>
    </xf>
    <xf numFmtId="3" fontId="53" fillId="0" borderId="0" xfId="0" applyNumberFormat="1" applyFont="1" applyAlignment="1">
      <alignment horizontal="center" vertical="center"/>
    </xf>
    <xf numFmtId="3" fontId="52" fillId="0" borderId="0" xfId="0" applyNumberFormat="1" applyFont="1" applyAlignment="1">
      <alignment horizontal="center" vertical="center"/>
    </xf>
    <xf numFmtId="3" fontId="52" fillId="0" borderId="14" xfId="0" applyNumberFormat="1" applyFont="1" applyBorder="1" applyAlignment="1">
      <alignment vertical="center"/>
    </xf>
    <xf numFmtId="3" fontId="60" fillId="0" borderId="0" xfId="0" applyNumberFormat="1" applyFont="1" applyAlignment="1">
      <alignment horizontal="center"/>
    </xf>
    <xf numFmtId="3" fontId="60" fillId="0" borderId="14" xfId="0" applyNumberFormat="1" applyFont="1" applyBorder="1" applyAlignment="1">
      <alignment horizontal="center"/>
    </xf>
    <xf numFmtId="3" fontId="52" fillId="0" borderId="11" xfId="0" applyNumberFormat="1" applyFont="1" applyBorder="1" applyAlignment="1">
      <alignment vertical="center"/>
    </xf>
    <xf numFmtId="3" fontId="60" fillId="0" borderId="11" xfId="0" applyNumberFormat="1" applyFont="1" applyBorder="1" applyAlignment="1">
      <alignment horizontal="center"/>
    </xf>
    <xf numFmtId="3" fontId="53" fillId="0" borderId="11" xfId="0" applyNumberFormat="1" applyFont="1" applyBorder="1" applyAlignment="1">
      <alignment horizontal="center" vertical="center"/>
    </xf>
    <xf numFmtId="3" fontId="52" fillId="0" borderId="2" xfId="0" applyNumberFormat="1" applyFont="1" applyBorder="1" applyAlignment="1">
      <alignment vertical="center"/>
    </xf>
    <xf numFmtId="3" fontId="60" fillId="0" borderId="2" xfId="0" applyNumberFormat="1" applyFont="1" applyBorder="1" applyAlignment="1">
      <alignment horizontal="center"/>
    </xf>
    <xf numFmtId="165" fontId="64" fillId="0" borderId="0" xfId="0" applyNumberFormat="1" applyFont="1" applyAlignment="1">
      <alignment horizontal="center"/>
    </xf>
    <xf numFmtId="3" fontId="64" fillId="0" borderId="0" xfId="0" applyNumberFormat="1" applyFont="1" applyAlignment="1">
      <alignment horizontal="center"/>
    </xf>
    <xf numFmtId="165" fontId="57" fillId="0" borderId="0" xfId="0" applyNumberFormat="1" applyFont="1" applyAlignment="1">
      <alignment horizontal="center"/>
    </xf>
    <xf numFmtId="168" fontId="64" fillId="0" borderId="0" xfId="0" applyNumberFormat="1" applyFont="1" applyAlignment="1">
      <alignment horizontal="center"/>
    </xf>
    <xf numFmtId="1" fontId="57" fillId="0" borderId="0" xfId="0" applyNumberFormat="1" applyFont="1" applyAlignment="1">
      <alignment horizontal="center"/>
    </xf>
    <xf numFmtId="168" fontId="57" fillId="0" borderId="0" xfId="0" applyNumberFormat="1" applyFont="1" applyAlignment="1">
      <alignment horizontal="center"/>
    </xf>
    <xf numFmtId="0" fontId="48" fillId="0" borderId="0" xfId="0" applyFont="1" applyAlignment="1">
      <alignment vertical="center"/>
    </xf>
    <xf numFmtId="9" fontId="3" fillId="14" borderId="0" xfId="0" applyNumberFormat="1" applyFont="1" applyFill="1" applyProtection="1">
      <protection locked="0"/>
    </xf>
    <xf numFmtId="0" fontId="66" fillId="14" borderId="0" xfId="0" applyFont="1" applyFill="1" applyProtection="1">
      <protection locked="0"/>
    </xf>
    <xf numFmtId="0" fontId="48" fillId="14" borderId="0" xfId="0" applyFont="1" applyFill="1" applyProtection="1">
      <protection locked="0"/>
    </xf>
    <xf numFmtId="0" fontId="66" fillId="0" borderId="0" xfId="0" applyFont="1"/>
    <xf numFmtId="0" fontId="52" fillId="19" borderId="1" xfId="0" applyFont="1" applyFill="1" applyBorder="1" applyAlignment="1">
      <alignment horizontal="left" vertical="center" indent="1"/>
    </xf>
    <xf numFmtId="0" fontId="53" fillId="0" borderId="0" xfId="0" applyFont="1" applyAlignment="1">
      <alignment vertical="center"/>
    </xf>
    <xf numFmtId="0" fontId="53" fillId="0" borderId="11" xfId="0" applyFont="1" applyBorder="1" applyAlignment="1">
      <alignment vertical="center"/>
    </xf>
    <xf numFmtId="0" fontId="53" fillId="19" borderId="1" xfId="0" applyFont="1" applyFill="1" applyBorder="1" applyAlignment="1">
      <alignment vertical="center"/>
    </xf>
    <xf numFmtId="0" fontId="52" fillId="0" borderId="0" xfId="0" applyFont="1" applyAlignment="1">
      <alignment vertical="center"/>
    </xf>
    <xf numFmtId="0" fontId="52" fillId="0" borderId="11" xfId="0" applyFont="1" applyBorder="1" applyAlignment="1">
      <alignment vertical="center"/>
    </xf>
    <xf numFmtId="0" fontId="52" fillId="19" borderId="1" xfId="0" applyFont="1" applyFill="1" applyBorder="1" applyAlignment="1">
      <alignment vertical="center"/>
    </xf>
    <xf numFmtId="0" fontId="52" fillId="20" borderId="1" xfId="0" applyFont="1" applyFill="1" applyBorder="1" applyAlignment="1">
      <alignment horizontal="center" vertical="center"/>
    </xf>
    <xf numFmtId="0" fontId="52" fillId="19" borderId="1" xfId="0" applyFont="1" applyFill="1" applyBorder="1" applyAlignment="1">
      <alignment horizontal="center" vertical="center"/>
    </xf>
    <xf numFmtId="0" fontId="54" fillId="19" borderId="1" xfId="0" applyFont="1" applyFill="1" applyBorder="1" applyAlignment="1">
      <alignment horizontal="center" vertical="center"/>
    </xf>
    <xf numFmtId="0" fontId="55" fillId="0" borderId="0" xfId="0" applyFont="1"/>
    <xf numFmtId="0" fontId="52" fillId="0" borderId="0" xfId="0" applyFont="1"/>
    <xf numFmtId="0" fontId="56" fillId="0" borderId="0" xfId="0" applyFont="1" applyAlignment="1">
      <alignment horizontal="center"/>
    </xf>
    <xf numFmtId="3" fontId="54" fillId="0" borderId="0" xfId="0" applyNumberFormat="1" applyFont="1"/>
    <xf numFmtId="0" fontId="53" fillId="0" borderId="0" xfId="0" applyFont="1"/>
    <xf numFmtId="0" fontId="52" fillId="0" borderId="0" xfId="0" applyFont="1" applyAlignment="1">
      <alignment horizontal="center"/>
    </xf>
    <xf numFmtId="0" fontId="57" fillId="0" borderId="0" xfId="0" applyFont="1"/>
    <xf numFmtId="0" fontId="54" fillId="0" borderId="0" xfId="0" applyFont="1"/>
    <xf numFmtId="0" fontId="52" fillId="0" borderId="0" xfId="0" applyFont="1" applyAlignment="1">
      <alignment horizontal="left" indent="1"/>
    </xf>
    <xf numFmtId="0" fontId="57" fillId="0" borderId="0" xfId="0" applyFont="1" applyAlignment="1">
      <alignment horizontal="center"/>
    </xf>
    <xf numFmtId="3" fontId="52" fillId="0" borderId="0" xfId="0" applyNumberFormat="1" applyFont="1"/>
    <xf numFmtId="9" fontId="52" fillId="0" borderId="0" xfId="0" applyNumberFormat="1" applyFont="1"/>
    <xf numFmtId="0" fontId="57" fillId="0" borderId="0" xfId="0" applyFont="1" applyAlignment="1">
      <alignment horizontal="left" indent="1"/>
    </xf>
    <xf numFmtId="0" fontId="58" fillId="0" borderId="0" xfId="0" applyFont="1" applyAlignment="1">
      <alignment horizontal="center"/>
    </xf>
    <xf numFmtId="4" fontId="52" fillId="0" borderId="0" xfId="0" applyNumberFormat="1" applyFont="1"/>
    <xf numFmtId="3" fontId="57" fillId="0" borderId="0" xfId="0" applyNumberFormat="1" applyFont="1"/>
    <xf numFmtId="3" fontId="59" fillId="0" borderId="0" xfId="0" applyNumberFormat="1" applyFont="1"/>
    <xf numFmtId="0" fontId="52" fillId="0" borderId="2" xfId="0" applyFont="1" applyBorder="1"/>
    <xf numFmtId="0" fontId="59" fillId="0" borderId="2" xfId="0" applyFont="1" applyBorder="1"/>
    <xf numFmtId="0" fontId="54" fillId="0" borderId="2" xfId="0" applyFont="1" applyBorder="1"/>
    <xf numFmtId="0" fontId="52" fillId="0" borderId="11" xfId="0" applyFont="1" applyBorder="1"/>
    <xf numFmtId="0" fontId="54" fillId="0" borderId="11" xfId="0" applyFont="1" applyBorder="1"/>
    <xf numFmtId="2" fontId="52" fillId="0" borderId="0" xfId="0" applyNumberFormat="1" applyFont="1"/>
    <xf numFmtId="3" fontId="53" fillId="0" borderId="0" xfId="0" applyNumberFormat="1" applyFont="1"/>
    <xf numFmtId="3" fontId="62" fillId="0" borderId="0" xfId="0" applyNumberFormat="1" applyFont="1"/>
    <xf numFmtId="0" fontId="65" fillId="0" borderId="0" xfId="0" applyFont="1" applyAlignment="1">
      <alignment horizontal="center" vertical="center"/>
    </xf>
    <xf numFmtId="0" fontId="65" fillId="0" borderId="11" xfId="0" applyFont="1" applyBorder="1" applyAlignment="1">
      <alignment horizontal="center" vertical="center"/>
    </xf>
    <xf numFmtId="0" fontId="55" fillId="0" borderId="14" xfId="0" applyFont="1" applyBorder="1" applyAlignment="1">
      <alignment vertical="center"/>
    </xf>
    <xf numFmtId="0" fontId="52" fillId="19" borderId="11" xfId="0" applyFont="1" applyFill="1" applyBorder="1" applyAlignment="1">
      <alignment horizontal="left" vertical="center" indent="1"/>
    </xf>
    <xf numFmtId="0" fontId="52" fillId="0" borderId="14" xfId="0" applyFont="1" applyBorder="1" applyAlignment="1">
      <alignment vertical="center"/>
    </xf>
    <xf numFmtId="0" fontId="64" fillId="19" borderId="11" xfId="0" applyFont="1" applyFill="1" applyBorder="1" applyAlignment="1">
      <alignment horizontal="center" vertical="center"/>
    </xf>
    <xf numFmtId="0" fontId="65" fillId="19" borderId="11" xfId="0" applyFont="1" applyFill="1" applyBorder="1" applyAlignment="1">
      <alignment horizontal="center" vertical="center"/>
    </xf>
    <xf numFmtId="3" fontId="52" fillId="0" borderId="14" xfId="0" applyNumberFormat="1" applyFont="1" applyBorder="1"/>
    <xf numFmtId="0" fontId="52" fillId="20" borderId="11" xfId="0" applyFont="1" applyFill="1" applyBorder="1" applyAlignment="1">
      <alignment horizontal="center" vertical="center"/>
    </xf>
    <xf numFmtId="0" fontId="52" fillId="19" borderId="11" xfId="0" applyFont="1" applyFill="1" applyBorder="1" applyAlignment="1">
      <alignment horizontal="center" vertical="center"/>
    </xf>
    <xf numFmtId="0" fontId="63" fillId="0" borderId="14" xfId="0" applyFont="1" applyBorder="1"/>
    <xf numFmtId="0" fontId="54" fillId="19" borderId="11" xfId="0" applyFont="1" applyFill="1" applyBorder="1" applyAlignment="1">
      <alignment horizontal="center" vertical="center"/>
    </xf>
    <xf numFmtId="0" fontId="52" fillId="0" borderId="0" xfId="0" applyFont="1" applyAlignment="1">
      <alignment horizontal="left" vertical="center" indent="1"/>
    </xf>
    <xf numFmtId="0" fontId="56" fillId="0" borderId="0" xfId="0" applyFont="1" applyAlignment="1">
      <alignment horizontal="center" vertical="center"/>
    </xf>
    <xf numFmtId="0" fontId="52" fillId="0" borderId="2" xfId="0" applyFont="1" applyBorder="1" applyAlignment="1">
      <alignment vertical="center"/>
    </xf>
    <xf numFmtId="0" fontId="60" fillId="0" borderId="2" xfId="0" applyFont="1" applyBorder="1" applyAlignment="1">
      <alignment horizontal="center"/>
    </xf>
    <xf numFmtId="0" fontId="63" fillId="0" borderId="2" xfId="0" applyFont="1" applyBorder="1"/>
    <xf numFmtId="3" fontId="63" fillId="0" borderId="14" xfId="0" applyNumberFormat="1" applyFont="1" applyBorder="1"/>
    <xf numFmtId="0" fontId="56" fillId="0" borderId="2" xfId="0" applyFont="1" applyBorder="1" applyAlignment="1">
      <alignment horizontal="center" vertical="center"/>
    </xf>
    <xf numFmtId="3" fontId="63" fillId="0" borderId="11" xfId="0" applyNumberFormat="1" applyFont="1" applyBorder="1"/>
    <xf numFmtId="3" fontId="53" fillId="0" borderId="11" xfId="0" applyNumberFormat="1" applyFont="1" applyBorder="1"/>
    <xf numFmtId="3" fontId="62" fillId="0" borderId="11" xfId="0" applyNumberFormat="1" applyFont="1" applyBorder="1"/>
    <xf numFmtId="3" fontId="63" fillId="0" borderId="2" xfId="0" applyNumberFormat="1" applyFont="1" applyBorder="1"/>
    <xf numFmtId="0" fontId="57" fillId="0" borderId="14" xfId="0" applyFont="1" applyBorder="1" applyAlignment="1">
      <alignment horizontal="center"/>
    </xf>
    <xf numFmtId="0" fontId="56" fillId="0" borderId="14" xfId="0" applyFont="1" applyBorder="1" applyAlignment="1">
      <alignment horizontal="center" vertical="center"/>
    </xf>
    <xf numFmtId="0" fontId="52" fillId="0" borderId="14" xfId="0" applyFont="1" applyBorder="1"/>
    <xf numFmtId="0" fontId="52" fillId="0" borderId="0" xfId="0" applyFont="1" applyAlignment="1">
      <alignment horizontal="left"/>
    </xf>
    <xf numFmtId="0" fontId="53" fillId="0" borderId="0" xfId="0" applyFont="1" applyAlignment="1">
      <alignment horizontal="left"/>
    </xf>
    <xf numFmtId="0" fontId="52" fillId="0" borderId="15" xfId="0" applyFont="1" applyBorder="1" applyAlignment="1">
      <alignment horizontal="left"/>
    </xf>
    <xf numFmtId="0" fontId="57" fillId="0" borderId="15" xfId="0" applyFont="1" applyBorder="1" applyAlignment="1">
      <alignment horizontal="center"/>
    </xf>
    <xf numFmtId="0" fontId="56" fillId="0" borderId="15" xfId="0" applyFont="1" applyBorder="1" applyAlignment="1">
      <alignment horizontal="center" vertical="center"/>
    </xf>
    <xf numFmtId="3" fontId="52" fillId="0" borderId="15" xfId="0" applyNumberFormat="1" applyFont="1" applyBorder="1"/>
    <xf numFmtId="3" fontId="54" fillId="0" borderId="15" xfId="0" applyNumberFormat="1" applyFont="1" applyBorder="1"/>
    <xf numFmtId="0" fontId="52" fillId="0" borderId="2" xfId="0" applyFont="1" applyBorder="1" applyAlignment="1">
      <alignment horizontal="left"/>
    </xf>
    <xf numFmtId="0" fontId="57" fillId="0" borderId="2" xfId="0" applyFont="1" applyBorder="1" applyAlignment="1">
      <alignment horizontal="center"/>
    </xf>
    <xf numFmtId="165" fontId="52" fillId="0" borderId="0" xfId="0" applyNumberFormat="1" applyFont="1"/>
    <xf numFmtId="166" fontId="52" fillId="0" borderId="0" xfId="0" applyNumberFormat="1" applyFont="1"/>
    <xf numFmtId="0" fontId="57" fillId="0" borderId="0" xfId="0" applyFont="1" applyAlignment="1">
      <alignment horizontal="left"/>
    </xf>
    <xf numFmtId="0" fontId="58" fillId="0" borderId="0" xfId="0" applyFont="1" applyAlignment="1">
      <alignment horizontal="center" vertical="center"/>
    </xf>
    <xf numFmtId="1" fontId="52" fillId="0" borderId="0" xfId="0" applyNumberFormat="1" applyFont="1"/>
    <xf numFmtId="167" fontId="52" fillId="0" borderId="0" xfId="0" applyNumberFormat="1" applyFont="1"/>
    <xf numFmtId="167" fontId="54" fillId="0" borderId="0" xfId="0" applyNumberFormat="1" applyFont="1"/>
    <xf numFmtId="0" fontId="2" fillId="0" borderId="0" xfId="0" applyFont="1" applyAlignment="1">
      <alignment vertical="center"/>
    </xf>
    <xf numFmtId="0" fontId="3" fillId="0" borderId="0" xfId="0" applyFont="1" applyAlignment="1">
      <alignment vertical="center"/>
    </xf>
    <xf numFmtId="0" fontId="24" fillId="0" borderId="0" xfId="0" applyFont="1" applyAlignment="1">
      <alignment vertical="center"/>
    </xf>
    <xf numFmtId="0" fontId="25" fillId="0" borderId="0" xfId="0" applyFont="1" applyAlignment="1">
      <alignment vertical="center"/>
    </xf>
  </cellXfs>
  <cellStyles count="4">
    <cellStyle name="Обычный" xfId="0" builtinId="0" customBuiltin="1"/>
    <cellStyle name="Обычный 2" xfId="2" xr:uid="{00000000-0005-0000-0000-000001000000}"/>
    <cellStyle name="Обычный 2 2" xfId="3" xr:uid="{00000000-0005-0000-0000-000002000000}"/>
    <cellStyle name="Процентный" xfId="1" builtinId="5"/>
  </cellStyles>
  <dxfs count="5">
    <dxf>
      <font>
        <color rgb="FFFF0000"/>
      </font>
    </dxf>
    <dxf>
      <fill>
        <patternFill>
          <bgColor rgb="FFFF0000"/>
        </patternFill>
      </fill>
    </dxf>
    <dxf>
      <fill>
        <patternFill>
          <bgColor rgb="FFFF0000"/>
        </patternFill>
      </fill>
    </dxf>
    <dxf>
      <font>
        <color rgb="FFFF0000"/>
      </font>
    </dxf>
    <dxf>
      <fill>
        <patternFill>
          <bgColor rgb="FFFF0000"/>
        </patternFill>
      </fill>
    </dxf>
  </dxfs>
  <tableStyles count="0" defaultTableStyle="TableStyleMedium2" defaultPivotStyle="PivotStyleLight16"/>
  <colors>
    <mruColors>
      <color rgb="FFE2E2E2"/>
      <color rgb="FFFF0000"/>
      <color rgb="FFF0F0F0"/>
      <color rgb="FFFF6600"/>
      <color rgb="FFC0C0C0"/>
      <color rgb="FFE0E0E0"/>
      <color rgb="FFD0D0D0"/>
      <color rgb="FFBFBFBF"/>
      <color rgb="FF0000FF"/>
      <color rgb="FF000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Графики!$G$220</c:f>
              <c:strCache>
                <c:ptCount val="1"/>
                <c:pt idx="0">
                  <c:v>90%</c:v>
                </c:pt>
              </c:strCache>
            </c:strRef>
          </c:tx>
          <c:spPr>
            <a:ln w="28575" cap="rnd">
              <a:solidFill>
                <a:schemeClr val="accent1"/>
              </a:solidFill>
              <a:round/>
            </a:ln>
            <a:effectLst/>
          </c:spPr>
          <c:marker>
            <c:symbol val="none"/>
          </c:marker>
          <c:cat>
            <c:numRef>
              <c:f>Графики!$H$219:$N$219</c:f>
              <c:numCache>
                <c:formatCode>0%</c:formatCode>
                <c:ptCount val="7"/>
                <c:pt idx="0">
                  <c:v>0.15</c:v>
                </c:pt>
                <c:pt idx="1">
                  <c:v>0.16999999999999998</c:v>
                </c:pt>
                <c:pt idx="2">
                  <c:v>0.18999999999999997</c:v>
                </c:pt>
                <c:pt idx="3">
                  <c:v>0.20999999999999996</c:v>
                </c:pt>
                <c:pt idx="4">
                  <c:v>0.22999999999999995</c:v>
                </c:pt>
                <c:pt idx="5">
                  <c:v>0.24999999999999994</c:v>
                </c:pt>
                <c:pt idx="6">
                  <c:v>0.26999999999999996</c:v>
                </c:pt>
              </c:numCache>
            </c:numRef>
          </c:cat>
          <c:val>
            <c:numRef>
              <c:f>Графики!$H$220:$N$220</c:f>
              <c:numCache>
                <c:formatCode>#,##0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F6A2-400A-8180-455B299EFDEA}"/>
            </c:ext>
          </c:extLst>
        </c:ser>
        <c:ser>
          <c:idx val="1"/>
          <c:order val="1"/>
          <c:tx>
            <c:strRef>
              <c:f>Графики!$G$221</c:f>
              <c:strCache>
                <c:ptCount val="1"/>
                <c:pt idx="0">
                  <c:v>100%</c:v>
                </c:pt>
              </c:strCache>
            </c:strRef>
          </c:tx>
          <c:spPr>
            <a:ln w="28575" cap="rnd">
              <a:solidFill>
                <a:schemeClr val="accent2"/>
              </a:solidFill>
              <a:round/>
            </a:ln>
            <a:effectLst/>
          </c:spPr>
          <c:marker>
            <c:symbol val="none"/>
          </c:marker>
          <c:cat>
            <c:numRef>
              <c:f>Графики!$H$219:$N$219</c:f>
              <c:numCache>
                <c:formatCode>0%</c:formatCode>
                <c:ptCount val="7"/>
                <c:pt idx="0">
                  <c:v>0.15</c:v>
                </c:pt>
                <c:pt idx="1">
                  <c:v>0.16999999999999998</c:v>
                </c:pt>
                <c:pt idx="2">
                  <c:v>0.18999999999999997</c:v>
                </c:pt>
                <c:pt idx="3">
                  <c:v>0.20999999999999996</c:v>
                </c:pt>
                <c:pt idx="4">
                  <c:v>0.22999999999999995</c:v>
                </c:pt>
                <c:pt idx="5">
                  <c:v>0.24999999999999994</c:v>
                </c:pt>
                <c:pt idx="6">
                  <c:v>0.26999999999999996</c:v>
                </c:pt>
              </c:numCache>
            </c:numRef>
          </c:cat>
          <c:val>
            <c:numRef>
              <c:f>Графики!$H$221:$N$221</c:f>
              <c:numCache>
                <c:formatCode>#,##0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1-F6A2-400A-8180-455B299EFDEA}"/>
            </c:ext>
          </c:extLst>
        </c:ser>
        <c:ser>
          <c:idx val="2"/>
          <c:order val="2"/>
          <c:tx>
            <c:strRef>
              <c:f>Графики!$G$222</c:f>
              <c:strCache>
                <c:ptCount val="1"/>
                <c:pt idx="0">
                  <c:v>110%</c:v>
                </c:pt>
              </c:strCache>
            </c:strRef>
          </c:tx>
          <c:spPr>
            <a:ln w="28575" cap="rnd">
              <a:solidFill>
                <a:schemeClr val="accent3"/>
              </a:solidFill>
              <a:round/>
            </a:ln>
            <a:effectLst/>
          </c:spPr>
          <c:marker>
            <c:symbol val="none"/>
          </c:marker>
          <c:cat>
            <c:numRef>
              <c:f>Графики!$H$219:$N$219</c:f>
              <c:numCache>
                <c:formatCode>0%</c:formatCode>
                <c:ptCount val="7"/>
                <c:pt idx="0">
                  <c:v>0.15</c:v>
                </c:pt>
                <c:pt idx="1">
                  <c:v>0.16999999999999998</c:v>
                </c:pt>
                <c:pt idx="2">
                  <c:v>0.18999999999999997</c:v>
                </c:pt>
                <c:pt idx="3">
                  <c:v>0.20999999999999996</c:v>
                </c:pt>
                <c:pt idx="4">
                  <c:v>0.22999999999999995</c:v>
                </c:pt>
                <c:pt idx="5">
                  <c:v>0.24999999999999994</c:v>
                </c:pt>
                <c:pt idx="6">
                  <c:v>0.26999999999999996</c:v>
                </c:pt>
              </c:numCache>
            </c:numRef>
          </c:cat>
          <c:val>
            <c:numRef>
              <c:f>Графики!$H$222:$N$222</c:f>
              <c:numCache>
                <c:formatCode>#,##0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F6A2-400A-8180-455B299EFDEA}"/>
            </c:ext>
          </c:extLst>
        </c:ser>
        <c:ser>
          <c:idx val="3"/>
          <c:order val="3"/>
          <c:tx>
            <c:strRef>
              <c:f>Графики!$G$223</c:f>
              <c:strCache>
                <c:ptCount val="1"/>
                <c:pt idx="0">
                  <c:v>120%</c:v>
                </c:pt>
              </c:strCache>
            </c:strRef>
          </c:tx>
          <c:spPr>
            <a:ln w="28575" cap="rnd">
              <a:solidFill>
                <a:schemeClr val="accent4"/>
              </a:solidFill>
              <a:round/>
            </a:ln>
            <a:effectLst/>
          </c:spPr>
          <c:marker>
            <c:symbol val="none"/>
          </c:marker>
          <c:cat>
            <c:numRef>
              <c:f>Графики!$H$219:$N$219</c:f>
              <c:numCache>
                <c:formatCode>0%</c:formatCode>
                <c:ptCount val="7"/>
                <c:pt idx="0">
                  <c:v>0.15</c:v>
                </c:pt>
                <c:pt idx="1">
                  <c:v>0.16999999999999998</c:v>
                </c:pt>
                <c:pt idx="2">
                  <c:v>0.18999999999999997</c:v>
                </c:pt>
                <c:pt idx="3">
                  <c:v>0.20999999999999996</c:v>
                </c:pt>
                <c:pt idx="4">
                  <c:v>0.22999999999999995</c:v>
                </c:pt>
                <c:pt idx="5">
                  <c:v>0.24999999999999994</c:v>
                </c:pt>
                <c:pt idx="6">
                  <c:v>0.26999999999999996</c:v>
                </c:pt>
              </c:numCache>
            </c:numRef>
          </c:cat>
          <c:val>
            <c:numRef>
              <c:f>Графики!$H$223:$N$223</c:f>
              <c:numCache>
                <c:formatCode>#,##0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F6A2-400A-8180-455B299EFDEA}"/>
            </c:ext>
          </c:extLst>
        </c:ser>
        <c:ser>
          <c:idx val="4"/>
          <c:order val="4"/>
          <c:tx>
            <c:strRef>
              <c:f>Графики!$G$224</c:f>
              <c:strCache>
                <c:ptCount val="1"/>
                <c:pt idx="0">
                  <c:v>130%</c:v>
                </c:pt>
              </c:strCache>
            </c:strRef>
          </c:tx>
          <c:spPr>
            <a:ln w="28575" cap="rnd">
              <a:solidFill>
                <a:schemeClr val="accent5"/>
              </a:solidFill>
              <a:round/>
            </a:ln>
            <a:effectLst/>
          </c:spPr>
          <c:marker>
            <c:symbol val="none"/>
          </c:marker>
          <c:cat>
            <c:numRef>
              <c:f>Графики!$H$219:$N$219</c:f>
              <c:numCache>
                <c:formatCode>0%</c:formatCode>
                <c:ptCount val="7"/>
                <c:pt idx="0">
                  <c:v>0.15</c:v>
                </c:pt>
                <c:pt idx="1">
                  <c:v>0.16999999999999998</c:v>
                </c:pt>
                <c:pt idx="2">
                  <c:v>0.18999999999999997</c:v>
                </c:pt>
                <c:pt idx="3">
                  <c:v>0.20999999999999996</c:v>
                </c:pt>
                <c:pt idx="4">
                  <c:v>0.22999999999999995</c:v>
                </c:pt>
                <c:pt idx="5">
                  <c:v>0.24999999999999994</c:v>
                </c:pt>
                <c:pt idx="6">
                  <c:v>0.26999999999999996</c:v>
                </c:pt>
              </c:numCache>
            </c:numRef>
          </c:cat>
          <c:val>
            <c:numRef>
              <c:f>Графики!$H$224:$N$224</c:f>
              <c:numCache>
                <c:formatCode>#,##0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F6A2-400A-8180-455B299EFDEA}"/>
            </c:ext>
          </c:extLst>
        </c:ser>
        <c:dLbls>
          <c:showLegendKey val="0"/>
          <c:showVal val="0"/>
          <c:showCatName val="0"/>
          <c:showSerName val="0"/>
          <c:showPercent val="0"/>
          <c:showBubbleSize val="0"/>
        </c:dLbls>
        <c:smooth val="0"/>
        <c:axId val="568301016"/>
        <c:axId val="568304776"/>
      </c:lineChart>
      <c:catAx>
        <c:axId val="568301016"/>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568304776"/>
        <c:crosses val="autoZero"/>
        <c:auto val="1"/>
        <c:lblAlgn val="ctr"/>
        <c:lblOffset val="100"/>
        <c:noMultiLvlLbl val="0"/>
      </c:catAx>
      <c:valAx>
        <c:axId val="5683047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568301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Результаты!$A$104</c:f>
              <c:strCache>
                <c:ptCount val="1"/>
                <c:pt idx="0">
                  <c:v>EBITDA</c:v>
                </c:pt>
              </c:strCache>
            </c:strRef>
          </c:tx>
          <c:spPr>
            <a:solidFill>
              <a:schemeClr val="accent1"/>
            </a:solidFill>
            <a:ln>
              <a:noFill/>
            </a:ln>
            <a:effectLst/>
          </c:spPr>
          <c:invertIfNegative val="0"/>
          <c:cat>
            <c:strRef>
              <c:f>Результаты!$G$91:$BB$91</c:f>
              <c:strCache>
                <c:ptCount val="48"/>
                <c:pt idx="0">
                  <c:v>янв.25</c:v>
                </c:pt>
                <c:pt idx="1">
                  <c:v>фев.25</c:v>
                </c:pt>
                <c:pt idx="2">
                  <c:v>мар.25</c:v>
                </c:pt>
                <c:pt idx="3">
                  <c:v>апр.25</c:v>
                </c:pt>
                <c:pt idx="4">
                  <c:v>май.25</c:v>
                </c:pt>
                <c:pt idx="5">
                  <c:v>июн.25</c:v>
                </c:pt>
                <c:pt idx="6">
                  <c:v>июл.25</c:v>
                </c:pt>
                <c:pt idx="7">
                  <c:v>авг.25</c:v>
                </c:pt>
                <c:pt idx="8">
                  <c:v>сен.25</c:v>
                </c:pt>
                <c:pt idx="9">
                  <c:v>окт.25</c:v>
                </c:pt>
                <c:pt idx="10">
                  <c:v>ноя.25</c:v>
                </c:pt>
                <c:pt idx="11">
                  <c:v>дек.25</c:v>
                </c:pt>
                <c:pt idx="12">
                  <c:v>янв.26</c:v>
                </c:pt>
                <c:pt idx="13">
                  <c:v>фев.26</c:v>
                </c:pt>
                <c:pt idx="14">
                  <c:v>мар.26</c:v>
                </c:pt>
                <c:pt idx="15">
                  <c:v>апр.26</c:v>
                </c:pt>
                <c:pt idx="16">
                  <c:v>май.26</c:v>
                </c:pt>
                <c:pt idx="17">
                  <c:v>июн.26</c:v>
                </c:pt>
                <c:pt idx="18">
                  <c:v>июл.26</c:v>
                </c:pt>
                <c:pt idx="19">
                  <c:v>авг.26</c:v>
                </c:pt>
                <c:pt idx="20">
                  <c:v>сен.26</c:v>
                </c:pt>
                <c:pt idx="21">
                  <c:v>окт.26</c:v>
                </c:pt>
                <c:pt idx="22">
                  <c:v>ноя.26</c:v>
                </c:pt>
                <c:pt idx="23">
                  <c:v>дек.26</c:v>
                </c:pt>
                <c:pt idx="24">
                  <c:v>янв.27</c:v>
                </c:pt>
                <c:pt idx="25">
                  <c:v>фев.27</c:v>
                </c:pt>
                <c:pt idx="26">
                  <c:v>мар.27</c:v>
                </c:pt>
                <c:pt idx="27">
                  <c:v>апр.27</c:v>
                </c:pt>
                <c:pt idx="28">
                  <c:v>май.27</c:v>
                </c:pt>
                <c:pt idx="29">
                  <c:v>июн.27</c:v>
                </c:pt>
                <c:pt idx="30">
                  <c:v>июл.27</c:v>
                </c:pt>
                <c:pt idx="31">
                  <c:v>авг.27</c:v>
                </c:pt>
                <c:pt idx="32">
                  <c:v>сен.27</c:v>
                </c:pt>
                <c:pt idx="33">
                  <c:v>окт.27</c:v>
                </c:pt>
                <c:pt idx="34">
                  <c:v>ноя.27</c:v>
                </c:pt>
                <c:pt idx="35">
                  <c:v>дек.27</c:v>
                </c:pt>
                <c:pt idx="36">
                  <c:v>янв.28</c:v>
                </c:pt>
                <c:pt idx="37">
                  <c:v>фев.28</c:v>
                </c:pt>
                <c:pt idx="38">
                  <c:v>мар.28</c:v>
                </c:pt>
                <c:pt idx="39">
                  <c:v>апр.28</c:v>
                </c:pt>
                <c:pt idx="40">
                  <c:v>май.28</c:v>
                </c:pt>
                <c:pt idx="41">
                  <c:v>июн.28</c:v>
                </c:pt>
                <c:pt idx="42">
                  <c:v>июл.28</c:v>
                </c:pt>
                <c:pt idx="43">
                  <c:v>авг.28</c:v>
                </c:pt>
                <c:pt idx="44">
                  <c:v>сен.28</c:v>
                </c:pt>
                <c:pt idx="45">
                  <c:v>окт.28</c:v>
                </c:pt>
                <c:pt idx="46">
                  <c:v>ноя.28</c:v>
                </c:pt>
                <c:pt idx="47">
                  <c:v>дек.28</c:v>
                </c:pt>
              </c:strCache>
            </c:strRef>
          </c:cat>
          <c:val>
            <c:numRef>
              <c:f>Результаты!$G$104:$BB$104</c:f>
              <c:numCache>
                <c:formatCode>#,##0</c:formatCode>
                <c:ptCount val="48"/>
                <c:pt idx="0">
                  <c:v>0</c:v>
                </c:pt>
                <c:pt idx="1">
                  <c:v>0</c:v>
                </c:pt>
                <c:pt idx="2">
                  <c:v>0</c:v>
                </c:pt>
                <c:pt idx="3">
                  <c:v>0</c:v>
                </c:pt>
                <c:pt idx="4">
                  <c:v>0</c:v>
                </c:pt>
                <c:pt idx="5">
                  <c:v>0</c:v>
                </c:pt>
                <c:pt idx="6">
                  <c:v>3736648.1825305116</c:v>
                </c:pt>
                <c:pt idx="7">
                  <c:v>5576876.9586611912</c:v>
                </c:pt>
                <c:pt idx="8">
                  <c:v>7429818.971009816</c:v>
                </c:pt>
                <c:pt idx="9">
                  <c:v>9285045.3654341828</c:v>
                </c:pt>
                <c:pt idx="10">
                  <c:v>9314713.6359299961</c:v>
                </c:pt>
                <c:pt idx="11">
                  <c:v>9302180.1763250344</c:v>
                </c:pt>
                <c:pt idx="12">
                  <c:v>13075784.760000007</c:v>
                </c:pt>
                <c:pt idx="13">
                  <c:v>11239590.094294054</c:v>
                </c:pt>
                <c:pt idx="14">
                  <c:v>9411893.4435432367</c:v>
                </c:pt>
                <c:pt idx="15">
                  <c:v>9452162.1324271858</c:v>
                </c:pt>
                <c:pt idx="16">
                  <c:v>7600021.6549269371</c:v>
                </c:pt>
                <c:pt idx="17">
                  <c:v>13352568.337357257</c:v>
                </c:pt>
                <c:pt idx="18">
                  <c:v>17238700.59279852</c:v>
                </c:pt>
                <c:pt idx="19">
                  <c:v>17294368.576104224</c:v>
                </c:pt>
                <c:pt idx="20">
                  <c:v>11556588.872119943</c:v>
                </c:pt>
                <c:pt idx="21">
                  <c:v>7709965.4460991994</c:v>
                </c:pt>
                <c:pt idx="22">
                  <c:v>7732955.4977926863</c:v>
                </c:pt>
                <c:pt idx="23">
                  <c:v>9654454.2598859128</c:v>
                </c:pt>
                <c:pt idx="24">
                  <c:v>13583177.65833601</c:v>
                </c:pt>
                <c:pt idx="25">
                  <c:v>11669088.981759954</c:v>
                </c:pt>
                <c:pt idx="26">
                  <c:v>9764664.5778140388</c:v>
                </c:pt>
                <c:pt idx="27">
                  <c:v>9805281.0850656163</c:v>
                </c:pt>
                <c:pt idx="28">
                  <c:v>7875940.2355429269</c:v>
                </c:pt>
                <c:pt idx="29">
                  <c:v>13862778.263412369</c:v>
                </c:pt>
                <c:pt idx="30">
                  <c:v>17905793.330241628</c:v>
                </c:pt>
                <c:pt idx="31">
                  <c:v>17961217.677408706</c:v>
                </c:pt>
                <c:pt idx="32">
                  <c:v>11987882.013651123</c:v>
                </c:pt>
                <c:pt idx="33">
                  <c:v>7983520.5213437919</c:v>
                </c:pt>
                <c:pt idx="34">
                  <c:v>8006045.1458598441</c:v>
                </c:pt>
                <c:pt idx="35">
                  <c:v>10002420.897000944</c:v>
                </c:pt>
                <c:pt idx="36">
                  <c:v>14086757.873026343</c:v>
                </c:pt>
                <c:pt idx="37">
                  <c:v>12094091.064825328</c:v>
                </c:pt>
                <c:pt idx="38">
                  <c:v>10112405.890559653</c:v>
                </c:pt>
                <c:pt idx="39">
                  <c:v>10153135.443034386</c:v>
                </c:pt>
                <c:pt idx="40">
                  <c:v>8146155.7069670781</c:v>
                </c:pt>
                <c:pt idx="41">
                  <c:v>14367640.085101373</c:v>
                </c:pt>
                <c:pt idx="42">
                  <c:v>18567522.090683103</c:v>
                </c:pt>
                <c:pt idx="43">
                  <c:v>18622245.236352313</c:v>
                </c:pt>
                <c:pt idx="44">
                  <c:v>12412656.912891798</c:v>
                </c:pt>
                <c:pt idx="45">
                  <c:v>8250123.2046550214</c:v>
                </c:pt>
                <c:pt idx="46">
                  <c:v>8271926.4553405046</c:v>
                </c:pt>
                <c:pt idx="47">
                  <c:v>10342676.775898982</c:v>
                </c:pt>
              </c:numCache>
            </c:numRef>
          </c:val>
          <c:extLst>
            <c:ext xmlns:c16="http://schemas.microsoft.com/office/drawing/2014/chart" uri="{C3380CC4-5D6E-409C-BE32-E72D297353CC}">
              <c16:uniqueId val="{00000000-29E9-4308-96E9-2D634AB525A3}"/>
            </c:ext>
          </c:extLst>
        </c:ser>
        <c:dLbls>
          <c:showLegendKey val="0"/>
          <c:showVal val="0"/>
          <c:showCatName val="0"/>
          <c:showSerName val="0"/>
          <c:showPercent val="0"/>
          <c:showBubbleSize val="0"/>
        </c:dLbls>
        <c:gapWidth val="120"/>
        <c:axId val="563134488"/>
        <c:axId val="563138216"/>
      </c:barChart>
      <c:catAx>
        <c:axId val="563134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563138216"/>
        <c:crosses val="autoZero"/>
        <c:auto val="1"/>
        <c:lblAlgn val="ctr"/>
        <c:lblOffset val="100"/>
        <c:noMultiLvlLbl val="0"/>
      </c:catAx>
      <c:valAx>
        <c:axId val="5631382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563134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Результаты!$A$93</c:f>
              <c:strCache>
                <c:ptCount val="1"/>
                <c:pt idx="0">
                  <c:v>Выручка</c:v>
                </c:pt>
              </c:strCache>
            </c:strRef>
          </c:tx>
          <c:invertIfNegative val="0"/>
          <c:cat>
            <c:strRef>
              <c:f>Результаты!$G$91:$BB$91</c:f>
              <c:strCache>
                <c:ptCount val="48"/>
                <c:pt idx="0">
                  <c:v>янв.25</c:v>
                </c:pt>
                <c:pt idx="1">
                  <c:v>фев.25</c:v>
                </c:pt>
                <c:pt idx="2">
                  <c:v>мар.25</c:v>
                </c:pt>
                <c:pt idx="3">
                  <c:v>апр.25</c:v>
                </c:pt>
                <c:pt idx="4">
                  <c:v>май.25</c:v>
                </c:pt>
                <c:pt idx="5">
                  <c:v>июн.25</c:v>
                </c:pt>
                <c:pt idx="6">
                  <c:v>июл.25</c:v>
                </c:pt>
                <c:pt idx="7">
                  <c:v>авг.25</c:v>
                </c:pt>
                <c:pt idx="8">
                  <c:v>сен.25</c:v>
                </c:pt>
                <c:pt idx="9">
                  <c:v>окт.25</c:v>
                </c:pt>
                <c:pt idx="10">
                  <c:v>ноя.25</c:v>
                </c:pt>
                <c:pt idx="11">
                  <c:v>дек.25</c:v>
                </c:pt>
                <c:pt idx="12">
                  <c:v>янв.26</c:v>
                </c:pt>
                <c:pt idx="13">
                  <c:v>фев.26</c:v>
                </c:pt>
                <c:pt idx="14">
                  <c:v>мар.26</c:v>
                </c:pt>
                <c:pt idx="15">
                  <c:v>апр.26</c:v>
                </c:pt>
                <c:pt idx="16">
                  <c:v>май.26</c:v>
                </c:pt>
                <c:pt idx="17">
                  <c:v>июн.26</c:v>
                </c:pt>
                <c:pt idx="18">
                  <c:v>июл.26</c:v>
                </c:pt>
                <c:pt idx="19">
                  <c:v>авг.26</c:v>
                </c:pt>
                <c:pt idx="20">
                  <c:v>сен.26</c:v>
                </c:pt>
                <c:pt idx="21">
                  <c:v>окт.26</c:v>
                </c:pt>
                <c:pt idx="22">
                  <c:v>ноя.26</c:v>
                </c:pt>
                <c:pt idx="23">
                  <c:v>дек.26</c:v>
                </c:pt>
                <c:pt idx="24">
                  <c:v>янв.27</c:v>
                </c:pt>
                <c:pt idx="25">
                  <c:v>фев.27</c:v>
                </c:pt>
                <c:pt idx="26">
                  <c:v>мар.27</c:v>
                </c:pt>
                <c:pt idx="27">
                  <c:v>апр.27</c:v>
                </c:pt>
                <c:pt idx="28">
                  <c:v>май.27</c:v>
                </c:pt>
                <c:pt idx="29">
                  <c:v>июн.27</c:v>
                </c:pt>
                <c:pt idx="30">
                  <c:v>июл.27</c:v>
                </c:pt>
                <c:pt idx="31">
                  <c:v>авг.27</c:v>
                </c:pt>
                <c:pt idx="32">
                  <c:v>сен.27</c:v>
                </c:pt>
                <c:pt idx="33">
                  <c:v>окт.27</c:v>
                </c:pt>
                <c:pt idx="34">
                  <c:v>ноя.27</c:v>
                </c:pt>
                <c:pt idx="35">
                  <c:v>дек.27</c:v>
                </c:pt>
                <c:pt idx="36">
                  <c:v>янв.28</c:v>
                </c:pt>
                <c:pt idx="37">
                  <c:v>фев.28</c:v>
                </c:pt>
                <c:pt idx="38">
                  <c:v>мар.28</c:v>
                </c:pt>
                <c:pt idx="39">
                  <c:v>апр.28</c:v>
                </c:pt>
                <c:pt idx="40">
                  <c:v>май.28</c:v>
                </c:pt>
                <c:pt idx="41">
                  <c:v>июн.28</c:v>
                </c:pt>
                <c:pt idx="42">
                  <c:v>июл.28</c:v>
                </c:pt>
                <c:pt idx="43">
                  <c:v>авг.28</c:v>
                </c:pt>
                <c:pt idx="44">
                  <c:v>сен.28</c:v>
                </c:pt>
                <c:pt idx="45">
                  <c:v>окт.28</c:v>
                </c:pt>
                <c:pt idx="46">
                  <c:v>ноя.28</c:v>
                </c:pt>
                <c:pt idx="47">
                  <c:v>дек.28</c:v>
                </c:pt>
              </c:strCache>
            </c:strRef>
          </c:cat>
          <c:val>
            <c:numRef>
              <c:f>Результаты!$G$93:$BB$93</c:f>
              <c:numCache>
                <c:formatCode>#,##0</c:formatCode>
                <c:ptCount val="48"/>
                <c:pt idx="0">
                  <c:v>0</c:v>
                </c:pt>
                <c:pt idx="1">
                  <c:v>0</c:v>
                </c:pt>
                <c:pt idx="2">
                  <c:v>0</c:v>
                </c:pt>
                <c:pt idx="3">
                  <c:v>0</c:v>
                </c:pt>
                <c:pt idx="4">
                  <c:v>0</c:v>
                </c:pt>
                <c:pt idx="5">
                  <c:v>0</c:v>
                </c:pt>
                <c:pt idx="6">
                  <c:v>7486982.2385257483</c:v>
                </c:pt>
                <c:pt idx="7">
                  <c:v>10031234.004204797</c:v>
                </c:pt>
                <c:pt idx="8">
                  <c:v>12600076.928691318</c:v>
                </c:pt>
                <c:pt idx="9">
                  <c:v>15193690.128322721</c:v>
                </c:pt>
                <c:pt idx="10">
                  <c:v>15267646.183296487</c:v>
                </c:pt>
                <c:pt idx="11">
                  <c:v>15341962.223107448</c:v>
                </c:pt>
                <c:pt idx="12">
                  <c:v>20555520.000000011</c:v>
                </c:pt>
                <c:pt idx="13">
                  <c:v>18073628.153872319</c:v>
                </c:pt>
                <c:pt idx="14">
                  <c:v>15567087.816694712</c:v>
                </c:pt>
                <c:pt idx="15">
                  <c:v>15642861.403797608</c:v>
                </c:pt>
                <c:pt idx="16">
                  <c:v>13099169.852222705</c:v>
                </c:pt>
                <c:pt idx="17">
                  <c:v>21060689.158147868</c:v>
                </c:pt>
                <c:pt idx="18">
                  <c:v>26454003.909457654</c:v>
                </c:pt>
                <c:pt idx="19">
                  <c:v>26582770.111142725</c:v>
                </c:pt>
                <c:pt idx="20">
                  <c:v>18698514.162177924</c:v>
                </c:pt>
                <c:pt idx="21">
                  <c:v>13421092.946685074</c:v>
                </c:pt>
                <c:pt idx="22">
                  <c:v>13486420.795245234</c:v>
                </c:pt>
                <c:pt idx="23">
                  <c:v>16262479.956493899</c:v>
                </c:pt>
                <c:pt idx="24">
                  <c:v>21788851.200000018</c:v>
                </c:pt>
                <c:pt idx="25">
                  <c:v>19158045.843104653</c:v>
                </c:pt>
                <c:pt idx="26">
                  <c:v>16501113.085696394</c:v>
                </c:pt>
                <c:pt idx="27">
                  <c:v>16581433.088025467</c:v>
                </c:pt>
                <c:pt idx="28">
                  <c:v>13885120.043356068</c:v>
                </c:pt>
                <c:pt idx="29">
                  <c:v>22324330.507636741</c:v>
                </c:pt>
                <c:pt idx="30">
                  <c:v>28041244.144025121</c:v>
                </c:pt>
                <c:pt idx="31">
                  <c:v>28177736.317811292</c:v>
                </c:pt>
                <c:pt idx="32">
                  <c:v>19820425.011908598</c:v>
                </c:pt>
                <c:pt idx="33">
                  <c:v>14226358.52348618</c:v>
                </c:pt>
                <c:pt idx="34">
                  <c:v>14295606.042959951</c:v>
                </c:pt>
                <c:pt idx="35">
                  <c:v>17238228.753883537</c:v>
                </c:pt>
                <c:pt idx="36">
                  <c:v>23096182.272000026</c:v>
                </c:pt>
                <c:pt idx="37">
                  <c:v>20307528.593690943</c:v>
                </c:pt>
                <c:pt idx="38">
                  <c:v>17491179.870838184</c:v>
                </c:pt>
                <c:pt idx="39">
                  <c:v>17576319.073307</c:v>
                </c:pt>
                <c:pt idx="40">
                  <c:v>14718227.245957442</c:v>
                </c:pt>
                <c:pt idx="41">
                  <c:v>23663790.338094961</c:v>
                </c:pt>
                <c:pt idx="42">
                  <c:v>29723718.792666636</c:v>
                </c:pt>
                <c:pt idx="43">
                  <c:v>29868400.496879984</c:v>
                </c:pt>
                <c:pt idx="44">
                  <c:v>21009650.51262312</c:v>
                </c:pt>
                <c:pt idx="45">
                  <c:v>15079940.034895359</c:v>
                </c:pt>
                <c:pt idx="46">
                  <c:v>15153342.405537553</c:v>
                </c:pt>
                <c:pt idx="47">
                  <c:v>18272522.479116555</c:v>
                </c:pt>
              </c:numCache>
            </c:numRef>
          </c:val>
          <c:extLst>
            <c:ext xmlns:c16="http://schemas.microsoft.com/office/drawing/2014/chart" uri="{C3380CC4-5D6E-409C-BE32-E72D297353CC}">
              <c16:uniqueId val="{00000000-A84A-4248-A7F8-7EC76CAF6D0F}"/>
            </c:ext>
          </c:extLst>
        </c:ser>
        <c:dLbls>
          <c:showLegendKey val="0"/>
          <c:showVal val="0"/>
          <c:showCatName val="0"/>
          <c:showSerName val="0"/>
          <c:showPercent val="0"/>
          <c:showBubbleSize val="0"/>
        </c:dLbls>
        <c:gapWidth val="120"/>
        <c:axId val="563169624"/>
        <c:axId val="563173352"/>
      </c:barChart>
      <c:catAx>
        <c:axId val="563169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563173352"/>
        <c:crosses val="autoZero"/>
        <c:auto val="1"/>
        <c:lblAlgn val="ctr"/>
        <c:lblOffset val="100"/>
        <c:noMultiLvlLbl val="0"/>
      </c:catAx>
      <c:valAx>
        <c:axId val="563173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563169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Результаты!$A$144</c:f>
              <c:strCache>
                <c:ptCount val="1"/>
                <c:pt idx="0">
                  <c:v>Денежные потоки от инвестиционной деятельности</c:v>
                </c:pt>
              </c:strCache>
            </c:strRef>
          </c:tx>
          <c:invertIfNegative val="0"/>
          <c:cat>
            <c:strRef>
              <c:f>Результаты!$G$124:$BB$124</c:f>
              <c:strCache>
                <c:ptCount val="48"/>
                <c:pt idx="0">
                  <c:v>янв.25</c:v>
                </c:pt>
                <c:pt idx="1">
                  <c:v>фев.25</c:v>
                </c:pt>
                <c:pt idx="2">
                  <c:v>мар.25</c:v>
                </c:pt>
                <c:pt idx="3">
                  <c:v>апр.25</c:v>
                </c:pt>
                <c:pt idx="4">
                  <c:v>май.25</c:v>
                </c:pt>
                <c:pt idx="5">
                  <c:v>июн.25</c:v>
                </c:pt>
                <c:pt idx="6">
                  <c:v>июл.25</c:v>
                </c:pt>
                <c:pt idx="7">
                  <c:v>авг.25</c:v>
                </c:pt>
                <c:pt idx="8">
                  <c:v>сен.25</c:v>
                </c:pt>
                <c:pt idx="9">
                  <c:v>окт.25</c:v>
                </c:pt>
                <c:pt idx="10">
                  <c:v>ноя.25</c:v>
                </c:pt>
                <c:pt idx="11">
                  <c:v>дек.25</c:v>
                </c:pt>
                <c:pt idx="12">
                  <c:v>янв.26</c:v>
                </c:pt>
                <c:pt idx="13">
                  <c:v>фев.26</c:v>
                </c:pt>
                <c:pt idx="14">
                  <c:v>мар.26</c:v>
                </c:pt>
                <c:pt idx="15">
                  <c:v>апр.26</c:v>
                </c:pt>
                <c:pt idx="16">
                  <c:v>май.26</c:v>
                </c:pt>
                <c:pt idx="17">
                  <c:v>июн.26</c:v>
                </c:pt>
                <c:pt idx="18">
                  <c:v>июл.26</c:v>
                </c:pt>
                <c:pt idx="19">
                  <c:v>авг.26</c:v>
                </c:pt>
                <c:pt idx="20">
                  <c:v>сен.26</c:v>
                </c:pt>
                <c:pt idx="21">
                  <c:v>окт.26</c:v>
                </c:pt>
                <c:pt idx="22">
                  <c:v>ноя.26</c:v>
                </c:pt>
                <c:pt idx="23">
                  <c:v>дек.26</c:v>
                </c:pt>
                <c:pt idx="24">
                  <c:v>янв.27</c:v>
                </c:pt>
                <c:pt idx="25">
                  <c:v>фев.27</c:v>
                </c:pt>
                <c:pt idx="26">
                  <c:v>мар.27</c:v>
                </c:pt>
                <c:pt idx="27">
                  <c:v>апр.27</c:v>
                </c:pt>
                <c:pt idx="28">
                  <c:v>май.27</c:v>
                </c:pt>
                <c:pt idx="29">
                  <c:v>июн.27</c:v>
                </c:pt>
                <c:pt idx="30">
                  <c:v>июл.27</c:v>
                </c:pt>
                <c:pt idx="31">
                  <c:v>авг.27</c:v>
                </c:pt>
                <c:pt idx="32">
                  <c:v>сен.27</c:v>
                </c:pt>
                <c:pt idx="33">
                  <c:v>окт.27</c:v>
                </c:pt>
                <c:pt idx="34">
                  <c:v>ноя.27</c:v>
                </c:pt>
                <c:pt idx="35">
                  <c:v>дек.27</c:v>
                </c:pt>
                <c:pt idx="36">
                  <c:v>янв.28</c:v>
                </c:pt>
                <c:pt idx="37">
                  <c:v>фев.28</c:v>
                </c:pt>
                <c:pt idx="38">
                  <c:v>мар.28</c:v>
                </c:pt>
                <c:pt idx="39">
                  <c:v>апр.28</c:v>
                </c:pt>
                <c:pt idx="40">
                  <c:v>май.28</c:v>
                </c:pt>
                <c:pt idx="41">
                  <c:v>июн.28</c:v>
                </c:pt>
                <c:pt idx="42">
                  <c:v>июл.28</c:v>
                </c:pt>
                <c:pt idx="43">
                  <c:v>авг.28</c:v>
                </c:pt>
                <c:pt idx="44">
                  <c:v>сен.28</c:v>
                </c:pt>
                <c:pt idx="45">
                  <c:v>окт.28</c:v>
                </c:pt>
                <c:pt idx="46">
                  <c:v>ноя.28</c:v>
                </c:pt>
                <c:pt idx="47">
                  <c:v>дек.28</c:v>
                </c:pt>
              </c:strCache>
            </c:strRef>
          </c:cat>
          <c:val>
            <c:numRef>
              <c:f>Результаты!$G$144:$BB$144</c:f>
              <c:numCache>
                <c:formatCode>#,##0</c:formatCode>
                <c:ptCount val="48"/>
                <c:pt idx="0">
                  <c:v>-291667</c:v>
                </c:pt>
                <c:pt idx="1">
                  <c:v>-1658333.6666666667</c:v>
                </c:pt>
                <c:pt idx="2">
                  <c:v>-136658332.66666666</c:v>
                </c:pt>
                <c:pt idx="3">
                  <c:v>-18391666.666666668</c:v>
                </c:pt>
                <c:pt idx="4">
                  <c:v>-17025000</c:v>
                </c:pt>
                <c:pt idx="5">
                  <c:v>-17825000</c:v>
                </c:pt>
                <c:pt idx="6">
                  <c:v>-10000000</c:v>
                </c:pt>
                <c:pt idx="7">
                  <c:v>-10000000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extLst>
            <c:ext xmlns:c16="http://schemas.microsoft.com/office/drawing/2014/chart" uri="{C3380CC4-5D6E-409C-BE32-E72D297353CC}">
              <c16:uniqueId val="{00000000-E0D7-4877-B826-A74A73193674}"/>
            </c:ext>
          </c:extLst>
        </c:ser>
        <c:dLbls>
          <c:showLegendKey val="0"/>
          <c:showVal val="0"/>
          <c:showCatName val="0"/>
          <c:showSerName val="0"/>
          <c:showPercent val="0"/>
          <c:showBubbleSize val="0"/>
        </c:dLbls>
        <c:gapWidth val="150"/>
        <c:axId val="563204648"/>
        <c:axId val="563208376"/>
      </c:barChart>
      <c:catAx>
        <c:axId val="563204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563208376"/>
        <c:crosses val="autoZero"/>
        <c:auto val="1"/>
        <c:lblAlgn val="ctr"/>
        <c:lblOffset val="100"/>
        <c:noMultiLvlLbl val="0"/>
      </c:catAx>
      <c:valAx>
        <c:axId val="5632083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563204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Результаты!$A$155</c:f>
              <c:strCache>
                <c:ptCount val="1"/>
                <c:pt idx="0">
                  <c:v>Денежные средства на конец периода</c:v>
                </c:pt>
              </c:strCache>
            </c:strRef>
          </c:tx>
          <c:invertIfNegative val="0"/>
          <c:cat>
            <c:strRef>
              <c:f>Результаты!$G$124:$BB$124</c:f>
              <c:strCache>
                <c:ptCount val="48"/>
                <c:pt idx="0">
                  <c:v>янв.25</c:v>
                </c:pt>
                <c:pt idx="1">
                  <c:v>фев.25</c:v>
                </c:pt>
                <c:pt idx="2">
                  <c:v>мар.25</c:v>
                </c:pt>
                <c:pt idx="3">
                  <c:v>апр.25</c:v>
                </c:pt>
                <c:pt idx="4">
                  <c:v>май.25</c:v>
                </c:pt>
                <c:pt idx="5">
                  <c:v>июн.25</c:v>
                </c:pt>
                <c:pt idx="6">
                  <c:v>июл.25</c:v>
                </c:pt>
                <c:pt idx="7">
                  <c:v>авг.25</c:v>
                </c:pt>
                <c:pt idx="8">
                  <c:v>сен.25</c:v>
                </c:pt>
                <c:pt idx="9">
                  <c:v>окт.25</c:v>
                </c:pt>
                <c:pt idx="10">
                  <c:v>ноя.25</c:v>
                </c:pt>
                <c:pt idx="11">
                  <c:v>дек.25</c:v>
                </c:pt>
                <c:pt idx="12">
                  <c:v>янв.26</c:v>
                </c:pt>
                <c:pt idx="13">
                  <c:v>фев.26</c:v>
                </c:pt>
                <c:pt idx="14">
                  <c:v>мар.26</c:v>
                </c:pt>
                <c:pt idx="15">
                  <c:v>апр.26</c:v>
                </c:pt>
                <c:pt idx="16">
                  <c:v>май.26</c:v>
                </c:pt>
                <c:pt idx="17">
                  <c:v>июн.26</c:v>
                </c:pt>
                <c:pt idx="18">
                  <c:v>июл.26</c:v>
                </c:pt>
                <c:pt idx="19">
                  <c:v>авг.26</c:v>
                </c:pt>
                <c:pt idx="20">
                  <c:v>сен.26</c:v>
                </c:pt>
                <c:pt idx="21">
                  <c:v>окт.26</c:v>
                </c:pt>
                <c:pt idx="22">
                  <c:v>ноя.26</c:v>
                </c:pt>
                <c:pt idx="23">
                  <c:v>дек.26</c:v>
                </c:pt>
                <c:pt idx="24">
                  <c:v>янв.27</c:v>
                </c:pt>
                <c:pt idx="25">
                  <c:v>фев.27</c:v>
                </c:pt>
                <c:pt idx="26">
                  <c:v>мар.27</c:v>
                </c:pt>
                <c:pt idx="27">
                  <c:v>апр.27</c:v>
                </c:pt>
                <c:pt idx="28">
                  <c:v>май.27</c:v>
                </c:pt>
                <c:pt idx="29">
                  <c:v>июн.27</c:v>
                </c:pt>
                <c:pt idx="30">
                  <c:v>июл.27</c:v>
                </c:pt>
                <c:pt idx="31">
                  <c:v>авг.27</c:v>
                </c:pt>
                <c:pt idx="32">
                  <c:v>сен.27</c:v>
                </c:pt>
                <c:pt idx="33">
                  <c:v>окт.27</c:v>
                </c:pt>
                <c:pt idx="34">
                  <c:v>ноя.27</c:v>
                </c:pt>
                <c:pt idx="35">
                  <c:v>дек.27</c:v>
                </c:pt>
                <c:pt idx="36">
                  <c:v>янв.28</c:v>
                </c:pt>
                <c:pt idx="37">
                  <c:v>фев.28</c:v>
                </c:pt>
                <c:pt idx="38">
                  <c:v>мар.28</c:v>
                </c:pt>
                <c:pt idx="39">
                  <c:v>апр.28</c:v>
                </c:pt>
                <c:pt idx="40">
                  <c:v>май.28</c:v>
                </c:pt>
                <c:pt idx="41">
                  <c:v>июн.28</c:v>
                </c:pt>
                <c:pt idx="42">
                  <c:v>июл.28</c:v>
                </c:pt>
                <c:pt idx="43">
                  <c:v>авг.28</c:v>
                </c:pt>
                <c:pt idx="44">
                  <c:v>сен.28</c:v>
                </c:pt>
                <c:pt idx="45">
                  <c:v>окт.28</c:v>
                </c:pt>
                <c:pt idx="46">
                  <c:v>ноя.28</c:v>
                </c:pt>
                <c:pt idx="47">
                  <c:v>дек.28</c:v>
                </c:pt>
              </c:strCache>
            </c:strRef>
          </c:cat>
          <c:val>
            <c:numRef>
              <c:f>Результаты!$G$155:$BB$155</c:f>
              <c:numCache>
                <c:formatCode>#,##0</c:formatCode>
                <c:ptCount val="48"/>
                <c:pt idx="0">
                  <c:v>211558334</c:v>
                </c:pt>
                <c:pt idx="1">
                  <c:v>209900000.33333334</c:v>
                </c:pt>
                <c:pt idx="2">
                  <c:v>73241667.666666687</c:v>
                </c:pt>
                <c:pt idx="3">
                  <c:v>54850001.000000015</c:v>
                </c:pt>
                <c:pt idx="4">
                  <c:v>37825001.000000015</c:v>
                </c:pt>
                <c:pt idx="5">
                  <c:v>18922075.939581752</c:v>
                </c:pt>
                <c:pt idx="6">
                  <c:v>10035157.655486684</c:v>
                </c:pt>
                <c:pt idx="7">
                  <c:v>1803117.7469090838</c:v>
                </c:pt>
                <c:pt idx="8">
                  <c:v>135850.18460357562</c:v>
                </c:pt>
                <c:pt idx="9">
                  <c:v>570756.51280933339</c:v>
                </c:pt>
                <c:pt idx="10">
                  <c:v>1678995.0735216746</c:v>
                </c:pt>
                <c:pt idx="11">
                  <c:v>1258387.9910802324</c:v>
                </c:pt>
                <c:pt idx="12">
                  <c:v>4195962.9793404434</c:v>
                </c:pt>
                <c:pt idx="13">
                  <c:v>7190278.8295381945</c:v>
                </c:pt>
                <c:pt idx="14">
                  <c:v>8502154.6642358396</c:v>
                </c:pt>
                <c:pt idx="15">
                  <c:v>8709132.3037550822</c:v>
                </c:pt>
                <c:pt idx="16">
                  <c:v>6389939.6174345631</c:v>
                </c:pt>
                <c:pt idx="17">
                  <c:v>7403374.5238080397</c:v>
                </c:pt>
                <c:pt idx="18">
                  <c:v>10106979.386210134</c:v>
                </c:pt>
                <c:pt idx="19">
                  <c:v>15493939.599454354</c:v>
                </c:pt>
                <c:pt idx="20">
                  <c:v>17515439.877663791</c:v>
                </c:pt>
                <c:pt idx="21">
                  <c:v>15099582.513774911</c:v>
                </c:pt>
                <c:pt idx="22">
                  <c:v>11112415.430962546</c:v>
                </c:pt>
                <c:pt idx="23">
                  <c:v>7839105.4893916994</c:v>
                </c:pt>
                <c:pt idx="24">
                  <c:v>8728260.0437648036</c:v>
                </c:pt>
                <c:pt idx="25">
                  <c:v>9859169.7441609651</c:v>
                </c:pt>
                <c:pt idx="26">
                  <c:v>9319070.7895265855</c:v>
                </c:pt>
                <c:pt idx="27">
                  <c:v>8744402.8974499758</c:v>
                </c:pt>
                <c:pt idx="28">
                  <c:v>5503977.5388145335</c:v>
                </c:pt>
                <c:pt idx="29">
                  <c:v>5787504.4368513366</c:v>
                </c:pt>
                <c:pt idx="30">
                  <c:v>10959753.53609027</c:v>
                </c:pt>
                <c:pt idx="31">
                  <c:v>19007889.742280588</c:v>
                </c:pt>
                <c:pt idx="32">
                  <c:v>23564410.121870339</c:v>
                </c:pt>
                <c:pt idx="33">
                  <c:v>23470717.332530722</c:v>
                </c:pt>
                <c:pt idx="34">
                  <c:v>21688456.476480868</c:v>
                </c:pt>
                <c:pt idx="35">
                  <c:v>20588220.835185394</c:v>
                </c:pt>
                <c:pt idx="36">
                  <c:v>23863615.329147782</c:v>
                </c:pt>
                <c:pt idx="37">
                  <c:v>27395863.172472563</c:v>
                </c:pt>
                <c:pt idx="38">
                  <c:v>29185094.160840191</c:v>
                </c:pt>
                <c:pt idx="39">
                  <c:v>30801615.03373757</c:v>
                </c:pt>
                <c:pt idx="40">
                  <c:v>29366028.012790773</c:v>
                </c:pt>
                <c:pt idx="41">
                  <c:v>31416261.187906794</c:v>
                </c:pt>
                <c:pt idx="42">
                  <c:v>38390010.034551747</c:v>
                </c:pt>
                <c:pt idx="43">
                  <c:v>52207195.144730501</c:v>
                </c:pt>
                <c:pt idx="44">
                  <c:v>66317974.899262965</c:v>
                </c:pt>
                <c:pt idx="45">
                  <c:v>75394082.460915953</c:v>
                </c:pt>
                <c:pt idx="46">
                  <c:v>82489057.141627178</c:v>
                </c:pt>
                <c:pt idx="47">
                  <c:v>90837475.22270827</c:v>
                </c:pt>
              </c:numCache>
            </c:numRef>
          </c:val>
          <c:extLst>
            <c:ext xmlns:c16="http://schemas.microsoft.com/office/drawing/2014/chart" uri="{C3380CC4-5D6E-409C-BE32-E72D297353CC}">
              <c16:uniqueId val="{00000000-CBF5-44EB-AA8B-172579E0B83C}"/>
            </c:ext>
          </c:extLst>
        </c:ser>
        <c:dLbls>
          <c:showLegendKey val="0"/>
          <c:showVal val="0"/>
          <c:showCatName val="0"/>
          <c:showSerName val="0"/>
          <c:showPercent val="0"/>
          <c:showBubbleSize val="0"/>
        </c:dLbls>
        <c:gapWidth val="120"/>
        <c:axId val="563240312"/>
        <c:axId val="563244056"/>
      </c:barChart>
      <c:catAx>
        <c:axId val="563240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563244056"/>
        <c:crosses val="autoZero"/>
        <c:auto val="1"/>
        <c:lblAlgn val="ctr"/>
        <c:lblOffset val="100"/>
        <c:noMultiLvlLbl val="0"/>
      </c:catAx>
      <c:valAx>
        <c:axId val="56324405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563240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0"/>
          <c:order val="0"/>
          <c:tx>
            <c:strRef>
              <c:f>Результаты!$A$192</c:f>
              <c:strCache>
                <c:ptCount val="1"/>
                <c:pt idx="0">
                  <c:v>Долгосрочные кредиты</c:v>
                </c:pt>
              </c:strCache>
            </c:strRef>
          </c:tx>
          <c:spPr>
            <a:solidFill>
              <a:schemeClr val="accent1"/>
            </a:solidFill>
            <a:ln w="19050">
              <a:solidFill>
                <a:schemeClr val="bg1"/>
              </a:solidFill>
            </a:ln>
            <a:effectLst/>
          </c:spPr>
          <c:cat>
            <c:strRef>
              <c:f>Результаты!$G$159:$BB$159</c:f>
              <c:strCache>
                <c:ptCount val="48"/>
                <c:pt idx="0">
                  <c:v>янв.25</c:v>
                </c:pt>
                <c:pt idx="1">
                  <c:v>фев.25</c:v>
                </c:pt>
                <c:pt idx="2">
                  <c:v>мар.25</c:v>
                </c:pt>
                <c:pt idx="3">
                  <c:v>апр.25</c:v>
                </c:pt>
                <c:pt idx="4">
                  <c:v>май.25</c:v>
                </c:pt>
                <c:pt idx="5">
                  <c:v>июн.25</c:v>
                </c:pt>
                <c:pt idx="6">
                  <c:v>июл.25</c:v>
                </c:pt>
                <c:pt idx="7">
                  <c:v>авг.25</c:v>
                </c:pt>
                <c:pt idx="8">
                  <c:v>сен.25</c:v>
                </c:pt>
                <c:pt idx="9">
                  <c:v>окт.25</c:v>
                </c:pt>
                <c:pt idx="10">
                  <c:v>ноя.25</c:v>
                </c:pt>
                <c:pt idx="11">
                  <c:v>дек.25</c:v>
                </c:pt>
                <c:pt idx="12">
                  <c:v>янв.26</c:v>
                </c:pt>
                <c:pt idx="13">
                  <c:v>фев.26</c:v>
                </c:pt>
                <c:pt idx="14">
                  <c:v>мар.26</c:v>
                </c:pt>
                <c:pt idx="15">
                  <c:v>апр.26</c:v>
                </c:pt>
                <c:pt idx="16">
                  <c:v>май.26</c:v>
                </c:pt>
                <c:pt idx="17">
                  <c:v>июн.26</c:v>
                </c:pt>
                <c:pt idx="18">
                  <c:v>июл.26</c:v>
                </c:pt>
                <c:pt idx="19">
                  <c:v>авг.26</c:v>
                </c:pt>
                <c:pt idx="20">
                  <c:v>сен.26</c:v>
                </c:pt>
                <c:pt idx="21">
                  <c:v>окт.26</c:v>
                </c:pt>
                <c:pt idx="22">
                  <c:v>ноя.26</c:v>
                </c:pt>
                <c:pt idx="23">
                  <c:v>дек.26</c:v>
                </c:pt>
                <c:pt idx="24">
                  <c:v>янв.27</c:v>
                </c:pt>
                <c:pt idx="25">
                  <c:v>фев.27</c:v>
                </c:pt>
                <c:pt idx="26">
                  <c:v>мар.27</c:v>
                </c:pt>
                <c:pt idx="27">
                  <c:v>апр.27</c:v>
                </c:pt>
                <c:pt idx="28">
                  <c:v>май.27</c:v>
                </c:pt>
                <c:pt idx="29">
                  <c:v>июн.27</c:v>
                </c:pt>
                <c:pt idx="30">
                  <c:v>июл.27</c:v>
                </c:pt>
                <c:pt idx="31">
                  <c:v>авг.27</c:v>
                </c:pt>
                <c:pt idx="32">
                  <c:v>сен.27</c:v>
                </c:pt>
                <c:pt idx="33">
                  <c:v>окт.27</c:v>
                </c:pt>
                <c:pt idx="34">
                  <c:v>ноя.27</c:v>
                </c:pt>
                <c:pt idx="35">
                  <c:v>дек.27</c:v>
                </c:pt>
                <c:pt idx="36">
                  <c:v>янв.28</c:v>
                </c:pt>
                <c:pt idx="37">
                  <c:v>фев.28</c:v>
                </c:pt>
                <c:pt idx="38">
                  <c:v>мар.28</c:v>
                </c:pt>
                <c:pt idx="39">
                  <c:v>апр.28</c:v>
                </c:pt>
                <c:pt idx="40">
                  <c:v>май.28</c:v>
                </c:pt>
                <c:pt idx="41">
                  <c:v>июн.28</c:v>
                </c:pt>
                <c:pt idx="42">
                  <c:v>июл.28</c:v>
                </c:pt>
                <c:pt idx="43">
                  <c:v>авг.28</c:v>
                </c:pt>
                <c:pt idx="44">
                  <c:v>сен.28</c:v>
                </c:pt>
                <c:pt idx="45">
                  <c:v>окт.28</c:v>
                </c:pt>
                <c:pt idx="46">
                  <c:v>ноя.28</c:v>
                </c:pt>
                <c:pt idx="47">
                  <c:v>дек.28</c:v>
                </c:pt>
              </c:strCache>
            </c:strRef>
          </c:cat>
          <c:val>
            <c:numRef>
              <c:f>Результаты!$G$192:$BB$192</c:f>
              <c:numCache>
                <c:formatCode>#,##0</c:formatCode>
                <c:ptCount val="48"/>
                <c:pt idx="0">
                  <c:v>216263542.6875</c:v>
                </c:pt>
                <c:pt idx="1">
                  <c:v>220677084.375</c:v>
                </c:pt>
                <c:pt idx="2">
                  <c:v>225090626.0625</c:v>
                </c:pt>
                <c:pt idx="3">
                  <c:v>229504167.75</c:v>
                </c:pt>
                <c:pt idx="4">
                  <c:v>233917709.4375</c:v>
                </c:pt>
                <c:pt idx="5">
                  <c:v>238331251.125</c:v>
                </c:pt>
                <c:pt idx="6">
                  <c:v>241723959.47916666</c:v>
                </c:pt>
                <c:pt idx="7">
                  <c:v>244075001.16666669</c:v>
                </c:pt>
                <c:pt idx="8">
                  <c:v>241075001.16666669</c:v>
                </c:pt>
                <c:pt idx="9">
                  <c:v>238075001.16666669</c:v>
                </c:pt>
                <c:pt idx="10">
                  <c:v>235075001.16666669</c:v>
                </c:pt>
                <c:pt idx="11">
                  <c:v>231075001.16666669</c:v>
                </c:pt>
                <c:pt idx="12">
                  <c:v>227075001.16666669</c:v>
                </c:pt>
                <c:pt idx="13">
                  <c:v>223075001.16666669</c:v>
                </c:pt>
                <c:pt idx="14">
                  <c:v>219075001.16666669</c:v>
                </c:pt>
                <c:pt idx="15">
                  <c:v>214075001.16666669</c:v>
                </c:pt>
                <c:pt idx="16">
                  <c:v>209075001.16666669</c:v>
                </c:pt>
                <c:pt idx="17">
                  <c:v>204075001.16666669</c:v>
                </c:pt>
                <c:pt idx="18">
                  <c:v>196075001.16666669</c:v>
                </c:pt>
                <c:pt idx="19">
                  <c:v>188075001.16666669</c:v>
                </c:pt>
                <c:pt idx="20">
                  <c:v>180075001.16666669</c:v>
                </c:pt>
                <c:pt idx="21">
                  <c:v>172075001.16666669</c:v>
                </c:pt>
                <c:pt idx="22">
                  <c:v>164075001.16666669</c:v>
                </c:pt>
                <c:pt idx="23">
                  <c:v>156075001.16666669</c:v>
                </c:pt>
                <c:pt idx="24">
                  <c:v>148075001.16666669</c:v>
                </c:pt>
                <c:pt idx="25">
                  <c:v>140075001.16666669</c:v>
                </c:pt>
                <c:pt idx="26">
                  <c:v>132075001.16666669</c:v>
                </c:pt>
                <c:pt idx="27">
                  <c:v>124075001.16666669</c:v>
                </c:pt>
                <c:pt idx="28">
                  <c:v>116075001.16666669</c:v>
                </c:pt>
                <c:pt idx="29">
                  <c:v>108075001.16666669</c:v>
                </c:pt>
                <c:pt idx="30">
                  <c:v>100075001.16666669</c:v>
                </c:pt>
                <c:pt idx="31">
                  <c:v>92075001.166666687</c:v>
                </c:pt>
                <c:pt idx="32">
                  <c:v>84075001.166666687</c:v>
                </c:pt>
                <c:pt idx="33">
                  <c:v>76075001.166666687</c:v>
                </c:pt>
                <c:pt idx="34">
                  <c:v>68075001.166666687</c:v>
                </c:pt>
                <c:pt idx="35">
                  <c:v>60075001.166666687</c:v>
                </c:pt>
                <c:pt idx="36">
                  <c:v>52075001.166666687</c:v>
                </c:pt>
                <c:pt idx="37">
                  <c:v>44075001.166666687</c:v>
                </c:pt>
                <c:pt idx="38">
                  <c:v>36075001.166666687</c:v>
                </c:pt>
                <c:pt idx="39">
                  <c:v>28075001.166666687</c:v>
                </c:pt>
                <c:pt idx="40">
                  <c:v>20075001.166666687</c:v>
                </c:pt>
                <c:pt idx="41">
                  <c:v>12075001.166666687</c:v>
                </c:pt>
                <c:pt idx="42">
                  <c:v>4075001.1666666865</c:v>
                </c:pt>
                <c:pt idx="43">
                  <c:v>0.16666668653488159</c:v>
                </c:pt>
                <c:pt idx="44">
                  <c:v>0.16666668653488159</c:v>
                </c:pt>
                <c:pt idx="45">
                  <c:v>0.16666668653488159</c:v>
                </c:pt>
                <c:pt idx="46">
                  <c:v>0.16666668653488159</c:v>
                </c:pt>
                <c:pt idx="47">
                  <c:v>0.16666668653488159</c:v>
                </c:pt>
              </c:numCache>
            </c:numRef>
          </c:val>
          <c:extLst>
            <c:ext xmlns:c16="http://schemas.microsoft.com/office/drawing/2014/chart" uri="{C3380CC4-5D6E-409C-BE32-E72D297353CC}">
              <c16:uniqueId val="{00000000-AFF8-4534-9FFD-9D47C8BAD66A}"/>
            </c:ext>
          </c:extLst>
        </c:ser>
        <c:ser>
          <c:idx val="1"/>
          <c:order val="1"/>
          <c:tx>
            <c:strRef>
              <c:f>Результаты!$A$188</c:f>
              <c:strCache>
                <c:ptCount val="1"/>
                <c:pt idx="0">
                  <c:v>Краткосрочные кредиты</c:v>
                </c:pt>
              </c:strCache>
            </c:strRef>
          </c:tx>
          <c:spPr>
            <a:solidFill>
              <a:schemeClr val="accent3">
                <a:lumMod val="60000"/>
                <a:lumOff val="40000"/>
              </a:schemeClr>
            </a:solidFill>
          </c:spPr>
          <c:cat>
            <c:strRef>
              <c:f>Результаты!$G$159:$BB$159</c:f>
              <c:strCache>
                <c:ptCount val="48"/>
                <c:pt idx="0">
                  <c:v>янв.25</c:v>
                </c:pt>
                <c:pt idx="1">
                  <c:v>фев.25</c:v>
                </c:pt>
                <c:pt idx="2">
                  <c:v>мар.25</c:v>
                </c:pt>
                <c:pt idx="3">
                  <c:v>апр.25</c:v>
                </c:pt>
                <c:pt idx="4">
                  <c:v>май.25</c:v>
                </c:pt>
                <c:pt idx="5">
                  <c:v>июн.25</c:v>
                </c:pt>
                <c:pt idx="6">
                  <c:v>июл.25</c:v>
                </c:pt>
                <c:pt idx="7">
                  <c:v>авг.25</c:v>
                </c:pt>
                <c:pt idx="8">
                  <c:v>сен.25</c:v>
                </c:pt>
                <c:pt idx="9">
                  <c:v>окт.25</c:v>
                </c:pt>
                <c:pt idx="10">
                  <c:v>ноя.25</c:v>
                </c:pt>
                <c:pt idx="11">
                  <c:v>дек.25</c:v>
                </c:pt>
                <c:pt idx="12">
                  <c:v>янв.26</c:v>
                </c:pt>
                <c:pt idx="13">
                  <c:v>фев.26</c:v>
                </c:pt>
                <c:pt idx="14">
                  <c:v>мар.26</c:v>
                </c:pt>
                <c:pt idx="15">
                  <c:v>апр.26</c:v>
                </c:pt>
                <c:pt idx="16">
                  <c:v>май.26</c:v>
                </c:pt>
                <c:pt idx="17">
                  <c:v>июн.26</c:v>
                </c:pt>
                <c:pt idx="18">
                  <c:v>июл.26</c:v>
                </c:pt>
                <c:pt idx="19">
                  <c:v>авг.26</c:v>
                </c:pt>
                <c:pt idx="20">
                  <c:v>сен.26</c:v>
                </c:pt>
                <c:pt idx="21">
                  <c:v>окт.26</c:v>
                </c:pt>
                <c:pt idx="22">
                  <c:v>ноя.26</c:v>
                </c:pt>
                <c:pt idx="23">
                  <c:v>дек.26</c:v>
                </c:pt>
                <c:pt idx="24">
                  <c:v>янв.27</c:v>
                </c:pt>
                <c:pt idx="25">
                  <c:v>фев.27</c:v>
                </c:pt>
                <c:pt idx="26">
                  <c:v>мар.27</c:v>
                </c:pt>
                <c:pt idx="27">
                  <c:v>апр.27</c:v>
                </c:pt>
                <c:pt idx="28">
                  <c:v>май.27</c:v>
                </c:pt>
                <c:pt idx="29">
                  <c:v>июн.27</c:v>
                </c:pt>
                <c:pt idx="30">
                  <c:v>июл.27</c:v>
                </c:pt>
                <c:pt idx="31">
                  <c:v>авг.27</c:v>
                </c:pt>
                <c:pt idx="32">
                  <c:v>сен.27</c:v>
                </c:pt>
                <c:pt idx="33">
                  <c:v>окт.27</c:v>
                </c:pt>
                <c:pt idx="34">
                  <c:v>ноя.27</c:v>
                </c:pt>
                <c:pt idx="35">
                  <c:v>дек.27</c:v>
                </c:pt>
                <c:pt idx="36">
                  <c:v>янв.28</c:v>
                </c:pt>
                <c:pt idx="37">
                  <c:v>фев.28</c:v>
                </c:pt>
                <c:pt idx="38">
                  <c:v>мар.28</c:v>
                </c:pt>
                <c:pt idx="39">
                  <c:v>апр.28</c:v>
                </c:pt>
                <c:pt idx="40">
                  <c:v>май.28</c:v>
                </c:pt>
                <c:pt idx="41">
                  <c:v>июн.28</c:v>
                </c:pt>
                <c:pt idx="42">
                  <c:v>июл.28</c:v>
                </c:pt>
                <c:pt idx="43">
                  <c:v>авг.28</c:v>
                </c:pt>
                <c:pt idx="44">
                  <c:v>сен.28</c:v>
                </c:pt>
                <c:pt idx="45">
                  <c:v>окт.28</c:v>
                </c:pt>
                <c:pt idx="46">
                  <c:v>ноя.28</c:v>
                </c:pt>
                <c:pt idx="47">
                  <c:v>дек.28</c:v>
                </c:pt>
              </c:strCache>
            </c:strRef>
          </c:cat>
          <c:val>
            <c:numRef>
              <c:f>Результаты!$G$188:$BB$188</c:f>
              <c:numCache>
                <c:formatCode>#,##0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extLst>
            <c:ext xmlns:c16="http://schemas.microsoft.com/office/drawing/2014/chart" uri="{C3380CC4-5D6E-409C-BE32-E72D297353CC}">
              <c16:uniqueId val="{00000001-AFF8-4534-9FFD-9D47C8BAD66A}"/>
            </c:ext>
          </c:extLst>
        </c:ser>
        <c:dLbls>
          <c:showLegendKey val="0"/>
          <c:showVal val="0"/>
          <c:showCatName val="0"/>
          <c:showSerName val="0"/>
          <c:showPercent val="0"/>
          <c:showBubbleSize val="0"/>
        </c:dLbls>
        <c:axId val="563282888"/>
        <c:axId val="563286488"/>
      </c:areaChart>
      <c:catAx>
        <c:axId val="563282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563286488"/>
        <c:crosses val="autoZero"/>
        <c:auto val="1"/>
        <c:lblAlgn val="ctr"/>
        <c:lblOffset val="100"/>
        <c:noMultiLvlLbl val="0"/>
      </c:catAx>
      <c:valAx>
        <c:axId val="5632864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563282888"/>
        <c:crosses val="autoZero"/>
        <c:crossBetween val="midCat"/>
      </c:valAx>
      <c:spPr>
        <a:noFill/>
        <a:ln>
          <a:noFill/>
        </a:ln>
        <a:effectLst/>
      </c:spPr>
    </c:plotArea>
    <c:legend>
      <c:legendPos val="b"/>
      <c:overlay val="0"/>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Результаты!$A$287</c:f>
              <c:strCache>
                <c:ptCount val="1"/>
                <c:pt idx="0">
                  <c:v>Дисконтированный поток нарастающим итогом</c:v>
                </c:pt>
              </c:strCache>
            </c:strRef>
          </c:tx>
          <c:spPr>
            <a:ln w="44450">
              <a:solidFill>
                <a:srgbClr val="C00000">
                  <a:alpha val="50000"/>
                </a:srgbClr>
              </a:solidFill>
            </a:ln>
          </c:spPr>
          <c:marker>
            <c:symbol val="none"/>
          </c:marker>
          <c:cat>
            <c:strRef>
              <c:f>Результаты!$G$269:$BB$269</c:f>
              <c:strCache>
                <c:ptCount val="48"/>
                <c:pt idx="0">
                  <c:v>янв.25</c:v>
                </c:pt>
                <c:pt idx="1">
                  <c:v>фев.25</c:v>
                </c:pt>
                <c:pt idx="2">
                  <c:v>мар.25</c:v>
                </c:pt>
                <c:pt idx="3">
                  <c:v>апр.25</c:v>
                </c:pt>
                <c:pt idx="4">
                  <c:v>май.25</c:v>
                </c:pt>
                <c:pt idx="5">
                  <c:v>июн.25</c:v>
                </c:pt>
                <c:pt idx="6">
                  <c:v>июл.25</c:v>
                </c:pt>
                <c:pt idx="7">
                  <c:v>авг.25</c:v>
                </c:pt>
                <c:pt idx="8">
                  <c:v>сен.25</c:v>
                </c:pt>
                <c:pt idx="9">
                  <c:v>окт.25</c:v>
                </c:pt>
                <c:pt idx="10">
                  <c:v>ноя.25</c:v>
                </c:pt>
                <c:pt idx="11">
                  <c:v>дек.25</c:v>
                </c:pt>
                <c:pt idx="12">
                  <c:v>янв.26</c:v>
                </c:pt>
                <c:pt idx="13">
                  <c:v>фев.26</c:v>
                </c:pt>
                <c:pt idx="14">
                  <c:v>мар.26</c:v>
                </c:pt>
                <c:pt idx="15">
                  <c:v>апр.26</c:v>
                </c:pt>
                <c:pt idx="16">
                  <c:v>май.26</c:v>
                </c:pt>
                <c:pt idx="17">
                  <c:v>июн.26</c:v>
                </c:pt>
                <c:pt idx="18">
                  <c:v>июл.26</c:v>
                </c:pt>
                <c:pt idx="19">
                  <c:v>авг.26</c:v>
                </c:pt>
                <c:pt idx="20">
                  <c:v>сен.26</c:v>
                </c:pt>
                <c:pt idx="21">
                  <c:v>окт.26</c:v>
                </c:pt>
                <c:pt idx="22">
                  <c:v>ноя.26</c:v>
                </c:pt>
                <c:pt idx="23">
                  <c:v>дек.26</c:v>
                </c:pt>
                <c:pt idx="24">
                  <c:v>янв.27</c:v>
                </c:pt>
                <c:pt idx="25">
                  <c:v>фев.27</c:v>
                </c:pt>
                <c:pt idx="26">
                  <c:v>мар.27</c:v>
                </c:pt>
                <c:pt idx="27">
                  <c:v>апр.27</c:v>
                </c:pt>
                <c:pt idx="28">
                  <c:v>май.27</c:v>
                </c:pt>
                <c:pt idx="29">
                  <c:v>июн.27</c:v>
                </c:pt>
                <c:pt idx="30">
                  <c:v>июл.27</c:v>
                </c:pt>
                <c:pt idx="31">
                  <c:v>авг.27</c:v>
                </c:pt>
                <c:pt idx="32">
                  <c:v>сен.27</c:v>
                </c:pt>
                <c:pt idx="33">
                  <c:v>окт.27</c:v>
                </c:pt>
                <c:pt idx="34">
                  <c:v>ноя.27</c:v>
                </c:pt>
                <c:pt idx="35">
                  <c:v>дек.27</c:v>
                </c:pt>
                <c:pt idx="36">
                  <c:v>янв.28</c:v>
                </c:pt>
                <c:pt idx="37">
                  <c:v>фев.28</c:v>
                </c:pt>
                <c:pt idx="38">
                  <c:v>мар.28</c:v>
                </c:pt>
                <c:pt idx="39">
                  <c:v>апр.28</c:v>
                </c:pt>
                <c:pt idx="40">
                  <c:v>май.28</c:v>
                </c:pt>
                <c:pt idx="41">
                  <c:v>июн.28</c:v>
                </c:pt>
                <c:pt idx="42">
                  <c:v>июл.28</c:v>
                </c:pt>
                <c:pt idx="43">
                  <c:v>авг.28</c:v>
                </c:pt>
                <c:pt idx="44">
                  <c:v>сен.28</c:v>
                </c:pt>
                <c:pt idx="45">
                  <c:v>окт.28</c:v>
                </c:pt>
                <c:pt idx="46">
                  <c:v>ноя.28</c:v>
                </c:pt>
                <c:pt idx="47">
                  <c:v>дек.28</c:v>
                </c:pt>
              </c:strCache>
            </c:strRef>
          </c:cat>
          <c:val>
            <c:numRef>
              <c:f>Результаты!$G$287:$BB$287</c:f>
              <c:numCache>
                <c:formatCode>#,##0</c:formatCode>
                <c:ptCount val="48"/>
                <c:pt idx="0">
                  <c:v>-291667</c:v>
                </c:pt>
                <c:pt idx="1">
                  <c:v>-1924995.2756147657</c:v>
                </c:pt>
                <c:pt idx="2">
                  <c:v>-134493159.82219869</c:v>
                </c:pt>
                <c:pt idx="3">
                  <c:v>-152065345.17549068</c:v>
                </c:pt>
                <c:pt idx="4">
                  <c:v>-168086483.5671902</c:v>
                </c:pt>
                <c:pt idx="5">
                  <c:v>-185606593.49420226</c:v>
                </c:pt>
                <c:pt idx="6">
                  <c:v>-192806331.91653359</c:v>
                </c:pt>
                <c:pt idx="7">
                  <c:v>-198409596.95768455</c:v>
                </c:pt>
                <c:pt idx="8">
                  <c:v>-193431684.35863253</c:v>
                </c:pt>
                <c:pt idx="9">
                  <c:v>-186749836.5300543</c:v>
                </c:pt>
                <c:pt idx="10">
                  <c:v>-179644009.74796048</c:v>
                </c:pt>
                <c:pt idx="11">
                  <c:v>-173163288.32176512</c:v>
                </c:pt>
                <c:pt idx="12">
                  <c:v>-164051246.64752051</c:v>
                </c:pt>
                <c:pt idx="13">
                  <c:v>-155098428.27487123</c:v>
                </c:pt>
                <c:pt idx="14">
                  <c:v>-147708042.72111553</c:v>
                </c:pt>
                <c:pt idx="15">
                  <c:v>-140595551.94726315</c:v>
                </c:pt>
                <c:pt idx="16">
                  <c:v>-135653009.31778935</c:v>
                </c:pt>
                <c:pt idx="17">
                  <c:v>-128291420.34319794</c:v>
                </c:pt>
                <c:pt idx="18">
                  <c:v>-117599688.46383192</c:v>
                </c:pt>
                <c:pt idx="19">
                  <c:v>-105183531.42637737</c:v>
                </c:pt>
                <c:pt idx="20">
                  <c:v>-95561151.712103516</c:v>
                </c:pt>
                <c:pt idx="21">
                  <c:v>-89430207.045200154</c:v>
                </c:pt>
                <c:pt idx="22">
                  <c:v>-84635874.376050174</c:v>
                </c:pt>
                <c:pt idx="23">
                  <c:v>-79528022.767451733</c:v>
                </c:pt>
                <c:pt idx="24">
                  <c:v>-71722330.932817623</c:v>
                </c:pt>
                <c:pt idx="25">
                  <c:v>-63982979.690385759</c:v>
                </c:pt>
                <c:pt idx="26">
                  <c:v>-57598295.215139583</c:v>
                </c:pt>
                <c:pt idx="27">
                  <c:v>-51443403.214701563</c:v>
                </c:pt>
                <c:pt idx="28">
                  <c:v>-47232299.881073818</c:v>
                </c:pt>
                <c:pt idx="29">
                  <c:v>-40923799.473720029</c:v>
                </c:pt>
                <c:pt idx="30">
                  <c:v>-31716931.449294254</c:v>
                </c:pt>
                <c:pt idx="31">
                  <c:v>-20957309.360804245</c:v>
                </c:pt>
                <c:pt idx="32">
                  <c:v>-12609641.256654311</c:v>
                </c:pt>
                <c:pt idx="33">
                  <c:v>-7305388.3141014175</c:v>
                </c:pt>
                <c:pt idx="34">
                  <c:v>-3187872.5109159886</c:v>
                </c:pt>
                <c:pt idx="35">
                  <c:v>1170362.6120883278</c:v>
                </c:pt>
                <c:pt idx="36">
                  <c:v>7898624.2911753617</c:v>
                </c:pt>
                <c:pt idx="37">
                  <c:v>14576837.430515518</c:v>
                </c:pt>
                <c:pt idx="38">
                  <c:v>20082288.113491334</c:v>
                </c:pt>
                <c:pt idx="39">
                  <c:v>25399438.318406064</c:v>
                </c:pt>
                <c:pt idx="40">
                  <c:v>28974293.134229742</c:v>
                </c:pt>
                <c:pt idx="41">
                  <c:v>34364931.698976487</c:v>
                </c:pt>
                <c:pt idx="42">
                  <c:v>42275290.508510068</c:v>
                </c:pt>
                <c:pt idx="43">
                  <c:v>51584881.66183728</c:v>
                </c:pt>
                <c:pt idx="44">
                  <c:v>58816238.251344629</c:v>
                </c:pt>
                <c:pt idx="45">
                  <c:v>63397340.249284655</c:v>
                </c:pt>
                <c:pt idx="46">
                  <c:v>66924480.590341955</c:v>
                </c:pt>
                <c:pt idx="47">
                  <c:v>71012167.676285639</c:v>
                </c:pt>
              </c:numCache>
            </c:numRef>
          </c:val>
          <c:smooth val="1"/>
          <c:extLst>
            <c:ext xmlns:c16="http://schemas.microsoft.com/office/drawing/2014/chart" uri="{C3380CC4-5D6E-409C-BE32-E72D297353CC}">
              <c16:uniqueId val="{00000000-5D85-4FB5-A4B6-DEEAEF624381}"/>
            </c:ext>
          </c:extLst>
        </c:ser>
        <c:dLbls>
          <c:showLegendKey val="0"/>
          <c:showVal val="0"/>
          <c:showCatName val="0"/>
          <c:showSerName val="0"/>
          <c:showPercent val="0"/>
          <c:showBubbleSize val="0"/>
        </c:dLbls>
        <c:smooth val="0"/>
        <c:axId val="563318744"/>
        <c:axId val="563322488"/>
      </c:lineChart>
      <c:catAx>
        <c:axId val="563318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563322488"/>
        <c:crosses val="autoZero"/>
        <c:auto val="1"/>
        <c:lblAlgn val="ctr"/>
        <c:lblOffset val="100"/>
        <c:noMultiLvlLbl val="0"/>
      </c:catAx>
      <c:valAx>
        <c:axId val="5633224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5633187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Результаты!$A$336</c:f>
              <c:strCache>
                <c:ptCount val="1"/>
                <c:pt idx="0">
                  <c:v>Дисконтированный поток нарастающим итогом</c:v>
                </c:pt>
              </c:strCache>
            </c:strRef>
          </c:tx>
          <c:spPr>
            <a:ln w="50800">
              <a:solidFill>
                <a:schemeClr val="accent3">
                  <a:lumMod val="75000"/>
                  <a:alpha val="70000"/>
                </a:schemeClr>
              </a:solidFill>
            </a:ln>
          </c:spPr>
          <c:marker>
            <c:symbol val="none"/>
          </c:marker>
          <c:val>
            <c:numRef>
              <c:f>Результаты!$G$336:$BB$336</c:f>
            </c:numRef>
          </c:val>
          <c:smooth val="1"/>
          <c:extLst>
            <c:ext xmlns:c15="http://schemas.microsoft.com/office/drawing/2012/chart" uri="{02D57815-91ED-43cb-92C2-25804820EDAC}">
              <c15:filteredCategoryTitle>
                <c15:cat>
                  <c:multiLvlStrRef>
                    <c:extLst>
                      <c:ext uri="{02D57815-91ED-43cb-92C2-25804820EDAC}">
                        <c15:formulaRef>
                          <c15:sqref>Результаты!$G$317:$BB$317</c15:sqref>
                        </c15:formulaRef>
                      </c:ext>
                    </c:extLst>
                  </c:multiLvlStrRef>
                </c15:cat>
              </c15:filteredCategoryTitle>
            </c:ext>
            <c:ext xmlns:c16="http://schemas.microsoft.com/office/drawing/2014/chart" uri="{C3380CC4-5D6E-409C-BE32-E72D297353CC}">
              <c16:uniqueId val="{00000000-1CB9-4D72-B517-9CAC7DC05CA1}"/>
            </c:ext>
          </c:extLst>
        </c:ser>
        <c:dLbls>
          <c:showLegendKey val="0"/>
          <c:showVal val="0"/>
          <c:showCatName val="0"/>
          <c:showSerName val="0"/>
          <c:showPercent val="0"/>
          <c:showBubbleSize val="0"/>
        </c:dLbls>
        <c:marker val="1"/>
        <c:smooth val="0"/>
        <c:axId val="563355400"/>
        <c:axId val="563359128"/>
      </c:lineChart>
      <c:catAx>
        <c:axId val="5633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563359128"/>
        <c:crosses val="autoZero"/>
        <c:auto val="1"/>
        <c:lblAlgn val="ctr"/>
        <c:lblOffset val="100"/>
        <c:noMultiLvlLbl val="0"/>
      </c:catAx>
      <c:valAx>
        <c:axId val="5633591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563355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Результаты!$A$378</c:f>
              <c:strCache>
                <c:ptCount val="1"/>
                <c:pt idx="0">
                  <c:v>Дисконтированный поток нарастающим итогом</c:v>
                </c:pt>
              </c:strCache>
            </c:strRef>
          </c:tx>
          <c:spPr>
            <a:ln w="50800">
              <a:solidFill>
                <a:schemeClr val="accent1">
                  <a:shade val="95000"/>
                  <a:satMod val="105000"/>
                  <a:alpha val="70000"/>
                </a:schemeClr>
              </a:solidFill>
            </a:ln>
          </c:spPr>
          <c:marker>
            <c:symbol val="none"/>
          </c:marker>
          <c:val>
            <c:numRef>
              <c:f>Результаты!$G$378:$BB$378</c:f>
            </c:numRef>
          </c:val>
          <c:smooth val="0"/>
          <c:extLst>
            <c:ext xmlns:c15="http://schemas.microsoft.com/office/drawing/2012/chart" uri="{02D57815-91ED-43cb-92C2-25804820EDAC}">
              <c15:filteredCategoryTitle>
                <c15:cat>
                  <c:multiLvlStrRef>
                    <c:extLst>
                      <c:ext uri="{02D57815-91ED-43cb-92C2-25804820EDAC}">
                        <c15:formulaRef>
                          <c15:sqref>Результаты!$G$366:$BB$366</c15:sqref>
                        </c15:formulaRef>
                      </c:ext>
                    </c:extLst>
                  </c:multiLvlStrRef>
                </c15:cat>
              </c15:filteredCategoryTitle>
            </c:ext>
            <c:ext xmlns:c16="http://schemas.microsoft.com/office/drawing/2014/chart" uri="{C3380CC4-5D6E-409C-BE32-E72D297353CC}">
              <c16:uniqueId val="{00000000-7C3E-4DC8-AC95-34F73288AD51}"/>
            </c:ext>
          </c:extLst>
        </c:ser>
        <c:dLbls>
          <c:showLegendKey val="0"/>
          <c:showVal val="0"/>
          <c:showCatName val="0"/>
          <c:showSerName val="0"/>
          <c:showPercent val="0"/>
          <c:showBubbleSize val="0"/>
        </c:dLbls>
        <c:marker val="1"/>
        <c:smooth val="0"/>
        <c:axId val="563392200"/>
        <c:axId val="563395928"/>
      </c:lineChart>
      <c:catAx>
        <c:axId val="563392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563395928"/>
        <c:crosses val="autoZero"/>
        <c:auto val="1"/>
        <c:lblAlgn val="ctr"/>
        <c:lblOffset val="100"/>
        <c:noMultiLvlLbl val="0"/>
      </c:catAx>
      <c:valAx>
        <c:axId val="5633959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563392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Результаты!$A$93</c:f>
              <c:strCache>
                <c:ptCount val="1"/>
                <c:pt idx="0">
                  <c:v>Выручка</c:v>
                </c:pt>
              </c:strCache>
            </c:strRef>
          </c:tx>
          <c:invertIfNegative val="0"/>
          <c:cat>
            <c:strRef>
              <c:f>Результаты!$G$91:$BB$91</c:f>
              <c:strCache>
                <c:ptCount val="48"/>
                <c:pt idx="0">
                  <c:v>янв.25</c:v>
                </c:pt>
                <c:pt idx="1">
                  <c:v>фев.25</c:v>
                </c:pt>
                <c:pt idx="2">
                  <c:v>мар.25</c:v>
                </c:pt>
                <c:pt idx="3">
                  <c:v>апр.25</c:v>
                </c:pt>
                <c:pt idx="4">
                  <c:v>май.25</c:v>
                </c:pt>
                <c:pt idx="5">
                  <c:v>июн.25</c:v>
                </c:pt>
                <c:pt idx="6">
                  <c:v>июл.25</c:v>
                </c:pt>
                <c:pt idx="7">
                  <c:v>авг.25</c:v>
                </c:pt>
                <c:pt idx="8">
                  <c:v>сен.25</c:v>
                </c:pt>
                <c:pt idx="9">
                  <c:v>окт.25</c:v>
                </c:pt>
                <c:pt idx="10">
                  <c:v>ноя.25</c:v>
                </c:pt>
                <c:pt idx="11">
                  <c:v>дек.25</c:v>
                </c:pt>
                <c:pt idx="12">
                  <c:v>янв.26</c:v>
                </c:pt>
                <c:pt idx="13">
                  <c:v>фев.26</c:v>
                </c:pt>
                <c:pt idx="14">
                  <c:v>мар.26</c:v>
                </c:pt>
                <c:pt idx="15">
                  <c:v>апр.26</c:v>
                </c:pt>
                <c:pt idx="16">
                  <c:v>май.26</c:v>
                </c:pt>
                <c:pt idx="17">
                  <c:v>июн.26</c:v>
                </c:pt>
                <c:pt idx="18">
                  <c:v>июл.26</c:v>
                </c:pt>
                <c:pt idx="19">
                  <c:v>авг.26</c:v>
                </c:pt>
                <c:pt idx="20">
                  <c:v>сен.26</c:v>
                </c:pt>
                <c:pt idx="21">
                  <c:v>окт.26</c:v>
                </c:pt>
                <c:pt idx="22">
                  <c:v>ноя.26</c:v>
                </c:pt>
                <c:pt idx="23">
                  <c:v>дек.26</c:v>
                </c:pt>
                <c:pt idx="24">
                  <c:v>янв.27</c:v>
                </c:pt>
                <c:pt idx="25">
                  <c:v>фев.27</c:v>
                </c:pt>
                <c:pt idx="26">
                  <c:v>мар.27</c:v>
                </c:pt>
                <c:pt idx="27">
                  <c:v>апр.27</c:v>
                </c:pt>
                <c:pt idx="28">
                  <c:v>май.27</c:v>
                </c:pt>
                <c:pt idx="29">
                  <c:v>июн.27</c:v>
                </c:pt>
                <c:pt idx="30">
                  <c:v>июл.27</c:v>
                </c:pt>
                <c:pt idx="31">
                  <c:v>авг.27</c:v>
                </c:pt>
                <c:pt idx="32">
                  <c:v>сен.27</c:v>
                </c:pt>
                <c:pt idx="33">
                  <c:v>окт.27</c:v>
                </c:pt>
                <c:pt idx="34">
                  <c:v>ноя.27</c:v>
                </c:pt>
                <c:pt idx="35">
                  <c:v>дек.27</c:v>
                </c:pt>
                <c:pt idx="36">
                  <c:v>янв.28</c:v>
                </c:pt>
                <c:pt idx="37">
                  <c:v>фев.28</c:v>
                </c:pt>
                <c:pt idx="38">
                  <c:v>мар.28</c:v>
                </c:pt>
                <c:pt idx="39">
                  <c:v>апр.28</c:v>
                </c:pt>
                <c:pt idx="40">
                  <c:v>май.28</c:v>
                </c:pt>
                <c:pt idx="41">
                  <c:v>июн.28</c:v>
                </c:pt>
                <c:pt idx="42">
                  <c:v>июл.28</c:v>
                </c:pt>
                <c:pt idx="43">
                  <c:v>авг.28</c:v>
                </c:pt>
                <c:pt idx="44">
                  <c:v>сен.28</c:v>
                </c:pt>
                <c:pt idx="45">
                  <c:v>окт.28</c:v>
                </c:pt>
                <c:pt idx="46">
                  <c:v>ноя.28</c:v>
                </c:pt>
                <c:pt idx="47">
                  <c:v>дек.28</c:v>
                </c:pt>
              </c:strCache>
            </c:strRef>
          </c:cat>
          <c:val>
            <c:numRef>
              <c:f>Результаты!$G$93:$BB$93</c:f>
              <c:numCache>
                <c:formatCode>#,##0</c:formatCode>
                <c:ptCount val="48"/>
                <c:pt idx="0">
                  <c:v>0</c:v>
                </c:pt>
                <c:pt idx="1">
                  <c:v>0</c:v>
                </c:pt>
                <c:pt idx="2">
                  <c:v>0</c:v>
                </c:pt>
                <c:pt idx="3">
                  <c:v>0</c:v>
                </c:pt>
                <c:pt idx="4">
                  <c:v>0</c:v>
                </c:pt>
                <c:pt idx="5">
                  <c:v>0</c:v>
                </c:pt>
                <c:pt idx="6">
                  <c:v>7486982.2385257483</c:v>
                </c:pt>
                <c:pt idx="7">
                  <c:v>10031234.004204797</c:v>
                </c:pt>
                <c:pt idx="8">
                  <c:v>12600076.928691318</c:v>
                </c:pt>
                <c:pt idx="9">
                  <c:v>15193690.128322721</c:v>
                </c:pt>
                <c:pt idx="10">
                  <c:v>15267646.183296487</c:v>
                </c:pt>
                <c:pt idx="11">
                  <c:v>15341962.223107448</c:v>
                </c:pt>
                <c:pt idx="12">
                  <c:v>20555520.000000011</c:v>
                </c:pt>
                <c:pt idx="13">
                  <c:v>18073628.153872319</c:v>
                </c:pt>
                <c:pt idx="14">
                  <c:v>15567087.816694712</c:v>
                </c:pt>
                <c:pt idx="15">
                  <c:v>15642861.403797608</c:v>
                </c:pt>
                <c:pt idx="16">
                  <c:v>13099169.852222705</c:v>
                </c:pt>
                <c:pt idx="17">
                  <c:v>21060689.158147868</c:v>
                </c:pt>
                <c:pt idx="18">
                  <c:v>26454003.909457654</c:v>
                </c:pt>
                <c:pt idx="19">
                  <c:v>26582770.111142725</c:v>
                </c:pt>
                <c:pt idx="20">
                  <c:v>18698514.162177924</c:v>
                </c:pt>
                <c:pt idx="21">
                  <c:v>13421092.946685074</c:v>
                </c:pt>
                <c:pt idx="22">
                  <c:v>13486420.795245234</c:v>
                </c:pt>
                <c:pt idx="23">
                  <c:v>16262479.956493899</c:v>
                </c:pt>
                <c:pt idx="24">
                  <c:v>21788851.200000018</c:v>
                </c:pt>
                <c:pt idx="25">
                  <c:v>19158045.843104653</c:v>
                </c:pt>
                <c:pt idx="26">
                  <c:v>16501113.085696394</c:v>
                </c:pt>
                <c:pt idx="27">
                  <c:v>16581433.088025467</c:v>
                </c:pt>
                <c:pt idx="28">
                  <c:v>13885120.043356068</c:v>
                </c:pt>
                <c:pt idx="29">
                  <c:v>22324330.507636741</c:v>
                </c:pt>
                <c:pt idx="30">
                  <c:v>28041244.144025121</c:v>
                </c:pt>
                <c:pt idx="31">
                  <c:v>28177736.317811292</c:v>
                </c:pt>
                <c:pt idx="32">
                  <c:v>19820425.011908598</c:v>
                </c:pt>
                <c:pt idx="33">
                  <c:v>14226358.52348618</c:v>
                </c:pt>
                <c:pt idx="34">
                  <c:v>14295606.042959951</c:v>
                </c:pt>
                <c:pt idx="35">
                  <c:v>17238228.753883537</c:v>
                </c:pt>
                <c:pt idx="36">
                  <c:v>23096182.272000026</c:v>
                </c:pt>
                <c:pt idx="37">
                  <c:v>20307528.593690943</c:v>
                </c:pt>
                <c:pt idx="38">
                  <c:v>17491179.870838184</c:v>
                </c:pt>
                <c:pt idx="39">
                  <c:v>17576319.073307</c:v>
                </c:pt>
                <c:pt idx="40">
                  <c:v>14718227.245957442</c:v>
                </c:pt>
                <c:pt idx="41">
                  <c:v>23663790.338094961</c:v>
                </c:pt>
                <c:pt idx="42">
                  <c:v>29723718.792666636</c:v>
                </c:pt>
                <c:pt idx="43">
                  <c:v>29868400.496879984</c:v>
                </c:pt>
                <c:pt idx="44">
                  <c:v>21009650.51262312</c:v>
                </c:pt>
                <c:pt idx="45">
                  <c:v>15079940.034895359</c:v>
                </c:pt>
                <c:pt idx="46">
                  <c:v>15153342.405537553</c:v>
                </c:pt>
                <c:pt idx="47">
                  <c:v>18272522.479116555</c:v>
                </c:pt>
              </c:numCache>
            </c:numRef>
          </c:val>
          <c:extLst>
            <c:ext xmlns:c16="http://schemas.microsoft.com/office/drawing/2014/chart" uri="{C3380CC4-5D6E-409C-BE32-E72D297353CC}">
              <c16:uniqueId val="{00000000-35C5-4349-AE02-6E8784C31B98}"/>
            </c:ext>
          </c:extLst>
        </c:ser>
        <c:dLbls>
          <c:showLegendKey val="0"/>
          <c:showVal val="0"/>
          <c:showCatName val="0"/>
          <c:showSerName val="0"/>
          <c:showPercent val="0"/>
          <c:showBubbleSize val="0"/>
        </c:dLbls>
        <c:gapWidth val="120"/>
        <c:axId val="563169624"/>
        <c:axId val="563173352"/>
      </c:barChart>
      <c:catAx>
        <c:axId val="563169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563173352"/>
        <c:crosses val="autoZero"/>
        <c:auto val="1"/>
        <c:lblAlgn val="ctr"/>
        <c:lblOffset val="100"/>
        <c:noMultiLvlLbl val="0"/>
      </c:catAx>
      <c:valAx>
        <c:axId val="563173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563169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Результаты!$A$287</c:f>
              <c:strCache>
                <c:ptCount val="1"/>
                <c:pt idx="0">
                  <c:v>Дисконтированный поток нарастающим итогом</c:v>
                </c:pt>
              </c:strCache>
            </c:strRef>
          </c:tx>
          <c:spPr>
            <a:ln w="44450">
              <a:solidFill>
                <a:srgbClr val="C00000">
                  <a:alpha val="50000"/>
                </a:srgbClr>
              </a:solidFill>
            </a:ln>
          </c:spPr>
          <c:marker>
            <c:symbol val="none"/>
          </c:marker>
          <c:cat>
            <c:strRef>
              <c:f>Результаты!$G$269:$BB$269</c:f>
              <c:strCache>
                <c:ptCount val="48"/>
                <c:pt idx="0">
                  <c:v>янв.25</c:v>
                </c:pt>
                <c:pt idx="1">
                  <c:v>фев.25</c:v>
                </c:pt>
                <c:pt idx="2">
                  <c:v>мар.25</c:v>
                </c:pt>
                <c:pt idx="3">
                  <c:v>апр.25</c:v>
                </c:pt>
                <c:pt idx="4">
                  <c:v>май.25</c:v>
                </c:pt>
                <c:pt idx="5">
                  <c:v>июн.25</c:v>
                </c:pt>
                <c:pt idx="6">
                  <c:v>июл.25</c:v>
                </c:pt>
                <c:pt idx="7">
                  <c:v>авг.25</c:v>
                </c:pt>
                <c:pt idx="8">
                  <c:v>сен.25</c:v>
                </c:pt>
                <c:pt idx="9">
                  <c:v>окт.25</c:v>
                </c:pt>
                <c:pt idx="10">
                  <c:v>ноя.25</c:v>
                </c:pt>
                <c:pt idx="11">
                  <c:v>дек.25</c:v>
                </c:pt>
                <c:pt idx="12">
                  <c:v>янв.26</c:v>
                </c:pt>
                <c:pt idx="13">
                  <c:v>фев.26</c:v>
                </c:pt>
                <c:pt idx="14">
                  <c:v>мар.26</c:v>
                </c:pt>
                <c:pt idx="15">
                  <c:v>апр.26</c:v>
                </c:pt>
                <c:pt idx="16">
                  <c:v>май.26</c:v>
                </c:pt>
                <c:pt idx="17">
                  <c:v>июн.26</c:v>
                </c:pt>
                <c:pt idx="18">
                  <c:v>июл.26</c:v>
                </c:pt>
                <c:pt idx="19">
                  <c:v>авг.26</c:v>
                </c:pt>
                <c:pt idx="20">
                  <c:v>сен.26</c:v>
                </c:pt>
                <c:pt idx="21">
                  <c:v>окт.26</c:v>
                </c:pt>
                <c:pt idx="22">
                  <c:v>ноя.26</c:v>
                </c:pt>
                <c:pt idx="23">
                  <c:v>дек.26</c:v>
                </c:pt>
                <c:pt idx="24">
                  <c:v>янв.27</c:v>
                </c:pt>
                <c:pt idx="25">
                  <c:v>фев.27</c:v>
                </c:pt>
                <c:pt idx="26">
                  <c:v>мар.27</c:v>
                </c:pt>
                <c:pt idx="27">
                  <c:v>апр.27</c:v>
                </c:pt>
                <c:pt idx="28">
                  <c:v>май.27</c:v>
                </c:pt>
                <c:pt idx="29">
                  <c:v>июн.27</c:v>
                </c:pt>
                <c:pt idx="30">
                  <c:v>июл.27</c:v>
                </c:pt>
                <c:pt idx="31">
                  <c:v>авг.27</c:v>
                </c:pt>
                <c:pt idx="32">
                  <c:v>сен.27</c:v>
                </c:pt>
                <c:pt idx="33">
                  <c:v>окт.27</c:v>
                </c:pt>
                <c:pt idx="34">
                  <c:v>ноя.27</c:v>
                </c:pt>
                <c:pt idx="35">
                  <c:v>дек.27</c:v>
                </c:pt>
                <c:pt idx="36">
                  <c:v>янв.28</c:v>
                </c:pt>
                <c:pt idx="37">
                  <c:v>фев.28</c:v>
                </c:pt>
                <c:pt idx="38">
                  <c:v>мар.28</c:v>
                </c:pt>
                <c:pt idx="39">
                  <c:v>апр.28</c:v>
                </c:pt>
                <c:pt idx="40">
                  <c:v>май.28</c:v>
                </c:pt>
                <c:pt idx="41">
                  <c:v>июн.28</c:v>
                </c:pt>
                <c:pt idx="42">
                  <c:v>июл.28</c:v>
                </c:pt>
                <c:pt idx="43">
                  <c:v>авг.28</c:v>
                </c:pt>
                <c:pt idx="44">
                  <c:v>сен.28</c:v>
                </c:pt>
                <c:pt idx="45">
                  <c:v>окт.28</c:v>
                </c:pt>
                <c:pt idx="46">
                  <c:v>ноя.28</c:v>
                </c:pt>
                <c:pt idx="47">
                  <c:v>дек.28</c:v>
                </c:pt>
              </c:strCache>
            </c:strRef>
          </c:cat>
          <c:val>
            <c:numRef>
              <c:f>Результаты!$G$287:$BB$287</c:f>
              <c:numCache>
                <c:formatCode>#,##0</c:formatCode>
                <c:ptCount val="48"/>
                <c:pt idx="0">
                  <c:v>-291667</c:v>
                </c:pt>
                <c:pt idx="1">
                  <c:v>-1924995.2756147657</c:v>
                </c:pt>
                <c:pt idx="2">
                  <c:v>-134493159.82219869</c:v>
                </c:pt>
                <c:pt idx="3">
                  <c:v>-152065345.17549068</c:v>
                </c:pt>
                <c:pt idx="4">
                  <c:v>-168086483.5671902</c:v>
                </c:pt>
                <c:pt idx="5">
                  <c:v>-185606593.49420226</c:v>
                </c:pt>
                <c:pt idx="6">
                  <c:v>-192806331.91653359</c:v>
                </c:pt>
                <c:pt idx="7">
                  <c:v>-198409596.95768455</c:v>
                </c:pt>
                <c:pt idx="8">
                  <c:v>-193431684.35863253</c:v>
                </c:pt>
                <c:pt idx="9">
                  <c:v>-186749836.5300543</c:v>
                </c:pt>
                <c:pt idx="10">
                  <c:v>-179644009.74796048</c:v>
                </c:pt>
                <c:pt idx="11">
                  <c:v>-173163288.32176512</c:v>
                </c:pt>
                <c:pt idx="12">
                  <c:v>-164051246.64752051</c:v>
                </c:pt>
                <c:pt idx="13">
                  <c:v>-155098428.27487123</c:v>
                </c:pt>
                <c:pt idx="14">
                  <c:v>-147708042.72111553</c:v>
                </c:pt>
                <c:pt idx="15">
                  <c:v>-140595551.94726315</c:v>
                </c:pt>
                <c:pt idx="16">
                  <c:v>-135653009.31778935</c:v>
                </c:pt>
                <c:pt idx="17">
                  <c:v>-128291420.34319794</c:v>
                </c:pt>
                <c:pt idx="18">
                  <c:v>-117599688.46383192</c:v>
                </c:pt>
                <c:pt idx="19">
                  <c:v>-105183531.42637737</c:v>
                </c:pt>
                <c:pt idx="20">
                  <c:v>-95561151.712103516</c:v>
                </c:pt>
                <c:pt idx="21">
                  <c:v>-89430207.045200154</c:v>
                </c:pt>
                <c:pt idx="22">
                  <c:v>-84635874.376050174</c:v>
                </c:pt>
                <c:pt idx="23">
                  <c:v>-79528022.767451733</c:v>
                </c:pt>
                <c:pt idx="24">
                  <c:v>-71722330.932817623</c:v>
                </c:pt>
                <c:pt idx="25">
                  <c:v>-63982979.690385759</c:v>
                </c:pt>
                <c:pt idx="26">
                  <c:v>-57598295.215139583</c:v>
                </c:pt>
                <c:pt idx="27">
                  <c:v>-51443403.214701563</c:v>
                </c:pt>
                <c:pt idx="28">
                  <c:v>-47232299.881073818</c:v>
                </c:pt>
                <c:pt idx="29">
                  <c:v>-40923799.473720029</c:v>
                </c:pt>
                <c:pt idx="30">
                  <c:v>-31716931.449294254</c:v>
                </c:pt>
                <c:pt idx="31">
                  <c:v>-20957309.360804245</c:v>
                </c:pt>
                <c:pt idx="32">
                  <c:v>-12609641.256654311</c:v>
                </c:pt>
                <c:pt idx="33">
                  <c:v>-7305388.3141014175</c:v>
                </c:pt>
                <c:pt idx="34">
                  <c:v>-3187872.5109159886</c:v>
                </c:pt>
                <c:pt idx="35">
                  <c:v>1170362.6120883278</c:v>
                </c:pt>
                <c:pt idx="36">
                  <c:v>7898624.2911753617</c:v>
                </c:pt>
                <c:pt idx="37">
                  <c:v>14576837.430515518</c:v>
                </c:pt>
                <c:pt idx="38">
                  <c:v>20082288.113491334</c:v>
                </c:pt>
                <c:pt idx="39">
                  <c:v>25399438.318406064</c:v>
                </c:pt>
                <c:pt idx="40">
                  <c:v>28974293.134229742</c:v>
                </c:pt>
                <c:pt idx="41">
                  <c:v>34364931.698976487</c:v>
                </c:pt>
                <c:pt idx="42">
                  <c:v>42275290.508510068</c:v>
                </c:pt>
                <c:pt idx="43">
                  <c:v>51584881.66183728</c:v>
                </c:pt>
                <c:pt idx="44">
                  <c:v>58816238.251344629</c:v>
                </c:pt>
                <c:pt idx="45">
                  <c:v>63397340.249284655</c:v>
                </c:pt>
                <c:pt idx="46">
                  <c:v>66924480.590341955</c:v>
                </c:pt>
                <c:pt idx="47">
                  <c:v>71012167.676285639</c:v>
                </c:pt>
              </c:numCache>
            </c:numRef>
          </c:val>
          <c:smooth val="1"/>
          <c:extLst>
            <c:ext xmlns:c16="http://schemas.microsoft.com/office/drawing/2014/chart" uri="{C3380CC4-5D6E-409C-BE32-E72D297353CC}">
              <c16:uniqueId val="{00000000-56CC-BA4F-B54B-041F2AE29ECA}"/>
            </c:ext>
          </c:extLst>
        </c:ser>
        <c:dLbls>
          <c:showLegendKey val="0"/>
          <c:showVal val="0"/>
          <c:showCatName val="0"/>
          <c:showSerName val="0"/>
          <c:showPercent val="0"/>
          <c:showBubbleSize val="0"/>
        </c:dLbls>
        <c:smooth val="0"/>
        <c:axId val="563318744"/>
        <c:axId val="563322488"/>
      </c:lineChart>
      <c:catAx>
        <c:axId val="563318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563322488"/>
        <c:crosses val="autoZero"/>
        <c:auto val="1"/>
        <c:lblAlgn val="ctr"/>
        <c:lblOffset val="100"/>
        <c:noMultiLvlLbl val="0"/>
      </c:catAx>
      <c:valAx>
        <c:axId val="5633224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5633187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5</xdr:row>
          <xdr:rowOff>38100</xdr:rowOff>
        </xdr:from>
        <xdr:to>
          <xdr:col>0</xdr:col>
          <xdr:colOff>289560</xdr:colOff>
          <xdr:row>5</xdr:row>
          <xdr:rowOff>289560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xdr:colOff>
          <xdr:row>5</xdr:row>
          <xdr:rowOff>38100</xdr:rowOff>
        </xdr:from>
        <xdr:to>
          <xdr:col>6</xdr:col>
          <xdr:colOff>0</xdr:colOff>
          <xdr:row>5</xdr:row>
          <xdr:rowOff>289560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90000" tIns="10800" rIns="90000" bIns="10800" anchor="ctr" upright="1"/>
            <a:lstStyle/>
            <a:p>
              <a:pPr algn="ctr" rtl="0">
                <a:defRPr sz="1000"/>
              </a:pPr>
              <a:r>
                <a:rPr lang="ru-RU" sz="1000" b="0" i="0" u="none" strike="noStrike" baseline="0">
                  <a:solidFill>
                    <a:srgbClr val="000000"/>
                  </a:solidFill>
                  <a:latin typeface="Calibri"/>
                  <a:cs typeface="Calibri"/>
                </a:rPr>
                <a:t>Изменить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xdr:row>
          <xdr:rowOff>38100</xdr:rowOff>
        </xdr:from>
        <xdr:to>
          <xdr:col>0</xdr:col>
          <xdr:colOff>289560</xdr:colOff>
          <xdr:row>13</xdr:row>
          <xdr:rowOff>289560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38100</xdr:rowOff>
        </xdr:from>
        <xdr:to>
          <xdr:col>6</xdr:col>
          <xdr:colOff>0</xdr:colOff>
          <xdr:row>13</xdr:row>
          <xdr:rowOff>289560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90000" tIns="10800" rIns="90000" bIns="10800" anchor="ctr" upright="1"/>
            <a:lstStyle/>
            <a:p>
              <a:pPr algn="ctr" rtl="0">
                <a:defRPr sz="1000"/>
              </a:pPr>
              <a:r>
                <a:rPr lang="ru-RU" sz="1000" b="0" i="0" u="none" strike="noStrike" baseline="0">
                  <a:solidFill>
                    <a:srgbClr val="000000"/>
                  </a:solidFill>
                  <a:latin typeface="Calibri"/>
                  <a:cs typeface="Calibri"/>
                </a:rPr>
                <a:t>Изменить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37</xdr:row>
          <xdr:rowOff>38100</xdr:rowOff>
        </xdr:from>
        <xdr:to>
          <xdr:col>0</xdr:col>
          <xdr:colOff>289560</xdr:colOff>
          <xdr:row>37</xdr:row>
          <xdr:rowOff>289560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37</xdr:row>
          <xdr:rowOff>38100</xdr:rowOff>
        </xdr:from>
        <xdr:to>
          <xdr:col>6</xdr:col>
          <xdr:colOff>0</xdr:colOff>
          <xdr:row>37</xdr:row>
          <xdr:rowOff>289560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90000" tIns="10800" rIns="90000" bIns="10800" anchor="ctr" upright="1"/>
            <a:lstStyle/>
            <a:p>
              <a:pPr algn="ctr" rtl="0">
                <a:defRPr sz="1000"/>
              </a:pPr>
              <a:r>
                <a:rPr lang="ru-RU" sz="1000" b="0" i="0" u="none" strike="noStrike" baseline="0">
                  <a:solidFill>
                    <a:srgbClr val="000000"/>
                  </a:solidFill>
                  <a:latin typeface="Calibri"/>
                  <a:cs typeface="Calibri"/>
                </a:rPr>
                <a:t>Изменить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67</xdr:row>
          <xdr:rowOff>38100</xdr:rowOff>
        </xdr:from>
        <xdr:to>
          <xdr:col>0</xdr:col>
          <xdr:colOff>289560</xdr:colOff>
          <xdr:row>67</xdr:row>
          <xdr:rowOff>289560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67</xdr:row>
          <xdr:rowOff>38100</xdr:rowOff>
        </xdr:from>
        <xdr:to>
          <xdr:col>6</xdr:col>
          <xdr:colOff>0</xdr:colOff>
          <xdr:row>67</xdr:row>
          <xdr:rowOff>289560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90000" tIns="10800" rIns="90000" bIns="10800" anchor="ctr" upright="1"/>
            <a:lstStyle/>
            <a:p>
              <a:pPr algn="ctr" rtl="0">
                <a:defRPr sz="1000"/>
              </a:pPr>
              <a:r>
                <a:rPr lang="ru-RU" sz="1000" b="0" i="0" u="none" strike="noStrike" baseline="0">
                  <a:solidFill>
                    <a:srgbClr val="000000"/>
                  </a:solidFill>
                  <a:latin typeface="Calibri"/>
                  <a:cs typeface="Calibri"/>
                </a:rPr>
                <a:t>Изменить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112</xdr:row>
          <xdr:rowOff>38100</xdr:rowOff>
        </xdr:from>
        <xdr:to>
          <xdr:col>0</xdr:col>
          <xdr:colOff>289560</xdr:colOff>
          <xdr:row>112</xdr:row>
          <xdr:rowOff>289560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3</xdr:row>
          <xdr:rowOff>38100</xdr:rowOff>
        </xdr:from>
        <xdr:to>
          <xdr:col>0</xdr:col>
          <xdr:colOff>289560</xdr:colOff>
          <xdr:row>3</xdr:row>
          <xdr:rowOff>289560</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100-000005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54</xdr:row>
          <xdr:rowOff>38100</xdr:rowOff>
        </xdr:from>
        <xdr:to>
          <xdr:col>0</xdr:col>
          <xdr:colOff>289560</xdr:colOff>
          <xdr:row>54</xdr:row>
          <xdr:rowOff>289560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100-000007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101</xdr:row>
          <xdr:rowOff>38100</xdr:rowOff>
        </xdr:from>
        <xdr:to>
          <xdr:col>0</xdr:col>
          <xdr:colOff>289560</xdr:colOff>
          <xdr:row>101</xdr:row>
          <xdr:rowOff>289560</xdr:rowOff>
        </xdr:to>
        <xdr:sp macro="" textlink="">
          <xdr:nvSpPr>
            <xdr:cNvPr id="20488" name="Button 8" hidden="1">
              <a:extLst>
                <a:ext uri="{63B3BB69-23CF-44E3-9099-C40C66FF867C}">
                  <a14:compatExt spid="_x0000_s20488"/>
                </a:ext>
                <a:ext uri="{FF2B5EF4-FFF2-40B4-BE49-F238E27FC236}">
                  <a16:creationId xmlns:a16="http://schemas.microsoft.com/office/drawing/2014/main" id="{00000000-0008-0000-0100-000008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101</xdr:row>
          <xdr:rowOff>38100</xdr:rowOff>
        </xdr:from>
        <xdr:to>
          <xdr:col>6</xdr:col>
          <xdr:colOff>0</xdr:colOff>
          <xdr:row>101</xdr:row>
          <xdr:rowOff>289560</xdr:rowOff>
        </xdr:to>
        <xdr:sp macro="" textlink="">
          <xdr:nvSpPr>
            <xdr:cNvPr id="20490" name="Button 10" hidden="1">
              <a:extLst>
                <a:ext uri="{63B3BB69-23CF-44E3-9099-C40C66FF867C}">
                  <a14:compatExt spid="_x0000_s20490"/>
                </a:ext>
                <a:ext uri="{FF2B5EF4-FFF2-40B4-BE49-F238E27FC236}">
                  <a16:creationId xmlns:a16="http://schemas.microsoft.com/office/drawing/2014/main" id="{00000000-0008-0000-0100-00000A500000}"/>
                </a:ext>
              </a:extLst>
            </xdr:cNvPr>
            <xdr:cNvSpPr/>
          </xdr:nvSpPr>
          <xdr:spPr bwMode="auto">
            <a:xfrm>
              <a:off x="0" y="0"/>
              <a:ext cx="0" cy="0"/>
            </a:xfrm>
            <a:prstGeom prst="rect">
              <a:avLst/>
            </a:prstGeom>
            <a:noFill/>
            <a:ln w="9525">
              <a:miter lim="800000"/>
              <a:headEnd/>
              <a:tailEnd/>
            </a:ln>
          </xdr:spPr>
          <xdr:txBody>
            <a:bodyPr vertOverflow="clip" wrap="square" lIns="90000" tIns="10800" rIns="90000" bIns="10800" anchor="ctr" upright="1"/>
            <a:lstStyle/>
            <a:p>
              <a:pPr algn="ctr" rtl="0">
                <a:defRPr sz="1000"/>
              </a:pPr>
              <a:r>
                <a:rPr lang="ru-RU" sz="1000" b="0" i="0" u="none" strike="noStrike" baseline="0">
                  <a:solidFill>
                    <a:srgbClr val="000000"/>
                  </a:solidFill>
                  <a:latin typeface="Calibri"/>
                  <a:cs typeface="Calibri"/>
                </a:rPr>
                <a:t>Изменить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89</xdr:row>
          <xdr:rowOff>38100</xdr:rowOff>
        </xdr:from>
        <xdr:to>
          <xdr:col>0</xdr:col>
          <xdr:colOff>289560</xdr:colOff>
          <xdr:row>89</xdr:row>
          <xdr:rowOff>289560</xdr:rowOff>
        </xdr:to>
        <xdr:sp macro="" textlink="">
          <xdr:nvSpPr>
            <xdr:cNvPr id="20491" name="Button 11" hidden="1">
              <a:extLst>
                <a:ext uri="{63B3BB69-23CF-44E3-9099-C40C66FF867C}">
                  <a14:compatExt spid="_x0000_s20491"/>
                </a:ext>
                <a:ext uri="{FF2B5EF4-FFF2-40B4-BE49-F238E27FC236}">
                  <a16:creationId xmlns:a16="http://schemas.microsoft.com/office/drawing/2014/main" id="{00000000-0008-0000-0100-00000B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1188</xdr:row>
          <xdr:rowOff>38100</xdr:rowOff>
        </xdr:from>
        <xdr:to>
          <xdr:col>0</xdr:col>
          <xdr:colOff>289560</xdr:colOff>
          <xdr:row>1188</xdr:row>
          <xdr:rowOff>289560</xdr:rowOff>
        </xdr:to>
        <xdr:sp macro="" textlink="">
          <xdr:nvSpPr>
            <xdr:cNvPr id="1046" name="Button 22" descr="..." hidden="1">
              <a:extLst>
                <a:ext uri="{63B3BB69-23CF-44E3-9099-C40C66FF867C}">
                  <a14:compatExt spid="_x0000_s1046"/>
                </a:ext>
                <a:ext uri="{FF2B5EF4-FFF2-40B4-BE49-F238E27FC236}">
                  <a16:creationId xmlns:a16="http://schemas.microsoft.com/office/drawing/2014/main" id="{00000000-0008-0000-0200-00001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1188</xdr:row>
          <xdr:rowOff>38100</xdr:rowOff>
        </xdr:from>
        <xdr:to>
          <xdr:col>6</xdr:col>
          <xdr:colOff>0</xdr:colOff>
          <xdr:row>1188</xdr:row>
          <xdr:rowOff>289560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w="9525">
              <a:miter lim="800000"/>
              <a:headEnd/>
              <a:tailEnd/>
            </a:ln>
          </xdr:spPr>
          <xdr:txBody>
            <a:bodyPr vertOverflow="clip" wrap="square" lIns="90000" tIns="10800" rIns="90000" bIns="10800" anchor="ctr" upright="1"/>
            <a:lstStyle/>
            <a:p>
              <a:pPr algn="ctr" rtl="0">
                <a:defRPr sz="1000"/>
              </a:pPr>
              <a:r>
                <a:rPr lang="ru-RU" sz="1000" b="0" i="0" u="none" strike="noStrike" baseline="0">
                  <a:solidFill>
                    <a:srgbClr val="000000"/>
                  </a:solidFill>
                  <a:latin typeface="Calibri"/>
                  <a:cs typeface="Calibri"/>
                </a:rPr>
                <a:t>Изменить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1167</xdr:row>
          <xdr:rowOff>38100</xdr:rowOff>
        </xdr:from>
        <xdr:to>
          <xdr:col>0</xdr:col>
          <xdr:colOff>289560</xdr:colOff>
          <xdr:row>1167</xdr:row>
          <xdr:rowOff>289560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200-00001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1167</xdr:row>
          <xdr:rowOff>38100</xdr:rowOff>
        </xdr:from>
        <xdr:to>
          <xdr:col>6</xdr:col>
          <xdr:colOff>0</xdr:colOff>
          <xdr:row>1167</xdr:row>
          <xdr:rowOff>289560</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200-000019040000}"/>
                </a:ext>
              </a:extLst>
            </xdr:cNvPr>
            <xdr:cNvSpPr/>
          </xdr:nvSpPr>
          <xdr:spPr bwMode="auto">
            <a:xfrm>
              <a:off x="0" y="0"/>
              <a:ext cx="0" cy="0"/>
            </a:xfrm>
            <a:prstGeom prst="rect">
              <a:avLst/>
            </a:prstGeom>
            <a:noFill/>
            <a:ln w="9525">
              <a:miter lim="800000"/>
              <a:headEnd/>
              <a:tailEnd/>
            </a:ln>
          </xdr:spPr>
          <xdr:txBody>
            <a:bodyPr vertOverflow="clip" wrap="square" lIns="90000" tIns="10800" rIns="90000" bIns="10800" anchor="ctr" upright="1"/>
            <a:lstStyle/>
            <a:p>
              <a:pPr algn="ctr" rtl="0">
                <a:defRPr sz="1000"/>
              </a:pPr>
              <a:r>
                <a:rPr lang="ru-RU" sz="1000" b="0" i="0" u="none" strike="noStrike" baseline="0">
                  <a:solidFill>
                    <a:srgbClr val="000000"/>
                  </a:solidFill>
                  <a:latin typeface="Calibri"/>
                  <a:cs typeface="Calibri"/>
                </a:rPr>
                <a:t>Изменить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637</xdr:row>
          <xdr:rowOff>38100</xdr:rowOff>
        </xdr:from>
        <xdr:to>
          <xdr:col>0</xdr:col>
          <xdr:colOff>289560</xdr:colOff>
          <xdr:row>637</xdr:row>
          <xdr:rowOff>289560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637</xdr:row>
          <xdr:rowOff>38100</xdr:rowOff>
        </xdr:from>
        <xdr:to>
          <xdr:col>6</xdr:col>
          <xdr:colOff>0</xdr:colOff>
          <xdr:row>637</xdr:row>
          <xdr:rowOff>289560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200-00001B040000}"/>
                </a:ext>
              </a:extLst>
            </xdr:cNvPr>
            <xdr:cNvSpPr/>
          </xdr:nvSpPr>
          <xdr:spPr bwMode="auto">
            <a:xfrm>
              <a:off x="0" y="0"/>
              <a:ext cx="0" cy="0"/>
            </a:xfrm>
            <a:prstGeom prst="rect">
              <a:avLst/>
            </a:prstGeom>
            <a:noFill/>
            <a:ln w="9525">
              <a:miter lim="800000"/>
              <a:headEnd/>
              <a:tailEnd/>
            </a:ln>
          </xdr:spPr>
          <xdr:txBody>
            <a:bodyPr vertOverflow="clip" wrap="square" lIns="90000" tIns="10800" rIns="90000" bIns="10800" anchor="ctr" upright="1"/>
            <a:lstStyle/>
            <a:p>
              <a:pPr algn="ctr" rtl="0">
                <a:defRPr sz="1000"/>
              </a:pPr>
              <a:r>
                <a:rPr lang="ru-RU" sz="1000" b="0" i="0" u="none" strike="noStrike" baseline="0">
                  <a:solidFill>
                    <a:srgbClr val="000000"/>
                  </a:solidFill>
                  <a:latin typeface="Calibri"/>
                  <a:cs typeface="Calibri"/>
                </a:rPr>
                <a:t>Изменить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999</xdr:row>
          <xdr:rowOff>38100</xdr:rowOff>
        </xdr:from>
        <xdr:to>
          <xdr:col>0</xdr:col>
          <xdr:colOff>289560</xdr:colOff>
          <xdr:row>1095</xdr:row>
          <xdr:rowOff>76200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999</xdr:row>
          <xdr:rowOff>38100</xdr:rowOff>
        </xdr:from>
        <xdr:to>
          <xdr:col>6</xdr:col>
          <xdr:colOff>0</xdr:colOff>
          <xdr:row>1095</xdr:row>
          <xdr:rowOff>76200</xdr:rowOff>
        </xdr:to>
        <xdr:sp macro="" textlink="">
          <xdr:nvSpPr>
            <xdr:cNvPr id="1085" name="Button 61" hidden="1">
              <a:extLst>
                <a:ext uri="{63B3BB69-23CF-44E3-9099-C40C66FF867C}">
                  <a14:compatExt spid="_x0000_s1085"/>
                </a:ext>
                <a:ext uri="{FF2B5EF4-FFF2-40B4-BE49-F238E27FC236}">
                  <a16:creationId xmlns:a16="http://schemas.microsoft.com/office/drawing/2014/main" id="{00000000-0008-0000-0200-00003D040000}"/>
                </a:ext>
              </a:extLst>
            </xdr:cNvPr>
            <xdr:cNvSpPr/>
          </xdr:nvSpPr>
          <xdr:spPr bwMode="auto">
            <a:xfrm>
              <a:off x="0" y="0"/>
              <a:ext cx="0" cy="0"/>
            </a:xfrm>
            <a:prstGeom prst="rect">
              <a:avLst/>
            </a:prstGeom>
            <a:noFill/>
            <a:ln w="9525">
              <a:miter lim="800000"/>
              <a:headEnd/>
              <a:tailEnd/>
            </a:ln>
          </xdr:spPr>
          <xdr:txBody>
            <a:bodyPr vertOverflow="clip" wrap="square" lIns="90000" tIns="10800" rIns="90000" bIns="10800" anchor="ctr" upright="1"/>
            <a:lstStyle/>
            <a:p>
              <a:pPr algn="ctr" rtl="0">
                <a:defRPr sz="1000"/>
              </a:pPr>
              <a:r>
                <a:rPr lang="ru-RU" sz="1000" b="0" i="0" u="none" strike="noStrike" baseline="0">
                  <a:solidFill>
                    <a:srgbClr val="000000"/>
                  </a:solidFill>
                  <a:latin typeface="Calibri"/>
                  <a:cs typeface="Calibri"/>
                </a:rPr>
                <a:t>Изменить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1055</xdr:row>
          <xdr:rowOff>38100</xdr:rowOff>
        </xdr:from>
        <xdr:to>
          <xdr:col>0</xdr:col>
          <xdr:colOff>289560</xdr:colOff>
          <xdr:row>1095</xdr:row>
          <xdr:rowOff>76200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200-00003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1055</xdr:row>
          <xdr:rowOff>38100</xdr:rowOff>
        </xdr:from>
        <xdr:to>
          <xdr:col>6</xdr:col>
          <xdr:colOff>0</xdr:colOff>
          <xdr:row>1095</xdr:row>
          <xdr:rowOff>76200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200-00003F040000}"/>
                </a:ext>
              </a:extLst>
            </xdr:cNvPr>
            <xdr:cNvSpPr/>
          </xdr:nvSpPr>
          <xdr:spPr bwMode="auto">
            <a:xfrm>
              <a:off x="0" y="0"/>
              <a:ext cx="0" cy="0"/>
            </a:xfrm>
            <a:prstGeom prst="rect">
              <a:avLst/>
            </a:prstGeom>
            <a:noFill/>
            <a:ln w="9525">
              <a:miter lim="800000"/>
              <a:headEnd/>
              <a:tailEnd/>
            </a:ln>
          </xdr:spPr>
          <xdr:txBody>
            <a:bodyPr vertOverflow="clip" wrap="square" lIns="90000" tIns="10800" rIns="90000" bIns="10800" anchor="ctr" upright="1"/>
            <a:lstStyle/>
            <a:p>
              <a:pPr algn="ctr" rtl="0">
                <a:defRPr sz="1000"/>
              </a:pPr>
              <a:r>
                <a:rPr lang="ru-RU" sz="1000" b="0" i="0" u="none" strike="noStrike" baseline="0">
                  <a:solidFill>
                    <a:srgbClr val="000000"/>
                  </a:solidFill>
                  <a:latin typeface="Calibri"/>
                  <a:cs typeface="Calibri"/>
                </a:rPr>
                <a:t>Изменить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422</xdr:row>
          <xdr:rowOff>38100</xdr:rowOff>
        </xdr:from>
        <xdr:to>
          <xdr:col>0</xdr:col>
          <xdr:colOff>289560</xdr:colOff>
          <xdr:row>422</xdr:row>
          <xdr:rowOff>289560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200-00004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422</xdr:row>
          <xdr:rowOff>38100</xdr:rowOff>
        </xdr:from>
        <xdr:to>
          <xdr:col>6</xdr:col>
          <xdr:colOff>0</xdr:colOff>
          <xdr:row>422</xdr:row>
          <xdr:rowOff>289560</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200-000042040000}"/>
                </a:ext>
              </a:extLst>
            </xdr:cNvPr>
            <xdr:cNvSpPr/>
          </xdr:nvSpPr>
          <xdr:spPr bwMode="auto">
            <a:xfrm>
              <a:off x="0" y="0"/>
              <a:ext cx="0" cy="0"/>
            </a:xfrm>
            <a:prstGeom prst="rect">
              <a:avLst/>
            </a:prstGeom>
            <a:noFill/>
            <a:ln w="9525">
              <a:miter lim="800000"/>
              <a:headEnd/>
              <a:tailEnd/>
            </a:ln>
          </xdr:spPr>
          <xdr:txBody>
            <a:bodyPr vertOverflow="clip" wrap="square" lIns="90000" tIns="10800" rIns="90000" bIns="10800" anchor="ctr" upright="1"/>
            <a:lstStyle/>
            <a:p>
              <a:pPr algn="ctr" rtl="0">
                <a:defRPr sz="1000"/>
              </a:pPr>
              <a:r>
                <a:rPr lang="ru-RU" sz="1000" b="0" i="0" u="none" strike="noStrike" baseline="0">
                  <a:solidFill>
                    <a:srgbClr val="000000"/>
                  </a:solidFill>
                  <a:latin typeface="Calibri"/>
                  <a:cs typeface="Calibri"/>
                </a:rPr>
                <a:t>Изменить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283</xdr:row>
          <xdr:rowOff>38100</xdr:rowOff>
        </xdr:from>
        <xdr:to>
          <xdr:col>0</xdr:col>
          <xdr:colOff>289560</xdr:colOff>
          <xdr:row>283</xdr:row>
          <xdr:rowOff>289560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200-00004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283</xdr:row>
          <xdr:rowOff>38100</xdr:rowOff>
        </xdr:from>
        <xdr:to>
          <xdr:col>6</xdr:col>
          <xdr:colOff>0</xdr:colOff>
          <xdr:row>283</xdr:row>
          <xdr:rowOff>289560</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200-000044040000}"/>
                </a:ext>
              </a:extLst>
            </xdr:cNvPr>
            <xdr:cNvSpPr/>
          </xdr:nvSpPr>
          <xdr:spPr bwMode="auto">
            <a:xfrm>
              <a:off x="0" y="0"/>
              <a:ext cx="0" cy="0"/>
            </a:xfrm>
            <a:prstGeom prst="rect">
              <a:avLst/>
            </a:prstGeom>
            <a:noFill/>
            <a:ln w="9525">
              <a:miter lim="800000"/>
              <a:headEnd/>
              <a:tailEnd/>
            </a:ln>
          </xdr:spPr>
          <xdr:txBody>
            <a:bodyPr vertOverflow="clip" wrap="square" lIns="90000" tIns="10800" rIns="90000" bIns="10800" anchor="ctr" upright="1"/>
            <a:lstStyle/>
            <a:p>
              <a:pPr algn="ctr" rtl="0">
                <a:defRPr sz="1000"/>
              </a:pPr>
              <a:r>
                <a:rPr lang="ru-RU" sz="1000" b="0" i="0" u="none" strike="noStrike" baseline="0">
                  <a:solidFill>
                    <a:srgbClr val="000000"/>
                  </a:solidFill>
                  <a:latin typeface="Calibri"/>
                  <a:cs typeface="Calibri"/>
                </a:rPr>
                <a:t>Изменить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3</xdr:row>
          <xdr:rowOff>38100</xdr:rowOff>
        </xdr:from>
        <xdr:to>
          <xdr:col>0</xdr:col>
          <xdr:colOff>289560</xdr:colOff>
          <xdr:row>3</xdr:row>
          <xdr:rowOff>289560</xdr:rowOff>
        </xdr:to>
        <xdr:sp macro="" textlink="">
          <xdr:nvSpPr>
            <xdr:cNvPr id="1109" name="Button 85" hidden="1">
              <a:extLst>
                <a:ext uri="{63B3BB69-23CF-44E3-9099-C40C66FF867C}">
                  <a14:compatExt spid="_x0000_s1109"/>
                </a:ext>
                <a:ext uri="{FF2B5EF4-FFF2-40B4-BE49-F238E27FC236}">
                  <a16:creationId xmlns:a16="http://schemas.microsoft.com/office/drawing/2014/main" id="{00000000-0008-0000-0200-00005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xdr:row>
          <xdr:rowOff>38100</xdr:rowOff>
        </xdr:from>
        <xdr:to>
          <xdr:col>6</xdr:col>
          <xdr:colOff>0</xdr:colOff>
          <xdr:row>3</xdr:row>
          <xdr:rowOff>289560</xdr:rowOff>
        </xdr:to>
        <xdr:sp macro="" textlink="">
          <xdr:nvSpPr>
            <xdr:cNvPr id="1110" name="Button 86" hidden="1">
              <a:extLst>
                <a:ext uri="{63B3BB69-23CF-44E3-9099-C40C66FF867C}">
                  <a14:compatExt spid="_x0000_s1110"/>
                </a:ext>
                <a:ext uri="{FF2B5EF4-FFF2-40B4-BE49-F238E27FC236}">
                  <a16:creationId xmlns:a16="http://schemas.microsoft.com/office/drawing/2014/main" id="{00000000-0008-0000-0200-000056040000}"/>
                </a:ext>
              </a:extLst>
            </xdr:cNvPr>
            <xdr:cNvSpPr/>
          </xdr:nvSpPr>
          <xdr:spPr bwMode="auto">
            <a:xfrm>
              <a:off x="0" y="0"/>
              <a:ext cx="0" cy="0"/>
            </a:xfrm>
            <a:prstGeom prst="rect">
              <a:avLst/>
            </a:prstGeom>
            <a:noFill/>
            <a:ln w="9525">
              <a:miter lim="800000"/>
              <a:headEnd/>
              <a:tailEnd/>
            </a:ln>
          </xdr:spPr>
          <xdr:txBody>
            <a:bodyPr vertOverflow="clip" wrap="square" lIns="90000" tIns="10800" rIns="90000" bIns="10800" anchor="ctr" upright="1"/>
            <a:lstStyle/>
            <a:p>
              <a:pPr algn="ctr" rtl="0">
                <a:defRPr sz="1000"/>
              </a:pPr>
              <a:r>
                <a:rPr lang="ru-RU" sz="1000" b="0" i="0" u="none" strike="noStrike" baseline="0">
                  <a:solidFill>
                    <a:srgbClr val="000000"/>
                  </a:solidFill>
                  <a:latin typeface="Calibri"/>
                  <a:cs typeface="Calibri"/>
                </a:rPr>
                <a:t>Изменить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139</xdr:row>
          <xdr:rowOff>38100</xdr:rowOff>
        </xdr:from>
        <xdr:to>
          <xdr:col>0</xdr:col>
          <xdr:colOff>289560</xdr:colOff>
          <xdr:row>139</xdr:row>
          <xdr:rowOff>289560</xdr:rowOff>
        </xdr:to>
        <xdr:sp macro="" textlink="">
          <xdr:nvSpPr>
            <xdr:cNvPr id="1111" name="Button 87" hidden="1">
              <a:extLst>
                <a:ext uri="{63B3BB69-23CF-44E3-9099-C40C66FF867C}">
                  <a14:compatExt spid="_x0000_s1111"/>
                </a:ext>
                <a:ext uri="{FF2B5EF4-FFF2-40B4-BE49-F238E27FC236}">
                  <a16:creationId xmlns:a16="http://schemas.microsoft.com/office/drawing/2014/main" id="{00000000-0008-0000-0200-00005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139</xdr:row>
          <xdr:rowOff>38100</xdr:rowOff>
        </xdr:from>
        <xdr:to>
          <xdr:col>6</xdr:col>
          <xdr:colOff>0</xdr:colOff>
          <xdr:row>139</xdr:row>
          <xdr:rowOff>289560</xdr:rowOff>
        </xdr:to>
        <xdr:sp macro="" textlink="">
          <xdr:nvSpPr>
            <xdr:cNvPr id="1112" name="Button 88" hidden="1">
              <a:extLst>
                <a:ext uri="{63B3BB69-23CF-44E3-9099-C40C66FF867C}">
                  <a14:compatExt spid="_x0000_s1112"/>
                </a:ext>
                <a:ext uri="{FF2B5EF4-FFF2-40B4-BE49-F238E27FC236}">
                  <a16:creationId xmlns:a16="http://schemas.microsoft.com/office/drawing/2014/main" id="{00000000-0008-0000-0200-000058040000}"/>
                </a:ext>
              </a:extLst>
            </xdr:cNvPr>
            <xdr:cNvSpPr/>
          </xdr:nvSpPr>
          <xdr:spPr bwMode="auto">
            <a:xfrm>
              <a:off x="0" y="0"/>
              <a:ext cx="0" cy="0"/>
            </a:xfrm>
            <a:prstGeom prst="rect">
              <a:avLst/>
            </a:prstGeom>
            <a:noFill/>
            <a:ln w="9525">
              <a:miter lim="800000"/>
              <a:headEnd/>
              <a:tailEnd/>
            </a:ln>
          </xdr:spPr>
          <xdr:txBody>
            <a:bodyPr vertOverflow="clip" wrap="square" lIns="90000" tIns="10800" rIns="90000" bIns="10800" anchor="ctr" upright="1"/>
            <a:lstStyle/>
            <a:p>
              <a:pPr algn="ctr" rtl="0">
                <a:defRPr sz="1000"/>
              </a:pPr>
              <a:r>
                <a:rPr lang="ru-RU" sz="1000" b="0" i="0" u="none" strike="noStrike" baseline="0">
                  <a:solidFill>
                    <a:srgbClr val="000000"/>
                  </a:solidFill>
                  <a:latin typeface="Calibri"/>
                  <a:cs typeface="Calibri"/>
                </a:rPr>
                <a:t>Изменить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1268</xdr:row>
          <xdr:rowOff>38100</xdr:rowOff>
        </xdr:from>
        <xdr:to>
          <xdr:col>0</xdr:col>
          <xdr:colOff>289560</xdr:colOff>
          <xdr:row>1268</xdr:row>
          <xdr:rowOff>289560</xdr:rowOff>
        </xdr:to>
        <xdr:sp macro="" textlink="">
          <xdr:nvSpPr>
            <xdr:cNvPr id="1113" name="Button 89" descr="..." hidden="1">
              <a:extLst>
                <a:ext uri="{63B3BB69-23CF-44E3-9099-C40C66FF867C}">
                  <a14:compatExt spid="_x0000_s1113"/>
                </a:ext>
                <a:ext uri="{FF2B5EF4-FFF2-40B4-BE49-F238E27FC236}">
                  <a16:creationId xmlns:a16="http://schemas.microsoft.com/office/drawing/2014/main" id="{00000000-0008-0000-0200-00005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569</xdr:row>
          <xdr:rowOff>38100</xdr:rowOff>
        </xdr:from>
        <xdr:to>
          <xdr:col>0</xdr:col>
          <xdr:colOff>289560</xdr:colOff>
          <xdr:row>569</xdr:row>
          <xdr:rowOff>289560</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200-00005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1141</xdr:row>
          <xdr:rowOff>38100</xdr:rowOff>
        </xdr:from>
        <xdr:to>
          <xdr:col>0</xdr:col>
          <xdr:colOff>289560</xdr:colOff>
          <xdr:row>1167</xdr:row>
          <xdr:rowOff>76200</xdr:rowOff>
        </xdr:to>
        <xdr:sp macro="" textlink="">
          <xdr:nvSpPr>
            <xdr:cNvPr id="1117" name="Button 93" hidden="1">
              <a:extLst>
                <a:ext uri="{63B3BB69-23CF-44E3-9099-C40C66FF867C}">
                  <a14:compatExt spid="_x0000_s1117"/>
                </a:ext>
                <a:ext uri="{FF2B5EF4-FFF2-40B4-BE49-F238E27FC236}">
                  <a16:creationId xmlns:a16="http://schemas.microsoft.com/office/drawing/2014/main" id="{00000000-0008-0000-0200-00005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1141</xdr:row>
          <xdr:rowOff>38100</xdr:rowOff>
        </xdr:from>
        <xdr:to>
          <xdr:col>6</xdr:col>
          <xdr:colOff>0</xdr:colOff>
          <xdr:row>1167</xdr:row>
          <xdr:rowOff>76200</xdr:rowOff>
        </xdr:to>
        <xdr:sp macro="" textlink="">
          <xdr:nvSpPr>
            <xdr:cNvPr id="1118" name="Button 94" hidden="1">
              <a:extLst>
                <a:ext uri="{63B3BB69-23CF-44E3-9099-C40C66FF867C}">
                  <a14:compatExt spid="_x0000_s1118"/>
                </a:ext>
                <a:ext uri="{FF2B5EF4-FFF2-40B4-BE49-F238E27FC236}">
                  <a16:creationId xmlns:a16="http://schemas.microsoft.com/office/drawing/2014/main" id="{00000000-0008-0000-0200-00005E040000}"/>
                </a:ext>
              </a:extLst>
            </xdr:cNvPr>
            <xdr:cNvSpPr/>
          </xdr:nvSpPr>
          <xdr:spPr bwMode="auto">
            <a:xfrm>
              <a:off x="0" y="0"/>
              <a:ext cx="0" cy="0"/>
            </a:xfrm>
            <a:prstGeom prst="rect">
              <a:avLst/>
            </a:prstGeom>
            <a:noFill/>
            <a:ln w="9525">
              <a:miter lim="800000"/>
              <a:headEnd/>
              <a:tailEnd/>
            </a:ln>
          </xdr:spPr>
          <xdr:txBody>
            <a:bodyPr vertOverflow="clip" wrap="square" lIns="90000" tIns="10800" rIns="90000" bIns="10800" anchor="ctr" upright="1"/>
            <a:lstStyle/>
            <a:p>
              <a:pPr algn="ctr" rtl="0">
                <a:defRPr sz="1000"/>
              </a:pPr>
              <a:r>
                <a:rPr lang="ru-RU" sz="1000" b="0" i="0" u="none" strike="noStrike" baseline="0">
                  <a:solidFill>
                    <a:srgbClr val="000000"/>
                  </a:solidFill>
                  <a:latin typeface="Calibri"/>
                  <a:cs typeface="Calibri"/>
                </a:rPr>
                <a:t>Изменить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1268</xdr:row>
          <xdr:rowOff>38100</xdr:rowOff>
        </xdr:from>
        <xdr:to>
          <xdr:col>6</xdr:col>
          <xdr:colOff>0</xdr:colOff>
          <xdr:row>1268</xdr:row>
          <xdr:rowOff>289560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200-00005F040000}"/>
                </a:ext>
              </a:extLst>
            </xdr:cNvPr>
            <xdr:cNvSpPr/>
          </xdr:nvSpPr>
          <xdr:spPr bwMode="auto">
            <a:xfrm>
              <a:off x="0" y="0"/>
              <a:ext cx="0" cy="0"/>
            </a:xfrm>
            <a:prstGeom prst="rect">
              <a:avLst/>
            </a:prstGeom>
            <a:noFill/>
            <a:ln w="9525">
              <a:miter lim="800000"/>
              <a:headEnd/>
              <a:tailEnd/>
            </a:ln>
          </xdr:spPr>
          <xdr:txBody>
            <a:bodyPr vertOverflow="clip" wrap="square" lIns="90000" tIns="10800" rIns="90000" bIns="10800" anchor="ctr" upright="1"/>
            <a:lstStyle/>
            <a:p>
              <a:pPr algn="ctr" rtl="0">
                <a:defRPr sz="1000"/>
              </a:pPr>
              <a:r>
                <a:rPr lang="ru-RU" sz="1000" b="0" i="0" u="none" strike="noStrike" baseline="0">
                  <a:solidFill>
                    <a:srgbClr val="000000"/>
                  </a:solidFill>
                  <a:latin typeface="Calibri"/>
                  <a:cs typeface="Calibri"/>
                </a:rPr>
                <a:t>Изменить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1095</xdr:row>
          <xdr:rowOff>38100</xdr:rowOff>
        </xdr:from>
        <xdr:to>
          <xdr:col>0</xdr:col>
          <xdr:colOff>289560</xdr:colOff>
          <xdr:row>1095</xdr:row>
          <xdr:rowOff>289560</xdr:rowOff>
        </xdr:to>
        <xdr:sp macro="" textlink="">
          <xdr:nvSpPr>
            <xdr:cNvPr id="1120" name="Button 96" descr="..." hidden="1">
              <a:extLst>
                <a:ext uri="{63B3BB69-23CF-44E3-9099-C40C66FF867C}">
                  <a14:compatExt spid="_x0000_s1120"/>
                </a:ext>
                <a:ext uri="{FF2B5EF4-FFF2-40B4-BE49-F238E27FC236}">
                  <a16:creationId xmlns:a16="http://schemas.microsoft.com/office/drawing/2014/main" id="{00000000-0008-0000-0200-00006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1095</xdr:row>
          <xdr:rowOff>38100</xdr:rowOff>
        </xdr:from>
        <xdr:to>
          <xdr:col>6</xdr:col>
          <xdr:colOff>0</xdr:colOff>
          <xdr:row>1095</xdr:row>
          <xdr:rowOff>289560</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200-000061040000}"/>
                </a:ext>
              </a:extLst>
            </xdr:cNvPr>
            <xdr:cNvSpPr/>
          </xdr:nvSpPr>
          <xdr:spPr bwMode="auto">
            <a:xfrm>
              <a:off x="0" y="0"/>
              <a:ext cx="0" cy="0"/>
            </a:xfrm>
            <a:prstGeom prst="rect">
              <a:avLst/>
            </a:prstGeom>
            <a:noFill/>
            <a:ln w="9525">
              <a:miter lim="800000"/>
              <a:headEnd/>
              <a:tailEnd/>
            </a:ln>
          </xdr:spPr>
          <xdr:txBody>
            <a:bodyPr vertOverflow="clip" wrap="square" lIns="90000" tIns="10800" rIns="90000" bIns="10800" anchor="ctr" upright="1"/>
            <a:lstStyle/>
            <a:p>
              <a:pPr algn="ctr" rtl="0">
                <a:defRPr sz="1000"/>
              </a:pPr>
              <a:r>
                <a:rPr lang="ru-RU" sz="1000" b="0" i="0" u="none" strike="noStrike" baseline="0">
                  <a:solidFill>
                    <a:srgbClr val="000000"/>
                  </a:solidFill>
                  <a:latin typeface="Calibri"/>
                  <a:cs typeface="Calibri"/>
                </a:rPr>
                <a:t>Изменить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90</xdr:row>
          <xdr:rowOff>38100</xdr:rowOff>
        </xdr:from>
        <xdr:to>
          <xdr:col>0</xdr:col>
          <xdr:colOff>289560</xdr:colOff>
          <xdr:row>90</xdr:row>
          <xdr:rowOff>289560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300-000003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123</xdr:row>
          <xdr:rowOff>38100</xdr:rowOff>
        </xdr:from>
        <xdr:to>
          <xdr:col>0</xdr:col>
          <xdr:colOff>289560</xdr:colOff>
          <xdr:row>123</xdr:row>
          <xdr:rowOff>289560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300-000004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158</xdr:row>
          <xdr:rowOff>38100</xdr:rowOff>
        </xdr:from>
        <xdr:to>
          <xdr:col>0</xdr:col>
          <xdr:colOff>289560</xdr:colOff>
          <xdr:row>158</xdr:row>
          <xdr:rowOff>289560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300-000005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204</xdr:row>
          <xdr:rowOff>38100</xdr:rowOff>
        </xdr:from>
        <xdr:to>
          <xdr:col>0</xdr:col>
          <xdr:colOff>289560</xdr:colOff>
          <xdr:row>204</xdr:row>
          <xdr:rowOff>289560</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300-000006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232</xdr:row>
          <xdr:rowOff>38100</xdr:rowOff>
        </xdr:from>
        <xdr:to>
          <xdr:col>0</xdr:col>
          <xdr:colOff>289560</xdr:colOff>
          <xdr:row>232</xdr:row>
          <xdr:rowOff>289560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300-000007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268</xdr:row>
          <xdr:rowOff>38100</xdr:rowOff>
        </xdr:from>
        <xdr:to>
          <xdr:col>0</xdr:col>
          <xdr:colOff>289560</xdr:colOff>
          <xdr:row>268</xdr:row>
          <xdr:rowOff>289560</xdr:rowOff>
        </xdr:to>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300-000008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316</xdr:row>
          <xdr:rowOff>38100</xdr:rowOff>
        </xdr:from>
        <xdr:to>
          <xdr:col>0</xdr:col>
          <xdr:colOff>289560</xdr:colOff>
          <xdr:row>520</xdr:row>
          <xdr:rowOff>76200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300-00000A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365</xdr:row>
          <xdr:rowOff>38100</xdr:rowOff>
        </xdr:from>
        <xdr:to>
          <xdr:col>0</xdr:col>
          <xdr:colOff>289560</xdr:colOff>
          <xdr:row>520</xdr:row>
          <xdr:rowOff>76200</xdr:rowOff>
        </xdr:to>
        <xdr:sp macro="" textlink="">
          <xdr:nvSpPr>
            <xdr:cNvPr id="12299" name="Button 11" hidden="1">
              <a:extLst>
                <a:ext uri="{63B3BB69-23CF-44E3-9099-C40C66FF867C}">
                  <a14:compatExt spid="_x0000_s12299"/>
                </a:ext>
                <a:ext uri="{FF2B5EF4-FFF2-40B4-BE49-F238E27FC236}">
                  <a16:creationId xmlns:a16="http://schemas.microsoft.com/office/drawing/2014/main" id="{00000000-0008-0000-0300-00000B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407</xdr:row>
          <xdr:rowOff>53340</xdr:rowOff>
        </xdr:from>
        <xdr:to>
          <xdr:col>0</xdr:col>
          <xdr:colOff>289560</xdr:colOff>
          <xdr:row>520</xdr:row>
          <xdr:rowOff>60960</xdr:rowOff>
        </xdr:to>
        <xdr:sp macro="" textlink="">
          <xdr:nvSpPr>
            <xdr:cNvPr id="12301" name="Button 13" hidden="1">
              <a:extLst>
                <a:ext uri="{63B3BB69-23CF-44E3-9099-C40C66FF867C}">
                  <a14:compatExt spid="_x0000_s12301"/>
                </a:ext>
                <a:ext uri="{FF2B5EF4-FFF2-40B4-BE49-F238E27FC236}">
                  <a16:creationId xmlns:a16="http://schemas.microsoft.com/office/drawing/2014/main" id="{00000000-0008-0000-0300-00000D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3</xdr:row>
          <xdr:rowOff>38100</xdr:rowOff>
        </xdr:from>
        <xdr:to>
          <xdr:col>0</xdr:col>
          <xdr:colOff>289560</xdr:colOff>
          <xdr:row>3</xdr:row>
          <xdr:rowOff>289560</xdr:rowOff>
        </xdr:to>
        <xdr:sp macro="" textlink="">
          <xdr:nvSpPr>
            <xdr:cNvPr id="12302" name="Button 14" hidden="1">
              <a:extLst>
                <a:ext uri="{63B3BB69-23CF-44E3-9099-C40C66FF867C}">
                  <a14:compatExt spid="_x0000_s12302"/>
                </a:ext>
                <a:ext uri="{FF2B5EF4-FFF2-40B4-BE49-F238E27FC236}">
                  <a16:creationId xmlns:a16="http://schemas.microsoft.com/office/drawing/2014/main" id="{00000000-0008-0000-0300-00000E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68</xdr:row>
          <xdr:rowOff>38100</xdr:rowOff>
        </xdr:from>
        <xdr:to>
          <xdr:col>0</xdr:col>
          <xdr:colOff>289560</xdr:colOff>
          <xdr:row>68</xdr:row>
          <xdr:rowOff>289560</xdr:rowOff>
        </xdr:to>
        <xdr:sp macro="" textlink="">
          <xdr:nvSpPr>
            <xdr:cNvPr id="12304" name="Button 16" hidden="1">
              <a:extLst>
                <a:ext uri="{63B3BB69-23CF-44E3-9099-C40C66FF867C}">
                  <a14:compatExt spid="_x0000_s12304"/>
                </a:ext>
                <a:ext uri="{FF2B5EF4-FFF2-40B4-BE49-F238E27FC236}">
                  <a16:creationId xmlns:a16="http://schemas.microsoft.com/office/drawing/2014/main" id="{00000000-0008-0000-0300-000010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24</xdr:row>
          <xdr:rowOff>38100</xdr:rowOff>
        </xdr:from>
        <xdr:to>
          <xdr:col>0</xdr:col>
          <xdr:colOff>289560</xdr:colOff>
          <xdr:row>24</xdr:row>
          <xdr:rowOff>289560</xdr:rowOff>
        </xdr:to>
        <xdr:sp macro="" textlink="">
          <xdr:nvSpPr>
            <xdr:cNvPr id="12306" name="Button 18" hidden="1">
              <a:extLst>
                <a:ext uri="{63B3BB69-23CF-44E3-9099-C40C66FF867C}">
                  <a14:compatExt spid="_x0000_s12306"/>
                </a:ext>
                <a:ext uri="{FF2B5EF4-FFF2-40B4-BE49-F238E27FC236}">
                  <a16:creationId xmlns:a16="http://schemas.microsoft.com/office/drawing/2014/main" id="{00000000-0008-0000-0300-000012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24</xdr:row>
          <xdr:rowOff>38100</xdr:rowOff>
        </xdr:from>
        <xdr:to>
          <xdr:col>0</xdr:col>
          <xdr:colOff>289560</xdr:colOff>
          <xdr:row>24</xdr:row>
          <xdr:rowOff>289560</xdr:rowOff>
        </xdr:to>
        <xdr:sp macro="" textlink="">
          <xdr:nvSpPr>
            <xdr:cNvPr id="12307" name="Button 19" hidden="1">
              <a:extLst>
                <a:ext uri="{63B3BB69-23CF-44E3-9099-C40C66FF867C}">
                  <a14:compatExt spid="_x0000_s12307"/>
                </a:ext>
                <a:ext uri="{FF2B5EF4-FFF2-40B4-BE49-F238E27FC236}">
                  <a16:creationId xmlns:a16="http://schemas.microsoft.com/office/drawing/2014/main" id="{00000000-0008-0000-0300-000013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xdr:row>
          <xdr:rowOff>38100</xdr:rowOff>
        </xdr:from>
        <xdr:to>
          <xdr:col>0</xdr:col>
          <xdr:colOff>289560</xdr:colOff>
          <xdr:row>24</xdr:row>
          <xdr:rowOff>76200</xdr:rowOff>
        </xdr:to>
        <xdr:sp macro="" textlink="">
          <xdr:nvSpPr>
            <xdr:cNvPr id="12308" name="Button 20" hidden="1">
              <a:extLst>
                <a:ext uri="{63B3BB69-23CF-44E3-9099-C40C66FF867C}">
                  <a14:compatExt spid="_x0000_s12308"/>
                </a:ext>
                <a:ext uri="{FF2B5EF4-FFF2-40B4-BE49-F238E27FC236}">
                  <a16:creationId xmlns:a16="http://schemas.microsoft.com/office/drawing/2014/main" id="{00000000-0008-0000-0300-000014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38100</xdr:colOff>
          <xdr:row>209</xdr:row>
          <xdr:rowOff>38100</xdr:rowOff>
        </xdr:from>
        <xdr:to>
          <xdr:col>10</xdr:col>
          <xdr:colOff>15240</xdr:colOff>
          <xdr:row>209</xdr:row>
          <xdr:rowOff>289560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90000" tIns="10800" rIns="90000" bIns="10800" anchor="ctr" upright="1"/>
            <a:lstStyle/>
            <a:p>
              <a:pPr algn="ctr" rtl="0">
                <a:defRPr sz="1000"/>
              </a:pPr>
              <a:r>
                <a:rPr lang="ru-RU" sz="1000" b="0" i="0" u="none" strike="noStrike" baseline="0">
                  <a:solidFill>
                    <a:srgbClr val="000000"/>
                  </a:solidFill>
                  <a:latin typeface="Calibri"/>
                  <a:cs typeface="Calibri"/>
                </a:rPr>
                <a:t>Настроить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22860</xdr:colOff>
          <xdr:row>209</xdr:row>
          <xdr:rowOff>38100</xdr:rowOff>
        </xdr:from>
        <xdr:to>
          <xdr:col>12</xdr:col>
          <xdr:colOff>91440</xdr:colOff>
          <xdr:row>209</xdr:row>
          <xdr:rowOff>289560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w="9525">
              <a:miter lim="800000"/>
              <a:headEnd/>
              <a:tailEnd/>
            </a:ln>
          </xdr:spPr>
          <xdr:txBody>
            <a:bodyPr vertOverflow="clip" wrap="square" lIns="90000" tIns="10800" rIns="90000" bIns="10800" anchor="ctr" upright="1"/>
            <a:lstStyle/>
            <a:p>
              <a:pPr algn="ctr" rtl="0">
                <a:defRPr sz="1000"/>
              </a:pPr>
              <a:r>
                <a:rPr lang="ru-RU" sz="1000" b="0" i="0" u="none" strike="noStrike" baseline="0">
                  <a:solidFill>
                    <a:srgbClr val="000000"/>
                  </a:solidFill>
                  <a:latin typeface="Calibri"/>
                  <a:cs typeface="Calibri"/>
                </a:rPr>
                <a:t>Пересчитать</a:t>
              </a:r>
            </a:p>
          </xdr:txBody>
        </xdr:sp>
        <xdr:clientData fPrintsWithSheet="0"/>
      </xdr:twoCellAnchor>
    </mc:Choice>
    <mc:Fallback/>
  </mc:AlternateContent>
  <xdr:twoCellAnchor>
    <xdr:from>
      <xdr:col>6</xdr:col>
      <xdr:colOff>6350</xdr:colOff>
      <xdr:row>225</xdr:row>
      <xdr:rowOff>0</xdr:rowOff>
    </xdr:from>
    <xdr:to>
      <xdr:col>13</xdr:col>
      <xdr:colOff>840275</xdr:colOff>
      <xdr:row>246</xdr:row>
      <xdr:rowOff>133350</xdr:rowOff>
    </xdr:to>
    <xdr:graphicFrame macro="">
      <xdr:nvGraphicFramePr>
        <xdr:cNvPr id="4" name="Диаграмма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0</xdr:col>
          <xdr:colOff>38100</xdr:colOff>
          <xdr:row>209</xdr:row>
          <xdr:rowOff>38100</xdr:rowOff>
        </xdr:from>
        <xdr:to>
          <xdr:col>0</xdr:col>
          <xdr:colOff>289560</xdr:colOff>
          <xdr:row>209</xdr:row>
          <xdr:rowOff>289560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27</xdr:row>
          <xdr:rowOff>38100</xdr:rowOff>
        </xdr:from>
        <xdr:to>
          <xdr:col>0</xdr:col>
          <xdr:colOff>289560</xdr:colOff>
          <xdr:row>27</xdr:row>
          <xdr:rowOff>289560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400-000006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xdr:twoCellAnchor>
    <xdr:from>
      <xdr:col>6</xdr:col>
      <xdr:colOff>9524</xdr:colOff>
      <xdr:row>29</xdr:row>
      <xdr:rowOff>9525</xdr:rowOff>
    </xdr:from>
    <xdr:to>
      <xdr:col>14</xdr:col>
      <xdr:colOff>9525</xdr:colOff>
      <xdr:row>50</xdr:row>
      <xdr:rowOff>152400</xdr:rowOff>
    </xdr:to>
    <xdr:graphicFrame macro="">
      <xdr:nvGraphicFramePr>
        <xdr:cNvPr id="9" name="Диаграмма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0</xdr:col>
          <xdr:colOff>38100</xdr:colOff>
          <xdr:row>1</xdr:row>
          <xdr:rowOff>38100</xdr:rowOff>
        </xdr:from>
        <xdr:to>
          <xdr:col>0</xdr:col>
          <xdr:colOff>289560</xdr:colOff>
          <xdr:row>1</xdr:row>
          <xdr:rowOff>289560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400-000007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xdr:twoCellAnchor>
    <xdr:from>
      <xdr:col>6</xdr:col>
      <xdr:colOff>9524</xdr:colOff>
      <xdr:row>3</xdr:row>
      <xdr:rowOff>9525</xdr:rowOff>
    </xdr:from>
    <xdr:to>
      <xdr:col>14</xdr:col>
      <xdr:colOff>9525</xdr:colOff>
      <xdr:row>24</xdr:row>
      <xdr:rowOff>152400</xdr:rowOff>
    </xdr:to>
    <xdr:graphicFrame macro="">
      <xdr:nvGraphicFramePr>
        <xdr:cNvPr id="10" name="Диаграмма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0</xdr:col>
          <xdr:colOff>38100</xdr:colOff>
          <xdr:row>53</xdr:row>
          <xdr:rowOff>38100</xdr:rowOff>
        </xdr:from>
        <xdr:to>
          <xdr:col>0</xdr:col>
          <xdr:colOff>289560</xdr:colOff>
          <xdr:row>53</xdr:row>
          <xdr:rowOff>289560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400-000008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xdr:twoCellAnchor>
    <xdr:from>
      <xdr:col>6</xdr:col>
      <xdr:colOff>9524</xdr:colOff>
      <xdr:row>55</xdr:row>
      <xdr:rowOff>9525</xdr:rowOff>
    </xdr:from>
    <xdr:to>
      <xdr:col>14</xdr:col>
      <xdr:colOff>9525</xdr:colOff>
      <xdr:row>76</xdr:row>
      <xdr:rowOff>152400</xdr:rowOff>
    </xdr:to>
    <xdr:graphicFrame macro="">
      <xdr:nvGraphicFramePr>
        <xdr:cNvPr id="11" name="Диаграмма 10">
          <a:extLst>
            <a:ext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0</xdr:col>
          <xdr:colOff>38100</xdr:colOff>
          <xdr:row>79</xdr:row>
          <xdr:rowOff>38100</xdr:rowOff>
        </xdr:from>
        <xdr:to>
          <xdr:col>0</xdr:col>
          <xdr:colOff>289560</xdr:colOff>
          <xdr:row>79</xdr:row>
          <xdr:rowOff>289560</xdr:rowOff>
        </xdr:to>
        <xdr:sp macro="" textlink="">
          <xdr:nvSpPr>
            <xdr:cNvPr id="16394" name="Button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xdr:twoCellAnchor>
    <xdr:from>
      <xdr:col>6</xdr:col>
      <xdr:colOff>9524</xdr:colOff>
      <xdr:row>81</xdr:row>
      <xdr:rowOff>9525</xdr:rowOff>
    </xdr:from>
    <xdr:to>
      <xdr:col>14</xdr:col>
      <xdr:colOff>9525</xdr:colOff>
      <xdr:row>102</xdr:row>
      <xdr:rowOff>152400</xdr:rowOff>
    </xdr:to>
    <xdr:graphicFrame macro="">
      <xdr:nvGraphicFramePr>
        <xdr:cNvPr id="15" name="Диаграмма 14">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0</xdr:col>
          <xdr:colOff>38100</xdr:colOff>
          <xdr:row>105</xdr:row>
          <xdr:rowOff>38100</xdr:rowOff>
        </xdr:from>
        <xdr:to>
          <xdr:col>0</xdr:col>
          <xdr:colOff>289560</xdr:colOff>
          <xdr:row>105</xdr:row>
          <xdr:rowOff>289560</xdr:rowOff>
        </xdr:to>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xdr:twoCellAnchor>
    <xdr:from>
      <xdr:col>6</xdr:col>
      <xdr:colOff>9524</xdr:colOff>
      <xdr:row>107</xdr:row>
      <xdr:rowOff>9525</xdr:rowOff>
    </xdr:from>
    <xdr:to>
      <xdr:col>14</xdr:col>
      <xdr:colOff>9525</xdr:colOff>
      <xdr:row>128</xdr:row>
      <xdr:rowOff>152400</xdr:rowOff>
    </xdr:to>
    <xdr:graphicFrame macro="">
      <xdr:nvGraphicFramePr>
        <xdr:cNvPr id="17" name="Диаграмма 16">
          <a:extLst>
            <a:ext uri="{FF2B5EF4-FFF2-40B4-BE49-F238E27FC236}">
              <a16:creationId xmlns:a16="http://schemas.microsoft.com/office/drawing/2014/main" id="{00000000-0008-0000-0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0</xdr:col>
          <xdr:colOff>38100</xdr:colOff>
          <xdr:row>131</xdr:row>
          <xdr:rowOff>38100</xdr:rowOff>
        </xdr:from>
        <xdr:to>
          <xdr:col>0</xdr:col>
          <xdr:colOff>289560</xdr:colOff>
          <xdr:row>131</xdr:row>
          <xdr:rowOff>289560</xdr:rowOff>
        </xdr:to>
        <xdr:sp macro="" textlink="">
          <xdr:nvSpPr>
            <xdr:cNvPr id="16396" name="Button 12" hidden="1">
              <a:extLst>
                <a:ext uri="{63B3BB69-23CF-44E3-9099-C40C66FF867C}">
                  <a14:compatExt spid="_x0000_s16396"/>
                </a:ext>
                <a:ext uri="{FF2B5EF4-FFF2-40B4-BE49-F238E27FC236}">
                  <a16:creationId xmlns:a16="http://schemas.microsoft.com/office/drawing/2014/main" id="{00000000-0008-0000-0400-00000C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xdr:twoCellAnchor>
    <xdr:from>
      <xdr:col>6</xdr:col>
      <xdr:colOff>9524</xdr:colOff>
      <xdr:row>133</xdr:row>
      <xdr:rowOff>9525</xdr:rowOff>
    </xdr:from>
    <xdr:to>
      <xdr:col>14</xdr:col>
      <xdr:colOff>9525</xdr:colOff>
      <xdr:row>154</xdr:row>
      <xdr:rowOff>152400</xdr:rowOff>
    </xdr:to>
    <xdr:graphicFrame macro="">
      <xdr:nvGraphicFramePr>
        <xdr:cNvPr id="19" name="Диаграмма 18">
          <a:extLst>
            <a:ext uri="{FF2B5EF4-FFF2-40B4-BE49-F238E27FC236}">
              <a16:creationId xmlns:a16="http://schemas.microsoft.com/office/drawing/2014/main" id="{00000000-0008-0000-04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0</xdr:col>
          <xdr:colOff>38100</xdr:colOff>
          <xdr:row>157</xdr:row>
          <xdr:rowOff>38100</xdr:rowOff>
        </xdr:from>
        <xdr:to>
          <xdr:col>0</xdr:col>
          <xdr:colOff>289560</xdr:colOff>
          <xdr:row>157</xdr:row>
          <xdr:rowOff>289560</xdr:rowOff>
        </xdr:to>
        <xdr:sp macro="" textlink="">
          <xdr:nvSpPr>
            <xdr:cNvPr id="16397" name="Button 13" hidden="1">
              <a:extLst>
                <a:ext uri="{63B3BB69-23CF-44E3-9099-C40C66FF867C}">
                  <a14:compatExt spid="_x0000_s16397"/>
                </a:ext>
                <a:ext uri="{FF2B5EF4-FFF2-40B4-BE49-F238E27FC236}">
                  <a16:creationId xmlns:a16="http://schemas.microsoft.com/office/drawing/2014/main" id="{00000000-0008-0000-0400-00000D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xdr:twoCellAnchor>
    <xdr:from>
      <xdr:col>6</xdr:col>
      <xdr:colOff>9524</xdr:colOff>
      <xdr:row>159</xdr:row>
      <xdr:rowOff>9525</xdr:rowOff>
    </xdr:from>
    <xdr:to>
      <xdr:col>14</xdr:col>
      <xdr:colOff>9525</xdr:colOff>
      <xdr:row>180</xdr:row>
      <xdr:rowOff>152400</xdr:rowOff>
    </xdr:to>
    <xdr:graphicFrame macro="">
      <xdr:nvGraphicFramePr>
        <xdr:cNvPr id="21" name="Диаграмма 20">
          <a:extLst>
            <a:ext uri="{FF2B5EF4-FFF2-40B4-BE49-F238E27FC236}">
              <a16:creationId xmlns:a16="http://schemas.microsoft.com/office/drawing/2014/main" id="{00000000-0008-0000-04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0</xdr:col>
          <xdr:colOff>38100</xdr:colOff>
          <xdr:row>183</xdr:row>
          <xdr:rowOff>38100</xdr:rowOff>
        </xdr:from>
        <xdr:to>
          <xdr:col>0</xdr:col>
          <xdr:colOff>289560</xdr:colOff>
          <xdr:row>183</xdr:row>
          <xdr:rowOff>289560</xdr:rowOff>
        </xdr:to>
        <xdr:sp macro="" textlink="">
          <xdr:nvSpPr>
            <xdr:cNvPr id="16398" name="Button 14" hidden="1">
              <a:extLst>
                <a:ext uri="{63B3BB69-23CF-44E3-9099-C40C66FF867C}">
                  <a14:compatExt spid="_x0000_s16398"/>
                </a:ext>
                <a:ext uri="{FF2B5EF4-FFF2-40B4-BE49-F238E27FC236}">
                  <a16:creationId xmlns:a16="http://schemas.microsoft.com/office/drawing/2014/main" id="{00000000-0008-0000-0400-00000E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fPrintsWithSheet="0"/>
      </xdr:twoCellAnchor>
    </mc:Choice>
    <mc:Fallback/>
  </mc:AlternateContent>
  <xdr:twoCellAnchor>
    <xdr:from>
      <xdr:col>6</xdr:col>
      <xdr:colOff>9524</xdr:colOff>
      <xdr:row>185</xdr:row>
      <xdr:rowOff>9525</xdr:rowOff>
    </xdr:from>
    <xdr:to>
      <xdr:col>14</xdr:col>
      <xdr:colOff>9525</xdr:colOff>
      <xdr:row>206</xdr:row>
      <xdr:rowOff>152400</xdr:rowOff>
    </xdr:to>
    <xdr:graphicFrame macro="">
      <xdr:nvGraphicFramePr>
        <xdr:cNvPr id="23" name="Диаграмма 22">
          <a:extLst>
            <a:ext uri="{FF2B5EF4-FFF2-40B4-BE49-F238E27FC236}">
              <a16:creationId xmlns:a16="http://schemas.microsoft.com/office/drawing/2014/main" id="{00000000-0008-0000-04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3</xdr:row>
          <xdr:rowOff>38100</xdr:rowOff>
        </xdr:from>
        <xdr:to>
          <xdr:col>0</xdr:col>
          <xdr:colOff>289560</xdr:colOff>
          <xdr:row>3</xdr:row>
          <xdr:rowOff>289560</xdr:rowOff>
        </xdr:to>
        <xdr:sp macro="" textlink="">
          <xdr:nvSpPr>
            <xdr:cNvPr id="9217" name="Button 1" descr="..."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3</xdr:row>
          <xdr:rowOff>38100</xdr:rowOff>
        </xdr:from>
        <xdr:to>
          <xdr:col>6</xdr:col>
          <xdr:colOff>0</xdr:colOff>
          <xdr:row>3</xdr:row>
          <xdr:rowOff>289560</xdr:rowOff>
        </xdr:to>
        <xdr:sp macro="" textlink="">
          <xdr:nvSpPr>
            <xdr:cNvPr id="9218" name="Button 2" descr="Настроить"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90000" tIns="10800" rIns="90000" bIns="10800" anchor="ctr" upright="1"/>
            <a:lstStyle/>
            <a:p>
              <a:pPr algn="ctr" rtl="0">
                <a:defRPr sz="1000"/>
              </a:pPr>
              <a:r>
                <a:rPr lang="ru-RU" sz="1000" b="0" i="0" u="none" strike="noStrike" baseline="0">
                  <a:solidFill>
                    <a:srgbClr val="000000"/>
                  </a:solidFill>
                  <a:latin typeface="Calibri"/>
                  <a:cs typeface="Calibri"/>
                </a:rPr>
                <a:t>Настроить</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1584960</xdr:colOff>
          <xdr:row>0</xdr:row>
          <xdr:rowOff>114300</xdr:rowOff>
        </xdr:from>
        <xdr:to>
          <xdr:col>0</xdr:col>
          <xdr:colOff>2667000</xdr:colOff>
          <xdr:row>0</xdr:row>
          <xdr:rowOff>365760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600-00000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Печать…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2834640</xdr:colOff>
          <xdr:row>0</xdr:row>
          <xdr:rowOff>114300</xdr:rowOff>
        </xdr:from>
        <xdr:to>
          <xdr:col>2</xdr:col>
          <xdr:colOff>762000</xdr:colOff>
          <xdr:row>0</xdr:row>
          <xdr:rowOff>365760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600-00000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Экспорт в новый файл MS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137160</xdr:colOff>
          <xdr:row>0</xdr:row>
          <xdr:rowOff>114300</xdr:rowOff>
        </xdr:from>
        <xdr:to>
          <xdr:col>0</xdr:col>
          <xdr:colOff>1432560</xdr:colOff>
          <xdr:row>0</xdr:row>
          <xdr:rowOff>365760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600-00000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Составить отчет…</a:t>
              </a:r>
            </a:p>
          </xdr:txBody>
        </xdr:sp>
        <xdr:clientData fPrintsWithSheet="0"/>
      </xdr:twoCellAnchor>
    </mc:Choice>
    <mc:Fallback/>
  </mc:AlternateContent>
  <xdr:twoCellAnchor>
    <xdr:from>
      <xdr:col>0</xdr:col>
      <xdr:colOff>0</xdr:colOff>
      <xdr:row>238</xdr:row>
      <xdr:rowOff>0</xdr:rowOff>
    </xdr:from>
    <xdr:to>
      <xdr:col>4</xdr:col>
      <xdr:colOff>787401</xdr:colOff>
      <xdr:row>259</xdr:row>
      <xdr:rowOff>142875</xdr:rowOff>
    </xdr:to>
    <xdr:graphicFrame macro="">
      <xdr:nvGraphicFramePr>
        <xdr:cNvPr id="4" name="Диаграмма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0</xdr:col>
      <xdr:colOff>0</xdr:colOff>
      <xdr:row>264</xdr:row>
      <xdr:rowOff>0</xdr:rowOff>
    </xdr:from>
    <xdr:to>
      <xdr:col>4</xdr:col>
      <xdr:colOff>787401</xdr:colOff>
      <xdr:row>285</xdr:row>
      <xdr:rowOff>142875</xdr:rowOff>
    </xdr:to>
    <xdr:graphicFrame macro="">
      <xdr:nvGraphicFramePr>
        <xdr:cNvPr id="5" name="Диаграмма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15240</xdr:colOff>
          <xdr:row>4</xdr:row>
          <xdr:rowOff>0</xdr:rowOff>
        </xdr:from>
        <xdr:to>
          <xdr:col>4</xdr:col>
          <xdr:colOff>15240</xdr:colOff>
          <xdr:row>5</xdr:row>
          <xdr:rowOff>137160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000" b="0" i="0" u="none" strike="noStrike" baseline="0">
                  <a:solidFill>
                    <a:srgbClr val="000000"/>
                  </a:solidFill>
                  <a:latin typeface="Calibri"/>
                  <a:cs typeface="Calibri"/>
                </a:rPr>
                <a:t>Собрать!</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YandexDisk/!D-DataRoom/&#1044;&#1072;&#1090;&#1072;%20&#1094;&#1077;&#1085;&#1090;&#1088;&#1099;/&#1041;&#1055;%20-%20&#1062;&#1054;&#1044;%20DataSpher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ptions"/>
      <sheetName val="Проект"/>
      <sheetName val="Language"/>
      <sheetName val="Портфель"/>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0.xml"/><Relationship Id="rId7" Type="http://schemas.openxmlformats.org/officeDocument/2006/relationships/ctrlProp" Target="../ctrlProps/ctrlProp14.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0.xml"/><Relationship Id="rId13" Type="http://schemas.openxmlformats.org/officeDocument/2006/relationships/ctrlProp" Target="../ctrlProps/ctrlProp25.xml"/><Relationship Id="rId18" Type="http://schemas.openxmlformats.org/officeDocument/2006/relationships/ctrlProp" Target="../ctrlProps/ctrlProp30.xml"/><Relationship Id="rId26" Type="http://schemas.openxmlformats.org/officeDocument/2006/relationships/ctrlProp" Target="../ctrlProps/ctrlProp38.xml"/><Relationship Id="rId3" Type="http://schemas.openxmlformats.org/officeDocument/2006/relationships/ctrlProp" Target="../ctrlProps/ctrlProp15.xml"/><Relationship Id="rId21" Type="http://schemas.openxmlformats.org/officeDocument/2006/relationships/ctrlProp" Target="../ctrlProps/ctrlProp33.xml"/><Relationship Id="rId7" Type="http://schemas.openxmlformats.org/officeDocument/2006/relationships/ctrlProp" Target="../ctrlProps/ctrlProp19.xml"/><Relationship Id="rId12" Type="http://schemas.openxmlformats.org/officeDocument/2006/relationships/ctrlProp" Target="../ctrlProps/ctrlProp24.xml"/><Relationship Id="rId17" Type="http://schemas.openxmlformats.org/officeDocument/2006/relationships/ctrlProp" Target="../ctrlProps/ctrlProp29.xml"/><Relationship Id="rId25" Type="http://schemas.openxmlformats.org/officeDocument/2006/relationships/ctrlProp" Target="../ctrlProps/ctrlProp37.xml"/><Relationship Id="rId2" Type="http://schemas.openxmlformats.org/officeDocument/2006/relationships/vmlDrawing" Target="../drawings/vmlDrawing3.vml"/><Relationship Id="rId16" Type="http://schemas.openxmlformats.org/officeDocument/2006/relationships/ctrlProp" Target="../ctrlProps/ctrlProp28.xml"/><Relationship Id="rId20" Type="http://schemas.openxmlformats.org/officeDocument/2006/relationships/ctrlProp" Target="../ctrlProps/ctrlProp32.xml"/><Relationship Id="rId1" Type="http://schemas.openxmlformats.org/officeDocument/2006/relationships/drawing" Target="../drawings/drawing3.xml"/><Relationship Id="rId6" Type="http://schemas.openxmlformats.org/officeDocument/2006/relationships/ctrlProp" Target="../ctrlProps/ctrlProp18.xml"/><Relationship Id="rId11" Type="http://schemas.openxmlformats.org/officeDocument/2006/relationships/ctrlProp" Target="../ctrlProps/ctrlProp23.xml"/><Relationship Id="rId24" Type="http://schemas.openxmlformats.org/officeDocument/2006/relationships/ctrlProp" Target="../ctrlProps/ctrlProp36.xml"/><Relationship Id="rId5" Type="http://schemas.openxmlformats.org/officeDocument/2006/relationships/ctrlProp" Target="../ctrlProps/ctrlProp17.xml"/><Relationship Id="rId15" Type="http://schemas.openxmlformats.org/officeDocument/2006/relationships/ctrlProp" Target="../ctrlProps/ctrlProp27.xml"/><Relationship Id="rId23" Type="http://schemas.openxmlformats.org/officeDocument/2006/relationships/ctrlProp" Target="../ctrlProps/ctrlProp35.xml"/><Relationship Id="rId10" Type="http://schemas.openxmlformats.org/officeDocument/2006/relationships/ctrlProp" Target="../ctrlProps/ctrlProp22.xml"/><Relationship Id="rId19" Type="http://schemas.openxmlformats.org/officeDocument/2006/relationships/ctrlProp" Target="../ctrlProps/ctrlProp31.xml"/><Relationship Id="rId4" Type="http://schemas.openxmlformats.org/officeDocument/2006/relationships/ctrlProp" Target="../ctrlProps/ctrlProp16.xml"/><Relationship Id="rId9" Type="http://schemas.openxmlformats.org/officeDocument/2006/relationships/ctrlProp" Target="../ctrlProps/ctrlProp21.xml"/><Relationship Id="rId14" Type="http://schemas.openxmlformats.org/officeDocument/2006/relationships/ctrlProp" Target="../ctrlProps/ctrlProp26.xml"/><Relationship Id="rId22" Type="http://schemas.openxmlformats.org/officeDocument/2006/relationships/ctrlProp" Target="../ctrlProps/ctrlProp34.xml"/><Relationship Id="rId27" Type="http://schemas.openxmlformats.org/officeDocument/2006/relationships/ctrlProp" Target="../ctrlProps/ctrlProp39.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5.xml"/><Relationship Id="rId13" Type="http://schemas.openxmlformats.org/officeDocument/2006/relationships/ctrlProp" Target="../ctrlProps/ctrlProp50.xml"/><Relationship Id="rId3" Type="http://schemas.openxmlformats.org/officeDocument/2006/relationships/ctrlProp" Target="../ctrlProps/ctrlProp40.xml"/><Relationship Id="rId7" Type="http://schemas.openxmlformats.org/officeDocument/2006/relationships/ctrlProp" Target="../ctrlProps/ctrlProp44.xml"/><Relationship Id="rId12" Type="http://schemas.openxmlformats.org/officeDocument/2006/relationships/ctrlProp" Target="../ctrlProps/ctrlProp49.xml"/><Relationship Id="rId17" Type="http://schemas.openxmlformats.org/officeDocument/2006/relationships/comments" Target="../comments1.xml"/><Relationship Id="rId2" Type="http://schemas.openxmlformats.org/officeDocument/2006/relationships/vmlDrawing" Target="../drawings/vmlDrawing4.vml"/><Relationship Id="rId16" Type="http://schemas.openxmlformats.org/officeDocument/2006/relationships/ctrlProp" Target="../ctrlProps/ctrlProp53.xml"/><Relationship Id="rId1" Type="http://schemas.openxmlformats.org/officeDocument/2006/relationships/drawing" Target="../drawings/drawing4.xml"/><Relationship Id="rId6" Type="http://schemas.openxmlformats.org/officeDocument/2006/relationships/ctrlProp" Target="../ctrlProps/ctrlProp43.xml"/><Relationship Id="rId11" Type="http://schemas.openxmlformats.org/officeDocument/2006/relationships/ctrlProp" Target="../ctrlProps/ctrlProp48.xml"/><Relationship Id="rId5" Type="http://schemas.openxmlformats.org/officeDocument/2006/relationships/ctrlProp" Target="../ctrlProps/ctrlProp42.xml"/><Relationship Id="rId15" Type="http://schemas.openxmlformats.org/officeDocument/2006/relationships/ctrlProp" Target="../ctrlProps/ctrlProp52.xml"/><Relationship Id="rId10" Type="http://schemas.openxmlformats.org/officeDocument/2006/relationships/ctrlProp" Target="../ctrlProps/ctrlProp47.xml"/><Relationship Id="rId4" Type="http://schemas.openxmlformats.org/officeDocument/2006/relationships/ctrlProp" Target="../ctrlProps/ctrlProp41.xml"/><Relationship Id="rId9" Type="http://schemas.openxmlformats.org/officeDocument/2006/relationships/ctrlProp" Target="../ctrlProps/ctrlProp46.xml"/><Relationship Id="rId14" Type="http://schemas.openxmlformats.org/officeDocument/2006/relationships/ctrlProp" Target="../ctrlProps/ctrlProp5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9.xml"/><Relationship Id="rId13" Type="http://schemas.openxmlformats.org/officeDocument/2006/relationships/ctrlProp" Target="../ctrlProps/ctrlProp64.xml"/><Relationship Id="rId3" Type="http://schemas.openxmlformats.org/officeDocument/2006/relationships/ctrlProp" Target="../ctrlProps/ctrlProp54.xml"/><Relationship Id="rId7" Type="http://schemas.openxmlformats.org/officeDocument/2006/relationships/ctrlProp" Target="../ctrlProps/ctrlProp58.xml"/><Relationship Id="rId12" Type="http://schemas.openxmlformats.org/officeDocument/2006/relationships/ctrlProp" Target="../ctrlProps/ctrlProp63.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57.xml"/><Relationship Id="rId11" Type="http://schemas.openxmlformats.org/officeDocument/2006/relationships/ctrlProp" Target="../ctrlProps/ctrlProp62.xml"/><Relationship Id="rId5" Type="http://schemas.openxmlformats.org/officeDocument/2006/relationships/ctrlProp" Target="../ctrlProps/ctrlProp56.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5.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6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7.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outlinePr summaryBelow="0" summaryRight="0"/>
  </sheetPr>
  <dimension ref="A1:BD147"/>
  <sheetViews>
    <sheetView tabSelected="1" workbookViewId="0">
      <pane xSplit="6" ySplit="2" topLeftCell="G3" activePane="bottomRight" state="frozen"/>
      <selection pane="topRight" activeCell="G1" sqref="G1"/>
      <selection pane="bottomLeft" activeCell="A3" sqref="A3"/>
      <selection pane="bottomRight" activeCell="A3" sqref="A3"/>
    </sheetView>
  </sheetViews>
  <sheetFormatPr defaultColWidth="8.77734375" defaultRowHeight="13.8" outlineLevelRow="1" x14ac:dyDescent="0.3"/>
  <cols>
    <col min="1" max="1" width="50.5546875" style="5" customWidth="1"/>
    <col min="2" max="3" width="12.5546875" style="5" customWidth="1"/>
    <col min="4" max="4" width="6.5546875" style="6" hidden="1" customWidth="1"/>
    <col min="5" max="5" width="12.5546875" style="6" hidden="1" customWidth="1"/>
    <col min="6" max="6" width="24.5546875" style="6" hidden="1" customWidth="1"/>
    <col min="7" max="54" width="12.5546875" style="5" customWidth="1"/>
    <col min="55" max="16384" width="8.77734375" style="5"/>
  </cols>
  <sheetData>
    <row r="1" spans="1:54" s="3" customFormat="1" ht="12.75" customHeight="1" x14ac:dyDescent="0.2">
      <c r="A1" s="456" t="s">
        <v>3535</v>
      </c>
      <c r="B1" s="457"/>
      <c r="C1" s="457"/>
      <c r="D1" s="1" t="s">
        <v>6</v>
      </c>
      <c r="E1" s="1" t="s">
        <v>4</v>
      </c>
      <c r="F1" s="1" t="s">
        <v>5</v>
      </c>
      <c r="G1" s="2" t="str">
        <f t="shared" ref="G1:BB1" ca="1" si="0">G$34</f>
        <v>янв.25</v>
      </c>
      <c r="H1" s="2" t="str">
        <f t="shared" ca="1" si="0"/>
        <v>фев.25</v>
      </c>
      <c r="I1" s="2" t="str">
        <f t="shared" ca="1" si="0"/>
        <v>мар.25</v>
      </c>
      <c r="J1" s="2" t="str">
        <f t="shared" ca="1" si="0"/>
        <v>апр.25</v>
      </c>
      <c r="K1" s="2" t="str">
        <f t="shared" ca="1" si="0"/>
        <v>май.25</v>
      </c>
      <c r="L1" s="2" t="str">
        <f t="shared" ca="1" si="0"/>
        <v>июн.25</v>
      </c>
      <c r="M1" s="2" t="str">
        <f t="shared" ca="1" si="0"/>
        <v>июл.25</v>
      </c>
      <c r="N1" s="2" t="str">
        <f t="shared" ca="1" si="0"/>
        <v>авг.25</v>
      </c>
      <c r="O1" s="2" t="str">
        <f t="shared" ca="1" si="0"/>
        <v>сен.25</v>
      </c>
      <c r="P1" s="2" t="str">
        <f t="shared" ca="1" si="0"/>
        <v>окт.25</v>
      </c>
      <c r="Q1" s="2" t="str">
        <f t="shared" ca="1" si="0"/>
        <v>ноя.25</v>
      </c>
      <c r="R1" s="2" t="str">
        <f t="shared" ca="1" si="0"/>
        <v>дек.25</v>
      </c>
      <c r="S1" s="2" t="str">
        <f t="shared" ca="1" si="0"/>
        <v>янв.26</v>
      </c>
      <c r="T1" s="2" t="str">
        <f t="shared" ca="1" si="0"/>
        <v>фев.26</v>
      </c>
      <c r="U1" s="2" t="str">
        <f t="shared" ca="1" si="0"/>
        <v>мар.26</v>
      </c>
      <c r="V1" s="2" t="str">
        <f t="shared" ca="1" si="0"/>
        <v>апр.26</v>
      </c>
      <c r="W1" s="2" t="str">
        <f t="shared" ca="1" si="0"/>
        <v>май.26</v>
      </c>
      <c r="X1" s="2" t="str">
        <f t="shared" ca="1" si="0"/>
        <v>июн.26</v>
      </c>
      <c r="Y1" s="2" t="str">
        <f t="shared" ca="1" si="0"/>
        <v>июл.26</v>
      </c>
      <c r="Z1" s="2" t="str">
        <f t="shared" ca="1" si="0"/>
        <v>авг.26</v>
      </c>
      <c r="AA1" s="2" t="str">
        <f t="shared" ca="1" si="0"/>
        <v>сен.26</v>
      </c>
      <c r="AB1" s="2" t="str">
        <f t="shared" ca="1" si="0"/>
        <v>окт.26</v>
      </c>
      <c r="AC1" s="2" t="str">
        <f t="shared" ca="1" si="0"/>
        <v>ноя.26</v>
      </c>
      <c r="AD1" s="2" t="str">
        <f t="shared" ca="1" si="0"/>
        <v>дек.26</v>
      </c>
      <c r="AE1" s="2" t="str">
        <f t="shared" ca="1" si="0"/>
        <v>янв.27</v>
      </c>
      <c r="AF1" s="2" t="str">
        <f t="shared" ca="1" si="0"/>
        <v>фев.27</v>
      </c>
      <c r="AG1" s="2" t="str">
        <f t="shared" ca="1" si="0"/>
        <v>мар.27</v>
      </c>
      <c r="AH1" s="2" t="str">
        <f t="shared" ca="1" si="0"/>
        <v>апр.27</v>
      </c>
      <c r="AI1" s="2" t="str">
        <f t="shared" ca="1" si="0"/>
        <v>май.27</v>
      </c>
      <c r="AJ1" s="2" t="str">
        <f t="shared" ca="1" si="0"/>
        <v>июн.27</v>
      </c>
      <c r="AK1" s="2" t="str">
        <f t="shared" ca="1" si="0"/>
        <v>июл.27</v>
      </c>
      <c r="AL1" s="2" t="str">
        <f t="shared" ca="1" si="0"/>
        <v>авг.27</v>
      </c>
      <c r="AM1" s="2" t="str">
        <f t="shared" ca="1" si="0"/>
        <v>сен.27</v>
      </c>
      <c r="AN1" s="2" t="str">
        <f t="shared" ca="1" si="0"/>
        <v>окт.27</v>
      </c>
      <c r="AO1" s="2" t="str">
        <f t="shared" ca="1" si="0"/>
        <v>ноя.27</v>
      </c>
      <c r="AP1" s="2" t="str">
        <f t="shared" ca="1" si="0"/>
        <v>дек.27</v>
      </c>
      <c r="AQ1" s="2" t="str">
        <f t="shared" ca="1" si="0"/>
        <v>янв.28</v>
      </c>
      <c r="AR1" s="2" t="str">
        <f t="shared" ca="1" si="0"/>
        <v>фев.28</v>
      </c>
      <c r="AS1" s="2" t="str">
        <f t="shared" ca="1" si="0"/>
        <v>мар.28</v>
      </c>
      <c r="AT1" s="2" t="str">
        <f t="shared" ca="1" si="0"/>
        <v>апр.28</v>
      </c>
      <c r="AU1" s="2" t="str">
        <f t="shared" ca="1" si="0"/>
        <v>май.28</v>
      </c>
      <c r="AV1" s="2" t="str">
        <f t="shared" ca="1" si="0"/>
        <v>июн.28</v>
      </c>
      <c r="AW1" s="2" t="str">
        <f t="shared" ca="1" si="0"/>
        <v>июл.28</v>
      </c>
      <c r="AX1" s="2" t="str">
        <f t="shared" ca="1" si="0"/>
        <v>авг.28</v>
      </c>
      <c r="AY1" s="2" t="str">
        <f t="shared" ca="1" si="0"/>
        <v>сен.28</v>
      </c>
      <c r="AZ1" s="2" t="str">
        <f t="shared" ca="1" si="0"/>
        <v>окт.28</v>
      </c>
      <c r="BA1" s="2" t="str">
        <f t="shared" ca="1" si="0"/>
        <v>ноя.28</v>
      </c>
      <c r="BB1" s="2" t="str">
        <f t="shared" ca="1" si="0"/>
        <v>дек.28</v>
      </c>
    </row>
    <row r="2" spans="1:54" s="3" customFormat="1" ht="12.75" customHeight="1" x14ac:dyDescent="0.2">
      <c r="A2" s="457"/>
      <c r="B2" s="457"/>
      <c r="C2" s="457"/>
      <c r="D2" s="4"/>
      <c r="E2" s="4"/>
      <c r="F2" s="4"/>
      <c r="G2" s="1">
        <f t="shared" ref="G2:K2" si="1">G25</f>
        <v>1</v>
      </c>
      <c r="H2" s="1">
        <f t="shared" si="1"/>
        <v>2</v>
      </c>
      <c r="I2" s="1">
        <f t="shared" si="1"/>
        <v>3</v>
      </c>
      <c r="J2" s="1">
        <f t="shared" si="1"/>
        <v>4</v>
      </c>
      <c r="K2" s="1">
        <f t="shared" si="1"/>
        <v>5</v>
      </c>
      <c r="L2" s="1">
        <f t="shared" ref="L2:M2" si="2">L25</f>
        <v>6</v>
      </c>
      <c r="M2" s="1">
        <f t="shared" si="2"/>
        <v>7</v>
      </c>
      <c r="N2" s="1">
        <f t="shared" ref="N2:O2" si="3">N25</f>
        <v>8</v>
      </c>
      <c r="O2" s="1">
        <f t="shared" si="3"/>
        <v>9</v>
      </c>
      <c r="P2" s="1">
        <f t="shared" ref="P2:Q2" si="4">P25</f>
        <v>10</v>
      </c>
      <c r="Q2" s="1">
        <f t="shared" si="4"/>
        <v>11</v>
      </c>
      <c r="R2" s="1">
        <f t="shared" ref="R2:S2" si="5">R25</f>
        <v>12</v>
      </c>
      <c r="S2" s="1">
        <f t="shared" si="5"/>
        <v>13</v>
      </c>
      <c r="T2" s="1">
        <f t="shared" ref="T2:U2" si="6">T25</f>
        <v>14</v>
      </c>
      <c r="U2" s="1">
        <f t="shared" si="6"/>
        <v>15</v>
      </c>
      <c r="V2" s="1">
        <f t="shared" ref="V2:W2" si="7">V25</f>
        <v>16</v>
      </c>
      <c r="W2" s="1">
        <f t="shared" si="7"/>
        <v>17</v>
      </c>
      <c r="X2" s="1">
        <f t="shared" ref="X2:Y2" si="8">X25</f>
        <v>18</v>
      </c>
      <c r="Y2" s="1">
        <f t="shared" si="8"/>
        <v>19</v>
      </c>
      <c r="Z2" s="1">
        <f t="shared" ref="Z2:AA2" si="9">Z25</f>
        <v>20</v>
      </c>
      <c r="AA2" s="1">
        <f t="shared" si="9"/>
        <v>21</v>
      </c>
      <c r="AB2" s="1">
        <f t="shared" ref="AB2:AC2" si="10">AB25</f>
        <v>22</v>
      </c>
      <c r="AC2" s="1">
        <f t="shared" si="10"/>
        <v>23</v>
      </c>
      <c r="AD2" s="1">
        <f t="shared" ref="AD2:AE2" si="11">AD25</f>
        <v>24</v>
      </c>
      <c r="AE2" s="1">
        <f t="shared" si="11"/>
        <v>25</v>
      </c>
      <c r="AF2" s="1">
        <f t="shared" ref="AF2:AG2" si="12">AF25</f>
        <v>26</v>
      </c>
      <c r="AG2" s="1">
        <f t="shared" si="12"/>
        <v>27</v>
      </c>
      <c r="AH2" s="1">
        <f t="shared" ref="AH2:AI2" si="13">AH25</f>
        <v>28</v>
      </c>
      <c r="AI2" s="1">
        <f t="shared" si="13"/>
        <v>29</v>
      </c>
      <c r="AJ2" s="1">
        <f t="shared" ref="AJ2:AK2" si="14">AJ25</f>
        <v>30</v>
      </c>
      <c r="AK2" s="1">
        <f t="shared" si="14"/>
        <v>31</v>
      </c>
      <c r="AL2" s="1">
        <f t="shared" ref="AL2:AM2" si="15">AL25</f>
        <v>32</v>
      </c>
      <c r="AM2" s="1">
        <f t="shared" si="15"/>
        <v>33</v>
      </c>
      <c r="AN2" s="1">
        <f t="shared" ref="AN2:AO2" si="16">AN25</f>
        <v>34</v>
      </c>
      <c r="AO2" s="1">
        <f t="shared" si="16"/>
        <v>35</v>
      </c>
      <c r="AP2" s="1">
        <f t="shared" ref="AP2:AQ2" si="17">AP25</f>
        <v>36</v>
      </c>
      <c r="AQ2" s="1">
        <f t="shared" si="17"/>
        <v>37</v>
      </c>
      <c r="AR2" s="1">
        <f t="shared" ref="AR2:AS2" si="18">AR25</f>
        <v>38</v>
      </c>
      <c r="AS2" s="1">
        <f t="shared" si="18"/>
        <v>39</v>
      </c>
      <c r="AT2" s="1">
        <f t="shared" ref="AT2:AU2" si="19">AT25</f>
        <v>40</v>
      </c>
      <c r="AU2" s="1">
        <f t="shared" si="19"/>
        <v>41</v>
      </c>
      <c r="AV2" s="1">
        <f t="shared" ref="AV2:AW2" si="20">AV25</f>
        <v>42</v>
      </c>
      <c r="AW2" s="1">
        <f t="shared" si="20"/>
        <v>43</v>
      </c>
      <c r="AX2" s="1">
        <f t="shared" ref="AX2:AY2" si="21">AX25</f>
        <v>44</v>
      </c>
      <c r="AY2" s="1">
        <f t="shared" si="21"/>
        <v>45</v>
      </c>
      <c r="AZ2" s="1">
        <f t="shared" ref="AZ2:BA2" si="22">AZ25</f>
        <v>46</v>
      </c>
      <c r="BA2" s="1">
        <f t="shared" si="22"/>
        <v>47</v>
      </c>
      <c r="BB2" s="1">
        <f t="shared" ref="BB2" si="23">BB25</f>
        <v>48</v>
      </c>
    </row>
    <row r="3" spans="1:54" x14ac:dyDescent="0.3">
      <c r="A3" s="5" t="str">
        <f ca="1">Language!A385</f>
        <v>Название проекта</v>
      </c>
    </row>
    <row r="4" spans="1:54" x14ac:dyDescent="0.3">
      <c r="A4" s="267" t="s">
        <v>3506</v>
      </c>
      <c r="B4" s="244"/>
    </row>
    <row r="5" spans="1:54" x14ac:dyDescent="0.3">
      <c r="A5" s="244"/>
    </row>
    <row r="6" spans="1:54" s="9" customFormat="1" ht="25.5" customHeight="1" thickBot="1" x14ac:dyDescent="0.35">
      <c r="A6" s="323" t="str">
        <f ca="1">Language!A387</f>
        <v>НАСТРОЙКА ВИДА ТАБЛИЦ</v>
      </c>
      <c r="B6" s="324"/>
      <c r="C6" s="325"/>
      <c r="D6" s="326"/>
      <c r="E6" s="326" t="s">
        <v>880</v>
      </c>
      <c r="F6" s="326"/>
      <c r="G6" s="8"/>
      <c r="H6" s="8"/>
      <c r="I6" s="8"/>
      <c r="J6" s="8"/>
      <c r="K6" s="8"/>
      <c r="L6" s="8"/>
      <c r="M6" s="8"/>
      <c r="N6" s="8"/>
      <c r="O6" s="8"/>
      <c r="P6" s="8"/>
      <c r="Q6" s="8"/>
      <c r="R6" s="8"/>
      <c r="S6" s="8"/>
      <c r="T6" s="8"/>
      <c r="U6" s="8"/>
      <c r="V6" s="8"/>
      <c r="W6" s="8"/>
      <c r="X6" s="8"/>
      <c r="Y6" s="8"/>
      <c r="Z6" s="8"/>
      <c r="AA6" s="8"/>
      <c r="AB6" s="8"/>
      <c r="AC6" s="8"/>
      <c r="AD6" s="8"/>
      <c r="AE6" s="8"/>
      <c r="AF6" s="8"/>
      <c r="AG6" s="8"/>
      <c r="AH6" s="8"/>
      <c r="AI6" s="8"/>
      <c r="AJ6" s="8"/>
      <c r="AK6" s="8"/>
      <c r="AL6" s="8"/>
      <c r="AM6" s="8"/>
      <c r="AN6" s="8"/>
      <c r="AO6" s="8"/>
      <c r="AP6" s="8"/>
      <c r="AQ6" s="8"/>
      <c r="AR6" s="8"/>
      <c r="AS6" s="8"/>
      <c r="AT6" s="8"/>
      <c r="AU6" s="8"/>
      <c r="AV6" s="8"/>
      <c r="AW6" s="8"/>
      <c r="AX6" s="8"/>
      <c r="AY6" s="8"/>
      <c r="AZ6" s="8"/>
      <c r="BA6" s="8"/>
      <c r="BB6" s="8"/>
    </row>
    <row r="7" spans="1:54" ht="14.4" thickTop="1" x14ac:dyDescent="0.3">
      <c r="A7" s="10"/>
    </row>
    <row r="8" spans="1:54" x14ac:dyDescent="0.3">
      <c r="A8" s="10" t="str">
        <f ca="1">Language!A388</f>
        <v>Язык интерфейса и отчетности</v>
      </c>
      <c r="B8" s="10" t="str">
        <f ca="1">OFFSET(Language!A5,Prj_Language,0)</f>
        <v>Русский</v>
      </c>
      <c r="D8" s="11">
        <v>1</v>
      </c>
    </row>
    <row r="9" spans="1:54" x14ac:dyDescent="0.3">
      <c r="A9" s="10" t="str">
        <f ca="1">Language!A389</f>
        <v>Защита модели</v>
      </c>
      <c r="B9" s="10" t="str">
        <f ca="1">OFFSET(Language!A371,Prj_Protect,0)</f>
        <v>Выключена</v>
      </c>
      <c r="D9" s="11">
        <v>0</v>
      </c>
    </row>
    <row r="10" spans="1:54" x14ac:dyDescent="0.3">
      <c r="A10" s="10" t="str">
        <f ca="1">Language!A390</f>
        <v>Стиль оформления листов</v>
      </c>
      <c r="B10" s="10" t="str">
        <f ca="1">OFFSET(Language!A373,Prj_Style,0)</f>
        <v>Настройки пользователя</v>
      </c>
      <c r="D10" s="11">
        <v>9</v>
      </c>
    </row>
    <row r="11" spans="1:54" x14ac:dyDescent="0.3">
      <c r="A11" s="12"/>
      <c r="B11" s="13"/>
      <c r="C11" s="13"/>
      <c r="D11" s="14"/>
      <c r="E11" s="14" t="s">
        <v>608</v>
      </c>
      <c r="F11" s="14"/>
    </row>
    <row r="14" spans="1:54" s="9" customFormat="1" ht="25.5" customHeight="1" thickBot="1" x14ac:dyDescent="0.35">
      <c r="A14" s="323" t="str">
        <f ca="1">Language!A391</f>
        <v>ДАТА НАЧАЛА И ДЛИТЕЛЬНОСТЬ</v>
      </c>
      <c r="B14" s="324"/>
      <c r="C14" s="325"/>
      <c r="D14" s="326"/>
      <c r="E14" s="326" t="s">
        <v>881</v>
      </c>
      <c r="F14" s="326"/>
      <c r="G14" s="327" t="str">
        <f t="shared" ref="G14:BB14" ca="1" si="24">G$34</f>
        <v>янв.25</v>
      </c>
      <c r="H14" s="327" t="str">
        <f t="shared" ca="1" si="24"/>
        <v>фев.25</v>
      </c>
      <c r="I14" s="327" t="str">
        <f t="shared" ca="1" si="24"/>
        <v>мар.25</v>
      </c>
      <c r="J14" s="327" t="str">
        <f t="shared" ca="1" si="24"/>
        <v>апр.25</v>
      </c>
      <c r="K14" s="327" t="str">
        <f t="shared" ca="1" si="24"/>
        <v>май.25</v>
      </c>
      <c r="L14" s="327" t="str">
        <f t="shared" ca="1" si="24"/>
        <v>июн.25</v>
      </c>
      <c r="M14" s="328" t="str">
        <f t="shared" ca="1" si="24"/>
        <v>июл.25</v>
      </c>
      <c r="N14" s="328" t="str">
        <f t="shared" ca="1" si="24"/>
        <v>авг.25</v>
      </c>
      <c r="O14" s="328" t="str">
        <f t="shared" ca="1" si="24"/>
        <v>сен.25</v>
      </c>
      <c r="P14" s="328" t="str">
        <f t="shared" ca="1" si="24"/>
        <v>окт.25</v>
      </c>
      <c r="Q14" s="328" t="str">
        <f t="shared" ca="1" si="24"/>
        <v>ноя.25</v>
      </c>
      <c r="R14" s="328" t="str">
        <f t="shared" ca="1" si="24"/>
        <v>дек.25</v>
      </c>
      <c r="S14" s="328" t="str">
        <f t="shared" ca="1" si="24"/>
        <v>янв.26</v>
      </c>
      <c r="T14" s="328" t="str">
        <f t="shared" ca="1" si="24"/>
        <v>фев.26</v>
      </c>
      <c r="U14" s="328" t="str">
        <f t="shared" ca="1" si="24"/>
        <v>мар.26</v>
      </c>
      <c r="V14" s="328" t="str">
        <f t="shared" ca="1" si="24"/>
        <v>апр.26</v>
      </c>
      <c r="W14" s="328" t="str">
        <f t="shared" ca="1" si="24"/>
        <v>май.26</v>
      </c>
      <c r="X14" s="328" t="str">
        <f t="shared" ca="1" si="24"/>
        <v>июн.26</v>
      </c>
      <c r="Y14" s="328" t="str">
        <f t="shared" ca="1" si="24"/>
        <v>июл.26</v>
      </c>
      <c r="Z14" s="328" t="str">
        <f t="shared" ca="1" si="24"/>
        <v>авг.26</v>
      </c>
      <c r="AA14" s="328" t="str">
        <f t="shared" ca="1" si="24"/>
        <v>сен.26</v>
      </c>
      <c r="AB14" s="328" t="str">
        <f t="shared" ca="1" si="24"/>
        <v>окт.26</v>
      </c>
      <c r="AC14" s="328" t="str">
        <f t="shared" ca="1" si="24"/>
        <v>ноя.26</v>
      </c>
      <c r="AD14" s="328" t="str">
        <f t="shared" ca="1" si="24"/>
        <v>дек.26</v>
      </c>
      <c r="AE14" s="328" t="str">
        <f t="shared" ca="1" si="24"/>
        <v>янв.27</v>
      </c>
      <c r="AF14" s="328" t="str">
        <f t="shared" ca="1" si="24"/>
        <v>фев.27</v>
      </c>
      <c r="AG14" s="328" t="str">
        <f t="shared" ca="1" si="24"/>
        <v>мар.27</v>
      </c>
      <c r="AH14" s="328" t="str">
        <f t="shared" ca="1" si="24"/>
        <v>апр.27</v>
      </c>
      <c r="AI14" s="328" t="str">
        <f t="shared" ca="1" si="24"/>
        <v>май.27</v>
      </c>
      <c r="AJ14" s="328" t="str">
        <f t="shared" ca="1" si="24"/>
        <v>июн.27</v>
      </c>
      <c r="AK14" s="328" t="str">
        <f t="shared" ca="1" si="24"/>
        <v>июл.27</v>
      </c>
      <c r="AL14" s="328" t="str">
        <f t="shared" ca="1" si="24"/>
        <v>авг.27</v>
      </c>
      <c r="AM14" s="328" t="str">
        <f t="shared" ca="1" si="24"/>
        <v>сен.27</v>
      </c>
      <c r="AN14" s="328" t="str">
        <f t="shared" ca="1" si="24"/>
        <v>окт.27</v>
      </c>
      <c r="AO14" s="328" t="str">
        <f t="shared" ca="1" si="24"/>
        <v>ноя.27</v>
      </c>
      <c r="AP14" s="328" t="str">
        <f t="shared" ca="1" si="24"/>
        <v>дек.27</v>
      </c>
      <c r="AQ14" s="328" t="str">
        <f t="shared" ca="1" si="24"/>
        <v>янв.28</v>
      </c>
      <c r="AR14" s="328" t="str">
        <f t="shared" ca="1" si="24"/>
        <v>фев.28</v>
      </c>
      <c r="AS14" s="328" t="str">
        <f t="shared" ca="1" si="24"/>
        <v>мар.28</v>
      </c>
      <c r="AT14" s="328" t="str">
        <f t="shared" ca="1" si="24"/>
        <v>апр.28</v>
      </c>
      <c r="AU14" s="328" t="str">
        <f t="shared" ca="1" si="24"/>
        <v>май.28</v>
      </c>
      <c r="AV14" s="328" t="str">
        <f t="shared" ca="1" si="24"/>
        <v>июн.28</v>
      </c>
      <c r="AW14" s="328" t="str">
        <f t="shared" ca="1" si="24"/>
        <v>июл.28</v>
      </c>
      <c r="AX14" s="328" t="str">
        <f t="shared" ca="1" si="24"/>
        <v>авг.28</v>
      </c>
      <c r="AY14" s="328" t="str">
        <f t="shared" ca="1" si="24"/>
        <v>сен.28</v>
      </c>
      <c r="AZ14" s="328" t="str">
        <f t="shared" ca="1" si="24"/>
        <v>окт.28</v>
      </c>
      <c r="BA14" s="328" t="str">
        <f t="shared" ca="1" si="24"/>
        <v>ноя.28</v>
      </c>
      <c r="BB14" s="328" t="str">
        <f t="shared" ca="1" si="24"/>
        <v>дек.28</v>
      </c>
    </row>
    <row r="15" spans="1:54" ht="14.4" thickTop="1" x14ac:dyDescent="0.3">
      <c r="A15" s="10"/>
    </row>
    <row r="16" spans="1:54" x14ac:dyDescent="0.3">
      <c r="A16" s="10" t="str">
        <f ca="1">Language!A392</f>
        <v>Дата начала проекта</v>
      </c>
      <c r="B16" s="15">
        <f>DATE(Prj_StartYear,Prj_StartMonth,1)</f>
        <v>45658</v>
      </c>
    </row>
    <row r="17" spans="1:54" x14ac:dyDescent="0.3">
      <c r="A17" s="10" t="str">
        <f ca="1">Language!A393</f>
        <v>Горизонт планирования проекта</v>
      </c>
      <c r="B17" s="16">
        <f>ROUND((Prj_Len-1)+$G33,2)</f>
        <v>48</v>
      </c>
      <c r="C17" s="17" t="str">
        <f ca="1">OFFSET(Language!A45,Prj_Period,0)</f>
        <v>мес.</v>
      </c>
      <c r="D17" s="11">
        <v>48</v>
      </c>
    </row>
    <row r="18" spans="1:54" x14ac:dyDescent="0.3">
      <c r="A18" s="10" t="str">
        <f ca="1">Language!A394</f>
        <v>Инвестиционная фаза проекта</v>
      </c>
      <c r="B18" s="17">
        <f>IF(Prj_Invest&gt;0, ROUND((Prj_Invest-1)+$G33,2), 0)</f>
        <v>6</v>
      </c>
      <c r="C18" s="17" t="str">
        <f ca="1">OFFSET(Language!A45,Prj_Period,0)</f>
        <v>мес.</v>
      </c>
      <c r="D18" s="11">
        <v>6</v>
      </c>
    </row>
    <row r="19" spans="1:54" x14ac:dyDescent="0.3">
      <c r="A19" s="10" t="str">
        <f ca="1">Language!A395</f>
        <v>Шаг планирования</v>
      </c>
      <c r="B19" s="17" t="str">
        <f ca="1">OFFSET(Language!A41,Prj_Period,0)</f>
        <v>месяц</v>
      </c>
      <c r="D19" s="11">
        <v>1</v>
      </c>
    </row>
    <row r="20" spans="1:54" outlineLevel="1" x14ac:dyDescent="0.3">
      <c r="A20" s="10"/>
      <c r="B20" s="17"/>
    </row>
    <row r="21" spans="1:54" outlineLevel="1" x14ac:dyDescent="0.3">
      <c r="A21" s="10" t="str">
        <f ca="1">Language!A396</f>
        <v>Длительность шага планирования</v>
      </c>
      <c r="B21" s="17">
        <f>Prj_Step*30</f>
        <v>30</v>
      </c>
      <c r="C21" s="17" t="str">
        <f ca="1">Language!A45</f>
        <v>дн.</v>
      </c>
      <c r="D21" s="11">
        <f>CHOOSE(Prj_Period,1,3,12)</f>
        <v>1</v>
      </c>
    </row>
    <row r="22" spans="1:54" outlineLevel="1" x14ac:dyDescent="0.3">
      <c r="A22" s="10" t="str">
        <f ca="1">Language!A397</f>
        <v>Год начала проекта</v>
      </c>
      <c r="B22" s="17">
        <v>2025</v>
      </c>
    </row>
    <row r="23" spans="1:54" outlineLevel="1" x14ac:dyDescent="0.3">
      <c r="A23" s="10" t="str">
        <f ca="1">Language!A398</f>
        <v>Месяц начала проекта</v>
      </c>
      <c r="B23" s="17">
        <v>1</v>
      </c>
    </row>
    <row r="24" spans="1:54" outlineLevel="1" x14ac:dyDescent="0.3">
      <c r="A24" s="10"/>
    </row>
    <row r="25" spans="1:54" outlineLevel="1" x14ac:dyDescent="0.3">
      <c r="A25" s="10" t="str">
        <f ca="1">Language!A399</f>
        <v>Номер периода</v>
      </c>
      <c r="G25" s="5">
        <v>1</v>
      </c>
      <c r="H25" s="5">
        <f t="shared" ref="H25:BB25" si="25">G25+1</f>
        <v>2</v>
      </c>
      <c r="I25" s="5">
        <f t="shared" si="25"/>
        <v>3</v>
      </c>
      <c r="J25" s="5">
        <f t="shared" si="25"/>
        <v>4</v>
      </c>
      <c r="K25" s="5">
        <f t="shared" si="25"/>
        <v>5</v>
      </c>
      <c r="L25" s="5">
        <f t="shared" si="25"/>
        <v>6</v>
      </c>
      <c r="M25" s="5">
        <f t="shared" si="25"/>
        <v>7</v>
      </c>
      <c r="N25" s="5">
        <f t="shared" si="25"/>
        <v>8</v>
      </c>
      <c r="O25" s="5">
        <f t="shared" si="25"/>
        <v>9</v>
      </c>
      <c r="P25" s="5">
        <f t="shared" si="25"/>
        <v>10</v>
      </c>
      <c r="Q25" s="5">
        <f t="shared" si="25"/>
        <v>11</v>
      </c>
      <c r="R25" s="5">
        <f t="shared" si="25"/>
        <v>12</v>
      </c>
      <c r="S25" s="5">
        <f t="shared" si="25"/>
        <v>13</v>
      </c>
      <c r="T25" s="5">
        <f t="shared" si="25"/>
        <v>14</v>
      </c>
      <c r="U25" s="5">
        <f t="shared" si="25"/>
        <v>15</v>
      </c>
      <c r="V25" s="5">
        <f t="shared" si="25"/>
        <v>16</v>
      </c>
      <c r="W25" s="5">
        <f t="shared" si="25"/>
        <v>17</v>
      </c>
      <c r="X25" s="5">
        <f t="shared" si="25"/>
        <v>18</v>
      </c>
      <c r="Y25" s="5">
        <f t="shared" si="25"/>
        <v>19</v>
      </c>
      <c r="Z25" s="5">
        <f t="shared" si="25"/>
        <v>20</v>
      </c>
      <c r="AA25" s="5">
        <f t="shared" si="25"/>
        <v>21</v>
      </c>
      <c r="AB25" s="5">
        <f t="shared" si="25"/>
        <v>22</v>
      </c>
      <c r="AC25" s="5">
        <f t="shared" si="25"/>
        <v>23</v>
      </c>
      <c r="AD25" s="5">
        <f t="shared" si="25"/>
        <v>24</v>
      </c>
      <c r="AE25" s="5">
        <f t="shared" si="25"/>
        <v>25</v>
      </c>
      <c r="AF25" s="5">
        <f t="shared" si="25"/>
        <v>26</v>
      </c>
      <c r="AG25" s="5">
        <f t="shared" si="25"/>
        <v>27</v>
      </c>
      <c r="AH25" s="5">
        <f t="shared" si="25"/>
        <v>28</v>
      </c>
      <c r="AI25" s="5">
        <f t="shared" si="25"/>
        <v>29</v>
      </c>
      <c r="AJ25" s="5">
        <f t="shared" si="25"/>
        <v>30</v>
      </c>
      <c r="AK25" s="5">
        <f t="shared" si="25"/>
        <v>31</v>
      </c>
      <c r="AL25" s="5">
        <f t="shared" si="25"/>
        <v>32</v>
      </c>
      <c r="AM25" s="5">
        <f t="shared" si="25"/>
        <v>33</v>
      </c>
      <c r="AN25" s="5">
        <f t="shared" si="25"/>
        <v>34</v>
      </c>
      <c r="AO25" s="5">
        <f t="shared" si="25"/>
        <v>35</v>
      </c>
      <c r="AP25" s="5">
        <f t="shared" si="25"/>
        <v>36</v>
      </c>
      <c r="AQ25" s="5">
        <f t="shared" si="25"/>
        <v>37</v>
      </c>
      <c r="AR25" s="5">
        <f t="shared" si="25"/>
        <v>38</v>
      </c>
      <c r="AS25" s="5">
        <f t="shared" si="25"/>
        <v>39</v>
      </c>
      <c r="AT25" s="5">
        <f t="shared" si="25"/>
        <v>40</v>
      </c>
      <c r="AU25" s="5">
        <f t="shared" si="25"/>
        <v>41</v>
      </c>
      <c r="AV25" s="5">
        <f t="shared" si="25"/>
        <v>42</v>
      </c>
      <c r="AW25" s="5">
        <f t="shared" si="25"/>
        <v>43</v>
      </c>
      <c r="AX25" s="5">
        <f t="shared" si="25"/>
        <v>44</v>
      </c>
      <c r="AY25" s="5">
        <f t="shared" si="25"/>
        <v>45</v>
      </c>
      <c r="AZ25" s="5">
        <f t="shared" si="25"/>
        <v>46</v>
      </c>
      <c r="BA25" s="5">
        <f t="shared" si="25"/>
        <v>47</v>
      </c>
      <c r="BB25" s="5">
        <f t="shared" si="25"/>
        <v>48</v>
      </c>
    </row>
    <row r="26" spans="1:54" outlineLevel="1" x14ac:dyDescent="0.3">
      <c r="A26" s="10" t="str">
        <f ca="1">Language!A400</f>
        <v>Дата начала периода</v>
      </c>
      <c r="E26" s="6" t="s">
        <v>617</v>
      </c>
      <c r="F26" s="6" t="s">
        <v>744</v>
      </c>
      <c r="G26" s="18">
        <f>Prj_StartDate</f>
        <v>45658</v>
      </c>
      <c r="H26" s="18">
        <f t="shared" ref="H26:BB26" si="26">EDATE(G26,G31)</f>
        <v>45689</v>
      </c>
      <c r="I26" s="18">
        <f t="shared" si="26"/>
        <v>45717</v>
      </c>
      <c r="J26" s="18">
        <f t="shared" si="26"/>
        <v>45748</v>
      </c>
      <c r="K26" s="18">
        <f t="shared" si="26"/>
        <v>45778</v>
      </c>
      <c r="L26" s="18">
        <f t="shared" si="26"/>
        <v>45809</v>
      </c>
      <c r="M26" s="18">
        <f t="shared" si="26"/>
        <v>45839</v>
      </c>
      <c r="N26" s="18">
        <f t="shared" si="26"/>
        <v>45870</v>
      </c>
      <c r="O26" s="18">
        <f t="shared" si="26"/>
        <v>45901</v>
      </c>
      <c r="P26" s="18">
        <f t="shared" si="26"/>
        <v>45931</v>
      </c>
      <c r="Q26" s="18">
        <f t="shared" si="26"/>
        <v>45962</v>
      </c>
      <c r="R26" s="18">
        <f t="shared" si="26"/>
        <v>45992</v>
      </c>
      <c r="S26" s="18">
        <f t="shared" si="26"/>
        <v>46023</v>
      </c>
      <c r="T26" s="18">
        <f t="shared" si="26"/>
        <v>46054</v>
      </c>
      <c r="U26" s="18">
        <f t="shared" si="26"/>
        <v>46082</v>
      </c>
      <c r="V26" s="18">
        <f t="shared" si="26"/>
        <v>46113</v>
      </c>
      <c r="W26" s="18">
        <f t="shared" si="26"/>
        <v>46143</v>
      </c>
      <c r="X26" s="18">
        <f t="shared" si="26"/>
        <v>46174</v>
      </c>
      <c r="Y26" s="18">
        <f t="shared" si="26"/>
        <v>46204</v>
      </c>
      <c r="Z26" s="18">
        <f t="shared" si="26"/>
        <v>46235</v>
      </c>
      <c r="AA26" s="18">
        <f t="shared" si="26"/>
        <v>46266</v>
      </c>
      <c r="AB26" s="18">
        <f t="shared" si="26"/>
        <v>46296</v>
      </c>
      <c r="AC26" s="18">
        <f t="shared" si="26"/>
        <v>46327</v>
      </c>
      <c r="AD26" s="18">
        <f t="shared" si="26"/>
        <v>46357</v>
      </c>
      <c r="AE26" s="18">
        <f t="shared" si="26"/>
        <v>46388</v>
      </c>
      <c r="AF26" s="18">
        <f t="shared" si="26"/>
        <v>46419</v>
      </c>
      <c r="AG26" s="18">
        <f t="shared" si="26"/>
        <v>46447</v>
      </c>
      <c r="AH26" s="18">
        <f t="shared" si="26"/>
        <v>46478</v>
      </c>
      <c r="AI26" s="18">
        <f t="shared" si="26"/>
        <v>46508</v>
      </c>
      <c r="AJ26" s="18">
        <f t="shared" si="26"/>
        <v>46539</v>
      </c>
      <c r="AK26" s="18">
        <f t="shared" si="26"/>
        <v>46569</v>
      </c>
      <c r="AL26" s="18">
        <f t="shared" si="26"/>
        <v>46600</v>
      </c>
      <c r="AM26" s="18">
        <f t="shared" si="26"/>
        <v>46631</v>
      </c>
      <c r="AN26" s="18">
        <f t="shared" si="26"/>
        <v>46661</v>
      </c>
      <c r="AO26" s="18">
        <f t="shared" si="26"/>
        <v>46692</v>
      </c>
      <c r="AP26" s="18">
        <f t="shared" si="26"/>
        <v>46722</v>
      </c>
      <c r="AQ26" s="18">
        <f t="shared" si="26"/>
        <v>46753</v>
      </c>
      <c r="AR26" s="18">
        <f t="shared" si="26"/>
        <v>46784</v>
      </c>
      <c r="AS26" s="18">
        <f t="shared" si="26"/>
        <v>46813</v>
      </c>
      <c r="AT26" s="18">
        <f t="shared" si="26"/>
        <v>46844</v>
      </c>
      <c r="AU26" s="18">
        <f t="shared" si="26"/>
        <v>46874</v>
      </c>
      <c r="AV26" s="18">
        <f t="shared" si="26"/>
        <v>46905</v>
      </c>
      <c r="AW26" s="18">
        <f t="shared" si="26"/>
        <v>46935</v>
      </c>
      <c r="AX26" s="18">
        <f t="shared" si="26"/>
        <v>46966</v>
      </c>
      <c r="AY26" s="18">
        <f t="shared" si="26"/>
        <v>46997</v>
      </c>
      <c r="AZ26" s="18">
        <f t="shared" si="26"/>
        <v>47027</v>
      </c>
      <c r="BA26" s="18">
        <f t="shared" si="26"/>
        <v>47058</v>
      </c>
      <c r="BB26" s="18">
        <f t="shared" si="26"/>
        <v>47088</v>
      </c>
    </row>
    <row r="27" spans="1:54" outlineLevel="1" x14ac:dyDescent="0.3">
      <c r="A27" s="10" t="str">
        <f ca="1">Language!A401</f>
        <v>Дата конца периода</v>
      </c>
      <c r="E27" s="6" t="s">
        <v>618</v>
      </c>
      <c r="F27" s="6" t="s">
        <v>741</v>
      </c>
      <c r="G27" s="18">
        <f t="shared" ref="G27:K27" si="27">EDATE(G26,G31)-1</f>
        <v>45688</v>
      </c>
      <c r="H27" s="18">
        <f t="shared" si="27"/>
        <v>45716</v>
      </c>
      <c r="I27" s="18">
        <f t="shared" si="27"/>
        <v>45747</v>
      </c>
      <c r="J27" s="18">
        <f t="shared" si="27"/>
        <v>45777</v>
      </c>
      <c r="K27" s="18">
        <f t="shared" si="27"/>
        <v>45808</v>
      </c>
      <c r="L27" s="18">
        <f t="shared" ref="L27:M27" si="28">EDATE(L26,L31)-1</f>
        <v>45838</v>
      </c>
      <c r="M27" s="18">
        <f t="shared" si="28"/>
        <v>45869</v>
      </c>
      <c r="N27" s="18">
        <f t="shared" ref="N27:O27" si="29">EDATE(N26,N31)-1</f>
        <v>45900</v>
      </c>
      <c r="O27" s="18">
        <f t="shared" si="29"/>
        <v>45930</v>
      </c>
      <c r="P27" s="18">
        <f t="shared" ref="P27:Q27" si="30">EDATE(P26,P31)-1</f>
        <v>45961</v>
      </c>
      <c r="Q27" s="18">
        <f t="shared" si="30"/>
        <v>45991</v>
      </c>
      <c r="R27" s="18">
        <f t="shared" ref="R27:S27" si="31">EDATE(R26,R31)-1</f>
        <v>46022</v>
      </c>
      <c r="S27" s="18">
        <f t="shared" si="31"/>
        <v>46053</v>
      </c>
      <c r="T27" s="18">
        <f t="shared" ref="T27:U27" si="32">EDATE(T26,T31)-1</f>
        <v>46081</v>
      </c>
      <c r="U27" s="18">
        <f t="shared" si="32"/>
        <v>46112</v>
      </c>
      <c r="V27" s="18">
        <f t="shared" ref="V27:W27" si="33">EDATE(V26,V31)-1</f>
        <v>46142</v>
      </c>
      <c r="W27" s="18">
        <f t="shared" si="33"/>
        <v>46173</v>
      </c>
      <c r="X27" s="18">
        <f t="shared" ref="X27:Y27" si="34">EDATE(X26,X31)-1</f>
        <v>46203</v>
      </c>
      <c r="Y27" s="18">
        <f t="shared" si="34"/>
        <v>46234</v>
      </c>
      <c r="Z27" s="18">
        <f t="shared" ref="Z27:AA27" si="35">EDATE(Z26,Z31)-1</f>
        <v>46265</v>
      </c>
      <c r="AA27" s="18">
        <f t="shared" si="35"/>
        <v>46295</v>
      </c>
      <c r="AB27" s="18">
        <f t="shared" ref="AB27:AC27" si="36">EDATE(AB26,AB31)-1</f>
        <v>46326</v>
      </c>
      <c r="AC27" s="18">
        <f t="shared" si="36"/>
        <v>46356</v>
      </c>
      <c r="AD27" s="18">
        <f t="shared" ref="AD27:AE27" si="37">EDATE(AD26,AD31)-1</f>
        <v>46387</v>
      </c>
      <c r="AE27" s="18">
        <f t="shared" si="37"/>
        <v>46418</v>
      </c>
      <c r="AF27" s="18">
        <f t="shared" ref="AF27:AG27" si="38">EDATE(AF26,AF31)-1</f>
        <v>46446</v>
      </c>
      <c r="AG27" s="18">
        <f t="shared" si="38"/>
        <v>46477</v>
      </c>
      <c r="AH27" s="18">
        <f t="shared" ref="AH27:AI27" si="39">EDATE(AH26,AH31)-1</f>
        <v>46507</v>
      </c>
      <c r="AI27" s="18">
        <f t="shared" si="39"/>
        <v>46538</v>
      </c>
      <c r="AJ27" s="18">
        <f t="shared" ref="AJ27:AK27" si="40">EDATE(AJ26,AJ31)-1</f>
        <v>46568</v>
      </c>
      <c r="AK27" s="18">
        <f t="shared" si="40"/>
        <v>46599</v>
      </c>
      <c r="AL27" s="18">
        <f t="shared" ref="AL27:AM27" si="41">EDATE(AL26,AL31)-1</f>
        <v>46630</v>
      </c>
      <c r="AM27" s="18">
        <f t="shared" si="41"/>
        <v>46660</v>
      </c>
      <c r="AN27" s="18">
        <f t="shared" ref="AN27:AO27" si="42">EDATE(AN26,AN31)-1</f>
        <v>46691</v>
      </c>
      <c r="AO27" s="18">
        <f t="shared" si="42"/>
        <v>46721</v>
      </c>
      <c r="AP27" s="18">
        <f t="shared" ref="AP27:AQ27" si="43">EDATE(AP26,AP31)-1</f>
        <v>46752</v>
      </c>
      <c r="AQ27" s="18">
        <f t="shared" si="43"/>
        <v>46783</v>
      </c>
      <c r="AR27" s="18">
        <f t="shared" ref="AR27:AS27" si="44">EDATE(AR26,AR31)-1</f>
        <v>46812</v>
      </c>
      <c r="AS27" s="18">
        <f t="shared" si="44"/>
        <v>46843</v>
      </c>
      <c r="AT27" s="18">
        <f t="shared" ref="AT27:AU27" si="45">EDATE(AT26,AT31)-1</f>
        <v>46873</v>
      </c>
      <c r="AU27" s="18">
        <f t="shared" si="45"/>
        <v>46904</v>
      </c>
      <c r="AV27" s="18">
        <f t="shared" ref="AV27:AW27" si="46">EDATE(AV26,AV31)-1</f>
        <v>46934</v>
      </c>
      <c r="AW27" s="18">
        <f t="shared" si="46"/>
        <v>46965</v>
      </c>
      <c r="AX27" s="18">
        <f t="shared" ref="AX27:AY27" si="47">EDATE(AX26,AX31)-1</f>
        <v>46996</v>
      </c>
      <c r="AY27" s="18">
        <f t="shared" si="47"/>
        <v>47026</v>
      </c>
      <c r="AZ27" s="18">
        <f t="shared" ref="AZ27:BA27" si="48">EDATE(AZ26,AZ31)-1</f>
        <v>47057</v>
      </c>
      <c r="BA27" s="18">
        <f t="shared" si="48"/>
        <v>47087</v>
      </c>
      <c r="BB27" s="18">
        <f t="shared" ref="BB27" si="49">EDATE(BB26,BB31)-1</f>
        <v>47118</v>
      </c>
    </row>
    <row r="28" spans="1:54" outlineLevel="1" x14ac:dyDescent="0.3">
      <c r="A28" s="10" t="str">
        <f ca="1">Language!A402</f>
        <v>Год периода</v>
      </c>
      <c r="E28" s="6" t="s">
        <v>619</v>
      </c>
      <c r="F28" s="6" t="s">
        <v>744</v>
      </c>
      <c r="G28" s="5">
        <f t="shared" ref="G28:K28" si="50">YEAR(G26)</f>
        <v>2025</v>
      </c>
      <c r="H28" s="5">
        <f t="shared" si="50"/>
        <v>2025</v>
      </c>
      <c r="I28" s="5">
        <f t="shared" si="50"/>
        <v>2025</v>
      </c>
      <c r="J28" s="5">
        <f t="shared" si="50"/>
        <v>2025</v>
      </c>
      <c r="K28" s="5">
        <f t="shared" si="50"/>
        <v>2025</v>
      </c>
      <c r="L28" s="5">
        <f t="shared" ref="L28:M28" si="51">YEAR(L26)</f>
        <v>2025</v>
      </c>
      <c r="M28" s="5">
        <f t="shared" si="51"/>
        <v>2025</v>
      </c>
      <c r="N28" s="5">
        <f t="shared" ref="N28:O28" si="52">YEAR(N26)</f>
        <v>2025</v>
      </c>
      <c r="O28" s="5">
        <f t="shared" si="52"/>
        <v>2025</v>
      </c>
      <c r="P28" s="5">
        <f t="shared" ref="P28:Q28" si="53">YEAR(P26)</f>
        <v>2025</v>
      </c>
      <c r="Q28" s="5">
        <f t="shared" si="53"/>
        <v>2025</v>
      </c>
      <c r="R28" s="5">
        <f t="shared" ref="R28:S28" si="54">YEAR(R26)</f>
        <v>2025</v>
      </c>
      <c r="S28" s="5">
        <f t="shared" si="54"/>
        <v>2026</v>
      </c>
      <c r="T28" s="5">
        <f t="shared" ref="T28:U28" si="55">YEAR(T26)</f>
        <v>2026</v>
      </c>
      <c r="U28" s="5">
        <f t="shared" si="55"/>
        <v>2026</v>
      </c>
      <c r="V28" s="5">
        <f t="shared" ref="V28:W28" si="56">YEAR(V26)</f>
        <v>2026</v>
      </c>
      <c r="W28" s="5">
        <f t="shared" si="56"/>
        <v>2026</v>
      </c>
      <c r="X28" s="5">
        <f t="shared" ref="X28:Y28" si="57">YEAR(X26)</f>
        <v>2026</v>
      </c>
      <c r="Y28" s="5">
        <f t="shared" si="57"/>
        <v>2026</v>
      </c>
      <c r="Z28" s="5">
        <f t="shared" ref="Z28:AA28" si="58">YEAR(Z26)</f>
        <v>2026</v>
      </c>
      <c r="AA28" s="5">
        <f t="shared" si="58"/>
        <v>2026</v>
      </c>
      <c r="AB28" s="5">
        <f t="shared" ref="AB28:AC28" si="59">YEAR(AB26)</f>
        <v>2026</v>
      </c>
      <c r="AC28" s="5">
        <f t="shared" si="59"/>
        <v>2026</v>
      </c>
      <c r="AD28" s="5">
        <f t="shared" ref="AD28:AE28" si="60">YEAR(AD26)</f>
        <v>2026</v>
      </c>
      <c r="AE28" s="5">
        <f t="shared" si="60"/>
        <v>2027</v>
      </c>
      <c r="AF28" s="5">
        <f t="shared" ref="AF28:AG28" si="61">YEAR(AF26)</f>
        <v>2027</v>
      </c>
      <c r="AG28" s="5">
        <f t="shared" si="61"/>
        <v>2027</v>
      </c>
      <c r="AH28" s="5">
        <f t="shared" ref="AH28:AI28" si="62">YEAR(AH26)</f>
        <v>2027</v>
      </c>
      <c r="AI28" s="5">
        <f t="shared" si="62"/>
        <v>2027</v>
      </c>
      <c r="AJ28" s="5">
        <f t="shared" ref="AJ28:AK28" si="63">YEAR(AJ26)</f>
        <v>2027</v>
      </c>
      <c r="AK28" s="5">
        <f t="shared" si="63"/>
        <v>2027</v>
      </c>
      <c r="AL28" s="5">
        <f t="shared" ref="AL28:AM28" si="64">YEAR(AL26)</f>
        <v>2027</v>
      </c>
      <c r="AM28" s="5">
        <f t="shared" si="64"/>
        <v>2027</v>
      </c>
      <c r="AN28" s="5">
        <f t="shared" ref="AN28:AO28" si="65">YEAR(AN26)</f>
        <v>2027</v>
      </c>
      <c r="AO28" s="5">
        <f t="shared" si="65"/>
        <v>2027</v>
      </c>
      <c r="AP28" s="5">
        <f t="shared" ref="AP28:AQ28" si="66">YEAR(AP26)</f>
        <v>2027</v>
      </c>
      <c r="AQ28" s="5">
        <f t="shared" si="66"/>
        <v>2028</v>
      </c>
      <c r="AR28" s="5">
        <f t="shared" ref="AR28:AS28" si="67">YEAR(AR26)</f>
        <v>2028</v>
      </c>
      <c r="AS28" s="5">
        <f t="shared" si="67"/>
        <v>2028</v>
      </c>
      <c r="AT28" s="5">
        <f t="shared" ref="AT28:AU28" si="68">YEAR(AT26)</f>
        <v>2028</v>
      </c>
      <c r="AU28" s="5">
        <f t="shared" si="68"/>
        <v>2028</v>
      </c>
      <c r="AV28" s="5">
        <f t="shared" ref="AV28:AW28" si="69">YEAR(AV26)</f>
        <v>2028</v>
      </c>
      <c r="AW28" s="5">
        <f t="shared" si="69"/>
        <v>2028</v>
      </c>
      <c r="AX28" s="5">
        <f t="shared" ref="AX28:AY28" si="70">YEAR(AX26)</f>
        <v>2028</v>
      </c>
      <c r="AY28" s="5">
        <f t="shared" si="70"/>
        <v>2028</v>
      </c>
      <c r="AZ28" s="5">
        <f t="shared" ref="AZ28:BA28" si="71">YEAR(AZ26)</f>
        <v>2028</v>
      </c>
      <c r="BA28" s="5">
        <f t="shared" si="71"/>
        <v>2028</v>
      </c>
      <c r="BB28" s="5">
        <f t="shared" ref="BB28" si="72">YEAR(BB26)</f>
        <v>2028</v>
      </c>
    </row>
    <row r="29" spans="1:54" outlineLevel="1" x14ac:dyDescent="0.3">
      <c r="A29" s="10" t="str">
        <f ca="1">Language!A403</f>
        <v>Месяц начала периода</v>
      </c>
      <c r="E29" s="6" t="s">
        <v>620</v>
      </c>
      <c r="F29" s="6" t="s">
        <v>744</v>
      </c>
      <c r="G29" s="5">
        <f t="shared" ref="G29:K29" si="73">MONTH(G26)</f>
        <v>1</v>
      </c>
      <c r="H29" s="5">
        <f t="shared" si="73"/>
        <v>2</v>
      </c>
      <c r="I29" s="5">
        <f t="shared" si="73"/>
        <v>3</v>
      </c>
      <c r="J29" s="5">
        <f t="shared" si="73"/>
        <v>4</v>
      </c>
      <c r="K29" s="5">
        <f t="shared" si="73"/>
        <v>5</v>
      </c>
      <c r="L29" s="5">
        <f t="shared" ref="L29:M29" si="74">MONTH(L26)</f>
        <v>6</v>
      </c>
      <c r="M29" s="5">
        <f t="shared" si="74"/>
        <v>7</v>
      </c>
      <c r="N29" s="5">
        <f t="shared" ref="N29:O29" si="75">MONTH(N26)</f>
        <v>8</v>
      </c>
      <c r="O29" s="5">
        <f t="shared" si="75"/>
        <v>9</v>
      </c>
      <c r="P29" s="5">
        <f t="shared" ref="P29:Q29" si="76">MONTH(P26)</f>
        <v>10</v>
      </c>
      <c r="Q29" s="5">
        <f t="shared" si="76"/>
        <v>11</v>
      </c>
      <c r="R29" s="5">
        <f t="shared" ref="R29:S29" si="77">MONTH(R26)</f>
        <v>12</v>
      </c>
      <c r="S29" s="5">
        <f t="shared" si="77"/>
        <v>1</v>
      </c>
      <c r="T29" s="5">
        <f t="shared" ref="T29:U29" si="78">MONTH(T26)</f>
        <v>2</v>
      </c>
      <c r="U29" s="5">
        <f t="shared" si="78"/>
        <v>3</v>
      </c>
      <c r="V29" s="5">
        <f t="shared" ref="V29:W29" si="79">MONTH(V26)</f>
        <v>4</v>
      </c>
      <c r="W29" s="5">
        <f t="shared" si="79"/>
        <v>5</v>
      </c>
      <c r="X29" s="5">
        <f t="shared" ref="X29:Y29" si="80">MONTH(X26)</f>
        <v>6</v>
      </c>
      <c r="Y29" s="5">
        <f t="shared" si="80"/>
        <v>7</v>
      </c>
      <c r="Z29" s="5">
        <f t="shared" ref="Z29:AA29" si="81">MONTH(Z26)</f>
        <v>8</v>
      </c>
      <c r="AA29" s="5">
        <f t="shared" si="81"/>
        <v>9</v>
      </c>
      <c r="AB29" s="5">
        <f t="shared" ref="AB29:AC29" si="82">MONTH(AB26)</f>
        <v>10</v>
      </c>
      <c r="AC29" s="5">
        <f t="shared" si="82"/>
        <v>11</v>
      </c>
      <c r="AD29" s="5">
        <f t="shared" ref="AD29:AE29" si="83">MONTH(AD26)</f>
        <v>12</v>
      </c>
      <c r="AE29" s="5">
        <f t="shared" si="83"/>
        <v>1</v>
      </c>
      <c r="AF29" s="5">
        <f t="shared" ref="AF29:AG29" si="84">MONTH(AF26)</f>
        <v>2</v>
      </c>
      <c r="AG29" s="5">
        <f t="shared" si="84"/>
        <v>3</v>
      </c>
      <c r="AH29" s="5">
        <f t="shared" ref="AH29:AI29" si="85">MONTH(AH26)</f>
        <v>4</v>
      </c>
      <c r="AI29" s="5">
        <f t="shared" si="85"/>
        <v>5</v>
      </c>
      <c r="AJ29" s="5">
        <f t="shared" ref="AJ29:AK29" si="86">MONTH(AJ26)</f>
        <v>6</v>
      </c>
      <c r="AK29" s="5">
        <f t="shared" si="86"/>
        <v>7</v>
      </c>
      <c r="AL29" s="5">
        <f t="shared" ref="AL29:AM29" si="87">MONTH(AL26)</f>
        <v>8</v>
      </c>
      <c r="AM29" s="5">
        <f t="shared" si="87"/>
        <v>9</v>
      </c>
      <c r="AN29" s="5">
        <f t="shared" ref="AN29:AO29" si="88">MONTH(AN26)</f>
        <v>10</v>
      </c>
      <c r="AO29" s="5">
        <f t="shared" si="88"/>
        <v>11</v>
      </c>
      <c r="AP29" s="5">
        <f t="shared" ref="AP29:AQ29" si="89">MONTH(AP26)</f>
        <v>12</v>
      </c>
      <c r="AQ29" s="5">
        <f t="shared" si="89"/>
        <v>1</v>
      </c>
      <c r="AR29" s="5">
        <f t="shared" ref="AR29:AS29" si="90">MONTH(AR26)</f>
        <v>2</v>
      </c>
      <c r="AS29" s="5">
        <f t="shared" si="90"/>
        <v>3</v>
      </c>
      <c r="AT29" s="5">
        <f t="shared" ref="AT29:AU29" si="91">MONTH(AT26)</f>
        <v>4</v>
      </c>
      <c r="AU29" s="5">
        <f t="shared" si="91"/>
        <v>5</v>
      </c>
      <c r="AV29" s="5">
        <f t="shared" ref="AV29:AW29" si="92">MONTH(AV26)</f>
        <v>6</v>
      </c>
      <c r="AW29" s="5">
        <f t="shared" si="92"/>
        <v>7</v>
      </c>
      <c r="AX29" s="5">
        <f t="shared" ref="AX29:AY29" si="93">MONTH(AX26)</f>
        <v>8</v>
      </c>
      <c r="AY29" s="5">
        <f t="shared" si="93"/>
        <v>9</v>
      </c>
      <c r="AZ29" s="5">
        <f t="shared" ref="AZ29:BA29" si="94">MONTH(AZ26)</f>
        <v>10</v>
      </c>
      <c r="BA29" s="5">
        <f t="shared" si="94"/>
        <v>11</v>
      </c>
      <c r="BB29" s="5">
        <f t="shared" ref="BB29" si="95">MONTH(BB26)</f>
        <v>12</v>
      </c>
    </row>
    <row r="30" spans="1:54" outlineLevel="1" x14ac:dyDescent="0.3">
      <c r="A30" s="10" t="str">
        <f ca="1">Language!A404</f>
        <v>Длительность периода в днях</v>
      </c>
      <c r="F30" s="6" t="s">
        <v>740</v>
      </c>
      <c r="G30" s="5">
        <f t="shared" ref="G30:BB30" si="96">G31*30</f>
        <v>30</v>
      </c>
      <c r="H30" s="5">
        <f t="shared" si="96"/>
        <v>30</v>
      </c>
      <c r="I30" s="5">
        <f t="shared" si="96"/>
        <v>30</v>
      </c>
      <c r="J30" s="5">
        <f t="shared" si="96"/>
        <v>30</v>
      </c>
      <c r="K30" s="5">
        <f t="shared" si="96"/>
        <v>30</v>
      </c>
      <c r="L30" s="5">
        <f t="shared" si="96"/>
        <v>30</v>
      </c>
      <c r="M30" s="5">
        <f t="shared" si="96"/>
        <v>30</v>
      </c>
      <c r="N30" s="5">
        <f t="shared" si="96"/>
        <v>30</v>
      </c>
      <c r="O30" s="5">
        <f t="shared" si="96"/>
        <v>30</v>
      </c>
      <c r="P30" s="5">
        <f t="shared" si="96"/>
        <v>30</v>
      </c>
      <c r="Q30" s="5">
        <f t="shared" si="96"/>
        <v>30</v>
      </c>
      <c r="R30" s="5">
        <f t="shared" si="96"/>
        <v>30</v>
      </c>
      <c r="S30" s="5">
        <f t="shared" si="96"/>
        <v>30</v>
      </c>
      <c r="T30" s="5">
        <f t="shared" si="96"/>
        <v>30</v>
      </c>
      <c r="U30" s="5">
        <f t="shared" si="96"/>
        <v>30</v>
      </c>
      <c r="V30" s="5">
        <f t="shared" si="96"/>
        <v>30</v>
      </c>
      <c r="W30" s="5">
        <f t="shared" si="96"/>
        <v>30</v>
      </c>
      <c r="X30" s="5">
        <f t="shared" si="96"/>
        <v>30</v>
      </c>
      <c r="Y30" s="5">
        <f t="shared" si="96"/>
        <v>30</v>
      </c>
      <c r="Z30" s="5">
        <f t="shared" si="96"/>
        <v>30</v>
      </c>
      <c r="AA30" s="5">
        <f t="shared" si="96"/>
        <v>30</v>
      </c>
      <c r="AB30" s="5">
        <f t="shared" si="96"/>
        <v>30</v>
      </c>
      <c r="AC30" s="5">
        <f t="shared" si="96"/>
        <v>30</v>
      </c>
      <c r="AD30" s="5">
        <f t="shared" si="96"/>
        <v>30</v>
      </c>
      <c r="AE30" s="5">
        <f t="shared" si="96"/>
        <v>30</v>
      </c>
      <c r="AF30" s="5">
        <f t="shared" si="96"/>
        <v>30</v>
      </c>
      <c r="AG30" s="5">
        <f t="shared" si="96"/>
        <v>30</v>
      </c>
      <c r="AH30" s="5">
        <f t="shared" si="96"/>
        <v>30</v>
      </c>
      <c r="AI30" s="5">
        <f t="shared" si="96"/>
        <v>30</v>
      </c>
      <c r="AJ30" s="5">
        <f t="shared" si="96"/>
        <v>30</v>
      </c>
      <c r="AK30" s="5">
        <f t="shared" si="96"/>
        <v>30</v>
      </c>
      <c r="AL30" s="5">
        <f t="shared" si="96"/>
        <v>30</v>
      </c>
      <c r="AM30" s="5">
        <f t="shared" si="96"/>
        <v>30</v>
      </c>
      <c r="AN30" s="5">
        <f t="shared" si="96"/>
        <v>30</v>
      </c>
      <c r="AO30" s="5">
        <f t="shared" si="96"/>
        <v>30</v>
      </c>
      <c r="AP30" s="5">
        <f t="shared" si="96"/>
        <v>30</v>
      </c>
      <c r="AQ30" s="5">
        <f t="shared" si="96"/>
        <v>30</v>
      </c>
      <c r="AR30" s="5">
        <f t="shared" si="96"/>
        <v>30</v>
      </c>
      <c r="AS30" s="5">
        <f t="shared" si="96"/>
        <v>30</v>
      </c>
      <c r="AT30" s="5">
        <f t="shared" si="96"/>
        <v>30</v>
      </c>
      <c r="AU30" s="5">
        <f t="shared" si="96"/>
        <v>30</v>
      </c>
      <c r="AV30" s="5">
        <f t="shared" si="96"/>
        <v>30</v>
      </c>
      <c r="AW30" s="5">
        <f t="shared" si="96"/>
        <v>30</v>
      </c>
      <c r="AX30" s="5">
        <f t="shared" si="96"/>
        <v>30</v>
      </c>
      <c r="AY30" s="5">
        <f t="shared" si="96"/>
        <v>30</v>
      </c>
      <c r="AZ30" s="5">
        <f t="shared" si="96"/>
        <v>30</v>
      </c>
      <c r="BA30" s="5">
        <f t="shared" si="96"/>
        <v>30</v>
      </c>
      <c r="BB30" s="5">
        <f t="shared" si="96"/>
        <v>30</v>
      </c>
    </row>
    <row r="31" spans="1:54" outlineLevel="1" x14ac:dyDescent="0.3">
      <c r="A31" s="10" t="str">
        <f ca="1">Language!A405</f>
        <v>Длительность периода в месяцах</v>
      </c>
      <c r="E31" s="6" t="s">
        <v>622</v>
      </c>
      <c r="F31" s="6" t="s">
        <v>740</v>
      </c>
      <c r="G31" s="5">
        <f>Prj_Step-MOD(G29-1,Prj_Step)</f>
        <v>1</v>
      </c>
      <c r="H31" s="5">
        <f t="shared" ref="H31:BB31" si="97">Prj_Step</f>
        <v>1</v>
      </c>
      <c r="I31" s="5">
        <f t="shared" si="97"/>
        <v>1</v>
      </c>
      <c r="J31" s="5">
        <f t="shared" si="97"/>
        <v>1</v>
      </c>
      <c r="K31" s="5">
        <f t="shared" si="97"/>
        <v>1</v>
      </c>
      <c r="L31" s="5">
        <f t="shared" si="97"/>
        <v>1</v>
      </c>
      <c r="M31" s="5">
        <f t="shared" si="97"/>
        <v>1</v>
      </c>
      <c r="N31" s="5">
        <f t="shared" si="97"/>
        <v>1</v>
      </c>
      <c r="O31" s="5">
        <f t="shared" si="97"/>
        <v>1</v>
      </c>
      <c r="P31" s="5">
        <f t="shared" si="97"/>
        <v>1</v>
      </c>
      <c r="Q31" s="5">
        <f t="shared" si="97"/>
        <v>1</v>
      </c>
      <c r="R31" s="5">
        <f t="shared" si="97"/>
        <v>1</v>
      </c>
      <c r="S31" s="5">
        <f t="shared" si="97"/>
        <v>1</v>
      </c>
      <c r="T31" s="5">
        <f t="shared" si="97"/>
        <v>1</v>
      </c>
      <c r="U31" s="5">
        <f t="shared" si="97"/>
        <v>1</v>
      </c>
      <c r="V31" s="5">
        <f t="shared" si="97"/>
        <v>1</v>
      </c>
      <c r="W31" s="5">
        <f t="shared" si="97"/>
        <v>1</v>
      </c>
      <c r="X31" s="5">
        <f t="shared" si="97"/>
        <v>1</v>
      </c>
      <c r="Y31" s="5">
        <f t="shared" si="97"/>
        <v>1</v>
      </c>
      <c r="Z31" s="5">
        <f t="shared" si="97"/>
        <v>1</v>
      </c>
      <c r="AA31" s="5">
        <f t="shared" si="97"/>
        <v>1</v>
      </c>
      <c r="AB31" s="5">
        <f t="shared" si="97"/>
        <v>1</v>
      </c>
      <c r="AC31" s="5">
        <f t="shared" si="97"/>
        <v>1</v>
      </c>
      <c r="AD31" s="5">
        <f t="shared" si="97"/>
        <v>1</v>
      </c>
      <c r="AE31" s="5">
        <f t="shared" si="97"/>
        <v>1</v>
      </c>
      <c r="AF31" s="5">
        <f t="shared" si="97"/>
        <v>1</v>
      </c>
      <c r="AG31" s="5">
        <f t="shared" si="97"/>
        <v>1</v>
      </c>
      <c r="AH31" s="5">
        <f t="shared" si="97"/>
        <v>1</v>
      </c>
      <c r="AI31" s="5">
        <f t="shared" si="97"/>
        <v>1</v>
      </c>
      <c r="AJ31" s="5">
        <f t="shared" si="97"/>
        <v>1</v>
      </c>
      <c r="AK31" s="5">
        <f t="shared" si="97"/>
        <v>1</v>
      </c>
      <c r="AL31" s="5">
        <f t="shared" si="97"/>
        <v>1</v>
      </c>
      <c r="AM31" s="5">
        <f t="shared" si="97"/>
        <v>1</v>
      </c>
      <c r="AN31" s="5">
        <f t="shared" si="97"/>
        <v>1</v>
      </c>
      <c r="AO31" s="5">
        <f t="shared" si="97"/>
        <v>1</v>
      </c>
      <c r="AP31" s="5">
        <f t="shared" si="97"/>
        <v>1</v>
      </c>
      <c r="AQ31" s="5">
        <f t="shared" si="97"/>
        <v>1</v>
      </c>
      <c r="AR31" s="5">
        <f t="shared" si="97"/>
        <v>1</v>
      </c>
      <c r="AS31" s="5">
        <f t="shared" si="97"/>
        <v>1</v>
      </c>
      <c r="AT31" s="5">
        <f t="shared" si="97"/>
        <v>1</v>
      </c>
      <c r="AU31" s="5">
        <f t="shared" si="97"/>
        <v>1</v>
      </c>
      <c r="AV31" s="5">
        <f t="shared" si="97"/>
        <v>1</v>
      </c>
      <c r="AW31" s="5">
        <f t="shared" si="97"/>
        <v>1</v>
      </c>
      <c r="AX31" s="5">
        <f t="shared" si="97"/>
        <v>1</v>
      </c>
      <c r="AY31" s="5">
        <f t="shared" si="97"/>
        <v>1</v>
      </c>
      <c r="AZ31" s="5">
        <f t="shared" si="97"/>
        <v>1</v>
      </c>
      <c r="BA31" s="5">
        <f t="shared" si="97"/>
        <v>1</v>
      </c>
      <c r="BB31" s="5">
        <f t="shared" si="97"/>
        <v>1</v>
      </c>
    </row>
    <row r="32" spans="1:54" outlineLevel="1" x14ac:dyDescent="0.3">
      <c r="A32" s="10" t="str">
        <f ca="1">Language!A406</f>
        <v>Неполный период (1 - да)?</v>
      </c>
      <c r="F32" s="6" t="s">
        <v>744</v>
      </c>
      <c r="G32" s="5">
        <f>IF(G31=Prj_Step,0,1)</f>
        <v>0</v>
      </c>
      <c r="H32" s="5">
        <v>0</v>
      </c>
      <c r="I32" s="5">
        <v>0</v>
      </c>
      <c r="J32" s="5">
        <v>0</v>
      </c>
      <c r="K32" s="5">
        <v>0</v>
      </c>
      <c r="L32" s="5">
        <v>0</v>
      </c>
      <c r="M32" s="5">
        <v>0</v>
      </c>
      <c r="N32" s="5">
        <v>0</v>
      </c>
      <c r="O32" s="5">
        <v>0</v>
      </c>
      <c r="P32" s="5">
        <v>0</v>
      </c>
      <c r="Q32" s="5">
        <v>0</v>
      </c>
      <c r="R32" s="5">
        <v>0</v>
      </c>
      <c r="S32" s="5">
        <v>0</v>
      </c>
      <c r="T32" s="5">
        <v>0</v>
      </c>
      <c r="U32" s="5">
        <v>0</v>
      </c>
      <c r="V32" s="5">
        <v>0</v>
      </c>
      <c r="W32" s="5">
        <v>0</v>
      </c>
      <c r="X32" s="5">
        <v>0</v>
      </c>
      <c r="Y32" s="5">
        <v>0</v>
      </c>
      <c r="Z32" s="5">
        <v>0</v>
      </c>
      <c r="AA32" s="5">
        <v>0</v>
      </c>
      <c r="AB32" s="5">
        <v>0</v>
      </c>
      <c r="AC32" s="5">
        <v>0</v>
      </c>
      <c r="AD32" s="5">
        <v>0</v>
      </c>
      <c r="AE32" s="5">
        <v>0</v>
      </c>
      <c r="AF32" s="5">
        <v>0</v>
      </c>
      <c r="AG32" s="5">
        <v>0</v>
      </c>
      <c r="AH32" s="5">
        <v>0</v>
      </c>
      <c r="AI32" s="5">
        <v>0</v>
      </c>
      <c r="AJ32" s="5">
        <v>0</v>
      </c>
      <c r="AK32" s="5">
        <v>0</v>
      </c>
      <c r="AL32" s="5">
        <v>0</v>
      </c>
      <c r="AM32" s="5">
        <v>0</v>
      </c>
      <c r="AN32" s="5">
        <v>0</v>
      </c>
      <c r="AO32" s="5">
        <v>0</v>
      </c>
      <c r="AP32" s="5">
        <v>0</v>
      </c>
      <c r="AQ32" s="5">
        <v>0</v>
      </c>
      <c r="AR32" s="5">
        <v>0</v>
      </c>
      <c r="AS32" s="5">
        <v>0</v>
      </c>
      <c r="AT32" s="5">
        <v>0</v>
      </c>
      <c r="AU32" s="5">
        <v>0</v>
      </c>
      <c r="AV32" s="5">
        <v>0</v>
      </c>
      <c r="AW32" s="5">
        <v>0</v>
      </c>
      <c r="AX32" s="5">
        <v>0</v>
      </c>
      <c r="AY32" s="5">
        <v>0</v>
      </c>
      <c r="AZ32" s="5">
        <v>0</v>
      </c>
      <c r="BA32" s="5">
        <v>0</v>
      </c>
      <c r="BB32" s="5">
        <v>0</v>
      </c>
    </row>
    <row r="33" spans="1:56" outlineLevel="1" x14ac:dyDescent="0.3">
      <c r="A33" s="10" t="str">
        <f ca="1">Language!A407</f>
        <v>Коэффициент для учета неполного периода</v>
      </c>
      <c r="F33" s="6" t="s">
        <v>745</v>
      </c>
      <c r="G33" s="19">
        <f>G31/Prj_Step</f>
        <v>1</v>
      </c>
      <c r="H33" s="19">
        <v>1</v>
      </c>
      <c r="I33" s="19">
        <v>1</v>
      </c>
      <c r="J33" s="19">
        <v>1</v>
      </c>
      <c r="K33" s="19">
        <v>1</v>
      </c>
      <c r="L33" s="19">
        <v>1</v>
      </c>
      <c r="M33" s="19">
        <v>1</v>
      </c>
      <c r="N33" s="19">
        <v>1</v>
      </c>
      <c r="O33" s="19">
        <v>1</v>
      </c>
      <c r="P33" s="19">
        <v>1</v>
      </c>
      <c r="Q33" s="19">
        <v>1</v>
      </c>
      <c r="R33" s="19">
        <v>1</v>
      </c>
      <c r="S33" s="19">
        <v>1</v>
      </c>
      <c r="T33" s="19">
        <v>1</v>
      </c>
      <c r="U33" s="19">
        <v>1</v>
      </c>
      <c r="V33" s="19">
        <v>1</v>
      </c>
      <c r="W33" s="19">
        <v>1</v>
      </c>
      <c r="X33" s="19">
        <v>1</v>
      </c>
      <c r="Y33" s="19">
        <v>1</v>
      </c>
      <c r="Z33" s="19">
        <v>1</v>
      </c>
      <c r="AA33" s="19">
        <v>1</v>
      </c>
      <c r="AB33" s="19">
        <v>1</v>
      </c>
      <c r="AC33" s="19">
        <v>1</v>
      </c>
      <c r="AD33" s="19">
        <v>1</v>
      </c>
      <c r="AE33" s="19">
        <v>1</v>
      </c>
      <c r="AF33" s="19">
        <v>1</v>
      </c>
      <c r="AG33" s="19">
        <v>1</v>
      </c>
      <c r="AH33" s="19">
        <v>1</v>
      </c>
      <c r="AI33" s="19">
        <v>1</v>
      </c>
      <c r="AJ33" s="19">
        <v>1</v>
      </c>
      <c r="AK33" s="19">
        <v>1</v>
      </c>
      <c r="AL33" s="19">
        <v>1</v>
      </c>
      <c r="AM33" s="19">
        <v>1</v>
      </c>
      <c r="AN33" s="19">
        <v>1</v>
      </c>
      <c r="AO33" s="19">
        <v>1</v>
      </c>
      <c r="AP33" s="19">
        <v>1</v>
      </c>
      <c r="AQ33" s="19">
        <v>1</v>
      </c>
      <c r="AR33" s="19">
        <v>1</v>
      </c>
      <c r="AS33" s="19">
        <v>1</v>
      </c>
      <c r="AT33" s="19">
        <v>1</v>
      </c>
      <c r="AU33" s="19">
        <v>1</v>
      </c>
      <c r="AV33" s="19">
        <v>1</v>
      </c>
      <c r="AW33" s="19">
        <v>1</v>
      </c>
      <c r="AX33" s="19">
        <v>1</v>
      </c>
      <c r="AY33" s="19">
        <v>1</v>
      </c>
      <c r="AZ33" s="19">
        <v>1</v>
      </c>
      <c r="BA33" s="19">
        <v>1</v>
      </c>
      <c r="BB33" s="19">
        <v>1</v>
      </c>
    </row>
    <row r="34" spans="1:56" outlineLevel="1" x14ac:dyDescent="0.3">
      <c r="A34" s="10" t="str">
        <f ca="1">Language!A408</f>
        <v>Название периода для заголовков таблиц</v>
      </c>
      <c r="E34" s="6" t="s">
        <v>621</v>
      </c>
      <c r="G34" s="20" t="str">
        <f ca="1">IF(G32, TEXT(G29,"#") &amp; "-" &amp; TEXT(MONTH(G27),"#") &amp; "." &amp; TEXT(G28,"#"), CHOOSE(Prj_Period, OFFSET(Language!$A63,G29-1,0) &amp; "." &amp; TEXT(G28-2000,"#"), TEXT(ROUNDUP(G29/3,0),"#") &amp; " " &amp; Language!$A47 &amp; " " &amp; TEXT(G28,"#"), TEXT(G28,"#")))</f>
        <v>янв.25</v>
      </c>
      <c r="H34" s="20" t="str">
        <f ca="1">IF(H32, TEXT(H29,"#") &amp; "-" &amp; TEXT(MONTH(H27),"#") &amp; "." &amp; TEXT(H28,"#"), CHOOSE(Prj_Period, OFFSET(Language!$A63,H29-1,0) &amp; "." &amp; TEXT(H28-2000,"#"), TEXT(ROUNDUP(H29/3,0),"#") &amp; " " &amp; Language!$A47 &amp; " " &amp; TEXT(H28,"#"), TEXT(H28,"#")))</f>
        <v>фев.25</v>
      </c>
      <c r="I34" s="20" t="str">
        <f ca="1">IF(I32, TEXT(I29,"#") &amp; "-" &amp; TEXT(MONTH(I27),"#") &amp; "." &amp; TEXT(I28,"#"), CHOOSE(Prj_Period, OFFSET(Language!$A63,I29-1,0) &amp; "." &amp; TEXT(I28-2000,"#"), TEXT(ROUNDUP(I29/3,0),"#") &amp; " " &amp; Language!$A47 &amp; " " &amp; TEXT(I28,"#"), TEXT(I28,"#")))</f>
        <v>мар.25</v>
      </c>
      <c r="J34" s="20" t="str">
        <f ca="1">IF(J32, TEXT(J29,"#") &amp; "-" &amp; TEXT(MONTH(J27),"#") &amp; "." &amp; TEXT(J28,"#"), CHOOSE(Prj_Period, OFFSET(Language!$A63,J29-1,0) &amp; "." &amp; TEXT(J28-2000,"#"), TEXT(ROUNDUP(J29/3,0),"#") &amp; " " &amp; Language!$A47 &amp; " " &amp; TEXT(J28,"#"), TEXT(J28,"#")))</f>
        <v>апр.25</v>
      </c>
      <c r="K34" s="20" t="str">
        <f ca="1">IF(K32, TEXT(K29,"#") &amp; "-" &amp; TEXT(MONTH(K27),"#") &amp; "." &amp; TEXT(K28,"#"), CHOOSE(Prj_Period, OFFSET(Language!$A63,K29-1,0) &amp; "." &amp; TEXT(K28-2000,"#"), TEXT(ROUNDUP(K29/3,0),"#") &amp; " " &amp; Language!$A47 &amp; " " &amp; TEXT(K28,"#"), TEXT(K28,"#")))</f>
        <v>май.25</v>
      </c>
      <c r="L34" s="20" t="str">
        <f ca="1">IF(L32, TEXT(L29,"#") &amp; "-" &amp; TEXT(MONTH(L27),"#") &amp; "." &amp; TEXT(L28,"#"), CHOOSE(Prj_Period, OFFSET(Language!$A63,L29-1,0) &amp; "." &amp; TEXT(L28-2000,"#"), TEXT(ROUNDUP(L29/3,0),"#") &amp; " " &amp; Language!$A47 &amp; " " &amp; TEXT(L28,"#"), TEXT(L28,"#")))</f>
        <v>июн.25</v>
      </c>
      <c r="M34" s="20" t="str">
        <f ca="1">IF(M32, TEXT(M29,"#") &amp; "-" &amp; TEXT(MONTH(M27),"#") &amp; "." &amp; TEXT(M28,"#"), CHOOSE(Prj_Period, OFFSET(Language!$A63,M29-1,0) &amp; "." &amp; TEXT(M28-2000,"#"), TEXT(ROUNDUP(M29/3,0),"#") &amp; " " &amp; Language!$A47 &amp; " " &amp; TEXT(M28,"#"), TEXT(M28,"#")))</f>
        <v>июл.25</v>
      </c>
      <c r="N34" s="20" t="str">
        <f ca="1">IF(N32, TEXT(N29,"#") &amp; "-" &amp; TEXT(MONTH(N27),"#") &amp; "." &amp; TEXT(N28,"#"), CHOOSE(Prj_Period, OFFSET(Language!$A63,N29-1,0) &amp; "." &amp; TEXT(N28-2000,"#"), TEXT(ROUNDUP(N29/3,0),"#") &amp; " " &amp; Language!$A47 &amp; " " &amp; TEXT(N28,"#"), TEXT(N28,"#")))</f>
        <v>авг.25</v>
      </c>
      <c r="O34" s="20" t="str">
        <f ca="1">IF(O32, TEXT(O29,"#") &amp; "-" &amp; TEXT(MONTH(O27),"#") &amp; "." &amp; TEXT(O28,"#"), CHOOSE(Prj_Period, OFFSET(Language!$A63,O29-1,0) &amp; "." &amp; TEXT(O28-2000,"#"), TEXT(ROUNDUP(O29/3,0),"#") &amp; " " &amp; Language!$A47 &amp; " " &amp; TEXT(O28,"#"), TEXT(O28,"#")))</f>
        <v>сен.25</v>
      </c>
      <c r="P34" s="20" t="str">
        <f ca="1">IF(P32, TEXT(P29,"#") &amp; "-" &amp; TEXT(MONTH(P27),"#") &amp; "." &amp; TEXT(P28,"#"), CHOOSE(Prj_Period, OFFSET(Language!$A63,P29-1,0) &amp; "." &amp; TEXT(P28-2000,"#"), TEXT(ROUNDUP(P29/3,0),"#") &amp; " " &amp; Language!$A47 &amp; " " &amp; TEXT(P28,"#"), TEXT(P28,"#")))</f>
        <v>окт.25</v>
      </c>
      <c r="Q34" s="20" t="str">
        <f ca="1">IF(Q32, TEXT(Q29,"#") &amp; "-" &amp; TEXT(MONTH(Q27),"#") &amp; "." &amp; TEXT(Q28,"#"), CHOOSE(Prj_Period, OFFSET(Language!$A63,Q29-1,0) &amp; "." &amp; TEXT(Q28-2000,"#"), TEXT(ROUNDUP(Q29/3,0),"#") &amp; " " &amp; Language!$A47 &amp; " " &amp; TEXT(Q28,"#"), TEXT(Q28,"#")))</f>
        <v>ноя.25</v>
      </c>
      <c r="R34" s="20" t="str">
        <f ca="1">IF(R32, TEXT(R29,"#") &amp; "-" &amp; TEXT(MONTH(R27),"#") &amp; "." &amp; TEXT(R28,"#"), CHOOSE(Prj_Period, OFFSET(Language!$A63,R29-1,0) &amp; "." &amp; TEXT(R28-2000,"#"), TEXT(ROUNDUP(R29/3,0),"#") &amp; " " &amp; Language!$A47 &amp; " " &amp; TEXT(R28,"#"), TEXT(R28,"#")))</f>
        <v>дек.25</v>
      </c>
      <c r="S34" s="20" t="str">
        <f ca="1">IF(S32, TEXT(S29,"#") &amp; "-" &amp; TEXT(MONTH(S27),"#") &amp; "." &amp; TEXT(S28,"#"), CHOOSE(Prj_Period, OFFSET(Language!$A63,S29-1,0) &amp; "." &amp; TEXT(S28-2000,"#"), TEXT(ROUNDUP(S29/3,0),"#") &amp; " " &amp; Language!$A47 &amp; " " &amp; TEXT(S28,"#"), TEXT(S28,"#")))</f>
        <v>янв.26</v>
      </c>
      <c r="T34" s="20" t="str">
        <f ca="1">IF(T32, TEXT(T29,"#") &amp; "-" &amp; TEXT(MONTH(T27),"#") &amp; "." &amp; TEXT(T28,"#"), CHOOSE(Prj_Period, OFFSET(Language!$A63,T29-1,0) &amp; "." &amp; TEXT(T28-2000,"#"), TEXT(ROUNDUP(T29/3,0),"#") &amp; " " &amp; Language!$A47 &amp; " " &amp; TEXT(T28,"#"), TEXT(T28,"#")))</f>
        <v>фев.26</v>
      </c>
      <c r="U34" s="20" t="str">
        <f ca="1">IF(U32, TEXT(U29,"#") &amp; "-" &amp; TEXT(MONTH(U27),"#") &amp; "." &amp; TEXT(U28,"#"), CHOOSE(Prj_Period, OFFSET(Language!$A63,U29-1,0) &amp; "." &amp; TEXT(U28-2000,"#"), TEXT(ROUNDUP(U29/3,0),"#") &amp; " " &amp; Language!$A47 &amp; " " &amp; TEXT(U28,"#"), TEXT(U28,"#")))</f>
        <v>мар.26</v>
      </c>
      <c r="V34" s="20" t="str">
        <f ca="1">IF(V32, TEXT(V29,"#") &amp; "-" &amp; TEXT(MONTH(V27),"#") &amp; "." &amp; TEXT(V28,"#"), CHOOSE(Prj_Period, OFFSET(Language!$A63,V29-1,0) &amp; "." &amp; TEXT(V28-2000,"#"), TEXT(ROUNDUP(V29/3,0),"#") &amp; " " &amp; Language!$A47 &amp; " " &amp; TEXT(V28,"#"), TEXT(V28,"#")))</f>
        <v>апр.26</v>
      </c>
      <c r="W34" s="20" t="str">
        <f ca="1">IF(W32, TEXT(W29,"#") &amp; "-" &amp; TEXT(MONTH(W27),"#") &amp; "." &amp; TEXT(W28,"#"), CHOOSE(Prj_Period, OFFSET(Language!$A63,W29-1,0) &amp; "." &amp; TEXT(W28-2000,"#"), TEXT(ROUNDUP(W29/3,0),"#") &amp; " " &amp; Language!$A47 &amp; " " &amp; TEXT(W28,"#"), TEXT(W28,"#")))</f>
        <v>май.26</v>
      </c>
      <c r="X34" s="20" t="str">
        <f ca="1">IF(X32, TEXT(X29,"#") &amp; "-" &amp; TEXT(MONTH(X27),"#") &amp; "." &amp; TEXT(X28,"#"), CHOOSE(Prj_Period, OFFSET(Language!$A63,X29-1,0) &amp; "." &amp; TEXT(X28-2000,"#"), TEXT(ROUNDUP(X29/3,0),"#") &amp; " " &amp; Language!$A47 &amp; " " &amp; TEXT(X28,"#"), TEXT(X28,"#")))</f>
        <v>июн.26</v>
      </c>
      <c r="Y34" s="20" t="str">
        <f ca="1">IF(Y32, TEXT(Y29,"#") &amp; "-" &amp; TEXT(MONTH(Y27),"#") &amp; "." &amp; TEXT(Y28,"#"), CHOOSE(Prj_Period, OFFSET(Language!$A63,Y29-1,0) &amp; "." &amp; TEXT(Y28-2000,"#"), TEXT(ROUNDUP(Y29/3,0),"#") &amp; " " &amp; Language!$A47 &amp; " " &amp; TEXT(Y28,"#"), TEXT(Y28,"#")))</f>
        <v>июл.26</v>
      </c>
      <c r="Z34" s="20" t="str">
        <f ca="1">IF(Z32, TEXT(Z29,"#") &amp; "-" &amp; TEXT(MONTH(Z27),"#") &amp; "." &amp; TEXT(Z28,"#"), CHOOSE(Prj_Period, OFFSET(Language!$A63,Z29-1,0) &amp; "." &amp; TEXT(Z28-2000,"#"), TEXT(ROUNDUP(Z29/3,0),"#") &amp; " " &amp; Language!$A47 &amp; " " &amp; TEXT(Z28,"#"), TEXT(Z28,"#")))</f>
        <v>авг.26</v>
      </c>
      <c r="AA34" s="20" t="str">
        <f ca="1">IF(AA32, TEXT(AA29,"#") &amp; "-" &amp; TEXT(MONTH(AA27),"#") &amp; "." &amp; TEXT(AA28,"#"), CHOOSE(Prj_Period, OFFSET(Language!$A63,AA29-1,0) &amp; "." &amp; TEXT(AA28-2000,"#"), TEXT(ROUNDUP(AA29/3,0),"#") &amp; " " &amp; Language!$A47 &amp; " " &amp; TEXT(AA28,"#"), TEXT(AA28,"#")))</f>
        <v>сен.26</v>
      </c>
      <c r="AB34" s="20" t="str">
        <f ca="1">IF(AB32, TEXT(AB29,"#") &amp; "-" &amp; TEXT(MONTH(AB27),"#") &amp; "." &amp; TEXT(AB28,"#"), CHOOSE(Prj_Period, OFFSET(Language!$A63,AB29-1,0) &amp; "." &amp; TEXT(AB28-2000,"#"), TEXT(ROUNDUP(AB29/3,0),"#") &amp; " " &amp; Language!$A47 &amp; " " &amp; TEXT(AB28,"#"), TEXT(AB28,"#")))</f>
        <v>окт.26</v>
      </c>
      <c r="AC34" s="20" t="str">
        <f ca="1">IF(AC32, TEXT(AC29,"#") &amp; "-" &amp; TEXT(MONTH(AC27),"#") &amp; "." &amp; TEXT(AC28,"#"), CHOOSE(Prj_Period, OFFSET(Language!$A63,AC29-1,0) &amp; "." &amp; TEXT(AC28-2000,"#"), TEXT(ROUNDUP(AC29/3,0),"#") &amp; " " &amp; Language!$A47 &amp; " " &amp; TEXT(AC28,"#"), TEXT(AC28,"#")))</f>
        <v>ноя.26</v>
      </c>
      <c r="AD34" s="20" t="str">
        <f ca="1">IF(AD32, TEXT(AD29,"#") &amp; "-" &amp; TEXT(MONTH(AD27),"#") &amp; "." &amp; TEXT(AD28,"#"), CHOOSE(Prj_Period, OFFSET(Language!$A63,AD29-1,0) &amp; "." &amp; TEXT(AD28-2000,"#"), TEXT(ROUNDUP(AD29/3,0),"#") &amp; " " &amp; Language!$A47 &amp; " " &amp; TEXT(AD28,"#"), TEXT(AD28,"#")))</f>
        <v>дек.26</v>
      </c>
      <c r="AE34" s="20" t="str">
        <f ca="1">IF(AE32, TEXT(AE29,"#") &amp; "-" &amp; TEXT(MONTH(AE27),"#") &amp; "." &amp; TEXT(AE28,"#"), CHOOSE(Prj_Period, OFFSET(Language!$A63,AE29-1,0) &amp; "." &amp; TEXT(AE28-2000,"#"), TEXT(ROUNDUP(AE29/3,0),"#") &amp; " " &amp; Language!$A47 &amp; " " &amp; TEXT(AE28,"#"), TEXT(AE28,"#")))</f>
        <v>янв.27</v>
      </c>
      <c r="AF34" s="20" t="str">
        <f ca="1">IF(AF32, TEXT(AF29,"#") &amp; "-" &amp; TEXT(MONTH(AF27),"#") &amp; "." &amp; TEXT(AF28,"#"), CHOOSE(Prj_Period, OFFSET(Language!$A63,AF29-1,0) &amp; "." &amp; TEXT(AF28-2000,"#"), TEXT(ROUNDUP(AF29/3,0),"#") &amp; " " &amp; Language!$A47 &amp; " " &amp; TEXT(AF28,"#"), TEXT(AF28,"#")))</f>
        <v>фев.27</v>
      </c>
      <c r="AG34" s="20" t="str">
        <f ca="1">IF(AG32, TEXT(AG29,"#") &amp; "-" &amp; TEXT(MONTH(AG27),"#") &amp; "." &amp; TEXT(AG28,"#"), CHOOSE(Prj_Period, OFFSET(Language!$A63,AG29-1,0) &amp; "." &amp; TEXT(AG28-2000,"#"), TEXT(ROUNDUP(AG29/3,0),"#") &amp; " " &amp; Language!$A47 &amp; " " &amp; TEXT(AG28,"#"), TEXT(AG28,"#")))</f>
        <v>мар.27</v>
      </c>
      <c r="AH34" s="20" t="str">
        <f ca="1">IF(AH32, TEXT(AH29,"#") &amp; "-" &amp; TEXT(MONTH(AH27),"#") &amp; "." &amp; TEXT(AH28,"#"), CHOOSE(Prj_Period, OFFSET(Language!$A63,AH29-1,0) &amp; "." &amp; TEXT(AH28-2000,"#"), TEXT(ROUNDUP(AH29/3,0),"#") &amp; " " &amp; Language!$A47 &amp; " " &amp; TEXT(AH28,"#"), TEXT(AH28,"#")))</f>
        <v>апр.27</v>
      </c>
      <c r="AI34" s="20" t="str">
        <f ca="1">IF(AI32, TEXT(AI29,"#") &amp; "-" &amp; TEXT(MONTH(AI27),"#") &amp; "." &amp; TEXT(AI28,"#"), CHOOSE(Prj_Period, OFFSET(Language!$A63,AI29-1,0) &amp; "." &amp; TEXT(AI28-2000,"#"), TEXT(ROUNDUP(AI29/3,0),"#") &amp; " " &amp; Language!$A47 &amp; " " &amp; TEXT(AI28,"#"), TEXT(AI28,"#")))</f>
        <v>май.27</v>
      </c>
      <c r="AJ34" s="20" t="str">
        <f ca="1">IF(AJ32, TEXT(AJ29,"#") &amp; "-" &amp; TEXT(MONTH(AJ27),"#") &amp; "." &amp; TEXT(AJ28,"#"), CHOOSE(Prj_Period, OFFSET(Language!$A63,AJ29-1,0) &amp; "." &amp; TEXT(AJ28-2000,"#"), TEXT(ROUNDUP(AJ29/3,0),"#") &amp; " " &amp; Language!$A47 &amp; " " &amp; TEXT(AJ28,"#"), TEXT(AJ28,"#")))</f>
        <v>июн.27</v>
      </c>
      <c r="AK34" s="20" t="str">
        <f ca="1">IF(AK32, TEXT(AK29,"#") &amp; "-" &amp; TEXT(MONTH(AK27),"#") &amp; "." &amp; TEXT(AK28,"#"), CHOOSE(Prj_Period, OFFSET(Language!$A63,AK29-1,0) &amp; "." &amp; TEXT(AK28-2000,"#"), TEXT(ROUNDUP(AK29/3,0),"#") &amp; " " &amp; Language!$A47 &amp; " " &amp; TEXT(AK28,"#"), TEXT(AK28,"#")))</f>
        <v>июл.27</v>
      </c>
      <c r="AL34" s="20" t="str">
        <f ca="1">IF(AL32, TEXT(AL29,"#") &amp; "-" &amp; TEXT(MONTH(AL27),"#") &amp; "." &amp; TEXT(AL28,"#"), CHOOSE(Prj_Period, OFFSET(Language!$A63,AL29-1,0) &amp; "." &amp; TEXT(AL28-2000,"#"), TEXT(ROUNDUP(AL29/3,0),"#") &amp; " " &amp; Language!$A47 &amp; " " &amp; TEXT(AL28,"#"), TEXT(AL28,"#")))</f>
        <v>авг.27</v>
      </c>
      <c r="AM34" s="20" t="str">
        <f ca="1">IF(AM32, TEXT(AM29,"#") &amp; "-" &amp; TEXT(MONTH(AM27),"#") &amp; "." &amp; TEXT(AM28,"#"), CHOOSE(Prj_Period, OFFSET(Language!$A63,AM29-1,0) &amp; "." &amp; TEXT(AM28-2000,"#"), TEXT(ROUNDUP(AM29/3,0),"#") &amp; " " &amp; Language!$A47 &amp; " " &amp; TEXT(AM28,"#"), TEXT(AM28,"#")))</f>
        <v>сен.27</v>
      </c>
      <c r="AN34" s="20" t="str">
        <f ca="1">IF(AN32, TEXT(AN29,"#") &amp; "-" &amp; TEXT(MONTH(AN27),"#") &amp; "." &amp; TEXT(AN28,"#"), CHOOSE(Prj_Period, OFFSET(Language!$A63,AN29-1,0) &amp; "." &amp; TEXT(AN28-2000,"#"), TEXT(ROUNDUP(AN29/3,0),"#") &amp; " " &amp; Language!$A47 &amp; " " &amp; TEXT(AN28,"#"), TEXT(AN28,"#")))</f>
        <v>окт.27</v>
      </c>
      <c r="AO34" s="20" t="str">
        <f ca="1">IF(AO32, TEXT(AO29,"#") &amp; "-" &amp; TEXT(MONTH(AO27),"#") &amp; "." &amp; TEXT(AO28,"#"), CHOOSE(Prj_Period, OFFSET(Language!$A63,AO29-1,0) &amp; "." &amp; TEXT(AO28-2000,"#"), TEXT(ROUNDUP(AO29/3,0),"#") &amp; " " &amp; Language!$A47 &amp; " " &amp; TEXT(AO28,"#"), TEXT(AO28,"#")))</f>
        <v>ноя.27</v>
      </c>
      <c r="AP34" s="20" t="str">
        <f ca="1">IF(AP32, TEXT(AP29,"#") &amp; "-" &amp; TEXT(MONTH(AP27),"#") &amp; "." &amp; TEXT(AP28,"#"), CHOOSE(Prj_Period, OFFSET(Language!$A63,AP29-1,0) &amp; "." &amp; TEXT(AP28-2000,"#"), TEXT(ROUNDUP(AP29/3,0),"#") &amp; " " &amp; Language!$A47 &amp; " " &amp; TEXT(AP28,"#"), TEXT(AP28,"#")))</f>
        <v>дек.27</v>
      </c>
      <c r="AQ34" s="20" t="str">
        <f ca="1">IF(AQ32, TEXT(AQ29,"#") &amp; "-" &amp; TEXT(MONTH(AQ27),"#") &amp; "." &amp; TEXT(AQ28,"#"), CHOOSE(Prj_Period, OFFSET(Language!$A63,AQ29-1,0) &amp; "." &amp; TEXT(AQ28-2000,"#"), TEXT(ROUNDUP(AQ29/3,0),"#") &amp; " " &amp; Language!$A47 &amp; " " &amp; TEXT(AQ28,"#"), TEXT(AQ28,"#")))</f>
        <v>янв.28</v>
      </c>
      <c r="AR34" s="20" t="str">
        <f ca="1">IF(AR32, TEXT(AR29,"#") &amp; "-" &amp; TEXT(MONTH(AR27),"#") &amp; "." &amp; TEXT(AR28,"#"), CHOOSE(Prj_Period, OFFSET(Language!$A63,AR29-1,0) &amp; "." &amp; TEXT(AR28-2000,"#"), TEXT(ROUNDUP(AR29/3,0),"#") &amp; " " &amp; Language!$A47 &amp; " " &amp; TEXT(AR28,"#"), TEXT(AR28,"#")))</f>
        <v>фев.28</v>
      </c>
      <c r="AS34" s="20" t="str">
        <f ca="1">IF(AS32, TEXT(AS29,"#") &amp; "-" &amp; TEXT(MONTH(AS27),"#") &amp; "." &amp; TEXT(AS28,"#"), CHOOSE(Prj_Period, OFFSET(Language!$A63,AS29-1,0) &amp; "." &amp; TEXT(AS28-2000,"#"), TEXT(ROUNDUP(AS29/3,0),"#") &amp; " " &amp; Language!$A47 &amp; " " &amp; TEXT(AS28,"#"), TEXT(AS28,"#")))</f>
        <v>мар.28</v>
      </c>
      <c r="AT34" s="20" t="str">
        <f ca="1">IF(AT32, TEXT(AT29,"#") &amp; "-" &amp; TEXT(MONTH(AT27),"#") &amp; "." &amp; TEXT(AT28,"#"), CHOOSE(Prj_Period, OFFSET(Language!$A63,AT29-1,0) &amp; "." &amp; TEXT(AT28-2000,"#"), TEXT(ROUNDUP(AT29/3,0),"#") &amp; " " &amp; Language!$A47 &amp; " " &amp; TEXT(AT28,"#"), TEXT(AT28,"#")))</f>
        <v>апр.28</v>
      </c>
      <c r="AU34" s="20" t="str">
        <f ca="1">IF(AU32, TEXT(AU29,"#") &amp; "-" &amp; TEXT(MONTH(AU27),"#") &amp; "." &amp; TEXT(AU28,"#"), CHOOSE(Prj_Period, OFFSET(Language!$A63,AU29-1,0) &amp; "." &amp; TEXT(AU28-2000,"#"), TEXT(ROUNDUP(AU29/3,0),"#") &amp; " " &amp; Language!$A47 &amp; " " &amp; TEXT(AU28,"#"), TEXT(AU28,"#")))</f>
        <v>май.28</v>
      </c>
      <c r="AV34" s="20" t="str">
        <f ca="1">IF(AV32, TEXT(AV29,"#") &amp; "-" &amp; TEXT(MONTH(AV27),"#") &amp; "." &amp; TEXT(AV28,"#"), CHOOSE(Prj_Period, OFFSET(Language!$A63,AV29-1,0) &amp; "." &amp; TEXT(AV28-2000,"#"), TEXT(ROUNDUP(AV29/3,0),"#") &amp; " " &amp; Language!$A47 &amp; " " &amp; TEXT(AV28,"#"), TEXT(AV28,"#")))</f>
        <v>июн.28</v>
      </c>
      <c r="AW34" s="20" t="str">
        <f ca="1">IF(AW32, TEXT(AW29,"#") &amp; "-" &amp; TEXT(MONTH(AW27),"#") &amp; "." &amp; TEXT(AW28,"#"), CHOOSE(Prj_Period, OFFSET(Language!$A63,AW29-1,0) &amp; "." &amp; TEXT(AW28-2000,"#"), TEXT(ROUNDUP(AW29/3,0),"#") &amp; " " &amp; Language!$A47 &amp; " " &amp; TEXT(AW28,"#"), TEXT(AW28,"#")))</f>
        <v>июл.28</v>
      </c>
      <c r="AX34" s="20" t="str">
        <f ca="1">IF(AX32, TEXT(AX29,"#") &amp; "-" &amp; TEXT(MONTH(AX27),"#") &amp; "." &amp; TEXT(AX28,"#"), CHOOSE(Prj_Period, OFFSET(Language!$A63,AX29-1,0) &amp; "." &amp; TEXT(AX28-2000,"#"), TEXT(ROUNDUP(AX29/3,0),"#") &amp; " " &amp; Language!$A47 &amp; " " &amp; TEXT(AX28,"#"), TEXT(AX28,"#")))</f>
        <v>авг.28</v>
      </c>
      <c r="AY34" s="20" t="str">
        <f ca="1">IF(AY32, TEXT(AY29,"#") &amp; "-" &amp; TEXT(MONTH(AY27),"#") &amp; "." &amp; TEXT(AY28,"#"), CHOOSE(Prj_Period, OFFSET(Language!$A63,AY29-1,0) &amp; "." &amp; TEXT(AY28-2000,"#"), TEXT(ROUNDUP(AY29/3,0),"#") &amp; " " &amp; Language!$A47 &amp; " " &amp; TEXT(AY28,"#"), TEXT(AY28,"#")))</f>
        <v>сен.28</v>
      </c>
      <c r="AZ34" s="20" t="str">
        <f ca="1">IF(AZ32, TEXT(AZ29,"#") &amp; "-" &amp; TEXT(MONTH(AZ27),"#") &amp; "." &amp; TEXT(AZ28,"#"), CHOOSE(Prj_Period, OFFSET(Language!$A63,AZ29-1,0) &amp; "." &amp; TEXT(AZ28-2000,"#"), TEXT(ROUNDUP(AZ29/3,0),"#") &amp; " " &amp; Language!$A47 &amp; " " &amp; TEXT(AZ28,"#"), TEXT(AZ28,"#")))</f>
        <v>окт.28</v>
      </c>
      <c r="BA34" s="20" t="str">
        <f ca="1">IF(BA32, TEXT(BA29,"#") &amp; "-" &amp; TEXT(MONTH(BA27),"#") &amp; "." &amp; TEXT(BA28,"#"), CHOOSE(Prj_Period, OFFSET(Language!$A63,BA29-1,0) &amp; "." &amp; TEXT(BA28-2000,"#"), TEXT(ROUNDUP(BA29/3,0),"#") &amp; " " &amp; Language!$A47 &amp; " " &amp; TEXT(BA28,"#"), TEXT(BA28,"#")))</f>
        <v>ноя.28</v>
      </c>
      <c r="BB34" s="20" t="str">
        <f ca="1">IF(BB32, TEXT(BB29,"#") &amp; "-" &amp; TEXT(MONTH(BB27),"#") &amp; "." &amp; TEXT(BB28,"#"), CHOOSE(Prj_Period, OFFSET(Language!$A63,BB29-1,0) &amp; "." &amp; TEXT(BB28-2000,"#"), TEXT(ROUNDUP(BB29/3,0),"#") &amp; " " &amp; Language!$A47 &amp; " " &amp; TEXT(BB28,"#"), TEXT(BB28,"#")))</f>
        <v>дек.28</v>
      </c>
    </row>
    <row r="35" spans="1:56" x14ac:dyDescent="0.3">
      <c r="A35" s="12"/>
      <c r="B35" s="13"/>
      <c r="C35" s="13"/>
      <c r="D35" s="14"/>
      <c r="E35" s="14" t="s">
        <v>603</v>
      </c>
      <c r="F35" s="14"/>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row>
    <row r="38" spans="1:56" s="9" customFormat="1" ht="25.5" customHeight="1" thickBot="1" x14ac:dyDescent="0.35">
      <c r="A38" s="323" t="str">
        <f ca="1">Language!A409</f>
        <v>ВАЛЮТЫ, КУРСЫ, ИНФЛЯЦИЯ</v>
      </c>
      <c r="B38" s="324"/>
      <c r="C38" s="325"/>
      <c r="D38" s="326"/>
      <c r="E38" s="326" t="s">
        <v>882</v>
      </c>
      <c r="F38" s="326"/>
      <c r="G38" s="327" t="str">
        <f t="shared" ref="G38:BB38" ca="1" si="98">G$34</f>
        <v>янв.25</v>
      </c>
      <c r="H38" s="327" t="str">
        <f t="shared" ca="1" si="98"/>
        <v>фев.25</v>
      </c>
      <c r="I38" s="327" t="str">
        <f t="shared" ca="1" si="98"/>
        <v>мар.25</v>
      </c>
      <c r="J38" s="327" t="str">
        <f t="shared" ca="1" si="98"/>
        <v>апр.25</v>
      </c>
      <c r="K38" s="327" t="str">
        <f t="shared" ca="1" si="98"/>
        <v>май.25</v>
      </c>
      <c r="L38" s="327" t="str">
        <f t="shared" ca="1" si="98"/>
        <v>июн.25</v>
      </c>
      <c r="M38" s="328" t="str">
        <f t="shared" ca="1" si="98"/>
        <v>июл.25</v>
      </c>
      <c r="N38" s="328" t="str">
        <f t="shared" ca="1" si="98"/>
        <v>авг.25</v>
      </c>
      <c r="O38" s="328" t="str">
        <f t="shared" ca="1" si="98"/>
        <v>сен.25</v>
      </c>
      <c r="P38" s="328" t="str">
        <f t="shared" ca="1" si="98"/>
        <v>окт.25</v>
      </c>
      <c r="Q38" s="328" t="str">
        <f t="shared" ca="1" si="98"/>
        <v>ноя.25</v>
      </c>
      <c r="R38" s="328" t="str">
        <f t="shared" ca="1" si="98"/>
        <v>дек.25</v>
      </c>
      <c r="S38" s="328" t="str">
        <f t="shared" ca="1" si="98"/>
        <v>янв.26</v>
      </c>
      <c r="T38" s="328" t="str">
        <f t="shared" ca="1" si="98"/>
        <v>фев.26</v>
      </c>
      <c r="U38" s="328" t="str">
        <f t="shared" ca="1" si="98"/>
        <v>мар.26</v>
      </c>
      <c r="V38" s="328" t="str">
        <f t="shared" ca="1" si="98"/>
        <v>апр.26</v>
      </c>
      <c r="W38" s="328" t="str">
        <f t="shared" ca="1" si="98"/>
        <v>май.26</v>
      </c>
      <c r="X38" s="328" t="str">
        <f t="shared" ca="1" si="98"/>
        <v>июн.26</v>
      </c>
      <c r="Y38" s="328" t="str">
        <f t="shared" ca="1" si="98"/>
        <v>июл.26</v>
      </c>
      <c r="Z38" s="328" t="str">
        <f t="shared" ca="1" si="98"/>
        <v>авг.26</v>
      </c>
      <c r="AA38" s="328" t="str">
        <f t="shared" ca="1" si="98"/>
        <v>сен.26</v>
      </c>
      <c r="AB38" s="328" t="str">
        <f t="shared" ca="1" si="98"/>
        <v>окт.26</v>
      </c>
      <c r="AC38" s="328" t="str">
        <f t="shared" ca="1" si="98"/>
        <v>ноя.26</v>
      </c>
      <c r="AD38" s="328" t="str">
        <f t="shared" ca="1" si="98"/>
        <v>дек.26</v>
      </c>
      <c r="AE38" s="328" t="str">
        <f t="shared" ca="1" si="98"/>
        <v>янв.27</v>
      </c>
      <c r="AF38" s="328" t="str">
        <f t="shared" ca="1" si="98"/>
        <v>фев.27</v>
      </c>
      <c r="AG38" s="328" t="str">
        <f t="shared" ca="1" si="98"/>
        <v>мар.27</v>
      </c>
      <c r="AH38" s="328" t="str">
        <f t="shared" ca="1" si="98"/>
        <v>апр.27</v>
      </c>
      <c r="AI38" s="328" t="str">
        <f t="shared" ca="1" si="98"/>
        <v>май.27</v>
      </c>
      <c r="AJ38" s="328" t="str">
        <f t="shared" ca="1" si="98"/>
        <v>июн.27</v>
      </c>
      <c r="AK38" s="328" t="str">
        <f t="shared" ca="1" si="98"/>
        <v>июл.27</v>
      </c>
      <c r="AL38" s="328" t="str">
        <f t="shared" ca="1" si="98"/>
        <v>авг.27</v>
      </c>
      <c r="AM38" s="328" t="str">
        <f t="shared" ca="1" si="98"/>
        <v>сен.27</v>
      </c>
      <c r="AN38" s="328" t="str">
        <f t="shared" ca="1" si="98"/>
        <v>окт.27</v>
      </c>
      <c r="AO38" s="328" t="str">
        <f t="shared" ca="1" si="98"/>
        <v>ноя.27</v>
      </c>
      <c r="AP38" s="328" t="str">
        <f t="shared" ca="1" si="98"/>
        <v>дек.27</v>
      </c>
      <c r="AQ38" s="328" t="str">
        <f t="shared" ca="1" si="98"/>
        <v>янв.28</v>
      </c>
      <c r="AR38" s="328" t="str">
        <f t="shared" ca="1" si="98"/>
        <v>фев.28</v>
      </c>
      <c r="AS38" s="328" t="str">
        <f t="shared" ca="1" si="98"/>
        <v>мар.28</v>
      </c>
      <c r="AT38" s="328" t="str">
        <f t="shared" ca="1" si="98"/>
        <v>апр.28</v>
      </c>
      <c r="AU38" s="328" t="str">
        <f t="shared" ca="1" si="98"/>
        <v>май.28</v>
      </c>
      <c r="AV38" s="328" t="str">
        <f t="shared" ca="1" si="98"/>
        <v>июн.28</v>
      </c>
      <c r="AW38" s="328" t="str">
        <f t="shared" ca="1" si="98"/>
        <v>июл.28</v>
      </c>
      <c r="AX38" s="328" t="str">
        <f t="shared" ca="1" si="98"/>
        <v>авг.28</v>
      </c>
      <c r="AY38" s="328" t="str">
        <f t="shared" ca="1" si="98"/>
        <v>сен.28</v>
      </c>
      <c r="AZ38" s="328" t="str">
        <f t="shared" ca="1" si="98"/>
        <v>окт.28</v>
      </c>
      <c r="BA38" s="328" t="str">
        <f t="shared" ca="1" si="98"/>
        <v>ноя.28</v>
      </c>
      <c r="BB38" s="328" t="str">
        <f t="shared" ca="1" si="98"/>
        <v>дек.28</v>
      </c>
    </row>
    <row r="39" spans="1:56" ht="14.4" thickTop="1" x14ac:dyDescent="0.3">
      <c r="A39" s="10"/>
    </row>
    <row r="40" spans="1:56" x14ac:dyDescent="0.3">
      <c r="A40" s="10" t="str">
        <f ca="1">Language!A410</f>
        <v>Учет инфляции при планировании цен</v>
      </c>
      <c r="B40" s="17">
        <v>1</v>
      </c>
      <c r="C40" s="21" t="str">
        <f ca="1">OFFSET(Language!A478,Prj_Inflation,0)</f>
        <v>Учитывать</v>
      </c>
    </row>
    <row r="41" spans="1:56" x14ac:dyDescent="0.3">
      <c r="A41" s="245"/>
      <c r="E41" s="6" t="s">
        <v>626</v>
      </c>
      <c r="F41" s="6" t="s">
        <v>1121</v>
      </c>
    </row>
    <row r="42" spans="1:56" x14ac:dyDescent="0.3">
      <c r="A42" s="22" t="str">
        <f ca="1">Language!A411</f>
        <v>Основная валюта расчетов</v>
      </c>
      <c r="B42" s="23" t="str">
        <f ca="1">IF(D42&lt;100, OFFSET(Language!A$94,D42,0), SUBSTITUTE(OFFSET(Language!A$114,INT(D42/100),0),"***",OFFSET(Language!A$94,D42-100*INT(D42/100),0)) )</f>
        <v>руб.</v>
      </c>
      <c r="D42" s="11">
        <v>13</v>
      </c>
    </row>
    <row r="43" spans="1:56" x14ac:dyDescent="0.3">
      <c r="A43" s="10" t="str">
        <f ca="1">Language!A$426</f>
        <v>Предполагаемый темп годового роста цен</v>
      </c>
      <c r="C43" s="1" t="str">
        <f ca="1">Language!A480</f>
        <v>% в год</v>
      </c>
      <c r="F43" s="6" t="s">
        <v>745</v>
      </c>
      <c r="G43" s="268">
        <v>0.06</v>
      </c>
      <c r="H43" s="268">
        <f t="shared" ref="H43:BB43" si="99">G43</f>
        <v>0.06</v>
      </c>
      <c r="I43" s="268">
        <f t="shared" si="99"/>
        <v>0.06</v>
      </c>
      <c r="J43" s="268">
        <f t="shared" si="99"/>
        <v>0.06</v>
      </c>
      <c r="K43" s="268">
        <f t="shared" si="99"/>
        <v>0.06</v>
      </c>
      <c r="L43" s="268">
        <f t="shared" si="99"/>
        <v>0.06</v>
      </c>
      <c r="M43" s="268">
        <f t="shared" si="99"/>
        <v>0.06</v>
      </c>
      <c r="N43" s="268">
        <f t="shared" si="99"/>
        <v>0.06</v>
      </c>
      <c r="O43" s="268">
        <f t="shared" si="99"/>
        <v>0.06</v>
      </c>
      <c r="P43" s="268">
        <f t="shared" si="99"/>
        <v>0.06</v>
      </c>
      <c r="Q43" s="268">
        <f t="shared" si="99"/>
        <v>0.06</v>
      </c>
      <c r="R43" s="268">
        <f t="shared" si="99"/>
        <v>0.06</v>
      </c>
      <c r="S43" s="268">
        <f t="shared" si="99"/>
        <v>0.06</v>
      </c>
      <c r="T43" s="268">
        <f t="shared" si="99"/>
        <v>0.06</v>
      </c>
      <c r="U43" s="268">
        <f t="shared" si="99"/>
        <v>0.06</v>
      </c>
      <c r="V43" s="268">
        <f t="shared" si="99"/>
        <v>0.06</v>
      </c>
      <c r="W43" s="268">
        <f t="shared" si="99"/>
        <v>0.06</v>
      </c>
      <c r="X43" s="268">
        <f t="shared" si="99"/>
        <v>0.06</v>
      </c>
      <c r="Y43" s="268">
        <f t="shared" si="99"/>
        <v>0.06</v>
      </c>
      <c r="Z43" s="268">
        <f t="shared" si="99"/>
        <v>0.06</v>
      </c>
      <c r="AA43" s="268">
        <f t="shared" si="99"/>
        <v>0.06</v>
      </c>
      <c r="AB43" s="268">
        <f t="shared" si="99"/>
        <v>0.06</v>
      </c>
      <c r="AC43" s="268">
        <f t="shared" si="99"/>
        <v>0.06</v>
      </c>
      <c r="AD43" s="268">
        <f t="shared" si="99"/>
        <v>0.06</v>
      </c>
      <c r="AE43" s="268">
        <f t="shared" si="99"/>
        <v>0.06</v>
      </c>
      <c r="AF43" s="268">
        <f t="shared" si="99"/>
        <v>0.06</v>
      </c>
      <c r="AG43" s="268">
        <f t="shared" si="99"/>
        <v>0.06</v>
      </c>
      <c r="AH43" s="268">
        <f t="shared" si="99"/>
        <v>0.06</v>
      </c>
      <c r="AI43" s="268">
        <f t="shared" si="99"/>
        <v>0.06</v>
      </c>
      <c r="AJ43" s="268">
        <f t="shared" si="99"/>
        <v>0.06</v>
      </c>
      <c r="AK43" s="268">
        <f t="shared" si="99"/>
        <v>0.06</v>
      </c>
      <c r="AL43" s="268">
        <f t="shared" si="99"/>
        <v>0.06</v>
      </c>
      <c r="AM43" s="268">
        <f t="shared" si="99"/>
        <v>0.06</v>
      </c>
      <c r="AN43" s="268">
        <f t="shared" si="99"/>
        <v>0.06</v>
      </c>
      <c r="AO43" s="268">
        <f t="shared" si="99"/>
        <v>0.06</v>
      </c>
      <c r="AP43" s="268">
        <f t="shared" si="99"/>
        <v>0.06</v>
      </c>
      <c r="AQ43" s="268">
        <f t="shared" si="99"/>
        <v>0.06</v>
      </c>
      <c r="AR43" s="268">
        <f t="shared" si="99"/>
        <v>0.06</v>
      </c>
      <c r="AS43" s="268">
        <f t="shared" si="99"/>
        <v>0.06</v>
      </c>
      <c r="AT43" s="268">
        <f t="shared" si="99"/>
        <v>0.06</v>
      </c>
      <c r="AU43" s="268">
        <f t="shared" si="99"/>
        <v>0.06</v>
      </c>
      <c r="AV43" s="268">
        <f t="shared" si="99"/>
        <v>0.06</v>
      </c>
      <c r="AW43" s="268">
        <f t="shared" si="99"/>
        <v>0.06</v>
      </c>
      <c r="AX43" s="268">
        <f t="shared" si="99"/>
        <v>0.06</v>
      </c>
      <c r="AY43" s="268">
        <f t="shared" si="99"/>
        <v>0.06</v>
      </c>
      <c r="AZ43" s="268">
        <f t="shared" si="99"/>
        <v>0.06</v>
      </c>
      <c r="BA43" s="268">
        <f t="shared" si="99"/>
        <v>0.06</v>
      </c>
      <c r="BB43" s="268">
        <f t="shared" si="99"/>
        <v>0.06</v>
      </c>
    </row>
    <row r="44" spans="1:56" hidden="1" outlineLevel="1" x14ac:dyDescent="0.3">
      <c r="A44" s="24" t="str">
        <f ca="1">Language!A$600</f>
        <v>коэффициент изменения цен к началу проекта</v>
      </c>
      <c r="B44" s="25"/>
      <c r="C44" s="1" t="str">
        <f ca="1">Language!$A$1477</f>
        <v>раз</v>
      </c>
      <c r="D44" s="11"/>
      <c r="F44" s="6" t="s">
        <v>745</v>
      </c>
      <c r="G44" s="26">
        <f ca="1">IF(G$2=1,1,IF(Prj_Inflation=1,POWER(1+OFFSET(G43,0,-1),Параметры!G$30/360),1) * IF(G$2&gt;1, F44, 1))</f>
        <v>1</v>
      </c>
      <c r="H44" s="26">
        <f ca="1">IF(H$2=1,1,IF(Prj_Inflation=1,POWER(1+OFFSET(H43,0,-1),Параметры!H$30/360),1) * IF(H$2&gt;1, G44, 1))</f>
        <v>1.004867550565343</v>
      </c>
      <c r="I44" s="26">
        <f ca="1">IF(I$2=1,1,IF(Prj_Inflation=1,POWER(1+OFFSET(I43,0,-1),Параметры!I$30/360),1) * IF(I$2&gt;1, H44, 1))</f>
        <v>1.0097587941791923</v>
      </c>
      <c r="J44" s="26">
        <f ca="1">IF(J$2=1,1,IF(Prj_Inflation=1,POWER(1+OFFSET(J43,0,-1),Параметры!J$30/360),1) * IF(J$2&gt;1, I44, 1))</f>
        <v>1.0146738461686593</v>
      </c>
      <c r="K44" s="26">
        <f ca="1">IF(K$2=1,1,IF(Prj_Inflation=1,POWER(1+OFFSET(K43,0,-1),Параметры!K$30/360),1) * IF(K$2&gt;1, J44, 1))</f>
        <v>1.0196128224222163</v>
      </c>
      <c r="L44" s="26">
        <f ca="1">IF(L$2=1,1,IF(Prj_Inflation=1,POWER(1+OFFSET(L43,0,-1),Параметры!L$30/360),1) * IF(L$2&gt;1, K44, 1))</f>
        <v>1.0245758393924285</v>
      </c>
      <c r="M44" s="26">
        <f ca="1">IF(M$2=1,1,IF(Prj_Inflation=1,POWER(1+OFFSET(M43,0,-1),Параметры!M$30/360),1) * IF(M$2&gt;1, L44, 1))</f>
        <v>1.0295630140987</v>
      </c>
      <c r="N44" s="26">
        <f ca="1">IF(N$2=1,1,IF(Prj_Inflation=1,POWER(1+OFFSET(N43,0,-1),Параметры!N$30/360),1) * IF(N$2&gt;1, M44, 1))</f>
        <v>1.0345744641300325</v>
      </c>
      <c r="O44" s="26">
        <f ca="1">IF(O$2=1,1,IF(Prj_Inflation=1,POWER(1+OFFSET(O43,0,-1),Параметры!O$30/360),1) * IF(O$2&gt;1, N44, 1))</f>
        <v>1.039610307647798</v>
      </c>
      <c r="P44" s="26">
        <f ca="1">IF(P$2=1,1,IF(Prj_Inflation=1,POWER(1+OFFSET(P43,0,-1),Параметры!P$30/360),1) * IF(P$2&gt;1, O44, 1))</f>
        <v>1.0446706633885257</v>
      </c>
      <c r="Q44" s="26">
        <f ca="1">IF(Q$2=1,1,IF(Prj_Inflation=1,POWER(1+OFFSET(Q43,0,-1),Параметры!Q$30/360),1) * IF(Q$2&gt;1, P44, 1))</f>
        <v>1.0497556506666998</v>
      </c>
      <c r="R44" s="26">
        <f ca="1">IF(R$2=1,1,IF(Prj_Inflation=1,POWER(1+OFFSET(R43,0,-1),Параметры!R$30/360),1) * IF(R$2&gt;1, Q44, 1))</f>
        <v>1.0548653893775746</v>
      </c>
      <c r="S44" s="26">
        <f ca="1">IF(S$2=1,1,IF(Prj_Inflation=1,POWER(1+OFFSET(S43,0,-1),Параметры!S$30/360),1) * IF(S$2&gt;1, R44, 1))</f>
        <v>1.0600000000000003</v>
      </c>
      <c r="T44" s="26">
        <f ca="1">IF(T$2=1,1,IF(Prj_Inflation=1,POWER(1+OFFSET(T43,0,-1),Параметры!T$30/360),1) * IF(T$2&gt;1, S44, 1))</f>
        <v>1.0651596035992639</v>
      </c>
      <c r="U44" s="26">
        <f ca="1">IF(U$2=1,1,IF(Prj_Inflation=1,POWER(1+OFFSET(U43,0,-1),Параметры!U$30/360),1) * IF(U$2&gt;1, T44, 1))</f>
        <v>1.070344321829944</v>
      </c>
      <c r="V44" s="26">
        <f ca="1">IF(V$2=1,1,IF(Prj_Inflation=1,POWER(1+OFFSET(V43,0,-1),Параметры!V$30/360),1) * IF(V$2&gt;1, U44, 1))</f>
        <v>1.0755542769387791</v>
      </c>
      <c r="W44" s="26">
        <f ca="1">IF(W$2=1,1,IF(Prj_Inflation=1,POWER(1+OFFSET(W43,0,-1),Параметры!W$30/360),1) * IF(W$2&gt;1, V44, 1))</f>
        <v>1.0807895917675496</v>
      </c>
      <c r="X44" s="26">
        <f ca="1">IF(X$2=1,1,IF(Prj_Inflation=1,POWER(1+OFFSET(X43,0,-1),Параметры!X$30/360),1) * IF(X$2&gt;1, W44, 1))</f>
        <v>1.0860503897559746</v>
      </c>
      <c r="Y44" s="26">
        <f ca="1">IF(Y$2=1,1,IF(Prj_Inflation=1,POWER(1+OFFSET(Y43,0,-1),Параметры!Y$30/360),1) * IF(Y$2&gt;1, X44, 1))</f>
        <v>1.0913367949446222</v>
      </c>
      <c r="Z44" s="26">
        <f ca="1">IF(Z$2=1,1,IF(Prj_Inflation=1,POWER(1+OFFSET(Z43,0,-1),Параметры!Z$30/360),1) * IF(Z$2&gt;1, Y44, 1))</f>
        <v>1.0966489319778345</v>
      </c>
      <c r="AA44" s="26">
        <f ca="1">IF(AA$2=1,1,IF(Prj_Inflation=1,POWER(1+OFFSET(AA43,0,-1),Параметры!AA$30/360),1) * IF(AA$2&gt;1, Z44, 1))</f>
        <v>1.1019869261066662</v>
      </c>
      <c r="AB44" s="26">
        <f ca="1">IF(AB$2=1,1,IF(Prj_Inflation=1,POWER(1+OFFSET(AB43,0,-1),Параметры!AB$30/360),1) * IF(AB$2&gt;1, AA44, 1))</f>
        <v>1.1073509031918374</v>
      </c>
      <c r="AC44" s="26">
        <f ca="1">IF(AC$2=1,1,IF(Prj_Inflation=1,POWER(1+OFFSET(AC43,0,-1),Параметры!AC$30/360),1) * IF(AC$2&gt;1, AB44, 1))</f>
        <v>1.112740989706702</v>
      </c>
      <c r="AD44" s="26">
        <f ca="1">IF(AD$2=1,1,IF(Prj_Inflation=1,POWER(1+OFFSET(AD43,0,-1),Параметры!AD$30/360),1) * IF(AD$2&gt;1, AC44, 1))</f>
        <v>1.1181573127402293</v>
      </c>
      <c r="AE44" s="26">
        <f ca="1">IF(AE$2=1,1,IF(Prj_Inflation=1,POWER(1+OFFSET(AE43,0,-1),Параметры!AE$30/360),1) * IF(AE$2&gt;1, AD44, 1))</f>
        <v>1.1236000000000006</v>
      </c>
      <c r="AF44" s="26">
        <f ca="1">IF(AF$2=1,1,IF(Prj_Inflation=1,POWER(1+OFFSET(AF43,0,-1),Параметры!AF$30/360),1) * IF(AF$2&gt;1, AE44, 1))</f>
        <v>1.1290691798152201</v>
      </c>
      <c r="AG44" s="26">
        <f ca="1">IF(AG$2=1,1,IF(Prj_Inflation=1,POWER(1+OFFSET(AG43,0,-1),Параметры!AG$30/360),1) * IF(AG$2&gt;1, AF44, 1))</f>
        <v>1.1345649811397411</v>
      </c>
      <c r="AH44" s="26">
        <f ca="1">IF(AH$2=1,1,IF(Prj_Inflation=1,POWER(1+OFFSET(AH43,0,-1),Параметры!AH$30/360),1) * IF(AH$2&gt;1, AG44, 1))</f>
        <v>1.1400875335551064</v>
      </c>
      <c r="AI44" s="26">
        <f ca="1">IF(AI$2=1,1,IF(Prj_Inflation=1,POWER(1+OFFSET(AI43,0,-1),Параметры!AI$30/360),1) * IF(AI$2&gt;1, AH44, 1))</f>
        <v>1.1456369672736031</v>
      </c>
      <c r="AJ44" s="26">
        <f ca="1">IF(AJ$2=1,1,IF(Prj_Inflation=1,POWER(1+OFFSET(AJ43,0,-1),Параметры!AJ$30/360),1) * IF(AJ$2&gt;1, AI44, 1))</f>
        <v>1.1512134131413336</v>
      </c>
      <c r="AK44" s="26">
        <f ca="1">IF(AK$2=1,1,IF(Prj_Inflation=1,POWER(1+OFFSET(AK43,0,-1),Параметры!AK$30/360),1) * IF(AK$2&gt;1, AJ44, 1))</f>
        <v>1.1568170026413003</v>
      </c>
      <c r="AL44" s="26">
        <f ca="1">IF(AL$2=1,1,IF(Prj_Inflation=1,POWER(1+OFFSET(AL43,0,-1),Параметры!AL$30/360),1) * IF(AL$2&gt;1, AK44, 1))</f>
        <v>1.1624478678965053</v>
      </c>
      <c r="AM44" s="26">
        <f ca="1">IF(AM$2=1,1,IF(Prj_Inflation=1,POWER(1+OFFSET(AM43,0,-1),Параметры!AM$30/360),1) * IF(AM$2&gt;1, AL44, 1))</f>
        <v>1.1681061416730667</v>
      </c>
      <c r="AN44" s="26">
        <f ca="1">IF(AN$2=1,1,IF(Prj_Inflation=1,POWER(1+OFFSET(AN43,0,-1),Параметры!AN$30/360),1) * IF(AN$2&gt;1, AM44, 1))</f>
        <v>1.1737919573833482</v>
      </c>
      <c r="AO44" s="26">
        <f ca="1">IF(AO$2=1,1,IF(Prj_Inflation=1,POWER(1+OFFSET(AO43,0,-1),Параметры!AO$30/360),1) * IF(AO$2&gt;1, AN44, 1))</f>
        <v>1.1795054490891046</v>
      </c>
      <c r="AP44" s="26">
        <f ca="1">IF(AP$2=1,1,IF(Prj_Inflation=1,POWER(1+OFFSET(AP43,0,-1),Параметры!AP$30/360),1) * IF(AP$2&gt;1, AO44, 1))</f>
        <v>1.1852467515046434</v>
      </c>
      <c r="AQ44" s="26">
        <f ca="1">IF(AQ$2=1,1,IF(Prj_Inflation=1,POWER(1+OFFSET(AQ43,0,-1),Параметры!AQ$30/360),1) * IF(AQ$2&gt;1, AP44, 1))</f>
        <v>1.191016000000001</v>
      </c>
      <c r="AR44" s="26">
        <f ca="1">IF(AR$2=1,1,IF(Prj_Inflation=1,POWER(1+OFFSET(AR43,0,-1),Параметры!AR$30/360),1) * IF(AR$2&gt;1, AQ44, 1))</f>
        <v>1.1968133306041335</v>
      </c>
      <c r="AS44" s="26">
        <f ca="1">IF(AS$2=1,1,IF(Prj_Inflation=1,POWER(1+OFFSET(AS43,0,-1),Параметры!AS$30/360),1) * IF(AS$2&gt;1, AR44, 1))</f>
        <v>1.2026388800081258</v>
      </c>
      <c r="AT44" s="26">
        <f ca="1">IF(AT$2=1,1,IF(Prj_Inflation=1,POWER(1+OFFSET(AT43,0,-1),Параметры!AT$30/360),1) * IF(AT$2&gt;1, AS44, 1))</f>
        <v>1.2084927855684129</v>
      </c>
      <c r="AU44" s="26">
        <f ca="1">IF(AU$2=1,1,IF(Prj_Inflation=1,POWER(1+OFFSET(AU43,0,-1),Параметры!AU$30/360),1) * IF(AU$2&gt;1, AT44, 1))</f>
        <v>1.2143751853100193</v>
      </c>
      <c r="AV44" s="26">
        <f ca="1">IF(AV$2=1,1,IF(Prj_Inflation=1,POWER(1+OFFSET(AV43,0,-1),Параметры!AV$30/360),1) * IF(AV$2&gt;1, AU44, 1))</f>
        <v>1.2202862179298137</v>
      </c>
      <c r="AW44" s="26">
        <f ca="1">IF(AW$2=1,1,IF(Prj_Inflation=1,POWER(1+OFFSET(AW43,0,-1),Параметры!AW$30/360),1) * IF(AW$2&gt;1, AV44, 1))</f>
        <v>1.2262260227997783</v>
      </c>
      <c r="AX44" s="26">
        <f ca="1">IF(AX$2=1,1,IF(Prj_Inflation=1,POWER(1+OFFSET(AX43,0,-1),Параметры!AX$30/360),1) * IF(AX$2&gt;1, AW44, 1))</f>
        <v>1.2321947399702957</v>
      </c>
      <c r="AY44" s="26">
        <f ca="1">IF(AY$2=1,1,IF(Prj_Inflation=1,POWER(1+OFFSET(AY43,0,-1),Параметры!AY$30/360),1) * IF(AY$2&gt;1, AX44, 1))</f>
        <v>1.2381925101734508</v>
      </c>
      <c r="AZ44" s="26">
        <f ca="1">IF(AZ$2=1,1,IF(Prj_Inflation=1,POWER(1+OFFSET(AZ43,0,-1),Параметры!AZ$30/360),1) * IF(AZ$2&gt;1, AY44, 1))</f>
        <v>1.2442194748263491</v>
      </c>
      <c r="BA44" s="26">
        <f ca="1">IF(BA$2=1,1,IF(Prj_Inflation=1,POWER(1+OFFSET(BA43,0,-1),Параметры!BA$30/360),1) * IF(BA$2&gt;1, AZ44, 1))</f>
        <v>1.2502757760344509</v>
      </c>
      <c r="BB44" s="26">
        <f ca="1">IF(BB$2=1,1,IF(Prj_Inflation=1,POWER(1+OFFSET(BB43,0,-1),Параметры!BB$30/360),1) * IF(BB$2&gt;1, BA44, 1))</f>
        <v>1.2563615565949222</v>
      </c>
      <c r="BC44" s="27"/>
      <c r="BD44" s="28"/>
    </row>
    <row r="45" spans="1:56" hidden="1" outlineLevel="1" x14ac:dyDescent="0.3">
      <c r="A45" s="24" t="str">
        <f ca="1">Language!A$618</f>
        <v>коэффициент прироста цен к предыдущему периоду</v>
      </c>
      <c r="B45" s="25"/>
      <c r="C45" s="1" t="str">
        <f ca="1">Language!$A$1477</f>
        <v>раз</v>
      </c>
      <c r="D45" s="11"/>
      <c r="F45" s="6" t="s">
        <v>745</v>
      </c>
      <c r="G45" s="26">
        <f ca="1">IF(G$2=1,1,IF(Prj_Inflation=1,POWER(1+OFFSET(G43,0,-1),Параметры!G$30/360),1))</f>
        <v>1</v>
      </c>
      <c r="H45" s="26">
        <f ca="1">IF(H$2=1,1,IF(Prj_Inflation=1,POWER(1+OFFSET(H43,0,-1),Параметры!H$30/360),1))</f>
        <v>1.004867550565343</v>
      </c>
      <c r="I45" s="26">
        <f ca="1">IF(I$2=1,1,IF(Prj_Inflation=1,POWER(1+OFFSET(I43,0,-1),Параметры!I$30/360),1))</f>
        <v>1.004867550565343</v>
      </c>
      <c r="J45" s="26">
        <f ca="1">IF(J$2=1,1,IF(Prj_Inflation=1,POWER(1+OFFSET(J43,0,-1),Параметры!J$30/360),1))</f>
        <v>1.004867550565343</v>
      </c>
      <c r="K45" s="26">
        <f ca="1">IF(K$2=1,1,IF(Prj_Inflation=1,POWER(1+OFFSET(K43,0,-1),Параметры!K$30/360),1))</f>
        <v>1.004867550565343</v>
      </c>
      <c r="L45" s="26">
        <f ca="1">IF(L$2=1,1,IF(Prj_Inflation=1,POWER(1+OFFSET(L43,0,-1),Параметры!L$30/360),1))</f>
        <v>1.004867550565343</v>
      </c>
      <c r="M45" s="26">
        <f ca="1">IF(M$2=1,1,IF(Prj_Inflation=1,POWER(1+OFFSET(M43,0,-1),Параметры!M$30/360),1))</f>
        <v>1.004867550565343</v>
      </c>
      <c r="N45" s="26">
        <f ca="1">IF(N$2=1,1,IF(Prj_Inflation=1,POWER(1+OFFSET(N43,0,-1),Параметры!N$30/360),1))</f>
        <v>1.004867550565343</v>
      </c>
      <c r="O45" s="26">
        <f ca="1">IF(O$2=1,1,IF(Prj_Inflation=1,POWER(1+OFFSET(O43,0,-1),Параметры!O$30/360),1))</f>
        <v>1.004867550565343</v>
      </c>
      <c r="P45" s="26">
        <f ca="1">IF(P$2=1,1,IF(Prj_Inflation=1,POWER(1+OFFSET(P43,0,-1),Параметры!P$30/360),1))</f>
        <v>1.004867550565343</v>
      </c>
      <c r="Q45" s="26">
        <f ca="1">IF(Q$2=1,1,IF(Prj_Inflation=1,POWER(1+OFFSET(Q43,0,-1),Параметры!Q$30/360),1))</f>
        <v>1.004867550565343</v>
      </c>
      <c r="R45" s="26">
        <f ca="1">IF(R$2=1,1,IF(Prj_Inflation=1,POWER(1+OFFSET(R43,0,-1),Параметры!R$30/360),1))</f>
        <v>1.004867550565343</v>
      </c>
      <c r="S45" s="26">
        <f ca="1">IF(S$2=1,1,IF(Prj_Inflation=1,POWER(1+OFFSET(S43,0,-1),Параметры!S$30/360),1))</f>
        <v>1.004867550565343</v>
      </c>
      <c r="T45" s="26">
        <f ca="1">IF(T$2=1,1,IF(Prj_Inflation=1,POWER(1+OFFSET(T43,0,-1),Параметры!T$30/360),1))</f>
        <v>1.004867550565343</v>
      </c>
      <c r="U45" s="26">
        <f ca="1">IF(U$2=1,1,IF(Prj_Inflation=1,POWER(1+OFFSET(U43,0,-1),Параметры!U$30/360),1))</f>
        <v>1.004867550565343</v>
      </c>
      <c r="V45" s="26">
        <f ca="1">IF(V$2=1,1,IF(Prj_Inflation=1,POWER(1+OFFSET(V43,0,-1),Параметры!V$30/360),1))</f>
        <v>1.004867550565343</v>
      </c>
      <c r="W45" s="26">
        <f ca="1">IF(W$2=1,1,IF(Prj_Inflation=1,POWER(1+OFFSET(W43,0,-1),Параметры!W$30/360),1))</f>
        <v>1.004867550565343</v>
      </c>
      <c r="X45" s="26">
        <f ca="1">IF(X$2=1,1,IF(Prj_Inflation=1,POWER(1+OFFSET(X43,0,-1),Параметры!X$30/360),1))</f>
        <v>1.004867550565343</v>
      </c>
      <c r="Y45" s="26">
        <f ca="1">IF(Y$2=1,1,IF(Prj_Inflation=1,POWER(1+OFFSET(Y43,0,-1),Параметры!Y$30/360),1))</f>
        <v>1.004867550565343</v>
      </c>
      <c r="Z45" s="26">
        <f ca="1">IF(Z$2=1,1,IF(Prj_Inflation=1,POWER(1+OFFSET(Z43,0,-1),Параметры!Z$30/360),1))</f>
        <v>1.004867550565343</v>
      </c>
      <c r="AA45" s="26">
        <f ca="1">IF(AA$2=1,1,IF(Prj_Inflation=1,POWER(1+OFFSET(AA43,0,-1),Параметры!AA$30/360),1))</f>
        <v>1.004867550565343</v>
      </c>
      <c r="AB45" s="26">
        <f ca="1">IF(AB$2=1,1,IF(Prj_Inflation=1,POWER(1+OFFSET(AB43,0,-1),Параметры!AB$30/360),1))</f>
        <v>1.004867550565343</v>
      </c>
      <c r="AC45" s="26">
        <f ca="1">IF(AC$2=1,1,IF(Prj_Inflation=1,POWER(1+OFFSET(AC43,0,-1),Параметры!AC$30/360),1))</f>
        <v>1.004867550565343</v>
      </c>
      <c r="AD45" s="26">
        <f ca="1">IF(AD$2=1,1,IF(Prj_Inflation=1,POWER(1+OFFSET(AD43,0,-1),Параметры!AD$30/360),1))</f>
        <v>1.004867550565343</v>
      </c>
      <c r="AE45" s="26">
        <f ca="1">IF(AE$2=1,1,IF(Prj_Inflation=1,POWER(1+OFFSET(AE43,0,-1),Параметры!AE$30/360),1))</f>
        <v>1.004867550565343</v>
      </c>
      <c r="AF45" s="26">
        <f ca="1">IF(AF$2=1,1,IF(Prj_Inflation=1,POWER(1+OFFSET(AF43,0,-1),Параметры!AF$30/360),1))</f>
        <v>1.004867550565343</v>
      </c>
      <c r="AG45" s="26">
        <f ca="1">IF(AG$2=1,1,IF(Prj_Inflation=1,POWER(1+OFFSET(AG43,0,-1),Параметры!AG$30/360),1))</f>
        <v>1.004867550565343</v>
      </c>
      <c r="AH45" s="26">
        <f ca="1">IF(AH$2=1,1,IF(Prj_Inflation=1,POWER(1+OFFSET(AH43,0,-1),Параметры!AH$30/360),1))</f>
        <v>1.004867550565343</v>
      </c>
      <c r="AI45" s="26">
        <f ca="1">IF(AI$2=1,1,IF(Prj_Inflation=1,POWER(1+OFFSET(AI43,0,-1),Параметры!AI$30/360),1))</f>
        <v>1.004867550565343</v>
      </c>
      <c r="AJ45" s="26">
        <f ca="1">IF(AJ$2=1,1,IF(Prj_Inflation=1,POWER(1+OFFSET(AJ43,0,-1),Параметры!AJ$30/360),1))</f>
        <v>1.004867550565343</v>
      </c>
      <c r="AK45" s="26">
        <f ca="1">IF(AK$2=1,1,IF(Prj_Inflation=1,POWER(1+OFFSET(AK43,0,-1),Параметры!AK$30/360),1))</f>
        <v>1.004867550565343</v>
      </c>
      <c r="AL45" s="26">
        <f ca="1">IF(AL$2=1,1,IF(Prj_Inflation=1,POWER(1+OFFSET(AL43,0,-1),Параметры!AL$30/360),1))</f>
        <v>1.004867550565343</v>
      </c>
      <c r="AM45" s="26">
        <f ca="1">IF(AM$2=1,1,IF(Prj_Inflation=1,POWER(1+OFFSET(AM43,0,-1),Параметры!AM$30/360),1))</f>
        <v>1.004867550565343</v>
      </c>
      <c r="AN45" s="26">
        <f ca="1">IF(AN$2=1,1,IF(Prj_Inflation=1,POWER(1+OFFSET(AN43,0,-1),Параметры!AN$30/360),1))</f>
        <v>1.004867550565343</v>
      </c>
      <c r="AO45" s="26">
        <f ca="1">IF(AO$2=1,1,IF(Prj_Inflation=1,POWER(1+OFFSET(AO43,0,-1),Параметры!AO$30/360),1))</f>
        <v>1.004867550565343</v>
      </c>
      <c r="AP45" s="26">
        <f ca="1">IF(AP$2=1,1,IF(Prj_Inflation=1,POWER(1+OFFSET(AP43,0,-1),Параметры!AP$30/360),1))</f>
        <v>1.004867550565343</v>
      </c>
      <c r="AQ45" s="26">
        <f ca="1">IF(AQ$2=1,1,IF(Prj_Inflation=1,POWER(1+OFFSET(AQ43,0,-1),Параметры!AQ$30/360),1))</f>
        <v>1.004867550565343</v>
      </c>
      <c r="AR45" s="26">
        <f ca="1">IF(AR$2=1,1,IF(Prj_Inflation=1,POWER(1+OFFSET(AR43,0,-1),Параметры!AR$30/360),1))</f>
        <v>1.004867550565343</v>
      </c>
      <c r="AS45" s="26">
        <f ca="1">IF(AS$2=1,1,IF(Prj_Inflation=1,POWER(1+OFFSET(AS43,0,-1),Параметры!AS$30/360),1))</f>
        <v>1.004867550565343</v>
      </c>
      <c r="AT45" s="26">
        <f ca="1">IF(AT$2=1,1,IF(Prj_Inflation=1,POWER(1+OFFSET(AT43,0,-1),Параметры!AT$30/360),1))</f>
        <v>1.004867550565343</v>
      </c>
      <c r="AU45" s="26">
        <f ca="1">IF(AU$2=1,1,IF(Prj_Inflation=1,POWER(1+OFFSET(AU43,0,-1),Параметры!AU$30/360),1))</f>
        <v>1.004867550565343</v>
      </c>
      <c r="AV45" s="26">
        <f ca="1">IF(AV$2=1,1,IF(Prj_Inflation=1,POWER(1+OFFSET(AV43,0,-1),Параметры!AV$30/360),1))</f>
        <v>1.004867550565343</v>
      </c>
      <c r="AW45" s="26">
        <f ca="1">IF(AW$2=1,1,IF(Prj_Inflation=1,POWER(1+OFFSET(AW43,0,-1),Параметры!AW$30/360),1))</f>
        <v>1.004867550565343</v>
      </c>
      <c r="AX45" s="26">
        <f ca="1">IF(AX$2=1,1,IF(Prj_Inflation=1,POWER(1+OFFSET(AX43,0,-1),Параметры!AX$30/360),1))</f>
        <v>1.004867550565343</v>
      </c>
      <c r="AY45" s="26">
        <f ca="1">IF(AY$2=1,1,IF(Prj_Inflation=1,POWER(1+OFFSET(AY43,0,-1),Параметры!AY$30/360),1))</f>
        <v>1.004867550565343</v>
      </c>
      <c r="AZ45" s="26">
        <f ca="1">IF(AZ$2=1,1,IF(Prj_Inflation=1,POWER(1+OFFSET(AZ43,0,-1),Параметры!AZ$30/360),1))</f>
        <v>1.004867550565343</v>
      </c>
      <c r="BA45" s="26">
        <f ca="1">IF(BA$2=1,1,IF(Prj_Inflation=1,POWER(1+OFFSET(BA43,0,-1),Параметры!BA$30/360),1))</f>
        <v>1.004867550565343</v>
      </c>
      <c r="BB45" s="26">
        <f ca="1">IF(BB$2=1,1,IF(Prj_Inflation=1,POWER(1+OFFSET(BB43,0,-1),Параметры!BB$30/360),1))</f>
        <v>1.004867550565343</v>
      </c>
      <c r="BC45" s="27"/>
      <c r="BD45" s="28"/>
    </row>
    <row r="46" spans="1:56" hidden="1" outlineLevel="1" x14ac:dyDescent="0.3">
      <c r="A46" s="10" t="str">
        <f ca="1">Language!A413</f>
        <v>Детализация; темпы роста цен в отдельных категориях:</v>
      </c>
    </row>
    <row r="47" spans="1:56" hidden="1" outlineLevel="1" x14ac:dyDescent="0.3">
      <c r="A47" s="10" t="str">
        <f ca="1">Language!A414</f>
        <v>Продажи</v>
      </c>
      <c r="C47" s="1" t="str">
        <f ca="1">Language!A480</f>
        <v>% в год</v>
      </c>
      <c r="F47" s="6" t="s">
        <v>2346</v>
      </c>
      <c r="G47" s="269">
        <f t="shared" ref="G47:BB50" si="100">G$43</f>
        <v>0.06</v>
      </c>
      <c r="H47" s="269">
        <f t="shared" si="100"/>
        <v>0.06</v>
      </c>
      <c r="I47" s="269">
        <f t="shared" si="100"/>
        <v>0.06</v>
      </c>
      <c r="J47" s="269">
        <f t="shared" si="100"/>
        <v>0.06</v>
      </c>
      <c r="K47" s="269">
        <f t="shared" si="100"/>
        <v>0.06</v>
      </c>
      <c r="L47" s="269">
        <f t="shared" si="100"/>
        <v>0.06</v>
      </c>
      <c r="M47" s="269">
        <f t="shared" si="100"/>
        <v>0.06</v>
      </c>
      <c r="N47" s="269">
        <f t="shared" si="100"/>
        <v>0.06</v>
      </c>
      <c r="O47" s="269">
        <f t="shared" si="100"/>
        <v>0.06</v>
      </c>
      <c r="P47" s="269">
        <f t="shared" si="100"/>
        <v>0.06</v>
      </c>
      <c r="Q47" s="269">
        <f t="shared" si="100"/>
        <v>0.06</v>
      </c>
      <c r="R47" s="269">
        <f t="shared" si="100"/>
        <v>0.06</v>
      </c>
      <c r="S47" s="269">
        <f t="shared" si="100"/>
        <v>0.06</v>
      </c>
      <c r="T47" s="269">
        <f t="shared" si="100"/>
        <v>0.06</v>
      </c>
      <c r="U47" s="269">
        <f t="shared" si="100"/>
        <v>0.06</v>
      </c>
      <c r="V47" s="269">
        <f t="shared" si="100"/>
        <v>0.06</v>
      </c>
      <c r="W47" s="269">
        <f t="shared" si="100"/>
        <v>0.06</v>
      </c>
      <c r="X47" s="269">
        <f t="shared" si="100"/>
        <v>0.06</v>
      </c>
      <c r="Y47" s="269">
        <f t="shared" si="100"/>
        <v>0.06</v>
      </c>
      <c r="Z47" s="269">
        <f t="shared" si="100"/>
        <v>0.06</v>
      </c>
      <c r="AA47" s="269">
        <f t="shared" si="100"/>
        <v>0.06</v>
      </c>
      <c r="AB47" s="269">
        <f t="shared" si="100"/>
        <v>0.06</v>
      </c>
      <c r="AC47" s="269">
        <f t="shared" si="100"/>
        <v>0.06</v>
      </c>
      <c r="AD47" s="269">
        <f t="shared" si="100"/>
        <v>0.06</v>
      </c>
      <c r="AE47" s="269">
        <f t="shared" si="100"/>
        <v>0.06</v>
      </c>
      <c r="AF47" s="269">
        <f t="shared" si="100"/>
        <v>0.06</v>
      </c>
      <c r="AG47" s="269">
        <f t="shared" si="100"/>
        <v>0.06</v>
      </c>
      <c r="AH47" s="269">
        <f t="shared" si="100"/>
        <v>0.06</v>
      </c>
      <c r="AI47" s="269">
        <f t="shared" si="100"/>
        <v>0.06</v>
      </c>
      <c r="AJ47" s="269">
        <f t="shared" si="100"/>
        <v>0.06</v>
      </c>
      <c r="AK47" s="269">
        <f t="shared" si="100"/>
        <v>0.06</v>
      </c>
      <c r="AL47" s="269">
        <f t="shared" si="100"/>
        <v>0.06</v>
      </c>
      <c r="AM47" s="269">
        <f t="shared" si="100"/>
        <v>0.06</v>
      </c>
      <c r="AN47" s="269">
        <f t="shared" si="100"/>
        <v>0.06</v>
      </c>
      <c r="AO47" s="269">
        <f t="shared" si="100"/>
        <v>0.06</v>
      </c>
      <c r="AP47" s="269">
        <f t="shared" si="100"/>
        <v>0.06</v>
      </c>
      <c r="AQ47" s="269">
        <f t="shared" si="100"/>
        <v>0.06</v>
      </c>
      <c r="AR47" s="269">
        <f t="shared" si="100"/>
        <v>0.06</v>
      </c>
      <c r="AS47" s="269">
        <f t="shared" si="100"/>
        <v>0.06</v>
      </c>
      <c r="AT47" s="269">
        <f t="shared" si="100"/>
        <v>0.06</v>
      </c>
      <c r="AU47" s="269">
        <f t="shared" si="100"/>
        <v>0.06</v>
      </c>
      <c r="AV47" s="269">
        <f t="shared" si="100"/>
        <v>0.06</v>
      </c>
      <c r="AW47" s="269">
        <f t="shared" si="100"/>
        <v>0.06</v>
      </c>
      <c r="AX47" s="269">
        <f t="shared" si="100"/>
        <v>0.06</v>
      </c>
      <c r="AY47" s="269">
        <f t="shared" si="100"/>
        <v>0.06</v>
      </c>
      <c r="AZ47" s="269">
        <f t="shared" si="100"/>
        <v>0.06</v>
      </c>
      <c r="BA47" s="269">
        <f t="shared" si="100"/>
        <v>0.06</v>
      </c>
      <c r="BB47" s="269">
        <f t="shared" si="100"/>
        <v>0.06</v>
      </c>
    </row>
    <row r="48" spans="1:56" hidden="1" outlineLevel="1" x14ac:dyDescent="0.3">
      <c r="A48" s="10" t="str">
        <f ca="1">Language!A415</f>
        <v>Материалы и комплектующие</v>
      </c>
      <c r="C48" s="1" t="str">
        <f ca="1">Language!A480</f>
        <v>% в год</v>
      </c>
      <c r="F48" s="6" t="s">
        <v>2346</v>
      </c>
      <c r="G48" s="269">
        <f t="shared" si="100"/>
        <v>0.06</v>
      </c>
      <c r="H48" s="269">
        <f t="shared" si="100"/>
        <v>0.06</v>
      </c>
      <c r="I48" s="269">
        <f t="shared" si="100"/>
        <v>0.06</v>
      </c>
      <c r="J48" s="269">
        <f t="shared" si="100"/>
        <v>0.06</v>
      </c>
      <c r="K48" s="269">
        <f t="shared" si="100"/>
        <v>0.06</v>
      </c>
      <c r="L48" s="269">
        <f t="shared" si="100"/>
        <v>0.06</v>
      </c>
      <c r="M48" s="269">
        <f t="shared" si="100"/>
        <v>0.06</v>
      </c>
      <c r="N48" s="269">
        <f t="shared" si="100"/>
        <v>0.06</v>
      </c>
      <c r="O48" s="269">
        <f t="shared" si="100"/>
        <v>0.06</v>
      </c>
      <c r="P48" s="269">
        <f t="shared" si="100"/>
        <v>0.06</v>
      </c>
      <c r="Q48" s="269">
        <f t="shared" si="100"/>
        <v>0.06</v>
      </c>
      <c r="R48" s="269">
        <f t="shared" si="100"/>
        <v>0.06</v>
      </c>
      <c r="S48" s="269">
        <f t="shared" si="100"/>
        <v>0.06</v>
      </c>
      <c r="T48" s="269">
        <f t="shared" si="100"/>
        <v>0.06</v>
      </c>
      <c r="U48" s="269">
        <f t="shared" si="100"/>
        <v>0.06</v>
      </c>
      <c r="V48" s="269">
        <f t="shared" si="100"/>
        <v>0.06</v>
      </c>
      <c r="W48" s="269">
        <f t="shared" si="100"/>
        <v>0.06</v>
      </c>
      <c r="X48" s="269">
        <f t="shared" si="100"/>
        <v>0.06</v>
      </c>
      <c r="Y48" s="269">
        <f t="shared" si="100"/>
        <v>0.06</v>
      </c>
      <c r="Z48" s="269">
        <f t="shared" si="100"/>
        <v>0.06</v>
      </c>
      <c r="AA48" s="269">
        <f t="shared" si="100"/>
        <v>0.06</v>
      </c>
      <c r="AB48" s="269">
        <f t="shared" si="100"/>
        <v>0.06</v>
      </c>
      <c r="AC48" s="269">
        <f t="shared" si="100"/>
        <v>0.06</v>
      </c>
      <c r="AD48" s="269">
        <f t="shared" si="100"/>
        <v>0.06</v>
      </c>
      <c r="AE48" s="269">
        <f t="shared" si="100"/>
        <v>0.06</v>
      </c>
      <c r="AF48" s="269">
        <f t="shared" si="100"/>
        <v>0.06</v>
      </c>
      <c r="AG48" s="269">
        <f t="shared" si="100"/>
        <v>0.06</v>
      </c>
      <c r="AH48" s="269">
        <f t="shared" si="100"/>
        <v>0.06</v>
      </c>
      <c r="AI48" s="269">
        <f t="shared" si="100"/>
        <v>0.06</v>
      </c>
      <c r="AJ48" s="269">
        <f t="shared" si="100"/>
        <v>0.06</v>
      </c>
      <c r="AK48" s="269">
        <f t="shared" si="100"/>
        <v>0.06</v>
      </c>
      <c r="AL48" s="269">
        <f t="shared" si="100"/>
        <v>0.06</v>
      </c>
      <c r="AM48" s="269">
        <f t="shared" si="100"/>
        <v>0.06</v>
      </c>
      <c r="AN48" s="269">
        <f t="shared" si="100"/>
        <v>0.06</v>
      </c>
      <c r="AO48" s="269">
        <f t="shared" si="100"/>
        <v>0.06</v>
      </c>
      <c r="AP48" s="269">
        <f t="shared" si="100"/>
        <v>0.06</v>
      </c>
      <c r="AQ48" s="269">
        <f t="shared" si="100"/>
        <v>0.06</v>
      </c>
      <c r="AR48" s="269">
        <f t="shared" si="100"/>
        <v>0.06</v>
      </c>
      <c r="AS48" s="269">
        <f t="shared" si="100"/>
        <v>0.06</v>
      </c>
      <c r="AT48" s="269">
        <f t="shared" si="100"/>
        <v>0.06</v>
      </c>
      <c r="AU48" s="269">
        <f t="shared" si="100"/>
        <v>0.06</v>
      </c>
      <c r="AV48" s="269">
        <f t="shared" si="100"/>
        <v>0.06</v>
      </c>
      <c r="AW48" s="269">
        <f t="shared" si="100"/>
        <v>0.06</v>
      </c>
      <c r="AX48" s="269">
        <f t="shared" si="100"/>
        <v>0.06</v>
      </c>
      <c r="AY48" s="269">
        <f t="shared" si="100"/>
        <v>0.06</v>
      </c>
      <c r="AZ48" s="269">
        <f t="shared" si="100"/>
        <v>0.06</v>
      </c>
      <c r="BA48" s="269">
        <f t="shared" si="100"/>
        <v>0.06</v>
      </c>
      <c r="BB48" s="269">
        <f t="shared" si="100"/>
        <v>0.06</v>
      </c>
    </row>
    <row r="49" spans="1:54" outlineLevel="1" x14ac:dyDescent="0.3">
      <c r="A49" s="10" t="str">
        <f ca="1">Language!A1320</f>
        <v>Операционные расходы</v>
      </c>
      <c r="C49" s="1" t="str">
        <f ca="1">Language!A480</f>
        <v>% в год</v>
      </c>
      <c r="F49" s="6" t="s">
        <v>2346</v>
      </c>
      <c r="G49" s="269">
        <f t="shared" si="100"/>
        <v>0.06</v>
      </c>
      <c r="H49" s="269">
        <f t="shared" si="100"/>
        <v>0.06</v>
      </c>
      <c r="I49" s="269">
        <f t="shared" si="100"/>
        <v>0.06</v>
      </c>
      <c r="J49" s="269">
        <f t="shared" si="100"/>
        <v>0.06</v>
      </c>
      <c r="K49" s="269">
        <f t="shared" si="100"/>
        <v>0.06</v>
      </c>
      <c r="L49" s="269">
        <f t="shared" si="100"/>
        <v>0.06</v>
      </c>
      <c r="M49" s="269">
        <f t="shared" si="100"/>
        <v>0.06</v>
      </c>
      <c r="N49" s="269">
        <f t="shared" si="100"/>
        <v>0.06</v>
      </c>
      <c r="O49" s="269">
        <f t="shared" si="100"/>
        <v>0.06</v>
      </c>
      <c r="P49" s="269">
        <f t="shared" si="100"/>
        <v>0.06</v>
      </c>
      <c r="Q49" s="269">
        <f t="shared" si="100"/>
        <v>0.06</v>
      </c>
      <c r="R49" s="269">
        <f t="shared" si="100"/>
        <v>0.06</v>
      </c>
      <c r="S49" s="269">
        <f t="shared" si="100"/>
        <v>0.06</v>
      </c>
      <c r="T49" s="269">
        <f t="shared" si="100"/>
        <v>0.06</v>
      </c>
      <c r="U49" s="269">
        <f t="shared" si="100"/>
        <v>0.06</v>
      </c>
      <c r="V49" s="269">
        <f t="shared" si="100"/>
        <v>0.06</v>
      </c>
      <c r="W49" s="269">
        <f t="shared" si="100"/>
        <v>0.06</v>
      </c>
      <c r="X49" s="269">
        <f t="shared" si="100"/>
        <v>0.06</v>
      </c>
      <c r="Y49" s="269">
        <f t="shared" si="100"/>
        <v>0.06</v>
      </c>
      <c r="Z49" s="269">
        <f t="shared" si="100"/>
        <v>0.06</v>
      </c>
      <c r="AA49" s="269">
        <f t="shared" si="100"/>
        <v>0.06</v>
      </c>
      <c r="AB49" s="269">
        <f t="shared" si="100"/>
        <v>0.06</v>
      </c>
      <c r="AC49" s="269">
        <f t="shared" si="100"/>
        <v>0.06</v>
      </c>
      <c r="AD49" s="269">
        <f t="shared" si="100"/>
        <v>0.06</v>
      </c>
      <c r="AE49" s="269">
        <f t="shared" si="100"/>
        <v>0.06</v>
      </c>
      <c r="AF49" s="269">
        <f t="shared" si="100"/>
        <v>0.06</v>
      </c>
      <c r="AG49" s="269">
        <f t="shared" si="100"/>
        <v>0.06</v>
      </c>
      <c r="AH49" s="269">
        <f t="shared" si="100"/>
        <v>0.06</v>
      </c>
      <c r="AI49" s="269">
        <f t="shared" si="100"/>
        <v>0.06</v>
      </c>
      <c r="AJ49" s="269">
        <f t="shared" si="100"/>
        <v>0.06</v>
      </c>
      <c r="AK49" s="269">
        <f t="shared" si="100"/>
        <v>0.06</v>
      </c>
      <c r="AL49" s="269">
        <f t="shared" si="100"/>
        <v>0.06</v>
      </c>
      <c r="AM49" s="269">
        <f t="shared" si="100"/>
        <v>0.06</v>
      </c>
      <c r="AN49" s="269">
        <f t="shared" si="100"/>
        <v>0.06</v>
      </c>
      <c r="AO49" s="269">
        <f t="shared" si="100"/>
        <v>0.06</v>
      </c>
      <c r="AP49" s="269">
        <f t="shared" si="100"/>
        <v>0.06</v>
      </c>
      <c r="AQ49" s="269">
        <f t="shared" si="100"/>
        <v>0.06</v>
      </c>
      <c r="AR49" s="269">
        <f t="shared" si="100"/>
        <v>0.06</v>
      </c>
      <c r="AS49" s="269">
        <f t="shared" si="100"/>
        <v>0.06</v>
      </c>
      <c r="AT49" s="269">
        <f t="shared" si="100"/>
        <v>0.06</v>
      </c>
      <c r="AU49" s="269">
        <f t="shared" si="100"/>
        <v>0.06</v>
      </c>
      <c r="AV49" s="269">
        <f t="shared" si="100"/>
        <v>0.06</v>
      </c>
      <c r="AW49" s="269">
        <f t="shared" si="100"/>
        <v>0.06</v>
      </c>
      <c r="AX49" s="269">
        <f t="shared" si="100"/>
        <v>0.06</v>
      </c>
      <c r="AY49" s="269">
        <f t="shared" si="100"/>
        <v>0.06</v>
      </c>
      <c r="AZ49" s="269">
        <f t="shared" si="100"/>
        <v>0.06</v>
      </c>
      <c r="BA49" s="269">
        <f t="shared" si="100"/>
        <v>0.06</v>
      </c>
      <c r="BB49" s="269">
        <f t="shared" si="100"/>
        <v>0.06</v>
      </c>
    </row>
    <row r="50" spans="1:54" outlineLevel="1" x14ac:dyDescent="0.3">
      <c r="A50" s="10" t="str">
        <f ca="1">Language!A420</f>
        <v>Персонал</v>
      </c>
      <c r="C50" s="1" t="str">
        <f ca="1">Language!A480</f>
        <v>% в год</v>
      </c>
      <c r="F50" s="6" t="s">
        <v>2346</v>
      </c>
      <c r="G50" s="269">
        <f t="shared" si="100"/>
        <v>0.06</v>
      </c>
      <c r="H50" s="269">
        <f t="shared" si="100"/>
        <v>0.06</v>
      </c>
      <c r="I50" s="269">
        <f t="shared" si="100"/>
        <v>0.06</v>
      </c>
      <c r="J50" s="269">
        <f t="shared" si="100"/>
        <v>0.06</v>
      </c>
      <c r="K50" s="269">
        <f t="shared" si="100"/>
        <v>0.06</v>
      </c>
      <c r="L50" s="269">
        <f t="shared" si="100"/>
        <v>0.06</v>
      </c>
      <c r="M50" s="269">
        <f t="shared" si="100"/>
        <v>0.06</v>
      </c>
      <c r="N50" s="269">
        <f t="shared" si="100"/>
        <v>0.06</v>
      </c>
      <c r="O50" s="269">
        <f t="shared" si="100"/>
        <v>0.06</v>
      </c>
      <c r="P50" s="269">
        <f t="shared" si="100"/>
        <v>0.06</v>
      </c>
      <c r="Q50" s="269">
        <f t="shared" si="100"/>
        <v>0.06</v>
      </c>
      <c r="R50" s="269">
        <f t="shared" si="100"/>
        <v>0.06</v>
      </c>
      <c r="S50" s="269">
        <f t="shared" si="100"/>
        <v>0.06</v>
      </c>
      <c r="T50" s="269">
        <f t="shared" si="100"/>
        <v>0.06</v>
      </c>
      <c r="U50" s="269">
        <f t="shared" si="100"/>
        <v>0.06</v>
      </c>
      <c r="V50" s="269">
        <f t="shared" si="100"/>
        <v>0.06</v>
      </c>
      <c r="W50" s="269">
        <f t="shared" si="100"/>
        <v>0.06</v>
      </c>
      <c r="X50" s="269">
        <f t="shared" si="100"/>
        <v>0.06</v>
      </c>
      <c r="Y50" s="269">
        <f t="shared" si="100"/>
        <v>0.06</v>
      </c>
      <c r="Z50" s="269">
        <f t="shared" si="100"/>
        <v>0.06</v>
      </c>
      <c r="AA50" s="269">
        <f t="shared" si="100"/>
        <v>0.06</v>
      </c>
      <c r="AB50" s="269">
        <f t="shared" si="100"/>
        <v>0.06</v>
      </c>
      <c r="AC50" s="269">
        <f t="shared" si="100"/>
        <v>0.06</v>
      </c>
      <c r="AD50" s="269">
        <f t="shared" si="100"/>
        <v>0.06</v>
      </c>
      <c r="AE50" s="269">
        <f t="shared" si="100"/>
        <v>0.06</v>
      </c>
      <c r="AF50" s="269">
        <f t="shared" si="100"/>
        <v>0.06</v>
      </c>
      <c r="AG50" s="269">
        <f t="shared" si="100"/>
        <v>0.06</v>
      </c>
      <c r="AH50" s="269">
        <f t="shared" si="100"/>
        <v>0.06</v>
      </c>
      <c r="AI50" s="269">
        <f t="shared" si="100"/>
        <v>0.06</v>
      </c>
      <c r="AJ50" s="269">
        <f t="shared" si="100"/>
        <v>0.06</v>
      </c>
      <c r="AK50" s="269">
        <f t="shared" si="100"/>
        <v>0.06</v>
      </c>
      <c r="AL50" s="269">
        <f t="shared" si="100"/>
        <v>0.06</v>
      </c>
      <c r="AM50" s="269">
        <f t="shared" si="100"/>
        <v>0.06</v>
      </c>
      <c r="AN50" s="269">
        <f t="shared" si="100"/>
        <v>0.06</v>
      </c>
      <c r="AO50" s="269">
        <f t="shared" si="100"/>
        <v>0.06</v>
      </c>
      <c r="AP50" s="269">
        <f t="shared" si="100"/>
        <v>0.06</v>
      </c>
      <c r="AQ50" s="269">
        <f t="shared" si="100"/>
        <v>0.06</v>
      </c>
      <c r="AR50" s="269">
        <f t="shared" si="100"/>
        <v>0.06</v>
      </c>
      <c r="AS50" s="269">
        <f t="shared" si="100"/>
        <v>0.06</v>
      </c>
      <c r="AT50" s="269">
        <f t="shared" si="100"/>
        <v>0.06</v>
      </c>
      <c r="AU50" s="269">
        <f t="shared" si="100"/>
        <v>0.06</v>
      </c>
      <c r="AV50" s="269">
        <f t="shared" si="100"/>
        <v>0.06</v>
      </c>
      <c r="AW50" s="269">
        <f t="shared" si="100"/>
        <v>0.06</v>
      </c>
      <c r="AX50" s="269">
        <f t="shared" si="100"/>
        <v>0.06</v>
      </c>
      <c r="AY50" s="269">
        <f t="shared" si="100"/>
        <v>0.06</v>
      </c>
      <c r="AZ50" s="269">
        <f t="shared" si="100"/>
        <v>0.06</v>
      </c>
      <c r="BA50" s="269">
        <f t="shared" si="100"/>
        <v>0.06</v>
      </c>
      <c r="BB50" s="269">
        <f t="shared" si="100"/>
        <v>0.06</v>
      </c>
    </row>
    <row r="51" spans="1:54" x14ac:dyDescent="0.3">
      <c r="A51" s="10"/>
      <c r="C51" s="1"/>
      <c r="E51" s="6" t="s">
        <v>628</v>
      </c>
      <c r="F51" s="6" t="s">
        <v>627</v>
      </c>
    </row>
    <row r="52" spans="1:54" x14ac:dyDescent="0.3">
      <c r="A52" s="22" t="str">
        <f ca="1">Language!A422</f>
        <v>Вторая валюта</v>
      </c>
      <c r="B52" s="23" t="str">
        <f ca="1">IF(D52&lt;100, OFFSET(Language!A$94,D52,0), SUBSTITUTE(OFFSET(Language!A$114,INT(D52/100),0),"***",OFFSET(Language!A$94,D52-100*INT(D52/100),0)) )</f>
        <v>$</v>
      </c>
      <c r="C52" s="1"/>
      <c r="D52" s="11">
        <v>4</v>
      </c>
    </row>
    <row r="53" spans="1:54" x14ac:dyDescent="0.3">
      <c r="A53" s="10" t="str">
        <f ca="1">Language!A423 &amp; ", " &amp; CurName1 &amp; " / " &amp; CurName2</f>
        <v>Курс к основной валюте, руб. / $</v>
      </c>
      <c r="B53" s="270">
        <v>0.06</v>
      </c>
      <c r="C53" s="1" t="str">
        <f ca="1">CurName1</f>
        <v>руб.</v>
      </c>
      <c r="F53" s="6" t="s">
        <v>2337</v>
      </c>
      <c r="G53" s="271">
        <f>IF(G$2=1,$B53,F53*(IF($B$40=1,1+G55,1)))</f>
        <v>0.06</v>
      </c>
      <c r="H53" s="271">
        <f t="shared" ref="H53" si="101">IF(H$2=1,$B53,G53*(IF($B$40=1,1+H55,1)))</f>
        <v>6.0196424386931929E-2</v>
      </c>
      <c r="I53" s="271">
        <f t="shared" ref="I53" si="102">IF(I$2=1,$B53,H53*(IF($B$40=1,1+I55,1)))</f>
        <v>6.0393491816193558E-2</v>
      </c>
      <c r="J53" s="271">
        <f t="shared" ref="J53" si="103">IF(J$2=1,$B53,I53*(IF($B$40=1,1+J55,1)))</f>
        <v>6.0591204392938136E-2</v>
      </c>
      <c r="K53" s="271">
        <f t="shared" ref="K53:BB53" si="104">IF(K$2=1,$B53,J53*(IF($B$40=1,1+K55,1)))</f>
        <v>6.0789564229210641E-2</v>
      </c>
      <c r="L53" s="271">
        <f t="shared" si="104"/>
        <v>6.0988573443970344E-2</v>
      </c>
      <c r="M53" s="271">
        <f t="shared" si="104"/>
        <v>6.1188234163113427E-2</v>
      </c>
      <c r="N53" s="271">
        <f t="shared" si="104"/>
        <v>6.1388548519495711E-2</v>
      </c>
      <c r="O53" s="271">
        <f t="shared" si="104"/>
        <v>6.1589518652955436E-2</v>
      </c>
      <c r="P53" s="271">
        <f t="shared" si="104"/>
        <v>6.1791146710336101E-2</v>
      </c>
      <c r="Q53" s="271">
        <f t="shared" si="104"/>
        <v>6.1993434845509419E-2</v>
      </c>
      <c r="R53" s="271">
        <f t="shared" si="104"/>
        <v>6.2196385219398319E-2</v>
      </c>
      <c r="S53" s="271">
        <f t="shared" si="104"/>
        <v>6.2400000000000032E-2</v>
      </c>
      <c r="T53" s="271">
        <f t="shared" si="104"/>
        <v>6.2604281362409239E-2</v>
      </c>
      <c r="U53" s="271">
        <f t="shared" si="104"/>
        <v>6.2809231488841336E-2</v>
      </c>
      <c r="V53" s="271">
        <f t="shared" si="104"/>
        <v>6.3014852568655702E-2</v>
      </c>
      <c r="W53" s="271">
        <f t="shared" si="104"/>
        <v>6.3221146798379105E-2</v>
      </c>
      <c r="X53" s="271">
        <f t="shared" si="104"/>
        <v>6.3428116381729197E-2</v>
      </c>
      <c r="Y53" s="271">
        <f t="shared" si="104"/>
        <v>6.3635763529638012E-2</v>
      </c>
      <c r="Z53" s="271">
        <f t="shared" si="104"/>
        <v>6.3844090460275588E-2</v>
      </c>
      <c r="AA53" s="271">
        <f t="shared" si="104"/>
        <v>6.4053099399073693E-2</v>
      </c>
      <c r="AB53" s="271">
        <f t="shared" si="104"/>
        <v>6.4262792578749575E-2</v>
      </c>
      <c r="AC53" s="271">
        <f t="shared" si="104"/>
        <v>6.4473172239329829E-2</v>
      </c>
      <c r="AD53" s="271">
        <f t="shared" si="104"/>
        <v>6.468424062817428E-2</v>
      </c>
      <c r="AE53" s="271">
        <f t="shared" si="104"/>
        <v>6.4896000000000065E-2</v>
      </c>
      <c r="AF53" s="271">
        <f t="shared" si="104"/>
        <v>6.5108452616905649E-2</v>
      </c>
      <c r="AG53" s="271">
        <f t="shared" si="104"/>
        <v>6.532160074839502E-2</v>
      </c>
      <c r="AH53" s="271">
        <f t="shared" si="104"/>
        <v>6.5535446671401959E-2</v>
      </c>
      <c r="AI53" s="271">
        <f t="shared" si="104"/>
        <v>6.5749992670314297E-2</v>
      </c>
      <c r="AJ53" s="271">
        <f t="shared" si="104"/>
        <v>6.5965241036998398E-2</v>
      </c>
      <c r="AK53" s="271">
        <f t="shared" si="104"/>
        <v>6.6181194070823554E-2</v>
      </c>
      <c r="AL53" s="271">
        <f t="shared" si="104"/>
        <v>6.6397854078686633E-2</v>
      </c>
      <c r="AM53" s="271">
        <f t="shared" si="104"/>
        <v>6.661522337503667E-2</v>
      </c>
      <c r="AN53" s="271">
        <f t="shared" si="104"/>
        <v>6.6833304281899597E-2</v>
      </c>
      <c r="AO53" s="271">
        <f t="shared" si="104"/>
        <v>6.7052099128903059E-2</v>
      </c>
      <c r="AP53" s="271">
        <f t="shared" si="104"/>
        <v>6.7271610253301292E-2</v>
      </c>
      <c r="AQ53" s="271">
        <f t="shared" si="104"/>
        <v>6.7491840000000108E-2</v>
      </c>
      <c r="AR53" s="271">
        <f t="shared" si="104"/>
        <v>6.7712790721581914E-2</v>
      </c>
      <c r="AS53" s="271">
        <f t="shared" si="104"/>
        <v>6.7934464778330872E-2</v>
      </c>
      <c r="AT53" s="271">
        <f t="shared" si="104"/>
        <v>6.8156864538258088E-2</v>
      </c>
      <c r="AU53" s="271">
        <f t="shared" si="104"/>
        <v>6.8379992377126927E-2</v>
      </c>
      <c r="AV53" s="271">
        <f t="shared" si="104"/>
        <v>6.8603850678478392E-2</v>
      </c>
      <c r="AW53" s="271">
        <f t="shared" si="104"/>
        <v>6.8828441833656565E-2</v>
      </c>
      <c r="AX53" s="271">
        <f t="shared" si="104"/>
        <v>6.9053768241834165E-2</v>
      </c>
      <c r="AY53" s="271">
        <f t="shared" si="104"/>
        <v>6.9279832310038203E-2</v>
      </c>
      <c r="AZ53" s="271">
        <f t="shared" si="104"/>
        <v>6.9506636453175646E-2</v>
      </c>
      <c r="BA53" s="271">
        <f t="shared" si="104"/>
        <v>6.9734183094059252E-2</v>
      </c>
      <c r="BB53" s="271">
        <f t="shared" si="104"/>
        <v>6.9962474663433416E-2</v>
      </c>
    </row>
    <row r="54" spans="1:54" x14ac:dyDescent="0.3">
      <c r="A54" s="10" t="str">
        <f ca="1">Language!A424</f>
        <v>Темпы роста курса к основной валюте</v>
      </c>
      <c r="C54" s="1" t="str">
        <f ca="1">Language!A480</f>
        <v>% в год</v>
      </c>
      <c r="F54" s="6" t="s">
        <v>745</v>
      </c>
      <c r="G54" s="268">
        <v>0.04</v>
      </c>
      <c r="H54" s="268">
        <f t="shared" ref="H54:BB54" si="105">G54</f>
        <v>0.04</v>
      </c>
      <c r="I54" s="268">
        <f t="shared" si="105"/>
        <v>0.04</v>
      </c>
      <c r="J54" s="268">
        <f t="shared" si="105"/>
        <v>0.04</v>
      </c>
      <c r="K54" s="268">
        <f t="shared" si="105"/>
        <v>0.04</v>
      </c>
      <c r="L54" s="268">
        <f t="shared" si="105"/>
        <v>0.04</v>
      </c>
      <c r="M54" s="268">
        <f t="shared" si="105"/>
        <v>0.04</v>
      </c>
      <c r="N54" s="268">
        <f t="shared" si="105"/>
        <v>0.04</v>
      </c>
      <c r="O54" s="268">
        <f t="shared" si="105"/>
        <v>0.04</v>
      </c>
      <c r="P54" s="268">
        <f t="shared" si="105"/>
        <v>0.04</v>
      </c>
      <c r="Q54" s="268">
        <f t="shared" si="105"/>
        <v>0.04</v>
      </c>
      <c r="R54" s="268">
        <f t="shared" si="105"/>
        <v>0.04</v>
      </c>
      <c r="S54" s="268">
        <f t="shared" si="105"/>
        <v>0.04</v>
      </c>
      <c r="T54" s="268">
        <f t="shared" si="105"/>
        <v>0.04</v>
      </c>
      <c r="U54" s="268">
        <f t="shared" si="105"/>
        <v>0.04</v>
      </c>
      <c r="V54" s="268">
        <f t="shared" si="105"/>
        <v>0.04</v>
      </c>
      <c r="W54" s="268">
        <f t="shared" si="105"/>
        <v>0.04</v>
      </c>
      <c r="X54" s="268">
        <f t="shared" si="105"/>
        <v>0.04</v>
      </c>
      <c r="Y54" s="268">
        <f t="shared" si="105"/>
        <v>0.04</v>
      </c>
      <c r="Z54" s="268">
        <f t="shared" si="105"/>
        <v>0.04</v>
      </c>
      <c r="AA54" s="268">
        <f t="shared" si="105"/>
        <v>0.04</v>
      </c>
      <c r="AB54" s="268">
        <f t="shared" si="105"/>
        <v>0.04</v>
      </c>
      <c r="AC54" s="268">
        <f t="shared" si="105"/>
        <v>0.04</v>
      </c>
      <c r="AD54" s="268">
        <f t="shared" si="105"/>
        <v>0.04</v>
      </c>
      <c r="AE54" s="268">
        <f t="shared" si="105"/>
        <v>0.04</v>
      </c>
      <c r="AF54" s="268">
        <f t="shared" si="105"/>
        <v>0.04</v>
      </c>
      <c r="AG54" s="268">
        <f t="shared" si="105"/>
        <v>0.04</v>
      </c>
      <c r="AH54" s="268">
        <f t="shared" si="105"/>
        <v>0.04</v>
      </c>
      <c r="AI54" s="268">
        <f t="shared" si="105"/>
        <v>0.04</v>
      </c>
      <c r="AJ54" s="268">
        <f t="shared" si="105"/>
        <v>0.04</v>
      </c>
      <c r="AK54" s="268">
        <f t="shared" si="105"/>
        <v>0.04</v>
      </c>
      <c r="AL54" s="268">
        <f t="shared" si="105"/>
        <v>0.04</v>
      </c>
      <c r="AM54" s="268">
        <f t="shared" si="105"/>
        <v>0.04</v>
      </c>
      <c r="AN54" s="268">
        <f t="shared" si="105"/>
        <v>0.04</v>
      </c>
      <c r="AO54" s="268">
        <f t="shared" si="105"/>
        <v>0.04</v>
      </c>
      <c r="AP54" s="268">
        <f t="shared" si="105"/>
        <v>0.04</v>
      </c>
      <c r="AQ54" s="268">
        <f t="shared" si="105"/>
        <v>0.04</v>
      </c>
      <c r="AR54" s="268">
        <f t="shared" si="105"/>
        <v>0.04</v>
      </c>
      <c r="AS54" s="268">
        <f t="shared" si="105"/>
        <v>0.04</v>
      </c>
      <c r="AT54" s="268">
        <f t="shared" si="105"/>
        <v>0.04</v>
      </c>
      <c r="AU54" s="268">
        <f t="shared" si="105"/>
        <v>0.04</v>
      </c>
      <c r="AV54" s="268">
        <f t="shared" si="105"/>
        <v>0.04</v>
      </c>
      <c r="AW54" s="268">
        <f t="shared" si="105"/>
        <v>0.04</v>
      </c>
      <c r="AX54" s="268">
        <f t="shared" si="105"/>
        <v>0.04</v>
      </c>
      <c r="AY54" s="268">
        <f t="shared" si="105"/>
        <v>0.04</v>
      </c>
      <c r="AZ54" s="268">
        <f t="shared" si="105"/>
        <v>0.04</v>
      </c>
      <c r="BA54" s="268">
        <f t="shared" si="105"/>
        <v>0.04</v>
      </c>
      <c r="BB54" s="268">
        <f t="shared" si="105"/>
        <v>0.04</v>
      </c>
    </row>
    <row r="55" spans="1:54" outlineLevel="1" x14ac:dyDescent="0.3">
      <c r="A55" s="10" t="str">
        <f ca="1">Language!A425</f>
        <v>То же, в пересчете на период, равный шагу проекта</v>
      </c>
      <c r="C55" s="1" t="s">
        <v>1</v>
      </c>
      <c r="F55" s="6" t="s">
        <v>745</v>
      </c>
      <c r="G55" s="29">
        <f t="shared" ref="G55:M55" si="106">POWER(1+G54,G$30/360)-1</f>
        <v>3.2737397821989145E-3</v>
      </c>
      <c r="H55" s="29">
        <f t="shared" si="106"/>
        <v>3.2737397821989145E-3</v>
      </c>
      <c r="I55" s="29">
        <f t="shared" si="106"/>
        <v>3.2737397821989145E-3</v>
      </c>
      <c r="J55" s="29">
        <f t="shared" si="106"/>
        <v>3.2737397821989145E-3</v>
      </c>
      <c r="K55" s="29">
        <f t="shared" si="106"/>
        <v>3.2737397821989145E-3</v>
      </c>
      <c r="L55" s="29">
        <f t="shared" si="106"/>
        <v>3.2737397821989145E-3</v>
      </c>
      <c r="M55" s="29">
        <f t="shared" si="106"/>
        <v>3.2737397821989145E-3</v>
      </c>
      <c r="N55" s="29">
        <f t="shared" ref="N55:O55" si="107">POWER(1+N54,N$30/360)-1</f>
        <v>3.2737397821989145E-3</v>
      </c>
      <c r="O55" s="29">
        <f t="shared" si="107"/>
        <v>3.2737397821989145E-3</v>
      </c>
      <c r="P55" s="29">
        <f t="shared" ref="P55:Q55" si="108">POWER(1+P54,P$30/360)-1</f>
        <v>3.2737397821989145E-3</v>
      </c>
      <c r="Q55" s="29">
        <f t="shared" si="108"/>
        <v>3.2737397821989145E-3</v>
      </c>
      <c r="R55" s="29">
        <f t="shared" ref="R55:S55" si="109">POWER(1+R54,R$30/360)-1</f>
        <v>3.2737397821989145E-3</v>
      </c>
      <c r="S55" s="29">
        <f t="shared" si="109"/>
        <v>3.2737397821989145E-3</v>
      </c>
      <c r="T55" s="29">
        <f t="shared" ref="T55:U55" si="110">POWER(1+T54,T$30/360)-1</f>
        <v>3.2737397821989145E-3</v>
      </c>
      <c r="U55" s="29">
        <f t="shared" si="110"/>
        <v>3.2737397821989145E-3</v>
      </c>
      <c r="V55" s="29">
        <f t="shared" ref="V55:W55" si="111">POWER(1+V54,V$30/360)-1</f>
        <v>3.2737397821989145E-3</v>
      </c>
      <c r="W55" s="29">
        <f t="shared" si="111"/>
        <v>3.2737397821989145E-3</v>
      </c>
      <c r="X55" s="29">
        <f t="shared" ref="X55:Y55" si="112">POWER(1+X54,X$30/360)-1</f>
        <v>3.2737397821989145E-3</v>
      </c>
      <c r="Y55" s="29">
        <f t="shared" si="112"/>
        <v>3.2737397821989145E-3</v>
      </c>
      <c r="Z55" s="29">
        <f t="shared" ref="Z55:AA55" si="113">POWER(1+Z54,Z$30/360)-1</f>
        <v>3.2737397821989145E-3</v>
      </c>
      <c r="AA55" s="29">
        <f t="shared" si="113"/>
        <v>3.2737397821989145E-3</v>
      </c>
      <c r="AB55" s="29">
        <f t="shared" ref="AB55:AC55" si="114">POWER(1+AB54,AB$30/360)-1</f>
        <v>3.2737397821989145E-3</v>
      </c>
      <c r="AC55" s="29">
        <f t="shared" si="114"/>
        <v>3.2737397821989145E-3</v>
      </c>
      <c r="AD55" s="29">
        <f t="shared" ref="AD55:AE55" si="115">POWER(1+AD54,AD$30/360)-1</f>
        <v>3.2737397821989145E-3</v>
      </c>
      <c r="AE55" s="29">
        <f t="shared" si="115"/>
        <v>3.2737397821989145E-3</v>
      </c>
      <c r="AF55" s="29">
        <f t="shared" ref="AF55:AG55" si="116">POWER(1+AF54,AF$30/360)-1</f>
        <v>3.2737397821989145E-3</v>
      </c>
      <c r="AG55" s="29">
        <f t="shared" si="116"/>
        <v>3.2737397821989145E-3</v>
      </c>
      <c r="AH55" s="29">
        <f t="shared" ref="AH55:AI55" si="117">POWER(1+AH54,AH$30/360)-1</f>
        <v>3.2737397821989145E-3</v>
      </c>
      <c r="AI55" s="29">
        <f t="shared" si="117"/>
        <v>3.2737397821989145E-3</v>
      </c>
      <c r="AJ55" s="29">
        <f t="shared" ref="AJ55:AK55" si="118">POWER(1+AJ54,AJ$30/360)-1</f>
        <v>3.2737397821989145E-3</v>
      </c>
      <c r="AK55" s="29">
        <f t="shared" si="118"/>
        <v>3.2737397821989145E-3</v>
      </c>
      <c r="AL55" s="29">
        <f t="shared" ref="AL55:AM55" si="119">POWER(1+AL54,AL$30/360)-1</f>
        <v>3.2737397821989145E-3</v>
      </c>
      <c r="AM55" s="29">
        <f t="shared" si="119"/>
        <v>3.2737397821989145E-3</v>
      </c>
      <c r="AN55" s="29">
        <f t="shared" ref="AN55:AO55" si="120">POWER(1+AN54,AN$30/360)-1</f>
        <v>3.2737397821989145E-3</v>
      </c>
      <c r="AO55" s="29">
        <f t="shared" si="120"/>
        <v>3.2737397821989145E-3</v>
      </c>
      <c r="AP55" s="29">
        <f t="shared" ref="AP55:AQ55" si="121">POWER(1+AP54,AP$30/360)-1</f>
        <v>3.2737397821989145E-3</v>
      </c>
      <c r="AQ55" s="29">
        <f t="shared" si="121"/>
        <v>3.2737397821989145E-3</v>
      </c>
      <c r="AR55" s="29">
        <f t="shared" ref="AR55:AS55" si="122">POWER(1+AR54,AR$30/360)-1</f>
        <v>3.2737397821989145E-3</v>
      </c>
      <c r="AS55" s="29">
        <f t="shared" si="122"/>
        <v>3.2737397821989145E-3</v>
      </c>
      <c r="AT55" s="29">
        <f t="shared" ref="AT55:AU55" si="123">POWER(1+AT54,AT$30/360)-1</f>
        <v>3.2737397821989145E-3</v>
      </c>
      <c r="AU55" s="29">
        <f t="shared" si="123"/>
        <v>3.2737397821989145E-3</v>
      </c>
      <c r="AV55" s="29">
        <f t="shared" ref="AV55:AW55" si="124">POWER(1+AV54,AV$30/360)-1</f>
        <v>3.2737397821989145E-3</v>
      </c>
      <c r="AW55" s="29">
        <f t="shared" si="124"/>
        <v>3.2737397821989145E-3</v>
      </c>
      <c r="AX55" s="29">
        <f t="shared" ref="AX55:AY55" si="125">POWER(1+AX54,AX$30/360)-1</f>
        <v>3.2737397821989145E-3</v>
      </c>
      <c r="AY55" s="29">
        <f t="shared" si="125"/>
        <v>3.2737397821989145E-3</v>
      </c>
      <c r="AZ55" s="29">
        <f t="shared" ref="AZ55:BA55" si="126">POWER(1+AZ54,AZ$30/360)-1</f>
        <v>3.2737397821989145E-3</v>
      </c>
      <c r="BA55" s="29">
        <f t="shared" si="126"/>
        <v>3.2737397821989145E-3</v>
      </c>
      <c r="BB55" s="29">
        <f t="shared" ref="BB55" si="127">POWER(1+BB54,BB$30/360)-1</f>
        <v>3.2737397821989145E-3</v>
      </c>
    </row>
    <row r="56" spans="1:54" x14ac:dyDescent="0.3">
      <c r="A56" s="10" t="str">
        <f ca="1">Language!A$426</f>
        <v>Предполагаемый темп годового роста цен</v>
      </c>
      <c r="C56" s="1" t="str">
        <f ca="1">Language!A480</f>
        <v>% в год</v>
      </c>
      <c r="F56" s="6" t="s">
        <v>745</v>
      </c>
      <c r="G56" s="268">
        <v>0.02</v>
      </c>
      <c r="H56" s="268">
        <f t="shared" ref="H56:BB56" si="128">G56</f>
        <v>0.02</v>
      </c>
      <c r="I56" s="268">
        <f t="shared" si="128"/>
        <v>0.02</v>
      </c>
      <c r="J56" s="268">
        <f t="shared" si="128"/>
        <v>0.02</v>
      </c>
      <c r="K56" s="268">
        <f t="shared" si="128"/>
        <v>0.02</v>
      </c>
      <c r="L56" s="268">
        <f t="shared" si="128"/>
        <v>0.02</v>
      </c>
      <c r="M56" s="268">
        <f t="shared" si="128"/>
        <v>0.02</v>
      </c>
      <c r="N56" s="268">
        <f t="shared" si="128"/>
        <v>0.02</v>
      </c>
      <c r="O56" s="268">
        <f t="shared" si="128"/>
        <v>0.02</v>
      </c>
      <c r="P56" s="268">
        <f t="shared" si="128"/>
        <v>0.02</v>
      </c>
      <c r="Q56" s="268">
        <f t="shared" si="128"/>
        <v>0.02</v>
      </c>
      <c r="R56" s="268">
        <f t="shared" si="128"/>
        <v>0.02</v>
      </c>
      <c r="S56" s="268">
        <f t="shared" si="128"/>
        <v>0.02</v>
      </c>
      <c r="T56" s="268">
        <f t="shared" si="128"/>
        <v>0.02</v>
      </c>
      <c r="U56" s="268">
        <f t="shared" si="128"/>
        <v>0.02</v>
      </c>
      <c r="V56" s="268">
        <f t="shared" si="128"/>
        <v>0.02</v>
      </c>
      <c r="W56" s="268">
        <f t="shared" si="128"/>
        <v>0.02</v>
      </c>
      <c r="X56" s="268">
        <f t="shared" si="128"/>
        <v>0.02</v>
      </c>
      <c r="Y56" s="268">
        <f t="shared" si="128"/>
        <v>0.02</v>
      </c>
      <c r="Z56" s="268">
        <f t="shared" si="128"/>
        <v>0.02</v>
      </c>
      <c r="AA56" s="268">
        <f t="shared" si="128"/>
        <v>0.02</v>
      </c>
      <c r="AB56" s="268">
        <f t="shared" si="128"/>
        <v>0.02</v>
      </c>
      <c r="AC56" s="268">
        <f t="shared" si="128"/>
        <v>0.02</v>
      </c>
      <c r="AD56" s="268">
        <f t="shared" si="128"/>
        <v>0.02</v>
      </c>
      <c r="AE56" s="268">
        <f t="shared" si="128"/>
        <v>0.02</v>
      </c>
      <c r="AF56" s="268">
        <f t="shared" si="128"/>
        <v>0.02</v>
      </c>
      <c r="AG56" s="268">
        <f t="shared" si="128"/>
        <v>0.02</v>
      </c>
      <c r="AH56" s="268">
        <f t="shared" si="128"/>
        <v>0.02</v>
      </c>
      <c r="AI56" s="268">
        <f t="shared" si="128"/>
        <v>0.02</v>
      </c>
      <c r="AJ56" s="268">
        <f t="shared" si="128"/>
        <v>0.02</v>
      </c>
      <c r="AK56" s="268">
        <f t="shared" si="128"/>
        <v>0.02</v>
      </c>
      <c r="AL56" s="268">
        <f t="shared" si="128"/>
        <v>0.02</v>
      </c>
      <c r="AM56" s="268">
        <f t="shared" si="128"/>
        <v>0.02</v>
      </c>
      <c r="AN56" s="268">
        <f t="shared" si="128"/>
        <v>0.02</v>
      </c>
      <c r="AO56" s="268">
        <f t="shared" si="128"/>
        <v>0.02</v>
      </c>
      <c r="AP56" s="268">
        <f t="shared" si="128"/>
        <v>0.02</v>
      </c>
      <c r="AQ56" s="268">
        <f t="shared" si="128"/>
        <v>0.02</v>
      </c>
      <c r="AR56" s="268">
        <f t="shared" si="128"/>
        <v>0.02</v>
      </c>
      <c r="AS56" s="268">
        <f t="shared" si="128"/>
        <v>0.02</v>
      </c>
      <c r="AT56" s="268">
        <f t="shared" si="128"/>
        <v>0.02</v>
      </c>
      <c r="AU56" s="268">
        <f t="shared" si="128"/>
        <v>0.02</v>
      </c>
      <c r="AV56" s="268">
        <f t="shared" si="128"/>
        <v>0.02</v>
      </c>
      <c r="AW56" s="268">
        <f t="shared" si="128"/>
        <v>0.02</v>
      </c>
      <c r="AX56" s="268">
        <f t="shared" si="128"/>
        <v>0.02</v>
      </c>
      <c r="AY56" s="268">
        <f t="shared" si="128"/>
        <v>0.02</v>
      </c>
      <c r="AZ56" s="268">
        <f t="shared" si="128"/>
        <v>0.02</v>
      </c>
      <c r="BA56" s="268">
        <f t="shared" si="128"/>
        <v>0.02</v>
      </c>
      <c r="BB56" s="268">
        <f t="shared" si="128"/>
        <v>0.02</v>
      </c>
    </row>
    <row r="57" spans="1:54" x14ac:dyDescent="0.3">
      <c r="A57" s="10"/>
      <c r="E57" s="6" t="s">
        <v>629</v>
      </c>
      <c r="F57" s="6" t="s">
        <v>627</v>
      </c>
    </row>
    <row r="58" spans="1:54" x14ac:dyDescent="0.3">
      <c r="A58" s="22" t="str">
        <f ca="1">Language!A427</f>
        <v>Третья валюта</v>
      </c>
      <c r="B58" s="23" t="str">
        <f ca="1">IF(D58=0, "", IF(D58&lt;100, OFFSET(Language!A$94,D58,0), SUBSTITUTE(OFFSET(Language!A$114,INT(D58/100),0),"***",OFFSET(Language!A$94,D58-100*INT(D58/100),0)) ))</f>
        <v>EUR</v>
      </c>
      <c r="C58" s="1"/>
      <c r="D58" s="11">
        <v>5</v>
      </c>
    </row>
    <row r="59" spans="1:54" x14ac:dyDescent="0.3">
      <c r="A59" s="10" t="str">
        <f ca="1">Language!A423 &amp; ", " &amp; CurName1 &amp; " / " &amp; CurName3</f>
        <v>Курс к основной валюте, руб. / EUR</v>
      </c>
      <c r="B59" s="270">
        <v>7.0000000000000007E-2</v>
      </c>
      <c r="C59" s="1" t="str">
        <f ca="1">CurName1</f>
        <v>руб.</v>
      </c>
      <c r="F59" s="6" t="s">
        <v>2337</v>
      </c>
      <c r="G59" s="271">
        <f>IF(G$2=1,$B59,F59*(IF($B$40=1,1+G61,1)))</f>
        <v>7.0000000000000007E-2</v>
      </c>
      <c r="H59" s="271">
        <f t="shared" ref="H59:BB59" si="129">IF(H$2=1,$B59,G59*(IF($B$40=1,1+H61,1)))</f>
        <v>7.0229161784753927E-2</v>
      </c>
      <c r="I59" s="271">
        <f t="shared" si="129"/>
        <v>7.0459073785559156E-2</v>
      </c>
      <c r="J59" s="271">
        <f t="shared" si="129"/>
        <v>7.0689738458427825E-2</v>
      </c>
      <c r="K59" s="271">
        <f t="shared" si="129"/>
        <v>7.0921158267412424E-2</v>
      </c>
      <c r="L59" s="271">
        <f t="shared" si="129"/>
        <v>7.1153335684632071E-2</v>
      </c>
      <c r="M59" s="271">
        <f t="shared" si="129"/>
        <v>7.1386273190298999E-2</v>
      </c>
      <c r="N59" s="271">
        <f t="shared" si="129"/>
        <v>7.1619973272744997E-2</v>
      </c>
      <c r="O59" s="271">
        <f t="shared" si="129"/>
        <v>7.1854438428448006E-2</v>
      </c>
      <c r="P59" s="271">
        <f t="shared" si="129"/>
        <v>7.2089671162058777E-2</v>
      </c>
      <c r="Q59" s="271">
        <f t="shared" si="129"/>
        <v>7.2325673986427641E-2</v>
      </c>
      <c r="R59" s="271">
        <f t="shared" si="129"/>
        <v>7.2562449422631362E-2</v>
      </c>
      <c r="S59" s="271">
        <f t="shared" si="129"/>
        <v>7.2800000000000031E-2</v>
      </c>
      <c r="T59" s="271">
        <f t="shared" si="129"/>
        <v>7.3038328256144106E-2</v>
      </c>
      <c r="U59" s="271">
        <f t="shared" si="129"/>
        <v>7.3277436736981547E-2</v>
      </c>
      <c r="V59" s="271">
        <f t="shared" si="129"/>
        <v>7.351732799676497E-2</v>
      </c>
      <c r="W59" s="271">
        <f t="shared" si="129"/>
        <v>7.3758004598108939E-2</v>
      </c>
      <c r="X59" s="271">
        <f t="shared" si="129"/>
        <v>7.399946911201738E-2</v>
      </c>
      <c r="Y59" s="271">
        <f t="shared" si="129"/>
        <v>7.4241724117910995E-2</v>
      </c>
      <c r="Z59" s="271">
        <f t="shared" si="129"/>
        <v>7.4484772203654834E-2</v>
      </c>
      <c r="AA59" s="271">
        <f t="shared" si="129"/>
        <v>7.4728615965585957E-2</v>
      </c>
      <c r="AB59" s="271">
        <f t="shared" si="129"/>
        <v>7.4973258008541155E-2</v>
      </c>
      <c r="AC59" s="271">
        <f t="shared" si="129"/>
        <v>7.5218700945884773E-2</v>
      </c>
      <c r="AD59" s="271">
        <f t="shared" si="129"/>
        <v>7.5464947399536644E-2</v>
      </c>
      <c r="AE59" s="271">
        <f t="shared" si="129"/>
        <v>7.5712000000000057E-2</v>
      </c>
      <c r="AF59" s="271">
        <f t="shared" si="129"/>
        <v>7.5959861386389896E-2</v>
      </c>
      <c r="AG59" s="271">
        <f t="shared" si="129"/>
        <v>7.6208534206460829E-2</v>
      </c>
      <c r="AH59" s="271">
        <f t="shared" si="129"/>
        <v>7.6458021116635591E-2</v>
      </c>
      <c r="AI59" s="271">
        <f t="shared" si="129"/>
        <v>7.6708324782033321E-2</v>
      </c>
      <c r="AJ59" s="271">
        <f t="shared" si="129"/>
        <v>7.6959447876498097E-2</v>
      </c>
      <c r="AK59" s="271">
        <f t="shared" si="129"/>
        <v>7.721139308262745E-2</v>
      </c>
      <c r="AL59" s="271">
        <f t="shared" si="129"/>
        <v>7.7464163091801042E-2</v>
      </c>
      <c r="AM59" s="271">
        <f t="shared" si="129"/>
        <v>7.7717760604209415E-2</v>
      </c>
      <c r="AN59" s="271">
        <f t="shared" si="129"/>
        <v>7.7972188328882822E-2</v>
      </c>
      <c r="AO59" s="271">
        <f t="shared" si="129"/>
        <v>7.8227448983720194E-2</v>
      </c>
      <c r="AP59" s="271">
        <f t="shared" si="129"/>
        <v>7.848354529551814E-2</v>
      </c>
      <c r="AQ59" s="271">
        <f t="shared" si="129"/>
        <v>7.8740480000000085E-2</v>
      </c>
      <c r="AR59" s="271">
        <f t="shared" si="129"/>
        <v>7.8998255841845527E-2</v>
      </c>
      <c r="AS59" s="271">
        <f t="shared" si="129"/>
        <v>7.9256875574719304E-2</v>
      </c>
      <c r="AT59" s="271">
        <f t="shared" si="129"/>
        <v>7.9516341961301057E-2</v>
      </c>
      <c r="AU59" s="271">
        <f t="shared" si="129"/>
        <v>7.9776657773314705E-2</v>
      </c>
      <c r="AV59" s="271">
        <f t="shared" si="129"/>
        <v>8.0037825791558076E-2</v>
      </c>
      <c r="AW59" s="271">
        <f t="shared" si="129"/>
        <v>8.0299848805932605E-2</v>
      </c>
      <c r="AX59" s="271">
        <f t="shared" si="129"/>
        <v>8.0562729615473144E-2</v>
      </c>
      <c r="AY59" s="271">
        <f t="shared" si="129"/>
        <v>8.0826471028377853E-2</v>
      </c>
      <c r="AZ59" s="271">
        <f t="shared" si="129"/>
        <v>8.1091075862038203E-2</v>
      </c>
      <c r="BA59" s="271">
        <f t="shared" si="129"/>
        <v>8.1356546943069069E-2</v>
      </c>
      <c r="BB59" s="271">
        <f t="shared" si="129"/>
        <v>8.1622887107338934E-2</v>
      </c>
    </row>
    <row r="60" spans="1:54" x14ac:dyDescent="0.3">
      <c r="A60" s="10" t="str">
        <f ca="1">Language!A424</f>
        <v>Темпы роста курса к основной валюте</v>
      </c>
      <c r="C60" s="1" t="str">
        <f ca="1">Language!A480</f>
        <v>% в год</v>
      </c>
      <c r="F60" s="6" t="s">
        <v>745</v>
      </c>
      <c r="G60" s="268">
        <v>0.04</v>
      </c>
      <c r="H60" s="268">
        <f t="shared" ref="H60:BB60" si="130">G60</f>
        <v>0.04</v>
      </c>
      <c r="I60" s="268">
        <f t="shared" si="130"/>
        <v>0.04</v>
      </c>
      <c r="J60" s="268">
        <f t="shared" si="130"/>
        <v>0.04</v>
      </c>
      <c r="K60" s="268">
        <f t="shared" si="130"/>
        <v>0.04</v>
      </c>
      <c r="L60" s="268">
        <f t="shared" si="130"/>
        <v>0.04</v>
      </c>
      <c r="M60" s="268">
        <f t="shared" si="130"/>
        <v>0.04</v>
      </c>
      <c r="N60" s="268">
        <f t="shared" si="130"/>
        <v>0.04</v>
      </c>
      <c r="O60" s="268">
        <f t="shared" si="130"/>
        <v>0.04</v>
      </c>
      <c r="P60" s="268">
        <f t="shared" si="130"/>
        <v>0.04</v>
      </c>
      <c r="Q60" s="268">
        <f t="shared" si="130"/>
        <v>0.04</v>
      </c>
      <c r="R60" s="268">
        <f t="shared" si="130"/>
        <v>0.04</v>
      </c>
      <c r="S60" s="268">
        <f t="shared" si="130"/>
        <v>0.04</v>
      </c>
      <c r="T60" s="268">
        <f t="shared" si="130"/>
        <v>0.04</v>
      </c>
      <c r="U60" s="268">
        <f t="shared" si="130"/>
        <v>0.04</v>
      </c>
      <c r="V60" s="268">
        <f t="shared" si="130"/>
        <v>0.04</v>
      </c>
      <c r="W60" s="268">
        <f t="shared" si="130"/>
        <v>0.04</v>
      </c>
      <c r="X60" s="268">
        <f t="shared" si="130"/>
        <v>0.04</v>
      </c>
      <c r="Y60" s="268">
        <f t="shared" si="130"/>
        <v>0.04</v>
      </c>
      <c r="Z60" s="268">
        <f t="shared" si="130"/>
        <v>0.04</v>
      </c>
      <c r="AA60" s="268">
        <f t="shared" si="130"/>
        <v>0.04</v>
      </c>
      <c r="AB60" s="268">
        <f t="shared" si="130"/>
        <v>0.04</v>
      </c>
      <c r="AC60" s="268">
        <f t="shared" si="130"/>
        <v>0.04</v>
      </c>
      <c r="AD60" s="268">
        <f t="shared" si="130"/>
        <v>0.04</v>
      </c>
      <c r="AE60" s="268">
        <f t="shared" si="130"/>
        <v>0.04</v>
      </c>
      <c r="AF60" s="268">
        <f t="shared" si="130"/>
        <v>0.04</v>
      </c>
      <c r="AG60" s="268">
        <f t="shared" si="130"/>
        <v>0.04</v>
      </c>
      <c r="AH60" s="268">
        <f t="shared" si="130"/>
        <v>0.04</v>
      </c>
      <c r="AI60" s="268">
        <f t="shared" si="130"/>
        <v>0.04</v>
      </c>
      <c r="AJ60" s="268">
        <f t="shared" si="130"/>
        <v>0.04</v>
      </c>
      <c r="AK60" s="268">
        <f t="shared" si="130"/>
        <v>0.04</v>
      </c>
      <c r="AL60" s="268">
        <f t="shared" si="130"/>
        <v>0.04</v>
      </c>
      <c r="AM60" s="268">
        <f t="shared" si="130"/>
        <v>0.04</v>
      </c>
      <c r="AN60" s="268">
        <f t="shared" si="130"/>
        <v>0.04</v>
      </c>
      <c r="AO60" s="268">
        <f t="shared" si="130"/>
        <v>0.04</v>
      </c>
      <c r="AP60" s="268">
        <f t="shared" si="130"/>
        <v>0.04</v>
      </c>
      <c r="AQ60" s="268">
        <f t="shared" si="130"/>
        <v>0.04</v>
      </c>
      <c r="AR60" s="268">
        <f t="shared" si="130"/>
        <v>0.04</v>
      </c>
      <c r="AS60" s="268">
        <f t="shared" si="130"/>
        <v>0.04</v>
      </c>
      <c r="AT60" s="268">
        <f t="shared" si="130"/>
        <v>0.04</v>
      </c>
      <c r="AU60" s="268">
        <f t="shared" si="130"/>
        <v>0.04</v>
      </c>
      <c r="AV60" s="268">
        <f t="shared" si="130"/>
        <v>0.04</v>
      </c>
      <c r="AW60" s="268">
        <f t="shared" si="130"/>
        <v>0.04</v>
      </c>
      <c r="AX60" s="268">
        <f t="shared" si="130"/>
        <v>0.04</v>
      </c>
      <c r="AY60" s="268">
        <f t="shared" si="130"/>
        <v>0.04</v>
      </c>
      <c r="AZ60" s="268">
        <f t="shared" si="130"/>
        <v>0.04</v>
      </c>
      <c r="BA60" s="268">
        <f t="shared" si="130"/>
        <v>0.04</v>
      </c>
      <c r="BB60" s="268">
        <f t="shared" si="130"/>
        <v>0.04</v>
      </c>
    </row>
    <row r="61" spans="1:54" outlineLevel="1" x14ac:dyDescent="0.3">
      <c r="A61" s="10" t="str">
        <f ca="1">Language!A425</f>
        <v>То же, в пересчете на период, равный шагу проекта</v>
      </c>
      <c r="C61" s="1" t="s">
        <v>1</v>
      </c>
      <c r="F61" s="6" t="s">
        <v>745</v>
      </c>
      <c r="G61" s="29">
        <f t="shared" ref="G61:M61" si="131">POWER(1+G60,G$30/360)-1</f>
        <v>3.2737397821989145E-3</v>
      </c>
      <c r="H61" s="29">
        <f t="shared" si="131"/>
        <v>3.2737397821989145E-3</v>
      </c>
      <c r="I61" s="29">
        <f t="shared" si="131"/>
        <v>3.2737397821989145E-3</v>
      </c>
      <c r="J61" s="29">
        <f t="shared" si="131"/>
        <v>3.2737397821989145E-3</v>
      </c>
      <c r="K61" s="29">
        <f t="shared" si="131"/>
        <v>3.2737397821989145E-3</v>
      </c>
      <c r="L61" s="29">
        <f t="shared" si="131"/>
        <v>3.2737397821989145E-3</v>
      </c>
      <c r="M61" s="29">
        <f t="shared" si="131"/>
        <v>3.2737397821989145E-3</v>
      </c>
      <c r="N61" s="29">
        <f t="shared" ref="N61:O61" si="132">POWER(1+N60,N$30/360)-1</f>
        <v>3.2737397821989145E-3</v>
      </c>
      <c r="O61" s="29">
        <f t="shared" si="132"/>
        <v>3.2737397821989145E-3</v>
      </c>
      <c r="P61" s="29">
        <f t="shared" ref="P61:Q61" si="133">POWER(1+P60,P$30/360)-1</f>
        <v>3.2737397821989145E-3</v>
      </c>
      <c r="Q61" s="29">
        <f t="shared" si="133"/>
        <v>3.2737397821989145E-3</v>
      </c>
      <c r="R61" s="29">
        <f t="shared" ref="R61:S61" si="134">POWER(1+R60,R$30/360)-1</f>
        <v>3.2737397821989145E-3</v>
      </c>
      <c r="S61" s="29">
        <f t="shared" si="134"/>
        <v>3.2737397821989145E-3</v>
      </c>
      <c r="T61" s="29">
        <f t="shared" ref="T61:U61" si="135">POWER(1+T60,T$30/360)-1</f>
        <v>3.2737397821989145E-3</v>
      </c>
      <c r="U61" s="29">
        <f t="shared" si="135"/>
        <v>3.2737397821989145E-3</v>
      </c>
      <c r="V61" s="29">
        <f t="shared" ref="V61:W61" si="136">POWER(1+V60,V$30/360)-1</f>
        <v>3.2737397821989145E-3</v>
      </c>
      <c r="W61" s="29">
        <f t="shared" si="136"/>
        <v>3.2737397821989145E-3</v>
      </c>
      <c r="X61" s="29">
        <f t="shared" ref="X61:Y61" si="137">POWER(1+X60,X$30/360)-1</f>
        <v>3.2737397821989145E-3</v>
      </c>
      <c r="Y61" s="29">
        <f t="shared" si="137"/>
        <v>3.2737397821989145E-3</v>
      </c>
      <c r="Z61" s="29">
        <f t="shared" ref="Z61:AA61" si="138">POWER(1+Z60,Z$30/360)-1</f>
        <v>3.2737397821989145E-3</v>
      </c>
      <c r="AA61" s="29">
        <f t="shared" si="138"/>
        <v>3.2737397821989145E-3</v>
      </c>
      <c r="AB61" s="29">
        <f t="shared" ref="AB61:AC61" si="139">POWER(1+AB60,AB$30/360)-1</f>
        <v>3.2737397821989145E-3</v>
      </c>
      <c r="AC61" s="29">
        <f t="shared" si="139"/>
        <v>3.2737397821989145E-3</v>
      </c>
      <c r="AD61" s="29">
        <f t="shared" ref="AD61:AE61" si="140">POWER(1+AD60,AD$30/360)-1</f>
        <v>3.2737397821989145E-3</v>
      </c>
      <c r="AE61" s="29">
        <f t="shared" si="140"/>
        <v>3.2737397821989145E-3</v>
      </c>
      <c r="AF61" s="29">
        <f t="shared" ref="AF61:AG61" si="141">POWER(1+AF60,AF$30/360)-1</f>
        <v>3.2737397821989145E-3</v>
      </c>
      <c r="AG61" s="29">
        <f t="shared" si="141"/>
        <v>3.2737397821989145E-3</v>
      </c>
      <c r="AH61" s="29">
        <f t="shared" ref="AH61:AI61" si="142">POWER(1+AH60,AH$30/360)-1</f>
        <v>3.2737397821989145E-3</v>
      </c>
      <c r="AI61" s="29">
        <f t="shared" si="142"/>
        <v>3.2737397821989145E-3</v>
      </c>
      <c r="AJ61" s="29">
        <f t="shared" ref="AJ61:AK61" si="143">POWER(1+AJ60,AJ$30/360)-1</f>
        <v>3.2737397821989145E-3</v>
      </c>
      <c r="AK61" s="29">
        <f t="shared" si="143"/>
        <v>3.2737397821989145E-3</v>
      </c>
      <c r="AL61" s="29">
        <f t="shared" ref="AL61:AM61" si="144">POWER(1+AL60,AL$30/360)-1</f>
        <v>3.2737397821989145E-3</v>
      </c>
      <c r="AM61" s="29">
        <f t="shared" si="144"/>
        <v>3.2737397821989145E-3</v>
      </c>
      <c r="AN61" s="29">
        <f t="shared" ref="AN61:AO61" si="145">POWER(1+AN60,AN$30/360)-1</f>
        <v>3.2737397821989145E-3</v>
      </c>
      <c r="AO61" s="29">
        <f t="shared" si="145"/>
        <v>3.2737397821989145E-3</v>
      </c>
      <c r="AP61" s="29">
        <f t="shared" ref="AP61:AQ61" si="146">POWER(1+AP60,AP$30/360)-1</f>
        <v>3.2737397821989145E-3</v>
      </c>
      <c r="AQ61" s="29">
        <f t="shared" si="146"/>
        <v>3.2737397821989145E-3</v>
      </c>
      <c r="AR61" s="29">
        <f t="shared" ref="AR61:AS61" si="147">POWER(1+AR60,AR$30/360)-1</f>
        <v>3.2737397821989145E-3</v>
      </c>
      <c r="AS61" s="29">
        <f t="shared" si="147"/>
        <v>3.2737397821989145E-3</v>
      </c>
      <c r="AT61" s="29">
        <f t="shared" ref="AT61:AU61" si="148">POWER(1+AT60,AT$30/360)-1</f>
        <v>3.2737397821989145E-3</v>
      </c>
      <c r="AU61" s="29">
        <f t="shared" si="148"/>
        <v>3.2737397821989145E-3</v>
      </c>
      <c r="AV61" s="29">
        <f t="shared" ref="AV61:AW61" si="149">POWER(1+AV60,AV$30/360)-1</f>
        <v>3.2737397821989145E-3</v>
      </c>
      <c r="AW61" s="29">
        <f t="shared" si="149"/>
        <v>3.2737397821989145E-3</v>
      </c>
      <c r="AX61" s="29">
        <f t="shared" ref="AX61:AY61" si="150">POWER(1+AX60,AX$30/360)-1</f>
        <v>3.2737397821989145E-3</v>
      </c>
      <c r="AY61" s="29">
        <f t="shared" si="150"/>
        <v>3.2737397821989145E-3</v>
      </c>
      <c r="AZ61" s="29">
        <f t="shared" ref="AZ61:BA61" si="151">POWER(1+AZ60,AZ$30/360)-1</f>
        <v>3.2737397821989145E-3</v>
      </c>
      <c r="BA61" s="29">
        <f t="shared" si="151"/>
        <v>3.2737397821989145E-3</v>
      </c>
      <c r="BB61" s="29">
        <f t="shared" ref="BB61" si="152">POWER(1+BB60,BB$30/360)-1</f>
        <v>3.2737397821989145E-3</v>
      </c>
    </row>
    <row r="62" spans="1:54" x14ac:dyDescent="0.3">
      <c r="A62" s="10" t="str">
        <f ca="1">Language!A426</f>
        <v>Предполагаемый темп годового роста цен</v>
      </c>
      <c r="C62" s="1" t="str">
        <f ca="1">Language!A480</f>
        <v>% в год</v>
      </c>
      <c r="F62" s="6" t="s">
        <v>745</v>
      </c>
      <c r="G62" s="268">
        <v>0.02</v>
      </c>
      <c r="H62" s="268">
        <f t="shared" ref="H62:BB62" si="153">G62</f>
        <v>0.02</v>
      </c>
      <c r="I62" s="268">
        <f t="shared" si="153"/>
        <v>0.02</v>
      </c>
      <c r="J62" s="268">
        <f t="shared" si="153"/>
        <v>0.02</v>
      </c>
      <c r="K62" s="268">
        <f t="shared" si="153"/>
        <v>0.02</v>
      </c>
      <c r="L62" s="268">
        <f t="shared" si="153"/>
        <v>0.02</v>
      </c>
      <c r="M62" s="268">
        <f t="shared" si="153"/>
        <v>0.02</v>
      </c>
      <c r="N62" s="268">
        <f t="shared" si="153"/>
        <v>0.02</v>
      </c>
      <c r="O62" s="268">
        <f t="shared" si="153"/>
        <v>0.02</v>
      </c>
      <c r="P62" s="268">
        <f t="shared" si="153"/>
        <v>0.02</v>
      </c>
      <c r="Q62" s="268">
        <f t="shared" si="153"/>
        <v>0.02</v>
      </c>
      <c r="R62" s="268">
        <f t="shared" si="153"/>
        <v>0.02</v>
      </c>
      <c r="S62" s="268">
        <f t="shared" si="153"/>
        <v>0.02</v>
      </c>
      <c r="T62" s="268">
        <f t="shared" si="153"/>
        <v>0.02</v>
      </c>
      <c r="U62" s="268">
        <f t="shared" si="153"/>
        <v>0.02</v>
      </c>
      <c r="V62" s="268">
        <f t="shared" si="153"/>
        <v>0.02</v>
      </c>
      <c r="W62" s="268">
        <f t="shared" si="153"/>
        <v>0.02</v>
      </c>
      <c r="X62" s="268">
        <f t="shared" si="153"/>
        <v>0.02</v>
      </c>
      <c r="Y62" s="268">
        <f t="shared" si="153"/>
        <v>0.02</v>
      </c>
      <c r="Z62" s="268">
        <f t="shared" si="153"/>
        <v>0.02</v>
      </c>
      <c r="AA62" s="268">
        <f t="shared" si="153"/>
        <v>0.02</v>
      </c>
      <c r="AB62" s="268">
        <f t="shared" si="153"/>
        <v>0.02</v>
      </c>
      <c r="AC62" s="268">
        <f t="shared" si="153"/>
        <v>0.02</v>
      </c>
      <c r="AD62" s="268">
        <f t="shared" si="153"/>
        <v>0.02</v>
      </c>
      <c r="AE62" s="268">
        <f t="shared" si="153"/>
        <v>0.02</v>
      </c>
      <c r="AF62" s="268">
        <f t="shared" si="153"/>
        <v>0.02</v>
      </c>
      <c r="AG62" s="268">
        <f t="shared" si="153"/>
        <v>0.02</v>
      </c>
      <c r="AH62" s="268">
        <f t="shared" si="153"/>
        <v>0.02</v>
      </c>
      <c r="AI62" s="268">
        <f t="shared" si="153"/>
        <v>0.02</v>
      </c>
      <c r="AJ62" s="268">
        <f t="shared" si="153"/>
        <v>0.02</v>
      </c>
      <c r="AK62" s="268">
        <f t="shared" si="153"/>
        <v>0.02</v>
      </c>
      <c r="AL62" s="268">
        <f t="shared" si="153"/>
        <v>0.02</v>
      </c>
      <c r="AM62" s="268">
        <f t="shared" si="153"/>
        <v>0.02</v>
      </c>
      <c r="AN62" s="268">
        <f t="shared" si="153"/>
        <v>0.02</v>
      </c>
      <c r="AO62" s="268">
        <f t="shared" si="153"/>
        <v>0.02</v>
      </c>
      <c r="AP62" s="268">
        <f t="shared" si="153"/>
        <v>0.02</v>
      </c>
      <c r="AQ62" s="268">
        <f t="shared" si="153"/>
        <v>0.02</v>
      </c>
      <c r="AR62" s="268">
        <f t="shared" si="153"/>
        <v>0.02</v>
      </c>
      <c r="AS62" s="268">
        <f t="shared" si="153"/>
        <v>0.02</v>
      </c>
      <c r="AT62" s="268">
        <f t="shared" si="153"/>
        <v>0.02</v>
      </c>
      <c r="AU62" s="268">
        <f t="shared" si="153"/>
        <v>0.02</v>
      </c>
      <c r="AV62" s="268">
        <f t="shared" si="153"/>
        <v>0.02</v>
      </c>
      <c r="AW62" s="268">
        <f t="shared" si="153"/>
        <v>0.02</v>
      </c>
      <c r="AX62" s="268">
        <f t="shared" si="153"/>
        <v>0.02</v>
      </c>
      <c r="AY62" s="268">
        <f t="shared" si="153"/>
        <v>0.02</v>
      </c>
      <c r="AZ62" s="268">
        <f t="shared" si="153"/>
        <v>0.02</v>
      </c>
      <c r="BA62" s="268">
        <f t="shared" si="153"/>
        <v>0.02</v>
      </c>
      <c r="BB62" s="268">
        <f t="shared" si="153"/>
        <v>0.02</v>
      </c>
    </row>
    <row r="63" spans="1:54" x14ac:dyDescent="0.3">
      <c r="A63" s="10"/>
      <c r="C63" s="1"/>
    </row>
    <row r="64" spans="1:54" x14ac:dyDescent="0.3">
      <c r="A64" s="10" t="str">
        <f ca="1">Language!A421</f>
        <v>Валюта отчетности и ее курс к основной валюте</v>
      </c>
      <c r="B64" s="17">
        <v>1</v>
      </c>
      <c r="C64" s="30" t="str">
        <f ca="1">CHOOSE(B64,CurName1,CurName2,CurName3)</f>
        <v>руб.</v>
      </c>
      <c r="G64" s="31">
        <f t="shared" ref="G64:K64" si="154">CHOOSE(Prj_CurReport, 1, G53, G59)</f>
        <v>1</v>
      </c>
      <c r="H64" s="257">
        <f t="shared" si="154"/>
        <v>1</v>
      </c>
      <c r="I64" s="31">
        <f t="shared" si="154"/>
        <v>1</v>
      </c>
      <c r="J64" s="31">
        <f t="shared" si="154"/>
        <v>1</v>
      </c>
      <c r="K64" s="31">
        <f t="shared" si="154"/>
        <v>1</v>
      </c>
      <c r="L64" s="31">
        <f t="shared" ref="L64:M64" si="155">CHOOSE(Prj_CurReport, 1, L53, L59)</f>
        <v>1</v>
      </c>
      <c r="M64" s="31">
        <f t="shared" si="155"/>
        <v>1</v>
      </c>
      <c r="N64" s="31">
        <f t="shared" ref="N64:O64" si="156">CHOOSE(Prj_CurReport, 1, N53, N59)</f>
        <v>1</v>
      </c>
      <c r="O64" s="31">
        <f t="shared" si="156"/>
        <v>1</v>
      </c>
      <c r="P64" s="31">
        <f t="shared" ref="P64:Q64" si="157">CHOOSE(Prj_CurReport, 1, P53, P59)</f>
        <v>1</v>
      </c>
      <c r="Q64" s="31">
        <f t="shared" si="157"/>
        <v>1</v>
      </c>
      <c r="R64" s="31">
        <f t="shared" ref="R64:S64" si="158">CHOOSE(Prj_CurReport, 1, R53, R59)</f>
        <v>1</v>
      </c>
      <c r="S64" s="31">
        <f t="shared" si="158"/>
        <v>1</v>
      </c>
      <c r="T64" s="31">
        <f t="shared" ref="T64:U64" si="159">CHOOSE(Prj_CurReport, 1, T53, T59)</f>
        <v>1</v>
      </c>
      <c r="U64" s="31">
        <f t="shared" si="159"/>
        <v>1</v>
      </c>
      <c r="V64" s="31">
        <f t="shared" ref="V64:W64" si="160">CHOOSE(Prj_CurReport, 1, V53, V59)</f>
        <v>1</v>
      </c>
      <c r="W64" s="31">
        <f t="shared" si="160"/>
        <v>1</v>
      </c>
      <c r="X64" s="31">
        <f t="shared" ref="X64:Y64" si="161">CHOOSE(Prj_CurReport, 1, X53, X59)</f>
        <v>1</v>
      </c>
      <c r="Y64" s="31">
        <f t="shared" si="161"/>
        <v>1</v>
      </c>
      <c r="Z64" s="31">
        <f t="shared" ref="Z64:AA64" si="162">CHOOSE(Prj_CurReport, 1, Z53, Z59)</f>
        <v>1</v>
      </c>
      <c r="AA64" s="31">
        <f t="shared" si="162"/>
        <v>1</v>
      </c>
      <c r="AB64" s="31">
        <f t="shared" ref="AB64:AC64" si="163">CHOOSE(Prj_CurReport, 1, AB53, AB59)</f>
        <v>1</v>
      </c>
      <c r="AC64" s="31">
        <f t="shared" si="163"/>
        <v>1</v>
      </c>
      <c r="AD64" s="31">
        <f t="shared" ref="AD64:AE64" si="164">CHOOSE(Prj_CurReport, 1, AD53, AD59)</f>
        <v>1</v>
      </c>
      <c r="AE64" s="31">
        <f t="shared" si="164"/>
        <v>1</v>
      </c>
      <c r="AF64" s="31">
        <f t="shared" ref="AF64:AG64" si="165">CHOOSE(Prj_CurReport, 1, AF53, AF59)</f>
        <v>1</v>
      </c>
      <c r="AG64" s="31">
        <f t="shared" si="165"/>
        <v>1</v>
      </c>
      <c r="AH64" s="31">
        <f t="shared" ref="AH64:AI64" si="166">CHOOSE(Prj_CurReport, 1, AH53, AH59)</f>
        <v>1</v>
      </c>
      <c r="AI64" s="31">
        <f t="shared" si="166"/>
        <v>1</v>
      </c>
      <c r="AJ64" s="31">
        <f t="shared" ref="AJ64:AK64" si="167">CHOOSE(Prj_CurReport, 1, AJ53, AJ59)</f>
        <v>1</v>
      </c>
      <c r="AK64" s="31">
        <f t="shared" si="167"/>
        <v>1</v>
      </c>
      <c r="AL64" s="31">
        <f t="shared" ref="AL64:AM64" si="168">CHOOSE(Prj_CurReport, 1, AL53, AL59)</f>
        <v>1</v>
      </c>
      <c r="AM64" s="31">
        <f t="shared" si="168"/>
        <v>1</v>
      </c>
      <c r="AN64" s="31">
        <f t="shared" ref="AN64:AO64" si="169">CHOOSE(Prj_CurReport, 1, AN53, AN59)</f>
        <v>1</v>
      </c>
      <c r="AO64" s="31">
        <f t="shared" si="169"/>
        <v>1</v>
      </c>
      <c r="AP64" s="31">
        <f t="shared" ref="AP64:AQ64" si="170">CHOOSE(Prj_CurReport, 1, AP53, AP59)</f>
        <v>1</v>
      </c>
      <c r="AQ64" s="31">
        <f t="shared" si="170"/>
        <v>1</v>
      </c>
      <c r="AR64" s="31">
        <f t="shared" ref="AR64:AS64" si="171">CHOOSE(Prj_CurReport, 1, AR53, AR59)</f>
        <v>1</v>
      </c>
      <c r="AS64" s="31">
        <f t="shared" si="171"/>
        <v>1</v>
      </c>
      <c r="AT64" s="31">
        <f t="shared" ref="AT64:AU64" si="172">CHOOSE(Prj_CurReport, 1, AT53, AT59)</f>
        <v>1</v>
      </c>
      <c r="AU64" s="31">
        <f t="shared" si="172"/>
        <v>1</v>
      </c>
      <c r="AV64" s="31">
        <f t="shared" ref="AV64:AW64" si="173">CHOOSE(Prj_CurReport, 1, AV53, AV59)</f>
        <v>1</v>
      </c>
      <c r="AW64" s="31">
        <f t="shared" si="173"/>
        <v>1</v>
      </c>
      <c r="AX64" s="31">
        <f t="shared" ref="AX64:AY64" si="174">CHOOSE(Prj_CurReport, 1, AX53, AX59)</f>
        <v>1</v>
      </c>
      <c r="AY64" s="31">
        <f t="shared" si="174"/>
        <v>1</v>
      </c>
      <c r="AZ64" s="31">
        <f t="shared" ref="AZ64:BA64" si="175">CHOOSE(Prj_CurReport, 1, AZ53, AZ59)</f>
        <v>1</v>
      </c>
      <c r="BA64" s="31">
        <f t="shared" si="175"/>
        <v>1</v>
      </c>
      <c r="BB64" s="31">
        <f t="shared" ref="BB64" si="176">CHOOSE(Prj_CurReport, 1, BB53, BB59)</f>
        <v>1</v>
      </c>
    </row>
    <row r="65" spans="1:54" x14ac:dyDescent="0.3">
      <c r="A65" s="12"/>
      <c r="B65" s="13"/>
      <c r="C65" s="13"/>
      <c r="D65" s="14"/>
      <c r="E65" s="14" t="s">
        <v>605</v>
      </c>
      <c r="F65" s="14"/>
      <c r="G65" s="13"/>
      <c r="H65" s="258"/>
      <c r="I65" s="13"/>
      <c r="J65" s="13"/>
      <c r="K65" s="13"/>
      <c r="L65" s="13"/>
      <c r="M65" s="13"/>
      <c r="N65" s="13"/>
      <c r="O65" s="13"/>
      <c r="P65" s="13"/>
      <c r="Q65" s="13"/>
      <c r="R65" s="13"/>
      <c r="S65" s="13"/>
      <c r="T65" s="13"/>
      <c r="U65" s="13"/>
      <c r="V65" s="13"/>
      <c r="W65" s="13"/>
      <c r="X65" s="13"/>
      <c r="Y65" s="13"/>
      <c r="Z65" s="13"/>
      <c r="AA65" s="13"/>
      <c r="AB65" s="13"/>
      <c r="AC65" s="13"/>
      <c r="AD65" s="13"/>
      <c r="AE65" s="13"/>
      <c r="AF65" s="13"/>
      <c r="AG65" s="13"/>
      <c r="AH65" s="13"/>
      <c r="AI65" s="13"/>
      <c r="AJ65" s="13"/>
      <c r="AK65" s="13"/>
      <c r="AL65" s="13"/>
      <c r="AM65" s="13"/>
      <c r="AN65" s="13"/>
      <c r="AO65" s="13"/>
      <c r="AP65" s="13"/>
      <c r="AQ65" s="13"/>
      <c r="AR65" s="13"/>
      <c r="AS65" s="13"/>
      <c r="AT65" s="13"/>
      <c r="AU65" s="13"/>
      <c r="AV65" s="13"/>
      <c r="AW65" s="13"/>
      <c r="AX65" s="13"/>
      <c r="AY65" s="13"/>
      <c r="AZ65" s="13"/>
      <c r="BA65" s="13"/>
      <c r="BB65" s="13"/>
    </row>
    <row r="68" spans="1:54" s="9" customFormat="1" ht="25.5" customHeight="1" thickBot="1" x14ac:dyDescent="0.35">
      <c r="A68" s="323" t="str">
        <f ca="1">Language!A428</f>
        <v>ПАРАМЕТРЫ НАЛОГОВ</v>
      </c>
      <c r="B68" s="324"/>
      <c r="C68" s="325"/>
      <c r="D68" s="326"/>
      <c r="E68" s="326" t="s">
        <v>883</v>
      </c>
      <c r="F68" s="326"/>
      <c r="G68" s="327" t="str">
        <f t="shared" ref="G68:BB68" ca="1" si="177">G$34</f>
        <v>янв.25</v>
      </c>
      <c r="H68" s="327" t="str">
        <f t="shared" ca="1" si="177"/>
        <v>фев.25</v>
      </c>
      <c r="I68" s="327" t="str">
        <f t="shared" ca="1" si="177"/>
        <v>мар.25</v>
      </c>
      <c r="J68" s="327" t="str">
        <f t="shared" ca="1" si="177"/>
        <v>апр.25</v>
      </c>
      <c r="K68" s="327" t="str">
        <f t="shared" ca="1" si="177"/>
        <v>май.25</v>
      </c>
      <c r="L68" s="327" t="str">
        <f t="shared" ca="1" si="177"/>
        <v>июн.25</v>
      </c>
      <c r="M68" s="328" t="str">
        <f t="shared" ca="1" si="177"/>
        <v>июл.25</v>
      </c>
      <c r="N68" s="328" t="str">
        <f t="shared" ca="1" si="177"/>
        <v>авг.25</v>
      </c>
      <c r="O68" s="328" t="str">
        <f t="shared" ca="1" si="177"/>
        <v>сен.25</v>
      </c>
      <c r="P68" s="328" t="str">
        <f t="shared" ca="1" si="177"/>
        <v>окт.25</v>
      </c>
      <c r="Q68" s="328" t="str">
        <f t="shared" ca="1" si="177"/>
        <v>ноя.25</v>
      </c>
      <c r="R68" s="328" t="str">
        <f t="shared" ca="1" si="177"/>
        <v>дек.25</v>
      </c>
      <c r="S68" s="328" t="str">
        <f t="shared" ca="1" si="177"/>
        <v>янв.26</v>
      </c>
      <c r="T68" s="328" t="str">
        <f t="shared" ca="1" si="177"/>
        <v>фев.26</v>
      </c>
      <c r="U68" s="328" t="str">
        <f t="shared" ca="1" si="177"/>
        <v>мар.26</v>
      </c>
      <c r="V68" s="328" t="str">
        <f t="shared" ca="1" si="177"/>
        <v>апр.26</v>
      </c>
      <c r="W68" s="328" t="str">
        <f t="shared" ca="1" si="177"/>
        <v>май.26</v>
      </c>
      <c r="X68" s="328" t="str">
        <f t="shared" ca="1" si="177"/>
        <v>июн.26</v>
      </c>
      <c r="Y68" s="328" t="str">
        <f t="shared" ca="1" si="177"/>
        <v>июл.26</v>
      </c>
      <c r="Z68" s="328" t="str">
        <f t="shared" ca="1" si="177"/>
        <v>авг.26</v>
      </c>
      <c r="AA68" s="328" t="str">
        <f t="shared" ca="1" si="177"/>
        <v>сен.26</v>
      </c>
      <c r="AB68" s="328" t="str">
        <f t="shared" ca="1" si="177"/>
        <v>окт.26</v>
      </c>
      <c r="AC68" s="328" t="str">
        <f t="shared" ca="1" si="177"/>
        <v>ноя.26</v>
      </c>
      <c r="AD68" s="328" t="str">
        <f t="shared" ca="1" si="177"/>
        <v>дек.26</v>
      </c>
      <c r="AE68" s="328" t="str">
        <f t="shared" ca="1" si="177"/>
        <v>янв.27</v>
      </c>
      <c r="AF68" s="328" t="str">
        <f t="shared" ca="1" si="177"/>
        <v>фев.27</v>
      </c>
      <c r="AG68" s="328" t="str">
        <f t="shared" ca="1" si="177"/>
        <v>мар.27</v>
      </c>
      <c r="AH68" s="328" t="str">
        <f t="shared" ca="1" si="177"/>
        <v>апр.27</v>
      </c>
      <c r="AI68" s="328" t="str">
        <f t="shared" ca="1" si="177"/>
        <v>май.27</v>
      </c>
      <c r="AJ68" s="328" t="str">
        <f t="shared" ca="1" si="177"/>
        <v>июн.27</v>
      </c>
      <c r="AK68" s="328" t="str">
        <f t="shared" ca="1" si="177"/>
        <v>июл.27</v>
      </c>
      <c r="AL68" s="328" t="str">
        <f t="shared" ca="1" si="177"/>
        <v>авг.27</v>
      </c>
      <c r="AM68" s="328" t="str">
        <f t="shared" ca="1" si="177"/>
        <v>сен.27</v>
      </c>
      <c r="AN68" s="328" t="str">
        <f t="shared" ca="1" si="177"/>
        <v>окт.27</v>
      </c>
      <c r="AO68" s="328" t="str">
        <f t="shared" ca="1" si="177"/>
        <v>ноя.27</v>
      </c>
      <c r="AP68" s="328" t="str">
        <f t="shared" ca="1" si="177"/>
        <v>дек.27</v>
      </c>
      <c r="AQ68" s="328" t="str">
        <f t="shared" ca="1" si="177"/>
        <v>янв.28</v>
      </c>
      <c r="AR68" s="328" t="str">
        <f t="shared" ca="1" si="177"/>
        <v>фев.28</v>
      </c>
      <c r="AS68" s="328" t="str">
        <f t="shared" ca="1" si="177"/>
        <v>мар.28</v>
      </c>
      <c r="AT68" s="328" t="str">
        <f t="shared" ca="1" si="177"/>
        <v>апр.28</v>
      </c>
      <c r="AU68" s="328" t="str">
        <f t="shared" ca="1" si="177"/>
        <v>май.28</v>
      </c>
      <c r="AV68" s="328" t="str">
        <f t="shared" ca="1" si="177"/>
        <v>июн.28</v>
      </c>
      <c r="AW68" s="328" t="str">
        <f t="shared" ca="1" si="177"/>
        <v>июл.28</v>
      </c>
      <c r="AX68" s="328" t="str">
        <f t="shared" ca="1" si="177"/>
        <v>авг.28</v>
      </c>
      <c r="AY68" s="328" t="str">
        <f t="shared" ca="1" si="177"/>
        <v>сен.28</v>
      </c>
      <c r="AZ68" s="328" t="str">
        <f t="shared" ca="1" si="177"/>
        <v>окт.28</v>
      </c>
      <c r="BA68" s="328" t="str">
        <f t="shared" ca="1" si="177"/>
        <v>ноя.28</v>
      </c>
      <c r="BB68" s="328" t="str">
        <f t="shared" ca="1" si="177"/>
        <v>дек.28</v>
      </c>
    </row>
    <row r="69" spans="1:54" ht="14.4" hidden="1" thickTop="1" x14ac:dyDescent="0.3">
      <c r="A69" s="245"/>
      <c r="E69" s="6" t="s">
        <v>630</v>
      </c>
      <c r="F69" s="6" t="s">
        <v>632</v>
      </c>
    </row>
    <row r="70" spans="1:54" ht="14.4" hidden="1" thickTop="1" x14ac:dyDescent="0.3">
      <c r="A70" s="22" t="str">
        <f ca="1">Language!A429</f>
        <v>НАЛОГ НА ДОБАВЛЕННУЮ СТОИМОСТЬ</v>
      </c>
    </row>
    <row r="71" spans="1:54" ht="14.4" hidden="1" thickTop="1" x14ac:dyDescent="0.3">
      <c r="A71" s="10"/>
    </row>
    <row r="72" spans="1:54" ht="14.4" hidden="1" thickTop="1" x14ac:dyDescent="0.3">
      <c r="A72" s="10" t="str">
        <f ca="1">Language!A430</f>
        <v>Стандартная ставка налога</v>
      </c>
      <c r="B72" s="318">
        <v>0.2</v>
      </c>
      <c r="C72" s="1" t="s">
        <v>1</v>
      </c>
      <c r="D72" s="6">
        <v>0</v>
      </c>
      <c r="F72" s="6" t="s">
        <v>746</v>
      </c>
      <c r="G72" s="316">
        <f>B72*Prj_Tax1</f>
        <v>0</v>
      </c>
      <c r="H72" s="316">
        <f>G72</f>
        <v>0</v>
      </c>
      <c r="I72" s="316">
        <f t="shared" ref="I72:BB72" si="178">H72</f>
        <v>0</v>
      </c>
      <c r="J72" s="316">
        <f t="shared" si="178"/>
        <v>0</v>
      </c>
      <c r="K72" s="316">
        <f t="shared" si="178"/>
        <v>0</v>
      </c>
      <c r="L72" s="316">
        <f t="shared" si="178"/>
        <v>0</v>
      </c>
      <c r="M72" s="316">
        <f t="shared" si="178"/>
        <v>0</v>
      </c>
      <c r="N72" s="316">
        <f t="shared" si="178"/>
        <v>0</v>
      </c>
      <c r="O72" s="316">
        <f t="shared" si="178"/>
        <v>0</v>
      </c>
      <c r="P72" s="316">
        <f t="shared" si="178"/>
        <v>0</v>
      </c>
      <c r="Q72" s="316">
        <f t="shared" si="178"/>
        <v>0</v>
      </c>
      <c r="R72" s="316">
        <f t="shared" si="178"/>
        <v>0</v>
      </c>
      <c r="S72" s="316">
        <f t="shared" si="178"/>
        <v>0</v>
      </c>
      <c r="T72" s="316">
        <f t="shared" si="178"/>
        <v>0</v>
      </c>
      <c r="U72" s="316">
        <f t="shared" si="178"/>
        <v>0</v>
      </c>
      <c r="V72" s="316">
        <f t="shared" si="178"/>
        <v>0</v>
      </c>
      <c r="W72" s="316">
        <f t="shared" si="178"/>
        <v>0</v>
      </c>
      <c r="X72" s="316">
        <f t="shared" si="178"/>
        <v>0</v>
      </c>
      <c r="Y72" s="316">
        <f t="shared" si="178"/>
        <v>0</v>
      </c>
      <c r="Z72" s="316">
        <f t="shared" si="178"/>
        <v>0</v>
      </c>
      <c r="AA72" s="316">
        <f t="shared" si="178"/>
        <v>0</v>
      </c>
      <c r="AB72" s="316">
        <f t="shared" si="178"/>
        <v>0</v>
      </c>
      <c r="AC72" s="316">
        <f t="shared" si="178"/>
        <v>0</v>
      </c>
      <c r="AD72" s="316">
        <f t="shared" si="178"/>
        <v>0</v>
      </c>
      <c r="AE72" s="316">
        <f t="shared" si="178"/>
        <v>0</v>
      </c>
      <c r="AF72" s="316">
        <f t="shared" si="178"/>
        <v>0</v>
      </c>
      <c r="AG72" s="316">
        <f t="shared" si="178"/>
        <v>0</v>
      </c>
      <c r="AH72" s="316">
        <f t="shared" si="178"/>
        <v>0</v>
      </c>
      <c r="AI72" s="316">
        <f t="shared" si="178"/>
        <v>0</v>
      </c>
      <c r="AJ72" s="316">
        <f t="shared" si="178"/>
        <v>0</v>
      </c>
      <c r="AK72" s="316">
        <f t="shared" si="178"/>
        <v>0</v>
      </c>
      <c r="AL72" s="316">
        <f t="shared" si="178"/>
        <v>0</v>
      </c>
      <c r="AM72" s="316">
        <f t="shared" si="178"/>
        <v>0</v>
      </c>
      <c r="AN72" s="316">
        <f t="shared" si="178"/>
        <v>0</v>
      </c>
      <c r="AO72" s="316">
        <f t="shared" si="178"/>
        <v>0</v>
      </c>
      <c r="AP72" s="316">
        <f t="shared" si="178"/>
        <v>0</v>
      </c>
      <c r="AQ72" s="316">
        <f t="shared" si="178"/>
        <v>0</v>
      </c>
      <c r="AR72" s="316">
        <f t="shared" si="178"/>
        <v>0</v>
      </c>
      <c r="AS72" s="316">
        <f t="shared" si="178"/>
        <v>0</v>
      </c>
      <c r="AT72" s="316">
        <f t="shared" si="178"/>
        <v>0</v>
      </c>
      <c r="AU72" s="316">
        <f t="shared" si="178"/>
        <v>0</v>
      </c>
      <c r="AV72" s="316">
        <f t="shared" si="178"/>
        <v>0</v>
      </c>
      <c r="AW72" s="316">
        <f t="shared" si="178"/>
        <v>0</v>
      </c>
      <c r="AX72" s="316">
        <f t="shared" si="178"/>
        <v>0</v>
      </c>
      <c r="AY72" s="316">
        <f t="shared" si="178"/>
        <v>0</v>
      </c>
      <c r="AZ72" s="316">
        <f t="shared" si="178"/>
        <v>0</v>
      </c>
      <c r="BA72" s="316">
        <f t="shared" si="178"/>
        <v>0</v>
      </c>
      <c r="BB72" s="316">
        <f t="shared" si="178"/>
        <v>0</v>
      </c>
    </row>
    <row r="73" spans="1:54" ht="14.4" hidden="1" thickTop="1" x14ac:dyDescent="0.3">
      <c r="A73" s="10" t="str">
        <f ca="1">Language!A$438</f>
        <v>Периодичность выплаты налога</v>
      </c>
      <c r="B73" s="272">
        <v>30</v>
      </c>
      <c r="C73" s="1" t="str">
        <f ca="1">Language!$A$1474</f>
        <v>дней</v>
      </c>
    </row>
    <row r="74" spans="1:54" ht="12" hidden="1" customHeight="1" thickTop="1" x14ac:dyDescent="0.3">
      <c r="A74" s="10" t="str">
        <f ca="1">Language!A432</f>
        <v>Способ зачета переплаченного НДС:</v>
      </c>
      <c r="B74" s="17">
        <v>2</v>
      </c>
      <c r="C74" s="10" t="str">
        <f ca="1">CHOOSE(B74,Language!A383,Language!A384)</f>
        <v>возврат из бюджета</v>
      </c>
    </row>
    <row r="75" spans="1:54" ht="14.4" hidden="1" thickTop="1" x14ac:dyDescent="0.3">
      <c r="A75" s="20" t="str">
        <f ca="1">Language!A433</f>
        <v>прямое возмещение через</v>
      </c>
      <c r="B75" s="272">
        <v>1</v>
      </c>
      <c r="C75" s="1" t="str">
        <f ca="1">Language!A159</f>
        <v>периодов</v>
      </c>
    </row>
    <row r="76" spans="1:54" ht="14.4" hidden="1" thickTop="1" x14ac:dyDescent="0.3">
      <c r="A76" s="10"/>
      <c r="B76" s="17"/>
      <c r="E76" s="6" t="s">
        <v>631</v>
      </c>
      <c r="F76" s="6" t="s">
        <v>632</v>
      </c>
    </row>
    <row r="77" spans="1:54" ht="14.4" hidden="1" thickTop="1" x14ac:dyDescent="0.3">
      <c r="A77" s="22" t="str">
        <f ca="1">Language!A434</f>
        <v>НАЛОГ НА ПРИБЫЛЬ</v>
      </c>
      <c r="B77" s="17"/>
    </row>
    <row r="78" spans="1:54" ht="14.4" hidden="1" thickTop="1" x14ac:dyDescent="0.3">
      <c r="A78" s="10"/>
      <c r="B78" s="17"/>
    </row>
    <row r="79" spans="1:54" ht="14.4" hidden="1" thickTop="1" x14ac:dyDescent="0.3">
      <c r="A79" s="10" t="str">
        <f ca="1">Language!A435</f>
        <v>Ставка налога, федеральная составляющая</v>
      </c>
      <c r="B79" s="33"/>
      <c r="C79" s="1" t="s">
        <v>1</v>
      </c>
      <c r="D79" s="6">
        <v>0</v>
      </c>
      <c r="F79" s="6" t="s">
        <v>746</v>
      </c>
      <c r="G79" s="268">
        <v>0</v>
      </c>
      <c r="H79" s="268">
        <f t="shared" ref="H79:BB79" si="179">G79</f>
        <v>0</v>
      </c>
      <c r="I79" s="268">
        <f t="shared" si="179"/>
        <v>0</v>
      </c>
      <c r="J79" s="268">
        <f t="shared" si="179"/>
        <v>0</v>
      </c>
      <c r="K79" s="268">
        <f t="shared" si="179"/>
        <v>0</v>
      </c>
      <c r="L79" s="268">
        <f t="shared" si="179"/>
        <v>0</v>
      </c>
      <c r="M79" s="268">
        <f t="shared" si="179"/>
        <v>0</v>
      </c>
      <c r="N79" s="268">
        <f t="shared" si="179"/>
        <v>0</v>
      </c>
      <c r="O79" s="268">
        <f t="shared" si="179"/>
        <v>0</v>
      </c>
      <c r="P79" s="268">
        <f t="shared" si="179"/>
        <v>0</v>
      </c>
      <c r="Q79" s="268">
        <f t="shared" si="179"/>
        <v>0</v>
      </c>
      <c r="R79" s="268">
        <f t="shared" si="179"/>
        <v>0</v>
      </c>
      <c r="S79" s="268">
        <f t="shared" si="179"/>
        <v>0</v>
      </c>
      <c r="T79" s="268">
        <f t="shared" si="179"/>
        <v>0</v>
      </c>
      <c r="U79" s="268">
        <f t="shared" si="179"/>
        <v>0</v>
      </c>
      <c r="V79" s="268">
        <f t="shared" si="179"/>
        <v>0</v>
      </c>
      <c r="W79" s="268">
        <f t="shared" si="179"/>
        <v>0</v>
      </c>
      <c r="X79" s="268">
        <f t="shared" si="179"/>
        <v>0</v>
      </c>
      <c r="Y79" s="268">
        <f t="shared" si="179"/>
        <v>0</v>
      </c>
      <c r="Z79" s="268">
        <f t="shared" si="179"/>
        <v>0</v>
      </c>
      <c r="AA79" s="268">
        <f t="shared" si="179"/>
        <v>0</v>
      </c>
      <c r="AB79" s="268">
        <f t="shared" si="179"/>
        <v>0</v>
      </c>
      <c r="AC79" s="268">
        <f t="shared" si="179"/>
        <v>0</v>
      </c>
      <c r="AD79" s="268">
        <f t="shared" si="179"/>
        <v>0</v>
      </c>
      <c r="AE79" s="268">
        <f t="shared" si="179"/>
        <v>0</v>
      </c>
      <c r="AF79" s="268">
        <f t="shared" si="179"/>
        <v>0</v>
      </c>
      <c r="AG79" s="268">
        <f t="shared" si="179"/>
        <v>0</v>
      </c>
      <c r="AH79" s="268">
        <f t="shared" si="179"/>
        <v>0</v>
      </c>
      <c r="AI79" s="268">
        <f t="shared" si="179"/>
        <v>0</v>
      </c>
      <c r="AJ79" s="268">
        <f t="shared" si="179"/>
        <v>0</v>
      </c>
      <c r="AK79" s="268">
        <f t="shared" si="179"/>
        <v>0</v>
      </c>
      <c r="AL79" s="268">
        <f t="shared" si="179"/>
        <v>0</v>
      </c>
      <c r="AM79" s="268">
        <f t="shared" si="179"/>
        <v>0</v>
      </c>
      <c r="AN79" s="268">
        <f t="shared" si="179"/>
        <v>0</v>
      </c>
      <c r="AO79" s="268">
        <f t="shared" si="179"/>
        <v>0</v>
      </c>
      <c r="AP79" s="268">
        <f t="shared" si="179"/>
        <v>0</v>
      </c>
      <c r="AQ79" s="268">
        <f t="shared" si="179"/>
        <v>0</v>
      </c>
      <c r="AR79" s="268">
        <f t="shared" si="179"/>
        <v>0</v>
      </c>
      <c r="AS79" s="268">
        <f t="shared" si="179"/>
        <v>0</v>
      </c>
      <c r="AT79" s="268">
        <f t="shared" si="179"/>
        <v>0</v>
      </c>
      <c r="AU79" s="268">
        <f t="shared" si="179"/>
        <v>0</v>
      </c>
      <c r="AV79" s="268">
        <f t="shared" si="179"/>
        <v>0</v>
      </c>
      <c r="AW79" s="268">
        <f t="shared" si="179"/>
        <v>0</v>
      </c>
      <c r="AX79" s="268">
        <f t="shared" si="179"/>
        <v>0</v>
      </c>
      <c r="AY79" s="268">
        <f t="shared" si="179"/>
        <v>0</v>
      </c>
      <c r="AZ79" s="268">
        <f t="shared" si="179"/>
        <v>0</v>
      </c>
      <c r="BA79" s="268">
        <f t="shared" si="179"/>
        <v>0</v>
      </c>
      <c r="BB79" s="268">
        <f t="shared" si="179"/>
        <v>0</v>
      </c>
    </row>
    <row r="80" spans="1:54" ht="14.4" hidden="1" thickTop="1" x14ac:dyDescent="0.3">
      <c r="A80" s="10" t="str">
        <f ca="1">Language!A436</f>
        <v>Ставка налога, местная составляющая</v>
      </c>
      <c r="B80" s="33"/>
      <c r="C80" s="1" t="s">
        <v>1</v>
      </c>
      <c r="F80" s="6" t="s">
        <v>746</v>
      </c>
      <c r="G80" s="268">
        <f>G81-G79</f>
        <v>0</v>
      </c>
      <c r="H80" s="268">
        <f t="shared" ref="H80:M80" si="180">H81-H79</f>
        <v>0</v>
      </c>
      <c r="I80" s="268">
        <f t="shared" si="180"/>
        <v>0</v>
      </c>
      <c r="J80" s="268">
        <f t="shared" si="180"/>
        <v>0</v>
      </c>
      <c r="K80" s="268">
        <f t="shared" si="180"/>
        <v>0</v>
      </c>
      <c r="L80" s="268">
        <f t="shared" si="180"/>
        <v>0</v>
      </c>
      <c r="M80" s="268">
        <f t="shared" si="180"/>
        <v>0</v>
      </c>
      <c r="N80" s="268">
        <f t="shared" ref="N80:O80" si="181">N81-N79</f>
        <v>0</v>
      </c>
      <c r="O80" s="268">
        <f t="shared" si="181"/>
        <v>0</v>
      </c>
      <c r="P80" s="268">
        <f t="shared" ref="P80:Q80" si="182">P81-P79</f>
        <v>0</v>
      </c>
      <c r="Q80" s="268">
        <f t="shared" si="182"/>
        <v>0</v>
      </c>
      <c r="R80" s="268">
        <f t="shared" ref="R80:S80" si="183">R81-R79</f>
        <v>0</v>
      </c>
      <c r="S80" s="268">
        <f t="shared" si="183"/>
        <v>0</v>
      </c>
      <c r="T80" s="268">
        <f t="shared" ref="T80:U80" si="184">T81-T79</f>
        <v>0</v>
      </c>
      <c r="U80" s="268">
        <f t="shared" si="184"/>
        <v>0</v>
      </c>
      <c r="V80" s="268">
        <f t="shared" ref="V80:W80" si="185">V81-V79</f>
        <v>0</v>
      </c>
      <c r="W80" s="268">
        <f t="shared" si="185"/>
        <v>0</v>
      </c>
      <c r="X80" s="268">
        <f t="shared" ref="X80:Y80" si="186">X81-X79</f>
        <v>0</v>
      </c>
      <c r="Y80" s="268">
        <f t="shared" si="186"/>
        <v>0</v>
      </c>
      <c r="Z80" s="268">
        <f t="shared" ref="Z80:AA80" si="187">Z81-Z79</f>
        <v>0</v>
      </c>
      <c r="AA80" s="268">
        <f t="shared" si="187"/>
        <v>0</v>
      </c>
      <c r="AB80" s="268">
        <f t="shared" ref="AB80:AC80" si="188">AB81-AB79</f>
        <v>0</v>
      </c>
      <c r="AC80" s="268">
        <f t="shared" si="188"/>
        <v>0</v>
      </c>
      <c r="AD80" s="268">
        <f t="shared" ref="AD80:AE80" si="189">AD81-AD79</f>
        <v>0</v>
      </c>
      <c r="AE80" s="268">
        <f t="shared" si="189"/>
        <v>0</v>
      </c>
      <c r="AF80" s="268">
        <f t="shared" ref="AF80:AG80" si="190">AF81-AF79</f>
        <v>0</v>
      </c>
      <c r="AG80" s="268">
        <f t="shared" si="190"/>
        <v>0</v>
      </c>
      <c r="AH80" s="268">
        <f t="shared" ref="AH80:AI80" si="191">AH81-AH79</f>
        <v>0</v>
      </c>
      <c r="AI80" s="268">
        <f t="shared" si="191"/>
        <v>0</v>
      </c>
      <c r="AJ80" s="268">
        <f t="shared" ref="AJ80:AK80" si="192">AJ81-AJ79</f>
        <v>0</v>
      </c>
      <c r="AK80" s="268">
        <f t="shared" si="192"/>
        <v>0</v>
      </c>
      <c r="AL80" s="268">
        <f t="shared" ref="AL80:AM80" si="193">AL81-AL79</f>
        <v>0</v>
      </c>
      <c r="AM80" s="268">
        <f t="shared" si="193"/>
        <v>0</v>
      </c>
      <c r="AN80" s="268">
        <f t="shared" ref="AN80:AO80" si="194">AN81-AN79</f>
        <v>0</v>
      </c>
      <c r="AO80" s="268">
        <f t="shared" si="194"/>
        <v>0</v>
      </c>
      <c r="AP80" s="268">
        <f t="shared" ref="AP80:AQ80" si="195">AP81-AP79</f>
        <v>0</v>
      </c>
      <c r="AQ80" s="268">
        <f t="shared" si="195"/>
        <v>0</v>
      </c>
      <c r="AR80" s="268">
        <f t="shared" ref="AR80:AS80" si="196">AR81-AR79</f>
        <v>0</v>
      </c>
      <c r="AS80" s="268">
        <f t="shared" si="196"/>
        <v>0</v>
      </c>
      <c r="AT80" s="268">
        <f t="shared" ref="AT80:AU80" si="197">AT81-AT79</f>
        <v>0</v>
      </c>
      <c r="AU80" s="268">
        <f t="shared" si="197"/>
        <v>0</v>
      </c>
      <c r="AV80" s="268">
        <f t="shared" ref="AV80:AW80" si="198">AV81-AV79</f>
        <v>0</v>
      </c>
      <c r="AW80" s="268">
        <f t="shared" si="198"/>
        <v>0</v>
      </c>
      <c r="AX80" s="268">
        <f t="shared" ref="AX80:AY80" si="199">AX81-AX79</f>
        <v>0</v>
      </c>
      <c r="AY80" s="268">
        <f t="shared" si="199"/>
        <v>0</v>
      </c>
      <c r="AZ80" s="268">
        <f t="shared" ref="AZ80:BA80" si="200">AZ81-AZ79</f>
        <v>0</v>
      </c>
      <c r="BA80" s="268">
        <f t="shared" si="200"/>
        <v>0</v>
      </c>
      <c r="BB80" s="268">
        <f t="shared" ref="BB80" si="201">BB81-BB79</f>
        <v>0</v>
      </c>
    </row>
    <row r="81" spans="1:54" ht="14.4" hidden="1" thickTop="1" x14ac:dyDescent="0.3">
      <c r="A81" s="10" t="str">
        <f ca="1">Language!A437</f>
        <v>Суммарная ставка налога на прибыль</v>
      </c>
      <c r="B81" s="318">
        <v>0.2</v>
      </c>
      <c r="C81" s="1" t="s">
        <v>1</v>
      </c>
      <c r="F81" s="6" t="s">
        <v>745</v>
      </c>
      <c r="G81" s="29">
        <f>B81*Prj_Tax2</f>
        <v>0</v>
      </c>
      <c r="H81" s="29">
        <f>G81</f>
        <v>0</v>
      </c>
      <c r="I81" s="29">
        <f t="shared" ref="I81:BB81" si="202">H81</f>
        <v>0</v>
      </c>
      <c r="J81" s="29">
        <f t="shared" si="202"/>
        <v>0</v>
      </c>
      <c r="K81" s="29">
        <f t="shared" si="202"/>
        <v>0</v>
      </c>
      <c r="L81" s="29">
        <f t="shared" si="202"/>
        <v>0</v>
      </c>
      <c r="M81" s="29">
        <f t="shared" si="202"/>
        <v>0</v>
      </c>
      <c r="N81" s="29">
        <f t="shared" si="202"/>
        <v>0</v>
      </c>
      <c r="O81" s="29">
        <f t="shared" si="202"/>
        <v>0</v>
      </c>
      <c r="P81" s="29">
        <f t="shared" si="202"/>
        <v>0</v>
      </c>
      <c r="Q81" s="29">
        <f t="shared" si="202"/>
        <v>0</v>
      </c>
      <c r="R81" s="29">
        <f t="shared" si="202"/>
        <v>0</v>
      </c>
      <c r="S81" s="29">
        <f t="shared" si="202"/>
        <v>0</v>
      </c>
      <c r="T81" s="29">
        <f t="shared" si="202"/>
        <v>0</v>
      </c>
      <c r="U81" s="29">
        <f t="shared" si="202"/>
        <v>0</v>
      </c>
      <c r="V81" s="29">
        <f t="shared" si="202"/>
        <v>0</v>
      </c>
      <c r="W81" s="29">
        <f t="shared" si="202"/>
        <v>0</v>
      </c>
      <c r="X81" s="29">
        <f t="shared" si="202"/>
        <v>0</v>
      </c>
      <c r="Y81" s="29">
        <f t="shared" si="202"/>
        <v>0</v>
      </c>
      <c r="Z81" s="29">
        <f t="shared" si="202"/>
        <v>0</v>
      </c>
      <c r="AA81" s="29">
        <f t="shared" si="202"/>
        <v>0</v>
      </c>
      <c r="AB81" s="29">
        <f t="shared" si="202"/>
        <v>0</v>
      </c>
      <c r="AC81" s="29">
        <f t="shared" si="202"/>
        <v>0</v>
      </c>
      <c r="AD81" s="29">
        <f t="shared" si="202"/>
        <v>0</v>
      </c>
      <c r="AE81" s="29">
        <f t="shared" si="202"/>
        <v>0</v>
      </c>
      <c r="AF81" s="29">
        <f t="shared" si="202"/>
        <v>0</v>
      </c>
      <c r="AG81" s="29">
        <f t="shared" si="202"/>
        <v>0</v>
      </c>
      <c r="AH81" s="29">
        <f t="shared" si="202"/>
        <v>0</v>
      </c>
      <c r="AI81" s="29">
        <f t="shared" si="202"/>
        <v>0</v>
      </c>
      <c r="AJ81" s="29">
        <f t="shared" si="202"/>
        <v>0</v>
      </c>
      <c r="AK81" s="29">
        <f t="shared" si="202"/>
        <v>0</v>
      </c>
      <c r="AL81" s="29">
        <f t="shared" si="202"/>
        <v>0</v>
      </c>
      <c r="AM81" s="29">
        <f t="shared" si="202"/>
        <v>0</v>
      </c>
      <c r="AN81" s="29">
        <f t="shared" si="202"/>
        <v>0</v>
      </c>
      <c r="AO81" s="29">
        <f t="shared" si="202"/>
        <v>0</v>
      </c>
      <c r="AP81" s="29">
        <f t="shared" si="202"/>
        <v>0</v>
      </c>
      <c r="AQ81" s="29">
        <f t="shared" si="202"/>
        <v>0</v>
      </c>
      <c r="AR81" s="29">
        <f t="shared" si="202"/>
        <v>0</v>
      </c>
      <c r="AS81" s="29">
        <f t="shared" si="202"/>
        <v>0</v>
      </c>
      <c r="AT81" s="29">
        <f t="shared" si="202"/>
        <v>0</v>
      </c>
      <c r="AU81" s="29">
        <f t="shared" si="202"/>
        <v>0</v>
      </c>
      <c r="AV81" s="29">
        <f t="shared" si="202"/>
        <v>0</v>
      </c>
      <c r="AW81" s="29">
        <f t="shared" si="202"/>
        <v>0</v>
      </c>
      <c r="AX81" s="29">
        <f t="shared" si="202"/>
        <v>0</v>
      </c>
      <c r="AY81" s="29">
        <f t="shared" si="202"/>
        <v>0</v>
      </c>
      <c r="AZ81" s="29">
        <f t="shared" si="202"/>
        <v>0</v>
      </c>
      <c r="BA81" s="29">
        <f t="shared" si="202"/>
        <v>0</v>
      </c>
      <c r="BB81" s="29">
        <f t="shared" si="202"/>
        <v>0</v>
      </c>
    </row>
    <row r="82" spans="1:54" ht="14.4" hidden="1" thickTop="1" x14ac:dyDescent="0.3">
      <c r="A82" s="10" t="str">
        <f ca="1">Language!A$438</f>
        <v>Периодичность выплаты налога</v>
      </c>
      <c r="B82" s="272">
        <v>90</v>
      </c>
      <c r="C82" s="1" t="str">
        <f ca="1">Language!$A$1474</f>
        <v>дней</v>
      </c>
    </row>
    <row r="83" spans="1:54" ht="14.4" thickTop="1" x14ac:dyDescent="0.3">
      <c r="A83" s="10"/>
      <c r="B83" s="17"/>
      <c r="E83" s="6" t="s">
        <v>633</v>
      </c>
      <c r="F83" s="6" t="s">
        <v>634</v>
      </c>
    </row>
    <row r="84" spans="1:54" x14ac:dyDescent="0.3">
      <c r="A84" s="22" t="str">
        <f ca="1">Language!A439</f>
        <v>СОЦИАЛЬНЫЕ ВЗНОСЫ</v>
      </c>
      <c r="B84" s="17"/>
    </row>
    <row r="85" spans="1:54" x14ac:dyDescent="0.3">
      <c r="A85" s="10"/>
      <c r="B85" s="17"/>
    </row>
    <row r="86" spans="1:54" x14ac:dyDescent="0.3">
      <c r="A86" s="10" t="str">
        <f ca="1">Language!A440</f>
        <v>Ставка взносов в пенсионный фонд</v>
      </c>
      <c r="B86" s="33"/>
      <c r="C86" s="1" t="s">
        <v>1</v>
      </c>
      <c r="D86" s="6">
        <v>1</v>
      </c>
      <c r="F86" s="6" t="s">
        <v>746</v>
      </c>
      <c r="G86" s="268">
        <v>0.22</v>
      </c>
      <c r="H86" s="268">
        <f t="shared" ref="H86:BB90" si="203">G86</f>
        <v>0.22</v>
      </c>
      <c r="I86" s="268">
        <f t="shared" si="203"/>
        <v>0.22</v>
      </c>
      <c r="J86" s="268">
        <f t="shared" si="203"/>
        <v>0.22</v>
      </c>
      <c r="K86" s="268">
        <f t="shared" si="203"/>
        <v>0.22</v>
      </c>
      <c r="L86" s="268">
        <f t="shared" si="203"/>
        <v>0.22</v>
      </c>
      <c r="M86" s="268">
        <f t="shared" si="203"/>
        <v>0.22</v>
      </c>
      <c r="N86" s="268">
        <f t="shared" si="203"/>
        <v>0.22</v>
      </c>
      <c r="O86" s="268">
        <f t="shared" si="203"/>
        <v>0.22</v>
      </c>
      <c r="P86" s="268">
        <f t="shared" si="203"/>
        <v>0.22</v>
      </c>
      <c r="Q86" s="268">
        <f t="shared" si="203"/>
        <v>0.22</v>
      </c>
      <c r="R86" s="268">
        <f t="shared" si="203"/>
        <v>0.22</v>
      </c>
      <c r="S86" s="268">
        <f t="shared" si="203"/>
        <v>0.22</v>
      </c>
      <c r="T86" s="268">
        <f t="shared" si="203"/>
        <v>0.22</v>
      </c>
      <c r="U86" s="268">
        <f t="shared" si="203"/>
        <v>0.22</v>
      </c>
      <c r="V86" s="268">
        <f t="shared" si="203"/>
        <v>0.22</v>
      </c>
      <c r="W86" s="268">
        <f t="shared" si="203"/>
        <v>0.22</v>
      </c>
      <c r="X86" s="268">
        <f t="shared" si="203"/>
        <v>0.22</v>
      </c>
      <c r="Y86" s="268">
        <f t="shared" si="203"/>
        <v>0.22</v>
      </c>
      <c r="Z86" s="268">
        <f t="shared" si="203"/>
        <v>0.22</v>
      </c>
      <c r="AA86" s="268">
        <f t="shared" si="203"/>
        <v>0.22</v>
      </c>
      <c r="AB86" s="268">
        <f t="shared" si="203"/>
        <v>0.22</v>
      </c>
      <c r="AC86" s="268">
        <f t="shared" si="203"/>
        <v>0.22</v>
      </c>
      <c r="AD86" s="268">
        <f t="shared" si="203"/>
        <v>0.22</v>
      </c>
      <c r="AE86" s="268">
        <f t="shared" si="203"/>
        <v>0.22</v>
      </c>
      <c r="AF86" s="268">
        <f t="shared" si="203"/>
        <v>0.22</v>
      </c>
      <c r="AG86" s="268">
        <f t="shared" si="203"/>
        <v>0.22</v>
      </c>
      <c r="AH86" s="268">
        <f t="shared" si="203"/>
        <v>0.22</v>
      </c>
      <c r="AI86" s="268">
        <f t="shared" si="203"/>
        <v>0.22</v>
      </c>
      <c r="AJ86" s="268">
        <f t="shared" si="203"/>
        <v>0.22</v>
      </c>
      <c r="AK86" s="268">
        <f t="shared" si="203"/>
        <v>0.22</v>
      </c>
      <c r="AL86" s="268">
        <f t="shared" si="203"/>
        <v>0.22</v>
      </c>
      <c r="AM86" s="268">
        <f t="shared" si="203"/>
        <v>0.22</v>
      </c>
      <c r="AN86" s="268">
        <f t="shared" si="203"/>
        <v>0.22</v>
      </c>
      <c r="AO86" s="268">
        <f t="shared" si="203"/>
        <v>0.22</v>
      </c>
      <c r="AP86" s="268">
        <f t="shared" si="203"/>
        <v>0.22</v>
      </c>
      <c r="AQ86" s="268">
        <f t="shared" si="203"/>
        <v>0.22</v>
      </c>
      <c r="AR86" s="268">
        <f t="shared" si="203"/>
        <v>0.22</v>
      </c>
      <c r="AS86" s="268">
        <f t="shared" si="203"/>
        <v>0.22</v>
      </c>
      <c r="AT86" s="268">
        <f t="shared" si="203"/>
        <v>0.22</v>
      </c>
      <c r="AU86" s="268">
        <f t="shared" si="203"/>
        <v>0.22</v>
      </c>
      <c r="AV86" s="268">
        <f t="shared" si="203"/>
        <v>0.22</v>
      </c>
      <c r="AW86" s="268">
        <f t="shared" si="203"/>
        <v>0.22</v>
      </c>
      <c r="AX86" s="268">
        <f t="shared" si="203"/>
        <v>0.22</v>
      </c>
      <c r="AY86" s="268">
        <f t="shared" si="203"/>
        <v>0.22</v>
      </c>
      <c r="AZ86" s="268">
        <f t="shared" si="203"/>
        <v>0.22</v>
      </c>
      <c r="BA86" s="268">
        <f t="shared" si="203"/>
        <v>0.22</v>
      </c>
      <c r="BB86" s="268">
        <f t="shared" si="203"/>
        <v>0.22</v>
      </c>
    </row>
    <row r="87" spans="1:54" x14ac:dyDescent="0.3">
      <c r="A87" s="10" t="str">
        <f ca="1">Language!A441</f>
        <v>Ставка взносов на медицинское страхование</v>
      </c>
      <c r="B87" s="33"/>
      <c r="C87" s="1" t="s">
        <v>1</v>
      </c>
      <c r="F87" s="6" t="s">
        <v>746</v>
      </c>
      <c r="G87" s="268">
        <v>5.0999999999999997E-2</v>
      </c>
      <c r="H87" s="268">
        <f t="shared" si="203"/>
        <v>5.0999999999999997E-2</v>
      </c>
      <c r="I87" s="268">
        <f t="shared" si="203"/>
        <v>5.0999999999999997E-2</v>
      </c>
      <c r="J87" s="268">
        <f t="shared" si="203"/>
        <v>5.0999999999999997E-2</v>
      </c>
      <c r="K87" s="268">
        <f t="shared" si="203"/>
        <v>5.0999999999999997E-2</v>
      </c>
      <c r="L87" s="268">
        <f t="shared" si="203"/>
        <v>5.0999999999999997E-2</v>
      </c>
      <c r="M87" s="268">
        <f t="shared" si="203"/>
        <v>5.0999999999999997E-2</v>
      </c>
      <c r="N87" s="268">
        <f t="shared" si="203"/>
        <v>5.0999999999999997E-2</v>
      </c>
      <c r="O87" s="268">
        <f t="shared" si="203"/>
        <v>5.0999999999999997E-2</v>
      </c>
      <c r="P87" s="268">
        <f t="shared" si="203"/>
        <v>5.0999999999999997E-2</v>
      </c>
      <c r="Q87" s="268">
        <f t="shared" si="203"/>
        <v>5.0999999999999997E-2</v>
      </c>
      <c r="R87" s="268">
        <f t="shared" si="203"/>
        <v>5.0999999999999997E-2</v>
      </c>
      <c r="S87" s="268">
        <f t="shared" si="203"/>
        <v>5.0999999999999997E-2</v>
      </c>
      <c r="T87" s="268">
        <f t="shared" si="203"/>
        <v>5.0999999999999997E-2</v>
      </c>
      <c r="U87" s="268">
        <f t="shared" si="203"/>
        <v>5.0999999999999997E-2</v>
      </c>
      <c r="V87" s="268">
        <f t="shared" si="203"/>
        <v>5.0999999999999997E-2</v>
      </c>
      <c r="W87" s="268">
        <f t="shared" si="203"/>
        <v>5.0999999999999997E-2</v>
      </c>
      <c r="X87" s="268">
        <f t="shared" si="203"/>
        <v>5.0999999999999997E-2</v>
      </c>
      <c r="Y87" s="268">
        <f t="shared" si="203"/>
        <v>5.0999999999999997E-2</v>
      </c>
      <c r="Z87" s="268">
        <f t="shared" si="203"/>
        <v>5.0999999999999997E-2</v>
      </c>
      <c r="AA87" s="268">
        <f t="shared" si="203"/>
        <v>5.0999999999999997E-2</v>
      </c>
      <c r="AB87" s="268">
        <f t="shared" si="203"/>
        <v>5.0999999999999997E-2</v>
      </c>
      <c r="AC87" s="268">
        <f t="shared" si="203"/>
        <v>5.0999999999999997E-2</v>
      </c>
      <c r="AD87" s="268">
        <f t="shared" si="203"/>
        <v>5.0999999999999997E-2</v>
      </c>
      <c r="AE87" s="268">
        <f t="shared" si="203"/>
        <v>5.0999999999999997E-2</v>
      </c>
      <c r="AF87" s="268">
        <f t="shared" si="203"/>
        <v>5.0999999999999997E-2</v>
      </c>
      <c r="AG87" s="268">
        <f t="shared" si="203"/>
        <v>5.0999999999999997E-2</v>
      </c>
      <c r="AH87" s="268">
        <f t="shared" si="203"/>
        <v>5.0999999999999997E-2</v>
      </c>
      <c r="AI87" s="268">
        <f t="shared" si="203"/>
        <v>5.0999999999999997E-2</v>
      </c>
      <c r="AJ87" s="268">
        <f t="shared" si="203"/>
        <v>5.0999999999999997E-2</v>
      </c>
      <c r="AK87" s="268">
        <f t="shared" si="203"/>
        <v>5.0999999999999997E-2</v>
      </c>
      <c r="AL87" s="268">
        <f t="shared" si="203"/>
        <v>5.0999999999999997E-2</v>
      </c>
      <c r="AM87" s="268">
        <f t="shared" si="203"/>
        <v>5.0999999999999997E-2</v>
      </c>
      <c r="AN87" s="268">
        <f t="shared" si="203"/>
        <v>5.0999999999999997E-2</v>
      </c>
      <c r="AO87" s="268">
        <f t="shared" si="203"/>
        <v>5.0999999999999997E-2</v>
      </c>
      <c r="AP87" s="268">
        <f t="shared" si="203"/>
        <v>5.0999999999999997E-2</v>
      </c>
      <c r="AQ87" s="268">
        <f t="shared" si="203"/>
        <v>5.0999999999999997E-2</v>
      </c>
      <c r="AR87" s="268">
        <f t="shared" si="203"/>
        <v>5.0999999999999997E-2</v>
      </c>
      <c r="AS87" s="268">
        <f t="shared" si="203"/>
        <v>5.0999999999999997E-2</v>
      </c>
      <c r="AT87" s="268">
        <f t="shared" si="203"/>
        <v>5.0999999999999997E-2</v>
      </c>
      <c r="AU87" s="268">
        <f t="shared" si="203"/>
        <v>5.0999999999999997E-2</v>
      </c>
      <c r="AV87" s="268">
        <f t="shared" si="203"/>
        <v>5.0999999999999997E-2</v>
      </c>
      <c r="AW87" s="268">
        <f t="shared" si="203"/>
        <v>5.0999999999999997E-2</v>
      </c>
      <c r="AX87" s="268">
        <f t="shared" si="203"/>
        <v>5.0999999999999997E-2</v>
      </c>
      <c r="AY87" s="268">
        <f t="shared" si="203"/>
        <v>5.0999999999999997E-2</v>
      </c>
      <c r="AZ87" s="268">
        <f t="shared" si="203"/>
        <v>5.0999999999999997E-2</v>
      </c>
      <c r="BA87" s="268">
        <f t="shared" si="203"/>
        <v>5.0999999999999997E-2</v>
      </c>
      <c r="BB87" s="268">
        <f t="shared" si="203"/>
        <v>5.0999999999999997E-2</v>
      </c>
    </row>
    <row r="88" spans="1:54" x14ac:dyDescent="0.3">
      <c r="A88" s="10" t="str">
        <f ca="1">Language!A442</f>
        <v>Ставка взносов в фонд социального страхования</v>
      </c>
      <c r="B88" s="33"/>
      <c r="C88" s="1" t="s">
        <v>1</v>
      </c>
      <c r="F88" s="6" t="s">
        <v>746</v>
      </c>
      <c r="G88" s="268">
        <v>2.9000000000000001E-2</v>
      </c>
      <c r="H88" s="268">
        <f t="shared" si="203"/>
        <v>2.9000000000000001E-2</v>
      </c>
      <c r="I88" s="268">
        <f t="shared" si="203"/>
        <v>2.9000000000000001E-2</v>
      </c>
      <c r="J88" s="268">
        <f t="shared" si="203"/>
        <v>2.9000000000000001E-2</v>
      </c>
      <c r="K88" s="268">
        <f t="shared" si="203"/>
        <v>2.9000000000000001E-2</v>
      </c>
      <c r="L88" s="268">
        <f t="shared" si="203"/>
        <v>2.9000000000000001E-2</v>
      </c>
      <c r="M88" s="268">
        <f t="shared" si="203"/>
        <v>2.9000000000000001E-2</v>
      </c>
      <c r="N88" s="268">
        <f t="shared" si="203"/>
        <v>2.9000000000000001E-2</v>
      </c>
      <c r="O88" s="268">
        <f t="shared" si="203"/>
        <v>2.9000000000000001E-2</v>
      </c>
      <c r="P88" s="268">
        <f t="shared" si="203"/>
        <v>2.9000000000000001E-2</v>
      </c>
      <c r="Q88" s="268">
        <f t="shared" si="203"/>
        <v>2.9000000000000001E-2</v>
      </c>
      <c r="R88" s="268">
        <f t="shared" si="203"/>
        <v>2.9000000000000001E-2</v>
      </c>
      <c r="S88" s="268">
        <f t="shared" si="203"/>
        <v>2.9000000000000001E-2</v>
      </c>
      <c r="T88" s="268">
        <f t="shared" si="203"/>
        <v>2.9000000000000001E-2</v>
      </c>
      <c r="U88" s="268">
        <f t="shared" si="203"/>
        <v>2.9000000000000001E-2</v>
      </c>
      <c r="V88" s="268">
        <f t="shared" si="203"/>
        <v>2.9000000000000001E-2</v>
      </c>
      <c r="W88" s="268">
        <f t="shared" si="203"/>
        <v>2.9000000000000001E-2</v>
      </c>
      <c r="X88" s="268">
        <f t="shared" si="203"/>
        <v>2.9000000000000001E-2</v>
      </c>
      <c r="Y88" s="268">
        <f t="shared" si="203"/>
        <v>2.9000000000000001E-2</v>
      </c>
      <c r="Z88" s="268">
        <f t="shared" si="203"/>
        <v>2.9000000000000001E-2</v>
      </c>
      <c r="AA88" s="268">
        <f t="shared" si="203"/>
        <v>2.9000000000000001E-2</v>
      </c>
      <c r="AB88" s="268">
        <f t="shared" si="203"/>
        <v>2.9000000000000001E-2</v>
      </c>
      <c r="AC88" s="268">
        <f t="shared" si="203"/>
        <v>2.9000000000000001E-2</v>
      </c>
      <c r="AD88" s="268">
        <f t="shared" si="203"/>
        <v>2.9000000000000001E-2</v>
      </c>
      <c r="AE88" s="268">
        <f t="shared" si="203"/>
        <v>2.9000000000000001E-2</v>
      </c>
      <c r="AF88" s="268">
        <f t="shared" si="203"/>
        <v>2.9000000000000001E-2</v>
      </c>
      <c r="AG88" s="268">
        <f t="shared" si="203"/>
        <v>2.9000000000000001E-2</v>
      </c>
      <c r="AH88" s="268">
        <f t="shared" si="203"/>
        <v>2.9000000000000001E-2</v>
      </c>
      <c r="AI88" s="268">
        <f t="shared" si="203"/>
        <v>2.9000000000000001E-2</v>
      </c>
      <c r="AJ88" s="268">
        <f t="shared" si="203"/>
        <v>2.9000000000000001E-2</v>
      </c>
      <c r="AK88" s="268">
        <f t="shared" si="203"/>
        <v>2.9000000000000001E-2</v>
      </c>
      <c r="AL88" s="268">
        <f t="shared" si="203"/>
        <v>2.9000000000000001E-2</v>
      </c>
      <c r="AM88" s="268">
        <f t="shared" si="203"/>
        <v>2.9000000000000001E-2</v>
      </c>
      <c r="AN88" s="268">
        <f t="shared" si="203"/>
        <v>2.9000000000000001E-2</v>
      </c>
      <c r="AO88" s="268">
        <f t="shared" si="203"/>
        <v>2.9000000000000001E-2</v>
      </c>
      <c r="AP88" s="268">
        <f t="shared" si="203"/>
        <v>2.9000000000000001E-2</v>
      </c>
      <c r="AQ88" s="268">
        <f t="shared" si="203"/>
        <v>2.9000000000000001E-2</v>
      </c>
      <c r="AR88" s="268">
        <f t="shared" si="203"/>
        <v>2.9000000000000001E-2</v>
      </c>
      <c r="AS88" s="268">
        <f t="shared" si="203"/>
        <v>2.9000000000000001E-2</v>
      </c>
      <c r="AT88" s="268">
        <f t="shared" si="203"/>
        <v>2.9000000000000001E-2</v>
      </c>
      <c r="AU88" s="268">
        <f t="shared" si="203"/>
        <v>2.9000000000000001E-2</v>
      </c>
      <c r="AV88" s="268">
        <f t="shared" si="203"/>
        <v>2.9000000000000001E-2</v>
      </c>
      <c r="AW88" s="268">
        <f t="shared" si="203"/>
        <v>2.9000000000000001E-2</v>
      </c>
      <c r="AX88" s="268">
        <f t="shared" si="203"/>
        <v>2.9000000000000001E-2</v>
      </c>
      <c r="AY88" s="268">
        <f t="shared" si="203"/>
        <v>2.9000000000000001E-2</v>
      </c>
      <c r="AZ88" s="268">
        <f t="shared" si="203"/>
        <v>2.9000000000000001E-2</v>
      </c>
      <c r="BA88" s="268">
        <f t="shared" si="203"/>
        <v>2.9000000000000001E-2</v>
      </c>
      <c r="BB88" s="268">
        <f t="shared" si="203"/>
        <v>2.9000000000000001E-2</v>
      </c>
    </row>
    <row r="89" spans="1:54" x14ac:dyDescent="0.3">
      <c r="A89" s="10" t="str">
        <f ca="1">Language!A443</f>
        <v>Ставка страхования от несчастных случаев</v>
      </c>
      <c r="B89" s="33"/>
      <c r="C89" s="1" t="s">
        <v>1</v>
      </c>
      <c r="F89" s="6" t="s">
        <v>746</v>
      </c>
      <c r="G89" s="268">
        <v>0.01</v>
      </c>
      <c r="H89" s="268">
        <f t="shared" si="203"/>
        <v>0.01</v>
      </c>
      <c r="I89" s="268">
        <f t="shared" si="203"/>
        <v>0.01</v>
      </c>
      <c r="J89" s="268">
        <f t="shared" si="203"/>
        <v>0.01</v>
      </c>
      <c r="K89" s="268">
        <f t="shared" si="203"/>
        <v>0.01</v>
      </c>
      <c r="L89" s="268">
        <f t="shared" si="203"/>
        <v>0.01</v>
      </c>
      <c r="M89" s="268">
        <f t="shared" si="203"/>
        <v>0.01</v>
      </c>
      <c r="N89" s="268">
        <f t="shared" si="203"/>
        <v>0.01</v>
      </c>
      <c r="O89" s="268">
        <f t="shared" si="203"/>
        <v>0.01</v>
      </c>
      <c r="P89" s="268">
        <f t="shared" si="203"/>
        <v>0.01</v>
      </c>
      <c r="Q89" s="268">
        <f t="shared" si="203"/>
        <v>0.01</v>
      </c>
      <c r="R89" s="268">
        <f t="shared" si="203"/>
        <v>0.01</v>
      </c>
      <c r="S89" s="268">
        <f t="shared" si="203"/>
        <v>0.01</v>
      </c>
      <c r="T89" s="268">
        <f t="shared" si="203"/>
        <v>0.01</v>
      </c>
      <c r="U89" s="268">
        <f t="shared" si="203"/>
        <v>0.01</v>
      </c>
      <c r="V89" s="268">
        <f t="shared" si="203"/>
        <v>0.01</v>
      </c>
      <c r="W89" s="268">
        <f t="shared" si="203"/>
        <v>0.01</v>
      </c>
      <c r="X89" s="268">
        <f t="shared" si="203"/>
        <v>0.01</v>
      </c>
      <c r="Y89" s="268">
        <f t="shared" si="203"/>
        <v>0.01</v>
      </c>
      <c r="Z89" s="268">
        <f t="shared" si="203"/>
        <v>0.01</v>
      </c>
      <c r="AA89" s="268">
        <f t="shared" si="203"/>
        <v>0.01</v>
      </c>
      <c r="AB89" s="268">
        <f t="shared" si="203"/>
        <v>0.01</v>
      </c>
      <c r="AC89" s="268">
        <f t="shared" si="203"/>
        <v>0.01</v>
      </c>
      <c r="AD89" s="268">
        <f t="shared" si="203"/>
        <v>0.01</v>
      </c>
      <c r="AE89" s="268">
        <f t="shared" si="203"/>
        <v>0.01</v>
      </c>
      <c r="AF89" s="268">
        <f t="shared" si="203"/>
        <v>0.01</v>
      </c>
      <c r="AG89" s="268">
        <f t="shared" si="203"/>
        <v>0.01</v>
      </c>
      <c r="AH89" s="268">
        <f t="shared" si="203"/>
        <v>0.01</v>
      </c>
      <c r="AI89" s="268">
        <f t="shared" si="203"/>
        <v>0.01</v>
      </c>
      <c r="AJ89" s="268">
        <f t="shared" si="203"/>
        <v>0.01</v>
      </c>
      <c r="AK89" s="268">
        <f t="shared" si="203"/>
        <v>0.01</v>
      </c>
      <c r="AL89" s="268">
        <f t="shared" si="203"/>
        <v>0.01</v>
      </c>
      <c r="AM89" s="268">
        <f t="shared" si="203"/>
        <v>0.01</v>
      </c>
      <c r="AN89" s="268">
        <f t="shared" si="203"/>
        <v>0.01</v>
      </c>
      <c r="AO89" s="268">
        <f t="shared" si="203"/>
        <v>0.01</v>
      </c>
      <c r="AP89" s="268">
        <f t="shared" si="203"/>
        <v>0.01</v>
      </c>
      <c r="AQ89" s="268">
        <f t="shared" si="203"/>
        <v>0.01</v>
      </c>
      <c r="AR89" s="268">
        <f t="shared" si="203"/>
        <v>0.01</v>
      </c>
      <c r="AS89" s="268">
        <f t="shared" si="203"/>
        <v>0.01</v>
      </c>
      <c r="AT89" s="268">
        <f t="shared" si="203"/>
        <v>0.01</v>
      </c>
      <c r="AU89" s="268">
        <f t="shared" si="203"/>
        <v>0.01</v>
      </c>
      <c r="AV89" s="268">
        <f t="shared" si="203"/>
        <v>0.01</v>
      </c>
      <c r="AW89" s="268">
        <f t="shared" si="203"/>
        <v>0.01</v>
      </c>
      <c r="AX89" s="268">
        <f t="shared" si="203"/>
        <v>0.01</v>
      </c>
      <c r="AY89" s="268">
        <f t="shared" si="203"/>
        <v>0.01</v>
      </c>
      <c r="AZ89" s="268">
        <f t="shared" si="203"/>
        <v>0.01</v>
      </c>
      <c r="BA89" s="268">
        <f t="shared" si="203"/>
        <v>0.01</v>
      </c>
      <c r="BB89" s="268">
        <f t="shared" si="203"/>
        <v>0.01</v>
      </c>
    </row>
    <row r="90" spans="1:54" x14ac:dyDescent="0.3">
      <c r="A90" s="10" t="str">
        <f ca="1">Language!A444</f>
        <v>Ставка других социальных взносов</v>
      </c>
      <c r="B90" s="33"/>
      <c r="C90" s="1" t="s">
        <v>1</v>
      </c>
      <c r="F90" s="6" t="s">
        <v>746</v>
      </c>
      <c r="G90" s="268">
        <v>0</v>
      </c>
      <c r="H90" s="268">
        <f t="shared" si="203"/>
        <v>0</v>
      </c>
      <c r="I90" s="268">
        <f t="shared" si="203"/>
        <v>0</v>
      </c>
      <c r="J90" s="268">
        <f t="shared" si="203"/>
        <v>0</v>
      </c>
      <c r="K90" s="268">
        <f t="shared" si="203"/>
        <v>0</v>
      </c>
      <c r="L90" s="268">
        <f t="shared" si="203"/>
        <v>0</v>
      </c>
      <c r="M90" s="268">
        <f t="shared" si="203"/>
        <v>0</v>
      </c>
      <c r="N90" s="268">
        <f t="shared" si="203"/>
        <v>0</v>
      </c>
      <c r="O90" s="268">
        <f t="shared" si="203"/>
        <v>0</v>
      </c>
      <c r="P90" s="268">
        <f t="shared" si="203"/>
        <v>0</v>
      </c>
      <c r="Q90" s="268">
        <f t="shared" si="203"/>
        <v>0</v>
      </c>
      <c r="R90" s="268">
        <f t="shared" si="203"/>
        <v>0</v>
      </c>
      <c r="S90" s="268">
        <f t="shared" si="203"/>
        <v>0</v>
      </c>
      <c r="T90" s="268">
        <f t="shared" si="203"/>
        <v>0</v>
      </c>
      <c r="U90" s="268">
        <f t="shared" si="203"/>
        <v>0</v>
      </c>
      <c r="V90" s="268">
        <f t="shared" si="203"/>
        <v>0</v>
      </c>
      <c r="W90" s="268">
        <f t="shared" si="203"/>
        <v>0</v>
      </c>
      <c r="X90" s="268">
        <f t="shared" si="203"/>
        <v>0</v>
      </c>
      <c r="Y90" s="268">
        <f t="shared" si="203"/>
        <v>0</v>
      </c>
      <c r="Z90" s="268">
        <f t="shared" si="203"/>
        <v>0</v>
      </c>
      <c r="AA90" s="268">
        <f t="shared" si="203"/>
        <v>0</v>
      </c>
      <c r="AB90" s="268">
        <f t="shared" si="203"/>
        <v>0</v>
      </c>
      <c r="AC90" s="268">
        <f t="shared" si="203"/>
        <v>0</v>
      </c>
      <c r="AD90" s="268">
        <f t="shared" si="203"/>
        <v>0</v>
      </c>
      <c r="AE90" s="268">
        <f t="shared" si="203"/>
        <v>0</v>
      </c>
      <c r="AF90" s="268">
        <f t="shared" si="203"/>
        <v>0</v>
      </c>
      <c r="AG90" s="268">
        <f t="shared" si="203"/>
        <v>0</v>
      </c>
      <c r="AH90" s="268">
        <f t="shared" si="203"/>
        <v>0</v>
      </c>
      <c r="AI90" s="268">
        <f t="shared" si="203"/>
        <v>0</v>
      </c>
      <c r="AJ90" s="268">
        <f t="shared" si="203"/>
        <v>0</v>
      </c>
      <c r="AK90" s="268">
        <f t="shared" si="203"/>
        <v>0</v>
      </c>
      <c r="AL90" s="268">
        <f t="shared" si="203"/>
        <v>0</v>
      </c>
      <c r="AM90" s="268">
        <f t="shared" si="203"/>
        <v>0</v>
      </c>
      <c r="AN90" s="268">
        <f t="shared" si="203"/>
        <v>0</v>
      </c>
      <c r="AO90" s="268">
        <f t="shared" si="203"/>
        <v>0</v>
      </c>
      <c r="AP90" s="268">
        <f t="shared" si="203"/>
        <v>0</v>
      </c>
      <c r="AQ90" s="268">
        <f t="shared" si="203"/>
        <v>0</v>
      </c>
      <c r="AR90" s="268">
        <f t="shared" si="203"/>
        <v>0</v>
      </c>
      <c r="AS90" s="268">
        <f t="shared" si="203"/>
        <v>0</v>
      </c>
      <c r="AT90" s="268">
        <f t="shared" si="203"/>
        <v>0</v>
      </c>
      <c r="AU90" s="268">
        <f t="shared" si="203"/>
        <v>0</v>
      </c>
      <c r="AV90" s="268">
        <f t="shared" si="203"/>
        <v>0</v>
      </c>
      <c r="AW90" s="268">
        <f t="shared" si="203"/>
        <v>0</v>
      </c>
      <c r="AX90" s="268">
        <f t="shared" si="203"/>
        <v>0</v>
      </c>
      <c r="AY90" s="268">
        <f t="shared" si="203"/>
        <v>0</v>
      </c>
      <c r="AZ90" s="268">
        <f t="shared" si="203"/>
        <v>0</v>
      </c>
      <c r="BA90" s="268">
        <f t="shared" si="203"/>
        <v>0</v>
      </c>
      <c r="BB90" s="268">
        <f t="shared" si="203"/>
        <v>0</v>
      </c>
    </row>
    <row r="91" spans="1:54" s="34" customFormat="1" x14ac:dyDescent="0.3">
      <c r="A91" s="10" t="str">
        <f ca="1">Language!A445</f>
        <v>Суммарная ставка социальных взносов</v>
      </c>
      <c r="B91" s="33"/>
      <c r="C91" s="1" t="s">
        <v>1</v>
      </c>
      <c r="D91" s="6"/>
      <c r="E91" s="6"/>
      <c r="F91" s="6" t="s">
        <v>745</v>
      </c>
      <c r="G91" s="29">
        <f t="shared" ref="G91:K91" si="204">SUM(G86:G90)</f>
        <v>0.31000000000000005</v>
      </c>
      <c r="H91" s="29">
        <f t="shared" si="204"/>
        <v>0.31000000000000005</v>
      </c>
      <c r="I91" s="29">
        <f t="shared" si="204"/>
        <v>0.31000000000000005</v>
      </c>
      <c r="J91" s="29">
        <f t="shared" si="204"/>
        <v>0.31000000000000005</v>
      </c>
      <c r="K91" s="29">
        <f t="shared" si="204"/>
        <v>0.31000000000000005</v>
      </c>
      <c r="L91" s="29">
        <f t="shared" ref="L91:M91" si="205">SUM(L86:L90)</f>
        <v>0.31000000000000005</v>
      </c>
      <c r="M91" s="29">
        <f t="shared" si="205"/>
        <v>0.31000000000000005</v>
      </c>
      <c r="N91" s="29">
        <f t="shared" ref="N91:O91" si="206">SUM(N86:N90)</f>
        <v>0.31000000000000005</v>
      </c>
      <c r="O91" s="29">
        <f t="shared" si="206"/>
        <v>0.31000000000000005</v>
      </c>
      <c r="P91" s="29">
        <f t="shared" ref="P91:Q91" si="207">SUM(P86:P90)</f>
        <v>0.31000000000000005</v>
      </c>
      <c r="Q91" s="29">
        <f t="shared" si="207"/>
        <v>0.31000000000000005</v>
      </c>
      <c r="R91" s="29">
        <f t="shared" ref="R91:S91" si="208">SUM(R86:R90)</f>
        <v>0.31000000000000005</v>
      </c>
      <c r="S91" s="29">
        <f t="shared" si="208"/>
        <v>0.31000000000000005</v>
      </c>
      <c r="T91" s="29">
        <f t="shared" ref="T91:U91" si="209">SUM(T86:T90)</f>
        <v>0.31000000000000005</v>
      </c>
      <c r="U91" s="29">
        <f t="shared" si="209"/>
        <v>0.31000000000000005</v>
      </c>
      <c r="V91" s="29">
        <f t="shared" ref="V91:W91" si="210">SUM(V86:V90)</f>
        <v>0.31000000000000005</v>
      </c>
      <c r="W91" s="29">
        <f t="shared" si="210"/>
        <v>0.31000000000000005</v>
      </c>
      <c r="X91" s="29">
        <f t="shared" ref="X91:Y91" si="211">SUM(X86:X90)</f>
        <v>0.31000000000000005</v>
      </c>
      <c r="Y91" s="29">
        <f t="shared" si="211"/>
        <v>0.31000000000000005</v>
      </c>
      <c r="Z91" s="29">
        <f t="shared" ref="Z91:AA91" si="212">SUM(Z86:Z90)</f>
        <v>0.31000000000000005</v>
      </c>
      <c r="AA91" s="29">
        <f t="shared" si="212"/>
        <v>0.31000000000000005</v>
      </c>
      <c r="AB91" s="29">
        <f t="shared" ref="AB91:AC91" si="213">SUM(AB86:AB90)</f>
        <v>0.31000000000000005</v>
      </c>
      <c r="AC91" s="29">
        <f t="shared" si="213"/>
        <v>0.31000000000000005</v>
      </c>
      <c r="AD91" s="29">
        <f t="shared" ref="AD91:AE91" si="214">SUM(AD86:AD90)</f>
        <v>0.31000000000000005</v>
      </c>
      <c r="AE91" s="29">
        <f t="shared" si="214"/>
        <v>0.31000000000000005</v>
      </c>
      <c r="AF91" s="29">
        <f t="shared" ref="AF91:AG91" si="215">SUM(AF86:AF90)</f>
        <v>0.31000000000000005</v>
      </c>
      <c r="AG91" s="29">
        <f t="shared" si="215"/>
        <v>0.31000000000000005</v>
      </c>
      <c r="AH91" s="29">
        <f t="shared" ref="AH91:AI91" si="216">SUM(AH86:AH90)</f>
        <v>0.31000000000000005</v>
      </c>
      <c r="AI91" s="29">
        <f t="shared" si="216"/>
        <v>0.31000000000000005</v>
      </c>
      <c r="AJ91" s="29">
        <f t="shared" ref="AJ91:AK91" si="217">SUM(AJ86:AJ90)</f>
        <v>0.31000000000000005</v>
      </c>
      <c r="AK91" s="29">
        <f t="shared" si="217"/>
        <v>0.31000000000000005</v>
      </c>
      <c r="AL91" s="29">
        <f t="shared" ref="AL91:AM91" si="218">SUM(AL86:AL90)</f>
        <v>0.31000000000000005</v>
      </c>
      <c r="AM91" s="29">
        <f t="shared" si="218"/>
        <v>0.31000000000000005</v>
      </c>
      <c r="AN91" s="29">
        <f t="shared" ref="AN91:AO91" si="219">SUM(AN86:AN90)</f>
        <v>0.31000000000000005</v>
      </c>
      <c r="AO91" s="29">
        <f t="shared" si="219"/>
        <v>0.31000000000000005</v>
      </c>
      <c r="AP91" s="29">
        <f t="shared" ref="AP91:AQ91" si="220">SUM(AP86:AP90)</f>
        <v>0.31000000000000005</v>
      </c>
      <c r="AQ91" s="29">
        <f t="shared" si="220"/>
        <v>0.31000000000000005</v>
      </c>
      <c r="AR91" s="29">
        <f t="shared" ref="AR91:AS91" si="221">SUM(AR86:AR90)</f>
        <v>0.31000000000000005</v>
      </c>
      <c r="AS91" s="29">
        <f t="shared" si="221"/>
        <v>0.31000000000000005</v>
      </c>
      <c r="AT91" s="29">
        <f t="shared" ref="AT91:AU91" si="222">SUM(AT86:AT90)</f>
        <v>0.31000000000000005</v>
      </c>
      <c r="AU91" s="29">
        <f t="shared" si="222"/>
        <v>0.31000000000000005</v>
      </c>
      <c r="AV91" s="29">
        <f t="shared" ref="AV91:AW91" si="223">SUM(AV86:AV90)</f>
        <v>0.31000000000000005</v>
      </c>
      <c r="AW91" s="29">
        <f t="shared" si="223"/>
        <v>0.31000000000000005</v>
      </c>
      <c r="AX91" s="29">
        <f t="shared" ref="AX91:AY91" si="224">SUM(AX86:AX90)</f>
        <v>0.31000000000000005</v>
      </c>
      <c r="AY91" s="29">
        <f t="shared" si="224"/>
        <v>0.31000000000000005</v>
      </c>
      <c r="AZ91" s="29">
        <f t="shared" ref="AZ91:BA91" si="225">SUM(AZ86:AZ90)</f>
        <v>0.31000000000000005</v>
      </c>
      <c r="BA91" s="29">
        <f t="shared" si="225"/>
        <v>0.31000000000000005</v>
      </c>
      <c r="BB91" s="29">
        <f t="shared" ref="BB91" si="226">SUM(BB86:BB90)</f>
        <v>0.31000000000000005</v>
      </c>
    </row>
    <row r="92" spans="1:54" x14ac:dyDescent="0.3">
      <c r="A92" s="10" t="str">
        <f ca="1">Language!A$438</f>
        <v>Периодичность выплаты налога</v>
      </c>
      <c r="B92" s="272">
        <v>30</v>
      </c>
      <c r="C92" s="1" t="str">
        <f ca="1">Language!$A$1474</f>
        <v>дней</v>
      </c>
    </row>
    <row r="93" spans="1:54" hidden="1" x14ac:dyDescent="0.3">
      <c r="A93" s="10"/>
      <c r="B93" s="17"/>
      <c r="E93" s="6" t="s">
        <v>635</v>
      </c>
      <c r="F93" s="6" t="s">
        <v>627</v>
      </c>
    </row>
    <row r="94" spans="1:54" hidden="1" x14ac:dyDescent="0.3">
      <c r="A94" s="22" t="str">
        <f ca="1">Language!A447</f>
        <v>НАЛОГ НА ИМУЩЕСТВО</v>
      </c>
      <c r="B94" s="17"/>
    </row>
    <row r="95" spans="1:54" hidden="1" x14ac:dyDescent="0.3">
      <c r="A95" s="10"/>
      <c r="B95" s="17"/>
    </row>
    <row r="96" spans="1:54" hidden="1" x14ac:dyDescent="0.3">
      <c r="A96" s="10" t="str">
        <f ca="1">Language!A448</f>
        <v>Ставка налога для недвижимости</v>
      </c>
      <c r="B96" s="318">
        <v>2.1999999999999999E-2</v>
      </c>
      <c r="C96" s="1" t="s">
        <v>1</v>
      </c>
      <c r="D96" s="6">
        <v>0</v>
      </c>
      <c r="F96" s="6" t="s">
        <v>746</v>
      </c>
      <c r="G96" s="268">
        <f>B96*Prj_Tax4</f>
        <v>0</v>
      </c>
      <c r="H96" s="268">
        <f t="shared" ref="H96:BB97" si="227">G96</f>
        <v>0</v>
      </c>
      <c r="I96" s="268">
        <f t="shared" si="227"/>
        <v>0</v>
      </c>
      <c r="J96" s="268">
        <f t="shared" si="227"/>
        <v>0</v>
      </c>
      <c r="K96" s="268">
        <f t="shared" si="227"/>
        <v>0</v>
      </c>
      <c r="L96" s="268">
        <f t="shared" si="227"/>
        <v>0</v>
      </c>
      <c r="M96" s="268">
        <f t="shared" si="227"/>
        <v>0</v>
      </c>
      <c r="N96" s="268">
        <f t="shared" si="227"/>
        <v>0</v>
      </c>
      <c r="O96" s="268">
        <f t="shared" si="227"/>
        <v>0</v>
      </c>
      <c r="P96" s="268">
        <f t="shared" si="227"/>
        <v>0</v>
      </c>
      <c r="Q96" s="268">
        <f t="shared" si="227"/>
        <v>0</v>
      </c>
      <c r="R96" s="268">
        <f t="shared" si="227"/>
        <v>0</v>
      </c>
      <c r="S96" s="268">
        <f t="shared" si="227"/>
        <v>0</v>
      </c>
      <c r="T96" s="268">
        <f t="shared" si="227"/>
        <v>0</v>
      </c>
      <c r="U96" s="268">
        <f t="shared" si="227"/>
        <v>0</v>
      </c>
      <c r="V96" s="268">
        <f t="shared" si="227"/>
        <v>0</v>
      </c>
      <c r="W96" s="268">
        <f t="shared" si="227"/>
        <v>0</v>
      </c>
      <c r="X96" s="268">
        <f t="shared" si="227"/>
        <v>0</v>
      </c>
      <c r="Y96" s="268">
        <f t="shared" si="227"/>
        <v>0</v>
      </c>
      <c r="Z96" s="268">
        <f t="shared" si="227"/>
        <v>0</v>
      </c>
      <c r="AA96" s="268">
        <f t="shared" si="227"/>
        <v>0</v>
      </c>
      <c r="AB96" s="268">
        <f t="shared" si="227"/>
        <v>0</v>
      </c>
      <c r="AC96" s="268">
        <f t="shared" si="227"/>
        <v>0</v>
      </c>
      <c r="AD96" s="268">
        <f t="shared" si="227"/>
        <v>0</v>
      </c>
      <c r="AE96" s="268">
        <f t="shared" si="227"/>
        <v>0</v>
      </c>
      <c r="AF96" s="268">
        <f t="shared" si="227"/>
        <v>0</v>
      </c>
      <c r="AG96" s="268">
        <f t="shared" si="227"/>
        <v>0</v>
      </c>
      <c r="AH96" s="268">
        <f t="shared" si="227"/>
        <v>0</v>
      </c>
      <c r="AI96" s="268">
        <f t="shared" si="227"/>
        <v>0</v>
      </c>
      <c r="AJ96" s="268">
        <f t="shared" si="227"/>
        <v>0</v>
      </c>
      <c r="AK96" s="268">
        <f t="shared" si="227"/>
        <v>0</v>
      </c>
      <c r="AL96" s="268">
        <f t="shared" si="227"/>
        <v>0</v>
      </c>
      <c r="AM96" s="268">
        <f t="shared" si="227"/>
        <v>0</v>
      </c>
      <c r="AN96" s="268">
        <f t="shared" si="227"/>
        <v>0</v>
      </c>
      <c r="AO96" s="268">
        <f t="shared" si="227"/>
        <v>0</v>
      </c>
      <c r="AP96" s="268">
        <f t="shared" si="227"/>
        <v>0</v>
      </c>
      <c r="AQ96" s="268">
        <f t="shared" si="227"/>
        <v>0</v>
      </c>
      <c r="AR96" s="268">
        <f t="shared" si="227"/>
        <v>0</v>
      </c>
      <c r="AS96" s="268">
        <f t="shared" si="227"/>
        <v>0</v>
      </c>
      <c r="AT96" s="268">
        <f t="shared" si="227"/>
        <v>0</v>
      </c>
      <c r="AU96" s="268">
        <f t="shared" si="227"/>
        <v>0</v>
      </c>
      <c r="AV96" s="268">
        <f t="shared" si="227"/>
        <v>0</v>
      </c>
      <c r="AW96" s="268">
        <f t="shared" si="227"/>
        <v>0</v>
      </c>
      <c r="AX96" s="268">
        <f t="shared" si="227"/>
        <v>0</v>
      </c>
      <c r="AY96" s="268">
        <f t="shared" si="227"/>
        <v>0</v>
      </c>
      <c r="AZ96" s="268">
        <f t="shared" si="227"/>
        <v>0</v>
      </c>
      <c r="BA96" s="268">
        <f t="shared" si="227"/>
        <v>0</v>
      </c>
      <c r="BB96" s="268">
        <f t="shared" si="227"/>
        <v>0</v>
      </c>
    </row>
    <row r="97" spans="1:54" hidden="1" x14ac:dyDescent="0.3">
      <c r="A97" s="10" t="str">
        <f ca="1">Language!A449</f>
        <v>Ставка налога для оборудования</v>
      </c>
      <c r="B97" s="318">
        <f>B96</f>
        <v>2.1999999999999999E-2</v>
      </c>
      <c r="C97" s="1" t="s">
        <v>1</v>
      </c>
      <c r="F97" s="6" t="s">
        <v>746</v>
      </c>
      <c r="G97" s="268">
        <f>B97*Prj_Tax4</f>
        <v>0</v>
      </c>
      <c r="H97" s="268">
        <f t="shared" si="227"/>
        <v>0</v>
      </c>
      <c r="I97" s="268">
        <f t="shared" si="227"/>
        <v>0</v>
      </c>
      <c r="J97" s="268">
        <f t="shared" si="227"/>
        <v>0</v>
      </c>
      <c r="K97" s="268">
        <f t="shared" si="227"/>
        <v>0</v>
      </c>
      <c r="L97" s="268">
        <f t="shared" si="227"/>
        <v>0</v>
      </c>
      <c r="M97" s="268">
        <f t="shared" si="227"/>
        <v>0</v>
      </c>
      <c r="N97" s="268">
        <f t="shared" si="227"/>
        <v>0</v>
      </c>
      <c r="O97" s="268">
        <f t="shared" si="227"/>
        <v>0</v>
      </c>
      <c r="P97" s="268">
        <f t="shared" si="227"/>
        <v>0</v>
      </c>
      <c r="Q97" s="268">
        <f t="shared" si="227"/>
        <v>0</v>
      </c>
      <c r="R97" s="268">
        <f t="shared" si="227"/>
        <v>0</v>
      </c>
      <c r="S97" s="268">
        <f t="shared" si="227"/>
        <v>0</v>
      </c>
      <c r="T97" s="268">
        <f t="shared" si="227"/>
        <v>0</v>
      </c>
      <c r="U97" s="268">
        <f t="shared" si="227"/>
        <v>0</v>
      </c>
      <c r="V97" s="268">
        <f t="shared" si="227"/>
        <v>0</v>
      </c>
      <c r="W97" s="268">
        <f t="shared" si="227"/>
        <v>0</v>
      </c>
      <c r="X97" s="268">
        <f t="shared" si="227"/>
        <v>0</v>
      </c>
      <c r="Y97" s="268">
        <f t="shared" si="227"/>
        <v>0</v>
      </c>
      <c r="Z97" s="268">
        <f t="shared" si="227"/>
        <v>0</v>
      </c>
      <c r="AA97" s="268">
        <f t="shared" si="227"/>
        <v>0</v>
      </c>
      <c r="AB97" s="268">
        <f t="shared" si="227"/>
        <v>0</v>
      </c>
      <c r="AC97" s="268">
        <f t="shared" si="227"/>
        <v>0</v>
      </c>
      <c r="AD97" s="268">
        <f t="shared" si="227"/>
        <v>0</v>
      </c>
      <c r="AE97" s="268">
        <f t="shared" si="227"/>
        <v>0</v>
      </c>
      <c r="AF97" s="268">
        <f t="shared" si="227"/>
        <v>0</v>
      </c>
      <c r="AG97" s="268">
        <f t="shared" si="227"/>
        <v>0</v>
      </c>
      <c r="AH97" s="268">
        <f t="shared" si="227"/>
        <v>0</v>
      </c>
      <c r="AI97" s="268">
        <f t="shared" si="227"/>
        <v>0</v>
      </c>
      <c r="AJ97" s="268">
        <f t="shared" si="227"/>
        <v>0</v>
      </c>
      <c r="AK97" s="268">
        <f t="shared" si="227"/>
        <v>0</v>
      </c>
      <c r="AL97" s="268">
        <f t="shared" si="227"/>
        <v>0</v>
      </c>
      <c r="AM97" s="268">
        <f t="shared" si="227"/>
        <v>0</v>
      </c>
      <c r="AN97" s="268">
        <f t="shared" si="227"/>
        <v>0</v>
      </c>
      <c r="AO97" s="268">
        <f t="shared" si="227"/>
        <v>0</v>
      </c>
      <c r="AP97" s="268">
        <f t="shared" si="227"/>
        <v>0</v>
      </c>
      <c r="AQ97" s="268">
        <f t="shared" si="227"/>
        <v>0</v>
      </c>
      <c r="AR97" s="268">
        <f t="shared" si="227"/>
        <v>0</v>
      </c>
      <c r="AS97" s="268">
        <f t="shared" si="227"/>
        <v>0</v>
      </c>
      <c r="AT97" s="268">
        <f t="shared" si="227"/>
        <v>0</v>
      </c>
      <c r="AU97" s="268">
        <f t="shared" si="227"/>
        <v>0</v>
      </c>
      <c r="AV97" s="268">
        <f t="shared" si="227"/>
        <v>0</v>
      </c>
      <c r="AW97" s="268">
        <f t="shared" si="227"/>
        <v>0</v>
      </c>
      <c r="AX97" s="268">
        <f t="shared" si="227"/>
        <v>0</v>
      </c>
      <c r="AY97" s="268">
        <f t="shared" si="227"/>
        <v>0</v>
      </c>
      <c r="AZ97" s="268">
        <f t="shared" si="227"/>
        <v>0</v>
      </c>
      <c r="BA97" s="268">
        <f t="shared" si="227"/>
        <v>0</v>
      </c>
      <c r="BB97" s="268">
        <f t="shared" si="227"/>
        <v>0</v>
      </c>
    </row>
    <row r="98" spans="1:54" hidden="1" x14ac:dyDescent="0.3">
      <c r="A98" s="10" t="str">
        <f ca="1">Language!A$438</f>
        <v>Периодичность выплаты налога</v>
      </c>
      <c r="B98" s="272">
        <v>90</v>
      </c>
      <c r="C98" s="1" t="str">
        <f ca="1">Language!$A$1474</f>
        <v>дней</v>
      </c>
    </row>
    <row r="99" spans="1:54" x14ac:dyDescent="0.3">
      <c r="A99" s="10"/>
      <c r="B99" s="17"/>
      <c r="E99" s="6" t="s">
        <v>636</v>
      </c>
      <c r="F99" s="6" t="s">
        <v>637</v>
      </c>
    </row>
    <row r="100" spans="1:54" x14ac:dyDescent="0.3">
      <c r="A100" s="22" t="str">
        <f ca="1">Language!A451</f>
        <v>НАЛОГ С ОБОРОТА (УСН)</v>
      </c>
      <c r="B100" s="17"/>
    </row>
    <row r="101" spans="1:54" x14ac:dyDescent="0.3">
      <c r="A101" s="10"/>
      <c r="B101" s="17"/>
    </row>
    <row r="102" spans="1:54" x14ac:dyDescent="0.3">
      <c r="A102" s="10" t="str">
        <f ca="1">Language!A$452</f>
        <v>Ставка налога</v>
      </c>
      <c r="B102" s="33"/>
      <c r="C102" s="1" t="s">
        <v>1</v>
      </c>
      <c r="D102" s="6">
        <v>1</v>
      </c>
      <c r="F102" s="6" t="s">
        <v>746</v>
      </c>
      <c r="G102" s="268">
        <v>0.06</v>
      </c>
      <c r="H102" s="268">
        <f t="shared" ref="H102:BB102" si="228">G102</f>
        <v>0.06</v>
      </c>
      <c r="I102" s="268">
        <f t="shared" si="228"/>
        <v>0.06</v>
      </c>
      <c r="J102" s="268">
        <f t="shared" si="228"/>
        <v>0.06</v>
      </c>
      <c r="K102" s="268">
        <f t="shared" si="228"/>
        <v>0.06</v>
      </c>
      <c r="L102" s="268">
        <f t="shared" si="228"/>
        <v>0.06</v>
      </c>
      <c r="M102" s="268">
        <f t="shared" si="228"/>
        <v>0.06</v>
      </c>
      <c r="N102" s="268">
        <f t="shared" si="228"/>
        <v>0.06</v>
      </c>
      <c r="O102" s="268">
        <f t="shared" si="228"/>
        <v>0.06</v>
      </c>
      <c r="P102" s="268">
        <f t="shared" si="228"/>
        <v>0.06</v>
      </c>
      <c r="Q102" s="268">
        <f t="shared" si="228"/>
        <v>0.06</v>
      </c>
      <c r="R102" s="268">
        <f t="shared" si="228"/>
        <v>0.06</v>
      </c>
      <c r="S102" s="268">
        <f t="shared" si="228"/>
        <v>0.06</v>
      </c>
      <c r="T102" s="268">
        <f t="shared" si="228"/>
        <v>0.06</v>
      </c>
      <c r="U102" s="268">
        <f t="shared" si="228"/>
        <v>0.06</v>
      </c>
      <c r="V102" s="268">
        <f t="shared" si="228"/>
        <v>0.06</v>
      </c>
      <c r="W102" s="268">
        <f t="shared" si="228"/>
        <v>0.06</v>
      </c>
      <c r="X102" s="268">
        <f t="shared" si="228"/>
        <v>0.06</v>
      </c>
      <c r="Y102" s="268">
        <f t="shared" si="228"/>
        <v>0.06</v>
      </c>
      <c r="Z102" s="268">
        <f t="shared" si="228"/>
        <v>0.06</v>
      </c>
      <c r="AA102" s="268">
        <f t="shared" si="228"/>
        <v>0.06</v>
      </c>
      <c r="AB102" s="268">
        <f t="shared" si="228"/>
        <v>0.06</v>
      </c>
      <c r="AC102" s="268">
        <f t="shared" si="228"/>
        <v>0.06</v>
      </c>
      <c r="AD102" s="268">
        <f t="shared" si="228"/>
        <v>0.06</v>
      </c>
      <c r="AE102" s="268">
        <f t="shared" si="228"/>
        <v>0.06</v>
      </c>
      <c r="AF102" s="268">
        <f t="shared" si="228"/>
        <v>0.06</v>
      </c>
      <c r="AG102" s="268">
        <f t="shared" si="228"/>
        <v>0.06</v>
      </c>
      <c r="AH102" s="268">
        <f t="shared" si="228"/>
        <v>0.06</v>
      </c>
      <c r="AI102" s="268">
        <f t="shared" si="228"/>
        <v>0.06</v>
      </c>
      <c r="AJ102" s="268">
        <f t="shared" si="228"/>
        <v>0.06</v>
      </c>
      <c r="AK102" s="268">
        <f t="shared" si="228"/>
        <v>0.06</v>
      </c>
      <c r="AL102" s="268">
        <f t="shared" si="228"/>
        <v>0.06</v>
      </c>
      <c r="AM102" s="268">
        <f t="shared" si="228"/>
        <v>0.06</v>
      </c>
      <c r="AN102" s="268">
        <f t="shared" si="228"/>
        <v>0.06</v>
      </c>
      <c r="AO102" s="268">
        <f t="shared" si="228"/>
        <v>0.06</v>
      </c>
      <c r="AP102" s="268">
        <f t="shared" si="228"/>
        <v>0.06</v>
      </c>
      <c r="AQ102" s="268">
        <f t="shared" si="228"/>
        <v>0.06</v>
      </c>
      <c r="AR102" s="268">
        <f t="shared" si="228"/>
        <v>0.06</v>
      </c>
      <c r="AS102" s="268">
        <f t="shared" si="228"/>
        <v>0.06</v>
      </c>
      <c r="AT102" s="268">
        <f t="shared" si="228"/>
        <v>0.06</v>
      </c>
      <c r="AU102" s="268">
        <f t="shared" si="228"/>
        <v>0.06</v>
      </c>
      <c r="AV102" s="268">
        <f t="shared" si="228"/>
        <v>0.06</v>
      </c>
      <c r="AW102" s="268">
        <f t="shared" si="228"/>
        <v>0.06</v>
      </c>
      <c r="AX102" s="268">
        <f t="shared" si="228"/>
        <v>0.06</v>
      </c>
      <c r="AY102" s="268">
        <f t="shared" si="228"/>
        <v>0.06</v>
      </c>
      <c r="AZ102" s="268">
        <f t="shared" si="228"/>
        <v>0.06</v>
      </c>
      <c r="BA102" s="268">
        <f t="shared" si="228"/>
        <v>0.06</v>
      </c>
      <c r="BB102" s="268">
        <f t="shared" si="228"/>
        <v>0.06</v>
      </c>
    </row>
    <row r="103" spans="1:54" x14ac:dyDescent="0.3">
      <c r="A103" s="10" t="str">
        <f ca="1">Language!A$438</f>
        <v>Периодичность выплаты налога</v>
      </c>
      <c r="B103" s="272">
        <v>30</v>
      </c>
      <c r="C103" s="1" t="str">
        <f ca="1">Language!$A$1474</f>
        <v>дней</v>
      </c>
    </row>
    <row r="104" spans="1:54" hidden="1" x14ac:dyDescent="0.3">
      <c r="A104" s="10"/>
      <c r="B104" s="17"/>
      <c r="E104" s="6" t="s">
        <v>638</v>
      </c>
      <c r="F104" s="6" t="s">
        <v>627</v>
      </c>
    </row>
    <row r="105" spans="1:54" hidden="1" x14ac:dyDescent="0.3">
      <c r="A105" s="22" t="str">
        <f ca="1">Language!A454</f>
        <v>НАЛОГ С ДОХОДА, УМЕНЬШЕННОГО НА РАСХОДЫ (УСН, ЕСХН)</v>
      </c>
      <c r="B105" s="17"/>
    </row>
    <row r="106" spans="1:54" hidden="1" x14ac:dyDescent="0.3">
      <c r="A106" s="10"/>
      <c r="B106" s="17"/>
    </row>
    <row r="107" spans="1:54" hidden="1" x14ac:dyDescent="0.3">
      <c r="A107" s="10" t="str">
        <f ca="1">Language!A455</f>
        <v>Ставка налога</v>
      </c>
      <c r="B107" s="33"/>
      <c r="C107" s="1" t="s">
        <v>1</v>
      </c>
      <c r="D107" s="6">
        <v>0</v>
      </c>
      <c r="F107" s="6" t="s">
        <v>746</v>
      </c>
      <c r="G107" s="268">
        <v>0</v>
      </c>
      <c r="H107" s="268">
        <f t="shared" ref="H107:BB107" si="229">G107</f>
        <v>0</v>
      </c>
      <c r="I107" s="268">
        <f t="shared" si="229"/>
        <v>0</v>
      </c>
      <c r="J107" s="268">
        <f t="shared" si="229"/>
        <v>0</v>
      </c>
      <c r="K107" s="268">
        <f t="shared" si="229"/>
        <v>0</v>
      </c>
      <c r="L107" s="268">
        <f t="shared" si="229"/>
        <v>0</v>
      </c>
      <c r="M107" s="268">
        <f t="shared" si="229"/>
        <v>0</v>
      </c>
      <c r="N107" s="268">
        <f t="shared" si="229"/>
        <v>0</v>
      </c>
      <c r="O107" s="268">
        <f t="shared" si="229"/>
        <v>0</v>
      </c>
      <c r="P107" s="268">
        <f t="shared" si="229"/>
        <v>0</v>
      </c>
      <c r="Q107" s="268">
        <f t="shared" si="229"/>
        <v>0</v>
      </c>
      <c r="R107" s="268">
        <f t="shared" si="229"/>
        <v>0</v>
      </c>
      <c r="S107" s="268">
        <f t="shared" si="229"/>
        <v>0</v>
      </c>
      <c r="T107" s="268">
        <f t="shared" si="229"/>
        <v>0</v>
      </c>
      <c r="U107" s="268">
        <f t="shared" si="229"/>
        <v>0</v>
      </c>
      <c r="V107" s="268">
        <f t="shared" si="229"/>
        <v>0</v>
      </c>
      <c r="W107" s="268">
        <f t="shared" si="229"/>
        <v>0</v>
      </c>
      <c r="X107" s="268">
        <f t="shared" si="229"/>
        <v>0</v>
      </c>
      <c r="Y107" s="268">
        <f t="shared" si="229"/>
        <v>0</v>
      </c>
      <c r="Z107" s="268">
        <f t="shared" si="229"/>
        <v>0</v>
      </c>
      <c r="AA107" s="268">
        <f t="shared" si="229"/>
        <v>0</v>
      </c>
      <c r="AB107" s="268">
        <f t="shared" si="229"/>
        <v>0</v>
      </c>
      <c r="AC107" s="268">
        <f t="shared" si="229"/>
        <v>0</v>
      </c>
      <c r="AD107" s="268">
        <f t="shared" si="229"/>
        <v>0</v>
      </c>
      <c r="AE107" s="268">
        <f t="shared" si="229"/>
        <v>0</v>
      </c>
      <c r="AF107" s="268">
        <f t="shared" si="229"/>
        <v>0</v>
      </c>
      <c r="AG107" s="268">
        <f t="shared" si="229"/>
        <v>0</v>
      </c>
      <c r="AH107" s="268">
        <f t="shared" si="229"/>
        <v>0</v>
      </c>
      <c r="AI107" s="268">
        <f t="shared" si="229"/>
        <v>0</v>
      </c>
      <c r="AJ107" s="268">
        <f t="shared" si="229"/>
        <v>0</v>
      </c>
      <c r="AK107" s="268">
        <f t="shared" si="229"/>
        <v>0</v>
      </c>
      <c r="AL107" s="268">
        <f t="shared" si="229"/>
        <v>0</v>
      </c>
      <c r="AM107" s="268">
        <f t="shared" si="229"/>
        <v>0</v>
      </c>
      <c r="AN107" s="268">
        <f t="shared" si="229"/>
        <v>0</v>
      </c>
      <c r="AO107" s="268">
        <f t="shared" si="229"/>
        <v>0</v>
      </c>
      <c r="AP107" s="268">
        <f t="shared" si="229"/>
        <v>0</v>
      </c>
      <c r="AQ107" s="268">
        <f t="shared" si="229"/>
        <v>0</v>
      </c>
      <c r="AR107" s="268">
        <f t="shared" si="229"/>
        <v>0</v>
      </c>
      <c r="AS107" s="268">
        <f t="shared" si="229"/>
        <v>0</v>
      </c>
      <c r="AT107" s="268">
        <f t="shared" si="229"/>
        <v>0</v>
      </c>
      <c r="AU107" s="268">
        <f t="shared" si="229"/>
        <v>0</v>
      </c>
      <c r="AV107" s="268">
        <f t="shared" si="229"/>
        <v>0</v>
      </c>
      <c r="AW107" s="268">
        <f t="shared" si="229"/>
        <v>0</v>
      </c>
      <c r="AX107" s="268">
        <f t="shared" si="229"/>
        <v>0</v>
      </c>
      <c r="AY107" s="268">
        <f t="shared" si="229"/>
        <v>0</v>
      </c>
      <c r="AZ107" s="268">
        <f t="shared" si="229"/>
        <v>0</v>
      </c>
      <c r="BA107" s="268">
        <f t="shared" si="229"/>
        <v>0</v>
      </c>
      <c r="BB107" s="268">
        <f t="shared" si="229"/>
        <v>0</v>
      </c>
    </row>
    <row r="108" spans="1:54" hidden="1" x14ac:dyDescent="0.3">
      <c r="A108" s="10" t="str">
        <f ca="1">Language!A$438</f>
        <v>Периодичность выплаты налога</v>
      </c>
      <c r="B108" s="272">
        <v>30</v>
      </c>
      <c r="C108" s="1" t="str">
        <f ca="1">Language!$A$1474</f>
        <v>дней</v>
      </c>
    </row>
    <row r="109" spans="1:54" hidden="1" x14ac:dyDescent="0.3">
      <c r="A109" s="5" t="str">
        <f ca="1">Language!A$1209</f>
        <v>Минимальный налог (% от доходов)</v>
      </c>
      <c r="B109" s="33"/>
      <c r="C109" s="1" t="s">
        <v>1</v>
      </c>
      <c r="F109" s="6" t="s">
        <v>746</v>
      </c>
      <c r="G109" s="268">
        <v>0</v>
      </c>
      <c r="H109" s="268">
        <f t="shared" ref="H109" si="230">G109</f>
        <v>0</v>
      </c>
      <c r="I109" s="268">
        <f t="shared" ref="I109" si="231">H109</f>
        <v>0</v>
      </c>
      <c r="J109" s="268">
        <f t="shared" ref="J109" si="232">I109</f>
        <v>0</v>
      </c>
      <c r="K109" s="268">
        <f t="shared" ref="K109:BB109" si="233">J109</f>
        <v>0</v>
      </c>
      <c r="L109" s="268">
        <f t="shared" si="233"/>
        <v>0</v>
      </c>
      <c r="M109" s="268">
        <f t="shared" si="233"/>
        <v>0</v>
      </c>
      <c r="N109" s="268">
        <f t="shared" si="233"/>
        <v>0</v>
      </c>
      <c r="O109" s="268">
        <f t="shared" si="233"/>
        <v>0</v>
      </c>
      <c r="P109" s="268">
        <f t="shared" si="233"/>
        <v>0</v>
      </c>
      <c r="Q109" s="268">
        <f t="shared" si="233"/>
        <v>0</v>
      </c>
      <c r="R109" s="268">
        <f t="shared" si="233"/>
        <v>0</v>
      </c>
      <c r="S109" s="268">
        <f t="shared" si="233"/>
        <v>0</v>
      </c>
      <c r="T109" s="268">
        <f t="shared" si="233"/>
        <v>0</v>
      </c>
      <c r="U109" s="268">
        <f t="shared" si="233"/>
        <v>0</v>
      </c>
      <c r="V109" s="268">
        <f t="shared" si="233"/>
        <v>0</v>
      </c>
      <c r="W109" s="268">
        <f t="shared" si="233"/>
        <v>0</v>
      </c>
      <c r="X109" s="268">
        <f t="shared" si="233"/>
        <v>0</v>
      </c>
      <c r="Y109" s="268">
        <f t="shared" si="233"/>
        <v>0</v>
      </c>
      <c r="Z109" s="268">
        <f t="shared" si="233"/>
        <v>0</v>
      </c>
      <c r="AA109" s="268">
        <f t="shared" si="233"/>
        <v>0</v>
      </c>
      <c r="AB109" s="268">
        <f t="shared" si="233"/>
        <v>0</v>
      </c>
      <c r="AC109" s="268">
        <f t="shared" si="233"/>
        <v>0</v>
      </c>
      <c r="AD109" s="268">
        <f t="shared" si="233"/>
        <v>0</v>
      </c>
      <c r="AE109" s="268">
        <f t="shared" si="233"/>
        <v>0</v>
      </c>
      <c r="AF109" s="268">
        <f t="shared" si="233"/>
        <v>0</v>
      </c>
      <c r="AG109" s="268">
        <f t="shared" si="233"/>
        <v>0</v>
      </c>
      <c r="AH109" s="268">
        <f t="shared" si="233"/>
        <v>0</v>
      </c>
      <c r="AI109" s="268">
        <f t="shared" si="233"/>
        <v>0</v>
      </c>
      <c r="AJ109" s="268">
        <f t="shared" si="233"/>
        <v>0</v>
      </c>
      <c r="AK109" s="268">
        <f t="shared" si="233"/>
        <v>0</v>
      </c>
      <c r="AL109" s="268">
        <f t="shared" si="233"/>
        <v>0</v>
      </c>
      <c r="AM109" s="268">
        <f t="shared" si="233"/>
        <v>0</v>
      </c>
      <c r="AN109" s="268">
        <f t="shared" si="233"/>
        <v>0</v>
      </c>
      <c r="AO109" s="268">
        <f t="shared" si="233"/>
        <v>0</v>
      </c>
      <c r="AP109" s="268">
        <f t="shared" si="233"/>
        <v>0</v>
      </c>
      <c r="AQ109" s="268">
        <f t="shared" si="233"/>
        <v>0</v>
      </c>
      <c r="AR109" s="268">
        <f t="shared" si="233"/>
        <v>0</v>
      </c>
      <c r="AS109" s="268">
        <f t="shared" si="233"/>
        <v>0</v>
      </c>
      <c r="AT109" s="268">
        <f t="shared" si="233"/>
        <v>0</v>
      </c>
      <c r="AU109" s="268">
        <f t="shared" si="233"/>
        <v>0</v>
      </c>
      <c r="AV109" s="268">
        <f t="shared" si="233"/>
        <v>0</v>
      </c>
      <c r="AW109" s="268">
        <f t="shared" si="233"/>
        <v>0</v>
      </c>
      <c r="AX109" s="268">
        <f t="shared" si="233"/>
        <v>0</v>
      </c>
      <c r="AY109" s="268">
        <f t="shared" si="233"/>
        <v>0</v>
      </c>
      <c r="AZ109" s="268">
        <f t="shared" si="233"/>
        <v>0</v>
      </c>
      <c r="BA109" s="268">
        <f t="shared" si="233"/>
        <v>0</v>
      </c>
      <c r="BB109" s="268">
        <f t="shared" si="233"/>
        <v>0</v>
      </c>
    </row>
    <row r="110" spans="1:54" x14ac:dyDescent="0.3">
      <c r="A110" s="12"/>
      <c r="B110" s="13"/>
      <c r="C110" s="13"/>
      <c r="D110" s="14"/>
      <c r="E110" s="14" t="s">
        <v>604</v>
      </c>
      <c r="F110" s="14"/>
      <c r="G110" s="13"/>
      <c r="H110" s="13"/>
      <c r="I110" s="13"/>
      <c r="J110" s="13"/>
      <c r="K110" s="13"/>
      <c r="L110" s="13"/>
      <c r="M110" s="13"/>
      <c r="N110" s="13"/>
      <c r="O110" s="13"/>
      <c r="P110" s="13"/>
      <c r="Q110" s="13"/>
      <c r="R110" s="13"/>
      <c r="S110" s="13"/>
      <c r="T110" s="13"/>
      <c r="U110" s="13"/>
      <c r="V110" s="13"/>
      <c r="W110" s="13"/>
      <c r="X110" s="13"/>
      <c r="Y110" s="13"/>
      <c r="Z110" s="13"/>
      <c r="AA110" s="13"/>
      <c r="AB110" s="13"/>
      <c r="AC110" s="13"/>
      <c r="AD110" s="13"/>
      <c r="AE110" s="13"/>
      <c r="AF110" s="13"/>
      <c r="AG110" s="13"/>
      <c r="AH110" s="13"/>
      <c r="AI110" s="13"/>
      <c r="AJ110" s="13"/>
      <c r="AK110" s="13"/>
      <c r="AL110" s="13"/>
      <c r="AM110" s="13"/>
      <c r="AN110" s="13"/>
      <c r="AO110" s="13"/>
      <c r="AP110" s="13"/>
      <c r="AQ110" s="13"/>
      <c r="AR110" s="13"/>
      <c r="AS110" s="13"/>
      <c r="AT110" s="13"/>
      <c r="AU110" s="13"/>
      <c r="AV110" s="13"/>
      <c r="AW110" s="13"/>
      <c r="AX110" s="13"/>
      <c r="AY110" s="13"/>
      <c r="AZ110" s="13"/>
      <c r="BA110" s="13"/>
      <c r="BB110" s="13"/>
    </row>
    <row r="113" spans="1:54" s="9" customFormat="1" ht="25.5" customHeight="1" thickBot="1" x14ac:dyDescent="0.35">
      <c r="A113" s="323" t="str">
        <f ca="1">Language!A457</f>
        <v>СТАВКИ ДИСКОНТИРОВАНИЯ</v>
      </c>
      <c r="B113" s="324"/>
      <c r="C113" s="325"/>
      <c r="D113" s="326"/>
      <c r="E113" s="326" t="s">
        <v>884</v>
      </c>
      <c r="F113" s="326"/>
      <c r="G113" s="327" t="str">
        <f t="shared" ref="G113:BB113" ca="1" si="234">G$34</f>
        <v>янв.25</v>
      </c>
      <c r="H113" s="327" t="str">
        <f t="shared" ca="1" si="234"/>
        <v>фев.25</v>
      </c>
      <c r="I113" s="327" t="str">
        <f t="shared" ca="1" si="234"/>
        <v>мар.25</v>
      </c>
      <c r="J113" s="327" t="str">
        <f t="shared" ca="1" si="234"/>
        <v>апр.25</v>
      </c>
      <c r="K113" s="327" t="str">
        <f t="shared" ca="1" si="234"/>
        <v>май.25</v>
      </c>
      <c r="L113" s="327" t="str">
        <f t="shared" ca="1" si="234"/>
        <v>июн.25</v>
      </c>
      <c r="M113" s="328" t="str">
        <f t="shared" ca="1" si="234"/>
        <v>июл.25</v>
      </c>
      <c r="N113" s="328" t="str">
        <f t="shared" ca="1" si="234"/>
        <v>авг.25</v>
      </c>
      <c r="O113" s="328" t="str">
        <f t="shared" ca="1" si="234"/>
        <v>сен.25</v>
      </c>
      <c r="P113" s="328" t="str">
        <f t="shared" ca="1" si="234"/>
        <v>окт.25</v>
      </c>
      <c r="Q113" s="328" t="str">
        <f t="shared" ca="1" si="234"/>
        <v>ноя.25</v>
      </c>
      <c r="R113" s="328" t="str">
        <f t="shared" ca="1" si="234"/>
        <v>дек.25</v>
      </c>
      <c r="S113" s="328" t="str">
        <f t="shared" ca="1" si="234"/>
        <v>янв.26</v>
      </c>
      <c r="T113" s="328" t="str">
        <f t="shared" ca="1" si="234"/>
        <v>фев.26</v>
      </c>
      <c r="U113" s="328" t="str">
        <f t="shared" ca="1" si="234"/>
        <v>мар.26</v>
      </c>
      <c r="V113" s="328" t="str">
        <f t="shared" ca="1" si="234"/>
        <v>апр.26</v>
      </c>
      <c r="W113" s="328" t="str">
        <f t="shared" ca="1" si="234"/>
        <v>май.26</v>
      </c>
      <c r="X113" s="328" t="str">
        <f t="shared" ca="1" si="234"/>
        <v>июн.26</v>
      </c>
      <c r="Y113" s="328" t="str">
        <f t="shared" ca="1" si="234"/>
        <v>июл.26</v>
      </c>
      <c r="Z113" s="328" t="str">
        <f t="shared" ca="1" si="234"/>
        <v>авг.26</v>
      </c>
      <c r="AA113" s="328" t="str">
        <f t="shared" ca="1" si="234"/>
        <v>сен.26</v>
      </c>
      <c r="AB113" s="328" t="str">
        <f t="shared" ca="1" si="234"/>
        <v>окт.26</v>
      </c>
      <c r="AC113" s="328" t="str">
        <f t="shared" ca="1" si="234"/>
        <v>ноя.26</v>
      </c>
      <c r="AD113" s="328" t="str">
        <f t="shared" ca="1" si="234"/>
        <v>дек.26</v>
      </c>
      <c r="AE113" s="328" t="str">
        <f t="shared" ca="1" si="234"/>
        <v>янв.27</v>
      </c>
      <c r="AF113" s="328" t="str">
        <f t="shared" ca="1" si="234"/>
        <v>фев.27</v>
      </c>
      <c r="AG113" s="328" t="str">
        <f t="shared" ca="1" si="234"/>
        <v>мар.27</v>
      </c>
      <c r="AH113" s="328" t="str">
        <f t="shared" ca="1" si="234"/>
        <v>апр.27</v>
      </c>
      <c r="AI113" s="328" t="str">
        <f t="shared" ca="1" si="234"/>
        <v>май.27</v>
      </c>
      <c r="AJ113" s="328" t="str">
        <f t="shared" ca="1" si="234"/>
        <v>июн.27</v>
      </c>
      <c r="AK113" s="328" t="str">
        <f t="shared" ca="1" si="234"/>
        <v>июл.27</v>
      </c>
      <c r="AL113" s="328" t="str">
        <f t="shared" ca="1" si="234"/>
        <v>авг.27</v>
      </c>
      <c r="AM113" s="328" t="str">
        <f t="shared" ca="1" si="234"/>
        <v>сен.27</v>
      </c>
      <c r="AN113" s="328" t="str">
        <f t="shared" ca="1" si="234"/>
        <v>окт.27</v>
      </c>
      <c r="AO113" s="328" t="str">
        <f t="shared" ca="1" si="234"/>
        <v>ноя.27</v>
      </c>
      <c r="AP113" s="328" t="str">
        <f t="shared" ca="1" si="234"/>
        <v>дек.27</v>
      </c>
      <c r="AQ113" s="328" t="str">
        <f t="shared" ca="1" si="234"/>
        <v>янв.28</v>
      </c>
      <c r="AR113" s="328" t="str">
        <f t="shared" ca="1" si="234"/>
        <v>фев.28</v>
      </c>
      <c r="AS113" s="328" t="str">
        <f t="shared" ca="1" si="234"/>
        <v>мар.28</v>
      </c>
      <c r="AT113" s="328" t="str">
        <f t="shared" ca="1" si="234"/>
        <v>апр.28</v>
      </c>
      <c r="AU113" s="328" t="str">
        <f t="shared" ca="1" si="234"/>
        <v>май.28</v>
      </c>
      <c r="AV113" s="328" t="str">
        <f t="shared" ca="1" si="234"/>
        <v>июн.28</v>
      </c>
      <c r="AW113" s="328" t="str">
        <f t="shared" ca="1" si="234"/>
        <v>июл.28</v>
      </c>
      <c r="AX113" s="328" t="str">
        <f t="shared" ca="1" si="234"/>
        <v>авг.28</v>
      </c>
      <c r="AY113" s="328" t="str">
        <f t="shared" ca="1" si="234"/>
        <v>сен.28</v>
      </c>
      <c r="AZ113" s="328" t="str">
        <f t="shared" ca="1" si="234"/>
        <v>окт.28</v>
      </c>
      <c r="BA113" s="328" t="str">
        <f t="shared" ca="1" si="234"/>
        <v>ноя.28</v>
      </c>
      <c r="BB113" s="328" t="str">
        <f t="shared" ca="1" si="234"/>
        <v>дек.28</v>
      </c>
    </row>
    <row r="114" spans="1:54" ht="14.4" thickTop="1" x14ac:dyDescent="0.3">
      <c r="A114" s="10"/>
    </row>
    <row r="115" spans="1:54" x14ac:dyDescent="0.3">
      <c r="A115" s="10" t="str">
        <f ca="1">Language!A458</f>
        <v>Валюта, используемая при расчете эффективности</v>
      </c>
      <c r="B115" s="21" t="str">
        <f ca="1">C64</f>
        <v>руб.</v>
      </c>
    </row>
    <row r="116" spans="1:54" x14ac:dyDescent="0.3">
      <c r="A116" s="10" t="str">
        <f ca="1">OFFSET(Language!A459,Prj_Inflation,0)</f>
        <v>Расчет выполняется в номинальных ценах</v>
      </c>
      <c r="B116" s="20"/>
    </row>
    <row r="117" spans="1:54" x14ac:dyDescent="0.3">
      <c r="A117" s="10"/>
    </row>
    <row r="118" spans="1:54" x14ac:dyDescent="0.3">
      <c r="A118" s="10" t="str">
        <f ca="1">Language!A$461</f>
        <v>Ставка для собственного капитала, Re</v>
      </c>
      <c r="B118" s="273">
        <v>0.21</v>
      </c>
    </row>
    <row r="119" spans="1:54" outlineLevel="1" x14ac:dyDescent="0.3">
      <c r="A119" s="35" t="str">
        <f ca="1">Language!A$462</f>
        <v>ставка на расчетный период</v>
      </c>
      <c r="B119" s="17"/>
      <c r="C119" s="1" t="s">
        <v>1</v>
      </c>
      <c r="F119" s="6" t="s">
        <v>745</v>
      </c>
      <c r="G119" s="29">
        <f t="shared" ref="G119:M119" si="235">((1+$B118) / IF(Prj_Inflation, 1, 1+CHOOSE(Prj_CurReport, G$43,G$56,G$62))) ^ (G$31/12) -1</f>
        <v>1.6011867773387367E-2</v>
      </c>
      <c r="H119" s="29">
        <f t="shared" si="235"/>
        <v>1.6011867773387367E-2</v>
      </c>
      <c r="I119" s="29">
        <f t="shared" si="235"/>
        <v>1.6011867773387367E-2</v>
      </c>
      <c r="J119" s="29">
        <f t="shared" si="235"/>
        <v>1.6011867773387367E-2</v>
      </c>
      <c r="K119" s="29">
        <f t="shared" si="235"/>
        <v>1.6011867773387367E-2</v>
      </c>
      <c r="L119" s="29">
        <f t="shared" si="235"/>
        <v>1.6011867773387367E-2</v>
      </c>
      <c r="M119" s="29">
        <f t="shared" si="235"/>
        <v>1.6011867773387367E-2</v>
      </c>
      <c r="N119" s="29">
        <f t="shared" ref="N119:O119" si="236">((1+$B118) / IF(Prj_Inflation, 1, 1+CHOOSE(Prj_CurReport, N$43,N$56,N$62))) ^ (N$31/12) -1</f>
        <v>1.6011867773387367E-2</v>
      </c>
      <c r="O119" s="29">
        <f t="shared" si="236"/>
        <v>1.6011867773387367E-2</v>
      </c>
      <c r="P119" s="29">
        <f t="shared" ref="P119:Q119" si="237">((1+$B118) / IF(Prj_Inflation, 1, 1+CHOOSE(Prj_CurReport, P$43,P$56,P$62))) ^ (P$31/12) -1</f>
        <v>1.6011867773387367E-2</v>
      </c>
      <c r="Q119" s="29">
        <f t="shared" si="237"/>
        <v>1.6011867773387367E-2</v>
      </c>
      <c r="R119" s="29">
        <f t="shared" ref="R119:S119" si="238">((1+$B118) / IF(Prj_Inflation, 1, 1+CHOOSE(Prj_CurReport, R$43,R$56,R$62))) ^ (R$31/12) -1</f>
        <v>1.6011867773387367E-2</v>
      </c>
      <c r="S119" s="29">
        <f t="shared" si="238"/>
        <v>1.6011867773387367E-2</v>
      </c>
      <c r="T119" s="29">
        <f t="shared" ref="T119:U119" si="239">((1+$B118) / IF(Prj_Inflation, 1, 1+CHOOSE(Prj_CurReport, T$43,T$56,T$62))) ^ (T$31/12) -1</f>
        <v>1.6011867773387367E-2</v>
      </c>
      <c r="U119" s="29">
        <f t="shared" si="239"/>
        <v>1.6011867773387367E-2</v>
      </c>
      <c r="V119" s="29">
        <f t="shared" ref="V119:W119" si="240">((1+$B118) / IF(Prj_Inflation, 1, 1+CHOOSE(Prj_CurReport, V$43,V$56,V$62))) ^ (V$31/12) -1</f>
        <v>1.6011867773387367E-2</v>
      </c>
      <c r="W119" s="29">
        <f t="shared" si="240"/>
        <v>1.6011867773387367E-2</v>
      </c>
      <c r="X119" s="29">
        <f t="shared" ref="X119:Y119" si="241">((1+$B118) / IF(Prj_Inflation, 1, 1+CHOOSE(Prj_CurReport, X$43,X$56,X$62))) ^ (X$31/12) -1</f>
        <v>1.6011867773387367E-2</v>
      </c>
      <c r="Y119" s="29">
        <f t="shared" si="241"/>
        <v>1.6011867773387367E-2</v>
      </c>
      <c r="Z119" s="29">
        <f t="shared" ref="Z119:AA119" si="242">((1+$B118) / IF(Prj_Inflation, 1, 1+CHOOSE(Prj_CurReport, Z$43,Z$56,Z$62))) ^ (Z$31/12) -1</f>
        <v>1.6011867773387367E-2</v>
      </c>
      <c r="AA119" s="29">
        <f t="shared" si="242"/>
        <v>1.6011867773387367E-2</v>
      </c>
      <c r="AB119" s="29">
        <f t="shared" ref="AB119:AC119" si="243">((1+$B118) / IF(Prj_Inflation, 1, 1+CHOOSE(Prj_CurReport, AB$43,AB$56,AB$62))) ^ (AB$31/12) -1</f>
        <v>1.6011867773387367E-2</v>
      </c>
      <c r="AC119" s="29">
        <f t="shared" si="243"/>
        <v>1.6011867773387367E-2</v>
      </c>
      <c r="AD119" s="29">
        <f t="shared" ref="AD119:AE119" si="244">((1+$B118) / IF(Prj_Inflation, 1, 1+CHOOSE(Prj_CurReport, AD$43,AD$56,AD$62))) ^ (AD$31/12) -1</f>
        <v>1.6011867773387367E-2</v>
      </c>
      <c r="AE119" s="29">
        <f t="shared" si="244"/>
        <v>1.6011867773387367E-2</v>
      </c>
      <c r="AF119" s="29">
        <f t="shared" ref="AF119:AG119" si="245">((1+$B118) / IF(Prj_Inflation, 1, 1+CHOOSE(Prj_CurReport, AF$43,AF$56,AF$62))) ^ (AF$31/12) -1</f>
        <v>1.6011867773387367E-2</v>
      </c>
      <c r="AG119" s="29">
        <f t="shared" si="245"/>
        <v>1.6011867773387367E-2</v>
      </c>
      <c r="AH119" s="29">
        <f t="shared" ref="AH119:AI119" si="246">((1+$B118) / IF(Prj_Inflation, 1, 1+CHOOSE(Prj_CurReport, AH$43,AH$56,AH$62))) ^ (AH$31/12) -1</f>
        <v>1.6011867773387367E-2</v>
      </c>
      <c r="AI119" s="29">
        <f t="shared" si="246"/>
        <v>1.6011867773387367E-2</v>
      </c>
      <c r="AJ119" s="29">
        <f t="shared" ref="AJ119:AK119" si="247">((1+$B118) / IF(Prj_Inflation, 1, 1+CHOOSE(Prj_CurReport, AJ$43,AJ$56,AJ$62))) ^ (AJ$31/12) -1</f>
        <v>1.6011867773387367E-2</v>
      </c>
      <c r="AK119" s="29">
        <f t="shared" si="247"/>
        <v>1.6011867773387367E-2</v>
      </c>
      <c r="AL119" s="29">
        <f t="shared" ref="AL119:AM119" si="248">((1+$B118) / IF(Prj_Inflation, 1, 1+CHOOSE(Prj_CurReport, AL$43,AL$56,AL$62))) ^ (AL$31/12) -1</f>
        <v>1.6011867773387367E-2</v>
      </c>
      <c r="AM119" s="29">
        <f t="shared" si="248"/>
        <v>1.6011867773387367E-2</v>
      </c>
      <c r="AN119" s="29">
        <f t="shared" ref="AN119:AO119" si="249">((1+$B118) / IF(Prj_Inflation, 1, 1+CHOOSE(Prj_CurReport, AN$43,AN$56,AN$62))) ^ (AN$31/12) -1</f>
        <v>1.6011867773387367E-2</v>
      </c>
      <c r="AO119" s="29">
        <f t="shared" si="249"/>
        <v>1.6011867773387367E-2</v>
      </c>
      <c r="AP119" s="29">
        <f t="shared" ref="AP119:AQ119" si="250">((1+$B118) / IF(Prj_Inflation, 1, 1+CHOOSE(Prj_CurReport, AP$43,AP$56,AP$62))) ^ (AP$31/12) -1</f>
        <v>1.6011867773387367E-2</v>
      </c>
      <c r="AQ119" s="29">
        <f t="shared" si="250"/>
        <v>1.6011867773387367E-2</v>
      </c>
      <c r="AR119" s="29">
        <f t="shared" ref="AR119:AS119" si="251">((1+$B118) / IF(Prj_Inflation, 1, 1+CHOOSE(Prj_CurReport, AR$43,AR$56,AR$62))) ^ (AR$31/12) -1</f>
        <v>1.6011867773387367E-2</v>
      </c>
      <c r="AS119" s="29">
        <f t="shared" si="251"/>
        <v>1.6011867773387367E-2</v>
      </c>
      <c r="AT119" s="29">
        <f t="shared" ref="AT119:AU119" si="252">((1+$B118) / IF(Prj_Inflation, 1, 1+CHOOSE(Prj_CurReport, AT$43,AT$56,AT$62))) ^ (AT$31/12) -1</f>
        <v>1.6011867773387367E-2</v>
      </c>
      <c r="AU119" s="29">
        <f t="shared" si="252"/>
        <v>1.6011867773387367E-2</v>
      </c>
      <c r="AV119" s="29">
        <f t="shared" ref="AV119:AW119" si="253">((1+$B118) / IF(Prj_Inflation, 1, 1+CHOOSE(Prj_CurReport, AV$43,AV$56,AV$62))) ^ (AV$31/12) -1</f>
        <v>1.6011867773387367E-2</v>
      </c>
      <c r="AW119" s="29">
        <f t="shared" si="253"/>
        <v>1.6011867773387367E-2</v>
      </c>
      <c r="AX119" s="29">
        <f t="shared" ref="AX119:AY119" si="254">((1+$B118) / IF(Prj_Inflation, 1, 1+CHOOSE(Prj_CurReport, AX$43,AX$56,AX$62))) ^ (AX$31/12) -1</f>
        <v>1.6011867773387367E-2</v>
      </c>
      <c r="AY119" s="29">
        <f t="shared" si="254"/>
        <v>1.6011867773387367E-2</v>
      </c>
      <c r="AZ119" s="29">
        <f t="shared" ref="AZ119:BA119" si="255">((1+$B118) / IF(Prj_Inflation, 1, 1+CHOOSE(Prj_CurReport, AZ$43,AZ$56,AZ$62))) ^ (AZ$31/12) -1</f>
        <v>1.6011867773387367E-2</v>
      </c>
      <c r="BA119" s="29">
        <f t="shared" si="255"/>
        <v>1.6011867773387367E-2</v>
      </c>
      <c r="BB119" s="29">
        <f t="shared" ref="BB119" si="256">((1+$B118) / IF(Prj_Inflation, 1, 1+CHOOSE(Prj_CurReport, BB$43,BB$56,BB$62))) ^ (BB$31/12) -1</f>
        <v>1.6011867773387367E-2</v>
      </c>
    </row>
    <row r="120" spans="1:54" outlineLevel="1" x14ac:dyDescent="0.3">
      <c r="A120" s="35" t="str">
        <f ca="1">Language!A$463</f>
        <v>коэффициент дисконта на начало периода</v>
      </c>
      <c r="B120" s="17"/>
      <c r="F120" s="6" t="s">
        <v>745</v>
      </c>
      <c r="G120" s="31">
        <f t="shared" ref="G120:BB120" si="257">IF(G$2=1,1,F120*(1+F119))</f>
        <v>1</v>
      </c>
      <c r="H120" s="31">
        <f t="shared" si="257"/>
        <v>1.0160118677733874</v>
      </c>
      <c r="I120" s="31">
        <f t="shared" si="257"/>
        <v>1.0322801154563672</v>
      </c>
      <c r="J120" s="31">
        <f t="shared" si="257"/>
        <v>1.0488088481701516</v>
      </c>
      <c r="K120" s="31">
        <f t="shared" si="257"/>
        <v>1.0656022367666107</v>
      </c>
      <c r="L120" s="31">
        <f t="shared" si="257"/>
        <v>1.0826645188807436</v>
      </c>
      <c r="M120" s="31">
        <f t="shared" si="257"/>
        <v>1.1000000000000001</v>
      </c>
      <c r="N120" s="31">
        <f t="shared" si="257"/>
        <v>1.1176130545507261</v>
      </c>
      <c r="O120" s="31">
        <f t="shared" si="257"/>
        <v>1.135508127002004</v>
      </c>
      <c r="P120" s="31">
        <f t="shared" si="257"/>
        <v>1.1536897329871669</v>
      </c>
      <c r="Q120" s="31">
        <f t="shared" si="257"/>
        <v>1.1721624604432721</v>
      </c>
      <c r="R120" s="31">
        <f t="shared" si="257"/>
        <v>1.1909309707688183</v>
      </c>
      <c r="S120" s="31">
        <f t="shared" si="257"/>
        <v>1.2100000000000004</v>
      </c>
      <c r="T120" s="31">
        <f t="shared" si="257"/>
        <v>1.2293743600057991</v>
      </c>
      <c r="U120" s="31">
        <f t="shared" si="257"/>
        <v>1.2490589397022047</v>
      </c>
      <c r="V120" s="31">
        <f t="shared" si="257"/>
        <v>1.2690587062858838</v>
      </c>
      <c r="W120" s="31">
        <f t="shared" si="257"/>
        <v>1.2893787064875994</v>
      </c>
      <c r="X120" s="31">
        <f t="shared" si="257"/>
        <v>1.3100240678457</v>
      </c>
      <c r="Y120" s="31">
        <f t="shared" si="257"/>
        <v>1.3310000000000004</v>
      </c>
      <c r="Z120" s="31">
        <f t="shared" si="257"/>
        <v>1.3523117960063791</v>
      </c>
      <c r="AA120" s="31">
        <f t="shared" si="257"/>
        <v>1.3739648336724253</v>
      </c>
      <c r="AB120" s="31">
        <f t="shared" si="257"/>
        <v>1.3959645769144724</v>
      </c>
      <c r="AC120" s="31">
        <f t="shared" si="257"/>
        <v>1.4183165771363595</v>
      </c>
      <c r="AD120" s="31">
        <f t="shared" si="257"/>
        <v>1.4410264746302703</v>
      </c>
      <c r="AE120" s="31">
        <f t="shared" si="257"/>
        <v>1.4641000000000008</v>
      </c>
      <c r="AF120" s="31">
        <f t="shared" si="257"/>
        <v>1.4875429756070173</v>
      </c>
      <c r="AG120" s="31">
        <f t="shared" si="257"/>
        <v>1.511361317039668</v>
      </c>
      <c r="AH120" s="31">
        <f t="shared" si="257"/>
        <v>1.5355610346059199</v>
      </c>
      <c r="AI120" s="31">
        <f t="shared" si="257"/>
        <v>1.5601482348499958</v>
      </c>
      <c r="AJ120" s="31">
        <f t="shared" si="257"/>
        <v>1.5851291220932977</v>
      </c>
      <c r="AK120" s="31">
        <f t="shared" si="257"/>
        <v>1.6105100000000012</v>
      </c>
      <c r="AL120" s="31">
        <f t="shared" si="257"/>
        <v>1.6362972731677192</v>
      </c>
      <c r="AM120" s="31">
        <f t="shared" si="257"/>
        <v>1.662497448743635</v>
      </c>
      <c r="AN120" s="31">
        <f t="shared" si="257"/>
        <v>1.689117138066512</v>
      </c>
      <c r="AO120" s="31">
        <f t="shared" si="257"/>
        <v>1.7161630583349954</v>
      </c>
      <c r="AP120" s="31">
        <f t="shared" si="257"/>
        <v>1.7436420343026273</v>
      </c>
      <c r="AQ120" s="31">
        <f t="shared" si="257"/>
        <v>1.7715610000000011</v>
      </c>
      <c r="AR120" s="31">
        <f t="shared" si="257"/>
        <v>1.7999270004844909</v>
      </c>
      <c r="AS120" s="31">
        <f t="shared" si="257"/>
        <v>1.8287471936179984</v>
      </c>
      <c r="AT120" s="31">
        <f t="shared" si="257"/>
        <v>1.8580288518731631</v>
      </c>
      <c r="AU120" s="31">
        <f t="shared" si="257"/>
        <v>1.887779364168495</v>
      </c>
      <c r="AV120" s="31">
        <f t="shared" si="257"/>
        <v>1.9180062377328901</v>
      </c>
      <c r="AW120" s="31">
        <f t="shared" si="257"/>
        <v>1.9487171000000014</v>
      </c>
      <c r="AX120" s="31">
        <f t="shared" si="257"/>
        <v>1.9799197005329403</v>
      </c>
      <c r="AY120" s="31">
        <f t="shared" si="257"/>
        <v>2.0116219129797983</v>
      </c>
      <c r="AZ120" s="31">
        <f t="shared" si="257"/>
        <v>2.0438317370604793</v>
      </c>
      <c r="BA120" s="31">
        <f t="shared" si="257"/>
        <v>2.0765573005853444</v>
      </c>
      <c r="BB120" s="31">
        <f t="shared" si="257"/>
        <v>2.1098068615061791</v>
      </c>
    </row>
    <row r="121" spans="1:54" x14ac:dyDescent="0.3">
      <c r="A121" s="10" t="str">
        <f ca="1">Language!A464</f>
        <v>Ставка для заемного капитала, Rd</v>
      </c>
      <c r="B121" s="273">
        <v>0.2</v>
      </c>
    </row>
    <row r="122" spans="1:54" outlineLevel="1" x14ac:dyDescent="0.3">
      <c r="A122" s="35" t="str">
        <f ca="1">Language!A462</f>
        <v>ставка на расчетный период</v>
      </c>
      <c r="B122" s="17"/>
      <c r="C122" s="1" t="s">
        <v>1</v>
      </c>
      <c r="F122" s="6" t="s">
        <v>745</v>
      </c>
      <c r="G122" s="29">
        <f t="shared" ref="G122:M122" si="258">((1+$B121) / IF(Prj_Inflation, 1, 1+CHOOSE(Prj_CurReport, G$43,G$56,G$62))) ^ (G$31/12) -1</f>
        <v>1.5309470499731193E-2</v>
      </c>
      <c r="H122" s="29">
        <f t="shared" si="258"/>
        <v>1.5309470499731193E-2</v>
      </c>
      <c r="I122" s="29">
        <f t="shared" si="258"/>
        <v>1.5309470499731193E-2</v>
      </c>
      <c r="J122" s="29">
        <f t="shared" si="258"/>
        <v>1.5309470499731193E-2</v>
      </c>
      <c r="K122" s="29">
        <f t="shared" si="258"/>
        <v>1.5309470499731193E-2</v>
      </c>
      <c r="L122" s="29">
        <f t="shared" si="258"/>
        <v>1.5309470499731193E-2</v>
      </c>
      <c r="M122" s="29">
        <f t="shared" si="258"/>
        <v>1.5309470499731193E-2</v>
      </c>
      <c r="N122" s="29">
        <f t="shared" ref="N122:O122" si="259">((1+$B121) / IF(Prj_Inflation, 1, 1+CHOOSE(Prj_CurReport, N$43,N$56,N$62))) ^ (N$31/12) -1</f>
        <v>1.5309470499731193E-2</v>
      </c>
      <c r="O122" s="29">
        <f t="shared" si="259"/>
        <v>1.5309470499731193E-2</v>
      </c>
      <c r="P122" s="29">
        <f t="shared" ref="P122:Q122" si="260">((1+$B121) / IF(Prj_Inflation, 1, 1+CHOOSE(Prj_CurReport, P$43,P$56,P$62))) ^ (P$31/12) -1</f>
        <v>1.5309470499731193E-2</v>
      </c>
      <c r="Q122" s="29">
        <f t="shared" si="260"/>
        <v>1.5309470499731193E-2</v>
      </c>
      <c r="R122" s="29">
        <f t="shared" ref="R122:S122" si="261">((1+$B121) / IF(Prj_Inflation, 1, 1+CHOOSE(Prj_CurReport, R$43,R$56,R$62))) ^ (R$31/12) -1</f>
        <v>1.5309470499731193E-2</v>
      </c>
      <c r="S122" s="29">
        <f t="shared" si="261"/>
        <v>1.5309470499731193E-2</v>
      </c>
      <c r="T122" s="29">
        <f t="shared" ref="T122:U122" si="262">((1+$B121) / IF(Prj_Inflation, 1, 1+CHOOSE(Prj_CurReport, T$43,T$56,T$62))) ^ (T$31/12) -1</f>
        <v>1.5309470499731193E-2</v>
      </c>
      <c r="U122" s="29">
        <f t="shared" si="262"/>
        <v>1.5309470499731193E-2</v>
      </c>
      <c r="V122" s="29">
        <f t="shared" ref="V122:W122" si="263">((1+$B121) / IF(Prj_Inflation, 1, 1+CHOOSE(Prj_CurReport, V$43,V$56,V$62))) ^ (V$31/12) -1</f>
        <v>1.5309470499731193E-2</v>
      </c>
      <c r="W122" s="29">
        <f t="shared" si="263"/>
        <v>1.5309470499731193E-2</v>
      </c>
      <c r="X122" s="29">
        <f t="shared" ref="X122:Y122" si="264">((1+$B121) / IF(Prj_Inflation, 1, 1+CHOOSE(Prj_CurReport, X$43,X$56,X$62))) ^ (X$31/12) -1</f>
        <v>1.5309470499731193E-2</v>
      </c>
      <c r="Y122" s="29">
        <f t="shared" si="264"/>
        <v>1.5309470499731193E-2</v>
      </c>
      <c r="Z122" s="29">
        <f t="shared" ref="Z122:AA122" si="265">((1+$B121) / IF(Prj_Inflation, 1, 1+CHOOSE(Prj_CurReport, Z$43,Z$56,Z$62))) ^ (Z$31/12) -1</f>
        <v>1.5309470499731193E-2</v>
      </c>
      <c r="AA122" s="29">
        <f t="shared" si="265"/>
        <v>1.5309470499731193E-2</v>
      </c>
      <c r="AB122" s="29">
        <f t="shared" ref="AB122:AC122" si="266">((1+$B121) / IF(Prj_Inflation, 1, 1+CHOOSE(Prj_CurReport, AB$43,AB$56,AB$62))) ^ (AB$31/12) -1</f>
        <v>1.5309470499731193E-2</v>
      </c>
      <c r="AC122" s="29">
        <f t="shared" si="266"/>
        <v>1.5309470499731193E-2</v>
      </c>
      <c r="AD122" s="29">
        <f t="shared" ref="AD122:AE122" si="267">((1+$B121) / IF(Prj_Inflation, 1, 1+CHOOSE(Prj_CurReport, AD$43,AD$56,AD$62))) ^ (AD$31/12) -1</f>
        <v>1.5309470499731193E-2</v>
      </c>
      <c r="AE122" s="29">
        <f t="shared" si="267"/>
        <v>1.5309470499731193E-2</v>
      </c>
      <c r="AF122" s="29">
        <f t="shared" ref="AF122:AG122" si="268">((1+$B121) / IF(Prj_Inflation, 1, 1+CHOOSE(Prj_CurReport, AF$43,AF$56,AF$62))) ^ (AF$31/12) -1</f>
        <v>1.5309470499731193E-2</v>
      </c>
      <c r="AG122" s="29">
        <f t="shared" si="268"/>
        <v>1.5309470499731193E-2</v>
      </c>
      <c r="AH122" s="29">
        <f t="shared" ref="AH122:AI122" si="269">((1+$B121) / IF(Prj_Inflation, 1, 1+CHOOSE(Prj_CurReport, AH$43,AH$56,AH$62))) ^ (AH$31/12) -1</f>
        <v>1.5309470499731193E-2</v>
      </c>
      <c r="AI122" s="29">
        <f t="shared" si="269"/>
        <v>1.5309470499731193E-2</v>
      </c>
      <c r="AJ122" s="29">
        <f t="shared" ref="AJ122:AK122" si="270">((1+$B121) / IF(Prj_Inflation, 1, 1+CHOOSE(Prj_CurReport, AJ$43,AJ$56,AJ$62))) ^ (AJ$31/12) -1</f>
        <v>1.5309470499731193E-2</v>
      </c>
      <c r="AK122" s="29">
        <f t="shared" si="270"/>
        <v>1.5309470499731193E-2</v>
      </c>
      <c r="AL122" s="29">
        <f t="shared" ref="AL122:AM122" si="271">((1+$B121) / IF(Prj_Inflation, 1, 1+CHOOSE(Prj_CurReport, AL$43,AL$56,AL$62))) ^ (AL$31/12) -1</f>
        <v>1.5309470499731193E-2</v>
      </c>
      <c r="AM122" s="29">
        <f t="shared" si="271"/>
        <v>1.5309470499731193E-2</v>
      </c>
      <c r="AN122" s="29">
        <f t="shared" ref="AN122:AO122" si="272">((1+$B121) / IF(Prj_Inflation, 1, 1+CHOOSE(Prj_CurReport, AN$43,AN$56,AN$62))) ^ (AN$31/12) -1</f>
        <v>1.5309470499731193E-2</v>
      </c>
      <c r="AO122" s="29">
        <f t="shared" si="272"/>
        <v>1.5309470499731193E-2</v>
      </c>
      <c r="AP122" s="29">
        <f t="shared" ref="AP122:AQ122" si="273">((1+$B121) / IF(Prj_Inflation, 1, 1+CHOOSE(Prj_CurReport, AP$43,AP$56,AP$62))) ^ (AP$31/12) -1</f>
        <v>1.5309470499731193E-2</v>
      </c>
      <c r="AQ122" s="29">
        <f t="shared" si="273"/>
        <v>1.5309470499731193E-2</v>
      </c>
      <c r="AR122" s="29">
        <f t="shared" ref="AR122:AS122" si="274">((1+$B121) / IF(Prj_Inflation, 1, 1+CHOOSE(Prj_CurReport, AR$43,AR$56,AR$62))) ^ (AR$31/12) -1</f>
        <v>1.5309470499731193E-2</v>
      </c>
      <c r="AS122" s="29">
        <f t="shared" si="274"/>
        <v>1.5309470499731193E-2</v>
      </c>
      <c r="AT122" s="29">
        <f t="shared" ref="AT122:AU122" si="275">((1+$B121) / IF(Prj_Inflation, 1, 1+CHOOSE(Prj_CurReport, AT$43,AT$56,AT$62))) ^ (AT$31/12) -1</f>
        <v>1.5309470499731193E-2</v>
      </c>
      <c r="AU122" s="29">
        <f t="shared" si="275"/>
        <v>1.5309470499731193E-2</v>
      </c>
      <c r="AV122" s="29">
        <f t="shared" ref="AV122:AW122" si="276">((1+$B121) / IF(Prj_Inflation, 1, 1+CHOOSE(Prj_CurReport, AV$43,AV$56,AV$62))) ^ (AV$31/12) -1</f>
        <v>1.5309470499731193E-2</v>
      </c>
      <c r="AW122" s="29">
        <f t="shared" si="276"/>
        <v>1.5309470499731193E-2</v>
      </c>
      <c r="AX122" s="29">
        <f t="shared" ref="AX122:AY122" si="277">((1+$B121) / IF(Prj_Inflation, 1, 1+CHOOSE(Prj_CurReport, AX$43,AX$56,AX$62))) ^ (AX$31/12) -1</f>
        <v>1.5309470499731193E-2</v>
      </c>
      <c r="AY122" s="29">
        <f t="shared" si="277"/>
        <v>1.5309470499731193E-2</v>
      </c>
      <c r="AZ122" s="29">
        <f t="shared" ref="AZ122:BA122" si="278">((1+$B121) / IF(Prj_Inflation, 1, 1+CHOOSE(Prj_CurReport, AZ$43,AZ$56,AZ$62))) ^ (AZ$31/12) -1</f>
        <v>1.5309470499731193E-2</v>
      </c>
      <c r="BA122" s="29">
        <f t="shared" si="278"/>
        <v>1.5309470499731193E-2</v>
      </c>
      <c r="BB122" s="29">
        <f t="shared" ref="BB122" si="279">((1+$B121) / IF(Prj_Inflation, 1, 1+CHOOSE(Prj_CurReport, BB$43,BB$56,BB$62))) ^ (BB$31/12) -1</f>
        <v>1.5309470499731193E-2</v>
      </c>
    </row>
    <row r="123" spans="1:54" outlineLevel="1" x14ac:dyDescent="0.3">
      <c r="A123" s="35" t="str">
        <f ca="1">Language!A463</f>
        <v>коэффициент дисконта на начало периода</v>
      </c>
      <c r="B123" s="17"/>
      <c r="F123" s="6" t="s">
        <v>745</v>
      </c>
      <c r="G123" s="31">
        <f>IF(G$2=1,1,F123*(1+F122))</f>
        <v>1</v>
      </c>
      <c r="H123" s="31">
        <f>IF(H$2=1,1,G123*(1+G122))</f>
        <v>1.0153094704997312</v>
      </c>
      <c r="I123" s="31">
        <f t="shared" ref="I123:BB123" si="280">IF(I$2=1,1,H123*(1+H122))</f>
        <v>1.0308533208864445</v>
      </c>
      <c r="J123" s="31">
        <f t="shared" si="280"/>
        <v>1.0466351393921054</v>
      </c>
      <c r="K123" s="31">
        <f t="shared" si="280"/>
        <v>1.0626585691826109</v>
      </c>
      <c r="L123" s="31">
        <f t="shared" si="280"/>
        <v>1.0789273091987988</v>
      </c>
      <c r="M123" s="31">
        <f t="shared" si="280"/>
        <v>1.0954451150103321</v>
      </c>
      <c r="N123" s="31">
        <f t="shared" si="280"/>
        <v>1.1122157996826574</v>
      </c>
      <c r="O123" s="31">
        <f t="shared" si="280"/>
        <v>1.1292432346572339</v>
      </c>
      <c r="P123" s="31">
        <f t="shared" si="280"/>
        <v>1.1465313506452399</v>
      </c>
      <c r="Q123" s="31">
        <f t="shared" si="280"/>
        <v>1.1640841385349603</v>
      </c>
      <c r="R123" s="31">
        <f t="shared" si="280"/>
        <v>1.1819056503130663</v>
      </c>
      <c r="S123" s="31">
        <f t="shared" si="280"/>
        <v>1.1999999999999997</v>
      </c>
      <c r="T123" s="31">
        <f t="shared" si="280"/>
        <v>1.2183713645996772</v>
      </c>
      <c r="U123" s="31">
        <f t="shared" si="280"/>
        <v>1.2370239850637332</v>
      </c>
      <c r="V123" s="31">
        <f t="shared" si="280"/>
        <v>1.2559621672705263</v>
      </c>
      <c r="W123" s="31">
        <f t="shared" si="280"/>
        <v>1.2751902830191328</v>
      </c>
      <c r="X123" s="31">
        <f t="shared" si="280"/>
        <v>1.2947127710385582</v>
      </c>
      <c r="Y123" s="31">
        <f t="shared" si="280"/>
        <v>1.3145341380123983</v>
      </c>
      <c r="Z123" s="31">
        <f t="shared" si="280"/>
        <v>1.3346589596191887</v>
      </c>
      <c r="AA123" s="31">
        <f t="shared" si="280"/>
        <v>1.3550918815886805</v>
      </c>
      <c r="AB123" s="31">
        <f t="shared" si="280"/>
        <v>1.3758376207742877</v>
      </c>
      <c r="AC123" s="31">
        <f t="shared" si="280"/>
        <v>1.396900966241952</v>
      </c>
      <c r="AD123" s="31">
        <f t="shared" si="280"/>
        <v>1.4182867803756791</v>
      </c>
      <c r="AE123" s="31">
        <f t="shared" si="280"/>
        <v>1.4399999999999993</v>
      </c>
      <c r="AF123" s="31">
        <f t="shared" si="280"/>
        <v>1.4620456375196123</v>
      </c>
      <c r="AG123" s="31">
        <f t="shared" si="280"/>
        <v>1.4844287820764794</v>
      </c>
      <c r="AH123" s="31">
        <f t="shared" si="280"/>
        <v>1.5071546007246313</v>
      </c>
      <c r="AI123" s="31">
        <f t="shared" si="280"/>
        <v>1.5302283396229592</v>
      </c>
      <c r="AJ123" s="31">
        <f t="shared" si="280"/>
        <v>1.5536553252462695</v>
      </c>
      <c r="AK123" s="31">
        <f t="shared" si="280"/>
        <v>1.5774409656148776</v>
      </c>
      <c r="AL123" s="31">
        <f t="shared" si="280"/>
        <v>1.6015907515430261</v>
      </c>
      <c r="AM123" s="31">
        <f t="shared" si="280"/>
        <v>1.6261102579064164</v>
      </c>
      <c r="AN123" s="31">
        <f t="shared" si="280"/>
        <v>1.651005144929145</v>
      </c>
      <c r="AO123" s="31">
        <f t="shared" si="280"/>
        <v>1.6762811594903422</v>
      </c>
      <c r="AP123" s="31">
        <f t="shared" si="280"/>
        <v>1.7019441364508148</v>
      </c>
      <c r="AQ123" s="31">
        <f t="shared" si="280"/>
        <v>1.7279999999999991</v>
      </c>
      <c r="AR123" s="31">
        <f t="shared" si="280"/>
        <v>1.7544547650235345</v>
      </c>
      <c r="AS123" s="31">
        <f t="shared" si="280"/>
        <v>1.781314538491775</v>
      </c>
      <c r="AT123" s="31">
        <f t="shared" si="280"/>
        <v>1.8085855208695572</v>
      </c>
      <c r="AU123" s="31">
        <f t="shared" si="280"/>
        <v>1.8362740075475505</v>
      </c>
      <c r="AV123" s="31">
        <f t="shared" si="280"/>
        <v>1.8643863902955229</v>
      </c>
      <c r="AW123" s="31">
        <f t="shared" si="280"/>
        <v>1.8929291587378525</v>
      </c>
      <c r="AX123" s="31">
        <f t="shared" si="280"/>
        <v>1.9219089018516307</v>
      </c>
      <c r="AY123" s="31">
        <f t="shared" si="280"/>
        <v>1.9513323094876989</v>
      </c>
      <c r="AZ123" s="31">
        <f t="shared" si="280"/>
        <v>1.9812061739149731</v>
      </c>
      <c r="BA123" s="31">
        <f t="shared" si="280"/>
        <v>2.0115373913884098</v>
      </c>
      <c r="BB123" s="31">
        <f t="shared" si="280"/>
        <v>2.0423329637409768</v>
      </c>
    </row>
    <row r="124" spans="1:54" x14ac:dyDescent="0.3">
      <c r="A124" s="10"/>
      <c r="B124" s="17"/>
    </row>
    <row r="125" spans="1:54" x14ac:dyDescent="0.3">
      <c r="A125" s="10" t="str">
        <f ca="1">Language!A465</f>
        <v>Расчет средневзвешенной ставки:</v>
      </c>
      <c r="B125" s="17"/>
    </row>
    <row r="126" spans="1:54" x14ac:dyDescent="0.3">
      <c r="A126" s="10" t="str">
        <f ca="1">Language!A466</f>
        <v>Ставка налога на прибыль, T</v>
      </c>
      <c r="B126" s="273">
        <f>$G81</f>
        <v>0</v>
      </c>
    </row>
    <row r="127" spans="1:54" x14ac:dyDescent="0.3">
      <c r="A127" s="10" t="str">
        <f ca="1">Language!A467</f>
        <v>Доля заемного капитала в расчете ставки, Wd</v>
      </c>
      <c r="B127" s="274">
        <f>IF(ISNUMBER(Результаты!B229), Результаты!B229, 0%)</f>
        <v>1</v>
      </c>
      <c r="F127" s="6" t="s">
        <v>2347</v>
      </c>
    </row>
    <row r="128" spans="1:54" x14ac:dyDescent="0.3">
      <c r="A128" s="10" t="str">
        <f ca="1">Language!A468</f>
        <v>Доля собственного капитала в расчете ставки, We</v>
      </c>
      <c r="B128" s="33">
        <f>100%-B127</f>
        <v>0</v>
      </c>
    </row>
    <row r="129" spans="1:54" x14ac:dyDescent="0.3">
      <c r="A129" s="10" t="str">
        <f ca="1">Language!A469</f>
        <v xml:space="preserve">WACC = Re * We + Rd * Wd * (1-T) = </v>
      </c>
      <c r="B129" s="275">
        <f>B118*B128+B121*B127*(1-B126)</f>
        <v>0.2</v>
      </c>
      <c r="F129" s="6" t="s">
        <v>2347</v>
      </c>
    </row>
    <row r="130" spans="1:54" outlineLevel="1" x14ac:dyDescent="0.3">
      <c r="A130" s="35" t="str">
        <f ca="1">Language!A462</f>
        <v>ставка на расчетный период</v>
      </c>
      <c r="B130" s="17"/>
      <c r="C130" s="1" t="s">
        <v>1</v>
      </c>
      <c r="F130" s="6" t="s">
        <v>745</v>
      </c>
      <c r="G130" s="29">
        <f t="shared" ref="G130:M130" si="281">((1+$B129) / IF(Prj_Inflation, 1, 1+CHOOSE(Prj_CurReport, G$43,G$56,G$62))) ^ (G$31/12) -1</f>
        <v>1.5309470499731193E-2</v>
      </c>
      <c r="H130" s="29">
        <f t="shared" si="281"/>
        <v>1.5309470499731193E-2</v>
      </c>
      <c r="I130" s="29">
        <f t="shared" si="281"/>
        <v>1.5309470499731193E-2</v>
      </c>
      <c r="J130" s="29">
        <f t="shared" si="281"/>
        <v>1.5309470499731193E-2</v>
      </c>
      <c r="K130" s="29">
        <f t="shared" si="281"/>
        <v>1.5309470499731193E-2</v>
      </c>
      <c r="L130" s="29">
        <f t="shared" si="281"/>
        <v>1.5309470499731193E-2</v>
      </c>
      <c r="M130" s="29">
        <f t="shared" si="281"/>
        <v>1.5309470499731193E-2</v>
      </c>
      <c r="N130" s="29">
        <f t="shared" ref="N130:O130" si="282">((1+$B129) / IF(Prj_Inflation, 1, 1+CHOOSE(Prj_CurReport, N$43,N$56,N$62))) ^ (N$31/12) -1</f>
        <v>1.5309470499731193E-2</v>
      </c>
      <c r="O130" s="29">
        <f t="shared" si="282"/>
        <v>1.5309470499731193E-2</v>
      </c>
      <c r="P130" s="29">
        <f t="shared" ref="P130:Q130" si="283">((1+$B129) / IF(Prj_Inflation, 1, 1+CHOOSE(Prj_CurReport, P$43,P$56,P$62))) ^ (P$31/12) -1</f>
        <v>1.5309470499731193E-2</v>
      </c>
      <c r="Q130" s="29">
        <f t="shared" si="283"/>
        <v>1.5309470499731193E-2</v>
      </c>
      <c r="R130" s="29">
        <f t="shared" ref="R130:S130" si="284">((1+$B129) / IF(Prj_Inflation, 1, 1+CHOOSE(Prj_CurReport, R$43,R$56,R$62))) ^ (R$31/12) -1</f>
        <v>1.5309470499731193E-2</v>
      </c>
      <c r="S130" s="29">
        <f t="shared" si="284"/>
        <v>1.5309470499731193E-2</v>
      </c>
      <c r="T130" s="29">
        <f t="shared" ref="T130:U130" si="285">((1+$B129) / IF(Prj_Inflation, 1, 1+CHOOSE(Prj_CurReport, T$43,T$56,T$62))) ^ (T$31/12) -1</f>
        <v>1.5309470499731193E-2</v>
      </c>
      <c r="U130" s="29">
        <f t="shared" si="285"/>
        <v>1.5309470499731193E-2</v>
      </c>
      <c r="V130" s="29">
        <f t="shared" ref="V130:W130" si="286">((1+$B129) / IF(Prj_Inflation, 1, 1+CHOOSE(Prj_CurReport, V$43,V$56,V$62))) ^ (V$31/12) -1</f>
        <v>1.5309470499731193E-2</v>
      </c>
      <c r="W130" s="29">
        <f t="shared" si="286"/>
        <v>1.5309470499731193E-2</v>
      </c>
      <c r="X130" s="29">
        <f t="shared" ref="X130:Y130" si="287">((1+$B129) / IF(Prj_Inflation, 1, 1+CHOOSE(Prj_CurReport, X$43,X$56,X$62))) ^ (X$31/12) -1</f>
        <v>1.5309470499731193E-2</v>
      </c>
      <c r="Y130" s="29">
        <f t="shared" si="287"/>
        <v>1.5309470499731193E-2</v>
      </c>
      <c r="Z130" s="29">
        <f t="shared" ref="Z130:AA130" si="288">((1+$B129) / IF(Prj_Inflation, 1, 1+CHOOSE(Prj_CurReport, Z$43,Z$56,Z$62))) ^ (Z$31/12) -1</f>
        <v>1.5309470499731193E-2</v>
      </c>
      <c r="AA130" s="29">
        <f t="shared" si="288"/>
        <v>1.5309470499731193E-2</v>
      </c>
      <c r="AB130" s="29">
        <f t="shared" ref="AB130:AC130" si="289">((1+$B129) / IF(Prj_Inflation, 1, 1+CHOOSE(Prj_CurReport, AB$43,AB$56,AB$62))) ^ (AB$31/12) -1</f>
        <v>1.5309470499731193E-2</v>
      </c>
      <c r="AC130" s="29">
        <f t="shared" si="289"/>
        <v>1.5309470499731193E-2</v>
      </c>
      <c r="AD130" s="29">
        <f t="shared" ref="AD130:AE130" si="290">((1+$B129) / IF(Prj_Inflation, 1, 1+CHOOSE(Prj_CurReport, AD$43,AD$56,AD$62))) ^ (AD$31/12) -1</f>
        <v>1.5309470499731193E-2</v>
      </c>
      <c r="AE130" s="29">
        <f t="shared" si="290"/>
        <v>1.5309470499731193E-2</v>
      </c>
      <c r="AF130" s="29">
        <f t="shared" ref="AF130:AG130" si="291">((1+$B129) / IF(Prj_Inflation, 1, 1+CHOOSE(Prj_CurReport, AF$43,AF$56,AF$62))) ^ (AF$31/12) -1</f>
        <v>1.5309470499731193E-2</v>
      </c>
      <c r="AG130" s="29">
        <f t="shared" si="291"/>
        <v>1.5309470499731193E-2</v>
      </c>
      <c r="AH130" s="29">
        <f t="shared" ref="AH130:AI130" si="292">((1+$B129) / IF(Prj_Inflation, 1, 1+CHOOSE(Prj_CurReport, AH$43,AH$56,AH$62))) ^ (AH$31/12) -1</f>
        <v>1.5309470499731193E-2</v>
      </c>
      <c r="AI130" s="29">
        <f t="shared" si="292"/>
        <v>1.5309470499731193E-2</v>
      </c>
      <c r="AJ130" s="29">
        <f t="shared" ref="AJ130:AK130" si="293">((1+$B129) / IF(Prj_Inflation, 1, 1+CHOOSE(Prj_CurReport, AJ$43,AJ$56,AJ$62))) ^ (AJ$31/12) -1</f>
        <v>1.5309470499731193E-2</v>
      </c>
      <c r="AK130" s="29">
        <f t="shared" si="293"/>
        <v>1.5309470499731193E-2</v>
      </c>
      <c r="AL130" s="29">
        <f t="shared" ref="AL130:AM130" si="294">((1+$B129) / IF(Prj_Inflation, 1, 1+CHOOSE(Prj_CurReport, AL$43,AL$56,AL$62))) ^ (AL$31/12) -1</f>
        <v>1.5309470499731193E-2</v>
      </c>
      <c r="AM130" s="29">
        <f t="shared" si="294"/>
        <v>1.5309470499731193E-2</v>
      </c>
      <c r="AN130" s="29">
        <f t="shared" ref="AN130:AO130" si="295">((1+$B129) / IF(Prj_Inflation, 1, 1+CHOOSE(Prj_CurReport, AN$43,AN$56,AN$62))) ^ (AN$31/12) -1</f>
        <v>1.5309470499731193E-2</v>
      </c>
      <c r="AO130" s="29">
        <f t="shared" si="295"/>
        <v>1.5309470499731193E-2</v>
      </c>
      <c r="AP130" s="29">
        <f t="shared" ref="AP130:AQ130" si="296">((1+$B129) / IF(Prj_Inflation, 1, 1+CHOOSE(Prj_CurReport, AP$43,AP$56,AP$62))) ^ (AP$31/12) -1</f>
        <v>1.5309470499731193E-2</v>
      </c>
      <c r="AQ130" s="29">
        <f t="shared" si="296"/>
        <v>1.5309470499731193E-2</v>
      </c>
      <c r="AR130" s="29">
        <f t="shared" ref="AR130:AS130" si="297">((1+$B129) / IF(Prj_Inflation, 1, 1+CHOOSE(Prj_CurReport, AR$43,AR$56,AR$62))) ^ (AR$31/12) -1</f>
        <v>1.5309470499731193E-2</v>
      </c>
      <c r="AS130" s="29">
        <f t="shared" si="297"/>
        <v>1.5309470499731193E-2</v>
      </c>
      <c r="AT130" s="29">
        <f t="shared" ref="AT130:AU130" si="298">((1+$B129) / IF(Prj_Inflation, 1, 1+CHOOSE(Prj_CurReport, AT$43,AT$56,AT$62))) ^ (AT$31/12) -1</f>
        <v>1.5309470499731193E-2</v>
      </c>
      <c r="AU130" s="29">
        <f t="shared" si="298"/>
        <v>1.5309470499731193E-2</v>
      </c>
      <c r="AV130" s="29">
        <f t="shared" ref="AV130:AW130" si="299">((1+$B129) / IF(Prj_Inflation, 1, 1+CHOOSE(Prj_CurReport, AV$43,AV$56,AV$62))) ^ (AV$31/12) -1</f>
        <v>1.5309470499731193E-2</v>
      </c>
      <c r="AW130" s="29">
        <f t="shared" si="299"/>
        <v>1.5309470499731193E-2</v>
      </c>
      <c r="AX130" s="29">
        <f t="shared" ref="AX130:AY130" si="300">((1+$B129) / IF(Prj_Inflation, 1, 1+CHOOSE(Prj_CurReport, AX$43,AX$56,AX$62))) ^ (AX$31/12) -1</f>
        <v>1.5309470499731193E-2</v>
      </c>
      <c r="AY130" s="29">
        <f t="shared" si="300"/>
        <v>1.5309470499731193E-2</v>
      </c>
      <c r="AZ130" s="29">
        <f t="shared" ref="AZ130:BA130" si="301">((1+$B129) / IF(Prj_Inflation, 1, 1+CHOOSE(Prj_CurReport, AZ$43,AZ$56,AZ$62))) ^ (AZ$31/12) -1</f>
        <v>1.5309470499731193E-2</v>
      </c>
      <c r="BA130" s="29">
        <f t="shared" si="301"/>
        <v>1.5309470499731193E-2</v>
      </c>
      <c r="BB130" s="29">
        <f t="shared" ref="BB130" si="302">((1+$B129) / IF(Prj_Inflation, 1, 1+CHOOSE(Prj_CurReport, BB$43,BB$56,BB$62))) ^ (BB$31/12) -1</f>
        <v>1.5309470499731193E-2</v>
      </c>
    </row>
    <row r="131" spans="1:54" outlineLevel="1" x14ac:dyDescent="0.3">
      <c r="A131" s="35" t="str">
        <f ca="1">Language!A463</f>
        <v>коэффициент дисконта на начало периода</v>
      </c>
      <c r="B131" s="17"/>
      <c r="F131" s="6" t="s">
        <v>745</v>
      </c>
      <c r="G131" s="31">
        <f>IF(G$2=1,1,F131*(1+F130))</f>
        <v>1</v>
      </c>
      <c r="H131" s="31">
        <f t="shared" ref="H131:BB131" si="303">IF(H$2=1,1,G131*(1+G130))</f>
        <v>1.0153094704997312</v>
      </c>
      <c r="I131" s="31">
        <f t="shared" si="303"/>
        <v>1.0308533208864445</v>
      </c>
      <c r="J131" s="31">
        <f t="shared" si="303"/>
        <v>1.0466351393921054</v>
      </c>
      <c r="K131" s="31">
        <f t="shared" si="303"/>
        <v>1.0626585691826109</v>
      </c>
      <c r="L131" s="31">
        <f t="shared" si="303"/>
        <v>1.0789273091987988</v>
      </c>
      <c r="M131" s="31">
        <f t="shared" si="303"/>
        <v>1.0954451150103321</v>
      </c>
      <c r="N131" s="31">
        <f t="shared" si="303"/>
        <v>1.1122157996826574</v>
      </c>
      <c r="O131" s="31">
        <f t="shared" si="303"/>
        <v>1.1292432346572339</v>
      </c>
      <c r="P131" s="31">
        <f t="shared" si="303"/>
        <v>1.1465313506452399</v>
      </c>
      <c r="Q131" s="31">
        <f t="shared" si="303"/>
        <v>1.1640841385349603</v>
      </c>
      <c r="R131" s="31">
        <f t="shared" si="303"/>
        <v>1.1819056503130663</v>
      </c>
      <c r="S131" s="31">
        <f t="shared" si="303"/>
        <v>1.1999999999999997</v>
      </c>
      <c r="T131" s="31">
        <f t="shared" si="303"/>
        <v>1.2183713645996772</v>
      </c>
      <c r="U131" s="31">
        <f t="shared" si="303"/>
        <v>1.2370239850637332</v>
      </c>
      <c r="V131" s="31">
        <f t="shared" si="303"/>
        <v>1.2559621672705263</v>
      </c>
      <c r="W131" s="31">
        <f t="shared" si="303"/>
        <v>1.2751902830191328</v>
      </c>
      <c r="X131" s="31">
        <f t="shared" si="303"/>
        <v>1.2947127710385582</v>
      </c>
      <c r="Y131" s="31">
        <f t="shared" si="303"/>
        <v>1.3145341380123983</v>
      </c>
      <c r="Z131" s="31">
        <f t="shared" si="303"/>
        <v>1.3346589596191887</v>
      </c>
      <c r="AA131" s="31">
        <f t="shared" si="303"/>
        <v>1.3550918815886805</v>
      </c>
      <c r="AB131" s="31">
        <f t="shared" si="303"/>
        <v>1.3758376207742877</v>
      </c>
      <c r="AC131" s="31">
        <f t="shared" si="303"/>
        <v>1.396900966241952</v>
      </c>
      <c r="AD131" s="31">
        <f t="shared" si="303"/>
        <v>1.4182867803756791</v>
      </c>
      <c r="AE131" s="31">
        <f t="shared" si="303"/>
        <v>1.4399999999999993</v>
      </c>
      <c r="AF131" s="31">
        <f t="shared" si="303"/>
        <v>1.4620456375196123</v>
      </c>
      <c r="AG131" s="31">
        <f t="shared" si="303"/>
        <v>1.4844287820764794</v>
      </c>
      <c r="AH131" s="31">
        <f t="shared" si="303"/>
        <v>1.5071546007246313</v>
      </c>
      <c r="AI131" s="31">
        <f t="shared" si="303"/>
        <v>1.5302283396229592</v>
      </c>
      <c r="AJ131" s="31">
        <f t="shared" si="303"/>
        <v>1.5536553252462695</v>
      </c>
      <c r="AK131" s="31">
        <f t="shared" si="303"/>
        <v>1.5774409656148776</v>
      </c>
      <c r="AL131" s="31">
        <f t="shared" si="303"/>
        <v>1.6015907515430261</v>
      </c>
      <c r="AM131" s="31">
        <f t="shared" si="303"/>
        <v>1.6261102579064164</v>
      </c>
      <c r="AN131" s="31">
        <f t="shared" si="303"/>
        <v>1.651005144929145</v>
      </c>
      <c r="AO131" s="31">
        <f t="shared" si="303"/>
        <v>1.6762811594903422</v>
      </c>
      <c r="AP131" s="31">
        <f t="shared" si="303"/>
        <v>1.7019441364508148</v>
      </c>
      <c r="AQ131" s="31">
        <f t="shared" si="303"/>
        <v>1.7279999999999991</v>
      </c>
      <c r="AR131" s="31">
        <f t="shared" si="303"/>
        <v>1.7544547650235345</v>
      </c>
      <c r="AS131" s="31">
        <f t="shared" si="303"/>
        <v>1.781314538491775</v>
      </c>
      <c r="AT131" s="31">
        <f t="shared" si="303"/>
        <v>1.8085855208695572</v>
      </c>
      <c r="AU131" s="31">
        <f t="shared" si="303"/>
        <v>1.8362740075475505</v>
      </c>
      <c r="AV131" s="31">
        <f t="shared" si="303"/>
        <v>1.8643863902955229</v>
      </c>
      <c r="AW131" s="31">
        <f t="shared" si="303"/>
        <v>1.8929291587378525</v>
      </c>
      <c r="AX131" s="31">
        <f t="shared" si="303"/>
        <v>1.9219089018516307</v>
      </c>
      <c r="AY131" s="31">
        <f t="shared" si="303"/>
        <v>1.9513323094876989</v>
      </c>
      <c r="AZ131" s="31">
        <f t="shared" si="303"/>
        <v>1.9812061739149731</v>
      </c>
      <c r="BA131" s="31">
        <f t="shared" si="303"/>
        <v>2.0115373913884098</v>
      </c>
      <c r="BB131" s="31">
        <f t="shared" si="303"/>
        <v>2.0423329637409768</v>
      </c>
    </row>
    <row r="132" spans="1:54" x14ac:dyDescent="0.3">
      <c r="A132" s="12"/>
      <c r="B132" s="36"/>
      <c r="C132" s="13"/>
      <c r="D132" s="14"/>
      <c r="E132" s="14"/>
      <c r="F132" s="14"/>
      <c r="G132" s="13"/>
      <c r="H132" s="13"/>
      <c r="I132" s="13"/>
      <c r="J132" s="13"/>
      <c r="K132" s="13"/>
      <c r="L132" s="13"/>
      <c r="M132" s="13"/>
      <c r="N132" s="13"/>
      <c r="O132" s="13"/>
      <c r="P132" s="13"/>
      <c r="Q132" s="13"/>
      <c r="R132" s="13"/>
      <c r="S132" s="13"/>
      <c r="T132" s="13"/>
      <c r="U132" s="13"/>
      <c r="V132" s="13"/>
      <c r="W132" s="13"/>
      <c r="X132" s="13"/>
      <c r="Y132" s="13"/>
      <c r="Z132" s="13"/>
      <c r="AA132" s="13"/>
      <c r="AB132" s="13"/>
      <c r="AC132" s="13"/>
      <c r="AD132" s="13"/>
      <c r="AE132" s="13"/>
      <c r="AF132" s="13"/>
      <c r="AG132" s="13"/>
      <c r="AH132" s="13"/>
      <c r="AI132" s="13"/>
      <c r="AJ132" s="13"/>
      <c r="AK132" s="13"/>
      <c r="AL132" s="13"/>
      <c r="AM132" s="13"/>
      <c r="AN132" s="13"/>
      <c r="AO132" s="13"/>
      <c r="AP132" s="13"/>
      <c r="AQ132" s="13"/>
      <c r="AR132" s="13"/>
      <c r="AS132" s="13"/>
      <c r="AT132" s="13"/>
      <c r="AU132" s="13"/>
      <c r="AV132" s="13"/>
      <c r="AW132" s="13"/>
      <c r="AX132" s="13"/>
      <c r="AY132" s="13"/>
      <c r="AZ132" s="13"/>
      <c r="BA132" s="13"/>
      <c r="BB132" s="13"/>
    </row>
    <row r="133" spans="1:54" x14ac:dyDescent="0.3">
      <c r="A133" s="10"/>
      <c r="B133" s="17"/>
    </row>
    <row r="134" spans="1:54" x14ac:dyDescent="0.3">
      <c r="A134" s="10" t="str">
        <f ca="1">Language!A470</f>
        <v>Учитывать рыночную стоимость начальных активов?</v>
      </c>
      <c r="B134" s="272">
        <v>0</v>
      </c>
      <c r="C134" s="37" t="str">
        <f ca="1">IF(B134=1,Language!$A$1475,Language!$A$1476)</f>
        <v>Нет</v>
      </c>
    </row>
    <row r="135" spans="1:54" x14ac:dyDescent="0.3">
      <c r="A135" s="10" t="str">
        <f ca="1">Language!A471</f>
        <v>Учитывать продленную стоимость?</v>
      </c>
      <c r="B135" s="272">
        <v>0</v>
      </c>
      <c r="C135" s="37" t="str">
        <f ca="1">IF(B135=1,Language!$A$1475,Language!$A$1476)</f>
        <v>Нет</v>
      </c>
    </row>
    <row r="136" spans="1:54" x14ac:dyDescent="0.3">
      <c r="A136" s="10" t="str">
        <f ca="1">Language!A472</f>
        <v>Долгосрочные темпы роста в постпрогнозный период</v>
      </c>
      <c r="B136" s="273">
        <f ca="1">OFFSET(CHOOSE($B$64,G43,G56,G62),0,D17-1)</f>
        <v>0.06</v>
      </c>
    </row>
    <row r="137" spans="1:54" outlineLevel="1" x14ac:dyDescent="0.3">
      <c r="A137" s="35" t="str">
        <f ca="1">Language!A473</f>
        <v>в пересчете на шаг планирования</v>
      </c>
      <c r="B137" s="33">
        <f ca="1">((1+$B136) / IF(Prj_Inflation, 1, 1+OFFSET(CHOOSE($B$64,G43,G56,G62),0,D17-1))) ^ (G$31/12) -1</f>
        <v>4.8675505653430484E-3</v>
      </c>
    </row>
    <row r="138" spans="1:54" x14ac:dyDescent="0.3">
      <c r="A138" s="10" t="str">
        <f ca="1">Language!A474</f>
        <v>Ставка реинвестирования доходов (для расчета MIRR)</v>
      </c>
      <c r="B138" s="273">
        <f>B118</f>
        <v>0.21</v>
      </c>
    </row>
    <row r="139" spans="1:54" outlineLevel="1" x14ac:dyDescent="0.3">
      <c r="A139" s="35" t="str">
        <f ca="1">Language!A462</f>
        <v>ставка на расчетный период</v>
      </c>
      <c r="B139" s="17"/>
      <c r="C139" s="1" t="s">
        <v>1</v>
      </c>
      <c r="F139" s="6" t="s">
        <v>745</v>
      </c>
      <c r="G139" s="29">
        <f t="shared" ref="G139:M139" si="304">((1+$B138) / IF(Prj_Inflation, 1, 1+CHOOSE(Prj_CurReport, G$43,G$56,G$62))) ^ (G$31/12) -1</f>
        <v>1.6011867773387367E-2</v>
      </c>
      <c r="H139" s="29">
        <f t="shared" si="304"/>
        <v>1.6011867773387367E-2</v>
      </c>
      <c r="I139" s="29">
        <f t="shared" si="304"/>
        <v>1.6011867773387367E-2</v>
      </c>
      <c r="J139" s="29">
        <f t="shared" si="304"/>
        <v>1.6011867773387367E-2</v>
      </c>
      <c r="K139" s="29">
        <f t="shared" si="304"/>
        <v>1.6011867773387367E-2</v>
      </c>
      <c r="L139" s="29">
        <f t="shared" si="304"/>
        <v>1.6011867773387367E-2</v>
      </c>
      <c r="M139" s="29">
        <f t="shared" si="304"/>
        <v>1.6011867773387367E-2</v>
      </c>
      <c r="N139" s="29">
        <f t="shared" ref="N139:O139" si="305">((1+$B138) / IF(Prj_Inflation, 1, 1+CHOOSE(Prj_CurReport, N$43,N$56,N$62))) ^ (N$31/12) -1</f>
        <v>1.6011867773387367E-2</v>
      </c>
      <c r="O139" s="29">
        <f t="shared" si="305"/>
        <v>1.6011867773387367E-2</v>
      </c>
      <c r="P139" s="29">
        <f t="shared" ref="P139:Q139" si="306">((1+$B138) / IF(Prj_Inflation, 1, 1+CHOOSE(Prj_CurReport, P$43,P$56,P$62))) ^ (P$31/12) -1</f>
        <v>1.6011867773387367E-2</v>
      </c>
      <c r="Q139" s="29">
        <f t="shared" si="306"/>
        <v>1.6011867773387367E-2</v>
      </c>
      <c r="R139" s="29">
        <f t="shared" ref="R139:S139" si="307">((1+$B138) / IF(Prj_Inflation, 1, 1+CHOOSE(Prj_CurReport, R$43,R$56,R$62))) ^ (R$31/12) -1</f>
        <v>1.6011867773387367E-2</v>
      </c>
      <c r="S139" s="29">
        <f t="shared" si="307"/>
        <v>1.6011867773387367E-2</v>
      </c>
      <c r="T139" s="29">
        <f t="shared" ref="T139:U139" si="308">((1+$B138) / IF(Prj_Inflation, 1, 1+CHOOSE(Prj_CurReport, T$43,T$56,T$62))) ^ (T$31/12) -1</f>
        <v>1.6011867773387367E-2</v>
      </c>
      <c r="U139" s="29">
        <f t="shared" si="308"/>
        <v>1.6011867773387367E-2</v>
      </c>
      <c r="V139" s="29">
        <f t="shared" ref="V139:W139" si="309">((1+$B138) / IF(Prj_Inflation, 1, 1+CHOOSE(Prj_CurReport, V$43,V$56,V$62))) ^ (V$31/12) -1</f>
        <v>1.6011867773387367E-2</v>
      </c>
      <c r="W139" s="29">
        <f t="shared" si="309"/>
        <v>1.6011867773387367E-2</v>
      </c>
      <c r="X139" s="29">
        <f t="shared" ref="X139:Y139" si="310">((1+$B138) / IF(Prj_Inflation, 1, 1+CHOOSE(Prj_CurReport, X$43,X$56,X$62))) ^ (X$31/12) -1</f>
        <v>1.6011867773387367E-2</v>
      </c>
      <c r="Y139" s="29">
        <f t="shared" si="310"/>
        <v>1.6011867773387367E-2</v>
      </c>
      <c r="Z139" s="29">
        <f t="shared" ref="Z139:AA139" si="311">((1+$B138) / IF(Prj_Inflation, 1, 1+CHOOSE(Prj_CurReport, Z$43,Z$56,Z$62))) ^ (Z$31/12) -1</f>
        <v>1.6011867773387367E-2</v>
      </c>
      <c r="AA139" s="29">
        <f t="shared" si="311"/>
        <v>1.6011867773387367E-2</v>
      </c>
      <c r="AB139" s="29">
        <f t="shared" ref="AB139:AC139" si="312">((1+$B138) / IF(Prj_Inflation, 1, 1+CHOOSE(Prj_CurReport, AB$43,AB$56,AB$62))) ^ (AB$31/12) -1</f>
        <v>1.6011867773387367E-2</v>
      </c>
      <c r="AC139" s="29">
        <f t="shared" si="312"/>
        <v>1.6011867773387367E-2</v>
      </c>
      <c r="AD139" s="29">
        <f t="shared" ref="AD139:AE139" si="313">((1+$B138) / IF(Prj_Inflation, 1, 1+CHOOSE(Prj_CurReport, AD$43,AD$56,AD$62))) ^ (AD$31/12) -1</f>
        <v>1.6011867773387367E-2</v>
      </c>
      <c r="AE139" s="29">
        <f t="shared" si="313"/>
        <v>1.6011867773387367E-2</v>
      </c>
      <c r="AF139" s="29">
        <f t="shared" ref="AF139:AG139" si="314">((1+$B138) / IF(Prj_Inflation, 1, 1+CHOOSE(Prj_CurReport, AF$43,AF$56,AF$62))) ^ (AF$31/12) -1</f>
        <v>1.6011867773387367E-2</v>
      </c>
      <c r="AG139" s="29">
        <f t="shared" si="314"/>
        <v>1.6011867773387367E-2</v>
      </c>
      <c r="AH139" s="29">
        <f t="shared" ref="AH139:AI139" si="315">((1+$B138) / IF(Prj_Inflation, 1, 1+CHOOSE(Prj_CurReport, AH$43,AH$56,AH$62))) ^ (AH$31/12) -1</f>
        <v>1.6011867773387367E-2</v>
      </c>
      <c r="AI139" s="29">
        <f t="shared" si="315"/>
        <v>1.6011867773387367E-2</v>
      </c>
      <c r="AJ139" s="29">
        <f t="shared" ref="AJ139:AK139" si="316">((1+$B138) / IF(Prj_Inflation, 1, 1+CHOOSE(Prj_CurReport, AJ$43,AJ$56,AJ$62))) ^ (AJ$31/12) -1</f>
        <v>1.6011867773387367E-2</v>
      </c>
      <c r="AK139" s="29">
        <f t="shared" si="316"/>
        <v>1.6011867773387367E-2</v>
      </c>
      <c r="AL139" s="29">
        <f t="shared" ref="AL139:AM139" si="317">((1+$B138) / IF(Prj_Inflation, 1, 1+CHOOSE(Prj_CurReport, AL$43,AL$56,AL$62))) ^ (AL$31/12) -1</f>
        <v>1.6011867773387367E-2</v>
      </c>
      <c r="AM139" s="29">
        <f t="shared" si="317"/>
        <v>1.6011867773387367E-2</v>
      </c>
      <c r="AN139" s="29">
        <f t="shared" ref="AN139:AO139" si="318">((1+$B138) / IF(Prj_Inflation, 1, 1+CHOOSE(Prj_CurReport, AN$43,AN$56,AN$62))) ^ (AN$31/12) -1</f>
        <v>1.6011867773387367E-2</v>
      </c>
      <c r="AO139" s="29">
        <f t="shared" si="318"/>
        <v>1.6011867773387367E-2</v>
      </c>
      <c r="AP139" s="29">
        <f t="shared" ref="AP139:AQ139" si="319">((1+$B138) / IF(Prj_Inflation, 1, 1+CHOOSE(Prj_CurReport, AP$43,AP$56,AP$62))) ^ (AP$31/12) -1</f>
        <v>1.6011867773387367E-2</v>
      </c>
      <c r="AQ139" s="29">
        <f t="shared" si="319"/>
        <v>1.6011867773387367E-2</v>
      </c>
      <c r="AR139" s="29">
        <f t="shared" ref="AR139:AS139" si="320">((1+$B138) / IF(Prj_Inflation, 1, 1+CHOOSE(Prj_CurReport, AR$43,AR$56,AR$62))) ^ (AR$31/12) -1</f>
        <v>1.6011867773387367E-2</v>
      </c>
      <c r="AS139" s="29">
        <f t="shared" si="320"/>
        <v>1.6011867773387367E-2</v>
      </c>
      <c r="AT139" s="29">
        <f t="shared" ref="AT139:AU139" si="321">((1+$B138) / IF(Prj_Inflation, 1, 1+CHOOSE(Prj_CurReport, AT$43,AT$56,AT$62))) ^ (AT$31/12) -1</f>
        <v>1.6011867773387367E-2</v>
      </c>
      <c r="AU139" s="29">
        <f t="shared" si="321"/>
        <v>1.6011867773387367E-2</v>
      </c>
      <c r="AV139" s="29">
        <f t="shared" ref="AV139:AW139" si="322">((1+$B138) / IF(Prj_Inflation, 1, 1+CHOOSE(Prj_CurReport, AV$43,AV$56,AV$62))) ^ (AV$31/12) -1</f>
        <v>1.6011867773387367E-2</v>
      </c>
      <c r="AW139" s="29">
        <f t="shared" si="322"/>
        <v>1.6011867773387367E-2</v>
      </c>
      <c r="AX139" s="29">
        <f t="shared" ref="AX139:AY139" si="323">((1+$B138) / IF(Prj_Inflation, 1, 1+CHOOSE(Prj_CurReport, AX$43,AX$56,AX$62))) ^ (AX$31/12) -1</f>
        <v>1.6011867773387367E-2</v>
      </c>
      <c r="AY139" s="29">
        <f t="shared" si="323"/>
        <v>1.6011867773387367E-2</v>
      </c>
      <c r="AZ139" s="29">
        <f t="shared" ref="AZ139:BA139" si="324">((1+$B138) / IF(Prj_Inflation, 1, 1+CHOOSE(Prj_CurReport, AZ$43,AZ$56,AZ$62))) ^ (AZ$31/12) -1</f>
        <v>1.6011867773387367E-2</v>
      </c>
      <c r="BA139" s="29">
        <f t="shared" si="324"/>
        <v>1.6011867773387367E-2</v>
      </c>
      <c r="BB139" s="29">
        <f t="shared" ref="BB139" si="325">((1+$B138) / IF(Prj_Inflation, 1, 1+CHOOSE(Prj_CurReport, BB$43,BB$56,BB$62))) ^ (BB$31/12) -1</f>
        <v>1.6011867773387367E-2</v>
      </c>
    </row>
    <row r="140" spans="1:54" outlineLevel="1" x14ac:dyDescent="0.3">
      <c r="A140" s="35" t="str">
        <f ca="1">Language!A463</f>
        <v>коэффициент дисконта на начало периода</v>
      </c>
      <c r="B140" s="17"/>
      <c r="C140" s="1" t="str">
        <f ca="1">Language!$A$1477</f>
        <v>раз</v>
      </c>
      <c r="F140" s="6" t="s">
        <v>745</v>
      </c>
      <c r="G140" s="31">
        <f>IF(G$2=1,1,F140*(1+F139))</f>
        <v>1</v>
      </c>
      <c r="H140" s="31">
        <f t="shared" ref="H140:BB140" si="326">IF(H$2=1,1,G140*(1+G139))</f>
        <v>1.0160118677733874</v>
      </c>
      <c r="I140" s="31">
        <f t="shared" si="326"/>
        <v>1.0322801154563672</v>
      </c>
      <c r="J140" s="31">
        <f t="shared" si="326"/>
        <v>1.0488088481701516</v>
      </c>
      <c r="K140" s="31">
        <f t="shared" si="326"/>
        <v>1.0656022367666107</v>
      </c>
      <c r="L140" s="31">
        <f t="shared" si="326"/>
        <v>1.0826645188807436</v>
      </c>
      <c r="M140" s="31">
        <f t="shared" si="326"/>
        <v>1.1000000000000001</v>
      </c>
      <c r="N140" s="31">
        <f t="shared" si="326"/>
        <v>1.1176130545507261</v>
      </c>
      <c r="O140" s="31">
        <f t="shared" si="326"/>
        <v>1.135508127002004</v>
      </c>
      <c r="P140" s="31">
        <f t="shared" si="326"/>
        <v>1.1536897329871669</v>
      </c>
      <c r="Q140" s="31">
        <f t="shared" si="326"/>
        <v>1.1721624604432721</v>
      </c>
      <c r="R140" s="31">
        <f t="shared" si="326"/>
        <v>1.1909309707688183</v>
      </c>
      <c r="S140" s="31">
        <f t="shared" si="326"/>
        <v>1.2100000000000004</v>
      </c>
      <c r="T140" s="31">
        <f t="shared" si="326"/>
        <v>1.2293743600057991</v>
      </c>
      <c r="U140" s="31">
        <f t="shared" si="326"/>
        <v>1.2490589397022047</v>
      </c>
      <c r="V140" s="31">
        <f t="shared" si="326"/>
        <v>1.2690587062858838</v>
      </c>
      <c r="W140" s="31">
        <f t="shared" si="326"/>
        <v>1.2893787064875994</v>
      </c>
      <c r="X140" s="31">
        <f t="shared" si="326"/>
        <v>1.3100240678457</v>
      </c>
      <c r="Y140" s="31">
        <f t="shared" si="326"/>
        <v>1.3310000000000004</v>
      </c>
      <c r="Z140" s="31">
        <f t="shared" si="326"/>
        <v>1.3523117960063791</v>
      </c>
      <c r="AA140" s="31">
        <f t="shared" si="326"/>
        <v>1.3739648336724253</v>
      </c>
      <c r="AB140" s="31">
        <f t="shared" si="326"/>
        <v>1.3959645769144724</v>
      </c>
      <c r="AC140" s="31">
        <f t="shared" si="326"/>
        <v>1.4183165771363595</v>
      </c>
      <c r="AD140" s="31">
        <f t="shared" si="326"/>
        <v>1.4410264746302703</v>
      </c>
      <c r="AE140" s="31">
        <f t="shared" si="326"/>
        <v>1.4641000000000008</v>
      </c>
      <c r="AF140" s="31">
        <f t="shared" si="326"/>
        <v>1.4875429756070173</v>
      </c>
      <c r="AG140" s="31">
        <f t="shared" si="326"/>
        <v>1.511361317039668</v>
      </c>
      <c r="AH140" s="31">
        <f t="shared" si="326"/>
        <v>1.5355610346059199</v>
      </c>
      <c r="AI140" s="31">
        <f t="shared" si="326"/>
        <v>1.5601482348499958</v>
      </c>
      <c r="AJ140" s="31">
        <f t="shared" si="326"/>
        <v>1.5851291220932977</v>
      </c>
      <c r="AK140" s="31">
        <f t="shared" si="326"/>
        <v>1.6105100000000012</v>
      </c>
      <c r="AL140" s="31">
        <f t="shared" si="326"/>
        <v>1.6362972731677192</v>
      </c>
      <c r="AM140" s="31">
        <f t="shared" si="326"/>
        <v>1.662497448743635</v>
      </c>
      <c r="AN140" s="31">
        <f t="shared" si="326"/>
        <v>1.689117138066512</v>
      </c>
      <c r="AO140" s="31">
        <f t="shared" si="326"/>
        <v>1.7161630583349954</v>
      </c>
      <c r="AP140" s="31">
        <f t="shared" si="326"/>
        <v>1.7436420343026273</v>
      </c>
      <c r="AQ140" s="31">
        <f t="shared" si="326"/>
        <v>1.7715610000000011</v>
      </c>
      <c r="AR140" s="31">
        <f t="shared" si="326"/>
        <v>1.7999270004844909</v>
      </c>
      <c r="AS140" s="31">
        <f t="shared" si="326"/>
        <v>1.8287471936179984</v>
      </c>
      <c r="AT140" s="31">
        <f t="shared" si="326"/>
        <v>1.8580288518731631</v>
      </c>
      <c r="AU140" s="31">
        <f t="shared" si="326"/>
        <v>1.887779364168495</v>
      </c>
      <c r="AV140" s="31">
        <f t="shared" si="326"/>
        <v>1.9180062377328901</v>
      </c>
      <c r="AW140" s="31">
        <f t="shared" si="326"/>
        <v>1.9487171000000014</v>
      </c>
      <c r="AX140" s="31">
        <f t="shared" si="326"/>
        <v>1.9799197005329403</v>
      </c>
      <c r="AY140" s="31">
        <f t="shared" si="326"/>
        <v>2.0116219129797983</v>
      </c>
      <c r="AZ140" s="31">
        <f t="shared" si="326"/>
        <v>2.0438317370604793</v>
      </c>
      <c r="BA140" s="31">
        <f t="shared" si="326"/>
        <v>2.0765573005853444</v>
      </c>
      <c r="BB140" s="31">
        <f t="shared" si="326"/>
        <v>2.1098068615061791</v>
      </c>
    </row>
    <row r="141" spans="1:54" outlineLevel="1" x14ac:dyDescent="0.3">
      <c r="A141" s="35" t="str">
        <f ca="1">Language!A475</f>
        <v>коэффициент реинвестирования</v>
      </c>
      <c r="B141" s="17"/>
      <c r="C141" s="1" t="str">
        <f ca="1">Language!$A$1477</f>
        <v>раз</v>
      </c>
      <c r="F141" s="6" t="s">
        <v>745</v>
      </c>
      <c r="G141" s="31">
        <f t="shared" ref="G141:M141" ca="1" si="327">OFFSET(G140,0,Prj_Len-G25-G25+1)</f>
        <v>2.1098068615061791</v>
      </c>
      <c r="H141" s="31">
        <f t="shared" ca="1" si="327"/>
        <v>2.0765573005853444</v>
      </c>
      <c r="I141" s="31">
        <f t="shared" ca="1" si="327"/>
        <v>2.0438317370604793</v>
      </c>
      <c r="J141" s="31">
        <f t="shared" ca="1" si="327"/>
        <v>2.0116219129797983</v>
      </c>
      <c r="K141" s="31">
        <f t="shared" ca="1" si="327"/>
        <v>1.9799197005329403</v>
      </c>
      <c r="L141" s="31">
        <f t="shared" ca="1" si="327"/>
        <v>1.9487171000000014</v>
      </c>
      <c r="M141" s="31">
        <f t="shared" ca="1" si="327"/>
        <v>1.9180062377328901</v>
      </c>
      <c r="N141" s="31">
        <f t="shared" ref="N141:O141" ca="1" si="328">OFFSET(N140,0,Prj_Len-N25-N25+1)</f>
        <v>1.887779364168495</v>
      </c>
      <c r="O141" s="31">
        <f t="shared" ca="1" si="328"/>
        <v>1.8580288518731631</v>
      </c>
      <c r="P141" s="31">
        <f t="shared" ref="P141:Q141" ca="1" si="329">OFFSET(P140,0,Prj_Len-P25-P25+1)</f>
        <v>1.8287471936179984</v>
      </c>
      <c r="Q141" s="31">
        <f t="shared" ca="1" si="329"/>
        <v>1.7999270004844909</v>
      </c>
      <c r="R141" s="31">
        <f t="shared" ref="R141:S141" ca="1" si="330">OFFSET(R140,0,Prj_Len-R25-R25+1)</f>
        <v>1.7715610000000011</v>
      </c>
      <c r="S141" s="31">
        <f t="shared" ca="1" si="330"/>
        <v>1.7436420343026273</v>
      </c>
      <c r="T141" s="31">
        <f t="shared" ref="T141:U141" ca="1" si="331">OFFSET(T140,0,Prj_Len-T25-T25+1)</f>
        <v>1.7161630583349954</v>
      </c>
      <c r="U141" s="31">
        <f t="shared" ca="1" si="331"/>
        <v>1.689117138066512</v>
      </c>
      <c r="V141" s="31">
        <f t="shared" ref="V141:W141" ca="1" si="332">OFFSET(V140,0,Prj_Len-V25-V25+1)</f>
        <v>1.662497448743635</v>
      </c>
      <c r="W141" s="31">
        <f t="shared" ca="1" si="332"/>
        <v>1.6362972731677192</v>
      </c>
      <c r="X141" s="31">
        <f t="shared" ref="X141:Y141" ca="1" si="333">OFFSET(X140,0,Prj_Len-X25-X25+1)</f>
        <v>1.6105100000000012</v>
      </c>
      <c r="Y141" s="31">
        <f t="shared" ca="1" si="333"/>
        <v>1.5851291220932977</v>
      </c>
      <c r="Z141" s="31">
        <f t="shared" ref="Z141:AA141" ca="1" si="334">OFFSET(Z140,0,Prj_Len-Z25-Z25+1)</f>
        <v>1.5601482348499958</v>
      </c>
      <c r="AA141" s="31">
        <f t="shared" ca="1" si="334"/>
        <v>1.5355610346059199</v>
      </c>
      <c r="AB141" s="31">
        <f t="shared" ref="AB141:AC141" ca="1" si="335">OFFSET(AB140,0,Prj_Len-AB25-AB25+1)</f>
        <v>1.511361317039668</v>
      </c>
      <c r="AC141" s="31">
        <f t="shared" ca="1" si="335"/>
        <v>1.4875429756070173</v>
      </c>
      <c r="AD141" s="31">
        <f t="shared" ref="AD141:AE141" ca="1" si="336">OFFSET(AD140,0,Prj_Len-AD25-AD25+1)</f>
        <v>1.4641000000000008</v>
      </c>
      <c r="AE141" s="31">
        <f t="shared" ca="1" si="336"/>
        <v>1.4410264746302703</v>
      </c>
      <c r="AF141" s="31">
        <f t="shared" ref="AF141:AG141" ca="1" si="337">OFFSET(AF140,0,Prj_Len-AF25-AF25+1)</f>
        <v>1.4183165771363595</v>
      </c>
      <c r="AG141" s="31">
        <f t="shared" ca="1" si="337"/>
        <v>1.3959645769144724</v>
      </c>
      <c r="AH141" s="31">
        <f t="shared" ref="AH141:AI141" ca="1" si="338">OFFSET(AH140,0,Prj_Len-AH25-AH25+1)</f>
        <v>1.3739648336724253</v>
      </c>
      <c r="AI141" s="31">
        <f t="shared" ca="1" si="338"/>
        <v>1.3523117960063791</v>
      </c>
      <c r="AJ141" s="31">
        <f t="shared" ref="AJ141:AK141" ca="1" si="339">OFFSET(AJ140,0,Prj_Len-AJ25-AJ25+1)</f>
        <v>1.3310000000000004</v>
      </c>
      <c r="AK141" s="31">
        <f t="shared" ca="1" si="339"/>
        <v>1.3100240678457</v>
      </c>
      <c r="AL141" s="31">
        <f t="shared" ref="AL141:AM141" ca="1" si="340">OFFSET(AL140,0,Prj_Len-AL25-AL25+1)</f>
        <v>1.2893787064875994</v>
      </c>
      <c r="AM141" s="31">
        <f t="shared" ca="1" si="340"/>
        <v>1.2690587062858838</v>
      </c>
      <c r="AN141" s="31">
        <f t="shared" ref="AN141:AO141" ca="1" si="341">OFFSET(AN140,0,Prj_Len-AN25-AN25+1)</f>
        <v>1.2490589397022047</v>
      </c>
      <c r="AO141" s="31">
        <f t="shared" ca="1" si="341"/>
        <v>1.2293743600057991</v>
      </c>
      <c r="AP141" s="31">
        <f t="shared" ref="AP141:AQ141" ca="1" si="342">OFFSET(AP140,0,Prj_Len-AP25-AP25+1)</f>
        <v>1.2100000000000004</v>
      </c>
      <c r="AQ141" s="31">
        <f t="shared" ca="1" si="342"/>
        <v>1.1909309707688183</v>
      </c>
      <c r="AR141" s="31">
        <f t="shared" ref="AR141:AS141" ca="1" si="343">OFFSET(AR140,0,Prj_Len-AR25-AR25+1)</f>
        <v>1.1721624604432721</v>
      </c>
      <c r="AS141" s="31">
        <f t="shared" ca="1" si="343"/>
        <v>1.1536897329871669</v>
      </c>
      <c r="AT141" s="31">
        <f t="shared" ref="AT141:AU141" ca="1" si="344">OFFSET(AT140,0,Prj_Len-AT25-AT25+1)</f>
        <v>1.135508127002004</v>
      </c>
      <c r="AU141" s="31">
        <f t="shared" ca="1" si="344"/>
        <v>1.1176130545507261</v>
      </c>
      <c r="AV141" s="31">
        <f t="shared" ref="AV141:AW141" ca="1" si="345">OFFSET(AV140,0,Prj_Len-AV25-AV25+1)</f>
        <v>1.1000000000000001</v>
      </c>
      <c r="AW141" s="31">
        <f t="shared" ca="1" si="345"/>
        <v>1.0826645188807436</v>
      </c>
      <c r="AX141" s="31">
        <f t="shared" ref="AX141:AY141" ca="1" si="346">OFFSET(AX140,0,Prj_Len-AX25-AX25+1)</f>
        <v>1.0656022367666107</v>
      </c>
      <c r="AY141" s="31">
        <f t="shared" ca="1" si="346"/>
        <v>1.0488088481701516</v>
      </c>
      <c r="AZ141" s="31">
        <f t="shared" ref="AZ141:BA141" ca="1" si="347">OFFSET(AZ140,0,Prj_Len-AZ25-AZ25+1)</f>
        <v>1.0322801154563672</v>
      </c>
      <c r="BA141" s="31">
        <f t="shared" ca="1" si="347"/>
        <v>1.0160118677733874</v>
      </c>
      <c r="BB141" s="31">
        <f t="shared" ref="BB141" ca="1" si="348">OFFSET(BB140,0,Prj_Len-BB25-BB25+1)</f>
        <v>1</v>
      </c>
    </row>
    <row r="142" spans="1:54" x14ac:dyDescent="0.3">
      <c r="A142" s="12"/>
      <c r="B142" s="38"/>
      <c r="C142" s="13"/>
      <c r="D142" s="14"/>
      <c r="E142" s="14"/>
      <c r="F142" s="14"/>
      <c r="G142" s="13"/>
      <c r="H142" s="13"/>
      <c r="I142" s="13"/>
      <c r="J142" s="13"/>
      <c r="K142" s="13"/>
      <c r="L142" s="13"/>
      <c r="M142" s="13"/>
      <c r="N142" s="13"/>
      <c r="O142" s="13"/>
      <c r="P142" s="13"/>
      <c r="Q142" s="13"/>
      <c r="R142" s="13"/>
      <c r="S142" s="13"/>
      <c r="T142" s="13"/>
      <c r="U142" s="13"/>
      <c r="V142" s="13"/>
      <c r="W142" s="13"/>
      <c r="X142" s="13"/>
      <c r="Y142" s="13"/>
      <c r="Z142" s="13"/>
      <c r="AA142" s="13"/>
      <c r="AB142" s="13"/>
      <c r="AC142" s="13"/>
      <c r="AD142" s="13"/>
      <c r="AE142" s="13"/>
      <c r="AF142" s="13"/>
      <c r="AG142" s="13"/>
      <c r="AH142" s="13"/>
      <c r="AI142" s="13"/>
      <c r="AJ142" s="13"/>
      <c r="AK142" s="13"/>
      <c r="AL142" s="13"/>
      <c r="AM142" s="13"/>
      <c r="AN142" s="13"/>
      <c r="AO142" s="13"/>
      <c r="AP142" s="13"/>
      <c r="AQ142" s="13"/>
      <c r="AR142" s="13"/>
      <c r="AS142" s="13"/>
      <c r="AT142" s="13"/>
      <c r="AU142" s="13"/>
      <c r="AV142" s="13"/>
      <c r="AW142" s="13"/>
      <c r="AX142" s="13"/>
      <c r="AY142" s="13"/>
      <c r="AZ142" s="13"/>
      <c r="BA142" s="13"/>
      <c r="BB142" s="13"/>
    </row>
    <row r="143" spans="1:54" x14ac:dyDescent="0.3">
      <c r="A143" s="10"/>
      <c r="B143" s="33"/>
    </row>
    <row r="144" spans="1:54" x14ac:dyDescent="0.3">
      <c r="A144" s="10" t="str">
        <f ca="1">Language!A477</f>
        <v>Ставка дисконтирования для бюджетной эффективности</v>
      </c>
      <c r="B144" s="273">
        <v>0.1</v>
      </c>
    </row>
    <row r="145" spans="1:54" outlineLevel="1" x14ac:dyDescent="0.3">
      <c r="A145" s="35" t="str">
        <f ca="1">Language!A462</f>
        <v>ставка на расчетный период</v>
      </c>
      <c r="B145" s="17"/>
      <c r="C145" s="1" t="s">
        <v>1</v>
      </c>
      <c r="F145" s="6" t="s">
        <v>745</v>
      </c>
      <c r="G145" s="254">
        <f t="shared" ref="G145:M145" si="349">((1+$B144) / IF(Prj_Inflation, 1, 1+CHOOSE(Prj_CurReport, G$43,G$56,G$62))) ^ (G$31/12) -1</f>
        <v>7.9741404289037643E-3</v>
      </c>
      <c r="H145" s="29">
        <f t="shared" si="349"/>
        <v>7.9741404289037643E-3</v>
      </c>
      <c r="I145" s="29">
        <f t="shared" si="349"/>
        <v>7.9741404289037643E-3</v>
      </c>
      <c r="J145" s="29">
        <f t="shared" si="349"/>
        <v>7.9741404289037643E-3</v>
      </c>
      <c r="K145" s="29">
        <f t="shared" si="349"/>
        <v>7.9741404289037643E-3</v>
      </c>
      <c r="L145" s="29">
        <f t="shared" si="349"/>
        <v>7.9741404289037643E-3</v>
      </c>
      <c r="M145" s="29">
        <f t="shared" si="349"/>
        <v>7.9741404289037643E-3</v>
      </c>
      <c r="N145" s="29">
        <f t="shared" ref="N145:O145" si="350">((1+$B144) / IF(Prj_Inflation, 1, 1+CHOOSE(Prj_CurReport, N$43,N$56,N$62))) ^ (N$31/12) -1</f>
        <v>7.9741404289037643E-3</v>
      </c>
      <c r="O145" s="29">
        <f t="shared" si="350"/>
        <v>7.9741404289037643E-3</v>
      </c>
      <c r="P145" s="29">
        <f t="shared" ref="P145:Q145" si="351">((1+$B144) / IF(Prj_Inflation, 1, 1+CHOOSE(Prj_CurReport, P$43,P$56,P$62))) ^ (P$31/12) -1</f>
        <v>7.9741404289037643E-3</v>
      </c>
      <c r="Q145" s="29">
        <f t="shared" si="351"/>
        <v>7.9741404289037643E-3</v>
      </c>
      <c r="R145" s="29">
        <f t="shared" ref="R145:S145" si="352">((1+$B144) / IF(Prj_Inflation, 1, 1+CHOOSE(Prj_CurReport, R$43,R$56,R$62))) ^ (R$31/12) -1</f>
        <v>7.9741404289037643E-3</v>
      </c>
      <c r="S145" s="29">
        <f t="shared" si="352"/>
        <v>7.9741404289037643E-3</v>
      </c>
      <c r="T145" s="29">
        <f t="shared" ref="T145:U145" si="353">((1+$B144) / IF(Prj_Inflation, 1, 1+CHOOSE(Prj_CurReport, T$43,T$56,T$62))) ^ (T$31/12) -1</f>
        <v>7.9741404289037643E-3</v>
      </c>
      <c r="U145" s="29">
        <f t="shared" si="353"/>
        <v>7.9741404289037643E-3</v>
      </c>
      <c r="V145" s="29">
        <f t="shared" ref="V145:W145" si="354">((1+$B144) / IF(Prj_Inflation, 1, 1+CHOOSE(Prj_CurReport, V$43,V$56,V$62))) ^ (V$31/12) -1</f>
        <v>7.9741404289037643E-3</v>
      </c>
      <c r="W145" s="29">
        <f t="shared" si="354"/>
        <v>7.9741404289037643E-3</v>
      </c>
      <c r="X145" s="29">
        <f t="shared" ref="X145:Y145" si="355">((1+$B144) / IF(Prj_Inflation, 1, 1+CHOOSE(Prj_CurReport, X$43,X$56,X$62))) ^ (X$31/12) -1</f>
        <v>7.9741404289037643E-3</v>
      </c>
      <c r="Y145" s="29">
        <f t="shared" si="355"/>
        <v>7.9741404289037643E-3</v>
      </c>
      <c r="Z145" s="29">
        <f t="shared" ref="Z145:AA145" si="356">((1+$B144) / IF(Prj_Inflation, 1, 1+CHOOSE(Prj_CurReport, Z$43,Z$56,Z$62))) ^ (Z$31/12) -1</f>
        <v>7.9741404289037643E-3</v>
      </c>
      <c r="AA145" s="29">
        <f t="shared" si="356"/>
        <v>7.9741404289037643E-3</v>
      </c>
      <c r="AB145" s="29">
        <f t="shared" ref="AB145:AC145" si="357">((1+$B144) / IF(Prj_Inflation, 1, 1+CHOOSE(Prj_CurReport, AB$43,AB$56,AB$62))) ^ (AB$31/12) -1</f>
        <v>7.9741404289037643E-3</v>
      </c>
      <c r="AC145" s="29">
        <f t="shared" si="357"/>
        <v>7.9741404289037643E-3</v>
      </c>
      <c r="AD145" s="29">
        <f t="shared" ref="AD145:AE145" si="358">((1+$B144) / IF(Prj_Inflation, 1, 1+CHOOSE(Prj_CurReport, AD$43,AD$56,AD$62))) ^ (AD$31/12) -1</f>
        <v>7.9741404289037643E-3</v>
      </c>
      <c r="AE145" s="29">
        <f t="shared" si="358"/>
        <v>7.9741404289037643E-3</v>
      </c>
      <c r="AF145" s="29">
        <f t="shared" ref="AF145:AG145" si="359">((1+$B144) / IF(Prj_Inflation, 1, 1+CHOOSE(Prj_CurReport, AF$43,AF$56,AF$62))) ^ (AF$31/12) -1</f>
        <v>7.9741404289037643E-3</v>
      </c>
      <c r="AG145" s="29">
        <f t="shared" si="359"/>
        <v>7.9741404289037643E-3</v>
      </c>
      <c r="AH145" s="29">
        <f t="shared" ref="AH145:AI145" si="360">((1+$B144) / IF(Prj_Inflation, 1, 1+CHOOSE(Prj_CurReport, AH$43,AH$56,AH$62))) ^ (AH$31/12) -1</f>
        <v>7.9741404289037643E-3</v>
      </c>
      <c r="AI145" s="29">
        <f t="shared" si="360"/>
        <v>7.9741404289037643E-3</v>
      </c>
      <c r="AJ145" s="29">
        <f t="shared" ref="AJ145:AK145" si="361">((1+$B144) / IF(Prj_Inflation, 1, 1+CHOOSE(Prj_CurReport, AJ$43,AJ$56,AJ$62))) ^ (AJ$31/12) -1</f>
        <v>7.9741404289037643E-3</v>
      </c>
      <c r="AK145" s="29">
        <f t="shared" si="361"/>
        <v>7.9741404289037643E-3</v>
      </c>
      <c r="AL145" s="29">
        <f t="shared" ref="AL145:AM145" si="362">((1+$B144) / IF(Prj_Inflation, 1, 1+CHOOSE(Prj_CurReport, AL$43,AL$56,AL$62))) ^ (AL$31/12) -1</f>
        <v>7.9741404289037643E-3</v>
      </c>
      <c r="AM145" s="29">
        <f t="shared" si="362"/>
        <v>7.9741404289037643E-3</v>
      </c>
      <c r="AN145" s="29">
        <f t="shared" ref="AN145:AO145" si="363">((1+$B144) / IF(Prj_Inflation, 1, 1+CHOOSE(Prj_CurReport, AN$43,AN$56,AN$62))) ^ (AN$31/12) -1</f>
        <v>7.9741404289037643E-3</v>
      </c>
      <c r="AO145" s="29">
        <f t="shared" si="363"/>
        <v>7.9741404289037643E-3</v>
      </c>
      <c r="AP145" s="29">
        <f t="shared" ref="AP145:AQ145" si="364">((1+$B144) / IF(Prj_Inflation, 1, 1+CHOOSE(Prj_CurReport, AP$43,AP$56,AP$62))) ^ (AP$31/12) -1</f>
        <v>7.9741404289037643E-3</v>
      </c>
      <c r="AQ145" s="29">
        <f t="shared" si="364"/>
        <v>7.9741404289037643E-3</v>
      </c>
      <c r="AR145" s="29">
        <f t="shared" ref="AR145:AS145" si="365">((1+$B144) / IF(Prj_Inflation, 1, 1+CHOOSE(Prj_CurReport, AR$43,AR$56,AR$62))) ^ (AR$31/12) -1</f>
        <v>7.9741404289037643E-3</v>
      </c>
      <c r="AS145" s="29">
        <f t="shared" si="365"/>
        <v>7.9741404289037643E-3</v>
      </c>
      <c r="AT145" s="29">
        <f t="shared" ref="AT145:AU145" si="366">((1+$B144) / IF(Prj_Inflation, 1, 1+CHOOSE(Prj_CurReport, AT$43,AT$56,AT$62))) ^ (AT$31/12) -1</f>
        <v>7.9741404289037643E-3</v>
      </c>
      <c r="AU145" s="29">
        <f t="shared" si="366"/>
        <v>7.9741404289037643E-3</v>
      </c>
      <c r="AV145" s="29">
        <f t="shared" ref="AV145:AW145" si="367">((1+$B144) / IF(Prj_Inflation, 1, 1+CHOOSE(Prj_CurReport, AV$43,AV$56,AV$62))) ^ (AV$31/12) -1</f>
        <v>7.9741404289037643E-3</v>
      </c>
      <c r="AW145" s="29">
        <f t="shared" si="367"/>
        <v>7.9741404289037643E-3</v>
      </c>
      <c r="AX145" s="29">
        <f t="shared" ref="AX145:AY145" si="368">((1+$B144) / IF(Prj_Inflation, 1, 1+CHOOSE(Prj_CurReport, AX$43,AX$56,AX$62))) ^ (AX$31/12) -1</f>
        <v>7.9741404289037643E-3</v>
      </c>
      <c r="AY145" s="29">
        <f t="shared" si="368"/>
        <v>7.9741404289037643E-3</v>
      </c>
      <c r="AZ145" s="29">
        <f t="shared" ref="AZ145:BA145" si="369">((1+$B144) / IF(Prj_Inflation, 1, 1+CHOOSE(Prj_CurReport, AZ$43,AZ$56,AZ$62))) ^ (AZ$31/12) -1</f>
        <v>7.9741404289037643E-3</v>
      </c>
      <c r="BA145" s="29">
        <f t="shared" si="369"/>
        <v>7.9741404289037643E-3</v>
      </c>
      <c r="BB145" s="29">
        <f t="shared" ref="BB145" si="370">((1+$B144) / IF(Prj_Inflation, 1, 1+CHOOSE(Prj_CurReport, BB$43,BB$56,BB$62))) ^ (BB$31/12) -1</f>
        <v>7.9741404289037643E-3</v>
      </c>
    </row>
    <row r="146" spans="1:54" outlineLevel="1" x14ac:dyDescent="0.3">
      <c r="A146" s="35" t="str">
        <f ca="1">Language!A463</f>
        <v>коэффициент дисконта на начало периода</v>
      </c>
      <c r="B146" s="17"/>
      <c r="F146" s="6" t="s">
        <v>745</v>
      </c>
      <c r="G146" s="31">
        <f>IF(G$2=1,1,F146*(1+F145))</f>
        <v>1</v>
      </c>
      <c r="H146" s="31">
        <f>IF(H$2=1,1,G146*(1+G145))</f>
        <v>1.0079741404289038</v>
      </c>
      <c r="I146" s="31">
        <f t="shared" ref="I146" si="371">IF(I$2=1,1,H146*(1+H145))</f>
        <v>1.0160118677733874</v>
      </c>
      <c r="J146" s="31">
        <f t="shared" ref="J146" si="372">IF(J$2=1,1,I146*(1+I145))</f>
        <v>1.0241136890844451</v>
      </c>
      <c r="K146" s="31">
        <f t="shared" ref="K146:BB146" si="373">IF(K$2=1,1,J146*(1+J145))</f>
        <v>1.0322801154563672</v>
      </c>
      <c r="L146" s="31">
        <f t="shared" si="373"/>
        <v>1.0405116620589814</v>
      </c>
      <c r="M146" s="31">
        <f t="shared" si="373"/>
        <v>1.0488088481701519</v>
      </c>
      <c r="N146" s="31">
        <f t="shared" si="373"/>
        <v>1.0571721972085375</v>
      </c>
      <c r="O146" s="31">
        <f t="shared" si="373"/>
        <v>1.0656022367666111</v>
      </c>
      <c r="P146" s="31">
        <f t="shared" si="373"/>
        <v>1.0740994986439421</v>
      </c>
      <c r="Q146" s="31">
        <f t="shared" si="373"/>
        <v>1.082664518880744</v>
      </c>
      <c r="R146" s="31">
        <f t="shared" si="373"/>
        <v>1.0912978377916907</v>
      </c>
      <c r="S146" s="31">
        <f t="shared" si="373"/>
        <v>1.1000000000000005</v>
      </c>
      <c r="T146" s="31">
        <f t="shared" si="373"/>
        <v>1.1087715544717947</v>
      </c>
      <c r="U146" s="31">
        <f t="shared" si="373"/>
        <v>1.1176130545507266</v>
      </c>
      <c r="V146" s="31">
        <f t="shared" si="373"/>
        <v>1.12652505799289</v>
      </c>
      <c r="W146" s="31">
        <f t="shared" si="373"/>
        <v>1.1355081270020042</v>
      </c>
      <c r="X146" s="31">
        <f t="shared" si="373"/>
        <v>1.1445628282648797</v>
      </c>
      <c r="Y146" s="31">
        <f t="shared" si="373"/>
        <v>1.1536897329871671</v>
      </c>
      <c r="Z146" s="31">
        <f t="shared" si="373"/>
        <v>1.1628894169293913</v>
      </c>
      <c r="AA146" s="31">
        <f t="shared" si="373"/>
        <v>1.1721624604432723</v>
      </c>
      <c r="AB146" s="31">
        <f t="shared" si="373"/>
        <v>1.1815094485083364</v>
      </c>
      <c r="AC146" s="31">
        <f t="shared" si="373"/>
        <v>1.1909309707688185</v>
      </c>
      <c r="AD146" s="31">
        <f t="shared" si="373"/>
        <v>1.2004276215708598</v>
      </c>
      <c r="AE146" s="31">
        <f t="shared" si="373"/>
        <v>1.2100000000000009</v>
      </c>
      <c r="AF146" s="31">
        <f t="shared" si="373"/>
        <v>1.2196487099189743</v>
      </c>
      <c r="AG146" s="31">
        <f t="shared" si="373"/>
        <v>1.2293743600057996</v>
      </c>
      <c r="AH146" s="31">
        <f t="shared" si="373"/>
        <v>1.2391775637921796</v>
      </c>
      <c r="AI146" s="31">
        <f t="shared" si="373"/>
        <v>1.2490589397022054</v>
      </c>
      <c r="AJ146" s="31">
        <f t="shared" si="373"/>
        <v>1.2590191110913684</v>
      </c>
      <c r="AK146" s="31">
        <f t="shared" si="373"/>
        <v>1.2690587062858847</v>
      </c>
      <c r="AL146" s="31">
        <f t="shared" si="373"/>
        <v>1.2791783586223313</v>
      </c>
      <c r="AM146" s="31">
        <f t="shared" si="373"/>
        <v>1.2893787064876003</v>
      </c>
      <c r="AN146" s="31">
        <f t="shared" si="373"/>
        <v>1.2996603933591708</v>
      </c>
      <c r="AO146" s="31">
        <f t="shared" si="373"/>
        <v>1.3100240678457011</v>
      </c>
      <c r="AP146" s="31">
        <f t="shared" si="373"/>
        <v>1.3204703837279466</v>
      </c>
      <c r="AQ146" s="31">
        <f t="shared" si="373"/>
        <v>1.3310000000000017</v>
      </c>
      <c r="AR146" s="31">
        <f t="shared" si="373"/>
        <v>1.3416135809108727</v>
      </c>
      <c r="AS146" s="31">
        <f t="shared" si="373"/>
        <v>1.3523117960063804</v>
      </c>
      <c r="AT146" s="31">
        <f t="shared" si="373"/>
        <v>1.3630953201713985</v>
      </c>
      <c r="AU146" s="31">
        <f t="shared" si="373"/>
        <v>1.3739648336724266</v>
      </c>
      <c r="AV146" s="31">
        <f t="shared" si="373"/>
        <v>1.3849210222005059</v>
      </c>
      <c r="AW146" s="31">
        <f t="shared" si="373"/>
        <v>1.3959645769144737</v>
      </c>
      <c r="AX146" s="31">
        <f t="shared" si="373"/>
        <v>1.407096194484565</v>
      </c>
      <c r="AY146" s="31">
        <f t="shared" si="373"/>
        <v>1.4183165771363611</v>
      </c>
      <c r="AZ146" s="31">
        <f t="shared" si="373"/>
        <v>1.4296264326950885</v>
      </c>
      <c r="BA146" s="31">
        <f t="shared" si="373"/>
        <v>1.4410264746302719</v>
      </c>
      <c r="BB146" s="31">
        <f t="shared" si="373"/>
        <v>1.4525174221007418</v>
      </c>
    </row>
    <row r="147" spans="1:54" x14ac:dyDescent="0.3">
      <c r="A147" s="12"/>
      <c r="B147" s="13"/>
      <c r="C147" s="13"/>
      <c r="D147" s="14"/>
      <c r="E147" s="14" t="s">
        <v>606</v>
      </c>
      <c r="F147" s="14"/>
      <c r="G147" s="13"/>
      <c r="H147" s="13"/>
      <c r="I147" s="13"/>
      <c r="J147" s="13"/>
      <c r="K147" s="13"/>
      <c r="L147" s="13"/>
      <c r="M147" s="13"/>
      <c r="N147" s="13"/>
      <c r="O147" s="13"/>
      <c r="P147" s="13"/>
      <c r="Q147" s="13"/>
      <c r="R147" s="13"/>
      <c r="S147" s="13"/>
      <c r="T147" s="13"/>
      <c r="U147" s="13"/>
      <c r="V147" s="13"/>
      <c r="W147" s="13"/>
      <c r="X147" s="13"/>
      <c r="Y147" s="13"/>
      <c r="Z147" s="13"/>
      <c r="AA147" s="13"/>
      <c r="AB147" s="13"/>
      <c r="AC147" s="13"/>
      <c r="AD147" s="13"/>
      <c r="AE147" s="13"/>
      <c r="AF147" s="13"/>
      <c r="AG147" s="13"/>
      <c r="AH147" s="13"/>
      <c r="AI147" s="13"/>
      <c r="AJ147" s="13"/>
      <c r="AK147" s="13"/>
      <c r="AL147" s="13"/>
      <c r="AM147" s="13"/>
      <c r="AN147" s="13"/>
      <c r="AO147" s="13"/>
      <c r="AP147" s="13"/>
      <c r="AQ147" s="13"/>
      <c r="AR147" s="13"/>
      <c r="AS147" s="13"/>
      <c r="AT147" s="13"/>
      <c r="AU147" s="13"/>
      <c r="AV147" s="13"/>
      <c r="AW147" s="13"/>
      <c r="AX147" s="13"/>
      <c r="AY147" s="13"/>
      <c r="AZ147" s="13"/>
      <c r="BA147" s="13"/>
      <c r="BB147" s="13"/>
    </row>
  </sheetData>
  <sheetProtection formatCells="0"/>
  <dataConsolidate/>
  <mergeCells count="1">
    <mergeCell ref="A1:C2"/>
  </mergeCells>
  <dataValidations count="1">
    <dataValidation type="list" allowBlank="1" showInputMessage="1" showErrorMessage="1" sqref="B134:B135" xr:uid="{00000000-0002-0000-0000-000000000000}">
      <formula1>"0,1"</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how_Navigator">
                <anchor moveWithCells="1">
                  <from>
                    <xdr:col>0</xdr:col>
                    <xdr:colOff>38100</xdr:colOff>
                    <xdr:row>5</xdr:row>
                    <xdr:rowOff>38100</xdr:rowOff>
                  </from>
                  <to>
                    <xdr:col>0</xdr:col>
                    <xdr:colOff>289560</xdr:colOff>
                    <xdr:row>5</xdr:row>
                    <xdr:rowOff>289560</xdr:rowOff>
                  </to>
                </anchor>
              </controlPr>
            </control>
          </mc:Choice>
        </mc:AlternateContent>
        <mc:AlternateContent xmlns:mc="http://schemas.openxmlformats.org/markup-compatibility/2006">
          <mc:Choice Requires="x14">
            <control shapeId="2050" r:id="rId4" name="Button 2">
              <controlPr defaultSize="0" print="0" autoFill="0" autoPict="0" macro="[0]!Run_PrjGeneral">
                <anchor moveWithCells="1">
                  <from>
                    <xdr:col>2</xdr:col>
                    <xdr:colOff>53340</xdr:colOff>
                    <xdr:row>5</xdr:row>
                    <xdr:rowOff>38100</xdr:rowOff>
                  </from>
                  <to>
                    <xdr:col>6</xdr:col>
                    <xdr:colOff>0</xdr:colOff>
                    <xdr:row>5</xdr:row>
                    <xdr:rowOff>289560</xdr:rowOff>
                  </to>
                </anchor>
              </controlPr>
            </control>
          </mc:Choice>
        </mc:AlternateContent>
        <mc:AlternateContent xmlns:mc="http://schemas.openxmlformats.org/markup-compatibility/2006">
          <mc:Choice Requires="x14">
            <control shapeId="2051" r:id="rId5" name="Button 3">
              <controlPr defaultSize="0" print="0" autoFill="0" autoPict="0" macro="[0]!Show_Navigator">
                <anchor moveWithCells="1">
                  <from>
                    <xdr:col>0</xdr:col>
                    <xdr:colOff>38100</xdr:colOff>
                    <xdr:row>13</xdr:row>
                    <xdr:rowOff>38100</xdr:rowOff>
                  </from>
                  <to>
                    <xdr:col>0</xdr:col>
                    <xdr:colOff>289560</xdr:colOff>
                    <xdr:row>13</xdr:row>
                    <xdr:rowOff>289560</xdr:rowOff>
                  </to>
                </anchor>
              </controlPr>
            </control>
          </mc:Choice>
        </mc:AlternateContent>
        <mc:AlternateContent xmlns:mc="http://schemas.openxmlformats.org/markup-compatibility/2006">
          <mc:Choice Requires="x14">
            <control shapeId="2052" r:id="rId6" name="Button 4">
              <controlPr defaultSize="0" print="0" autoFill="0" autoPict="0" macro="[0]!Run_PrjSetup">
                <anchor moveWithCells="1">
                  <from>
                    <xdr:col>2</xdr:col>
                    <xdr:colOff>38100</xdr:colOff>
                    <xdr:row>13</xdr:row>
                    <xdr:rowOff>38100</xdr:rowOff>
                  </from>
                  <to>
                    <xdr:col>6</xdr:col>
                    <xdr:colOff>0</xdr:colOff>
                    <xdr:row>13</xdr:row>
                    <xdr:rowOff>289560</xdr:rowOff>
                  </to>
                </anchor>
              </controlPr>
            </control>
          </mc:Choice>
        </mc:AlternateContent>
        <mc:AlternateContent xmlns:mc="http://schemas.openxmlformats.org/markup-compatibility/2006">
          <mc:Choice Requires="x14">
            <control shapeId="2053" r:id="rId7" name="Button 5">
              <controlPr defaultSize="0" print="0" autoFill="0" autoPict="0" macro="[0]!Show_Navigator">
                <anchor moveWithCells="1">
                  <from>
                    <xdr:col>0</xdr:col>
                    <xdr:colOff>38100</xdr:colOff>
                    <xdr:row>37</xdr:row>
                    <xdr:rowOff>38100</xdr:rowOff>
                  </from>
                  <to>
                    <xdr:col>0</xdr:col>
                    <xdr:colOff>289560</xdr:colOff>
                    <xdr:row>37</xdr:row>
                    <xdr:rowOff>289560</xdr:rowOff>
                  </to>
                </anchor>
              </controlPr>
            </control>
          </mc:Choice>
        </mc:AlternateContent>
        <mc:AlternateContent xmlns:mc="http://schemas.openxmlformats.org/markup-compatibility/2006">
          <mc:Choice Requires="x14">
            <control shapeId="2054" r:id="rId8" name="Button 6">
              <controlPr defaultSize="0" print="0" autoFill="0" autoPict="0" macro="[0]!Run_PrjCurrency">
                <anchor moveWithCells="1">
                  <from>
                    <xdr:col>2</xdr:col>
                    <xdr:colOff>38100</xdr:colOff>
                    <xdr:row>37</xdr:row>
                    <xdr:rowOff>38100</xdr:rowOff>
                  </from>
                  <to>
                    <xdr:col>6</xdr:col>
                    <xdr:colOff>0</xdr:colOff>
                    <xdr:row>37</xdr:row>
                    <xdr:rowOff>289560</xdr:rowOff>
                  </to>
                </anchor>
              </controlPr>
            </control>
          </mc:Choice>
        </mc:AlternateContent>
        <mc:AlternateContent xmlns:mc="http://schemas.openxmlformats.org/markup-compatibility/2006">
          <mc:Choice Requires="x14">
            <control shapeId="2055" r:id="rId9" name="Button 7">
              <controlPr defaultSize="0" print="0" autoFill="0" autoPict="0" macro="[0]!Show_Navigator">
                <anchor moveWithCells="1">
                  <from>
                    <xdr:col>0</xdr:col>
                    <xdr:colOff>38100</xdr:colOff>
                    <xdr:row>67</xdr:row>
                    <xdr:rowOff>38100</xdr:rowOff>
                  </from>
                  <to>
                    <xdr:col>0</xdr:col>
                    <xdr:colOff>289560</xdr:colOff>
                    <xdr:row>67</xdr:row>
                    <xdr:rowOff>289560</xdr:rowOff>
                  </to>
                </anchor>
              </controlPr>
            </control>
          </mc:Choice>
        </mc:AlternateContent>
        <mc:AlternateContent xmlns:mc="http://schemas.openxmlformats.org/markup-compatibility/2006">
          <mc:Choice Requires="x14">
            <control shapeId="2056" r:id="rId10" name="Button 8">
              <controlPr defaultSize="0" print="0" autoFill="0" autoPict="0" macro="[0]!Run_PrjTax">
                <anchor moveWithCells="1">
                  <from>
                    <xdr:col>2</xdr:col>
                    <xdr:colOff>38100</xdr:colOff>
                    <xdr:row>67</xdr:row>
                    <xdr:rowOff>38100</xdr:rowOff>
                  </from>
                  <to>
                    <xdr:col>6</xdr:col>
                    <xdr:colOff>0</xdr:colOff>
                    <xdr:row>67</xdr:row>
                    <xdr:rowOff>289560</xdr:rowOff>
                  </to>
                </anchor>
              </controlPr>
            </control>
          </mc:Choice>
        </mc:AlternateContent>
        <mc:AlternateContent xmlns:mc="http://schemas.openxmlformats.org/markup-compatibility/2006">
          <mc:Choice Requires="x14">
            <control shapeId="2057" r:id="rId11" name="Button 9">
              <controlPr defaultSize="0" print="0" autoFill="0" autoPict="0" macro="[0]!Show_Navigator">
                <anchor moveWithCells="1">
                  <from>
                    <xdr:col>0</xdr:col>
                    <xdr:colOff>38100</xdr:colOff>
                    <xdr:row>112</xdr:row>
                    <xdr:rowOff>38100</xdr:rowOff>
                  </from>
                  <to>
                    <xdr:col>0</xdr:col>
                    <xdr:colOff>289560</xdr:colOff>
                    <xdr:row>112</xdr:row>
                    <xdr:rowOff>289560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
    <outlinePr summaryBelow="0" summaryRight="0"/>
  </sheetPr>
  <dimension ref="A1:BD137"/>
  <sheetViews>
    <sheetView workbookViewId="0">
      <pane xSplit="6" ySplit="2" topLeftCell="G3" activePane="bottomRight" state="frozen"/>
      <selection pane="topRight" activeCell="G1" sqref="G1"/>
      <selection pane="bottomLeft" activeCell="A3" sqref="A3"/>
      <selection pane="bottomRight" activeCell="A92" sqref="A92"/>
    </sheetView>
  </sheetViews>
  <sheetFormatPr defaultColWidth="8.77734375" defaultRowHeight="13.8" outlineLevelRow="1" x14ac:dyDescent="0.3"/>
  <cols>
    <col min="1" max="1" width="50.5546875" style="5" customWidth="1"/>
    <col min="2" max="3" width="12.5546875" style="5" customWidth="1"/>
    <col min="4" max="4" width="6.5546875" style="6" hidden="1" customWidth="1"/>
    <col min="5" max="5" width="12.5546875" style="6" hidden="1" customWidth="1"/>
    <col min="6" max="6" width="24.5546875" style="6" hidden="1" customWidth="1"/>
    <col min="7" max="54" width="12.5546875" style="5" customWidth="1"/>
    <col min="55" max="55" width="1.5546875" style="5" customWidth="1"/>
    <col min="56" max="56" width="12.5546875" style="5" customWidth="1"/>
    <col min="57" max="16384" width="8.77734375" style="5"/>
  </cols>
  <sheetData>
    <row r="1" spans="1:56" s="3" customFormat="1" ht="12.75" customHeight="1" x14ac:dyDescent="0.2">
      <c r="A1" s="456" t="str">
        <f ca="1">Language!A$481  &amp; " :: " &amp; Prj_Name</f>
        <v>Начальный баланс :: SPORT PLACE</v>
      </c>
      <c r="B1" s="457"/>
      <c r="C1" s="457"/>
      <c r="D1" s="1" t="s">
        <v>6</v>
      </c>
      <c r="E1" s="1" t="s">
        <v>4</v>
      </c>
      <c r="F1" s="1" t="s">
        <v>5</v>
      </c>
      <c r="G1" s="1" t="str">
        <f ca="1">Параметры!G$34</f>
        <v>янв.25</v>
      </c>
      <c r="H1" s="1" t="str">
        <f ca="1">Параметры!H$34</f>
        <v>фев.25</v>
      </c>
      <c r="I1" s="1" t="str">
        <f ca="1">Параметры!I$34</f>
        <v>мар.25</v>
      </c>
      <c r="J1" s="1" t="str">
        <f ca="1">Параметры!J$34</f>
        <v>апр.25</v>
      </c>
      <c r="K1" s="1" t="str">
        <f ca="1">Параметры!K$34</f>
        <v>май.25</v>
      </c>
      <c r="L1" s="1" t="str">
        <f ca="1">Параметры!L$34</f>
        <v>июн.25</v>
      </c>
      <c r="M1" s="1" t="str">
        <f ca="1">Параметры!M$34</f>
        <v>июл.25</v>
      </c>
      <c r="N1" s="1" t="str">
        <f ca="1">Параметры!N$34</f>
        <v>авг.25</v>
      </c>
      <c r="O1" s="1" t="str">
        <f ca="1">Параметры!O$34</f>
        <v>сен.25</v>
      </c>
      <c r="P1" s="1" t="str">
        <f ca="1">Параметры!P$34</f>
        <v>окт.25</v>
      </c>
      <c r="Q1" s="1" t="str">
        <f ca="1">Параметры!Q$34</f>
        <v>ноя.25</v>
      </c>
      <c r="R1" s="1" t="str">
        <f ca="1">Параметры!R$34</f>
        <v>дек.25</v>
      </c>
      <c r="S1" s="1" t="str">
        <f ca="1">Параметры!S$34</f>
        <v>янв.26</v>
      </c>
      <c r="T1" s="1" t="str">
        <f ca="1">Параметры!T$34</f>
        <v>фев.26</v>
      </c>
      <c r="U1" s="1" t="str">
        <f ca="1">Параметры!U$34</f>
        <v>мар.26</v>
      </c>
      <c r="V1" s="1" t="str">
        <f ca="1">Параметры!V$34</f>
        <v>апр.26</v>
      </c>
      <c r="W1" s="1" t="str">
        <f ca="1">Параметры!W$34</f>
        <v>май.26</v>
      </c>
      <c r="X1" s="1" t="str">
        <f ca="1">Параметры!X$34</f>
        <v>июн.26</v>
      </c>
      <c r="Y1" s="1" t="str">
        <f ca="1">Параметры!Y$34</f>
        <v>июл.26</v>
      </c>
      <c r="Z1" s="1" t="str">
        <f ca="1">Параметры!Z$34</f>
        <v>авг.26</v>
      </c>
      <c r="AA1" s="1" t="str">
        <f ca="1">Параметры!AA$34</f>
        <v>сен.26</v>
      </c>
      <c r="AB1" s="1" t="str">
        <f ca="1">Параметры!AB$34</f>
        <v>окт.26</v>
      </c>
      <c r="AC1" s="1" t="str">
        <f ca="1">Параметры!AC$34</f>
        <v>ноя.26</v>
      </c>
      <c r="AD1" s="1" t="str">
        <f ca="1">Параметры!AD$34</f>
        <v>дек.26</v>
      </c>
      <c r="AE1" s="1" t="str">
        <f ca="1">Параметры!AE$34</f>
        <v>янв.27</v>
      </c>
      <c r="AF1" s="1" t="str">
        <f ca="1">Параметры!AF$34</f>
        <v>фев.27</v>
      </c>
      <c r="AG1" s="1" t="str">
        <f ca="1">Параметры!AG$34</f>
        <v>мар.27</v>
      </c>
      <c r="AH1" s="1" t="str">
        <f ca="1">Параметры!AH$34</f>
        <v>апр.27</v>
      </c>
      <c r="AI1" s="1" t="str">
        <f ca="1">Параметры!AI$34</f>
        <v>май.27</v>
      </c>
      <c r="AJ1" s="1" t="str">
        <f ca="1">Параметры!AJ$34</f>
        <v>июн.27</v>
      </c>
      <c r="AK1" s="1" t="str">
        <f ca="1">Параметры!AK$34</f>
        <v>июл.27</v>
      </c>
      <c r="AL1" s="1" t="str">
        <f ca="1">Параметры!AL$34</f>
        <v>авг.27</v>
      </c>
      <c r="AM1" s="1" t="str">
        <f ca="1">Параметры!AM$34</f>
        <v>сен.27</v>
      </c>
      <c r="AN1" s="1" t="str">
        <f ca="1">Параметры!AN$34</f>
        <v>окт.27</v>
      </c>
      <c r="AO1" s="1" t="str">
        <f ca="1">Параметры!AO$34</f>
        <v>ноя.27</v>
      </c>
      <c r="AP1" s="1" t="str">
        <f ca="1">Параметры!AP$34</f>
        <v>дек.27</v>
      </c>
      <c r="AQ1" s="1" t="str">
        <f ca="1">Параметры!AQ$34</f>
        <v>янв.28</v>
      </c>
      <c r="AR1" s="1" t="str">
        <f ca="1">Параметры!AR$34</f>
        <v>фев.28</v>
      </c>
      <c r="AS1" s="1" t="str">
        <f ca="1">Параметры!AS$34</f>
        <v>мар.28</v>
      </c>
      <c r="AT1" s="1" t="str">
        <f ca="1">Параметры!AT$34</f>
        <v>апр.28</v>
      </c>
      <c r="AU1" s="1" t="str">
        <f ca="1">Параметры!AU$34</f>
        <v>май.28</v>
      </c>
      <c r="AV1" s="1" t="str">
        <f ca="1">Параметры!AV$34</f>
        <v>июн.28</v>
      </c>
      <c r="AW1" s="1" t="str">
        <f ca="1">Параметры!AW$34</f>
        <v>июл.28</v>
      </c>
      <c r="AX1" s="1" t="str">
        <f ca="1">Параметры!AX$34</f>
        <v>авг.28</v>
      </c>
      <c r="AY1" s="1" t="str">
        <f ca="1">Параметры!AY$34</f>
        <v>сен.28</v>
      </c>
      <c r="AZ1" s="1" t="str">
        <f ca="1">Параметры!AZ$34</f>
        <v>окт.28</v>
      </c>
      <c r="BA1" s="1" t="str">
        <f ca="1">Параметры!BA$34</f>
        <v>ноя.28</v>
      </c>
      <c r="BB1" s="1" t="str">
        <f ca="1">Параметры!BB$34</f>
        <v>дек.28</v>
      </c>
      <c r="BC1" s="1"/>
      <c r="BD1" s="39" t="str">
        <f ca="1">Language!$A$1473</f>
        <v>ИТОГО</v>
      </c>
    </row>
    <row r="2" spans="1:56" s="3" customFormat="1" ht="12.75" customHeight="1" x14ac:dyDescent="0.2">
      <c r="A2" s="457"/>
      <c r="B2" s="457"/>
      <c r="C2" s="457"/>
      <c r="D2" s="4"/>
      <c r="E2" s="4"/>
      <c r="F2" s="4"/>
      <c r="G2" s="1">
        <f>Параметры!G25</f>
        <v>1</v>
      </c>
      <c r="H2" s="1">
        <f>Параметры!H25</f>
        <v>2</v>
      </c>
      <c r="I2" s="1">
        <f>Параметры!I25</f>
        <v>3</v>
      </c>
      <c r="J2" s="1">
        <f>Параметры!J25</f>
        <v>4</v>
      </c>
      <c r="K2" s="1">
        <f>Параметры!K25</f>
        <v>5</v>
      </c>
      <c r="L2" s="1">
        <f>Параметры!L25</f>
        <v>6</v>
      </c>
      <c r="M2" s="1">
        <f>Параметры!M25</f>
        <v>7</v>
      </c>
      <c r="N2" s="1">
        <f>Параметры!N25</f>
        <v>8</v>
      </c>
      <c r="O2" s="1">
        <f>Параметры!O25</f>
        <v>9</v>
      </c>
      <c r="P2" s="1">
        <f>Параметры!P25</f>
        <v>10</v>
      </c>
      <c r="Q2" s="1">
        <f>Параметры!Q25</f>
        <v>11</v>
      </c>
      <c r="R2" s="1">
        <f>Параметры!R25</f>
        <v>12</v>
      </c>
      <c r="S2" s="1">
        <f>Параметры!S25</f>
        <v>13</v>
      </c>
      <c r="T2" s="1">
        <f>Параметры!T25</f>
        <v>14</v>
      </c>
      <c r="U2" s="1">
        <f>Параметры!U25</f>
        <v>15</v>
      </c>
      <c r="V2" s="1">
        <f>Параметры!V25</f>
        <v>16</v>
      </c>
      <c r="W2" s="1">
        <f>Параметры!W25</f>
        <v>17</v>
      </c>
      <c r="X2" s="1">
        <f>Параметры!X25</f>
        <v>18</v>
      </c>
      <c r="Y2" s="1">
        <f>Параметры!Y25</f>
        <v>19</v>
      </c>
      <c r="Z2" s="1">
        <f>Параметры!Z25</f>
        <v>20</v>
      </c>
      <c r="AA2" s="1">
        <f>Параметры!AA25</f>
        <v>21</v>
      </c>
      <c r="AB2" s="1">
        <f>Параметры!AB25</f>
        <v>22</v>
      </c>
      <c r="AC2" s="1">
        <f>Параметры!AC25</f>
        <v>23</v>
      </c>
      <c r="AD2" s="1">
        <f>Параметры!AD25</f>
        <v>24</v>
      </c>
      <c r="AE2" s="1">
        <f>Параметры!AE25</f>
        <v>25</v>
      </c>
      <c r="AF2" s="1">
        <f>Параметры!AF25</f>
        <v>26</v>
      </c>
      <c r="AG2" s="1">
        <f>Параметры!AG25</f>
        <v>27</v>
      </c>
      <c r="AH2" s="1">
        <f>Параметры!AH25</f>
        <v>28</v>
      </c>
      <c r="AI2" s="1">
        <f>Параметры!AI25</f>
        <v>29</v>
      </c>
      <c r="AJ2" s="1">
        <f>Параметры!AJ25</f>
        <v>30</v>
      </c>
      <c r="AK2" s="1">
        <f>Параметры!AK25</f>
        <v>31</v>
      </c>
      <c r="AL2" s="1">
        <f>Параметры!AL25</f>
        <v>32</v>
      </c>
      <c r="AM2" s="1">
        <f>Параметры!AM25</f>
        <v>33</v>
      </c>
      <c r="AN2" s="1">
        <f>Параметры!AN25</f>
        <v>34</v>
      </c>
      <c r="AO2" s="1">
        <f>Параметры!AO25</f>
        <v>35</v>
      </c>
      <c r="AP2" s="1">
        <f>Параметры!AP25</f>
        <v>36</v>
      </c>
      <c r="AQ2" s="1">
        <f>Параметры!AQ25</f>
        <v>37</v>
      </c>
      <c r="AR2" s="1">
        <f>Параметры!AR25</f>
        <v>38</v>
      </c>
      <c r="AS2" s="1">
        <f>Параметры!AS25</f>
        <v>39</v>
      </c>
      <c r="AT2" s="1">
        <f>Параметры!AT25</f>
        <v>40</v>
      </c>
      <c r="AU2" s="1">
        <f>Параметры!AU25</f>
        <v>41</v>
      </c>
      <c r="AV2" s="1">
        <f>Параметры!AV25</f>
        <v>42</v>
      </c>
      <c r="AW2" s="1">
        <f>Параметры!AW25</f>
        <v>43</v>
      </c>
      <c r="AX2" s="1">
        <f>Параметры!AX25</f>
        <v>44</v>
      </c>
      <c r="AY2" s="1">
        <f>Параметры!AY25</f>
        <v>45</v>
      </c>
      <c r="AZ2" s="1">
        <f>Параметры!AZ25</f>
        <v>46</v>
      </c>
      <c r="BA2" s="1">
        <f>Параметры!BA25</f>
        <v>47</v>
      </c>
      <c r="BB2" s="1">
        <f>Параметры!BB25</f>
        <v>48</v>
      </c>
      <c r="BC2" s="1"/>
      <c r="BD2" s="40"/>
    </row>
    <row r="3" spans="1:56" x14ac:dyDescent="0.3">
      <c r="A3" s="244"/>
      <c r="BD3" s="41"/>
    </row>
    <row r="4" spans="1:56" s="9" customFormat="1" ht="25.5" customHeight="1" thickBot="1" x14ac:dyDescent="0.35">
      <c r="A4" s="323" t="str">
        <f ca="1">Language!A$482</f>
        <v>СТАРТОВЫЙ БАЛАНС</v>
      </c>
      <c r="B4" s="324"/>
      <c r="C4" s="325"/>
      <c r="D4" s="326"/>
      <c r="E4" s="326" t="s">
        <v>926</v>
      </c>
      <c r="F4" s="326"/>
      <c r="G4" s="8"/>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42"/>
    </row>
    <row r="5" spans="1:56" ht="14.4" thickTop="1" x14ac:dyDescent="0.3">
      <c r="A5" s="10"/>
    </row>
    <row r="6" spans="1:56" x14ac:dyDescent="0.3">
      <c r="A6" s="35" t="str">
        <f ca="1">Language!A$483</f>
        <v>Денежные средства</v>
      </c>
      <c r="B6" s="276">
        <v>0</v>
      </c>
      <c r="C6" s="37" t="str">
        <f t="shared" ref="C6:C14" ca="1" si="0">CurName1</f>
        <v>руб.</v>
      </c>
    </row>
    <row r="7" spans="1:56" x14ac:dyDescent="0.3">
      <c r="A7" s="35" t="str">
        <f ca="1">Language!A$484</f>
        <v>Дебиторская задолженность</v>
      </c>
      <c r="B7" s="276">
        <v>0</v>
      </c>
      <c r="C7" s="37" t="str">
        <f t="shared" ca="1" si="0"/>
        <v>руб.</v>
      </c>
    </row>
    <row r="8" spans="1:56" x14ac:dyDescent="0.3">
      <c r="A8" s="35" t="str">
        <f ca="1">Language!A$485</f>
        <v>Авансы уплаченные поставщикам</v>
      </c>
      <c r="B8" s="276">
        <v>0</v>
      </c>
      <c r="C8" s="37" t="str">
        <f t="shared" ca="1" si="0"/>
        <v>руб.</v>
      </c>
    </row>
    <row r="9" spans="1:56" x14ac:dyDescent="0.3">
      <c r="A9" s="35" t="str">
        <f ca="1">Language!A$486</f>
        <v>Готовая продукция на складе</v>
      </c>
      <c r="B9" s="276">
        <v>0</v>
      </c>
      <c r="C9" s="37" t="str">
        <f t="shared" ca="1" si="0"/>
        <v>руб.</v>
      </c>
    </row>
    <row r="10" spans="1:56" x14ac:dyDescent="0.3">
      <c r="A10" s="35" t="str">
        <f ca="1">Language!A$487</f>
        <v>Незавершенное производство</v>
      </c>
      <c r="B10" s="276">
        <v>0</v>
      </c>
      <c r="C10" s="37" t="str">
        <f t="shared" ca="1" si="0"/>
        <v>руб.</v>
      </c>
    </row>
    <row r="11" spans="1:56" x14ac:dyDescent="0.3">
      <c r="A11" s="35" t="str">
        <f ca="1">Language!A$488</f>
        <v>Запасы материалов и комплектующих</v>
      </c>
      <c r="B11" s="276">
        <v>0</v>
      </c>
      <c r="C11" s="37" t="str">
        <f t="shared" ca="1" si="0"/>
        <v>руб.</v>
      </c>
    </row>
    <row r="12" spans="1:56" x14ac:dyDescent="0.3">
      <c r="A12" s="35" t="str">
        <f ca="1">Language!A$489</f>
        <v>НДС на приобретенные товары</v>
      </c>
      <c r="B12" s="276">
        <v>0</v>
      </c>
      <c r="C12" s="37" t="str">
        <f t="shared" ca="1" si="0"/>
        <v>руб.</v>
      </c>
    </row>
    <row r="13" spans="1:56" x14ac:dyDescent="0.3">
      <c r="A13" s="35" t="str">
        <f ca="1">Language!A$490</f>
        <v>Краткосрочные финансовые вложения</v>
      </c>
      <c r="B13" s="276">
        <v>0</v>
      </c>
      <c r="C13" s="37" t="str">
        <f t="shared" ca="1" si="0"/>
        <v>руб.</v>
      </c>
    </row>
    <row r="14" spans="1:56" x14ac:dyDescent="0.3">
      <c r="A14" s="35" t="str">
        <f ca="1">Language!A$491</f>
        <v>Прочие оборотные активы</v>
      </c>
      <c r="B14" s="276">
        <v>0</v>
      </c>
      <c r="C14" s="37" t="str">
        <f t="shared" ca="1" si="0"/>
        <v>руб.</v>
      </c>
    </row>
    <row r="15" spans="1:56" x14ac:dyDescent="0.3">
      <c r="A15" s="43" t="str">
        <f ca="1">Language!A$492</f>
        <v>Суммарные оборотные активы</v>
      </c>
      <c r="B15" s="44">
        <f>SUM(B6:B14)</f>
        <v>0</v>
      </c>
      <c r="C15" s="45" t="str">
        <f ca="1">CurName1</f>
        <v>руб.</v>
      </c>
      <c r="D15" s="46"/>
      <c r="E15" s="46"/>
      <c r="F15" s="46"/>
    </row>
    <row r="16" spans="1:56" x14ac:dyDescent="0.3">
      <c r="A16" s="10"/>
      <c r="B16" s="47"/>
      <c r="C16" s="48"/>
    </row>
    <row r="17" spans="1:6" x14ac:dyDescent="0.3">
      <c r="A17" s="35" t="str">
        <f ca="1">Language!A$493</f>
        <v>Земельные участки</v>
      </c>
      <c r="B17" s="276">
        <v>0</v>
      </c>
      <c r="C17" s="48" t="str">
        <f t="shared" ref="C17:C24" ca="1" si="1">CurName1</f>
        <v>руб.</v>
      </c>
    </row>
    <row r="18" spans="1:6" x14ac:dyDescent="0.3">
      <c r="A18" s="35" t="str">
        <f ca="1">Language!A$494</f>
        <v>Здания и сооружения</v>
      </c>
      <c r="B18" s="276">
        <v>0</v>
      </c>
      <c r="C18" s="48" t="str">
        <f t="shared" ca="1" si="1"/>
        <v>руб.</v>
      </c>
    </row>
    <row r="19" spans="1:6" x14ac:dyDescent="0.3">
      <c r="A19" s="35" t="str">
        <f ca="1">Language!A$495</f>
        <v>Оборудование и прочие активы</v>
      </c>
      <c r="B19" s="276">
        <v>0</v>
      </c>
      <c r="C19" s="48" t="str">
        <f t="shared" ca="1" si="1"/>
        <v>руб.</v>
      </c>
    </row>
    <row r="20" spans="1:6" x14ac:dyDescent="0.3">
      <c r="A20" s="35" t="str">
        <f ca="1">Language!A$496</f>
        <v>Нематериальные активы</v>
      </c>
      <c r="B20" s="276">
        <v>0</v>
      </c>
      <c r="C20" s="48" t="str">
        <f t="shared" ca="1" si="1"/>
        <v>руб.</v>
      </c>
    </row>
    <row r="21" spans="1:6" x14ac:dyDescent="0.3">
      <c r="A21" s="35" t="str">
        <f ca="1">Language!A$497</f>
        <v>Долгосрочные финансовые вложения</v>
      </c>
      <c r="B21" s="276">
        <v>0</v>
      </c>
      <c r="C21" s="48" t="str">
        <f t="shared" ca="1" si="1"/>
        <v>руб.</v>
      </c>
    </row>
    <row r="22" spans="1:6" x14ac:dyDescent="0.3">
      <c r="A22" s="35" t="str">
        <f ca="1">Language!A$498</f>
        <v>Незавершенные капиталовложения</v>
      </c>
      <c r="B22" s="276">
        <v>0</v>
      </c>
      <c r="C22" s="48" t="str">
        <f t="shared" ca="1" si="1"/>
        <v>руб.</v>
      </c>
    </row>
    <row r="23" spans="1:6" x14ac:dyDescent="0.3">
      <c r="A23" s="35" t="str">
        <f ca="1">Language!A$499</f>
        <v>Прочие внеоборотные активы</v>
      </c>
      <c r="B23" s="276">
        <v>0</v>
      </c>
      <c r="C23" s="48" t="str">
        <f t="shared" ca="1" si="1"/>
        <v>руб.</v>
      </c>
    </row>
    <row r="24" spans="1:6" x14ac:dyDescent="0.3">
      <c r="A24" s="43" t="str">
        <f ca="1">Language!A$500</f>
        <v>Суммарные внеоборотные активы</v>
      </c>
      <c r="B24" s="44">
        <f>SUM(B17:B23)</f>
        <v>0</v>
      </c>
      <c r="C24" s="45" t="str">
        <f t="shared" ca="1" si="1"/>
        <v>руб.</v>
      </c>
      <c r="D24" s="46"/>
      <c r="E24" s="46"/>
      <c r="F24" s="46"/>
    </row>
    <row r="25" spans="1:6" x14ac:dyDescent="0.3">
      <c r="A25" s="10"/>
      <c r="B25" s="47"/>
      <c r="C25" s="48"/>
    </row>
    <row r="26" spans="1:6" x14ac:dyDescent="0.3">
      <c r="A26" s="49" t="str">
        <f ca="1">Language!A$501</f>
        <v>ИТОГО АКТИВОВ</v>
      </c>
      <c r="B26" s="50">
        <f>B15+B24</f>
        <v>0</v>
      </c>
      <c r="C26" s="51" t="str">
        <f ca="1">CurName1</f>
        <v>руб.</v>
      </c>
      <c r="D26" s="14"/>
      <c r="E26" s="14"/>
      <c r="F26" s="14"/>
    </row>
    <row r="27" spans="1:6" x14ac:dyDescent="0.3">
      <c r="A27" s="10"/>
      <c r="B27" s="47"/>
      <c r="C27" s="48"/>
    </row>
    <row r="28" spans="1:6" x14ac:dyDescent="0.3">
      <c r="A28" s="35" t="str">
        <f ca="1">Language!A$502</f>
        <v>Кредиторская задолженность перед поставщиками</v>
      </c>
      <c r="B28" s="276">
        <v>0</v>
      </c>
      <c r="C28" s="48" t="str">
        <f t="shared" ref="C28:C35" ca="1" si="2">CurName1</f>
        <v>руб.</v>
      </c>
    </row>
    <row r="29" spans="1:6" x14ac:dyDescent="0.3">
      <c r="A29" s="35" t="str">
        <f ca="1">Language!A$503</f>
        <v>Кредиторская задолженность за внеоборотные активы</v>
      </c>
      <c r="B29" s="276">
        <v>0</v>
      </c>
      <c r="C29" s="48" t="str">
        <f t="shared" ca="1" si="2"/>
        <v>руб.</v>
      </c>
    </row>
    <row r="30" spans="1:6" x14ac:dyDescent="0.3">
      <c r="A30" s="35" t="str">
        <f ca="1">Language!A$504</f>
        <v>Расчеты с бюджетом</v>
      </c>
      <c r="B30" s="276">
        <v>0</v>
      </c>
      <c r="C30" s="48" t="str">
        <f t="shared" ca="1" si="2"/>
        <v>руб.</v>
      </c>
    </row>
    <row r="31" spans="1:6" x14ac:dyDescent="0.3">
      <c r="A31" s="35" t="str">
        <f ca="1">Language!A$505</f>
        <v>Расчеты с персоналом</v>
      </c>
      <c r="B31" s="276">
        <v>0</v>
      </c>
      <c r="C31" s="48" t="str">
        <f t="shared" ca="1" si="2"/>
        <v>руб.</v>
      </c>
    </row>
    <row r="32" spans="1:6" x14ac:dyDescent="0.3">
      <c r="A32" s="35" t="str">
        <f ca="1">Language!A$506</f>
        <v>Полученные авансы покупателей</v>
      </c>
      <c r="B32" s="276">
        <v>0</v>
      </c>
      <c r="C32" s="48" t="str">
        <f t="shared" ca="1" si="2"/>
        <v>руб.</v>
      </c>
    </row>
    <row r="33" spans="1:6" x14ac:dyDescent="0.3">
      <c r="A33" s="35" t="str">
        <f ca="1">Language!A$507</f>
        <v>Краткосрочные кредиты</v>
      </c>
      <c r="B33" s="276">
        <v>0</v>
      </c>
      <c r="C33" s="48" t="str">
        <f t="shared" ca="1" si="2"/>
        <v>руб.</v>
      </c>
    </row>
    <row r="34" spans="1:6" x14ac:dyDescent="0.3">
      <c r="A34" s="35" t="str">
        <f ca="1">Language!A$508</f>
        <v>Прочие краткосрочные обязательства</v>
      </c>
      <c r="B34" s="276">
        <v>0</v>
      </c>
      <c r="C34" s="48" t="str">
        <f t="shared" ca="1" si="2"/>
        <v>руб.</v>
      </c>
    </row>
    <row r="35" spans="1:6" x14ac:dyDescent="0.3">
      <c r="A35" s="43" t="str">
        <f ca="1">Language!A$509</f>
        <v>Суммарные краткосрочные обязательства</v>
      </c>
      <c r="B35" s="44">
        <f>SUM(B28:B34)</f>
        <v>0</v>
      </c>
      <c r="C35" s="45" t="str">
        <f t="shared" ca="1" si="2"/>
        <v>руб.</v>
      </c>
      <c r="D35" s="46"/>
      <c r="E35" s="46"/>
      <c r="F35" s="46"/>
    </row>
    <row r="36" spans="1:6" x14ac:dyDescent="0.3">
      <c r="A36" s="10"/>
      <c r="B36" s="47"/>
      <c r="C36" s="48"/>
    </row>
    <row r="37" spans="1:6" x14ac:dyDescent="0.3">
      <c r="A37" s="35" t="str">
        <f ca="1">Language!A$510</f>
        <v>Долгосрочные кредиты</v>
      </c>
      <c r="B37" s="276">
        <v>0</v>
      </c>
      <c r="C37" s="48" t="str">
        <f ca="1">CurName1</f>
        <v>руб.</v>
      </c>
    </row>
    <row r="38" spans="1:6" x14ac:dyDescent="0.3">
      <c r="A38" s="35" t="str">
        <f ca="1">Language!A$511</f>
        <v>Прочие долгосрочные обязательства</v>
      </c>
      <c r="B38" s="276">
        <v>0</v>
      </c>
      <c r="C38" s="48" t="str">
        <f ca="1">CurName1</f>
        <v>руб.</v>
      </c>
    </row>
    <row r="39" spans="1:6" x14ac:dyDescent="0.3">
      <c r="A39" s="43" t="str">
        <f ca="1">Language!A$512</f>
        <v>Суммарные долгосрочные обязательства</v>
      </c>
      <c r="B39" s="44">
        <f>B37+B38</f>
        <v>0</v>
      </c>
      <c r="C39" s="45" t="str">
        <f ca="1">CurName1</f>
        <v>руб.</v>
      </c>
      <c r="D39" s="46"/>
      <c r="E39" s="46"/>
      <c r="F39" s="46"/>
    </row>
    <row r="40" spans="1:6" x14ac:dyDescent="0.3">
      <c r="A40" s="10"/>
      <c r="B40" s="47"/>
      <c r="C40" s="48"/>
    </row>
    <row r="41" spans="1:6" x14ac:dyDescent="0.3">
      <c r="A41" s="35" t="str">
        <f ca="1">Language!A$513</f>
        <v>Акционерный капитал</v>
      </c>
      <c r="B41" s="276">
        <v>0</v>
      </c>
      <c r="C41" s="48" t="str">
        <f ca="1">CurName1</f>
        <v>руб.</v>
      </c>
    </row>
    <row r="42" spans="1:6" x14ac:dyDescent="0.3">
      <c r="A42" s="35" t="str">
        <f ca="1">Language!A$514</f>
        <v>Нераспределенная прибыль</v>
      </c>
      <c r="B42" s="276">
        <f>B26-B35-B39-B41-B43</f>
        <v>0</v>
      </c>
      <c r="C42" s="48" t="str">
        <f ca="1">CurName1</f>
        <v>руб.</v>
      </c>
    </row>
    <row r="43" spans="1:6" x14ac:dyDescent="0.3">
      <c r="A43" s="35" t="str">
        <f ca="1">Language!A$515</f>
        <v>Прочий собственный капитал</v>
      </c>
      <c r="B43" s="276">
        <v>0</v>
      </c>
      <c r="C43" s="48" t="str">
        <f ca="1">CurName1</f>
        <v>руб.</v>
      </c>
    </row>
    <row r="44" spans="1:6" x14ac:dyDescent="0.3">
      <c r="A44" s="43" t="str">
        <f ca="1">Language!A$516</f>
        <v>Суммарный собственный капитал</v>
      </c>
      <c r="B44" s="44">
        <f>SUM(B41:B43)</f>
        <v>0</v>
      </c>
      <c r="C44" s="45" t="str">
        <f ca="1">CurName1</f>
        <v>руб.</v>
      </c>
      <c r="D44" s="46"/>
      <c r="E44" s="46"/>
      <c r="F44" s="46"/>
    </row>
    <row r="45" spans="1:6" x14ac:dyDescent="0.3">
      <c r="A45" s="10"/>
      <c r="B45" s="47"/>
      <c r="C45" s="48"/>
    </row>
    <row r="46" spans="1:6" x14ac:dyDescent="0.3">
      <c r="A46" s="49" t="str">
        <f ca="1">Language!A$517</f>
        <v>ИТОГО ПАССИВОВ</v>
      </c>
      <c r="B46" s="50">
        <f>B35+B39+B44</f>
        <v>0</v>
      </c>
      <c r="C46" s="51" t="str">
        <f ca="1">CurName1</f>
        <v>руб.</v>
      </c>
      <c r="D46" s="14"/>
      <c r="E46" s="14"/>
      <c r="F46" s="14"/>
    </row>
    <row r="47" spans="1:6" s="3" customFormat="1" ht="10.199999999999999" x14ac:dyDescent="0.2">
      <c r="A47" s="52" t="str">
        <f ca="1">Language!A$518</f>
        <v>Контроль сходимости баланса</v>
      </c>
      <c r="B47" s="53">
        <f>B26-B46</f>
        <v>0</v>
      </c>
      <c r="C47" s="54" t="str">
        <f>IF(B47=0, "OK", "Не сходится")</f>
        <v>OK</v>
      </c>
      <c r="D47" s="4"/>
      <c r="E47" s="4"/>
      <c r="F47" s="4"/>
    </row>
    <row r="48" spans="1:6" x14ac:dyDescent="0.3">
      <c r="A48" s="10"/>
    </row>
    <row r="49" spans="1:56" x14ac:dyDescent="0.3">
      <c r="A49" s="10" t="str">
        <f ca="1">Language!A$519</f>
        <v>Стоимость чистых активов стартового баланса</v>
      </c>
      <c r="B49" s="55">
        <f>B26-B50-B35-B39</f>
        <v>0</v>
      </c>
      <c r="C49" s="37" t="str">
        <f t="shared" ref="C49:C51" ca="1" si="3">CurName1</f>
        <v>руб.</v>
      </c>
    </row>
    <row r="50" spans="1:56" ht="27.6" x14ac:dyDescent="0.3">
      <c r="A50" s="56" t="str">
        <f ca="1">Language!A$520</f>
        <v>задолженность учредителей по взносам в уставный капитал</v>
      </c>
      <c r="B50" s="277">
        <v>0</v>
      </c>
      <c r="C50" s="37" t="str">
        <f t="shared" ca="1" si="3"/>
        <v>руб.</v>
      </c>
    </row>
    <row r="51" spans="1:56" x14ac:dyDescent="0.3">
      <c r="A51" s="10" t="str">
        <f ca="1">Language!A$521</f>
        <v>Рыночная стоимость (для анализа эффективности)</v>
      </c>
      <c r="B51" s="277">
        <f>B49</f>
        <v>0</v>
      </c>
      <c r="C51" s="37" t="str">
        <f t="shared" ca="1" si="3"/>
        <v>руб.</v>
      </c>
    </row>
    <row r="52" spans="1:56" x14ac:dyDescent="0.3">
      <c r="A52" s="12"/>
      <c r="B52" s="13"/>
      <c r="C52" s="13"/>
      <c r="D52" s="14"/>
      <c r="E52" s="14" t="s">
        <v>929</v>
      </c>
      <c r="F52" s="14"/>
    </row>
    <row r="55" spans="1:56" s="9" customFormat="1" ht="25.5" customHeight="1" thickBot="1" x14ac:dyDescent="0.35">
      <c r="A55" s="323" t="str">
        <f ca="1">Language!A$522</f>
        <v>СУЩЕСТВУЮЩИЕ ОСНОВНЫЕ СРЕДСТВА</v>
      </c>
      <c r="B55" s="324"/>
      <c r="C55" s="325"/>
      <c r="D55" s="326"/>
      <c r="E55" s="326" t="s">
        <v>925</v>
      </c>
      <c r="F55" s="326"/>
      <c r="G55" s="327" t="str">
        <f ca="1">Параметры!G$34</f>
        <v>янв.25</v>
      </c>
      <c r="H55" s="327" t="str">
        <f ca="1">Параметры!H$34</f>
        <v>фев.25</v>
      </c>
      <c r="I55" s="327" t="str">
        <f ca="1">Параметры!I$34</f>
        <v>мар.25</v>
      </c>
      <c r="J55" s="327" t="str">
        <f ca="1">Параметры!J$34</f>
        <v>апр.25</v>
      </c>
      <c r="K55" s="327" t="str">
        <f ca="1">Параметры!K$34</f>
        <v>май.25</v>
      </c>
      <c r="L55" s="327" t="str">
        <f ca="1">Параметры!L$34</f>
        <v>июн.25</v>
      </c>
      <c r="M55" s="328" t="str">
        <f ca="1">Параметры!M$34</f>
        <v>июл.25</v>
      </c>
      <c r="N55" s="328" t="str">
        <f ca="1">Параметры!N$34</f>
        <v>авг.25</v>
      </c>
      <c r="O55" s="328" t="str">
        <f ca="1">Параметры!O$34</f>
        <v>сен.25</v>
      </c>
      <c r="P55" s="328" t="str">
        <f ca="1">Параметры!P$34</f>
        <v>окт.25</v>
      </c>
      <c r="Q55" s="328" t="str">
        <f ca="1">Параметры!Q$34</f>
        <v>ноя.25</v>
      </c>
      <c r="R55" s="328" t="str">
        <f ca="1">Параметры!R$34</f>
        <v>дек.25</v>
      </c>
      <c r="S55" s="328" t="str">
        <f ca="1">Параметры!S$34</f>
        <v>янв.26</v>
      </c>
      <c r="T55" s="328" t="str">
        <f ca="1">Параметры!T$34</f>
        <v>фев.26</v>
      </c>
      <c r="U55" s="328" t="str">
        <f ca="1">Параметры!U$34</f>
        <v>мар.26</v>
      </c>
      <c r="V55" s="328" t="str">
        <f ca="1">Параметры!V$34</f>
        <v>апр.26</v>
      </c>
      <c r="W55" s="328" t="str">
        <f ca="1">Параметры!W$34</f>
        <v>май.26</v>
      </c>
      <c r="X55" s="328" t="str">
        <f ca="1">Параметры!X$34</f>
        <v>июн.26</v>
      </c>
      <c r="Y55" s="328" t="str">
        <f ca="1">Параметры!Y$34</f>
        <v>июл.26</v>
      </c>
      <c r="Z55" s="328" t="str">
        <f ca="1">Параметры!Z$34</f>
        <v>авг.26</v>
      </c>
      <c r="AA55" s="328" t="str">
        <f ca="1">Параметры!AA$34</f>
        <v>сен.26</v>
      </c>
      <c r="AB55" s="328" t="str">
        <f ca="1">Параметры!AB$34</f>
        <v>окт.26</v>
      </c>
      <c r="AC55" s="328" t="str">
        <f ca="1">Параметры!AC$34</f>
        <v>ноя.26</v>
      </c>
      <c r="AD55" s="328" t="str">
        <f ca="1">Параметры!AD$34</f>
        <v>дек.26</v>
      </c>
      <c r="AE55" s="328" t="str">
        <f ca="1">Параметры!AE$34</f>
        <v>янв.27</v>
      </c>
      <c r="AF55" s="328" t="str">
        <f ca="1">Параметры!AF$34</f>
        <v>фев.27</v>
      </c>
      <c r="AG55" s="328" t="str">
        <f ca="1">Параметры!AG$34</f>
        <v>мар.27</v>
      </c>
      <c r="AH55" s="328" t="str">
        <f ca="1">Параметры!AH$34</f>
        <v>апр.27</v>
      </c>
      <c r="AI55" s="328" t="str">
        <f ca="1">Параметры!AI$34</f>
        <v>май.27</v>
      </c>
      <c r="AJ55" s="328" t="str">
        <f ca="1">Параметры!AJ$34</f>
        <v>июн.27</v>
      </c>
      <c r="AK55" s="328" t="str">
        <f ca="1">Параметры!AK$34</f>
        <v>июл.27</v>
      </c>
      <c r="AL55" s="328" t="str">
        <f ca="1">Параметры!AL$34</f>
        <v>авг.27</v>
      </c>
      <c r="AM55" s="328" t="str">
        <f ca="1">Параметры!AM$34</f>
        <v>сен.27</v>
      </c>
      <c r="AN55" s="328" t="str">
        <f ca="1">Параметры!AN$34</f>
        <v>окт.27</v>
      </c>
      <c r="AO55" s="328" t="str">
        <f ca="1">Параметры!AO$34</f>
        <v>ноя.27</v>
      </c>
      <c r="AP55" s="328" t="str">
        <f ca="1">Параметры!AP$34</f>
        <v>дек.27</v>
      </c>
      <c r="AQ55" s="328" t="str">
        <f ca="1">Параметры!AQ$34</f>
        <v>янв.28</v>
      </c>
      <c r="AR55" s="328" t="str">
        <f ca="1">Параметры!AR$34</f>
        <v>фев.28</v>
      </c>
      <c r="AS55" s="328" t="str">
        <f ca="1">Параметры!AS$34</f>
        <v>мар.28</v>
      </c>
      <c r="AT55" s="328" t="str">
        <f ca="1">Параметры!AT$34</f>
        <v>апр.28</v>
      </c>
      <c r="AU55" s="328" t="str">
        <f ca="1">Параметры!AU$34</f>
        <v>май.28</v>
      </c>
      <c r="AV55" s="328" t="str">
        <f ca="1">Параметры!AV$34</f>
        <v>июн.28</v>
      </c>
      <c r="AW55" s="328" t="str">
        <f ca="1">Параметры!AW$34</f>
        <v>июл.28</v>
      </c>
      <c r="AX55" s="328" t="str">
        <f ca="1">Параметры!AX$34</f>
        <v>авг.28</v>
      </c>
      <c r="AY55" s="328" t="str">
        <f ca="1">Параметры!AY$34</f>
        <v>сен.28</v>
      </c>
      <c r="AZ55" s="328" t="str">
        <f ca="1">Параметры!AZ$34</f>
        <v>окт.28</v>
      </c>
      <c r="BA55" s="328" t="str">
        <f ca="1">Параметры!BA$34</f>
        <v>ноя.28</v>
      </c>
      <c r="BB55" s="328" t="str">
        <f ca="1">Параметры!BB$34</f>
        <v>дек.28</v>
      </c>
      <c r="BC55" s="328"/>
      <c r="BD55" s="329" t="str">
        <f ca="1">Language!$A$1473</f>
        <v>ИТОГО</v>
      </c>
    </row>
    <row r="56" spans="1:56" ht="14.4" thickTop="1" x14ac:dyDescent="0.3">
      <c r="A56" s="10"/>
    </row>
    <row r="57" spans="1:56" x14ac:dyDescent="0.3">
      <c r="A57" s="10" t="str">
        <f ca="1">Language!A$523</f>
        <v>Незавершенные капвложения на начало периода</v>
      </c>
      <c r="B57" s="55"/>
      <c r="C57" s="37" t="str">
        <f t="shared" ref="C57:C62" ca="1" si="4">CurName1</f>
        <v>руб.</v>
      </c>
      <c r="F57" s="6" t="s">
        <v>744</v>
      </c>
      <c r="G57" s="55">
        <f>$B$22</f>
        <v>0</v>
      </c>
      <c r="H57" s="55">
        <f t="shared" ref="H57:BB57" si="5">G62</f>
        <v>0</v>
      </c>
      <c r="I57" s="55">
        <f t="shared" si="5"/>
        <v>0</v>
      </c>
      <c r="J57" s="55">
        <f t="shared" si="5"/>
        <v>0</v>
      </c>
      <c r="K57" s="55">
        <f t="shared" si="5"/>
        <v>0</v>
      </c>
      <c r="L57" s="55">
        <f t="shared" si="5"/>
        <v>0</v>
      </c>
      <c r="M57" s="55">
        <f t="shared" si="5"/>
        <v>0</v>
      </c>
      <c r="N57" s="55">
        <f t="shared" si="5"/>
        <v>0</v>
      </c>
      <c r="O57" s="55">
        <f t="shared" si="5"/>
        <v>0</v>
      </c>
      <c r="P57" s="55">
        <f t="shared" si="5"/>
        <v>0</v>
      </c>
      <c r="Q57" s="55">
        <f t="shared" si="5"/>
        <v>0</v>
      </c>
      <c r="R57" s="55">
        <f t="shared" si="5"/>
        <v>0</v>
      </c>
      <c r="S57" s="55">
        <f t="shared" si="5"/>
        <v>0</v>
      </c>
      <c r="T57" s="55">
        <f t="shared" si="5"/>
        <v>0</v>
      </c>
      <c r="U57" s="55">
        <f t="shared" si="5"/>
        <v>0</v>
      </c>
      <c r="V57" s="55">
        <f t="shared" si="5"/>
        <v>0</v>
      </c>
      <c r="W57" s="55">
        <f t="shared" si="5"/>
        <v>0</v>
      </c>
      <c r="X57" s="55">
        <f t="shared" si="5"/>
        <v>0</v>
      </c>
      <c r="Y57" s="55">
        <f t="shared" si="5"/>
        <v>0</v>
      </c>
      <c r="Z57" s="55">
        <f t="shared" si="5"/>
        <v>0</v>
      </c>
      <c r="AA57" s="55">
        <f t="shared" si="5"/>
        <v>0</v>
      </c>
      <c r="AB57" s="55">
        <f t="shared" si="5"/>
        <v>0</v>
      </c>
      <c r="AC57" s="55">
        <f t="shared" si="5"/>
        <v>0</v>
      </c>
      <c r="AD57" s="55">
        <f t="shared" si="5"/>
        <v>0</v>
      </c>
      <c r="AE57" s="55">
        <f t="shared" si="5"/>
        <v>0</v>
      </c>
      <c r="AF57" s="55">
        <f t="shared" si="5"/>
        <v>0</v>
      </c>
      <c r="AG57" s="55">
        <f t="shared" si="5"/>
        <v>0</v>
      </c>
      <c r="AH57" s="55">
        <f t="shared" si="5"/>
        <v>0</v>
      </c>
      <c r="AI57" s="55">
        <f t="shared" si="5"/>
        <v>0</v>
      </c>
      <c r="AJ57" s="55">
        <f t="shared" si="5"/>
        <v>0</v>
      </c>
      <c r="AK57" s="55">
        <f t="shared" si="5"/>
        <v>0</v>
      </c>
      <c r="AL57" s="55">
        <f t="shared" si="5"/>
        <v>0</v>
      </c>
      <c r="AM57" s="55">
        <f t="shared" si="5"/>
        <v>0</v>
      </c>
      <c r="AN57" s="55">
        <f t="shared" si="5"/>
        <v>0</v>
      </c>
      <c r="AO57" s="55">
        <f t="shared" si="5"/>
        <v>0</v>
      </c>
      <c r="AP57" s="55">
        <f t="shared" si="5"/>
        <v>0</v>
      </c>
      <c r="AQ57" s="55">
        <f t="shared" si="5"/>
        <v>0</v>
      </c>
      <c r="AR57" s="55">
        <f t="shared" si="5"/>
        <v>0</v>
      </c>
      <c r="AS57" s="55">
        <f t="shared" si="5"/>
        <v>0</v>
      </c>
      <c r="AT57" s="55">
        <f t="shared" si="5"/>
        <v>0</v>
      </c>
      <c r="AU57" s="55">
        <f t="shared" si="5"/>
        <v>0</v>
      </c>
      <c r="AV57" s="55">
        <f t="shared" si="5"/>
        <v>0</v>
      </c>
      <c r="AW57" s="55">
        <f t="shared" si="5"/>
        <v>0</v>
      </c>
      <c r="AX57" s="55">
        <f t="shared" si="5"/>
        <v>0</v>
      </c>
      <c r="AY57" s="55">
        <f t="shared" si="5"/>
        <v>0</v>
      </c>
      <c r="AZ57" s="55">
        <f t="shared" si="5"/>
        <v>0</v>
      </c>
      <c r="BA57" s="55">
        <f t="shared" si="5"/>
        <v>0</v>
      </c>
      <c r="BB57" s="55">
        <f t="shared" si="5"/>
        <v>0</v>
      </c>
    </row>
    <row r="58" spans="1:56" x14ac:dyDescent="0.3">
      <c r="A58" s="10" t="str">
        <f ca="1">Language!A$524</f>
        <v>График постановки на баланс:</v>
      </c>
      <c r="C58" s="37" t="str">
        <f t="shared" ca="1" si="4"/>
        <v>руб.</v>
      </c>
      <c r="G58" s="55"/>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row>
    <row r="59" spans="1:56" x14ac:dyDescent="0.3">
      <c r="A59" s="35" t="str">
        <f ca="1">Language!A$525</f>
        <v>Здания и сооружения</v>
      </c>
      <c r="C59" s="37" t="str">
        <f t="shared" ca="1" si="4"/>
        <v>руб.</v>
      </c>
      <c r="F59" s="6" t="s">
        <v>740</v>
      </c>
      <c r="G59" s="277">
        <v>0</v>
      </c>
      <c r="H59" s="277">
        <v>0</v>
      </c>
      <c r="I59" s="277">
        <v>0</v>
      </c>
      <c r="J59" s="277">
        <v>0</v>
      </c>
      <c r="K59" s="277">
        <v>0</v>
      </c>
      <c r="L59" s="277">
        <v>0</v>
      </c>
      <c r="M59" s="277">
        <v>0</v>
      </c>
      <c r="N59" s="277">
        <v>0</v>
      </c>
      <c r="O59" s="277">
        <v>0</v>
      </c>
      <c r="P59" s="277">
        <v>0</v>
      </c>
      <c r="Q59" s="277">
        <v>0</v>
      </c>
      <c r="R59" s="277">
        <v>0</v>
      </c>
      <c r="S59" s="277">
        <v>0</v>
      </c>
      <c r="T59" s="277">
        <v>0</v>
      </c>
      <c r="U59" s="277">
        <v>0</v>
      </c>
      <c r="V59" s="277">
        <v>0</v>
      </c>
      <c r="W59" s="277">
        <v>0</v>
      </c>
      <c r="X59" s="277">
        <v>0</v>
      </c>
      <c r="Y59" s="277">
        <v>0</v>
      </c>
      <c r="Z59" s="277">
        <v>0</v>
      </c>
      <c r="AA59" s="277">
        <v>0</v>
      </c>
      <c r="AB59" s="277">
        <v>0</v>
      </c>
      <c r="AC59" s="277">
        <v>0</v>
      </c>
      <c r="AD59" s="277">
        <v>0</v>
      </c>
      <c r="AE59" s="277">
        <v>0</v>
      </c>
      <c r="AF59" s="277">
        <v>0</v>
      </c>
      <c r="AG59" s="277">
        <v>0</v>
      </c>
      <c r="AH59" s="277">
        <v>0</v>
      </c>
      <c r="AI59" s="277">
        <v>0</v>
      </c>
      <c r="AJ59" s="277">
        <v>0</v>
      </c>
      <c r="AK59" s="277">
        <v>0</v>
      </c>
      <c r="AL59" s="277">
        <v>0</v>
      </c>
      <c r="AM59" s="277">
        <v>0</v>
      </c>
      <c r="AN59" s="277">
        <v>0</v>
      </c>
      <c r="AO59" s="277">
        <v>0</v>
      </c>
      <c r="AP59" s="277">
        <v>0</v>
      </c>
      <c r="AQ59" s="277">
        <v>0</v>
      </c>
      <c r="AR59" s="277">
        <v>0</v>
      </c>
      <c r="AS59" s="277">
        <v>0</v>
      </c>
      <c r="AT59" s="277">
        <v>0</v>
      </c>
      <c r="AU59" s="277">
        <v>0</v>
      </c>
      <c r="AV59" s="277">
        <v>0</v>
      </c>
      <c r="AW59" s="277">
        <v>0</v>
      </c>
      <c r="AX59" s="277">
        <v>0</v>
      </c>
      <c r="AY59" s="277">
        <v>0</v>
      </c>
      <c r="AZ59" s="277">
        <v>0</v>
      </c>
      <c r="BA59" s="277">
        <v>0</v>
      </c>
      <c r="BB59" s="277">
        <v>0</v>
      </c>
      <c r="BD59" s="57">
        <f>SUM(G59:BC59)</f>
        <v>0</v>
      </c>
    </row>
    <row r="60" spans="1:56" x14ac:dyDescent="0.3">
      <c r="A60" s="35" t="str">
        <f ca="1">Language!A$526</f>
        <v>Оборудование и прочие активы</v>
      </c>
      <c r="C60" s="37" t="str">
        <f t="shared" ca="1" si="4"/>
        <v>руб.</v>
      </c>
      <c r="F60" s="6" t="s">
        <v>740</v>
      </c>
      <c r="G60" s="277">
        <v>0</v>
      </c>
      <c r="H60" s="277">
        <v>0</v>
      </c>
      <c r="I60" s="277">
        <v>0</v>
      </c>
      <c r="J60" s="277">
        <v>0</v>
      </c>
      <c r="K60" s="277">
        <v>0</v>
      </c>
      <c r="L60" s="277">
        <v>0</v>
      </c>
      <c r="M60" s="277">
        <v>0</v>
      </c>
      <c r="N60" s="277">
        <v>0</v>
      </c>
      <c r="O60" s="277">
        <v>0</v>
      </c>
      <c r="P60" s="277">
        <v>0</v>
      </c>
      <c r="Q60" s="277">
        <v>0</v>
      </c>
      <c r="R60" s="277">
        <v>0</v>
      </c>
      <c r="S60" s="277">
        <v>0</v>
      </c>
      <c r="T60" s="277">
        <v>0</v>
      </c>
      <c r="U60" s="277">
        <v>0</v>
      </c>
      <c r="V60" s="277">
        <v>0</v>
      </c>
      <c r="W60" s="277">
        <v>0</v>
      </c>
      <c r="X60" s="277">
        <v>0</v>
      </c>
      <c r="Y60" s="277">
        <v>0</v>
      </c>
      <c r="Z60" s="277">
        <v>0</v>
      </c>
      <c r="AA60" s="277">
        <v>0</v>
      </c>
      <c r="AB60" s="277">
        <v>0</v>
      </c>
      <c r="AC60" s="277">
        <v>0</v>
      </c>
      <c r="AD60" s="277">
        <v>0</v>
      </c>
      <c r="AE60" s="277">
        <v>0</v>
      </c>
      <c r="AF60" s="277">
        <v>0</v>
      </c>
      <c r="AG60" s="277">
        <v>0</v>
      </c>
      <c r="AH60" s="277">
        <v>0</v>
      </c>
      <c r="AI60" s="277">
        <v>0</v>
      </c>
      <c r="AJ60" s="277">
        <v>0</v>
      </c>
      <c r="AK60" s="277">
        <v>0</v>
      </c>
      <c r="AL60" s="277">
        <v>0</v>
      </c>
      <c r="AM60" s="277">
        <v>0</v>
      </c>
      <c r="AN60" s="277">
        <v>0</v>
      </c>
      <c r="AO60" s="277">
        <v>0</v>
      </c>
      <c r="AP60" s="277">
        <v>0</v>
      </c>
      <c r="AQ60" s="277">
        <v>0</v>
      </c>
      <c r="AR60" s="277">
        <v>0</v>
      </c>
      <c r="AS60" s="277">
        <v>0</v>
      </c>
      <c r="AT60" s="277">
        <v>0</v>
      </c>
      <c r="AU60" s="277">
        <v>0</v>
      </c>
      <c r="AV60" s="277">
        <v>0</v>
      </c>
      <c r="AW60" s="277">
        <v>0</v>
      </c>
      <c r="AX60" s="277">
        <v>0</v>
      </c>
      <c r="AY60" s="277">
        <v>0</v>
      </c>
      <c r="AZ60" s="277">
        <v>0</v>
      </c>
      <c r="BA60" s="277">
        <v>0</v>
      </c>
      <c r="BB60" s="277">
        <v>0</v>
      </c>
      <c r="BD60" s="57">
        <f>SUM(G60:BC60)</f>
        <v>0</v>
      </c>
    </row>
    <row r="61" spans="1:56" x14ac:dyDescent="0.3">
      <c r="A61" s="35" t="str">
        <f ca="1">Language!A$527</f>
        <v>Нематериальные активы</v>
      </c>
      <c r="C61" s="37" t="str">
        <f t="shared" ca="1" si="4"/>
        <v>руб.</v>
      </c>
      <c r="F61" s="6" t="s">
        <v>740</v>
      </c>
      <c r="G61" s="277">
        <v>0</v>
      </c>
      <c r="H61" s="277">
        <v>0</v>
      </c>
      <c r="I61" s="277">
        <v>0</v>
      </c>
      <c r="J61" s="277">
        <v>0</v>
      </c>
      <c r="K61" s="277">
        <v>0</v>
      </c>
      <c r="L61" s="277">
        <v>0</v>
      </c>
      <c r="M61" s="277">
        <v>0</v>
      </c>
      <c r="N61" s="277">
        <v>0</v>
      </c>
      <c r="O61" s="277">
        <v>0</v>
      </c>
      <c r="P61" s="277">
        <v>0</v>
      </c>
      <c r="Q61" s="277">
        <v>0</v>
      </c>
      <c r="R61" s="277">
        <v>0</v>
      </c>
      <c r="S61" s="277">
        <v>0</v>
      </c>
      <c r="T61" s="277">
        <v>0</v>
      </c>
      <c r="U61" s="277">
        <v>0</v>
      </c>
      <c r="V61" s="277">
        <v>0</v>
      </c>
      <c r="W61" s="277">
        <v>0</v>
      </c>
      <c r="X61" s="277">
        <v>0</v>
      </c>
      <c r="Y61" s="277">
        <v>0</v>
      </c>
      <c r="Z61" s="277">
        <v>0</v>
      </c>
      <c r="AA61" s="277">
        <v>0</v>
      </c>
      <c r="AB61" s="277">
        <v>0</v>
      </c>
      <c r="AC61" s="277">
        <v>0</v>
      </c>
      <c r="AD61" s="277">
        <v>0</v>
      </c>
      <c r="AE61" s="277">
        <v>0</v>
      </c>
      <c r="AF61" s="277">
        <v>0</v>
      </c>
      <c r="AG61" s="277">
        <v>0</v>
      </c>
      <c r="AH61" s="277">
        <v>0</v>
      </c>
      <c r="AI61" s="277">
        <v>0</v>
      </c>
      <c r="AJ61" s="277">
        <v>0</v>
      </c>
      <c r="AK61" s="277">
        <v>0</v>
      </c>
      <c r="AL61" s="277">
        <v>0</v>
      </c>
      <c r="AM61" s="277">
        <v>0</v>
      </c>
      <c r="AN61" s="277">
        <v>0</v>
      </c>
      <c r="AO61" s="277">
        <v>0</v>
      </c>
      <c r="AP61" s="277">
        <v>0</v>
      </c>
      <c r="AQ61" s="277">
        <v>0</v>
      </c>
      <c r="AR61" s="277">
        <v>0</v>
      </c>
      <c r="AS61" s="277">
        <v>0</v>
      </c>
      <c r="AT61" s="277">
        <v>0</v>
      </c>
      <c r="AU61" s="277">
        <v>0</v>
      </c>
      <c r="AV61" s="277">
        <v>0</v>
      </c>
      <c r="AW61" s="277">
        <v>0</v>
      </c>
      <c r="AX61" s="277">
        <v>0</v>
      </c>
      <c r="AY61" s="277">
        <v>0</v>
      </c>
      <c r="AZ61" s="277">
        <v>0</v>
      </c>
      <c r="BA61" s="277">
        <v>0</v>
      </c>
      <c r="BB61" s="277">
        <v>0</v>
      </c>
      <c r="BD61" s="57">
        <f>SUM(G61:BC61)</f>
        <v>0</v>
      </c>
    </row>
    <row r="62" spans="1:56" x14ac:dyDescent="0.3">
      <c r="A62" s="10" t="str">
        <f ca="1">Language!A$528</f>
        <v>Незавершенные капвложения на конец периода</v>
      </c>
      <c r="C62" s="37" t="str">
        <f t="shared" ca="1" si="4"/>
        <v>руб.</v>
      </c>
      <c r="F62" s="6" t="s">
        <v>741</v>
      </c>
      <c r="G62" s="58">
        <f>G57-SUM(G59:G61)</f>
        <v>0</v>
      </c>
      <c r="H62" s="58">
        <f>H57-SUM(H59:H61)</f>
        <v>0</v>
      </c>
      <c r="I62" s="58">
        <f t="shared" ref="I62:BB62" si="6">H62-SUM(I59:I61)</f>
        <v>0</v>
      </c>
      <c r="J62" s="58">
        <f t="shared" si="6"/>
        <v>0</v>
      </c>
      <c r="K62" s="58">
        <f t="shared" si="6"/>
        <v>0</v>
      </c>
      <c r="L62" s="58">
        <f t="shared" si="6"/>
        <v>0</v>
      </c>
      <c r="M62" s="58">
        <f t="shared" si="6"/>
        <v>0</v>
      </c>
      <c r="N62" s="58">
        <f t="shared" si="6"/>
        <v>0</v>
      </c>
      <c r="O62" s="58">
        <f t="shared" si="6"/>
        <v>0</v>
      </c>
      <c r="P62" s="58">
        <f t="shared" si="6"/>
        <v>0</v>
      </c>
      <c r="Q62" s="58">
        <f t="shared" si="6"/>
        <v>0</v>
      </c>
      <c r="R62" s="58">
        <f t="shared" si="6"/>
        <v>0</v>
      </c>
      <c r="S62" s="58">
        <f t="shared" si="6"/>
        <v>0</v>
      </c>
      <c r="T62" s="58">
        <f t="shared" si="6"/>
        <v>0</v>
      </c>
      <c r="U62" s="58">
        <f t="shared" si="6"/>
        <v>0</v>
      </c>
      <c r="V62" s="58">
        <f t="shared" si="6"/>
        <v>0</v>
      </c>
      <c r="W62" s="58">
        <f t="shared" si="6"/>
        <v>0</v>
      </c>
      <c r="X62" s="58">
        <f t="shared" si="6"/>
        <v>0</v>
      </c>
      <c r="Y62" s="58">
        <f t="shared" si="6"/>
        <v>0</v>
      </c>
      <c r="Z62" s="58">
        <f t="shared" si="6"/>
        <v>0</v>
      </c>
      <c r="AA62" s="58">
        <f t="shared" si="6"/>
        <v>0</v>
      </c>
      <c r="AB62" s="58">
        <f t="shared" si="6"/>
        <v>0</v>
      </c>
      <c r="AC62" s="58">
        <f t="shared" si="6"/>
        <v>0</v>
      </c>
      <c r="AD62" s="58">
        <f t="shared" si="6"/>
        <v>0</v>
      </c>
      <c r="AE62" s="58">
        <f t="shared" si="6"/>
        <v>0</v>
      </c>
      <c r="AF62" s="58">
        <f t="shared" si="6"/>
        <v>0</v>
      </c>
      <c r="AG62" s="58">
        <f t="shared" si="6"/>
        <v>0</v>
      </c>
      <c r="AH62" s="58">
        <f t="shared" si="6"/>
        <v>0</v>
      </c>
      <c r="AI62" s="58">
        <f t="shared" si="6"/>
        <v>0</v>
      </c>
      <c r="AJ62" s="58">
        <f t="shared" si="6"/>
        <v>0</v>
      </c>
      <c r="AK62" s="58">
        <f t="shared" si="6"/>
        <v>0</v>
      </c>
      <c r="AL62" s="58">
        <f t="shared" si="6"/>
        <v>0</v>
      </c>
      <c r="AM62" s="58">
        <f t="shared" si="6"/>
        <v>0</v>
      </c>
      <c r="AN62" s="58">
        <f t="shared" si="6"/>
        <v>0</v>
      </c>
      <c r="AO62" s="58">
        <f t="shared" si="6"/>
        <v>0</v>
      </c>
      <c r="AP62" s="58">
        <f t="shared" si="6"/>
        <v>0</v>
      </c>
      <c r="AQ62" s="58">
        <f t="shared" si="6"/>
        <v>0</v>
      </c>
      <c r="AR62" s="58">
        <f t="shared" si="6"/>
        <v>0</v>
      </c>
      <c r="AS62" s="58">
        <f t="shared" si="6"/>
        <v>0</v>
      </c>
      <c r="AT62" s="58">
        <f t="shared" si="6"/>
        <v>0</v>
      </c>
      <c r="AU62" s="58">
        <f t="shared" si="6"/>
        <v>0</v>
      </c>
      <c r="AV62" s="58">
        <f t="shared" si="6"/>
        <v>0</v>
      </c>
      <c r="AW62" s="58">
        <f t="shared" si="6"/>
        <v>0</v>
      </c>
      <c r="AX62" s="58">
        <f t="shared" si="6"/>
        <v>0</v>
      </c>
      <c r="AY62" s="58">
        <f t="shared" si="6"/>
        <v>0</v>
      </c>
      <c r="AZ62" s="58">
        <f t="shared" si="6"/>
        <v>0</v>
      </c>
      <c r="BA62" s="58">
        <f t="shared" si="6"/>
        <v>0</v>
      </c>
      <c r="BB62" s="58">
        <f t="shared" si="6"/>
        <v>0</v>
      </c>
    </row>
    <row r="63" spans="1:56" x14ac:dyDescent="0.3">
      <c r="A63" s="10"/>
      <c r="G63" s="55"/>
      <c r="H63" s="55"/>
      <c r="I63" s="55"/>
      <c r="J63" s="55"/>
      <c r="K63" s="55"/>
      <c r="L63" s="55"/>
      <c r="M63" s="55"/>
      <c r="N63" s="55"/>
      <c r="O63" s="55"/>
      <c r="P63" s="55"/>
      <c r="Q63" s="55"/>
      <c r="R63" s="55"/>
      <c r="S63" s="55"/>
      <c r="T63" s="55"/>
      <c r="U63" s="55"/>
      <c r="V63" s="55"/>
      <c r="W63" s="55"/>
      <c r="X63" s="55"/>
      <c r="Y63" s="55"/>
      <c r="Z63" s="55"/>
      <c r="AA63" s="55"/>
      <c r="AB63" s="55"/>
      <c r="AC63" s="55"/>
      <c r="AD63" s="55"/>
      <c r="AE63" s="55"/>
      <c r="AF63" s="55"/>
      <c r="AG63" s="55"/>
      <c r="AH63" s="55"/>
      <c r="AI63" s="55"/>
      <c r="AJ63" s="55"/>
      <c r="AK63" s="55"/>
      <c r="AL63" s="55"/>
      <c r="AM63" s="55"/>
      <c r="AN63" s="55"/>
      <c r="AO63" s="55"/>
      <c r="AP63" s="55"/>
      <c r="AQ63" s="55"/>
      <c r="AR63" s="55"/>
      <c r="AS63" s="55"/>
      <c r="AT63" s="55"/>
      <c r="AU63" s="55"/>
      <c r="AV63" s="55"/>
      <c r="AW63" s="55"/>
      <c r="AX63" s="55"/>
      <c r="AY63" s="55"/>
      <c r="AZ63" s="55"/>
      <c r="BA63" s="55"/>
      <c r="BB63" s="55"/>
    </row>
    <row r="64" spans="1:56" x14ac:dyDescent="0.3">
      <c r="A64" s="43" t="str">
        <f ca="1">Language!A$529</f>
        <v>Земельные участки</v>
      </c>
      <c r="B64" s="59"/>
      <c r="C64" s="59"/>
      <c r="D64" s="46"/>
      <c r="E64" s="46"/>
      <c r="F64" s="46"/>
      <c r="G64" s="60"/>
      <c r="H64" s="60"/>
      <c r="I64" s="60"/>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row>
    <row r="65" spans="1:56" x14ac:dyDescent="0.3">
      <c r="A65" s="10" t="str">
        <f ca="1">Language!A$530</f>
        <v>балансовая стоимость</v>
      </c>
      <c r="C65" s="37" t="str">
        <f ca="1">CurName1</f>
        <v>руб.</v>
      </c>
      <c r="F65" s="6" t="s">
        <v>741</v>
      </c>
      <c r="G65" s="58">
        <f>IF(G$2=1,$B$17,F65)</f>
        <v>0</v>
      </c>
      <c r="H65" s="58">
        <f t="shared" ref="H65:BB65" si="7">IF(H$2=1,$B$17,G65)</f>
        <v>0</v>
      </c>
      <c r="I65" s="58">
        <f t="shared" si="7"/>
        <v>0</v>
      </c>
      <c r="J65" s="58">
        <f t="shared" si="7"/>
        <v>0</v>
      </c>
      <c r="K65" s="58">
        <f t="shared" si="7"/>
        <v>0</v>
      </c>
      <c r="L65" s="58">
        <f t="shared" si="7"/>
        <v>0</v>
      </c>
      <c r="M65" s="58">
        <f t="shared" si="7"/>
        <v>0</v>
      </c>
      <c r="N65" s="58">
        <f t="shared" si="7"/>
        <v>0</v>
      </c>
      <c r="O65" s="58">
        <f t="shared" si="7"/>
        <v>0</v>
      </c>
      <c r="P65" s="58">
        <f t="shared" si="7"/>
        <v>0</v>
      </c>
      <c r="Q65" s="58">
        <f t="shared" si="7"/>
        <v>0</v>
      </c>
      <c r="R65" s="58">
        <f t="shared" si="7"/>
        <v>0</v>
      </c>
      <c r="S65" s="58">
        <f t="shared" si="7"/>
        <v>0</v>
      </c>
      <c r="T65" s="58">
        <f t="shared" si="7"/>
        <v>0</v>
      </c>
      <c r="U65" s="58">
        <f t="shared" si="7"/>
        <v>0</v>
      </c>
      <c r="V65" s="58">
        <f t="shared" si="7"/>
        <v>0</v>
      </c>
      <c r="W65" s="58">
        <f t="shared" si="7"/>
        <v>0</v>
      </c>
      <c r="X65" s="58">
        <f t="shared" si="7"/>
        <v>0</v>
      </c>
      <c r="Y65" s="58">
        <f t="shared" si="7"/>
        <v>0</v>
      </c>
      <c r="Z65" s="58">
        <f t="shared" si="7"/>
        <v>0</v>
      </c>
      <c r="AA65" s="58">
        <f t="shared" si="7"/>
        <v>0</v>
      </c>
      <c r="AB65" s="58">
        <f t="shared" si="7"/>
        <v>0</v>
      </c>
      <c r="AC65" s="58">
        <f t="shared" si="7"/>
        <v>0</v>
      </c>
      <c r="AD65" s="58">
        <f t="shared" si="7"/>
        <v>0</v>
      </c>
      <c r="AE65" s="58">
        <f t="shared" si="7"/>
        <v>0</v>
      </c>
      <c r="AF65" s="58">
        <f t="shared" si="7"/>
        <v>0</v>
      </c>
      <c r="AG65" s="58">
        <f t="shared" si="7"/>
        <v>0</v>
      </c>
      <c r="AH65" s="58">
        <f t="shared" si="7"/>
        <v>0</v>
      </c>
      <c r="AI65" s="58">
        <f t="shared" si="7"/>
        <v>0</v>
      </c>
      <c r="AJ65" s="58">
        <f t="shared" si="7"/>
        <v>0</v>
      </c>
      <c r="AK65" s="58">
        <f t="shared" si="7"/>
        <v>0</v>
      </c>
      <c r="AL65" s="58">
        <f t="shared" si="7"/>
        <v>0</v>
      </c>
      <c r="AM65" s="58">
        <f t="shared" si="7"/>
        <v>0</v>
      </c>
      <c r="AN65" s="58">
        <f t="shared" si="7"/>
        <v>0</v>
      </c>
      <c r="AO65" s="58">
        <f t="shared" si="7"/>
        <v>0</v>
      </c>
      <c r="AP65" s="58">
        <f t="shared" si="7"/>
        <v>0</v>
      </c>
      <c r="AQ65" s="58">
        <f t="shared" si="7"/>
        <v>0</v>
      </c>
      <c r="AR65" s="58">
        <f t="shared" si="7"/>
        <v>0</v>
      </c>
      <c r="AS65" s="58">
        <f t="shared" si="7"/>
        <v>0</v>
      </c>
      <c r="AT65" s="58">
        <f t="shared" si="7"/>
        <v>0</v>
      </c>
      <c r="AU65" s="58">
        <f t="shared" si="7"/>
        <v>0</v>
      </c>
      <c r="AV65" s="58">
        <f t="shared" si="7"/>
        <v>0</v>
      </c>
      <c r="AW65" s="58">
        <f t="shared" si="7"/>
        <v>0</v>
      </c>
      <c r="AX65" s="58">
        <f t="shared" si="7"/>
        <v>0</v>
      </c>
      <c r="AY65" s="58">
        <f t="shared" si="7"/>
        <v>0</v>
      </c>
      <c r="AZ65" s="58">
        <f t="shared" si="7"/>
        <v>0</v>
      </c>
      <c r="BA65" s="58">
        <f t="shared" si="7"/>
        <v>0</v>
      </c>
      <c r="BB65" s="58">
        <f t="shared" si="7"/>
        <v>0</v>
      </c>
    </row>
    <row r="66" spans="1:56" x14ac:dyDescent="0.3">
      <c r="A66" s="10"/>
      <c r="G66" s="55"/>
      <c r="H66" s="55"/>
      <c r="I66" s="55"/>
      <c r="J66" s="55"/>
      <c r="K66" s="55"/>
      <c r="L66" s="55"/>
      <c r="M66" s="55"/>
      <c r="N66" s="55"/>
      <c r="O66" s="55"/>
      <c r="P66" s="55"/>
      <c r="Q66" s="55"/>
      <c r="R66" s="55"/>
      <c r="S66" s="55"/>
      <c r="T66" s="55"/>
      <c r="U66" s="55"/>
      <c r="V66" s="55"/>
      <c r="W66" s="55"/>
      <c r="X66" s="55"/>
      <c r="Y66" s="55"/>
      <c r="Z66" s="55"/>
      <c r="AA66" s="55"/>
      <c r="AB66" s="55"/>
      <c r="AC66" s="55"/>
      <c r="AD66" s="55"/>
      <c r="AE66" s="55"/>
      <c r="AF66" s="55"/>
      <c r="AG66" s="55"/>
      <c r="AH66" s="55"/>
      <c r="AI66" s="55"/>
      <c r="AJ66" s="55"/>
      <c r="AK66" s="55"/>
      <c r="AL66" s="55"/>
      <c r="AM66" s="55"/>
      <c r="AN66" s="55"/>
      <c r="AO66" s="55"/>
      <c r="AP66" s="55"/>
      <c r="AQ66" s="55"/>
      <c r="AR66" s="55"/>
      <c r="AS66" s="55"/>
      <c r="AT66" s="55"/>
      <c r="AU66" s="55"/>
      <c r="AV66" s="55"/>
      <c r="AW66" s="55"/>
      <c r="AX66" s="55"/>
      <c r="AY66" s="55"/>
      <c r="AZ66" s="55"/>
      <c r="BA66" s="55"/>
      <c r="BB66" s="55"/>
    </row>
    <row r="67" spans="1:56" x14ac:dyDescent="0.3">
      <c r="A67" s="43" t="str">
        <f ca="1">Language!A$531</f>
        <v>Здания и сооружения</v>
      </c>
      <c r="B67" s="59"/>
      <c r="C67" s="59"/>
      <c r="D67" s="46"/>
      <c r="E67" s="46"/>
      <c r="F67" s="46"/>
      <c r="G67" s="60"/>
      <c r="H67" s="60"/>
      <c r="I67" s="60"/>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row>
    <row r="68" spans="1:56" x14ac:dyDescent="0.3">
      <c r="A68" s="10" t="str">
        <f ca="1">Language!A$532</f>
        <v>первоначальная стоимость</v>
      </c>
      <c r="C68" s="37" t="str">
        <f ca="1">CurName1</f>
        <v>руб.</v>
      </c>
      <c r="F68" s="6" t="s">
        <v>741</v>
      </c>
      <c r="G68" s="55">
        <f>$B$18+G59</f>
        <v>0</v>
      </c>
      <c r="H68" s="55">
        <f t="shared" ref="H68:BB68" si="8">G68+H59</f>
        <v>0</v>
      </c>
      <c r="I68" s="55">
        <f t="shared" si="8"/>
        <v>0</v>
      </c>
      <c r="J68" s="55">
        <f t="shared" si="8"/>
        <v>0</v>
      </c>
      <c r="K68" s="55">
        <f t="shared" si="8"/>
        <v>0</v>
      </c>
      <c r="L68" s="55">
        <f t="shared" si="8"/>
        <v>0</v>
      </c>
      <c r="M68" s="55">
        <f t="shared" si="8"/>
        <v>0</v>
      </c>
      <c r="N68" s="55">
        <f t="shared" si="8"/>
        <v>0</v>
      </c>
      <c r="O68" s="55">
        <f t="shared" si="8"/>
        <v>0</v>
      </c>
      <c r="P68" s="55">
        <f t="shared" si="8"/>
        <v>0</v>
      </c>
      <c r="Q68" s="55">
        <f t="shared" si="8"/>
        <v>0</v>
      </c>
      <c r="R68" s="55">
        <f t="shared" si="8"/>
        <v>0</v>
      </c>
      <c r="S68" s="55">
        <f t="shared" si="8"/>
        <v>0</v>
      </c>
      <c r="T68" s="55">
        <f t="shared" si="8"/>
        <v>0</v>
      </c>
      <c r="U68" s="55">
        <f t="shared" si="8"/>
        <v>0</v>
      </c>
      <c r="V68" s="55">
        <f t="shared" si="8"/>
        <v>0</v>
      </c>
      <c r="W68" s="55">
        <f t="shared" si="8"/>
        <v>0</v>
      </c>
      <c r="X68" s="55">
        <f t="shared" si="8"/>
        <v>0</v>
      </c>
      <c r="Y68" s="55">
        <f t="shared" si="8"/>
        <v>0</v>
      </c>
      <c r="Z68" s="55">
        <f t="shared" si="8"/>
        <v>0</v>
      </c>
      <c r="AA68" s="55">
        <f t="shared" si="8"/>
        <v>0</v>
      </c>
      <c r="AB68" s="55">
        <f t="shared" si="8"/>
        <v>0</v>
      </c>
      <c r="AC68" s="55">
        <f t="shared" si="8"/>
        <v>0</v>
      </c>
      <c r="AD68" s="55">
        <f t="shared" si="8"/>
        <v>0</v>
      </c>
      <c r="AE68" s="55">
        <f t="shared" si="8"/>
        <v>0</v>
      </c>
      <c r="AF68" s="55">
        <f t="shared" si="8"/>
        <v>0</v>
      </c>
      <c r="AG68" s="55">
        <f t="shared" si="8"/>
        <v>0</v>
      </c>
      <c r="AH68" s="55">
        <f t="shared" si="8"/>
        <v>0</v>
      </c>
      <c r="AI68" s="55">
        <f t="shared" si="8"/>
        <v>0</v>
      </c>
      <c r="AJ68" s="55">
        <f t="shared" si="8"/>
        <v>0</v>
      </c>
      <c r="AK68" s="55">
        <f t="shared" si="8"/>
        <v>0</v>
      </c>
      <c r="AL68" s="55">
        <f t="shared" si="8"/>
        <v>0</v>
      </c>
      <c r="AM68" s="55">
        <f t="shared" si="8"/>
        <v>0</v>
      </c>
      <c r="AN68" s="55">
        <f t="shared" si="8"/>
        <v>0</v>
      </c>
      <c r="AO68" s="55">
        <f t="shared" si="8"/>
        <v>0</v>
      </c>
      <c r="AP68" s="55">
        <f t="shared" si="8"/>
        <v>0</v>
      </c>
      <c r="AQ68" s="55">
        <f t="shared" si="8"/>
        <v>0</v>
      </c>
      <c r="AR68" s="55">
        <f t="shared" si="8"/>
        <v>0</v>
      </c>
      <c r="AS68" s="55">
        <f t="shared" si="8"/>
        <v>0</v>
      </c>
      <c r="AT68" s="55">
        <f t="shared" si="8"/>
        <v>0</v>
      </c>
      <c r="AU68" s="55">
        <f t="shared" si="8"/>
        <v>0</v>
      </c>
      <c r="AV68" s="55">
        <f t="shared" si="8"/>
        <v>0</v>
      </c>
      <c r="AW68" s="55">
        <f t="shared" si="8"/>
        <v>0</v>
      </c>
      <c r="AX68" s="55">
        <f t="shared" si="8"/>
        <v>0</v>
      </c>
      <c r="AY68" s="55">
        <f t="shared" si="8"/>
        <v>0</v>
      </c>
      <c r="AZ68" s="55">
        <f t="shared" si="8"/>
        <v>0</v>
      </c>
      <c r="BA68" s="55">
        <f t="shared" si="8"/>
        <v>0</v>
      </c>
      <c r="BB68" s="55">
        <f t="shared" si="8"/>
        <v>0</v>
      </c>
    </row>
    <row r="69" spans="1:56" x14ac:dyDescent="0.3">
      <c r="A69" s="10" t="str">
        <f ca="1">Language!A$533</f>
        <v>срок амортизации</v>
      </c>
      <c r="B69" s="272">
        <v>20</v>
      </c>
      <c r="C69" s="61" t="str">
        <f ca="1">Language!$A$48</f>
        <v>лет</v>
      </c>
      <c r="G69" s="55"/>
      <c r="H69" s="55"/>
      <c r="I69" s="55"/>
      <c r="J69" s="55"/>
      <c r="K69" s="55"/>
      <c r="L69" s="55"/>
      <c r="M69" s="55"/>
      <c r="N69" s="55"/>
      <c r="O69" s="55"/>
      <c r="P69" s="55"/>
      <c r="Q69" s="55"/>
      <c r="R69" s="55"/>
      <c r="S69" s="55"/>
      <c r="T69" s="55"/>
      <c r="U69" s="55"/>
      <c r="V69" s="55"/>
      <c r="W69" s="55"/>
      <c r="X69" s="55"/>
      <c r="Y69" s="55"/>
      <c r="Z69" s="55"/>
      <c r="AA69" s="55"/>
      <c r="AB69" s="55"/>
      <c r="AC69" s="55"/>
      <c r="AD69" s="55"/>
      <c r="AE69" s="55"/>
      <c r="AF69" s="55"/>
      <c r="AG69" s="55"/>
      <c r="AH69" s="55"/>
      <c r="AI69" s="55"/>
      <c r="AJ69" s="55"/>
      <c r="AK69" s="55"/>
      <c r="AL69" s="55"/>
      <c r="AM69" s="55"/>
      <c r="AN69" s="55"/>
      <c r="AO69" s="55"/>
      <c r="AP69" s="55"/>
      <c r="AQ69" s="55"/>
      <c r="AR69" s="55"/>
      <c r="AS69" s="55"/>
      <c r="AT69" s="55"/>
      <c r="AU69" s="55"/>
      <c r="AV69" s="55"/>
      <c r="AW69" s="55"/>
      <c r="AX69" s="55"/>
      <c r="AY69" s="55"/>
      <c r="AZ69" s="55"/>
      <c r="BA69" s="55"/>
      <c r="BB69" s="55"/>
    </row>
    <row r="70" spans="1:56" x14ac:dyDescent="0.3">
      <c r="A70" s="10" t="str">
        <f ca="1">Language!A$534</f>
        <v>амортизация</v>
      </c>
      <c r="C70" s="37" t="str">
        <f ca="1">CurName1</f>
        <v>руб.</v>
      </c>
      <c r="F70" s="6" t="s">
        <v>740</v>
      </c>
      <c r="G70" s="55">
        <f>IF($B69=0,0,MIN(G68/$B69/12*Параметры!G$31,IF(G$2=1,G68,F72+G68-F68)))</f>
        <v>0</v>
      </c>
      <c r="H70" s="55">
        <f>IF($B69=0,0,MIN(H68/$B69/12*Параметры!H$31,IF(H$2=1,H68,G72+H68-G68)))</f>
        <v>0</v>
      </c>
      <c r="I70" s="55">
        <f>IF($B69=0,0,MIN(I68/$B69/12*Параметры!I$31,IF(I$2=1,I68,H72+I68-H68)))</f>
        <v>0</v>
      </c>
      <c r="J70" s="55">
        <f>IF($B69=0,0,MIN(J68/$B69/12*Параметры!J$31,IF(J$2=1,J68,I72+J68-I68)))</f>
        <v>0</v>
      </c>
      <c r="K70" s="55">
        <f>IF($B69=0,0,MIN(K68/$B69/12*Параметры!K$31,IF(K$2=1,K68,J72+K68-J68)))</f>
        <v>0</v>
      </c>
      <c r="L70" s="55">
        <f>IF($B69=0,0,MIN(L68/$B69/12*Параметры!L$31,IF(L$2=1,L68,K72+L68-K68)))</f>
        <v>0</v>
      </c>
      <c r="M70" s="55">
        <f>IF($B69=0,0,MIN(M68/$B69/12*Параметры!M$31,IF(M$2=1,M68,L72+M68-L68)))</f>
        <v>0</v>
      </c>
      <c r="N70" s="55">
        <f>IF($B69=0,0,MIN(N68/$B69/12*Параметры!N$31,IF(N$2=1,N68,M72+N68-M68)))</f>
        <v>0</v>
      </c>
      <c r="O70" s="55">
        <f>IF($B69=0,0,MIN(O68/$B69/12*Параметры!O$31,IF(O$2=1,O68,N72+O68-N68)))</f>
        <v>0</v>
      </c>
      <c r="P70" s="55">
        <f>IF($B69=0,0,MIN(P68/$B69/12*Параметры!P$31,IF(P$2=1,P68,O72+P68-O68)))</f>
        <v>0</v>
      </c>
      <c r="Q70" s="55">
        <f>IF($B69=0,0,MIN(Q68/$B69/12*Параметры!Q$31,IF(Q$2=1,Q68,P72+Q68-P68)))</f>
        <v>0</v>
      </c>
      <c r="R70" s="55">
        <f>IF($B69=0,0,MIN(R68/$B69/12*Параметры!R$31,IF(R$2=1,R68,Q72+R68-Q68)))</f>
        <v>0</v>
      </c>
      <c r="S70" s="55">
        <f>IF($B69=0,0,MIN(S68/$B69/12*Параметры!S$31,IF(S$2=1,S68,R72+S68-R68)))</f>
        <v>0</v>
      </c>
      <c r="T70" s="55">
        <f>IF($B69=0,0,MIN(T68/$B69/12*Параметры!T$31,IF(T$2=1,T68,S72+T68-S68)))</f>
        <v>0</v>
      </c>
      <c r="U70" s="55">
        <f>IF($B69=0,0,MIN(U68/$B69/12*Параметры!U$31,IF(U$2=1,U68,T72+U68-T68)))</f>
        <v>0</v>
      </c>
      <c r="V70" s="55">
        <f>IF($B69=0,0,MIN(V68/$B69/12*Параметры!V$31,IF(V$2=1,V68,U72+V68-U68)))</f>
        <v>0</v>
      </c>
      <c r="W70" s="55">
        <f>IF($B69=0,0,MIN(W68/$B69/12*Параметры!W$31,IF(W$2=1,W68,V72+W68-V68)))</f>
        <v>0</v>
      </c>
      <c r="X70" s="55">
        <f>IF($B69=0,0,MIN(X68/$B69/12*Параметры!X$31,IF(X$2=1,X68,W72+X68-W68)))</f>
        <v>0</v>
      </c>
      <c r="Y70" s="55">
        <f>IF($B69=0,0,MIN(Y68/$B69/12*Параметры!Y$31,IF(Y$2=1,Y68,X72+Y68-X68)))</f>
        <v>0</v>
      </c>
      <c r="Z70" s="55">
        <f>IF($B69=0,0,MIN(Z68/$B69/12*Параметры!Z$31,IF(Z$2=1,Z68,Y72+Z68-Y68)))</f>
        <v>0</v>
      </c>
      <c r="AA70" s="55">
        <f>IF($B69=0,0,MIN(AA68/$B69/12*Параметры!AA$31,IF(AA$2=1,AA68,Z72+AA68-Z68)))</f>
        <v>0</v>
      </c>
      <c r="AB70" s="55">
        <f>IF($B69=0,0,MIN(AB68/$B69/12*Параметры!AB$31,IF(AB$2=1,AB68,AA72+AB68-AA68)))</f>
        <v>0</v>
      </c>
      <c r="AC70" s="55">
        <f>IF($B69=0,0,MIN(AC68/$B69/12*Параметры!AC$31,IF(AC$2=1,AC68,AB72+AC68-AB68)))</f>
        <v>0</v>
      </c>
      <c r="AD70" s="55">
        <f>IF($B69=0,0,MIN(AD68/$B69/12*Параметры!AD$31,IF(AD$2=1,AD68,AC72+AD68-AC68)))</f>
        <v>0</v>
      </c>
      <c r="AE70" s="55">
        <f>IF($B69=0,0,MIN(AE68/$B69/12*Параметры!AE$31,IF(AE$2=1,AE68,AD72+AE68-AD68)))</f>
        <v>0</v>
      </c>
      <c r="AF70" s="55">
        <f>IF($B69=0,0,MIN(AF68/$B69/12*Параметры!AF$31,IF(AF$2=1,AF68,AE72+AF68-AE68)))</f>
        <v>0</v>
      </c>
      <c r="AG70" s="55">
        <f>IF($B69=0,0,MIN(AG68/$B69/12*Параметры!AG$31,IF(AG$2=1,AG68,AF72+AG68-AF68)))</f>
        <v>0</v>
      </c>
      <c r="AH70" s="55">
        <f>IF($B69=0,0,MIN(AH68/$B69/12*Параметры!AH$31,IF(AH$2=1,AH68,AG72+AH68-AG68)))</f>
        <v>0</v>
      </c>
      <c r="AI70" s="55">
        <f>IF($B69=0,0,MIN(AI68/$B69/12*Параметры!AI$31,IF(AI$2=1,AI68,AH72+AI68-AH68)))</f>
        <v>0</v>
      </c>
      <c r="AJ70" s="55">
        <f>IF($B69=0,0,MIN(AJ68/$B69/12*Параметры!AJ$31,IF(AJ$2=1,AJ68,AI72+AJ68-AI68)))</f>
        <v>0</v>
      </c>
      <c r="AK70" s="55">
        <f>IF($B69=0,0,MIN(AK68/$B69/12*Параметры!AK$31,IF(AK$2=1,AK68,AJ72+AK68-AJ68)))</f>
        <v>0</v>
      </c>
      <c r="AL70" s="55">
        <f>IF($B69=0,0,MIN(AL68/$B69/12*Параметры!AL$31,IF(AL$2=1,AL68,AK72+AL68-AK68)))</f>
        <v>0</v>
      </c>
      <c r="AM70" s="55">
        <f>IF($B69=0,0,MIN(AM68/$B69/12*Параметры!AM$31,IF(AM$2=1,AM68,AL72+AM68-AL68)))</f>
        <v>0</v>
      </c>
      <c r="AN70" s="55">
        <f>IF($B69=0,0,MIN(AN68/$B69/12*Параметры!AN$31,IF(AN$2=1,AN68,AM72+AN68-AM68)))</f>
        <v>0</v>
      </c>
      <c r="AO70" s="55">
        <f>IF($B69=0,0,MIN(AO68/$B69/12*Параметры!AO$31,IF(AO$2=1,AO68,AN72+AO68-AN68)))</f>
        <v>0</v>
      </c>
      <c r="AP70" s="55">
        <f>IF($B69=0,0,MIN(AP68/$B69/12*Параметры!AP$31,IF(AP$2=1,AP68,AO72+AP68-AO68)))</f>
        <v>0</v>
      </c>
      <c r="AQ70" s="55">
        <f>IF($B69=0,0,MIN(AQ68/$B69/12*Параметры!AQ$31,IF(AQ$2=1,AQ68,AP72+AQ68-AP68)))</f>
        <v>0</v>
      </c>
      <c r="AR70" s="55">
        <f>IF($B69=0,0,MIN(AR68/$B69/12*Параметры!AR$31,IF(AR$2=1,AR68,AQ72+AR68-AQ68)))</f>
        <v>0</v>
      </c>
      <c r="AS70" s="55">
        <f>IF($B69=0,0,MIN(AS68/$B69/12*Параметры!AS$31,IF(AS$2=1,AS68,AR72+AS68-AR68)))</f>
        <v>0</v>
      </c>
      <c r="AT70" s="55">
        <f>IF($B69=0,0,MIN(AT68/$B69/12*Параметры!AT$31,IF(AT$2=1,AT68,AS72+AT68-AS68)))</f>
        <v>0</v>
      </c>
      <c r="AU70" s="55">
        <f>IF($B69=0,0,MIN(AU68/$B69/12*Параметры!AU$31,IF(AU$2=1,AU68,AT72+AU68-AT68)))</f>
        <v>0</v>
      </c>
      <c r="AV70" s="55">
        <f>IF($B69=0,0,MIN(AV68/$B69/12*Параметры!AV$31,IF(AV$2=1,AV68,AU72+AV68-AU68)))</f>
        <v>0</v>
      </c>
      <c r="AW70" s="55">
        <f>IF($B69=0,0,MIN(AW68/$B69/12*Параметры!AW$31,IF(AW$2=1,AW68,AV72+AW68-AV68)))</f>
        <v>0</v>
      </c>
      <c r="AX70" s="55">
        <f>IF($B69=0,0,MIN(AX68/$B69/12*Параметры!AX$31,IF(AX$2=1,AX68,AW72+AX68-AW68)))</f>
        <v>0</v>
      </c>
      <c r="AY70" s="55">
        <f>IF($B69=0,0,MIN(AY68/$B69/12*Параметры!AY$31,IF(AY$2=1,AY68,AX72+AY68-AX68)))</f>
        <v>0</v>
      </c>
      <c r="AZ70" s="55">
        <f>IF($B69=0,0,MIN(AZ68/$B69/12*Параметры!AZ$31,IF(AZ$2=1,AZ68,AY72+AZ68-AY68)))</f>
        <v>0</v>
      </c>
      <c r="BA70" s="55">
        <f>IF($B69=0,0,MIN(BA68/$B69/12*Параметры!BA$31,IF(BA$2=1,BA68,AZ72+BA68-AZ68)))</f>
        <v>0</v>
      </c>
      <c r="BB70" s="55">
        <f>IF($B69=0,0,MIN(BB68/$B69/12*Параметры!BB$31,IF(BB$2=1,BB68,BA72+BB68-BA68)))</f>
        <v>0</v>
      </c>
      <c r="BD70" s="57">
        <f>SUM(G70:BC70)</f>
        <v>0</v>
      </c>
    </row>
    <row r="71" spans="1:56" x14ac:dyDescent="0.3">
      <c r="A71" s="10" t="str">
        <f ca="1">Language!A$535</f>
        <v>накопленная амортизация</v>
      </c>
      <c r="C71" s="37" t="str">
        <f ca="1">CurName1</f>
        <v>руб.</v>
      </c>
      <c r="F71" s="6" t="s">
        <v>741</v>
      </c>
      <c r="G71" s="55">
        <f>G70+IF(G$2=1,0,F71)</f>
        <v>0</v>
      </c>
      <c r="H71" s="55">
        <f t="shared" ref="H71:BB71" si="9">H70+IF(H$2=1,0,G71)</f>
        <v>0</v>
      </c>
      <c r="I71" s="55">
        <f t="shared" si="9"/>
        <v>0</v>
      </c>
      <c r="J71" s="55">
        <f t="shared" si="9"/>
        <v>0</v>
      </c>
      <c r="K71" s="55">
        <f t="shared" si="9"/>
        <v>0</v>
      </c>
      <c r="L71" s="55">
        <f t="shared" si="9"/>
        <v>0</v>
      </c>
      <c r="M71" s="55">
        <f t="shared" si="9"/>
        <v>0</v>
      </c>
      <c r="N71" s="55">
        <f t="shared" si="9"/>
        <v>0</v>
      </c>
      <c r="O71" s="55">
        <f t="shared" si="9"/>
        <v>0</v>
      </c>
      <c r="P71" s="55">
        <f t="shared" si="9"/>
        <v>0</v>
      </c>
      <c r="Q71" s="55">
        <f t="shared" si="9"/>
        <v>0</v>
      </c>
      <c r="R71" s="55">
        <f t="shared" si="9"/>
        <v>0</v>
      </c>
      <c r="S71" s="55">
        <f t="shared" si="9"/>
        <v>0</v>
      </c>
      <c r="T71" s="55">
        <f t="shared" si="9"/>
        <v>0</v>
      </c>
      <c r="U71" s="55">
        <f t="shared" si="9"/>
        <v>0</v>
      </c>
      <c r="V71" s="55">
        <f t="shared" si="9"/>
        <v>0</v>
      </c>
      <c r="W71" s="55">
        <f t="shared" si="9"/>
        <v>0</v>
      </c>
      <c r="X71" s="55">
        <f t="shared" si="9"/>
        <v>0</v>
      </c>
      <c r="Y71" s="55">
        <f t="shared" si="9"/>
        <v>0</v>
      </c>
      <c r="Z71" s="55">
        <f t="shared" si="9"/>
        <v>0</v>
      </c>
      <c r="AA71" s="55">
        <f t="shared" si="9"/>
        <v>0</v>
      </c>
      <c r="AB71" s="55">
        <f t="shared" si="9"/>
        <v>0</v>
      </c>
      <c r="AC71" s="55">
        <f t="shared" si="9"/>
        <v>0</v>
      </c>
      <c r="AD71" s="55">
        <f t="shared" si="9"/>
        <v>0</v>
      </c>
      <c r="AE71" s="55">
        <f t="shared" si="9"/>
        <v>0</v>
      </c>
      <c r="AF71" s="55">
        <f t="shared" si="9"/>
        <v>0</v>
      </c>
      <c r="AG71" s="55">
        <f t="shared" si="9"/>
        <v>0</v>
      </c>
      <c r="AH71" s="55">
        <f t="shared" si="9"/>
        <v>0</v>
      </c>
      <c r="AI71" s="55">
        <f t="shared" si="9"/>
        <v>0</v>
      </c>
      <c r="AJ71" s="55">
        <f t="shared" si="9"/>
        <v>0</v>
      </c>
      <c r="AK71" s="55">
        <f t="shared" si="9"/>
        <v>0</v>
      </c>
      <c r="AL71" s="55">
        <f t="shared" si="9"/>
        <v>0</v>
      </c>
      <c r="AM71" s="55">
        <f t="shared" si="9"/>
        <v>0</v>
      </c>
      <c r="AN71" s="55">
        <f t="shared" si="9"/>
        <v>0</v>
      </c>
      <c r="AO71" s="55">
        <f t="shared" si="9"/>
        <v>0</v>
      </c>
      <c r="AP71" s="55">
        <f t="shared" si="9"/>
        <v>0</v>
      </c>
      <c r="AQ71" s="55">
        <f t="shared" si="9"/>
        <v>0</v>
      </c>
      <c r="AR71" s="55">
        <f t="shared" si="9"/>
        <v>0</v>
      </c>
      <c r="AS71" s="55">
        <f t="shared" si="9"/>
        <v>0</v>
      </c>
      <c r="AT71" s="55">
        <f t="shared" si="9"/>
        <v>0</v>
      </c>
      <c r="AU71" s="55">
        <f t="shared" si="9"/>
        <v>0</v>
      </c>
      <c r="AV71" s="55">
        <f t="shared" si="9"/>
        <v>0</v>
      </c>
      <c r="AW71" s="55">
        <f t="shared" si="9"/>
        <v>0</v>
      </c>
      <c r="AX71" s="55">
        <f t="shared" si="9"/>
        <v>0</v>
      </c>
      <c r="AY71" s="55">
        <f t="shared" si="9"/>
        <v>0</v>
      </c>
      <c r="AZ71" s="55">
        <f t="shared" si="9"/>
        <v>0</v>
      </c>
      <c r="BA71" s="55">
        <f t="shared" si="9"/>
        <v>0</v>
      </c>
      <c r="BB71" s="55">
        <f t="shared" si="9"/>
        <v>0</v>
      </c>
    </row>
    <row r="72" spans="1:56" x14ac:dyDescent="0.3">
      <c r="A72" s="10" t="str">
        <f ca="1">Language!A$536</f>
        <v>остаточная балансовая стоимость</v>
      </c>
      <c r="C72" s="37" t="str">
        <f ca="1">CurName1</f>
        <v>руб.</v>
      </c>
      <c r="F72" s="6" t="s">
        <v>741</v>
      </c>
      <c r="G72" s="58">
        <f>G68-G71</f>
        <v>0</v>
      </c>
      <c r="H72" s="58">
        <f t="shared" ref="H72:K72" si="10">H68-H71</f>
        <v>0</v>
      </c>
      <c r="I72" s="58">
        <f t="shared" si="10"/>
        <v>0</v>
      </c>
      <c r="J72" s="58">
        <f t="shared" si="10"/>
        <v>0</v>
      </c>
      <c r="K72" s="58">
        <f t="shared" si="10"/>
        <v>0</v>
      </c>
      <c r="L72" s="58">
        <f t="shared" ref="L72:M72" si="11">L68-L71</f>
        <v>0</v>
      </c>
      <c r="M72" s="58">
        <f t="shared" si="11"/>
        <v>0</v>
      </c>
      <c r="N72" s="58">
        <f t="shared" ref="N72:O72" si="12">N68-N71</f>
        <v>0</v>
      </c>
      <c r="O72" s="58">
        <f t="shared" si="12"/>
        <v>0</v>
      </c>
      <c r="P72" s="58">
        <f t="shared" ref="P72:Q72" si="13">P68-P71</f>
        <v>0</v>
      </c>
      <c r="Q72" s="58">
        <f t="shared" si="13"/>
        <v>0</v>
      </c>
      <c r="R72" s="58">
        <f t="shared" ref="R72:S72" si="14">R68-R71</f>
        <v>0</v>
      </c>
      <c r="S72" s="58">
        <f t="shared" si="14"/>
        <v>0</v>
      </c>
      <c r="T72" s="58">
        <f t="shared" ref="T72:U72" si="15">T68-T71</f>
        <v>0</v>
      </c>
      <c r="U72" s="58">
        <f t="shared" si="15"/>
        <v>0</v>
      </c>
      <c r="V72" s="58">
        <f t="shared" ref="V72:W72" si="16">V68-V71</f>
        <v>0</v>
      </c>
      <c r="W72" s="58">
        <f t="shared" si="16"/>
        <v>0</v>
      </c>
      <c r="X72" s="58">
        <f t="shared" ref="X72:Y72" si="17">X68-X71</f>
        <v>0</v>
      </c>
      <c r="Y72" s="58">
        <f t="shared" si="17"/>
        <v>0</v>
      </c>
      <c r="Z72" s="58">
        <f t="shared" ref="Z72:AA72" si="18">Z68-Z71</f>
        <v>0</v>
      </c>
      <c r="AA72" s="58">
        <f t="shared" si="18"/>
        <v>0</v>
      </c>
      <c r="AB72" s="58">
        <f t="shared" ref="AB72:AC72" si="19">AB68-AB71</f>
        <v>0</v>
      </c>
      <c r="AC72" s="58">
        <f t="shared" si="19"/>
        <v>0</v>
      </c>
      <c r="AD72" s="58">
        <f t="shared" ref="AD72:AE72" si="20">AD68-AD71</f>
        <v>0</v>
      </c>
      <c r="AE72" s="58">
        <f t="shared" si="20"/>
        <v>0</v>
      </c>
      <c r="AF72" s="58">
        <f t="shared" ref="AF72:AG72" si="21">AF68-AF71</f>
        <v>0</v>
      </c>
      <c r="AG72" s="58">
        <f t="shared" si="21"/>
        <v>0</v>
      </c>
      <c r="AH72" s="58">
        <f t="shared" ref="AH72:AI72" si="22">AH68-AH71</f>
        <v>0</v>
      </c>
      <c r="AI72" s="58">
        <f t="shared" si="22"/>
        <v>0</v>
      </c>
      <c r="AJ72" s="58">
        <f t="shared" ref="AJ72:AK72" si="23">AJ68-AJ71</f>
        <v>0</v>
      </c>
      <c r="AK72" s="58">
        <f t="shared" si="23"/>
        <v>0</v>
      </c>
      <c r="AL72" s="58">
        <f t="shared" ref="AL72:AM72" si="24">AL68-AL71</f>
        <v>0</v>
      </c>
      <c r="AM72" s="58">
        <f t="shared" si="24"/>
        <v>0</v>
      </c>
      <c r="AN72" s="58">
        <f t="shared" ref="AN72:AO72" si="25">AN68-AN71</f>
        <v>0</v>
      </c>
      <c r="AO72" s="58">
        <f t="shared" si="25"/>
        <v>0</v>
      </c>
      <c r="AP72" s="58">
        <f t="shared" ref="AP72:AQ72" si="26">AP68-AP71</f>
        <v>0</v>
      </c>
      <c r="AQ72" s="58">
        <f t="shared" si="26"/>
        <v>0</v>
      </c>
      <c r="AR72" s="58">
        <f t="shared" ref="AR72:AS72" si="27">AR68-AR71</f>
        <v>0</v>
      </c>
      <c r="AS72" s="58">
        <f t="shared" si="27"/>
        <v>0</v>
      </c>
      <c r="AT72" s="58">
        <f t="shared" ref="AT72:AU72" si="28">AT68-AT71</f>
        <v>0</v>
      </c>
      <c r="AU72" s="58">
        <f t="shared" si="28"/>
        <v>0</v>
      </c>
      <c r="AV72" s="58">
        <f t="shared" ref="AV72:AW72" si="29">AV68-AV71</f>
        <v>0</v>
      </c>
      <c r="AW72" s="58">
        <f t="shared" si="29"/>
        <v>0</v>
      </c>
      <c r="AX72" s="58">
        <f t="shared" ref="AX72:AY72" si="30">AX68-AX71</f>
        <v>0</v>
      </c>
      <c r="AY72" s="58">
        <f t="shared" si="30"/>
        <v>0</v>
      </c>
      <c r="AZ72" s="58">
        <f t="shared" ref="AZ72:BA72" si="31">AZ68-AZ71</f>
        <v>0</v>
      </c>
      <c r="BA72" s="58">
        <f t="shared" si="31"/>
        <v>0</v>
      </c>
      <c r="BB72" s="58">
        <f t="shared" ref="BB72" si="32">BB68-BB71</f>
        <v>0</v>
      </c>
    </row>
    <row r="73" spans="1:56" x14ac:dyDescent="0.3">
      <c r="A73" s="10"/>
      <c r="G73" s="55"/>
      <c r="H73" s="55"/>
      <c r="I73" s="55"/>
      <c r="J73" s="55"/>
      <c r="K73" s="55"/>
      <c r="L73" s="55"/>
      <c r="M73" s="55"/>
      <c r="N73" s="55"/>
      <c r="O73" s="55"/>
      <c r="P73" s="55"/>
      <c r="Q73" s="55"/>
      <c r="R73" s="55"/>
      <c r="S73" s="55"/>
      <c r="T73" s="55"/>
      <c r="U73" s="55"/>
      <c r="V73" s="55"/>
      <c r="W73" s="55"/>
      <c r="X73" s="55"/>
      <c r="Y73" s="55"/>
      <c r="Z73" s="55"/>
      <c r="AA73" s="55"/>
      <c r="AB73" s="55"/>
      <c r="AC73" s="55"/>
      <c r="AD73" s="55"/>
      <c r="AE73" s="55"/>
      <c r="AF73" s="55"/>
      <c r="AG73" s="55"/>
      <c r="AH73" s="55"/>
      <c r="AI73" s="55"/>
      <c r="AJ73" s="55"/>
      <c r="AK73" s="55"/>
      <c r="AL73" s="55"/>
      <c r="AM73" s="55"/>
      <c r="AN73" s="55"/>
      <c r="AO73" s="55"/>
      <c r="AP73" s="55"/>
      <c r="AQ73" s="55"/>
      <c r="AR73" s="55"/>
      <c r="AS73" s="55"/>
      <c r="AT73" s="55"/>
      <c r="AU73" s="55"/>
      <c r="AV73" s="55"/>
      <c r="AW73" s="55"/>
      <c r="AX73" s="55"/>
      <c r="AY73" s="55"/>
      <c r="AZ73" s="55"/>
      <c r="BA73" s="55"/>
      <c r="BB73" s="55"/>
    </row>
    <row r="74" spans="1:56" x14ac:dyDescent="0.3">
      <c r="A74" s="43" t="str">
        <f ca="1">Language!A$537</f>
        <v>Оборудование и прочие активы</v>
      </c>
      <c r="B74" s="59"/>
      <c r="C74" s="59"/>
      <c r="D74" s="46"/>
      <c r="E74" s="46"/>
      <c r="F74" s="46"/>
      <c r="G74" s="60"/>
      <c r="H74" s="60"/>
      <c r="I74" s="60"/>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row>
    <row r="75" spans="1:56" x14ac:dyDescent="0.3">
      <c r="A75" s="10" t="str">
        <f ca="1">Language!A$538</f>
        <v>первоначальная стоимость</v>
      </c>
      <c r="C75" s="37" t="str">
        <f ca="1">CurName1</f>
        <v>руб.</v>
      </c>
      <c r="F75" s="6" t="s">
        <v>741</v>
      </c>
      <c r="G75" s="55">
        <f>$B$19+G60</f>
        <v>0</v>
      </c>
      <c r="H75" s="55">
        <f t="shared" ref="H75:BB75" si="33">G75+H60</f>
        <v>0</v>
      </c>
      <c r="I75" s="55">
        <f t="shared" si="33"/>
        <v>0</v>
      </c>
      <c r="J75" s="55">
        <f t="shared" si="33"/>
        <v>0</v>
      </c>
      <c r="K75" s="55">
        <f t="shared" si="33"/>
        <v>0</v>
      </c>
      <c r="L75" s="55">
        <f t="shared" si="33"/>
        <v>0</v>
      </c>
      <c r="M75" s="55">
        <f t="shared" si="33"/>
        <v>0</v>
      </c>
      <c r="N75" s="55">
        <f t="shared" si="33"/>
        <v>0</v>
      </c>
      <c r="O75" s="55">
        <f t="shared" si="33"/>
        <v>0</v>
      </c>
      <c r="P75" s="55">
        <f t="shared" si="33"/>
        <v>0</v>
      </c>
      <c r="Q75" s="55">
        <f t="shared" si="33"/>
        <v>0</v>
      </c>
      <c r="R75" s="55">
        <f t="shared" si="33"/>
        <v>0</v>
      </c>
      <c r="S75" s="55">
        <f t="shared" si="33"/>
        <v>0</v>
      </c>
      <c r="T75" s="55">
        <f t="shared" si="33"/>
        <v>0</v>
      </c>
      <c r="U75" s="55">
        <f t="shared" si="33"/>
        <v>0</v>
      </c>
      <c r="V75" s="55">
        <f t="shared" si="33"/>
        <v>0</v>
      </c>
      <c r="W75" s="55">
        <f t="shared" si="33"/>
        <v>0</v>
      </c>
      <c r="X75" s="55">
        <f t="shared" si="33"/>
        <v>0</v>
      </c>
      <c r="Y75" s="55">
        <f t="shared" si="33"/>
        <v>0</v>
      </c>
      <c r="Z75" s="55">
        <f t="shared" si="33"/>
        <v>0</v>
      </c>
      <c r="AA75" s="55">
        <f t="shared" si="33"/>
        <v>0</v>
      </c>
      <c r="AB75" s="55">
        <f t="shared" si="33"/>
        <v>0</v>
      </c>
      <c r="AC75" s="55">
        <f t="shared" si="33"/>
        <v>0</v>
      </c>
      <c r="AD75" s="55">
        <f t="shared" si="33"/>
        <v>0</v>
      </c>
      <c r="AE75" s="55">
        <f t="shared" si="33"/>
        <v>0</v>
      </c>
      <c r="AF75" s="55">
        <f t="shared" si="33"/>
        <v>0</v>
      </c>
      <c r="AG75" s="55">
        <f t="shared" si="33"/>
        <v>0</v>
      </c>
      <c r="AH75" s="55">
        <f t="shared" si="33"/>
        <v>0</v>
      </c>
      <c r="AI75" s="55">
        <f t="shared" si="33"/>
        <v>0</v>
      </c>
      <c r="AJ75" s="55">
        <f t="shared" si="33"/>
        <v>0</v>
      </c>
      <c r="AK75" s="55">
        <f t="shared" si="33"/>
        <v>0</v>
      </c>
      <c r="AL75" s="55">
        <f t="shared" si="33"/>
        <v>0</v>
      </c>
      <c r="AM75" s="55">
        <f t="shared" si="33"/>
        <v>0</v>
      </c>
      <c r="AN75" s="55">
        <f t="shared" si="33"/>
        <v>0</v>
      </c>
      <c r="AO75" s="55">
        <f t="shared" si="33"/>
        <v>0</v>
      </c>
      <c r="AP75" s="55">
        <f t="shared" si="33"/>
        <v>0</v>
      </c>
      <c r="AQ75" s="55">
        <f t="shared" si="33"/>
        <v>0</v>
      </c>
      <c r="AR75" s="55">
        <f t="shared" si="33"/>
        <v>0</v>
      </c>
      <c r="AS75" s="55">
        <f t="shared" si="33"/>
        <v>0</v>
      </c>
      <c r="AT75" s="55">
        <f t="shared" si="33"/>
        <v>0</v>
      </c>
      <c r="AU75" s="55">
        <f t="shared" si="33"/>
        <v>0</v>
      </c>
      <c r="AV75" s="55">
        <f t="shared" si="33"/>
        <v>0</v>
      </c>
      <c r="AW75" s="55">
        <f t="shared" si="33"/>
        <v>0</v>
      </c>
      <c r="AX75" s="55">
        <f t="shared" si="33"/>
        <v>0</v>
      </c>
      <c r="AY75" s="55">
        <f t="shared" si="33"/>
        <v>0</v>
      </c>
      <c r="AZ75" s="55">
        <f t="shared" si="33"/>
        <v>0</v>
      </c>
      <c r="BA75" s="55">
        <f t="shared" si="33"/>
        <v>0</v>
      </c>
      <c r="BB75" s="55">
        <f t="shared" si="33"/>
        <v>0</v>
      </c>
    </row>
    <row r="76" spans="1:56" x14ac:dyDescent="0.3">
      <c r="A76" s="10" t="str">
        <f ca="1">Language!A$539</f>
        <v>срок амортизации</v>
      </c>
      <c r="B76" s="272">
        <v>10</v>
      </c>
      <c r="C76" s="61" t="str">
        <f ca="1">Language!A$48</f>
        <v>лет</v>
      </c>
      <c r="G76" s="55"/>
      <c r="H76" s="55"/>
      <c r="I76" s="55"/>
      <c r="J76" s="55"/>
      <c r="K76" s="55"/>
      <c r="L76" s="55"/>
      <c r="M76" s="55"/>
      <c r="N76" s="55"/>
      <c r="O76" s="55"/>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6" x14ac:dyDescent="0.3">
      <c r="A77" s="10" t="str">
        <f ca="1">Language!A$540</f>
        <v>амортизация</v>
      </c>
      <c r="C77" s="37" t="str">
        <f ca="1">CurName1</f>
        <v>руб.</v>
      </c>
      <c r="F77" s="6" t="s">
        <v>740</v>
      </c>
      <c r="G77" s="55">
        <f>IF($B76=0,0,MIN(G75/$B76/12*Параметры!G$31,IF(G$2=1,G75,F79+G75-F75)))</f>
        <v>0</v>
      </c>
      <c r="H77" s="55">
        <f>IF($B76=0,0,MIN(H75/$B76/12*Параметры!H$31,IF(H$2=1,H75,G79+H75-G75)))</f>
        <v>0</v>
      </c>
      <c r="I77" s="55">
        <f>IF($B76=0,0,MIN(I75/$B76/12*Параметры!I$31,IF(I$2=1,I75,H79+I75-H75)))</f>
        <v>0</v>
      </c>
      <c r="J77" s="55">
        <f>IF($B76=0,0,MIN(J75/$B76/12*Параметры!J$31,IF(J$2=1,J75,I79+J75-I75)))</f>
        <v>0</v>
      </c>
      <c r="K77" s="55">
        <f>IF($B76=0,0,MIN(K75/$B76/12*Параметры!K$31,IF(K$2=1,K75,J79+K75-J75)))</f>
        <v>0</v>
      </c>
      <c r="L77" s="55">
        <f>IF($B76=0,0,MIN(L75/$B76/12*Параметры!L$31,IF(L$2=1,L75,K79+L75-K75)))</f>
        <v>0</v>
      </c>
      <c r="M77" s="55">
        <f>IF($B76=0,0,MIN(M75/$B76/12*Параметры!M$31,IF(M$2=1,M75,L79+M75-L75)))</f>
        <v>0</v>
      </c>
      <c r="N77" s="55">
        <f>IF($B76=0,0,MIN(N75/$B76/12*Параметры!N$31,IF(N$2=1,N75,M79+N75-M75)))</f>
        <v>0</v>
      </c>
      <c r="O77" s="55">
        <f>IF($B76=0,0,MIN(O75/$B76/12*Параметры!O$31,IF(O$2=1,O75,N79+O75-N75)))</f>
        <v>0</v>
      </c>
      <c r="P77" s="55">
        <f>IF($B76=0,0,MIN(P75/$B76/12*Параметры!P$31,IF(P$2=1,P75,O79+P75-O75)))</f>
        <v>0</v>
      </c>
      <c r="Q77" s="55">
        <f>IF($B76=0,0,MIN(Q75/$B76/12*Параметры!Q$31,IF(Q$2=1,Q75,P79+Q75-P75)))</f>
        <v>0</v>
      </c>
      <c r="R77" s="55">
        <f>IF($B76=0,0,MIN(R75/$B76/12*Параметры!R$31,IF(R$2=1,R75,Q79+R75-Q75)))</f>
        <v>0</v>
      </c>
      <c r="S77" s="55">
        <f>IF($B76=0,0,MIN(S75/$B76/12*Параметры!S$31,IF(S$2=1,S75,R79+S75-R75)))</f>
        <v>0</v>
      </c>
      <c r="T77" s="55">
        <f>IF($B76=0,0,MIN(T75/$B76/12*Параметры!T$31,IF(T$2=1,T75,S79+T75-S75)))</f>
        <v>0</v>
      </c>
      <c r="U77" s="55">
        <f>IF($B76=0,0,MIN(U75/$B76/12*Параметры!U$31,IF(U$2=1,U75,T79+U75-T75)))</f>
        <v>0</v>
      </c>
      <c r="V77" s="55">
        <f>IF($B76=0,0,MIN(V75/$B76/12*Параметры!V$31,IF(V$2=1,V75,U79+V75-U75)))</f>
        <v>0</v>
      </c>
      <c r="W77" s="55">
        <f>IF($B76=0,0,MIN(W75/$B76/12*Параметры!W$31,IF(W$2=1,W75,V79+W75-V75)))</f>
        <v>0</v>
      </c>
      <c r="X77" s="55">
        <f>IF($B76=0,0,MIN(X75/$B76/12*Параметры!X$31,IF(X$2=1,X75,W79+X75-W75)))</f>
        <v>0</v>
      </c>
      <c r="Y77" s="55">
        <f>IF($B76=0,0,MIN(Y75/$B76/12*Параметры!Y$31,IF(Y$2=1,Y75,X79+Y75-X75)))</f>
        <v>0</v>
      </c>
      <c r="Z77" s="55">
        <f>IF($B76=0,0,MIN(Z75/$B76/12*Параметры!Z$31,IF(Z$2=1,Z75,Y79+Z75-Y75)))</f>
        <v>0</v>
      </c>
      <c r="AA77" s="55">
        <f>IF($B76=0,0,MIN(AA75/$B76/12*Параметры!AA$31,IF(AA$2=1,AA75,Z79+AA75-Z75)))</f>
        <v>0</v>
      </c>
      <c r="AB77" s="55">
        <f>IF($B76=0,0,MIN(AB75/$B76/12*Параметры!AB$31,IF(AB$2=1,AB75,AA79+AB75-AA75)))</f>
        <v>0</v>
      </c>
      <c r="AC77" s="55">
        <f>IF($B76=0,0,MIN(AC75/$B76/12*Параметры!AC$31,IF(AC$2=1,AC75,AB79+AC75-AB75)))</f>
        <v>0</v>
      </c>
      <c r="AD77" s="55">
        <f>IF($B76=0,0,MIN(AD75/$B76/12*Параметры!AD$31,IF(AD$2=1,AD75,AC79+AD75-AC75)))</f>
        <v>0</v>
      </c>
      <c r="AE77" s="55">
        <f>IF($B76=0,0,MIN(AE75/$B76/12*Параметры!AE$31,IF(AE$2=1,AE75,AD79+AE75-AD75)))</f>
        <v>0</v>
      </c>
      <c r="AF77" s="55">
        <f>IF($B76=0,0,MIN(AF75/$B76/12*Параметры!AF$31,IF(AF$2=1,AF75,AE79+AF75-AE75)))</f>
        <v>0</v>
      </c>
      <c r="AG77" s="55">
        <f>IF($B76=0,0,MIN(AG75/$B76/12*Параметры!AG$31,IF(AG$2=1,AG75,AF79+AG75-AF75)))</f>
        <v>0</v>
      </c>
      <c r="AH77" s="55">
        <f>IF($B76=0,0,MIN(AH75/$B76/12*Параметры!AH$31,IF(AH$2=1,AH75,AG79+AH75-AG75)))</f>
        <v>0</v>
      </c>
      <c r="AI77" s="55">
        <f>IF($B76=0,0,MIN(AI75/$B76/12*Параметры!AI$31,IF(AI$2=1,AI75,AH79+AI75-AH75)))</f>
        <v>0</v>
      </c>
      <c r="AJ77" s="55">
        <f>IF($B76=0,0,MIN(AJ75/$B76/12*Параметры!AJ$31,IF(AJ$2=1,AJ75,AI79+AJ75-AI75)))</f>
        <v>0</v>
      </c>
      <c r="AK77" s="55">
        <f>IF($B76=0,0,MIN(AK75/$B76/12*Параметры!AK$31,IF(AK$2=1,AK75,AJ79+AK75-AJ75)))</f>
        <v>0</v>
      </c>
      <c r="AL77" s="55">
        <f>IF($B76=0,0,MIN(AL75/$B76/12*Параметры!AL$31,IF(AL$2=1,AL75,AK79+AL75-AK75)))</f>
        <v>0</v>
      </c>
      <c r="AM77" s="55">
        <f>IF($B76=0,0,MIN(AM75/$B76/12*Параметры!AM$31,IF(AM$2=1,AM75,AL79+AM75-AL75)))</f>
        <v>0</v>
      </c>
      <c r="AN77" s="55">
        <f>IF($B76=0,0,MIN(AN75/$B76/12*Параметры!AN$31,IF(AN$2=1,AN75,AM79+AN75-AM75)))</f>
        <v>0</v>
      </c>
      <c r="AO77" s="55">
        <f>IF($B76=0,0,MIN(AO75/$B76/12*Параметры!AO$31,IF(AO$2=1,AO75,AN79+AO75-AN75)))</f>
        <v>0</v>
      </c>
      <c r="AP77" s="55">
        <f>IF($B76=0,0,MIN(AP75/$B76/12*Параметры!AP$31,IF(AP$2=1,AP75,AO79+AP75-AO75)))</f>
        <v>0</v>
      </c>
      <c r="AQ77" s="55">
        <f>IF($B76=0,0,MIN(AQ75/$B76/12*Параметры!AQ$31,IF(AQ$2=1,AQ75,AP79+AQ75-AP75)))</f>
        <v>0</v>
      </c>
      <c r="AR77" s="55">
        <f>IF($B76=0,0,MIN(AR75/$B76/12*Параметры!AR$31,IF(AR$2=1,AR75,AQ79+AR75-AQ75)))</f>
        <v>0</v>
      </c>
      <c r="AS77" s="55">
        <f>IF($B76=0,0,MIN(AS75/$B76/12*Параметры!AS$31,IF(AS$2=1,AS75,AR79+AS75-AR75)))</f>
        <v>0</v>
      </c>
      <c r="AT77" s="55">
        <f>IF($B76=0,0,MIN(AT75/$B76/12*Параметры!AT$31,IF(AT$2=1,AT75,AS79+AT75-AS75)))</f>
        <v>0</v>
      </c>
      <c r="AU77" s="55">
        <f>IF($B76=0,0,MIN(AU75/$B76/12*Параметры!AU$31,IF(AU$2=1,AU75,AT79+AU75-AT75)))</f>
        <v>0</v>
      </c>
      <c r="AV77" s="55">
        <f>IF($B76=0,0,MIN(AV75/$B76/12*Параметры!AV$31,IF(AV$2=1,AV75,AU79+AV75-AU75)))</f>
        <v>0</v>
      </c>
      <c r="AW77" s="55">
        <f>IF($B76=0,0,MIN(AW75/$B76/12*Параметры!AW$31,IF(AW$2=1,AW75,AV79+AW75-AV75)))</f>
        <v>0</v>
      </c>
      <c r="AX77" s="55">
        <f>IF($B76=0,0,MIN(AX75/$B76/12*Параметры!AX$31,IF(AX$2=1,AX75,AW79+AX75-AW75)))</f>
        <v>0</v>
      </c>
      <c r="AY77" s="55">
        <f>IF($B76=0,0,MIN(AY75/$B76/12*Параметры!AY$31,IF(AY$2=1,AY75,AX79+AY75-AX75)))</f>
        <v>0</v>
      </c>
      <c r="AZ77" s="55">
        <f>IF($B76=0,0,MIN(AZ75/$B76/12*Параметры!AZ$31,IF(AZ$2=1,AZ75,AY79+AZ75-AY75)))</f>
        <v>0</v>
      </c>
      <c r="BA77" s="55">
        <f>IF($B76=0,0,MIN(BA75/$B76/12*Параметры!BA$31,IF(BA$2=1,BA75,AZ79+BA75-AZ75)))</f>
        <v>0</v>
      </c>
      <c r="BB77" s="55">
        <f>IF($B76=0,0,MIN(BB75/$B76/12*Параметры!BB$31,IF(BB$2=1,BB75,BA79+BB75-BA75)))</f>
        <v>0</v>
      </c>
      <c r="BD77" s="57">
        <f>SUM(G77:BC77)</f>
        <v>0</v>
      </c>
    </row>
    <row r="78" spans="1:56" x14ac:dyDescent="0.3">
      <c r="A78" s="10" t="str">
        <f ca="1">Language!A$541</f>
        <v>накопленная амортизация</v>
      </c>
      <c r="C78" s="37" t="str">
        <f ca="1">CurName1</f>
        <v>руб.</v>
      </c>
      <c r="F78" s="6" t="s">
        <v>741</v>
      </c>
      <c r="G78" s="55">
        <f>G77</f>
        <v>0</v>
      </c>
      <c r="H78" s="55">
        <f>G78+H77</f>
        <v>0</v>
      </c>
      <c r="I78" s="55">
        <f t="shared" ref="I78" si="34">H78+I77</f>
        <v>0</v>
      </c>
      <c r="J78" s="55">
        <f t="shared" ref="J78" si="35">I78+J77</f>
        <v>0</v>
      </c>
      <c r="K78" s="55">
        <f t="shared" ref="K78:BB78" si="36">J78+K77</f>
        <v>0</v>
      </c>
      <c r="L78" s="55">
        <f t="shared" si="36"/>
        <v>0</v>
      </c>
      <c r="M78" s="55">
        <f t="shared" si="36"/>
        <v>0</v>
      </c>
      <c r="N78" s="55">
        <f t="shared" si="36"/>
        <v>0</v>
      </c>
      <c r="O78" s="55">
        <f t="shared" si="36"/>
        <v>0</v>
      </c>
      <c r="P78" s="55">
        <f t="shared" si="36"/>
        <v>0</v>
      </c>
      <c r="Q78" s="55">
        <f t="shared" si="36"/>
        <v>0</v>
      </c>
      <c r="R78" s="55">
        <f t="shared" si="36"/>
        <v>0</v>
      </c>
      <c r="S78" s="55">
        <f t="shared" si="36"/>
        <v>0</v>
      </c>
      <c r="T78" s="55">
        <f t="shared" si="36"/>
        <v>0</v>
      </c>
      <c r="U78" s="55">
        <f t="shared" si="36"/>
        <v>0</v>
      </c>
      <c r="V78" s="55">
        <f t="shared" si="36"/>
        <v>0</v>
      </c>
      <c r="W78" s="55">
        <f t="shared" si="36"/>
        <v>0</v>
      </c>
      <c r="X78" s="55">
        <f t="shared" si="36"/>
        <v>0</v>
      </c>
      <c r="Y78" s="55">
        <f t="shared" si="36"/>
        <v>0</v>
      </c>
      <c r="Z78" s="55">
        <f t="shared" si="36"/>
        <v>0</v>
      </c>
      <c r="AA78" s="55">
        <f t="shared" si="36"/>
        <v>0</v>
      </c>
      <c r="AB78" s="55">
        <f t="shared" si="36"/>
        <v>0</v>
      </c>
      <c r="AC78" s="55">
        <f t="shared" si="36"/>
        <v>0</v>
      </c>
      <c r="AD78" s="55">
        <f t="shared" si="36"/>
        <v>0</v>
      </c>
      <c r="AE78" s="55">
        <f t="shared" si="36"/>
        <v>0</v>
      </c>
      <c r="AF78" s="55">
        <f t="shared" si="36"/>
        <v>0</v>
      </c>
      <c r="AG78" s="55">
        <f t="shared" si="36"/>
        <v>0</v>
      </c>
      <c r="AH78" s="55">
        <f t="shared" si="36"/>
        <v>0</v>
      </c>
      <c r="AI78" s="55">
        <f t="shared" si="36"/>
        <v>0</v>
      </c>
      <c r="AJ78" s="55">
        <f t="shared" si="36"/>
        <v>0</v>
      </c>
      <c r="AK78" s="55">
        <f t="shared" si="36"/>
        <v>0</v>
      </c>
      <c r="AL78" s="55">
        <f t="shared" si="36"/>
        <v>0</v>
      </c>
      <c r="AM78" s="55">
        <f t="shared" si="36"/>
        <v>0</v>
      </c>
      <c r="AN78" s="55">
        <f t="shared" si="36"/>
        <v>0</v>
      </c>
      <c r="AO78" s="55">
        <f t="shared" si="36"/>
        <v>0</v>
      </c>
      <c r="AP78" s="55">
        <f t="shared" si="36"/>
        <v>0</v>
      </c>
      <c r="AQ78" s="55">
        <f t="shared" si="36"/>
        <v>0</v>
      </c>
      <c r="AR78" s="55">
        <f t="shared" si="36"/>
        <v>0</v>
      </c>
      <c r="AS78" s="55">
        <f t="shared" si="36"/>
        <v>0</v>
      </c>
      <c r="AT78" s="55">
        <f t="shared" si="36"/>
        <v>0</v>
      </c>
      <c r="AU78" s="55">
        <f t="shared" si="36"/>
        <v>0</v>
      </c>
      <c r="AV78" s="55">
        <f t="shared" si="36"/>
        <v>0</v>
      </c>
      <c r="AW78" s="55">
        <f t="shared" si="36"/>
        <v>0</v>
      </c>
      <c r="AX78" s="55">
        <f t="shared" si="36"/>
        <v>0</v>
      </c>
      <c r="AY78" s="55">
        <f t="shared" si="36"/>
        <v>0</v>
      </c>
      <c r="AZ78" s="55">
        <f t="shared" si="36"/>
        <v>0</v>
      </c>
      <c r="BA78" s="55">
        <f t="shared" si="36"/>
        <v>0</v>
      </c>
      <c r="BB78" s="55">
        <f t="shared" si="36"/>
        <v>0</v>
      </c>
    </row>
    <row r="79" spans="1:56" x14ac:dyDescent="0.3">
      <c r="A79" s="10" t="str">
        <f ca="1">Language!A$542</f>
        <v>остаточная балансовая стоимость</v>
      </c>
      <c r="C79" s="37" t="str">
        <f ca="1">CurName1</f>
        <v>руб.</v>
      </c>
      <c r="F79" s="6" t="s">
        <v>741</v>
      </c>
      <c r="G79" s="58">
        <f>G75-G78</f>
        <v>0</v>
      </c>
      <c r="H79" s="58">
        <f t="shared" ref="H79" si="37">H75-H78</f>
        <v>0</v>
      </c>
      <c r="I79" s="58">
        <f t="shared" ref="I79" si="38">I75-I78</f>
        <v>0</v>
      </c>
      <c r="J79" s="58">
        <f t="shared" ref="J79" si="39">J75-J78</f>
        <v>0</v>
      </c>
      <c r="K79" s="58">
        <f t="shared" ref="K79:L79" si="40">K75-K78</f>
        <v>0</v>
      </c>
      <c r="L79" s="58">
        <f t="shared" si="40"/>
        <v>0</v>
      </c>
      <c r="M79" s="58">
        <f t="shared" ref="M79:N79" si="41">M75-M78</f>
        <v>0</v>
      </c>
      <c r="N79" s="58">
        <f t="shared" si="41"/>
        <v>0</v>
      </c>
      <c r="O79" s="58">
        <f t="shared" ref="O79:P79" si="42">O75-O78</f>
        <v>0</v>
      </c>
      <c r="P79" s="58">
        <f t="shared" si="42"/>
        <v>0</v>
      </c>
      <c r="Q79" s="58">
        <f t="shared" ref="Q79:R79" si="43">Q75-Q78</f>
        <v>0</v>
      </c>
      <c r="R79" s="58">
        <f t="shared" si="43"/>
        <v>0</v>
      </c>
      <c r="S79" s="58">
        <f t="shared" ref="S79:T79" si="44">S75-S78</f>
        <v>0</v>
      </c>
      <c r="T79" s="58">
        <f t="shared" si="44"/>
        <v>0</v>
      </c>
      <c r="U79" s="58">
        <f t="shared" ref="U79:V79" si="45">U75-U78</f>
        <v>0</v>
      </c>
      <c r="V79" s="58">
        <f t="shared" si="45"/>
        <v>0</v>
      </c>
      <c r="W79" s="58">
        <f t="shared" ref="W79:X79" si="46">W75-W78</f>
        <v>0</v>
      </c>
      <c r="X79" s="58">
        <f t="shared" si="46"/>
        <v>0</v>
      </c>
      <c r="Y79" s="58">
        <f t="shared" ref="Y79:Z79" si="47">Y75-Y78</f>
        <v>0</v>
      </c>
      <c r="Z79" s="58">
        <f t="shared" si="47"/>
        <v>0</v>
      </c>
      <c r="AA79" s="58">
        <f t="shared" ref="AA79:AB79" si="48">AA75-AA78</f>
        <v>0</v>
      </c>
      <c r="AB79" s="58">
        <f t="shared" si="48"/>
        <v>0</v>
      </c>
      <c r="AC79" s="58">
        <f t="shared" ref="AC79:AD79" si="49">AC75-AC78</f>
        <v>0</v>
      </c>
      <c r="AD79" s="58">
        <f t="shared" si="49"/>
        <v>0</v>
      </c>
      <c r="AE79" s="58">
        <f t="shared" ref="AE79:AF79" si="50">AE75-AE78</f>
        <v>0</v>
      </c>
      <c r="AF79" s="58">
        <f t="shared" si="50"/>
        <v>0</v>
      </c>
      <c r="AG79" s="58">
        <f t="shared" ref="AG79:AH79" si="51">AG75-AG78</f>
        <v>0</v>
      </c>
      <c r="AH79" s="58">
        <f t="shared" si="51"/>
        <v>0</v>
      </c>
      <c r="AI79" s="58">
        <f t="shared" ref="AI79:AJ79" si="52">AI75-AI78</f>
        <v>0</v>
      </c>
      <c r="AJ79" s="58">
        <f t="shared" si="52"/>
        <v>0</v>
      </c>
      <c r="AK79" s="58">
        <f t="shared" ref="AK79:AL79" si="53">AK75-AK78</f>
        <v>0</v>
      </c>
      <c r="AL79" s="58">
        <f t="shared" si="53"/>
        <v>0</v>
      </c>
      <c r="AM79" s="58">
        <f t="shared" ref="AM79:AN79" si="54">AM75-AM78</f>
        <v>0</v>
      </c>
      <c r="AN79" s="58">
        <f t="shared" si="54"/>
        <v>0</v>
      </c>
      <c r="AO79" s="58">
        <f t="shared" ref="AO79:AP79" si="55">AO75-AO78</f>
        <v>0</v>
      </c>
      <c r="AP79" s="58">
        <f t="shared" si="55"/>
        <v>0</v>
      </c>
      <c r="AQ79" s="58">
        <f t="shared" ref="AQ79:AR79" si="56">AQ75-AQ78</f>
        <v>0</v>
      </c>
      <c r="AR79" s="58">
        <f t="shared" si="56"/>
        <v>0</v>
      </c>
      <c r="AS79" s="58">
        <f t="shared" ref="AS79:AT79" si="57">AS75-AS78</f>
        <v>0</v>
      </c>
      <c r="AT79" s="58">
        <f t="shared" si="57"/>
        <v>0</v>
      </c>
      <c r="AU79" s="58">
        <f t="shared" ref="AU79:AV79" si="58">AU75-AU78</f>
        <v>0</v>
      </c>
      <c r="AV79" s="58">
        <f t="shared" si="58"/>
        <v>0</v>
      </c>
      <c r="AW79" s="58">
        <f t="shared" ref="AW79:AX79" si="59">AW75-AW78</f>
        <v>0</v>
      </c>
      <c r="AX79" s="58">
        <f t="shared" si="59"/>
        <v>0</v>
      </c>
      <c r="AY79" s="58">
        <f t="shared" ref="AY79:AZ79" si="60">AY75-AY78</f>
        <v>0</v>
      </c>
      <c r="AZ79" s="58">
        <f t="shared" si="60"/>
        <v>0</v>
      </c>
      <c r="BA79" s="58">
        <f t="shared" ref="BA79:BB79" si="61">BA75-BA78</f>
        <v>0</v>
      </c>
      <c r="BB79" s="58">
        <f t="shared" si="61"/>
        <v>0</v>
      </c>
    </row>
    <row r="80" spans="1:56" x14ac:dyDescent="0.3">
      <c r="A80" s="10"/>
      <c r="G80" s="55"/>
      <c r="H80" s="55"/>
      <c r="I80" s="55"/>
      <c r="J80" s="55"/>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row>
    <row r="81" spans="1:56" x14ac:dyDescent="0.3">
      <c r="A81" s="43" t="str">
        <f ca="1">Language!A$543</f>
        <v>Нематериальные активы</v>
      </c>
      <c r="B81" s="59"/>
      <c r="C81" s="59"/>
      <c r="D81" s="46"/>
      <c r="E81" s="46"/>
      <c r="F81" s="46"/>
      <c r="G81" s="60"/>
      <c r="H81" s="60"/>
      <c r="I81" s="60"/>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row>
    <row r="82" spans="1:56" x14ac:dyDescent="0.3">
      <c r="A82" s="10" t="str">
        <f ca="1">Language!A$544</f>
        <v>первоначальная стоимость</v>
      </c>
      <c r="C82" s="37" t="str">
        <f ca="1">CurName1</f>
        <v>руб.</v>
      </c>
      <c r="F82" s="6" t="s">
        <v>741</v>
      </c>
      <c r="G82" s="55">
        <f>$B$20+G61</f>
        <v>0</v>
      </c>
      <c r="H82" s="55">
        <f t="shared" ref="H82:BB82" si="62">G82+H61</f>
        <v>0</v>
      </c>
      <c r="I82" s="55">
        <f t="shared" si="62"/>
        <v>0</v>
      </c>
      <c r="J82" s="55">
        <f t="shared" si="62"/>
        <v>0</v>
      </c>
      <c r="K82" s="55">
        <f t="shared" si="62"/>
        <v>0</v>
      </c>
      <c r="L82" s="55">
        <f t="shared" si="62"/>
        <v>0</v>
      </c>
      <c r="M82" s="55">
        <f t="shared" si="62"/>
        <v>0</v>
      </c>
      <c r="N82" s="55">
        <f t="shared" si="62"/>
        <v>0</v>
      </c>
      <c r="O82" s="55">
        <f t="shared" si="62"/>
        <v>0</v>
      </c>
      <c r="P82" s="55">
        <f t="shared" si="62"/>
        <v>0</v>
      </c>
      <c r="Q82" s="55">
        <f t="shared" si="62"/>
        <v>0</v>
      </c>
      <c r="R82" s="55">
        <f t="shared" si="62"/>
        <v>0</v>
      </c>
      <c r="S82" s="55">
        <f t="shared" si="62"/>
        <v>0</v>
      </c>
      <c r="T82" s="55">
        <f t="shared" si="62"/>
        <v>0</v>
      </c>
      <c r="U82" s="55">
        <f t="shared" si="62"/>
        <v>0</v>
      </c>
      <c r="V82" s="55">
        <f t="shared" si="62"/>
        <v>0</v>
      </c>
      <c r="W82" s="55">
        <f t="shared" si="62"/>
        <v>0</v>
      </c>
      <c r="X82" s="55">
        <f t="shared" si="62"/>
        <v>0</v>
      </c>
      <c r="Y82" s="55">
        <f t="shared" si="62"/>
        <v>0</v>
      </c>
      <c r="Z82" s="55">
        <f t="shared" si="62"/>
        <v>0</v>
      </c>
      <c r="AA82" s="55">
        <f t="shared" si="62"/>
        <v>0</v>
      </c>
      <c r="AB82" s="55">
        <f t="shared" si="62"/>
        <v>0</v>
      </c>
      <c r="AC82" s="55">
        <f t="shared" si="62"/>
        <v>0</v>
      </c>
      <c r="AD82" s="55">
        <f t="shared" si="62"/>
        <v>0</v>
      </c>
      <c r="AE82" s="55">
        <f t="shared" si="62"/>
        <v>0</v>
      </c>
      <c r="AF82" s="55">
        <f t="shared" si="62"/>
        <v>0</v>
      </c>
      <c r="AG82" s="55">
        <f t="shared" si="62"/>
        <v>0</v>
      </c>
      <c r="AH82" s="55">
        <f t="shared" si="62"/>
        <v>0</v>
      </c>
      <c r="AI82" s="55">
        <f t="shared" si="62"/>
        <v>0</v>
      </c>
      <c r="AJ82" s="55">
        <f t="shared" si="62"/>
        <v>0</v>
      </c>
      <c r="AK82" s="55">
        <f t="shared" si="62"/>
        <v>0</v>
      </c>
      <c r="AL82" s="55">
        <f t="shared" si="62"/>
        <v>0</v>
      </c>
      <c r="AM82" s="55">
        <f t="shared" si="62"/>
        <v>0</v>
      </c>
      <c r="AN82" s="55">
        <f t="shared" si="62"/>
        <v>0</v>
      </c>
      <c r="AO82" s="55">
        <f t="shared" si="62"/>
        <v>0</v>
      </c>
      <c r="AP82" s="55">
        <f t="shared" si="62"/>
        <v>0</v>
      </c>
      <c r="AQ82" s="55">
        <f t="shared" si="62"/>
        <v>0</v>
      </c>
      <c r="AR82" s="55">
        <f t="shared" si="62"/>
        <v>0</v>
      </c>
      <c r="AS82" s="55">
        <f t="shared" si="62"/>
        <v>0</v>
      </c>
      <c r="AT82" s="55">
        <f t="shared" si="62"/>
        <v>0</v>
      </c>
      <c r="AU82" s="55">
        <f t="shared" si="62"/>
        <v>0</v>
      </c>
      <c r="AV82" s="55">
        <f t="shared" si="62"/>
        <v>0</v>
      </c>
      <c r="AW82" s="55">
        <f t="shared" si="62"/>
        <v>0</v>
      </c>
      <c r="AX82" s="55">
        <f t="shared" si="62"/>
        <v>0</v>
      </c>
      <c r="AY82" s="55">
        <f t="shared" si="62"/>
        <v>0</v>
      </c>
      <c r="AZ82" s="55">
        <f t="shared" si="62"/>
        <v>0</v>
      </c>
      <c r="BA82" s="55">
        <f t="shared" si="62"/>
        <v>0</v>
      </c>
      <c r="BB82" s="55">
        <f t="shared" si="62"/>
        <v>0</v>
      </c>
    </row>
    <row r="83" spans="1:56" x14ac:dyDescent="0.3">
      <c r="A83" s="10" t="str">
        <f ca="1">Language!A$545</f>
        <v>срок амортизации</v>
      </c>
      <c r="B83" s="272">
        <v>10</v>
      </c>
      <c r="C83" s="61" t="str">
        <f ca="1">Language!A$48</f>
        <v>лет</v>
      </c>
      <c r="G83" s="55"/>
      <c r="H83" s="55"/>
      <c r="I83" s="55"/>
      <c r="J83" s="55"/>
      <c r="K83" s="55"/>
      <c r="L83" s="55"/>
      <c r="M83" s="55"/>
      <c r="N83" s="55"/>
      <c r="O83" s="55"/>
      <c r="P83" s="55"/>
      <c r="Q83" s="55"/>
      <c r="R83" s="55"/>
      <c r="S83" s="55"/>
      <c r="T83" s="55"/>
      <c r="U83" s="55"/>
      <c r="V83" s="55"/>
      <c r="W83" s="55"/>
      <c r="X83" s="55"/>
      <c r="Y83" s="55"/>
      <c r="Z83" s="55"/>
      <c r="AA83" s="55"/>
      <c r="AB83" s="55"/>
      <c r="AC83" s="55"/>
      <c r="AD83" s="55"/>
      <c r="AE83" s="55"/>
      <c r="AF83" s="55"/>
      <c r="AG83" s="55"/>
      <c r="AH83" s="55"/>
      <c r="AI83" s="55"/>
      <c r="AJ83" s="55"/>
      <c r="AK83" s="55"/>
      <c r="AL83" s="55"/>
      <c r="AM83" s="55"/>
      <c r="AN83" s="55"/>
      <c r="AO83" s="55"/>
      <c r="AP83" s="55"/>
      <c r="AQ83" s="55"/>
      <c r="AR83" s="55"/>
      <c r="AS83" s="55"/>
      <c r="AT83" s="55"/>
      <c r="AU83" s="55"/>
      <c r="AV83" s="55"/>
      <c r="AW83" s="55"/>
      <c r="AX83" s="55"/>
      <c r="AY83" s="55"/>
      <c r="AZ83" s="55"/>
      <c r="BA83" s="55"/>
      <c r="BB83" s="55"/>
    </row>
    <row r="84" spans="1:56" x14ac:dyDescent="0.3">
      <c r="A84" s="10" t="str">
        <f ca="1">Language!A$546</f>
        <v>амортизация</v>
      </c>
      <c r="C84" s="37" t="str">
        <f ca="1">CurName1</f>
        <v>руб.</v>
      </c>
      <c r="F84" s="6" t="s">
        <v>740</v>
      </c>
      <c r="G84" s="55">
        <f>IF($B83=0,0,MIN(G82/$B83/12*Параметры!G$31,IF(G$2=1,G82,F86+G82-F82)))</f>
        <v>0</v>
      </c>
      <c r="H84" s="55">
        <f>IF($B83=0,0,MIN(H82/$B83/12*Параметры!H$31,IF(H$2=1,H82,G86+H82-G82)))</f>
        <v>0</v>
      </c>
      <c r="I84" s="55">
        <f>IF($B83=0,0,MIN(I82/$B83/12*Параметры!I$31,IF(I$2=1,I82,H86+I82-H82)))</f>
        <v>0</v>
      </c>
      <c r="J84" s="55">
        <f>IF($B83=0,0,MIN(J82/$B83/12*Параметры!J$31,IF(J$2=1,J82,I86+J82-I82)))</f>
        <v>0</v>
      </c>
      <c r="K84" s="55">
        <f>IF($B83=0,0,MIN(K82/$B83/12*Параметры!K$31,IF(K$2=1,K82,J86+K82-J82)))</f>
        <v>0</v>
      </c>
      <c r="L84" s="55">
        <f>IF($B83=0,0,MIN(L82/$B83/12*Параметры!L$31,IF(L$2=1,L82,K86+L82-K82)))</f>
        <v>0</v>
      </c>
      <c r="M84" s="55">
        <f>IF($B83=0,0,MIN(M82/$B83/12*Параметры!M$31,IF(M$2=1,M82,L86+M82-L82)))</f>
        <v>0</v>
      </c>
      <c r="N84" s="55">
        <f>IF($B83=0,0,MIN(N82/$B83/12*Параметры!N$31,IF(N$2=1,N82,M86+N82-M82)))</f>
        <v>0</v>
      </c>
      <c r="O84" s="55">
        <f>IF($B83=0,0,MIN(O82/$B83/12*Параметры!O$31,IF(O$2=1,O82,N86+O82-N82)))</f>
        <v>0</v>
      </c>
      <c r="P84" s="55">
        <f>IF($B83=0,0,MIN(P82/$B83/12*Параметры!P$31,IF(P$2=1,P82,O86+P82-O82)))</f>
        <v>0</v>
      </c>
      <c r="Q84" s="55">
        <f>IF($B83=0,0,MIN(Q82/$B83/12*Параметры!Q$31,IF(Q$2=1,Q82,P86+Q82-P82)))</f>
        <v>0</v>
      </c>
      <c r="R84" s="55">
        <f>IF($B83=0,0,MIN(R82/$B83/12*Параметры!R$31,IF(R$2=1,R82,Q86+R82-Q82)))</f>
        <v>0</v>
      </c>
      <c r="S84" s="55">
        <f>IF($B83=0,0,MIN(S82/$B83/12*Параметры!S$31,IF(S$2=1,S82,R86+S82-R82)))</f>
        <v>0</v>
      </c>
      <c r="T84" s="55">
        <f>IF($B83=0,0,MIN(T82/$B83/12*Параметры!T$31,IF(T$2=1,T82,S86+T82-S82)))</f>
        <v>0</v>
      </c>
      <c r="U84" s="55">
        <f>IF($B83=0,0,MIN(U82/$B83/12*Параметры!U$31,IF(U$2=1,U82,T86+U82-T82)))</f>
        <v>0</v>
      </c>
      <c r="V84" s="55">
        <f>IF($B83=0,0,MIN(V82/$B83/12*Параметры!V$31,IF(V$2=1,V82,U86+V82-U82)))</f>
        <v>0</v>
      </c>
      <c r="W84" s="55">
        <f>IF($B83=0,0,MIN(W82/$B83/12*Параметры!W$31,IF(W$2=1,W82,V86+W82-V82)))</f>
        <v>0</v>
      </c>
      <c r="X84" s="55">
        <f>IF($B83=0,0,MIN(X82/$B83/12*Параметры!X$31,IF(X$2=1,X82,W86+X82-W82)))</f>
        <v>0</v>
      </c>
      <c r="Y84" s="55">
        <f>IF($B83=0,0,MIN(Y82/$B83/12*Параметры!Y$31,IF(Y$2=1,Y82,X86+Y82-X82)))</f>
        <v>0</v>
      </c>
      <c r="Z84" s="55">
        <f>IF($B83=0,0,MIN(Z82/$B83/12*Параметры!Z$31,IF(Z$2=1,Z82,Y86+Z82-Y82)))</f>
        <v>0</v>
      </c>
      <c r="AA84" s="55">
        <f>IF($B83=0,0,MIN(AA82/$B83/12*Параметры!AA$31,IF(AA$2=1,AA82,Z86+AA82-Z82)))</f>
        <v>0</v>
      </c>
      <c r="AB84" s="55">
        <f>IF($B83=0,0,MIN(AB82/$B83/12*Параметры!AB$31,IF(AB$2=1,AB82,AA86+AB82-AA82)))</f>
        <v>0</v>
      </c>
      <c r="AC84" s="55">
        <f>IF($B83=0,0,MIN(AC82/$B83/12*Параметры!AC$31,IF(AC$2=1,AC82,AB86+AC82-AB82)))</f>
        <v>0</v>
      </c>
      <c r="AD84" s="55">
        <f>IF($B83=0,0,MIN(AD82/$B83/12*Параметры!AD$31,IF(AD$2=1,AD82,AC86+AD82-AC82)))</f>
        <v>0</v>
      </c>
      <c r="AE84" s="55">
        <f>IF($B83=0,0,MIN(AE82/$B83/12*Параметры!AE$31,IF(AE$2=1,AE82,AD86+AE82-AD82)))</f>
        <v>0</v>
      </c>
      <c r="AF84" s="55">
        <f>IF($B83=0,0,MIN(AF82/$B83/12*Параметры!AF$31,IF(AF$2=1,AF82,AE86+AF82-AE82)))</f>
        <v>0</v>
      </c>
      <c r="AG84" s="55">
        <f>IF($B83=0,0,MIN(AG82/$B83/12*Параметры!AG$31,IF(AG$2=1,AG82,AF86+AG82-AF82)))</f>
        <v>0</v>
      </c>
      <c r="AH84" s="55">
        <f>IF($B83=0,0,MIN(AH82/$B83/12*Параметры!AH$31,IF(AH$2=1,AH82,AG86+AH82-AG82)))</f>
        <v>0</v>
      </c>
      <c r="AI84" s="55">
        <f>IF($B83=0,0,MIN(AI82/$B83/12*Параметры!AI$31,IF(AI$2=1,AI82,AH86+AI82-AH82)))</f>
        <v>0</v>
      </c>
      <c r="AJ84" s="55">
        <f>IF($B83=0,0,MIN(AJ82/$B83/12*Параметры!AJ$31,IF(AJ$2=1,AJ82,AI86+AJ82-AI82)))</f>
        <v>0</v>
      </c>
      <c r="AK84" s="55">
        <f>IF($B83=0,0,MIN(AK82/$B83/12*Параметры!AK$31,IF(AK$2=1,AK82,AJ86+AK82-AJ82)))</f>
        <v>0</v>
      </c>
      <c r="AL84" s="55">
        <f>IF($B83=0,0,MIN(AL82/$B83/12*Параметры!AL$31,IF(AL$2=1,AL82,AK86+AL82-AK82)))</f>
        <v>0</v>
      </c>
      <c r="AM84" s="55">
        <f>IF($B83=0,0,MIN(AM82/$B83/12*Параметры!AM$31,IF(AM$2=1,AM82,AL86+AM82-AL82)))</f>
        <v>0</v>
      </c>
      <c r="AN84" s="55">
        <f>IF($B83=0,0,MIN(AN82/$B83/12*Параметры!AN$31,IF(AN$2=1,AN82,AM86+AN82-AM82)))</f>
        <v>0</v>
      </c>
      <c r="AO84" s="55">
        <f>IF($B83=0,0,MIN(AO82/$B83/12*Параметры!AO$31,IF(AO$2=1,AO82,AN86+AO82-AN82)))</f>
        <v>0</v>
      </c>
      <c r="AP84" s="55">
        <f>IF($B83=0,0,MIN(AP82/$B83/12*Параметры!AP$31,IF(AP$2=1,AP82,AO86+AP82-AO82)))</f>
        <v>0</v>
      </c>
      <c r="AQ84" s="55">
        <f>IF($B83=0,0,MIN(AQ82/$B83/12*Параметры!AQ$31,IF(AQ$2=1,AQ82,AP86+AQ82-AP82)))</f>
        <v>0</v>
      </c>
      <c r="AR84" s="55">
        <f>IF($B83=0,0,MIN(AR82/$B83/12*Параметры!AR$31,IF(AR$2=1,AR82,AQ86+AR82-AQ82)))</f>
        <v>0</v>
      </c>
      <c r="AS84" s="55">
        <f>IF($B83=0,0,MIN(AS82/$B83/12*Параметры!AS$31,IF(AS$2=1,AS82,AR86+AS82-AR82)))</f>
        <v>0</v>
      </c>
      <c r="AT84" s="55">
        <f>IF($B83=0,0,MIN(AT82/$B83/12*Параметры!AT$31,IF(AT$2=1,AT82,AS86+AT82-AS82)))</f>
        <v>0</v>
      </c>
      <c r="AU84" s="55">
        <f>IF($B83=0,0,MIN(AU82/$B83/12*Параметры!AU$31,IF(AU$2=1,AU82,AT86+AU82-AT82)))</f>
        <v>0</v>
      </c>
      <c r="AV84" s="55">
        <f>IF($B83=0,0,MIN(AV82/$B83/12*Параметры!AV$31,IF(AV$2=1,AV82,AU86+AV82-AU82)))</f>
        <v>0</v>
      </c>
      <c r="AW84" s="55">
        <f>IF($B83=0,0,MIN(AW82/$B83/12*Параметры!AW$31,IF(AW$2=1,AW82,AV86+AW82-AV82)))</f>
        <v>0</v>
      </c>
      <c r="AX84" s="55">
        <f>IF($B83=0,0,MIN(AX82/$B83/12*Параметры!AX$31,IF(AX$2=1,AX82,AW86+AX82-AW82)))</f>
        <v>0</v>
      </c>
      <c r="AY84" s="55">
        <f>IF($B83=0,0,MIN(AY82/$B83/12*Параметры!AY$31,IF(AY$2=1,AY82,AX86+AY82-AX82)))</f>
        <v>0</v>
      </c>
      <c r="AZ84" s="55">
        <f>IF($B83=0,0,MIN(AZ82/$B83/12*Параметры!AZ$31,IF(AZ$2=1,AZ82,AY86+AZ82-AY82)))</f>
        <v>0</v>
      </c>
      <c r="BA84" s="55">
        <f>IF($B83=0,0,MIN(BA82/$B83/12*Параметры!BA$31,IF(BA$2=1,BA82,AZ86+BA82-AZ82)))</f>
        <v>0</v>
      </c>
      <c r="BB84" s="55">
        <f>IF($B83=0,0,MIN(BB82/$B83/12*Параметры!BB$31,IF(BB$2=1,BB82,BA86+BB82-BA82)))</f>
        <v>0</v>
      </c>
      <c r="BD84" s="57">
        <f>SUM(G84:BC84)</f>
        <v>0</v>
      </c>
    </row>
    <row r="85" spans="1:56" x14ac:dyDescent="0.3">
      <c r="A85" s="10" t="str">
        <f ca="1">Language!A$547</f>
        <v>накопленная амортизация</v>
      </c>
      <c r="C85" s="37" t="str">
        <f ca="1">CurName1</f>
        <v>руб.</v>
      </c>
      <c r="F85" s="6" t="s">
        <v>741</v>
      </c>
      <c r="G85" s="55">
        <f>G84</f>
        <v>0</v>
      </c>
      <c r="H85" s="55">
        <f>G85+H84</f>
        <v>0</v>
      </c>
      <c r="I85" s="55">
        <f t="shared" ref="I85" si="63">H85+I84</f>
        <v>0</v>
      </c>
      <c r="J85" s="55">
        <f t="shared" ref="J85" si="64">I85+J84</f>
        <v>0</v>
      </c>
      <c r="K85" s="55">
        <f t="shared" ref="K85:BB85" si="65">J85+K84</f>
        <v>0</v>
      </c>
      <c r="L85" s="55">
        <f t="shared" si="65"/>
        <v>0</v>
      </c>
      <c r="M85" s="55">
        <f t="shared" si="65"/>
        <v>0</v>
      </c>
      <c r="N85" s="55">
        <f t="shared" si="65"/>
        <v>0</v>
      </c>
      <c r="O85" s="55">
        <f t="shared" si="65"/>
        <v>0</v>
      </c>
      <c r="P85" s="55">
        <f t="shared" si="65"/>
        <v>0</v>
      </c>
      <c r="Q85" s="55">
        <f t="shared" si="65"/>
        <v>0</v>
      </c>
      <c r="R85" s="55">
        <f t="shared" si="65"/>
        <v>0</v>
      </c>
      <c r="S85" s="55">
        <f t="shared" si="65"/>
        <v>0</v>
      </c>
      <c r="T85" s="55">
        <f t="shared" si="65"/>
        <v>0</v>
      </c>
      <c r="U85" s="55">
        <f t="shared" si="65"/>
        <v>0</v>
      </c>
      <c r="V85" s="55">
        <f t="shared" si="65"/>
        <v>0</v>
      </c>
      <c r="W85" s="55">
        <f t="shared" si="65"/>
        <v>0</v>
      </c>
      <c r="X85" s="55">
        <f t="shared" si="65"/>
        <v>0</v>
      </c>
      <c r="Y85" s="55">
        <f t="shared" si="65"/>
        <v>0</v>
      </c>
      <c r="Z85" s="55">
        <f t="shared" si="65"/>
        <v>0</v>
      </c>
      <c r="AA85" s="55">
        <f t="shared" si="65"/>
        <v>0</v>
      </c>
      <c r="AB85" s="55">
        <f t="shared" si="65"/>
        <v>0</v>
      </c>
      <c r="AC85" s="55">
        <f t="shared" si="65"/>
        <v>0</v>
      </c>
      <c r="AD85" s="55">
        <f t="shared" si="65"/>
        <v>0</v>
      </c>
      <c r="AE85" s="55">
        <f t="shared" si="65"/>
        <v>0</v>
      </c>
      <c r="AF85" s="55">
        <f t="shared" si="65"/>
        <v>0</v>
      </c>
      <c r="AG85" s="55">
        <f t="shared" si="65"/>
        <v>0</v>
      </c>
      <c r="AH85" s="55">
        <f t="shared" si="65"/>
        <v>0</v>
      </c>
      <c r="AI85" s="55">
        <f t="shared" si="65"/>
        <v>0</v>
      </c>
      <c r="AJ85" s="55">
        <f t="shared" si="65"/>
        <v>0</v>
      </c>
      <c r="AK85" s="55">
        <f t="shared" si="65"/>
        <v>0</v>
      </c>
      <c r="AL85" s="55">
        <f t="shared" si="65"/>
        <v>0</v>
      </c>
      <c r="AM85" s="55">
        <f t="shared" si="65"/>
        <v>0</v>
      </c>
      <c r="AN85" s="55">
        <f t="shared" si="65"/>
        <v>0</v>
      </c>
      <c r="AO85" s="55">
        <f t="shared" si="65"/>
        <v>0</v>
      </c>
      <c r="AP85" s="55">
        <f t="shared" si="65"/>
        <v>0</v>
      </c>
      <c r="AQ85" s="55">
        <f t="shared" si="65"/>
        <v>0</v>
      </c>
      <c r="AR85" s="55">
        <f t="shared" si="65"/>
        <v>0</v>
      </c>
      <c r="AS85" s="55">
        <f t="shared" si="65"/>
        <v>0</v>
      </c>
      <c r="AT85" s="55">
        <f t="shared" si="65"/>
        <v>0</v>
      </c>
      <c r="AU85" s="55">
        <f t="shared" si="65"/>
        <v>0</v>
      </c>
      <c r="AV85" s="55">
        <f t="shared" si="65"/>
        <v>0</v>
      </c>
      <c r="AW85" s="55">
        <f t="shared" si="65"/>
        <v>0</v>
      </c>
      <c r="AX85" s="55">
        <f t="shared" si="65"/>
        <v>0</v>
      </c>
      <c r="AY85" s="55">
        <f t="shared" si="65"/>
        <v>0</v>
      </c>
      <c r="AZ85" s="55">
        <f t="shared" si="65"/>
        <v>0</v>
      </c>
      <c r="BA85" s="55">
        <f t="shared" si="65"/>
        <v>0</v>
      </c>
      <c r="BB85" s="55">
        <f t="shared" si="65"/>
        <v>0</v>
      </c>
    </row>
    <row r="86" spans="1:56" x14ac:dyDescent="0.3">
      <c r="A86" s="10" t="str">
        <f ca="1">Language!A$548</f>
        <v>остаточная балансовая стоимость</v>
      </c>
      <c r="C86" s="37" t="str">
        <f ca="1">CurName1</f>
        <v>руб.</v>
      </c>
      <c r="F86" s="6" t="s">
        <v>741</v>
      </c>
      <c r="G86" s="58">
        <f>G82-G85</f>
        <v>0</v>
      </c>
      <c r="H86" s="58">
        <f t="shared" ref="H86" si="66">H82-H85</f>
        <v>0</v>
      </c>
      <c r="I86" s="58">
        <f t="shared" ref="I86" si="67">I82-I85</f>
        <v>0</v>
      </c>
      <c r="J86" s="58">
        <f t="shared" ref="J86" si="68">J82-J85</f>
        <v>0</v>
      </c>
      <c r="K86" s="58">
        <f t="shared" ref="K86:L86" si="69">K82-K85</f>
        <v>0</v>
      </c>
      <c r="L86" s="58">
        <f t="shared" si="69"/>
        <v>0</v>
      </c>
      <c r="M86" s="58">
        <f t="shared" ref="M86:N86" si="70">M82-M85</f>
        <v>0</v>
      </c>
      <c r="N86" s="58">
        <f t="shared" si="70"/>
        <v>0</v>
      </c>
      <c r="O86" s="58">
        <f t="shared" ref="O86:P86" si="71">O82-O85</f>
        <v>0</v>
      </c>
      <c r="P86" s="58">
        <f t="shared" si="71"/>
        <v>0</v>
      </c>
      <c r="Q86" s="58">
        <f t="shared" ref="Q86:R86" si="72">Q82-Q85</f>
        <v>0</v>
      </c>
      <c r="R86" s="58">
        <f t="shared" si="72"/>
        <v>0</v>
      </c>
      <c r="S86" s="58">
        <f t="shared" ref="S86:T86" si="73">S82-S85</f>
        <v>0</v>
      </c>
      <c r="T86" s="58">
        <f t="shared" si="73"/>
        <v>0</v>
      </c>
      <c r="U86" s="58">
        <f t="shared" ref="U86:V86" si="74">U82-U85</f>
        <v>0</v>
      </c>
      <c r="V86" s="58">
        <f t="shared" si="74"/>
        <v>0</v>
      </c>
      <c r="W86" s="58">
        <f t="shared" ref="W86:X86" si="75">W82-W85</f>
        <v>0</v>
      </c>
      <c r="X86" s="58">
        <f t="shared" si="75"/>
        <v>0</v>
      </c>
      <c r="Y86" s="58">
        <f t="shared" ref="Y86:Z86" si="76">Y82-Y85</f>
        <v>0</v>
      </c>
      <c r="Z86" s="58">
        <f t="shared" si="76"/>
        <v>0</v>
      </c>
      <c r="AA86" s="58">
        <f t="shared" ref="AA86:AB86" si="77">AA82-AA85</f>
        <v>0</v>
      </c>
      <c r="AB86" s="58">
        <f t="shared" si="77"/>
        <v>0</v>
      </c>
      <c r="AC86" s="58">
        <f t="shared" ref="AC86:AD86" si="78">AC82-AC85</f>
        <v>0</v>
      </c>
      <c r="AD86" s="58">
        <f t="shared" si="78"/>
        <v>0</v>
      </c>
      <c r="AE86" s="58">
        <f t="shared" ref="AE86:AF86" si="79">AE82-AE85</f>
        <v>0</v>
      </c>
      <c r="AF86" s="58">
        <f t="shared" si="79"/>
        <v>0</v>
      </c>
      <c r="AG86" s="58">
        <f t="shared" ref="AG86:AH86" si="80">AG82-AG85</f>
        <v>0</v>
      </c>
      <c r="AH86" s="58">
        <f t="shared" si="80"/>
        <v>0</v>
      </c>
      <c r="AI86" s="58">
        <f t="shared" ref="AI86:AJ86" si="81">AI82-AI85</f>
        <v>0</v>
      </c>
      <c r="AJ86" s="58">
        <f t="shared" si="81"/>
        <v>0</v>
      </c>
      <c r="AK86" s="58">
        <f t="shared" ref="AK86:AL86" si="82">AK82-AK85</f>
        <v>0</v>
      </c>
      <c r="AL86" s="58">
        <f t="shared" si="82"/>
        <v>0</v>
      </c>
      <c r="AM86" s="58">
        <f t="shared" ref="AM86:AN86" si="83">AM82-AM85</f>
        <v>0</v>
      </c>
      <c r="AN86" s="58">
        <f t="shared" si="83"/>
        <v>0</v>
      </c>
      <c r="AO86" s="58">
        <f t="shared" ref="AO86:AP86" si="84">AO82-AO85</f>
        <v>0</v>
      </c>
      <c r="AP86" s="58">
        <f t="shared" si="84"/>
        <v>0</v>
      </c>
      <c r="AQ86" s="58">
        <f t="shared" ref="AQ86:AR86" si="85">AQ82-AQ85</f>
        <v>0</v>
      </c>
      <c r="AR86" s="58">
        <f t="shared" si="85"/>
        <v>0</v>
      </c>
      <c r="AS86" s="58">
        <f t="shared" ref="AS86:AT86" si="86">AS82-AS85</f>
        <v>0</v>
      </c>
      <c r="AT86" s="58">
        <f t="shared" si="86"/>
        <v>0</v>
      </c>
      <c r="AU86" s="58">
        <f t="shared" ref="AU86:AV86" si="87">AU82-AU85</f>
        <v>0</v>
      </c>
      <c r="AV86" s="58">
        <f t="shared" si="87"/>
        <v>0</v>
      </c>
      <c r="AW86" s="58">
        <f t="shared" ref="AW86:AX86" si="88">AW82-AW85</f>
        <v>0</v>
      </c>
      <c r="AX86" s="58">
        <f t="shared" si="88"/>
        <v>0</v>
      </c>
      <c r="AY86" s="58">
        <f t="shared" ref="AY86:AZ86" si="89">AY82-AY85</f>
        <v>0</v>
      </c>
      <c r="AZ86" s="58">
        <f t="shared" si="89"/>
        <v>0</v>
      </c>
      <c r="BA86" s="58">
        <f t="shared" ref="BA86:BB86" si="90">BA82-BA85</f>
        <v>0</v>
      </c>
      <c r="BB86" s="58">
        <f t="shared" si="90"/>
        <v>0</v>
      </c>
    </row>
    <row r="87" spans="1:56" x14ac:dyDescent="0.3">
      <c r="A87" s="10"/>
      <c r="E87" s="14" t="s">
        <v>942</v>
      </c>
      <c r="G87" s="55"/>
      <c r="H87" s="55"/>
      <c r="I87" s="55"/>
      <c r="J87" s="55"/>
      <c r="K87" s="55"/>
      <c r="L87" s="55"/>
      <c r="M87" s="55"/>
      <c r="N87" s="55"/>
      <c r="O87" s="55"/>
      <c r="P87" s="55"/>
      <c r="Q87" s="55"/>
      <c r="R87" s="55"/>
      <c r="S87" s="55"/>
      <c r="T87" s="55"/>
      <c r="U87" s="55"/>
      <c r="V87" s="55"/>
      <c r="W87" s="55"/>
      <c r="X87" s="55"/>
      <c r="Y87" s="55"/>
      <c r="Z87" s="55"/>
      <c r="AA87" s="55"/>
      <c r="AB87" s="55"/>
      <c r="AC87" s="55"/>
      <c r="AD87" s="55"/>
      <c r="AE87" s="55"/>
      <c r="AF87" s="55"/>
      <c r="AG87" s="55"/>
      <c r="AH87" s="55"/>
      <c r="AI87" s="55"/>
      <c r="AJ87" s="55"/>
      <c r="AK87" s="55"/>
      <c r="AL87" s="55"/>
      <c r="AM87" s="55"/>
      <c r="AN87" s="55"/>
      <c r="AO87" s="55"/>
      <c r="AP87" s="55"/>
      <c r="AQ87" s="55"/>
      <c r="AR87" s="55"/>
      <c r="AS87" s="55"/>
      <c r="AT87" s="55"/>
      <c r="AU87" s="55"/>
      <c r="AV87" s="55"/>
      <c r="AW87" s="55"/>
      <c r="AX87" s="55"/>
      <c r="AY87" s="55"/>
      <c r="AZ87" s="55"/>
      <c r="BA87" s="55"/>
      <c r="BB87" s="55"/>
    </row>
    <row r="88" spans="1:56" x14ac:dyDescent="0.3">
      <c r="A88" s="62"/>
      <c r="B88" s="62"/>
      <c r="C88" s="62"/>
      <c r="D88" s="63"/>
      <c r="E88" s="63"/>
      <c r="F88" s="63"/>
      <c r="G88" s="64"/>
      <c r="H88" s="64"/>
      <c r="I88" s="64"/>
      <c r="J88" s="64"/>
      <c r="K88" s="64"/>
      <c r="L88" s="64"/>
      <c r="M88" s="64"/>
      <c r="N88" s="64"/>
      <c r="O88" s="64"/>
      <c r="P88" s="64"/>
      <c r="Q88" s="64"/>
      <c r="R88" s="64"/>
      <c r="S88" s="64"/>
      <c r="T88" s="64"/>
      <c r="U88" s="64"/>
      <c r="V88" s="64"/>
      <c r="W88" s="64"/>
      <c r="X88" s="64"/>
      <c r="Y88" s="64"/>
      <c r="Z88" s="64"/>
      <c r="AA88" s="64"/>
      <c r="AB88" s="64"/>
      <c r="AC88" s="64"/>
      <c r="AD88" s="64"/>
      <c r="AE88" s="64"/>
      <c r="AF88" s="64"/>
      <c r="AG88" s="64"/>
      <c r="AH88" s="64"/>
      <c r="AI88" s="64"/>
      <c r="AJ88" s="64"/>
      <c r="AK88" s="64"/>
      <c r="AL88" s="64"/>
      <c r="AM88" s="64"/>
      <c r="AN88" s="64"/>
      <c r="AO88" s="64"/>
      <c r="AP88" s="64"/>
      <c r="AQ88" s="64"/>
      <c r="AR88" s="64"/>
      <c r="AS88" s="64"/>
      <c r="AT88" s="64"/>
      <c r="AU88" s="64"/>
      <c r="AV88" s="64"/>
      <c r="AW88" s="64"/>
      <c r="AX88" s="64"/>
      <c r="AY88" s="64"/>
      <c r="AZ88" s="64"/>
      <c r="BA88" s="64"/>
      <c r="BB88" s="64"/>
      <c r="BC88" s="62"/>
      <c r="BD88" s="62"/>
    </row>
    <row r="89" spans="1:56" x14ac:dyDescent="0.3">
      <c r="G89" s="55"/>
      <c r="H89" s="55"/>
      <c r="I89" s="55"/>
      <c r="J89" s="55"/>
      <c r="K89" s="55"/>
      <c r="L89" s="55"/>
      <c r="M89" s="55"/>
      <c r="N89" s="55"/>
      <c r="O89" s="55"/>
      <c r="P89" s="55"/>
      <c r="Q89" s="55"/>
      <c r="R89" s="55"/>
      <c r="S89" s="55"/>
      <c r="T89" s="55"/>
      <c r="U89" s="55"/>
      <c r="V89" s="55"/>
      <c r="W89" s="55"/>
      <c r="X89" s="55"/>
      <c r="Y89" s="55"/>
      <c r="Z89" s="55"/>
      <c r="AA89" s="55"/>
      <c r="AB89" s="55"/>
      <c r="AC89" s="55"/>
      <c r="AD89" s="55"/>
      <c r="AE89" s="55"/>
      <c r="AF89" s="55"/>
      <c r="AG89" s="55"/>
      <c r="AH89" s="55"/>
      <c r="AI89" s="55"/>
      <c r="AJ89" s="55"/>
      <c r="AK89" s="55"/>
      <c r="AL89" s="55"/>
      <c r="AM89" s="55"/>
      <c r="AN89" s="55"/>
      <c r="AO89" s="55"/>
      <c r="AP89" s="55"/>
      <c r="AQ89" s="55"/>
      <c r="AR89" s="55"/>
      <c r="AS89" s="55"/>
      <c r="AT89" s="55"/>
      <c r="AU89" s="55"/>
      <c r="AV89" s="55"/>
      <c r="AW89" s="55"/>
      <c r="AX89" s="55"/>
      <c r="AY89" s="55"/>
      <c r="AZ89" s="55"/>
      <c r="BA89" s="55"/>
      <c r="BB89" s="55"/>
    </row>
    <row r="90" spans="1:56" s="9" customFormat="1" ht="25.5" customHeight="1" thickBot="1" x14ac:dyDescent="0.35">
      <c r="A90" s="323" t="str">
        <f ca="1">Language!A$549</f>
        <v>СУЩЕСТВУЮЩИЕ ФИНАНСОВЫЕ ВЛОЖЕНИЯ</v>
      </c>
      <c r="B90" s="324"/>
      <c r="C90" s="325"/>
      <c r="D90" s="326"/>
      <c r="E90" s="326" t="s">
        <v>1280</v>
      </c>
      <c r="F90" s="326"/>
      <c r="G90" s="327" t="str">
        <f ca="1">Параметры!G$34</f>
        <v>янв.25</v>
      </c>
      <c r="H90" s="327" t="str">
        <f ca="1">Параметры!H$34</f>
        <v>фев.25</v>
      </c>
      <c r="I90" s="327" t="str">
        <f ca="1">Параметры!I$34</f>
        <v>мар.25</v>
      </c>
      <c r="J90" s="327" t="str">
        <f ca="1">Параметры!J$34</f>
        <v>апр.25</v>
      </c>
      <c r="K90" s="327" t="str">
        <f ca="1">Параметры!K$34</f>
        <v>май.25</v>
      </c>
      <c r="L90" s="327" t="str">
        <f ca="1">Параметры!L$34</f>
        <v>июн.25</v>
      </c>
      <c r="M90" s="328" t="str">
        <f ca="1">Параметры!M$34</f>
        <v>июл.25</v>
      </c>
      <c r="N90" s="328" t="str">
        <f ca="1">Параметры!N$34</f>
        <v>авг.25</v>
      </c>
      <c r="O90" s="328" t="str">
        <f ca="1">Параметры!O$34</f>
        <v>сен.25</v>
      </c>
      <c r="P90" s="328" t="str">
        <f ca="1">Параметры!P$34</f>
        <v>окт.25</v>
      </c>
      <c r="Q90" s="328" t="str">
        <f ca="1">Параметры!Q$34</f>
        <v>ноя.25</v>
      </c>
      <c r="R90" s="328" t="str">
        <f ca="1">Параметры!R$34</f>
        <v>дек.25</v>
      </c>
      <c r="S90" s="328" t="str">
        <f ca="1">Параметры!S$34</f>
        <v>янв.26</v>
      </c>
      <c r="T90" s="328" t="str">
        <f ca="1">Параметры!T$34</f>
        <v>фев.26</v>
      </c>
      <c r="U90" s="328" t="str">
        <f ca="1">Параметры!U$34</f>
        <v>мар.26</v>
      </c>
      <c r="V90" s="328" t="str">
        <f ca="1">Параметры!V$34</f>
        <v>апр.26</v>
      </c>
      <c r="W90" s="328" t="str">
        <f ca="1">Параметры!W$34</f>
        <v>май.26</v>
      </c>
      <c r="X90" s="328" t="str">
        <f ca="1">Параметры!X$34</f>
        <v>июн.26</v>
      </c>
      <c r="Y90" s="328" t="str">
        <f ca="1">Параметры!Y$34</f>
        <v>июл.26</v>
      </c>
      <c r="Z90" s="328" t="str">
        <f ca="1">Параметры!Z$34</f>
        <v>авг.26</v>
      </c>
      <c r="AA90" s="328" t="str">
        <f ca="1">Параметры!AA$34</f>
        <v>сен.26</v>
      </c>
      <c r="AB90" s="328" t="str">
        <f ca="1">Параметры!AB$34</f>
        <v>окт.26</v>
      </c>
      <c r="AC90" s="328" t="str">
        <f ca="1">Параметры!AC$34</f>
        <v>ноя.26</v>
      </c>
      <c r="AD90" s="328" t="str">
        <f ca="1">Параметры!AD$34</f>
        <v>дек.26</v>
      </c>
      <c r="AE90" s="328" t="str">
        <f ca="1">Параметры!AE$34</f>
        <v>янв.27</v>
      </c>
      <c r="AF90" s="328" t="str">
        <f ca="1">Параметры!AF$34</f>
        <v>фев.27</v>
      </c>
      <c r="AG90" s="328" t="str">
        <f ca="1">Параметры!AG$34</f>
        <v>мар.27</v>
      </c>
      <c r="AH90" s="328" t="str">
        <f ca="1">Параметры!AH$34</f>
        <v>апр.27</v>
      </c>
      <c r="AI90" s="328" t="str">
        <f ca="1">Параметры!AI$34</f>
        <v>май.27</v>
      </c>
      <c r="AJ90" s="328" t="str">
        <f ca="1">Параметры!AJ$34</f>
        <v>июн.27</v>
      </c>
      <c r="AK90" s="328" t="str">
        <f ca="1">Параметры!AK$34</f>
        <v>июл.27</v>
      </c>
      <c r="AL90" s="328" t="str">
        <f ca="1">Параметры!AL$34</f>
        <v>авг.27</v>
      </c>
      <c r="AM90" s="328" t="str">
        <f ca="1">Параметры!AM$34</f>
        <v>сен.27</v>
      </c>
      <c r="AN90" s="328" t="str">
        <f ca="1">Параметры!AN$34</f>
        <v>окт.27</v>
      </c>
      <c r="AO90" s="328" t="str">
        <f ca="1">Параметры!AO$34</f>
        <v>ноя.27</v>
      </c>
      <c r="AP90" s="328" t="str">
        <f ca="1">Параметры!AP$34</f>
        <v>дек.27</v>
      </c>
      <c r="AQ90" s="328" t="str">
        <f ca="1">Параметры!AQ$34</f>
        <v>янв.28</v>
      </c>
      <c r="AR90" s="328" t="str">
        <f ca="1">Параметры!AR$34</f>
        <v>фев.28</v>
      </c>
      <c r="AS90" s="328" t="str">
        <f ca="1">Параметры!AS$34</f>
        <v>мар.28</v>
      </c>
      <c r="AT90" s="328" t="str">
        <f ca="1">Параметры!AT$34</f>
        <v>апр.28</v>
      </c>
      <c r="AU90" s="328" t="str">
        <f ca="1">Параметры!AU$34</f>
        <v>май.28</v>
      </c>
      <c r="AV90" s="328" t="str">
        <f ca="1">Параметры!AV$34</f>
        <v>июн.28</v>
      </c>
      <c r="AW90" s="328" t="str">
        <f ca="1">Параметры!AW$34</f>
        <v>июл.28</v>
      </c>
      <c r="AX90" s="328" t="str">
        <f ca="1">Параметры!AX$34</f>
        <v>авг.28</v>
      </c>
      <c r="AY90" s="328" t="str">
        <f ca="1">Параметры!AY$34</f>
        <v>сен.28</v>
      </c>
      <c r="AZ90" s="328" t="str">
        <f ca="1">Параметры!AZ$34</f>
        <v>окт.28</v>
      </c>
      <c r="BA90" s="328" t="str">
        <f ca="1">Параметры!BA$34</f>
        <v>ноя.28</v>
      </c>
      <c r="BB90" s="328" t="str">
        <f ca="1">Параметры!BB$34</f>
        <v>дек.28</v>
      </c>
      <c r="BC90" s="328"/>
      <c r="BD90" s="329" t="str">
        <f ca="1">Language!$A$1473</f>
        <v>ИТОГО</v>
      </c>
    </row>
    <row r="91" spans="1:56" ht="14.4" thickTop="1" x14ac:dyDescent="0.3">
      <c r="A91" s="10"/>
      <c r="G91" s="55"/>
      <c r="H91" s="55"/>
      <c r="I91" s="55"/>
      <c r="J91" s="55"/>
      <c r="K91" s="55"/>
      <c r="L91" s="55"/>
      <c r="M91" s="55"/>
      <c r="N91" s="55"/>
      <c r="O91" s="55"/>
      <c r="P91" s="55"/>
      <c r="Q91" s="55"/>
      <c r="R91" s="55"/>
      <c r="S91" s="55"/>
      <c r="T91" s="55"/>
      <c r="U91" s="55"/>
      <c r="V91" s="55"/>
      <c r="W91" s="55"/>
      <c r="X91" s="55"/>
      <c r="Y91" s="55"/>
      <c r="Z91" s="55"/>
      <c r="AA91" s="55"/>
      <c r="AB91" s="55"/>
      <c r="AC91" s="55"/>
      <c r="AD91" s="55"/>
      <c r="AE91" s="55"/>
      <c r="AF91" s="55"/>
      <c r="AG91" s="55"/>
      <c r="AH91" s="55"/>
      <c r="AI91" s="55"/>
      <c r="AJ91" s="55"/>
      <c r="AK91" s="55"/>
      <c r="AL91" s="55"/>
      <c r="AM91" s="55"/>
      <c r="AN91" s="55"/>
      <c r="AO91" s="55"/>
      <c r="AP91" s="55"/>
      <c r="AQ91" s="55"/>
      <c r="AR91" s="55"/>
      <c r="AS91" s="55"/>
      <c r="AT91" s="55"/>
      <c r="AU91" s="55"/>
      <c r="AV91" s="55"/>
      <c r="AW91" s="55"/>
      <c r="AX91" s="55"/>
      <c r="AY91" s="55"/>
      <c r="AZ91" s="55"/>
      <c r="BA91" s="55"/>
      <c r="BB91" s="55"/>
    </row>
    <row r="92" spans="1:56" x14ac:dyDescent="0.3">
      <c r="A92" s="43" t="str">
        <f ca="1">Language!A$550</f>
        <v>Долгосрочные финансовые вложения</v>
      </c>
      <c r="B92" s="59"/>
      <c r="C92" s="59"/>
      <c r="D92" s="46"/>
      <c r="E92" s="46"/>
      <c r="F92" s="46"/>
      <c r="G92" s="60"/>
      <c r="H92" s="60"/>
      <c r="I92" s="60"/>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row>
    <row r="93" spans="1:56" x14ac:dyDescent="0.3">
      <c r="A93" s="10" t="str">
        <f ca="1">Language!A$551</f>
        <v>балансовая стоимость</v>
      </c>
      <c r="C93" s="37" t="str">
        <f ca="1">CurName1</f>
        <v>руб.</v>
      </c>
      <c r="F93" s="6" t="s">
        <v>741</v>
      </c>
      <c r="G93" s="58">
        <f>IF(G$2=1,$B$21,F93)-G94</f>
        <v>0</v>
      </c>
      <c r="H93" s="58">
        <f t="shared" ref="H93:BB93" si="91">IF(H$2=1,$B$21,G93)-H94</f>
        <v>0</v>
      </c>
      <c r="I93" s="58">
        <f t="shared" si="91"/>
        <v>0</v>
      </c>
      <c r="J93" s="58">
        <f t="shared" si="91"/>
        <v>0</v>
      </c>
      <c r="K93" s="58">
        <f t="shared" si="91"/>
        <v>0</v>
      </c>
      <c r="L93" s="58">
        <f t="shared" si="91"/>
        <v>0</v>
      </c>
      <c r="M93" s="58">
        <f t="shared" si="91"/>
        <v>0</v>
      </c>
      <c r="N93" s="58">
        <f t="shared" si="91"/>
        <v>0</v>
      </c>
      <c r="O93" s="58">
        <f t="shared" si="91"/>
        <v>0</v>
      </c>
      <c r="P93" s="58">
        <f t="shared" si="91"/>
        <v>0</v>
      </c>
      <c r="Q93" s="58">
        <f t="shared" si="91"/>
        <v>0</v>
      </c>
      <c r="R93" s="58">
        <f t="shared" si="91"/>
        <v>0</v>
      </c>
      <c r="S93" s="58">
        <f t="shared" si="91"/>
        <v>0</v>
      </c>
      <c r="T93" s="58">
        <f t="shared" si="91"/>
        <v>0</v>
      </c>
      <c r="U93" s="58">
        <f t="shared" si="91"/>
        <v>0</v>
      </c>
      <c r="V93" s="58">
        <f t="shared" si="91"/>
        <v>0</v>
      </c>
      <c r="W93" s="58">
        <f t="shared" si="91"/>
        <v>0</v>
      </c>
      <c r="X93" s="58">
        <f t="shared" si="91"/>
        <v>0</v>
      </c>
      <c r="Y93" s="58">
        <f t="shared" si="91"/>
        <v>0</v>
      </c>
      <c r="Z93" s="58">
        <f t="shared" si="91"/>
        <v>0</v>
      </c>
      <c r="AA93" s="58">
        <f t="shared" si="91"/>
        <v>0</v>
      </c>
      <c r="AB93" s="58">
        <f t="shared" si="91"/>
        <v>0</v>
      </c>
      <c r="AC93" s="58">
        <f t="shared" si="91"/>
        <v>0</v>
      </c>
      <c r="AD93" s="58">
        <f t="shared" si="91"/>
        <v>0</v>
      </c>
      <c r="AE93" s="58">
        <f t="shared" si="91"/>
        <v>0</v>
      </c>
      <c r="AF93" s="58">
        <f t="shared" si="91"/>
        <v>0</v>
      </c>
      <c r="AG93" s="58">
        <f t="shared" si="91"/>
        <v>0</v>
      </c>
      <c r="AH93" s="58">
        <f t="shared" si="91"/>
        <v>0</v>
      </c>
      <c r="AI93" s="58">
        <f t="shared" si="91"/>
        <v>0</v>
      </c>
      <c r="AJ93" s="58">
        <f t="shared" si="91"/>
        <v>0</v>
      </c>
      <c r="AK93" s="58">
        <f t="shared" si="91"/>
        <v>0</v>
      </c>
      <c r="AL93" s="58">
        <f t="shared" si="91"/>
        <v>0</v>
      </c>
      <c r="AM93" s="58">
        <f t="shared" si="91"/>
        <v>0</v>
      </c>
      <c r="AN93" s="58">
        <f t="shared" si="91"/>
        <v>0</v>
      </c>
      <c r="AO93" s="58">
        <f t="shared" si="91"/>
        <v>0</v>
      </c>
      <c r="AP93" s="58">
        <f t="shared" si="91"/>
        <v>0</v>
      </c>
      <c r="AQ93" s="58">
        <f t="shared" si="91"/>
        <v>0</v>
      </c>
      <c r="AR93" s="58">
        <f t="shared" si="91"/>
        <v>0</v>
      </c>
      <c r="AS93" s="58">
        <f t="shared" si="91"/>
        <v>0</v>
      </c>
      <c r="AT93" s="58">
        <f t="shared" si="91"/>
        <v>0</v>
      </c>
      <c r="AU93" s="58">
        <f t="shared" si="91"/>
        <v>0</v>
      </c>
      <c r="AV93" s="58">
        <f t="shared" si="91"/>
        <v>0</v>
      </c>
      <c r="AW93" s="58">
        <f t="shared" si="91"/>
        <v>0</v>
      </c>
      <c r="AX93" s="58">
        <f t="shared" si="91"/>
        <v>0</v>
      </c>
      <c r="AY93" s="58">
        <f t="shared" si="91"/>
        <v>0</v>
      </c>
      <c r="AZ93" s="58">
        <f t="shared" si="91"/>
        <v>0</v>
      </c>
      <c r="BA93" s="58">
        <f t="shared" si="91"/>
        <v>0</v>
      </c>
      <c r="BB93" s="58">
        <f t="shared" si="91"/>
        <v>0</v>
      </c>
    </row>
    <row r="94" spans="1:56" x14ac:dyDescent="0.3">
      <c r="A94" s="10" t="str">
        <f ca="1">Language!A$552</f>
        <v>возврат финансовых вложений</v>
      </c>
      <c r="C94" s="37" t="str">
        <f ca="1">CurName1</f>
        <v>руб.</v>
      </c>
      <c r="F94" s="6" t="s">
        <v>740</v>
      </c>
      <c r="G94" s="277">
        <v>0</v>
      </c>
      <c r="H94" s="277">
        <v>0</v>
      </c>
      <c r="I94" s="277">
        <v>0</v>
      </c>
      <c r="J94" s="277">
        <v>0</v>
      </c>
      <c r="K94" s="277">
        <v>0</v>
      </c>
      <c r="L94" s="277">
        <v>0</v>
      </c>
      <c r="M94" s="277">
        <v>0</v>
      </c>
      <c r="N94" s="277">
        <v>0</v>
      </c>
      <c r="O94" s="277">
        <v>0</v>
      </c>
      <c r="P94" s="277">
        <v>0</v>
      </c>
      <c r="Q94" s="277">
        <v>0</v>
      </c>
      <c r="R94" s="277">
        <v>0</v>
      </c>
      <c r="S94" s="277">
        <v>0</v>
      </c>
      <c r="T94" s="277">
        <v>0</v>
      </c>
      <c r="U94" s="277">
        <v>0</v>
      </c>
      <c r="V94" s="277">
        <v>0</v>
      </c>
      <c r="W94" s="277">
        <v>0</v>
      </c>
      <c r="X94" s="277">
        <v>0</v>
      </c>
      <c r="Y94" s="277">
        <v>0</v>
      </c>
      <c r="Z94" s="277">
        <v>0</v>
      </c>
      <c r="AA94" s="277">
        <v>0</v>
      </c>
      <c r="AB94" s="277">
        <v>0</v>
      </c>
      <c r="AC94" s="277">
        <v>0</v>
      </c>
      <c r="AD94" s="277">
        <v>0</v>
      </c>
      <c r="AE94" s="277">
        <v>0</v>
      </c>
      <c r="AF94" s="277">
        <v>0</v>
      </c>
      <c r="AG94" s="277">
        <v>0</v>
      </c>
      <c r="AH94" s="277">
        <v>0</v>
      </c>
      <c r="AI94" s="277">
        <v>0</v>
      </c>
      <c r="AJ94" s="277">
        <v>0</v>
      </c>
      <c r="AK94" s="277">
        <v>0</v>
      </c>
      <c r="AL94" s="277">
        <v>0</v>
      </c>
      <c r="AM94" s="277">
        <v>0</v>
      </c>
      <c r="AN94" s="277">
        <v>0</v>
      </c>
      <c r="AO94" s="277">
        <v>0</v>
      </c>
      <c r="AP94" s="277">
        <v>0</v>
      </c>
      <c r="AQ94" s="277">
        <v>0</v>
      </c>
      <c r="AR94" s="277">
        <v>0</v>
      </c>
      <c r="AS94" s="277">
        <v>0</v>
      </c>
      <c r="AT94" s="277">
        <v>0</v>
      </c>
      <c r="AU94" s="277">
        <v>0</v>
      </c>
      <c r="AV94" s="277">
        <v>0</v>
      </c>
      <c r="AW94" s="277">
        <v>0</v>
      </c>
      <c r="AX94" s="277">
        <v>0</v>
      </c>
      <c r="AY94" s="277">
        <v>0</v>
      </c>
      <c r="AZ94" s="277">
        <v>0</v>
      </c>
      <c r="BA94" s="277">
        <v>0</v>
      </c>
      <c r="BB94" s="277">
        <v>0</v>
      </c>
    </row>
    <row r="95" spans="1:56" x14ac:dyDescent="0.3">
      <c r="A95" s="10"/>
      <c r="C95" s="37"/>
      <c r="G95" s="55"/>
      <c r="H95" s="55"/>
      <c r="I95" s="55"/>
      <c r="J95" s="55"/>
      <c r="K95" s="55"/>
      <c r="L95" s="55"/>
      <c r="M95" s="55"/>
      <c r="N95" s="55"/>
      <c r="O95" s="55"/>
      <c r="P95" s="55"/>
      <c r="Q95" s="55"/>
      <c r="R95" s="55"/>
      <c r="S95" s="55"/>
      <c r="T95" s="55"/>
      <c r="U95" s="55"/>
      <c r="V95" s="55"/>
      <c r="W95" s="55"/>
      <c r="X95" s="55"/>
      <c r="Y95" s="55"/>
      <c r="Z95" s="55"/>
      <c r="AA95" s="55"/>
      <c r="AB95" s="55"/>
      <c r="AC95" s="55"/>
      <c r="AD95" s="55"/>
      <c r="AE95" s="55"/>
      <c r="AF95" s="55"/>
      <c r="AG95" s="55"/>
      <c r="AH95" s="55"/>
      <c r="AI95" s="55"/>
      <c r="AJ95" s="55"/>
      <c r="AK95" s="55"/>
      <c r="AL95" s="55"/>
      <c r="AM95" s="55"/>
      <c r="AN95" s="55"/>
      <c r="AO95" s="55"/>
      <c r="AP95" s="55"/>
      <c r="AQ95" s="55"/>
      <c r="AR95" s="55"/>
      <c r="AS95" s="55"/>
      <c r="AT95" s="55"/>
      <c r="AU95" s="55"/>
      <c r="AV95" s="55"/>
      <c r="AW95" s="55"/>
      <c r="AX95" s="55"/>
      <c r="AY95" s="55"/>
      <c r="AZ95" s="55"/>
      <c r="BA95" s="55"/>
      <c r="BB95" s="55"/>
    </row>
    <row r="96" spans="1:56" x14ac:dyDescent="0.3">
      <c r="A96" s="43" t="str">
        <f ca="1">Language!A$553</f>
        <v>Краткосрочные финансовые вложения</v>
      </c>
      <c r="B96" s="59"/>
      <c r="C96" s="59"/>
      <c r="D96" s="46"/>
      <c r="E96" s="46"/>
      <c r="F96" s="46"/>
      <c r="G96" s="60"/>
      <c r="H96" s="60"/>
      <c r="I96" s="60"/>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row>
    <row r="97" spans="1:56" x14ac:dyDescent="0.3">
      <c r="A97" s="10" t="str">
        <f ca="1">Language!A$554</f>
        <v>балансовая стоимость</v>
      </c>
      <c r="C97" s="37" t="str">
        <f ca="1">CurName1</f>
        <v>руб.</v>
      </c>
      <c r="F97" s="6" t="s">
        <v>741</v>
      </c>
      <c r="G97" s="58">
        <f>IF(G$2=1,$B$13,F97)-G98</f>
        <v>0</v>
      </c>
      <c r="H97" s="58">
        <f t="shared" ref="H97:BB97" si="92">IF(H$2=1,$B$13,G97)-H98</f>
        <v>0</v>
      </c>
      <c r="I97" s="58">
        <f t="shared" si="92"/>
        <v>0</v>
      </c>
      <c r="J97" s="58">
        <f t="shared" si="92"/>
        <v>0</v>
      </c>
      <c r="K97" s="58">
        <f t="shared" si="92"/>
        <v>0</v>
      </c>
      <c r="L97" s="58">
        <f t="shared" si="92"/>
        <v>0</v>
      </c>
      <c r="M97" s="58">
        <f t="shared" si="92"/>
        <v>0</v>
      </c>
      <c r="N97" s="58">
        <f t="shared" si="92"/>
        <v>0</v>
      </c>
      <c r="O97" s="58">
        <f t="shared" si="92"/>
        <v>0</v>
      </c>
      <c r="P97" s="58">
        <f t="shared" si="92"/>
        <v>0</v>
      </c>
      <c r="Q97" s="58">
        <f t="shared" si="92"/>
        <v>0</v>
      </c>
      <c r="R97" s="58">
        <f t="shared" si="92"/>
        <v>0</v>
      </c>
      <c r="S97" s="58">
        <f t="shared" si="92"/>
        <v>0</v>
      </c>
      <c r="T97" s="58">
        <f t="shared" si="92"/>
        <v>0</v>
      </c>
      <c r="U97" s="58">
        <f t="shared" si="92"/>
        <v>0</v>
      </c>
      <c r="V97" s="58">
        <f t="shared" si="92"/>
        <v>0</v>
      </c>
      <c r="W97" s="58">
        <f t="shared" si="92"/>
        <v>0</v>
      </c>
      <c r="X97" s="58">
        <f t="shared" si="92"/>
        <v>0</v>
      </c>
      <c r="Y97" s="58">
        <f t="shared" si="92"/>
        <v>0</v>
      </c>
      <c r="Z97" s="58">
        <f t="shared" si="92"/>
        <v>0</v>
      </c>
      <c r="AA97" s="58">
        <f t="shared" si="92"/>
        <v>0</v>
      </c>
      <c r="AB97" s="58">
        <f t="shared" si="92"/>
        <v>0</v>
      </c>
      <c r="AC97" s="58">
        <f t="shared" si="92"/>
        <v>0</v>
      </c>
      <c r="AD97" s="58">
        <f t="shared" si="92"/>
        <v>0</v>
      </c>
      <c r="AE97" s="58">
        <f t="shared" si="92"/>
        <v>0</v>
      </c>
      <c r="AF97" s="58">
        <f t="shared" si="92"/>
        <v>0</v>
      </c>
      <c r="AG97" s="58">
        <f t="shared" si="92"/>
        <v>0</v>
      </c>
      <c r="AH97" s="58">
        <f t="shared" si="92"/>
        <v>0</v>
      </c>
      <c r="AI97" s="58">
        <f t="shared" si="92"/>
        <v>0</v>
      </c>
      <c r="AJ97" s="58">
        <f t="shared" si="92"/>
        <v>0</v>
      </c>
      <c r="AK97" s="58">
        <f t="shared" si="92"/>
        <v>0</v>
      </c>
      <c r="AL97" s="58">
        <f t="shared" si="92"/>
        <v>0</v>
      </c>
      <c r="AM97" s="58">
        <f t="shared" si="92"/>
        <v>0</v>
      </c>
      <c r="AN97" s="58">
        <f t="shared" si="92"/>
        <v>0</v>
      </c>
      <c r="AO97" s="58">
        <f t="shared" si="92"/>
        <v>0</v>
      </c>
      <c r="AP97" s="58">
        <f t="shared" si="92"/>
        <v>0</v>
      </c>
      <c r="AQ97" s="58">
        <f t="shared" si="92"/>
        <v>0</v>
      </c>
      <c r="AR97" s="58">
        <f t="shared" si="92"/>
        <v>0</v>
      </c>
      <c r="AS97" s="58">
        <f t="shared" si="92"/>
        <v>0</v>
      </c>
      <c r="AT97" s="58">
        <f t="shared" si="92"/>
        <v>0</v>
      </c>
      <c r="AU97" s="58">
        <f t="shared" si="92"/>
        <v>0</v>
      </c>
      <c r="AV97" s="58">
        <f t="shared" si="92"/>
        <v>0</v>
      </c>
      <c r="AW97" s="58">
        <f t="shared" si="92"/>
        <v>0</v>
      </c>
      <c r="AX97" s="58">
        <f t="shared" si="92"/>
        <v>0</v>
      </c>
      <c r="AY97" s="58">
        <f t="shared" si="92"/>
        <v>0</v>
      </c>
      <c r="AZ97" s="58">
        <f t="shared" si="92"/>
        <v>0</v>
      </c>
      <c r="BA97" s="58">
        <f t="shared" si="92"/>
        <v>0</v>
      </c>
      <c r="BB97" s="58">
        <f t="shared" si="92"/>
        <v>0</v>
      </c>
    </row>
    <row r="98" spans="1:56" x14ac:dyDescent="0.3">
      <c r="A98" s="10" t="str">
        <f ca="1">Language!A$555</f>
        <v>возврат финансовых вложений</v>
      </c>
      <c r="C98" s="37" t="str">
        <f ca="1">CurName1</f>
        <v>руб.</v>
      </c>
      <c r="F98" s="6" t="s">
        <v>740</v>
      </c>
      <c r="G98" s="277">
        <v>0</v>
      </c>
      <c r="H98" s="277">
        <v>0</v>
      </c>
      <c r="I98" s="277">
        <v>0</v>
      </c>
      <c r="J98" s="277">
        <v>0</v>
      </c>
      <c r="K98" s="277">
        <v>0</v>
      </c>
      <c r="L98" s="277">
        <v>0</v>
      </c>
      <c r="M98" s="277">
        <v>0</v>
      </c>
      <c r="N98" s="277">
        <v>0</v>
      </c>
      <c r="O98" s="277">
        <v>0</v>
      </c>
      <c r="P98" s="277">
        <v>0</v>
      </c>
      <c r="Q98" s="277">
        <v>0</v>
      </c>
      <c r="R98" s="277">
        <v>0</v>
      </c>
      <c r="S98" s="277">
        <v>0</v>
      </c>
      <c r="T98" s="277">
        <v>0</v>
      </c>
      <c r="U98" s="277">
        <v>0</v>
      </c>
      <c r="V98" s="277">
        <v>0</v>
      </c>
      <c r="W98" s="277">
        <v>0</v>
      </c>
      <c r="X98" s="277">
        <v>0</v>
      </c>
      <c r="Y98" s="277">
        <v>0</v>
      </c>
      <c r="Z98" s="277">
        <v>0</v>
      </c>
      <c r="AA98" s="277">
        <v>0</v>
      </c>
      <c r="AB98" s="277">
        <v>0</v>
      </c>
      <c r="AC98" s="277">
        <v>0</v>
      </c>
      <c r="AD98" s="277">
        <v>0</v>
      </c>
      <c r="AE98" s="277">
        <v>0</v>
      </c>
      <c r="AF98" s="277">
        <v>0</v>
      </c>
      <c r="AG98" s="277">
        <v>0</v>
      </c>
      <c r="AH98" s="277">
        <v>0</v>
      </c>
      <c r="AI98" s="277">
        <v>0</v>
      </c>
      <c r="AJ98" s="277">
        <v>0</v>
      </c>
      <c r="AK98" s="277">
        <v>0</v>
      </c>
      <c r="AL98" s="277">
        <v>0</v>
      </c>
      <c r="AM98" s="277">
        <v>0</v>
      </c>
      <c r="AN98" s="277">
        <v>0</v>
      </c>
      <c r="AO98" s="277">
        <v>0</v>
      </c>
      <c r="AP98" s="277">
        <v>0</v>
      </c>
      <c r="AQ98" s="277">
        <v>0</v>
      </c>
      <c r="AR98" s="277">
        <v>0</v>
      </c>
      <c r="AS98" s="277">
        <v>0</v>
      </c>
      <c r="AT98" s="277">
        <v>0</v>
      </c>
      <c r="AU98" s="277">
        <v>0</v>
      </c>
      <c r="AV98" s="277">
        <v>0</v>
      </c>
      <c r="AW98" s="277">
        <v>0</v>
      </c>
      <c r="AX98" s="277">
        <v>0</v>
      </c>
      <c r="AY98" s="277">
        <v>0</v>
      </c>
      <c r="AZ98" s="277">
        <v>0</v>
      </c>
      <c r="BA98" s="277">
        <v>0</v>
      </c>
      <c r="BB98" s="277">
        <v>0</v>
      </c>
    </row>
    <row r="99" spans="1:56" x14ac:dyDescent="0.3">
      <c r="A99" s="12"/>
      <c r="B99" s="13"/>
      <c r="C99" s="13"/>
      <c r="D99" s="14"/>
      <c r="E99" s="14" t="s">
        <v>1281</v>
      </c>
      <c r="F99" s="14"/>
      <c r="G99" s="13"/>
      <c r="H99" s="13"/>
      <c r="I99" s="13"/>
      <c r="J99" s="13"/>
      <c r="K99" s="13"/>
      <c r="L99" s="13"/>
      <c r="M99" s="13"/>
      <c r="N99" s="13"/>
      <c r="O99" s="13"/>
      <c r="P99" s="13"/>
      <c r="Q99" s="13"/>
      <c r="R99" s="13"/>
      <c r="S99" s="13"/>
      <c r="T99" s="13"/>
      <c r="U99" s="13"/>
      <c r="V99" s="13"/>
      <c r="W99" s="13"/>
      <c r="X99" s="13"/>
      <c r="Y99" s="13"/>
      <c r="Z99" s="13"/>
      <c r="AA99" s="13"/>
      <c r="AB99" s="13"/>
      <c r="AC99" s="13"/>
      <c r="AD99" s="13"/>
      <c r="AE99" s="13"/>
      <c r="AF99" s="13"/>
      <c r="AG99" s="13"/>
      <c r="AH99" s="13"/>
      <c r="AI99" s="13"/>
      <c r="AJ99" s="13"/>
      <c r="AK99" s="13"/>
      <c r="AL99" s="13"/>
      <c r="AM99" s="13"/>
      <c r="AN99" s="13"/>
      <c r="AO99" s="13"/>
      <c r="AP99" s="13"/>
      <c r="AQ99" s="13"/>
      <c r="AR99" s="13"/>
      <c r="AS99" s="13"/>
      <c r="AT99" s="13"/>
      <c r="AU99" s="13"/>
      <c r="AV99" s="13"/>
      <c r="AW99" s="13"/>
      <c r="AX99" s="13"/>
      <c r="AY99" s="13"/>
      <c r="AZ99" s="13"/>
      <c r="BA99" s="13"/>
      <c r="BB99" s="13"/>
      <c r="BC99" s="13"/>
      <c r="BD99" s="65"/>
    </row>
    <row r="102" spans="1:56" s="9" customFormat="1" ht="25.5" customHeight="1" thickBot="1" x14ac:dyDescent="0.35">
      <c r="A102" s="323" t="str">
        <f ca="1">Language!A$556</f>
        <v>СУЩЕСТВУЮЩИЕ КРЕДИТЫ</v>
      </c>
      <c r="B102" s="324"/>
      <c r="C102" s="325"/>
      <c r="D102" s="326"/>
      <c r="E102" s="326" t="s">
        <v>927</v>
      </c>
      <c r="F102" s="326"/>
      <c r="G102" s="327" t="str">
        <f ca="1">Параметры!G$34</f>
        <v>янв.25</v>
      </c>
      <c r="H102" s="327" t="str">
        <f ca="1">Параметры!H$34</f>
        <v>фев.25</v>
      </c>
      <c r="I102" s="327" t="str">
        <f ca="1">Параметры!I$34</f>
        <v>мар.25</v>
      </c>
      <c r="J102" s="327" t="str">
        <f ca="1">Параметры!J$34</f>
        <v>апр.25</v>
      </c>
      <c r="K102" s="327" t="str">
        <f ca="1">Параметры!K$34</f>
        <v>май.25</v>
      </c>
      <c r="L102" s="327" t="str">
        <f ca="1">Параметры!L$34</f>
        <v>июн.25</v>
      </c>
      <c r="M102" s="328" t="str">
        <f ca="1">Параметры!M$34</f>
        <v>июл.25</v>
      </c>
      <c r="N102" s="328" t="str">
        <f ca="1">Параметры!N$34</f>
        <v>авг.25</v>
      </c>
      <c r="O102" s="328" t="str">
        <f ca="1">Параметры!O$34</f>
        <v>сен.25</v>
      </c>
      <c r="P102" s="328" t="str">
        <f ca="1">Параметры!P$34</f>
        <v>окт.25</v>
      </c>
      <c r="Q102" s="328" t="str">
        <f ca="1">Параметры!Q$34</f>
        <v>ноя.25</v>
      </c>
      <c r="R102" s="328" t="str">
        <f ca="1">Параметры!R$34</f>
        <v>дек.25</v>
      </c>
      <c r="S102" s="328" t="str">
        <f ca="1">Параметры!S$34</f>
        <v>янв.26</v>
      </c>
      <c r="T102" s="328" t="str">
        <f ca="1">Параметры!T$34</f>
        <v>фев.26</v>
      </c>
      <c r="U102" s="328" t="str">
        <f ca="1">Параметры!U$34</f>
        <v>мар.26</v>
      </c>
      <c r="V102" s="328" t="str">
        <f ca="1">Параметры!V$34</f>
        <v>апр.26</v>
      </c>
      <c r="W102" s="328" t="str">
        <f ca="1">Параметры!W$34</f>
        <v>май.26</v>
      </c>
      <c r="X102" s="328" t="str">
        <f ca="1">Параметры!X$34</f>
        <v>июн.26</v>
      </c>
      <c r="Y102" s="328" t="str">
        <f ca="1">Параметры!Y$34</f>
        <v>июл.26</v>
      </c>
      <c r="Z102" s="328" t="str">
        <f ca="1">Параметры!Z$34</f>
        <v>авг.26</v>
      </c>
      <c r="AA102" s="328" t="str">
        <f ca="1">Параметры!AA$34</f>
        <v>сен.26</v>
      </c>
      <c r="AB102" s="328" t="str">
        <f ca="1">Параметры!AB$34</f>
        <v>окт.26</v>
      </c>
      <c r="AC102" s="328" t="str">
        <f ca="1">Параметры!AC$34</f>
        <v>ноя.26</v>
      </c>
      <c r="AD102" s="328" t="str">
        <f ca="1">Параметры!AD$34</f>
        <v>дек.26</v>
      </c>
      <c r="AE102" s="328" t="str">
        <f ca="1">Параметры!AE$34</f>
        <v>янв.27</v>
      </c>
      <c r="AF102" s="328" t="str">
        <f ca="1">Параметры!AF$34</f>
        <v>фев.27</v>
      </c>
      <c r="AG102" s="328" t="str">
        <f ca="1">Параметры!AG$34</f>
        <v>мар.27</v>
      </c>
      <c r="AH102" s="328" t="str">
        <f ca="1">Параметры!AH$34</f>
        <v>апр.27</v>
      </c>
      <c r="AI102" s="328" t="str">
        <f ca="1">Параметры!AI$34</f>
        <v>май.27</v>
      </c>
      <c r="AJ102" s="328" t="str">
        <f ca="1">Параметры!AJ$34</f>
        <v>июн.27</v>
      </c>
      <c r="AK102" s="328" t="str">
        <f ca="1">Параметры!AK$34</f>
        <v>июл.27</v>
      </c>
      <c r="AL102" s="328" t="str">
        <f ca="1">Параметры!AL$34</f>
        <v>авг.27</v>
      </c>
      <c r="AM102" s="328" t="str">
        <f ca="1">Параметры!AM$34</f>
        <v>сен.27</v>
      </c>
      <c r="AN102" s="328" t="str">
        <f ca="1">Параметры!AN$34</f>
        <v>окт.27</v>
      </c>
      <c r="AO102" s="328" t="str">
        <f ca="1">Параметры!AO$34</f>
        <v>ноя.27</v>
      </c>
      <c r="AP102" s="328" t="str">
        <f ca="1">Параметры!AP$34</f>
        <v>дек.27</v>
      </c>
      <c r="AQ102" s="328" t="str">
        <f ca="1">Параметры!AQ$34</f>
        <v>янв.28</v>
      </c>
      <c r="AR102" s="328" t="str">
        <f ca="1">Параметры!AR$34</f>
        <v>фев.28</v>
      </c>
      <c r="AS102" s="328" t="str">
        <f ca="1">Параметры!AS$34</f>
        <v>мар.28</v>
      </c>
      <c r="AT102" s="328" t="str">
        <f ca="1">Параметры!AT$34</f>
        <v>апр.28</v>
      </c>
      <c r="AU102" s="328" t="str">
        <f ca="1">Параметры!AU$34</f>
        <v>май.28</v>
      </c>
      <c r="AV102" s="328" t="str">
        <f ca="1">Параметры!AV$34</f>
        <v>июн.28</v>
      </c>
      <c r="AW102" s="328" t="str">
        <f ca="1">Параметры!AW$34</f>
        <v>июл.28</v>
      </c>
      <c r="AX102" s="328" t="str">
        <f ca="1">Параметры!AX$34</f>
        <v>авг.28</v>
      </c>
      <c r="AY102" s="328" t="str">
        <f ca="1">Параметры!AY$34</f>
        <v>сен.28</v>
      </c>
      <c r="AZ102" s="328" t="str">
        <f ca="1">Параметры!AZ$34</f>
        <v>окт.28</v>
      </c>
      <c r="BA102" s="328" t="str">
        <f ca="1">Параметры!BA$34</f>
        <v>ноя.28</v>
      </c>
      <c r="BB102" s="328" t="str">
        <f ca="1">Параметры!BB$34</f>
        <v>дек.28</v>
      </c>
      <c r="BC102" s="328"/>
      <c r="BD102" s="329" t="str">
        <f ca="1">Language!$A$1473</f>
        <v>ИТОГО</v>
      </c>
    </row>
    <row r="103" spans="1:56" ht="14.4" hidden="1" thickTop="1" x14ac:dyDescent="0.3">
      <c r="A103" s="22"/>
      <c r="E103" s="6" t="s">
        <v>642</v>
      </c>
      <c r="F103" s="6" t="s">
        <v>643</v>
      </c>
      <c r="BD103" s="41"/>
    </row>
    <row r="104" spans="1:56" ht="14.4" hidden="1" thickTop="1" x14ac:dyDescent="0.3">
      <c r="A104" s="278" t="str">
        <f ca="1">Language!A$557</f>
        <v>Шаблон долгосрочного кредита</v>
      </c>
      <c r="B104" s="66"/>
      <c r="C104" s="61" t="str">
        <f t="shared" ref="C104" ca="1" si="93">CHOOSE(D104,CurName1,CurName2,CurName3)</f>
        <v>руб.</v>
      </c>
      <c r="D104" s="11">
        <v>1</v>
      </c>
      <c r="F104" s="6" t="s">
        <v>1255</v>
      </c>
      <c r="BD104" s="41"/>
    </row>
    <row r="105" spans="1:56" ht="14.4" hidden="1" thickTop="1" x14ac:dyDescent="0.3">
      <c r="A105" s="35" t="str">
        <f ca="1">Language!A$558</f>
        <v>задолженность по кредиту на начало планирования</v>
      </c>
      <c r="B105" s="279">
        <v>0</v>
      </c>
      <c r="C105" s="61" t="str">
        <f ca="1">CHOOSE(D105,CurName1,CurName2,CurName3)</f>
        <v>руб.</v>
      </c>
      <c r="D105" s="11">
        <f>D104</f>
        <v>1</v>
      </c>
      <c r="E105" s="6" t="s">
        <v>944</v>
      </c>
      <c r="F105" s="6" t="s">
        <v>753</v>
      </c>
      <c r="G105" s="47">
        <f>IF(G$2=1, $B105, F108)</f>
        <v>0</v>
      </c>
      <c r="H105" s="47">
        <f t="shared" ref="H105:BB105" si="94">IF(H$2=1, $B105, G108)</f>
        <v>0</v>
      </c>
      <c r="I105" s="47">
        <f t="shared" si="94"/>
        <v>0</v>
      </c>
      <c r="J105" s="47">
        <f t="shared" si="94"/>
        <v>0</v>
      </c>
      <c r="K105" s="47">
        <f t="shared" si="94"/>
        <v>0</v>
      </c>
      <c r="L105" s="47">
        <f t="shared" si="94"/>
        <v>0</v>
      </c>
      <c r="M105" s="47">
        <f t="shared" si="94"/>
        <v>0</v>
      </c>
      <c r="N105" s="47">
        <f t="shared" si="94"/>
        <v>0</v>
      </c>
      <c r="O105" s="47">
        <f t="shared" si="94"/>
        <v>0</v>
      </c>
      <c r="P105" s="47">
        <f t="shared" si="94"/>
        <v>0</v>
      </c>
      <c r="Q105" s="47">
        <f t="shared" si="94"/>
        <v>0</v>
      </c>
      <c r="R105" s="47">
        <f t="shared" si="94"/>
        <v>0</v>
      </c>
      <c r="S105" s="47">
        <f t="shared" si="94"/>
        <v>0</v>
      </c>
      <c r="T105" s="47">
        <f t="shared" si="94"/>
        <v>0</v>
      </c>
      <c r="U105" s="47">
        <f t="shared" si="94"/>
        <v>0</v>
      </c>
      <c r="V105" s="47">
        <f t="shared" si="94"/>
        <v>0</v>
      </c>
      <c r="W105" s="47">
        <f t="shared" si="94"/>
        <v>0</v>
      </c>
      <c r="X105" s="47">
        <f t="shared" si="94"/>
        <v>0</v>
      </c>
      <c r="Y105" s="47">
        <f t="shared" si="94"/>
        <v>0</v>
      </c>
      <c r="Z105" s="47">
        <f t="shared" si="94"/>
        <v>0</v>
      </c>
      <c r="AA105" s="47">
        <f t="shared" si="94"/>
        <v>0</v>
      </c>
      <c r="AB105" s="47">
        <f t="shared" si="94"/>
        <v>0</v>
      </c>
      <c r="AC105" s="47">
        <f t="shared" si="94"/>
        <v>0</v>
      </c>
      <c r="AD105" s="47">
        <f t="shared" si="94"/>
        <v>0</v>
      </c>
      <c r="AE105" s="47">
        <f t="shared" si="94"/>
        <v>0</v>
      </c>
      <c r="AF105" s="47">
        <f t="shared" si="94"/>
        <v>0</v>
      </c>
      <c r="AG105" s="47">
        <f t="shared" si="94"/>
        <v>0</v>
      </c>
      <c r="AH105" s="47">
        <f t="shared" si="94"/>
        <v>0</v>
      </c>
      <c r="AI105" s="47">
        <f t="shared" si="94"/>
        <v>0</v>
      </c>
      <c r="AJ105" s="47">
        <f t="shared" si="94"/>
        <v>0</v>
      </c>
      <c r="AK105" s="47">
        <f t="shared" si="94"/>
        <v>0</v>
      </c>
      <c r="AL105" s="47">
        <f t="shared" si="94"/>
        <v>0</v>
      </c>
      <c r="AM105" s="47">
        <f t="shared" si="94"/>
        <v>0</v>
      </c>
      <c r="AN105" s="47">
        <f t="shared" si="94"/>
        <v>0</v>
      </c>
      <c r="AO105" s="47">
        <f t="shared" si="94"/>
        <v>0</v>
      </c>
      <c r="AP105" s="47">
        <f t="shared" si="94"/>
        <v>0</v>
      </c>
      <c r="AQ105" s="47">
        <f t="shared" si="94"/>
        <v>0</v>
      </c>
      <c r="AR105" s="47">
        <f t="shared" si="94"/>
        <v>0</v>
      </c>
      <c r="AS105" s="47">
        <f t="shared" si="94"/>
        <v>0</v>
      </c>
      <c r="AT105" s="47">
        <f t="shared" si="94"/>
        <v>0</v>
      </c>
      <c r="AU105" s="47">
        <f t="shared" si="94"/>
        <v>0</v>
      </c>
      <c r="AV105" s="47">
        <f t="shared" si="94"/>
        <v>0</v>
      </c>
      <c r="AW105" s="47">
        <f t="shared" si="94"/>
        <v>0</v>
      </c>
      <c r="AX105" s="47">
        <f t="shared" si="94"/>
        <v>0</v>
      </c>
      <c r="AY105" s="47">
        <f t="shared" si="94"/>
        <v>0</v>
      </c>
      <c r="AZ105" s="47">
        <f t="shared" si="94"/>
        <v>0</v>
      </c>
      <c r="BA105" s="47">
        <f t="shared" si="94"/>
        <v>0</v>
      </c>
      <c r="BB105" s="47">
        <f t="shared" si="94"/>
        <v>0</v>
      </c>
      <c r="BC105" s="47"/>
      <c r="BD105" s="57"/>
    </row>
    <row r="106" spans="1:56" ht="14.4" hidden="1" thickTop="1" x14ac:dyDescent="0.3">
      <c r="A106" s="35" t="str">
        <f ca="1">Language!A$559</f>
        <v>ставка процентов по кредиту</v>
      </c>
      <c r="B106" s="280">
        <v>0.1</v>
      </c>
      <c r="C106" s="61" t="str">
        <f ca="1">Language!$A$480</f>
        <v>% в год</v>
      </c>
      <c r="D106" s="11"/>
      <c r="F106" s="6" t="s">
        <v>749</v>
      </c>
      <c r="G106" s="281">
        <f>B106</f>
        <v>0.1</v>
      </c>
      <c r="H106" s="281">
        <f t="shared" ref="H106:BB106" si="95">G106</f>
        <v>0.1</v>
      </c>
      <c r="I106" s="281">
        <f t="shared" si="95"/>
        <v>0.1</v>
      </c>
      <c r="J106" s="281">
        <f t="shared" si="95"/>
        <v>0.1</v>
      </c>
      <c r="K106" s="281">
        <f t="shared" si="95"/>
        <v>0.1</v>
      </c>
      <c r="L106" s="281">
        <f t="shared" si="95"/>
        <v>0.1</v>
      </c>
      <c r="M106" s="281">
        <f t="shared" si="95"/>
        <v>0.1</v>
      </c>
      <c r="N106" s="281">
        <f t="shared" si="95"/>
        <v>0.1</v>
      </c>
      <c r="O106" s="281">
        <f t="shared" si="95"/>
        <v>0.1</v>
      </c>
      <c r="P106" s="281">
        <f t="shared" si="95"/>
        <v>0.1</v>
      </c>
      <c r="Q106" s="281">
        <f t="shared" si="95"/>
        <v>0.1</v>
      </c>
      <c r="R106" s="281">
        <f t="shared" si="95"/>
        <v>0.1</v>
      </c>
      <c r="S106" s="281">
        <f t="shared" si="95"/>
        <v>0.1</v>
      </c>
      <c r="T106" s="281">
        <f t="shared" si="95"/>
        <v>0.1</v>
      </c>
      <c r="U106" s="281">
        <f t="shared" si="95"/>
        <v>0.1</v>
      </c>
      <c r="V106" s="281">
        <f t="shared" si="95"/>
        <v>0.1</v>
      </c>
      <c r="W106" s="281">
        <f t="shared" si="95"/>
        <v>0.1</v>
      </c>
      <c r="X106" s="281">
        <f t="shared" si="95"/>
        <v>0.1</v>
      </c>
      <c r="Y106" s="281">
        <f t="shared" si="95"/>
        <v>0.1</v>
      </c>
      <c r="Z106" s="281">
        <f t="shared" si="95"/>
        <v>0.1</v>
      </c>
      <c r="AA106" s="281">
        <f t="shared" si="95"/>
        <v>0.1</v>
      </c>
      <c r="AB106" s="281">
        <f t="shared" si="95"/>
        <v>0.1</v>
      </c>
      <c r="AC106" s="281">
        <f t="shared" si="95"/>
        <v>0.1</v>
      </c>
      <c r="AD106" s="281">
        <f t="shared" si="95"/>
        <v>0.1</v>
      </c>
      <c r="AE106" s="281">
        <f t="shared" si="95"/>
        <v>0.1</v>
      </c>
      <c r="AF106" s="281">
        <f t="shared" si="95"/>
        <v>0.1</v>
      </c>
      <c r="AG106" s="281">
        <f t="shared" si="95"/>
        <v>0.1</v>
      </c>
      <c r="AH106" s="281">
        <f t="shared" si="95"/>
        <v>0.1</v>
      </c>
      <c r="AI106" s="281">
        <f t="shared" si="95"/>
        <v>0.1</v>
      </c>
      <c r="AJ106" s="281">
        <f t="shared" si="95"/>
        <v>0.1</v>
      </c>
      <c r="AK106" s="281">
        <f t="shared" si="95"/>
        <v>0.1</v>
      </c>
      <c r="AL106" s="281">
        <f t="shared" si="95"/>
        <v>0.1</v>
      </c>
      <c r="AM106" s="281">
        <f t="shared" si="95"/>
        <v>0.1</v>
      </c>
      <c r="AN106" s="281">
        <f t="shared" si="95"/>
        <v>0.1</v>
      </c>
      <c r="AO106" s="281">
        <f t="shared" si="95"/>
        <v>0.1</v>
      </c>
      <c r="AP106" s="281">
        <f t="shared" si="95"/>
        <v>0.1</v>
      </c>
      <c r="AQ106" s="281">
        <f t="shared" si="95"/>
        <v>0.1</v>
      </c>
      <c r="AR106" s="281">
        <f t="shared" si="95"/>
        <v>0.1</v>
      </c>
      <c r="AS106" s="281">
        <f t="shared" si="95"/>
        <v>0.1</v>
      </c>
      <c r="AT106" s="281">
        <f t="shared" si="95"/>
        <v>0.1</v>
      </c>
      <c r="AU106" s="281">
        <f t="shared" si="95"/>
        <v>0.1</v>
      </c>
      <c r="AV106" s="281">
        <f t="shared" si="95"/>
        <v>0.1</v>
      </c>
      <c r="AW106" s="281">
        <f t="shared" si="95"/>
        <v>0.1</v>
      </c>
      <c r="AX106" s="281">
        <f t="shared" si="95"/>
        <v>0.1</v>
      </c>
      <c r="AY106" s="281">
        <f t="shared" si="95"/>
        <v>0.1</v>
      </c>
      <c r="AZ106" s="281">
        <f t="shared" si="95"/>
        <v>0.1</v>
      </c>
      <c r="BA106" s="281">
        <f t="shared" si="95"/>
        <v>0.1</v>
      </c>
      <c r="BB106" s="281">
        <f t="shared" si="95"/>
        <v>0.1</v>
      </c>
      <c r="BC106" s="67"/>
      <c r="BD106" s="41"/>
    </row>
    <row r="107" spans="1:56" ht="14.4" hidden="1" thickTop="1" x14ac:dyDescent="0.3">
      <c r="A107" s="35" t="str">
        <f ca="1">Language!A$560</f>
        <v>погашение кредита</v>
      </c>
      <c r="C107" s="61" t="str">
        <f t="shared" ref="C107:C110" ca="1" si="96">CHOOSE(D107,CurName1,CurName2,CurName3)</f>
        <v>руб.</v>
      </c>
      <c r="D107" s="11">
        <f>D104</f>
        <v>1</v>
      </c>
      <c r="E107" s="6" t="s">
        <v>1038</v>
      </c>
      <c r="F107" s="6" t="s">
        <v>742</v>
      </c>
      <c r="G107" s="276">
        <v>0</v>
      </c>
      <c r="H107" s="276">
        <v>0</v>
      </c>
      <c r="I107" s="276">
        <v>0</v>
      </c>
      <c r="J107" s="276">
        <v>0</v>
      </c>
      <c r="K107" s="276">
        <v>0</v>
      </c>
      <c r="L107" s="276">
        <v>0</v>
      </c>
      <c r="M107" s="276">
        <v>0</v>
      </c>
      <c r="N107" s="276">
        <v>0</v>
      </c>
      <c r="O107" s="276">
        <v>0</v>
      </c>
      <c r="P107" s="276">
        <v>0</v>
      </c>
      <c r="Q107" s="276">
        <v>0</v>
      </c>
      <c r="R107" s="276">
        <v>0</v>
      </c>
      <c r="S107" s="276">
        <v>0</v>
      </c>
      <c r="T107" s="276">
        <v>0</v>
      </c>
      <c r="U107" s="276">
        <v>0</v>
      </c>
      <c r="V107" s="276">
        <v>0</v>
      </c>
      <c r="W107" s="276">
        <v>0</v>
      </c>
      <c r="X107" s="276">
        <v>0</v>
      </c>
      <c r="Y107" s="276">
        <v>0</v>
      </c>
      <c r="Z107" s="276">
        <v>0</v>
      </c>
      <c r="AA107" s="276">
        <v>0</v>
      </c>
      <c r="AB107" s="276">
        <v>0</v>
      </c>
      <c r="AC107" s="276">
        <v>0</v>
      </c>
      <c r="AD107" s="276">
        <v>0</v>
      </c>
      <c r="AE107" s="276">
        <v>0</v>
      </c>
      <c r="AF107" s="276">
        <v>0</v>
      </c>
      <c r="AG107" s="276">
        <v>0</v>
      </c>
      <c r="AH107" s="276">
        <v>0</v>
      </c>
      <c r="AI107" s="276">
        <v>0</v>
      </c>
      <c r="AJ107" s="276">
        <v>0</v>
      </c>
      <c r="AK107" s="276">
        <v>0</v>
      </c>
      <c r="AL107" s="276">
        <v>0</v>
      </c>
      <c r="AM107" s="276">
        <v>0</v>
      </c>
      <c r="AN107" s="276">
        <v>0</v>
      </c>
      <c r="AO107" s="276">
        <v>0</v>
      </c>
      <c r="AP107" s="276">
        <v>0</v>
      </c>
      <c r="AQ107" s="276">
        <v>0</v>
      </c>
      <c r="AR107" s="276">
        <v>0</v>
      </c>
      <c r="AS107" s="276">
        <v>0</v>
      </c>
      <c r="AT107" s="276">
        <v>0</v>
      </c>
      <c r="AU107" s="276">
        <v>0</v>
      </c>
      <c r="AV107" s="276">
        <v>0</v>
      </c>
      <c r="AW107" s="276">
        <v>0</v>
      </c>
      <c r="AX107" s="276">
        <v>0</v>
      </c>
      <c r="AY107" s="276">
        <v>0</v>
      </c>
      <c r="AZ107" s="276">
        <v>0</v>
      </c>
      <c r="BA107" s="276">
        <v>0</v>
      </c>
      <c r="BB107" s="276">
        <v>0</v>
      </c>
      <c r="BC107" s="47"/>
      <c r="BD107" s="57">
        <f>SUM(G107:BC107)</f>
        <v>0</v>
      </c>
    </row>
    <row r="108" spans="1:56" ht="14.4" hidden="1" thickTop="1" x14ac:dyDescent="0.3">
      <c r="A108" s="24" t="str">
        <f ca="1">Language!A$561</f>
        <v>задолженность по кредиту</v>
      </c>
      <c r="B108" s="61"/>
      <c r="C108" s="61" t="str">
        <f t="shared" ca="1" si="96"/>
        <v>руб.</v>
      </c>
      <c r="D108" s="11">
        <f>D104</f>
        <v>1</v>
      </c>
      <c r="E108" s="6" t="s">
        <v>1039</v>
      </c>
      <c r="F108" s="6" t="s">
        <v>775</v>
      </c>
      <c r="G108" s="68">
        <f>$B105+SUM($G109:G109)-SUM($G110:G110)-SUM($G107:G107)</f>
        <v>0</v>
      </c>
      <c r="H108" s="68">
        <f>$B105+SUM($G109:H109)-SUM($G110:H110)-SUM($G107:H107)</f>
        <v>0</v>
      </c>
      <c r="I108" s="68">
        <f>$B105+SUM($G109:I109)-SUM($G110:I110)-SUM($G107:I107)</f>
        <v>0</v>
      </c>
      <c r="J108" s="68">
        <f>$B105+SUM($G109:J109)-SUM($G110:J110)-SUM($G107:J107)</f>
        <v>0</v>
      </c>
      <c r="K108" s="68">
        <f>$B105+SUM($G109:K109)-SUM($G110:K110)-SUM($G107:K107)</f>
        <v>0</v>
      </c>
      <c r="L108" s="68">
        <f>$B105+SUM($G109:L109)-SUM($G110:L110)-SUM($G107:L107)</f>
        <v>0</v>
      </c>
      <c r="M108" s="68">
        <f>$B105+SUM($G109:M109)-SUM($G110:M110)-SUM($G107:M107)</f>
        <v>0</v>
      </c>
      <c r="N108" s="68">
        <f>$B105+SUM($G109:N109)-SUM($G110:N110)-SUM($G107:N107)</f>
        <v>0</v>
      </c>
      <c r="O108" s="68">
        <f>$B105+SUM($G109:O109)-SUM($G110:O110)-SUM($G107:O107)</f>
        <v>0</v>
      </c>
      <c r="P108" s="68">
        <f>$B105+SUM($G109:P109)-SUM($G110:P110)-SUM($G107:P107)</f>
        <v>0</v>
      </c>
      <c r="Q108" s="68">
        <f>$B105+SUM($G109:Q109)-SUM($G110:Q110)-SUM($G107:Q107)</f>
        <v>0</v>
      </c>
      <c r="R108" s="68">
        <f>$B105+SUM($G109:R109)-SUM($G110:R110)-SUM($G107:R107)</f>
        <v>0</v>
      </c>
      <c r="S108" s="68">
        <f>$B105+SUM($G109:S109)-SUM($G110:S110)-SUM($G107:S107)</f>
        <v>0</v>
      </c>
      <c r="T108" s="68">
        <f>$B105+SUM($G109:T109)-SUM($G110:T110)-SUM($G107:T107)</f>
        <v>0</v>
      </c>
      <c r="U108" s="68">
        <f>$B105+SUM($G109:U109)-SUM($G110:U110)-SUM($G107:U107)</f>
        <v>0</v>
      </c>
      <c r="V108" s="68">
        <f>$B105+SUM($G109:V109)-SUM($G110:V110)-SUM($G107:V107)</f>
        <v>0</v>
      </c>
      <c r="W108" s="68">
        <f>$B105+SUM($G109:W109)-SUM($G110:W110)-SUM($G107:W107)</f>
        <v>0</v>
      </c>
      <c r="X108" s="68">
        <f>$B105+SUM($G109:X109)-SUM($G110:X110)-SUM($G107:X107)</f>
        <v>0</v>
      </c>
      <c r="Y108" s="68">
        <f>$B105+SUM($G109:Y109)-SUM($G110:Y110)-SUM($G107:Y107)</f>
        <v>0</v>
      </c>
      <c r="Z108" s="68">
        <f>$B105+SUM($G109:Z109)-SUM($G110:Z110)-SUM($G107:Z107)</f>
        <v>0</v>
      </c>
      <c r="AA108" s="68">
        <f>$B105+SUM($G109:AA109)-SUM($G110:AA110)-SUM($G107:AA107)</f>
        <v>0</v>
      </c>
      <c r="AB108" s="68">
        <f>$B105+SUM($G109:AB109)-SUM($G110:AB110)-SUM($G107:AB107)</f>
        <v>0</v>
      </c>
      <c r="AC108" s="68">
        <f>$B105+SUM($G109:AC109)-SUM($G110:AC110)-SUM($G107:AC107)</f>
        <v>0</v>
      </c>
      <c r="AD108" s="68">
        <f>$B105+SUM($G109:AD109)-SUM($G110:AD110)-SUM($G107:AD107)</f>
        <v>0</v>
      </c>
      <c r="AE108" s="68">
        <f>$B105+SUM($G109:AE109)-SUM($G110:AE110)-SUM($G107:AE107)</f>
        <v>0</v>
      </c>
      <c r="AF108" s="68">
        <f>$B105+SUM($G109:AF109)-SUM($G110:AF110)-SUM($G107:AF107)</f>
        <v>0</v>
      </c>
      <c r="AG108" s="68">
        <f>$B105+SUM($G109:AG109)-SUM($G110:AG110)-SUM($G107:AG107)</f>
        <v>0</v>
      </c>
      <c r="AH108" s="68">
        <f>$B105+SUM($G109:AH109)-SUM($G110:AH110)-SUM($G107:AH107)</f>
        <v>0</v>
      </c>
      <c r="AI108" s="68">
        <f>$B105+SUM($G109:AI109)-SUM($G110:AI110)-SUM($G107:AI107)</f>
        <v>0</v>
      </c>
      <c r="AJ108" s="68">
        <f>$B105+SUM($G109:AJ109)-SUM($G110:AJ110)-SUM($G107:AJ107)</f>
        <v>0</v>
      </c>
      <c r="AK108" s="68">
        <f>$B105+SUM($G109:AK109)-SUM($G110:AK110)-SUM($G107:AK107)</f>
        <v>0</v>
      </c>
      <c r="AL108" s="68">
        <f>$B105+SUM($G109:AL109)-SUM($G110:AL110)-SUM($G107:AL107)</f>
        <v>0</v>
      </c>
      <c r="AM108" s="68">
        <f>$B105+SUM($G109:AM109)-SUM($G110:AM110)-SUM($G107:AM107)</f>
        <v>0</v>
      </c>
      <c r="AN108" s="68">
        <f>$B105+SUM($G109:AN109)-SUM($G110:AN110)-SUM($G107:AN107)</f>
        <v>0</v>
      </c>
      <c r="AO108" s="68">
        <f>$B105+SUM($G109:AO109)-SUM($G110:AO110)-SUM($G107:AO107)</f>
        <v>0</v>
      </c>
      <c r="AP108" s="68">
        <f>$B105+SUM($G109:AP109)-SUM($G110:AP110)-SUM($G107:AP107)</f>
        <v>0</v>
      </c>
      <c r="AQ108" s="68">
        <f>$B105+SUM($G109:AQ109)-SUM($G110:AQ110)-SUM($G107:AQ107)</f>
        <v>0</v>
      </c>
      <c r="AR108" s="68">
        <f>$B105+SUM($G109:AR109)-SUM($G110:AR110)-SUM($G107:AR107)</f>
        <v>0</v>
      </c>
      <c r="AS108" s="68">
        <f>$B105+SUM($G109:AS109)-SUM($G110:AS110)-SUM($G107:AS107)</f>
        <v>0</v>
      </c>
      <c r="AT108" s="68">
        <f>$B105+SUM($G109:AT109)-SUM($G110:AT110)-SUM($G107:AT107)</f>
        <v>0</v>
      </c>
      <c r="AU108" s="68">
        <f>$B105+SUM($G109:AU109)-SUM($G110:AU110)-SUM($G107:AU107)</f>
        <v>0</v>
      </c>
      <c r="AV108" s="68">
        <f>$B105+SUM($G109:AV109)-SUM($G110:AV110)-SUM($G107:AV107)</f>
        <v>0</v>
      </c>
      <c r="AW108" s="68">
        <f>$B105+SUM($G109:AW109)-SUM($G110:AW110)-SUM($G107:AW107)</f>
        <v>0</v>
      </c>
      <c r="AX108" s="68">
        <f>$B105+SUM($G109:AX109)-SUM($G110:AX110)-SUM($G107:AX107)</f>
        <v>0</v>
      </c>
      <c r="AY108" s="68">
        <f>$B105+SUM($G109:AY109)-SUM($G110:AY110)-SUM($G107:AY107)</f>
        <v>0</v>
      </c>
      <c r="AZ108" s="68">
        <f>$B105+SUM($G109:AZ109)-SUM($G110:AZ110)-SUM($G107:AZ107)</f>
        <v>0</v>
      </c>
      <c r="BA108" s="68">
        <f>$B105+SUM($G109:BA109)-SUM($G110:BA110)-SUM($G107:BA107)</f>
        <v>0</v>
      </c>
      <c r="BB108" s="68">
        <f>$B105+SUM($G109:BB109)-SUM($G110:BB110)-SUM($G107:BB107)</f>
        <v>0</v>
      </c>
      <c r="BC108" s="68"/>
      <c r="BD108" s="69"/>
    </row>
    <row r="109" spans="1:56" ht="14.4" hidden="1" thickTop="1" x14ac:dyDescent="0.3">
      <c r="A109" s="24" t="str">
        <f ca="1">Language!A$562</f>
        <v>начисленные проценты</v>
      </c>
      <c r="B109" s="70"/>
      <c r="C109" s="61" t="str">
        <f t="shared" ca="1" si="96"/>
        <v>руб.</v>
      </c>
      <c r="D109" s="11">
        <f>D104</f>
        <v>1</v>
      </c>
      <c r="E109" s="6" t="s">
        <v>1453</v>
      </c>
      <c r="F109" s="6" t="s">
        <v>742</v>
      </c>
      <c r="G109" s="68">
        <f>($B105 - SUM($G107:G107) + SUM($F109:F109) - SUM($F110:F110)) * G106/12*Параметры!G$31</f>
        <v>0</v>
      </c>
      <c r="H109" s="68">
        <f>($B105 - SUM($G107:H107) + SUM($F109:G109) - SUM($F110:G110)) * H106/12*Параметры!H$31</f>
        <v>0</v>
      </c>
      <c r="I109" s="68">
        <f>($B105 - SUM($G107:I107) + SUM($F109:H109) - SUM($F110:H110)) * I106/12*Параметры!I$31</f>
        <v>0</v>
      </c>
      <c r="J109" s="68">
        <f>($B105 - SUM($G107:J107) + SUM($F109:I109) - SUM($F110:I110)) * J106/12*Параметры!J$31</f>
        <v>0</v>
      </c>
      <c r="K109" s="68">
        <f>($B105 - SUM($G107:K107) + SUM($F109:J109) - SUM($F110:J110)) * K106/12*Параметры!K$31</f>
        <v>0</v>
      </c>
      <c r="L109" s="68">
        <f>($B105 - SUM($G107:L107) + SUM($F109:K109) - SUM($F110:K110)) * L106/12*Параметры!L$31</f>
        <v>0</v>
      </c>
      <c r="M109" s="68">
        <f>($B105 - SUM($G107:M107) + SUM($F109:L109) - SUM($F110:L110)) * M106/12*Параметры!M$31</f>
        <v>0</v>
      </c>
      <c r="N109" s="68">
        <f>($B105 - SUM($G107:N107) + SUM($F109:M109) - SUM($F110:M110)) * N106/12*Параметры!N$31</f>
        <v>0</v>
      </c>
      <c r="O109" s="68">
        <f>($B105 - SUM($G107:O107) + SUM($F109:N109) - SUM($F110:N110)) * O106/12*Параметры!O$31</f>
        <v>0</v>
      </c>
      <c r="P109" s="68">
        <f>($B105 - SUM($G107:P107) + SUM($F109:O109) - SUM($F110:O110)) * P106/12*Параметры!P$31</f>
        <v>0</v>
      </c>
      <c r="Q109" s="68">
        <f>($B105 - SUM($G107:Q107) + SUM($F109:P109) - SUM($F110:P110)) * Q106/12*Параметры!Q$31</f>
        <v>0</v>
      </c>
      <c r="R109" s="68">
        <f>($B105 - SUM($G107:R107) + SUM($F109:Q109) - SUM($F110:Q110)) * R106/12*Параметры!R$31</f>
        <v>0</v>
      </c>
      <c r="S109" s="68">
        <f>($B105 - SUM($G107:S107) + SUM($F109:R109) - SUM($F110:R110)) * S106/12*Параметры!S$31</f>
        <v>0</v>
      </c>
      <c r="T109" s="68">
        <f>($B105 - SUM($G107:T107) + SUM($F109:S109) - SUM($F110:S110)) * T106/12*Параметры!T$31</f>
        <v>0</v>
      </c>
      <c r="U109" s="68">
        <f>($B105 - SUM($G107:U107) + SUM($F109:T109) - SUM($F110:T110)) * U106/12*Параметры!U$31</f>
        <v>0</v>
      </c>
      <c r="V109" s="68">
        <f>($B105 - SUM($G107:V107) + SUM($F109:U109) - SUM($F110:U110)) * V106/12*Параметры!V$31</f>
        <v>0</v>
      </c>
      <c r="W109" s="68">
        <f>($B105 - SUM($G107:W107) + SUM($F109:V109) - SUM($F110:V110)) * W106/12*Параметры!W$31</f>
        <v>0</v>
      </c>
      <c r="X109" s="68">
        <f>($B105 - SUM($G107:X107) + SUM($F109:W109) - SUM($F110:W110)) * X106/12*Параметры!X$31</f>
        <v>0</v>
      </c>
      <c r="Y109" s="68">
        <f>($B105 - SUM($G107:Y107) + SUM($F109:X109) - SUM($F110:X110)) * Y106/12*Параметры!Y$31</f>
        <v>0</v>
      </c>
      <c r="Z109" s="68">
        <f>($B105 - SUM($G107:Z107) + SUM($F109:Y109) - SUM($F110:Y110)) * Z106/12*Параметры!Z$31</f>
        <v>0</v>
      </c>
      <c r="AA109" s="68">
        <f>($B105 - SUM($G107:AA107) + SUM($F109:Z109) - SUM($F110:Z110)) * AA106/12*Параметры!AA$31</f>
        <v>0</v>
      </c>
      <c r="AB109" s="68">
        <f>($B105 - SUM($G107:AB107) + SUM($F109:AA109) - SUM($F110:AA110)) * AB106/12*Параметры!AB$31</f>
        <v>0</v>
      </c>
      <c r="AC109" s="68">
        <f>($B105 - SUM($G107:AC107) + SUM($F109:AB109) - SUM($F110:AB110)) * AC106/12*Параметры!AC$31</f>
        <v>0</v>
      </c>
      <c r="AD109" s="68">
        <f>($B105 - SUM($G107:AD107) + SUM($F109:AC109) - SUM($F110:AC110)) * AD106/12*Параметры!AD$31</f>
        <v>0</v>
      </c>
      <c r="AE109" s="68">
        <f>($B105 - SUM($G107:AE107) + SUM($F109:AD109) - SUM($F110:AD110)) * AE106/12*Параметры!AE$31</f>
        <v>0</v>
      </c>
      <c r="AF109" s="68">
        <f>($B105 - SUM($G107:AF107) + SUM($F109:AE109) - SUM($F110:AE110)) * AF106/12*Параметры!AF$31</f>
        <v>0</v>
      </c>
      <c r="AG109" s="68">
        <f>($B105 - SUM($G107:AG107) + SUM($F109:AF109) - SUM($F110:AF110)) * AG106/12*Параметры!AG$31</f>
        <v>0</v>
      </c>
      <c r="AH109" s="68">
        <f>($B105 - SUM($G107:AH107) + SUM($F109:AG109) - SUM($F110:AG110)) * AH106/12*Параметры!AH$31</f>
        <v>0</v>
      </c>
      <c r="AI109" s="68">
        <f>($B105 - SUM($G107:AI107) + SUM($F109:AH109) - SUM($F110:AH110)) * AI106/12*Параметры!AI$31</f>
        <v>0</v>
      </c>
      <c r="AJ109" s="68">
        <f>($B105 - SUM($G107:AJ107) + SUM($F109:AI109) - SUM($F110:AI110)) * AJ106/12*Параметры!AJ$31</f>
        <v>0</v>
      </c>
      <c r="AK109" s="68">
        <f>($B105 - SUM($G107:AK107) + SUM($F109:AJ109) - SUM($F110:AJ110)) * AK106/12*Параметры!AK$31</f>
        <v>0</v>
      </c>
      <c r="AL109" s="68">
        <f>($B105 - SUM($G107:AL107) + SUM($F109:AK109) - SUM($F110:AK110)) * AL106/12*Параметры!AL$31</f>
        <v>0</v>
      </c>
      <c r="AM109" s="68">
        <f>($B105 - SUM($G107:AM107) + SUM($F109:AL109) - SUM($F110:AL110)) * AM106/12*Параметры!AM$31</f>
        <v>0</v>
      </c>
      <c r="AN109" s="68">
        <f>($B105 - SUM($G107:AN107) + SUM($F109:AM109) - SUM($F110:AM110)) * AN106/12*Параметры!AN$31</f>
        <v>0</v>
      </c>
      <c r="AO109" s="68">
        <f>($B105 - SUM($G107:AO107) + SUM($F109:AN109) - SUM($F110:AN110)) * AO106/12*Параметры!AO$31</f>
        <v>0</v>
      </c>
      <c r="AP109" s="68">
        <f>($B105 - SUM($G107:AP107) + SUM($F109:AO109) - SUM($F110:AO110)) * AP106/12*Параметры!AP$31</f>
        <v>0</v>
      </c>
      <c r="AQ109" s="68">
        <f>($B105 - SUM($G107:AQ107) + SUM($F109:AP109) - SUM($F110:AP110)) * AQ106/12*Параметры!AQ$31</f>
        <v>0</v>
      </c>
      <c r="AR109" s="68">
        <f>($B105 - SUM($G107:AR107) + SUM($F109:AQ109) - SUM($F110:AQ110)) * AR106/12*Параметры!AR$31</f>
        <v>0</v>
      </c>
      <c r="AS109" s="68">
        <f>($B105 - SUM($G107:AS107) + SUM($F109:AR109) - SUM($F110:AR110)) * AS106/12*Параметры!AS$31</f>
        <v>0</v>
      </c>
      <c r="AT109" s="68">
        <f>($B105 - SUM($G107:AT107) + SUM($F109:AS109) - SUM($F110:AS110)) * AT106/12*Параметры!AT$31</f>
        <v>0</v>
      </c>
      <c r="AU109" s="68">
        <f>($B105 - SUM($G107:AU107) + SUM($F109:AT109) - SUM($F110:AT110)) * AU106/12*Параметры!AU$31</f>
        <v>0</v>
      </c>
      <c r="AV109" s="68">
        <f>($B105 - SUM($G107:AV107) + SUM($F109:AU109) - SUM($F110:AU110)) * AV106/12*Параметры!AV$31</f>
        <v>0</v>
      </c>
      <c r="AW109" s="68">
        <f>($B105 - SUM($G107:AW107) + SUM($F109:AV109) - SUM($F110:AV110)) * AW106/12*Параметры!AW$31</f>
        <v>0</v>
      </c>
      <c r="AX109" s="68">
        <f>($B105 - SUM($G107:AX107) + SUM($F109:AW109) - SUM($F110:AW110)) * AX106/12*Параметры!AX$31</f>
        <v>0</v>
      </c>
      <c r="AY109" s="68">
        <f>($B105 - SUM($G107:AY107) + SUM($F109:AX109) - SUM($F110:AX110)) * AY106/12*Параметры!AY$31</f>
        <v>0</v>
      </c>
      <c r="AZ109" s="68">
        <f>($B105 - SUM($G107:AZ107) + SUM($F109:AY109) - SUM($F110:AY110)) * AZ106/12*Параметры!AZ$31</f>
        <v>0</v>
      </c>
      <c r="BA109" s="68">
        <f>($B105 - SUM($G107:BA107) + SUM($F109:AZ109) - SUM($F110:AZ110)) * BA106/12*Параметры!BA$31</f>
        <v>0</v>
      </c>
      <c r="BB109" s="68">
        <f>($B105 - SUM($G107:BB107) + SUM($F109:BA109) - SUM($F110:BA110)) * BB106/12*Параметры!BB$31</f>
        <v>0</v>
      </c>
      <c r="BC109" s="68"/>
      <c r="BD109" s="69">
        <f>SUM(G109:BC109)</f>
        <v>0</v>
      </c>
    </row>
    <row r="110" spans="1:56" ht="14.4" hidden="1" thickTop="1" x14ac:dyDescent="0.3">
      <c r="A110" s="71" t="str">
        <f ca="1">Language!A$563</f>
        <v>выплаченные проценты</v>
      </c>
      <c r="B110" s="6"/>
      <c r="C110" s="1" t="str">
        <f t="shared" ca="1" si="96"/>
        <v>руб.</v>
      </c>
      <c r="D110" s="11">
        <f>D104</f>
        <v>1</v>
      </c>
      <c r="E110" s="6" t="s">
        <v>1456</v>
      </c>
      <c r="F110" s="6" t="s">
        <v>2348</v>
      </c>
      <c r="G110" s="282">
        <f>G109</f>
        <v>0</v>
      </c>
      <c r="H110" s="282">
        <f t="shared" ref="H110:K110" si="97">H109</f>
        <v>0</v>
      </c>
      <c r="I110" s="282">
        <f t="shared" si="97"/>
        <v>0</v>
      </c>
      <c r="J110" s="282">
        <f t="shared" si="97"/>
        <v>0</v>
      </c>
      <c r="K110" s="282">
        <f t="shared" si="97"/>
        <v>0</v>
      </c>
      <c r="L110" s="282">
        <f t="shared" ref="L110:M110" si="98">L109</f>
        <v>0</v>
      </c>
      <c r="M110" s="282">
        <f t="shared" si="98"/>
        <v>0</v>
      </c>
      <c r="N110" s="282">
        <f t="shared" ref="N110:O110" si="99">N109</f>
        <v>0</v>
      </c>
      <c r="O110" s="282">
        <f t="shared" si="99"/>
        <v>0</v>
      </c>
      <c r="P110" s="282">
        <f t="shared" ref="P110:Q110" si="100">P109</f>
        <v>0</v>
      </c>
      <c r="Q110" s="282">
        <f t="shared" si="100"/>
        <v>0</v>
      </c>
      <c r="R110" s="282">
        <f t="shared" ref="R110:S110" si="101">R109</f>
        <v>0</v>
      </c>
      <c r="S110" s="282">
        <f t="shared" si="101"/>
        <v>0</v>
      </c>
      <c r="T110" s="282">
        <f t="shared" ref="T110:U110" si="102">T109</f>
        <v>0</v>
      </c>
      <c r="U110" s="282">
        <f t="shared" si="102"/>
        <v>0</v>
      </c>
      <c r="V110" s="282">
        <f t="shared" ref="V110:W110" si="103">V109</f>
        <v>0</v>
      </c>
      <c r="W110" s="282">
        <f t="shared" si="103"/>
        <v>0</v>
      </c>
      <c r="X110" s="282">
        <f t="shared" ref="X110:Y110" si="104">X109</f>
        <v>0</v>
      </c>
      <c r="Y110" s="282">
        <f t="shared" si="104"/>
        <v>0</v>
      </c>
      <c r="Z110" s="282">
        <f t="shared" ref="Z110:AA110" si="105">Z109</f>
        <v>0</v>
      </c>
      <c r="AA110" s="282">
        <f t="shared" si="105"/>
        <v>0</v>
      </c>
      <c r="AB110" s="282">
        <f t="shared" ref="AB110:AC110" si="106">AB109</f>
        <v>0</v>
      </c>
      <c r="AC110" s="282">
        <f t="shared" si="106"/>
        <v>0</v>
      </c>
      <c r="AD110" s="282">
        <f t="shared" ref="AD110:AE110" si="107">AD109</f>
        <v>0</v>
      </c>
      <c r="AE110" s="282">
        <f t="shared" si="107"/>
        <v>0</v>
      </c>
      <c r="AF110" s="282">
        <f t="shared" ref="AF110:AG110" si="108">AF109</f>
        <v>0</v>
      </c>
      <c r="AG110" s="282">
        <f t="shared" si="108"/>
        <v>0</v>
      </c>
      <c r="AH110" s="282">
        <f t="shared" ref="AH110:AI110" si="109">AH109</f>
        <v>0</v>
      </c>
      <c r="AI110" s="282">
        <f t="shared" si="109"/>
        <v>0</v>
      </c>
      <c r="AJ110" s="282">
        <f t="shared" ref="AJ110:AK110" si="110">AJ109</f>
        <v>0</v>
      </c>
      <c r="AK110" s="282">
        <f t="shared" si="110"/>
        <v>0</v>
      </c>
      <c r="AL110" s="282">
        <f t="shared" ref="AL110:AM110" si="111">AL109</f>
        <v>0</v>
      </c>
      <c r="AM110" s="282">
        <f t="shared" si="111"/>
        <v>0</v>
      </c>
      <c r="AN110" s="282">
        <f t="shared" ref="AN110:AO110" si="112">AN109</f>
        <v>0</v>
      </c>
      <c r="AO110" s="282">
        <f t="shared" si="112"/>
        <v>0</v>
      </c>
      <c r="AP110" s="282">
        <f t="shared" ref="AP110:AQ110" si="113">AP109</f>
        <v>0</v>
      </c>
      <c r="AQ110" s="282">
        <f t="shared" si="113"/>
        <v>0</v>
      </c>
      <c r="AR110" s="282">
        <f t="shared" ref="AR110:AS110" si="114">AR109</f>
        <v>0</v>
      </c>
      <c r="AS110" s="282">
        <f t="shared" si="114"/>
        <v>0</v>
      </c>
      <c r="AT110" s="282">
        <f t="shared" ref="AT110:AU110" si="115">AT109</f>
        <v>0</v>
      </c>
      <c r="AU110" s="282">
        <f t="shared" si="115"/>
        <v>0</v>
      </c>
      <c r="AV110" s="282">
        <f t="shared" ref="AV110:AW110" si="116">AV109</f>
        <v>0</v>
      </c>
      <c r="AW110" s="282">
        <f t="shared" si="116"/>
        <v>0</v>
      </c>
      <c r="AX110" s="282">
        <f t="shared" ref="AX110:AY110" si="117">AX109</f>
        <v>0</v>
      </c>
      <c r="AY110" s="282">
        <f t="shared" si="117"/>
        <v>0</v>
      </c>
      <c r="AZ110" s="282">
        <f t="shared" ref="AZ110:BA110" si="118">AZ109</f>
        <v>0</v>
      </c>
      <c r="BA110" s="282">
        <f t="shared" si="118"/>
        <v>0</v>
      </c>
      <c r="BB110" s="282">
        <f t="shared" ref="BB110" si="119">BB109</f>
        <v>0</v>
      </c>
      <c r="BC110" s="72"/>
      <c r="BD110" s="73">
        <f>SUM(G110:BC110)</f>
        <v>0</v>
      </c>
    </row>
    <row r="111" spans="1:56" ht="14.4" hidden="1" thickTop="1" x14ac:dyDescent="0.3">
      <c r="A111" s="278" t="str">
        <f ca="1">Language!A$564</f>
        <v>Шаблон краткосрочного кредита</v>
      </c>
      <c r="B111" s="66"/>
      <c r="C111" s="61" t="str">
        <f t="shared" ref="C111" ca="1" si="120">CHOOSE(D111,CurName1,CurName2,CurName3)</f>
        <v>руб.</v>
      </c>
      <c r="D111" s="11">
        <v>1</v>
      </c>
      <c r="F111" s="6" t="s">
        <v>848</v>
      </c>
      <c r="BD111" s="41"/>
    </row>
    <row r="112" spans="1:56" ht="14.4" hidden="1" thickTop="1" x14ac:dyDescent="0.3">
      <c r="A112" s="35" t="str">
        <f ca="1">Language!A$565</f>
        <v>задолженность по кредиту на начало планирования</v>
      </c>
      <c r="B112" s="279">
        <v>0</v>
      </c>
      <c r="C112" s="61" t="str">
        <f ca="1">CHOOSE(D112,CurName1,CurName2,CurName3)</f>
        <v>руб.</v>
      </c>
      <c r="D112" s="11">
        <f>D111</f>
        <v>1</v>
      </c>
      <c r="E112" s="6" t="s">
        <v>944</v>
      </c>
      <c r="F112" s="6" t="s">
        <v>753</v>
      </c>
      <c r="G112" s="47">
        <f>IF(G$2=1, $B112, F115)</f>
        <v>0</v>
      </c>
      <c r="H112" s="47">
        <f t="shared" ref="H112:BB112" si="121">IF(H$2=1, $B112, G115)</f>
        <v>0</v>
      </c>
      <c r="I112" s="47">
        <f t="shared" si="121"/>
        <v>0</v>
      </c>
      <c r="J112" s="47">
        <f t="shared" si="121"/>
        <v>0</v>
      </c>
      <c r="K112" s="47">
        <f t="shared" si="121"/>
        <v>0</v>
      </c>
      <c r="L112" s="47">
        <f t="shared" si="121"/>
        <v>0</v>
      </c>
      <c r="M112" s="47">
        <f t="shared" si="121"/>
        <v>0</v>
      </c>
      <c r="N112" s="47">
        <f t="shared" si="121"/>
        <v>0</v>
      </c>
      <c r="O112" s="47">
        <f t="shared" si="121"/>
        <v>0</v>
      </c>
      <c r="P112" s="47">
        <f t="shared" si="121"/>
        <v>0</v>
      </c>
      <c r="Q112" s="47">
        <f t="shared" si="121"/>
        <v>0</v>
      </c>
      <c r="R112" s="47">
        <f t="shared" si="121"/>
        <v>0</v>
      </c>
      <c r="S112" s="47">
        <f t="shared" si="121"/>
        <v>0</v>
      </c>
      <c r="T112" s="47">
        <f t="shared" si="121"/>
        <v>0</v>
      </c>
      <c r="U112" s="47">
        <f t="shared" si="121"/>
        <v>0</v>
      </c>
      <c r="V112" s="47">
        <f t="shared" si="121"/>
        <v>0</v>
      </c>
      <c r="W112" s="47">
        <f t="shared" si="121"/>
        <v>0</v>
      </c>
      <c r="X112" s="47">
        <f t="shared" si="121"/>
        <v>0</v>
      </c>
      <c r="Y112" s="47">
        <f t="shared" si="121"/>
        <v>0</v>
      </c>
      <c r="Z112" s="47">
        <f t="shared" si="121"/>
        <v>0</v>
      </c>
      <c r="AA112" s="47">
        <f t="shared" si="121"/>
        <v>0</v>
      </c>
      <c r="AB112" s="47">
        <f t="shared" si="121"/>
        <v>0</v>
      </c>
      <c r="AC112" s="47">
        <f t="shared" si="121"/>
        <v>0</v>
      </c>
      <c r="AD112" s="47">
        <f t="shared" si="121"/>
        <v>0</v>
      </c>
      <c r="AE112" s="47">
        <f t="shared" si="121"/>
        <v>0</v>
      </c>
      <c r="AF112" s="47">
        <f t="shared" si="121"/>
        <v>0</v>
      </c>
      <c r="AG112" s="47">
        <f t="shared" si="121"/>
        <v>0</v>
      </c>
      <c r="AH112" s="47">
        <f t="shared" si="121"/>
        <v>0</v>
      </c>
      <c r="AI112" s="47">
        <f t="shared" si="121"/>
        <v>0</v>
      </c>
      <c r="AJ112" s="47">
        <f t="shared" si="121"/>
        <v>0</v>
      </c>
      <c r="AK112" s="47">
        <f t="shared" si="121"/>
        <v>0</v>
      </c>
      <c r="AL112" s="47">
        <f t="shared" si="121"/>
        <v>0</v>
      </c>
      <c r="AM112" s="47">
        <f t="shared" si="121"/>
        <v>0</v>
      </c>
      <c r="AN112" s="47">
        <f t="shared" si="121"/>
        <v>0</v>
      </c>
      <c r="AO112" s="47">
        <f t="shared" si="121"/>
        <v>0</v>
      </c>
      <c r="AP112" s="47">
        <f t="shared" si="121"/>
        <v>0</v>
      </c>
      <c r="AQ112" s="47">
        <f t="shared" si="121"/>
        <v>0</v>
      </c>
      <c r="AR112" s="47">
        <f t="shared" si="121"/>
        <v>0</v>
      </c>
      <c r="AS112" s="47">
        <f t="shared" si="121"/>
        <v>0</v>
      </c>
      <c r="AT112" s="47">
        <f t="shared" si="121"/>
        <v>0</v>
      </c>
      <c r="AU112" s="47">
        <f t="shared" si="121"/>
        <v>0</v>
      </c>
      <c r="AV112" s="47">
        <f t="shared" si="121"/>
        <v>0</v>
      </c>
      <c r="AW112" s="47">
        <f t="shared" si="121"/>
        <v>0</v>
      </c>
      <c r="AX112" s="47">
        <f t="shared" si="121"/>
        <v>0</v>
      </c>
      <c r="AY112" s="47">
        <f t="shared" si="121"/>
        <v>0</v>
      </c>
      <c r="AZ112" s="47">
        <f t="shared" si="121"/>
        <v>0</v>
      </c>
      <c r="BA112" s="47">
        <f t="shared" si="121"/>
        <v>0</v>
      </c>
      <c r="BB112" s="47">
        <f t="shared" si="121"/>
        <v>0</v>
      </c>
      <c r="BC112" s="47"/>
      <c r="BD112" s="57"/>
    </row>
    <row r="113" spans="1:56" ht="14.4" hidden="1" thickTop="1" x14ac:dyDescent="0.3">
      <c r="A113" s="35" t="str">
        <f ca="1">Language!A$566</f>
        <v>ставка процентов по кредиту</v>
      </c>
      <c r="B113" s="280">
        <v>0.1</v>
      </c>
      <c r="C113" s="61" t="str">
        <f ca="1">Language!$A$480</f>
        <v>% в год</v>
      </c>
      <c r="D113" s="11"/>
      <c r="F113" s="6" t="s">
        <v>749</v>
      </c>
      <c r="G113" s="281">
        <f>B113</f>
        <v>0.1</v>
      </c>
      <c r="H113" s="281">
        <f t="shared" ref="H113" si="122">G113</f>
        <v>0.1</v>
      </c>
      <c r="I113" s="281">
        <f t="shared" ref="I113" si="123">H113</f>
        <v>0.1</v>
      </c>
      <c r="J113" s="281">
        <f t="shared" ref="J113" si="124">I113</f>
        <v>0.1</v>
      </c>
      <c r="K113" s="281">
        <f t="shared" ref="K113:BB113" si="125">J113</f>
        <v>0.1</v>
      </c>
      <c r="L113" s="281">
        <f t="shared" si="125"/>
        <v>0.1</v>
      </c>
      <c r="M113" s="281">
        <f t="shared" si="125"/>
        <v>0.1</v>
      </c>
      <c r="N113" s="281">
        <f t="shared" si="125"/>
        <v>0.1</v>
      </c>
      <c r="O113" s="281">
        <f t="shared" si="125"/>
        <v>0.1</v>
      </c>
      <c r="P113" s="281">
        <f t="shared" si="125"/>
        <v>0.1</v>
      </c>
      <c r="Q113" s="281">
        <f t="shared" si="125"/>
        <v>0.1</v>
      </c>
      <c r="R113" s="281">
        <f t="shared" si="125"/>
        <v>0.1</v>
      </c>
      <c r="S113" s="281">
        <f t="shared" si="125"/>
        <v>0.1</v>
      </c>
      <c r="T113" s="281">
        <f t="shared" si="125"/>
        <v>0.1</v>
      </c>
      <c r="U113" s="281">
        <f t="shared" si="125"/>
        <v>0.1</v>
      </c>
      <c r="V113" s="281">
        <f t="shared" si="125"/>
        <v>0.1</v>
      </c>
      <c r="W113" s="281">
        <f t="shared" si="125"/>
        <v>0.1</v>
      </c>
      <c r="X113" s="281">
        <f t="shared" si="125"/>
        <v>0.1</v>
      </c>
      <c r="Y113" s="281">
        <f t="shared" si="125"/>
        <v>0.1</v>
      </c>
      <c r="Z113" s="281">
        <f t="shared" si="125"/>
        <v>0.1</v>
      </c>
      <c r="AA113" s="281">
        <f t="shared" si="125"/>
        <v>0.1</v>
      </c>
      <c r="AB113" s="281">
        <f t="shared" si="125"/>
        <v>0.1</v>
      </c>
      <c r="AC113" s="281">
        <f t="shared" si="125"/>
        <v>0.1</v>
      </c>
      <c r="AD113" s="281">
        <f t="shared" si="125"/>
        <v>0.1</v>
      </c>
      <c r="AE113" s="281">
        <f t="shared" si="125"/>
        <v>0.1</v>
      </c>
      <c r="AF113" s="281">
        <f t="shared" si="125"/>
        <v>0.1</v>
      </c>
      <c r="AG113" s="281">
        <f t="shared" si="125"/>
        <v>0.1</v>
      </c>
      <c r="AH113" s="281">
        <f t="shared" si="125"/>
        <v>0.1</v>
      </c>
      <c r="AI113" s="281">
        <f t="shared" si="125"/>
        <v>0.1</v>
      </c>
      <c r="AJ113" s="281">
        <f t="shared" si="125"/>
        <v>0.1</v>
      </c>
      <c r="AK113" s="281">
        <f t="shared" si="125"/>
        <v>0.1</v>
      </c>
      <c r="AL113" s="281">
        <f t="shared" si="125"/>
        <v>0.1</v>
      </c>
      <c r="AM113" s="281">
        <f t="shared" si="125"/>
        <v>0.1</v>
      </c>
      <c r="AN113" s="281">
        <f t="shared" si="125"/>
        <v>0.1</v>
      </c>
      <c r="AO113" s="281">
        <f t="shared" si="125"/>
        <v>0.1</v>
      </c>
      <c r="AP113" s="281">
        <f t="shared" si="125"/>
        <v>0.1</v>
      </c>
      <c r="AQ113" s="281">
        <f t="shared" si="125"/>
        <v>0.1</v>
      </c>
      <c r="AR113" s="281">
        <f t="shared" si="125"/>
        <v>0.1</v>
      </c>
      <c r="AS113" s="281">
        <f t="shared" si="125"/>
        <v>0.1</v>
      </c>
      <c r="AT113" s="281">
        <f t="shared" si="125"/>
        <v>0.1</v>
      </c>
      <c r="AU113" s="281">
        <f t="shared" si="125"/>
        <v>0.1</v>
      </c>
      <c r="AV113" s="281">
        <f t="shared" si="125"/>
        <v>0.1</v>
      </c>
      <c r="AW113" s="281">
        <f t="shared" si="125"/>
        <v>0.1</v>
      </c>
      <c r="AX113" s="281">
        <f t="shared" si="125"/>
        <v>0.1</v>
      </c>
      <c r="AY113" s="281">
        <f t="shared" si="125"/>
        <v>0.1</v>
      </c>
      <c r="AZ113" s="281">
        <f t="shared" si="125"/>
        <v>0.1</v>
      </c>
      <c r="BA113" s="281">
        <f t="shared" si="125"/>
        <v>0.1</v>
      </c>
      <c r="BB113" s="281">
        <f t="shared" si="125"/>
        <v>0.1</v>
      </c>
      <c r="BC113" s="67"/>
      <c r="BD113" s="41"/>
    </row>
    <row r="114" spans="1:56" ht="14.4" hidden="1" thickTop="1" x14ac:dyDescent="0.3">
      <c r="A114" s="35" t="str">
        <f ca="1">Language!A$567</f>
        <v>погашение кредита</v>
      </c>
      <c r="C114" s="61" t="str">
        <f t="shared" ref="C114:C117" ca="1" si="126">CHOOSE(D114,CurName1,CurName2,CurName3)</f>
        <v>руб.</v>
      </c>
      <c r="D114" s="11">
        <f>D111</f>
        <v>1</v>
      </c>
      <c r="E114" s="6" t="s">
        <v>1038</v>
      </c>
      <c r="F114" s="6" t="s">
        <v>742</v>
      </c>
      <c r="G114" s="276">
        <v>0</v>
      </c>
      <c r="H114" s="276">
        <v>0</v>
      </c>
      <c r="I114" s="276">
        <v>0</v>
      </c>
      <c r="J114" s="276">
        <v>0</v>
      </c>
      <c r="K114" s="276">
        <v>0</v>
      </c>
      <c r="L114" s="276">
        <v>0</v>
      </c>
      <c r="M114" s="276">
        <v>0</v>
      </c>
      <c r="N114" s="276">
        <v>0</v>
      </c>
      <c r="O114" s="276">
        <v>0</v>
      </c>
      <c r="P114" s="276">
        <v>0</v>
      </c>
      <c r="Q114" s="276">
        <v>0</v>
      </c>
      <c r="R114" s="276">
        <v>0</v>
      </c>
      <c r="S114" s="276">
        <v>0</v>
      </c>
      <c r="T114" s="276">
        <v>0</v>
      </c>
      <c r="U114" s="276">
        <v>0</v>
      </c>
      <c r="V114" s="276">
        <v>0</v>
      </c>
      <c r="W114" s="276">
        <v>0</v>
      </c>
      <c r="X114" s="276">
        <v>0</v>
      </c>
      <c r="Y114" s="276">
        <v>0</v>
      </c>
      <c r="Z114" s="276">
        <v>0</v>
      </c>
      <c r="AA114" s="276">
        <v>0</v>
      </c>
      <c r="AB114" s="276">
        <v>0</v>
      </c>
      <c r="AC114" s="276">
        <v>0</v>
      </c>
      <c r="AD114" s="276">
        <v>0</v>
      </c>
      <c r="AE114" s="276">
        <v>0</v>
      </c>
      <c r="AF114" s="276">
        <v>0</v>
      </c>
      <c r="AG114" s="276">
        <v>0</v>
      </c>
      <c r="AH114" s="276">
        <v>0</v>
      </c>
      <c r="AI114" s="276">
        <v>0</v>
      </c>
      <c r="AJ114" s="276">
        <v>0</v>
      </c>
      <c r="AK114" s="276">
        <v>0</v>
      </c>
      <c r="AL114" s="276">
        <v>0</v>
      </c>
      <c r="AM114" s="276">
        <v>0</v>
      </c>
      <c r="AN114" s="276">
        <v>0</v>
      </c>
      <c r="AO114" s="276">
        <v>0</v>
      </c>
      <c r="AP114" s="276">
        <v>0</v>
      </c>
      <c r="AQ114" s="276">
        <v>0</v>
      </c>
      <c r="AR114" s="276">
        <v>0</v>
      </c>
      <c r="AS114" s="276">
        <v>0</v>
      </c>
      <c r="AT114" s="276">
        <v>0</v>
      </c>
      <c r="AU114" s="276">
        <v>0</v>
      </c>
      <c r="AV114" s="276">
        <v>0</v>
      </c>
      <c r="AW114" s="276">
        <v>0</v>
      </c>
      <c r="AX114" s="276">
        <v>0</v>
      </c>
      <c r="AY114" s="276">
        <v>0</v>
      </c>
      <c r="AZ114" s="276">
        <v>0</v>
      </c>
      <c r="BA114" s="276">
        <v>0</v>
      </c>
      <c r="BB114" s="276">
        <v>0</v>
      </c>
      <c r="BC114" s="47"/>
      <c r="BD114" s="57">
        <f>SUM(G114:BC114)</f>
        <v>0</v>
      </c>
    </row>
    <row r="115" spans="1:56" ht="14.4" hidden="1" thickTop="1" x14ac:dyDescent="0.3">
      <c r="A115" s="24" t="str">
        <f ca="1">Language!A$568</f>
        <v>задолженность по кредиту</v>
      </c>
      <c r="B115" s="61"/>
      <c r="C115" s="61" t="str">
        <f t="shared" ca="1" si="126"/>
        <v>руб.</v>
      </c>
      <c r="D115" s="11">
        <f>D111</f>
        <v>1</v>
      </c>
      <c r="E115" s="6" t="s">
        <v>1039</v>
      </c>
      <c r="F115" s="6" t="s">
        <v>775</v>
      </c>
      <c r="G115" s="68">
        <f>$B112+SUM($G116:G116)-SUM($G117:G117)-SUM($G114:G114)</f>
        <v>0</v>
      </c>
      <c r="H115" s="68">
        <f>$B112+SUM($G116:H116)-SUM($G117:H117)-SUM($G114:H114)</f>
        <v>0</v>
      </c>
      <c r="I115" s="68">
        <f>$B112+SUM($G116:I116)-SUM($G117:I117)-SUM($G114:I114)</f>
        <v>0</v>
      </c>
      <c r="J115" s="68">
        <f>$B112+SUM($G116:J116)-SUM($G117:J117)-SUM($G114:J114)</f>
        <v>0</v>
      </c>
      <c r="K115" s="68">
        <f>$B112+SUM($G116:K116)-SUM($G117:K117)-SUM($G114:K114)</f>
        <v>0</v>
      </c>
      <c r="L115" s="68">
        <f>$B112+SUM($G116:L116)-SUM($G117:L117)-SUM($G114:L114)</f>
        <v>0</v>
      </c>
      <c r="M115" s="68">
        <f>$B112+SUM($G116:M116)-SUM($G117:M117)-SUM($G114:M114)</f>
        <v>0</v>
      </c>
      <c r="N115" s="68">
        <f>$B112+SUM($G116:N116)-SUM($G117:N117)-SUM($G114:N114)</f>
        <v>0</v>
      </c>
      <c r="O115" s="68">
        <f>$B112+SUM($G116:O116)-SUM($G117:O117)-SUM($G114:O114)</f>
        <v>0</v>
      </c>
      <c r="P115" s="68">
        <f>$B112+SUM($G116:P116)-SUM($G117:P117)-SUM($G114:P114)</f>
        <v>0</v>
      </c>
      <c r="Q115" s="68">
        <f>$B112+SUM($G116:Q116)-SUM($G117:Q117)-SUM($G114:Q114)</f>
        <v>0</v>
      </c>
      <c r="R115" s="68">
        <f>$B112+SUM($G116:R116)-SUM($G117:R117)-SUM($G114:R114)</f>
        <v>0</v>
      </c>
      <c r="S115" s="68">
        <f>$B112+SUM($G116:S116)-SUM($G117:S117)-SUM($G114:S114)</f>
        <v>0</v>
      </c>
      <c r="T115" s="68">
        <f>$B112+SUM($G116:T116)-SUM($G117:T117)-SUM($G114:T114)</f>
        <v>0</v>
      </c>
      <c r="U115" s="68">
        <f>$B112+SUM($G116:U116)-SUM($G117:U117)-SUM($G114:U114)</f>
        <v>0</v>
      </c>
      <c r="V115" s="68">
        <f>$B112+SUM($G116:V116)-SUM($G117:V117)-SUM($G114:V114)</f>
        <v>0</v>
      </c>
      <c r="W115" s="68">
        <f>$B112+SUM($G116:W116)-SUM($G117:W117)-SUM($G114:W114)</f>
        <v>0</v>
      </c>
      <c r="X115" s="68">
        <f>$B112+SUM($G116:X116)-SUM($G117:X117)-SUM($G114:X114)</f>
        <v>0</v>
      </c>
      <c r="Y115" s="68">
        <f>$B112+SUM($G116:Y116)-SUM($G117:Y117)-SUM($G114:Y114)</f>
        <v>0</v>
      </c>
      <c r="Z115" s="68">
        <f>$B112+SUM($G116:Z116)-SUM($G117:Z117)-SUM($G114:Z114)</f>
        <v>0</v>
      </c>
      <c r="AA115" s="68">
        <f>$B112+SUM($G116:AA116)-SUM($G117:AA117)-SUM($G114:AA114)</f>
        <v>0</v>
      </c>
      <c r="AB115" s="68">
        <f>$B112+SUM($G116:AB116)-SUM($G117:AB117)-SUM($G114:AB114)</f>
        <v>0</v>
      </c>
      <c r="AC115" s="68">
        <f>$B112+SUM($G116:AC116)-SUM($G117:AC117)-SUM($G114:AC114)</f>
        <v>0</v>
      </c>
      <c r="AD115" s="68">
        <f>$B112+SUM($G116:AD116)-SUM($G117:AD117)-SUM($G114:AD114)</f>
        <v>0</v>
      </c>
      <c r="AE115" s="68">
        <f>$B112+SUM($G116:AE116)-SUM($G117:AE117)-SUM($G114:AE114)</f>
        <v>0</v>
      </c>
      <c r="AF115" s="68">
        <f>$B112+SUM($G116:AF116)-SUM($G117:AF117)-SUM($G114:AF114)</f>
        <v>0</v>
      </c>
      <c r="AG115" s="68">
        <f>$B112+SUM($G116:AG116)-SUM($G117:AG117)-SUM($G114:AG114)</f>
        <v>0</v>
      </c>
      <c r="AH115" s="68">
        <f>$B112+SUM($G116:AH116)-SUM($G117:AH117)-SUM($G114:AH114)</f>
        <v>0</v>
      </c>
      <c r="AI115" s="68">
        <f>$B112+SUM($G116:AI116)-SUM($G117:AI117)-SUM($G114:AI114)</f>
        <v>0</v>
      </c>
      <c r="AJ115" s="68">
        <f>$B112+SUM($G116:AJ116)-SUM($G117:AJ117)-SUM($G114:AJ114)</f>
        <v>0</v>
      </c>
      <c r="AK115" s="68">
        <f>$B112+SUM($G116:AK116)-SUM($G117:AK117)-SUM($G114:AK114)</f>
        <v>0</v>
      </c>
      <c r="AL115" s="68">
        <f>$B112+SUM($G116:AL116)-SUM($G117:AL117)-SUM($G114:AL114)</f>
        <v>0</v>
      </c>
      <c r="AM115" s="68">
        <f>$B112+SUM($G116:AM116)-SUM($G117:AM117)-SUM($G114:AM114)</f>
        <v>0</v>
      </c>
      <c r="AN115" s="68">
        <f>$B112+SUM($G116:AN116)-SUM($G117:AN117)-SUM($G114:AN114)</f>
        <v>0</v>
      </c>
      <c r="AO115" s="68">
        <f>$B112+SUM($G116:AO116)-SUM($G117:AO117)-SUM($G114:AO114)</f>
        <v>0</v>
      </c>
      <c r="AP115" s="68">
        <f>$B112+SUM($G116:AP116)-SUM($G117:AP117)-SUM($G114:AP114)</f>
        <v>0</v>
      </c>
      <c r="AQ115" s="68">
        <f>$B112+SUM($G116:AQ116)-SUM($G117:AQ117)-SUM($G114:AQ114)</f>
        <v>0</v>
      </c>
      <c r="AR115" s="68">
        <f>$B112+SUM($G116:AR116)-SUM($G117:AR117)-SUM($G114:AR114)</f>
        <v>0</v>
      </c>
      <c r="AS115" s="68">
        <f>$B112+SUM($G116:AS116)-SUM($G117:AS117)-SUM($G114:AS114)</f>
        <v>0</v>
      </c>
      <c r="AT115" s="68">
        <f>$B112+SUM($G116:AT116)-SUM($G117:AT117)-SUM($G114:AT114)</f>
        <v>0</v>
      </c>
      <c r="AU115" s="68">
        <f>$B112+SUM($G116:AU116)-SUM($G117:AU117)-SUM($G114:AU114)</f>
        <v>0</v>
      </c>
      <c r="AV115" s="68">
        <f>$B112+SUM($G116:AV116)-SUM($G117:AV117)-SUM($G114:AV114)</f>
        <v>0</v>
      </c>
      <c r="AW115" s="68">
        <f>$B112+SUM($G116:AW116)-SUM($G117:AW117)-SUM($G114:AW114)</f>
        <v>0</v>
      </c>
      <c r="AX115" s="68">
        <f>$B112+SUM($G116:AX116)-SUM($G117:AX117)-SUM($G114:AX114)</f>
        <v>0</v>
      </c>
      <c r="AY115" s="68">
        <f>$B112+SUM($G116:AY116)-SUM($G117:AY117)-SUM($G114:AY114)</f>
        <v>0</v>
      </c>
      <c r="AZ115" s="68">
        <f>$B112+SUM($G116:AZ116)-SUM($G117:AZ117)-SUM($G114:AZ114)</f>
        <v>0</v>
      </c>
      <c r="BA115" s="68">
        <f>$B112+SUM($G116:BA116)-SUM($G117:BA117)-SUM($G114:BA114)</f>
        <v>0</v>
      </c>
      <c r="BB115" s="68">
        <f>$B112+SUM($G116:BB116)-SUM($G117:BB117)-SUM($G114:BB114)</f>
        <v>0</v>
      </c>
      <c r="BC115" s="68"/>
      <c r="BD115" s="69"/>
    </row>
    <row r="116" spans="1:56" ht="14.4" hidden="1" thickTop="1" x14ac:dyDescent="0.3">
      <c r="A116" s="24" t="str">
        <f ca="1">Language!A$569</f>
        <v>начисленные проценты</v>
      </c>
      <c r="B116" s="70"/>
      <c r="C116" s="61" t="str">
        <f t="shared" ca="1" si="126"/>
        <v>руб.</v>
      </c>
      <c r="D116" s="11">
        <f>D111</f>
        <v>1</v>
      </c>
      <c r="E116" s="6" t="s">
        <v>1453</v>
      </c>
      <c r="F116" s="6" t="s">
        <v>742</v>
      </c>
      <c r="G116" s="68">
        <f>($B112 - SUM($G114:G114) + SUM($F116:F116) - SUM($F117:F117)) * G113/12*Параметры!G$31</f>
        <v>0</v>
      </c>
      <c r="H116" s="68">
        <f>($B112 - SUM($G114:H114) + SUM($F116:G116) - SUM($F117:G117)) * H113/12*Параметры!H$31</f>
        <v>0</v>
      </c>
      <c r="I116" s="68">
        <f>($B112 - SUM($G114:I114) + SUM($F116:H116) - SUM($F117:H117)) * I113/12*Параметры!I$31</f>
        <v>0</v>
      </c>
      <c r="J116" s="68">
        <f>($B112 - SUM($G114:J114) + SUM($F116:I116) - SUM($F117:I117)) * J113/12*Параметры!J$31</f>
        <v>0</v>
      </c>
      <c r="K116" s="68">
        <f>($B112 - SUM($G114:K114) + SUM($F116:J116) - SUM($F117:J117)) * K113/12*Параметры!K$31</f>
        <v>0</v>
      </c>
      <c r="L116" s="68">
        <f>($B112 - SUM($G114:L114) + SUM($F116:K116) - SUM($F117:K117)) * L113/12*Параметры!L$31</f>
        <v>0</v>
      </c>
      <c r="M116" s="68">
        <f>($B112 - SUM($G114:M114) + SUM($F116:L116) - SUM($F117:L117)) * M113/12*Параметры!M$31</f>
        <v>0</v>
      </c>
      <c r="N116" s="68">
        <f>($B112 - SUM($G114:N114) + SUM($F116:M116) - SUM($F117:M117)) * N113/12*Параметры!N$31</f>
        <v>0</v>
      </c>
      <c r="O116" s="68">
        <f>($B112 - SUM($G114:O114) + SUM($F116:N116) - SUM($F117:N117)) * O113/12*Параметры!O$31</f>
        <v>0</v>
      </c>
      <c r="P116" s="68">
        <f>($B112 - SUM($G114:P114) + SUM($F116:O116) - SUM($F117:O117)) * P113/12*Параметры!P$31</f>
        <v>0</v>
      </c>
      <c r="Q116" s="68">
        <f>($B112 - SUM($G114:Q114) + SUM($F116:P116) - SUM($F117:P117)) * Q113/12*Параметры!Q$31</f>
        <v>0</v>
      </c>
      <c r="R116" s="68">
        <f>($B112 - SUM($G114:R114) + SUM($F116:Q116) - SUM($F117:Q117)) * R113/12*Параметры!R$31</f>
        <v>0</v>
      </c>
      <c r="S116" s="68">
        <f>($B112 - SUM($G114:S114) + SUM($F116:R116) - SUM($F117:R117)) * S113/12*Параметры!S$31</f>
        <v>0</v>
      </c>
      <c r="T116" s="68">
        <f>($B112 - SUM($G114:T114) + SUM($F116:S116) - SUM($F117:S117)) * T113/12*Параметры!T$31</f>
        <v>0</v>
      </c>
      <c r="U116" s="68">
        <f>($B112 - SUM($G114:U114) + SUM($F116:T116) - SUM($F117:T117)) * U113/12*Параметры!U$31</f>
        <v>0</v>
      </c>
      <c r="V116" s="68">
        <f>($B112 - SUM($G114:V114) + SUM($F116:U116) - SUM($F117:U117)) * V113/12*Параметры!V$31</f>
        <v>0</v>
      </c>
      <c r="W116" s="68">
        <f>($B112 - SUM($G114:W114) + SUM($F116:V116) - SUM($F117:V117)) * W113/12*Параметры!W$31</f>
        <v>0</v>
      </c>
      <c r="X116" s="68">
        <f>($B112 - SUM($G114:X114) + SUM($F116:W116) - SUM($F117:W117)) * X113/12*Параметры!X$31</f>
        <v>0</v>
      </c>
      <c r="Y116" s="68">
        <f>($B112 - SUM($G114:Y114) + SUM($F116:X116) - SUM($F117:X117)) * Y113/12*Параметры!Y$31</f>
        <v>0</v>
      </c>
      <c r="Z116" s="68">
        <f>($B112 - SUM($G114:Z114) + SUM($F116:Y116) - SUM($F117:Y117)) * Z113/12*Параметры!Z$31</f>
        <v>0</v>
      </c>
      <c r="AA116" s="68">
        <f>($B112 - SUM($G114:AA114) + SUM($F116:Z116) - SUM($F117:Z117)) * AA113/12*Параметры!AA$31</f>
        <v>0</v>
      </c>
      <c r="AB116" s="68">
        <f>($B112 - SUM($G114:AB114) + SUM($F116:AA116) - SUM($F117:AA117)) * AB113/12*Параметры!AB$31</f>
        <v>0</v>
      </c>
      <c r="AC116" s="68">
        <f>($B112 - SUM($G114:AC114) + SUM($F116:AB116) - SUM($F117:AB117)) * AC113/12*Параметры!AC$31</f>
        <v>0</v>
      </c>
      <c r="AD116" s="68">
        <f>($B112 - SUM($G114:AD114) + SUM($F116:AC116) - SUM($F117:AC117)) * AD113/12*Параметры!AD$31</f>
        <v>0</v>
      </c>
      <c r="AE116" s="68">
        <f>($B112 - SUM($G114:AE114) + SUM($F116:AD116) - SUM($F117:AD117)) * AE113/12*Параметры!AE$31</f>
        <v>0</v>
      </c>
      <c r="AF116" s="68">
        <f>($B112 - SUM($G114:AF114) + SUM($F116:AE116) - SUM($F117:AE117)) * AF113/12*Параметры!AF$31</f>
        <v>0</v>
      </c>
      <c r="AG116" s="68">
        <f>($B112 - SUM($G114:AG114) + SUM($F116:AF116) - SUM($F117:AF117)) * AG113/12*Параметры!AG$31</f>
        <v>0</v>
      </c>
      <c r="AH116" s="68">
        <f>($B112 - SUM($G114:AH114) + SUM($F116:AG116) - SUM($F117:AG117)) * AH113/12*Параметры!AH$31</f>
        <v>0</v>
      </c>
      <c r="AI116" s="68">
        <f>($B112 - SUM($G114:AI114) + SUM($F116:AH116) - SUM($F117:AH117)) * AI113/12*Параметры!AI$31</f>
        <v>0</v>
      </c>
      <c r="AJ116" s="68">
        <f>($B112 - SUM($G114:AJ114) + SUM($F116:AI116) - SUM($F117:AI117)) * AJ113/12*Параметры!AJ$31</f>
        <v>0</v>
      </c>
      <c r="AK116" s="68">
        <f>($B112 - SUM($G114:AK114) + SUM($F116:AJ116) - SUM($F117:AJ117)) * AK113/12*Параметры!AK$31</f>
        <v>0</v>
      </c>
      <c r="AL116" s="68">
        <f>($B112 - SUM($G114:AL114) + SUM($F116:AK116) - SUM($F117:AK117)) * AL113/12*Параметры!AL$31</f>
        <v>0</v>
      </c>
      <c r="AM116" s="68">
        <f>($B112 - SUM($G114:AM114) + SUM($F116:AL116) - SUM($F117:AL117)) * AM113/12*Параметры!AM$31</f>
        <v>0</v>
      </c>
      <c r="AN116" s="68">
        <f>($B112 - SUM($G114:AN114) + SUM($F116:AM116) - SUM($F117:AM117)) * AN113/12*Параметры!AN$31</f>
        <v>0</v>
      </c>
      <c r="AO116" s="68">
        <f>($B112 - SUM($G114:AO114) + SUM($F116:AN116) - SUM($F117:AN117)) * AO113/12*Параметры!AO$31</f>
        <v>0</v>
      </c>
      <c r="AP116" s="68">
        <f>($B112 - SUM($G114:AP114) + SUM($F116:AO116) - SUM($F117:AO117)) * AP113/12*Параметры!AP$31</f>
        <v>0</v>
      </c>
      <c r="AQ116" s="68">
        <f>($B112 - SUM($G114:AQ114) + SUM($F116:AP116) - SUM($F117:AP117)) * AQ113/12*Параметры!AQ$31</f>
        <v>0</v>
      </c>
      <c r="AR116" s="68">
        <f>($B112 - SUM($G114:AR114) + SUM($F116:AQ116) - SUM($F117:AQ117)) * AR113/12*Параметры!AR$31</f>
        <v>0</v>
      </c>
      <c r="AS116" s="68">
        <f>($B112 - SUM($G114:AS114) + SUM($F116:AR116) - SUM($F117:AR117)) * AS113/12*Параметры!AS$31</f>
        <v>0</v>
      </c>
      <c r="AT116" s="68">
        <f>($B112 - SUM($G114:AT114) + SUM($F116:AS116) - SUM($F117:AS117)) * AT113/12*Параметры!AT$31</f>
        <v>0</v>
      </c>
      <c r="AU116" s="68">
        <f>($B112 - SUM($G114:AU114) + SUM($F116:AT116) - SUM($F117:AT117)) * AU113/12*Параметры!AU$31</f>
        <v>0</v>
      </c>
      <c r="AV116" s="68">
        <f>($B112 - SUM($G114:AV114) + SUM($F116:AU116) - SUM($F117:AU117)) * AV113/12*Параметры!AV$31</f>
        <v>0</v>
      </c>
      <c r="AW116" s="68">
        <f>($B112 - SUM($G114:AW114) + SUM($F116:AV116) - SUM($F117:AV117)) * AW113/12*Параметры!AW$31</f>
        <v>0</v>
      </c>
      <c r="AX116" s="68">
        <f>($B112 - SUM($G114:AX114) + SUM($F116:AW116) - SUM($F117:AW117)) * AX113/12*Параметры!AX$31</f>
        <v>0</v>
      </c>
      <c r="AY116" s="68">
        <f>($B112 - SUM($G114:AY114) + SUM($F116:AX116) - SUM($F117:AX117)) * AY113/12*Параметры!AY$31</f>
        <v>0</v>
      </c>
      <c r="AZ116" s="68">
        <f>($B112 - SUM($G114:AZ114) + SUM($F116:AY116) - SUM($F117:AY117)) * AZ113/12*Параметры!AZ$31</f>
        <v>0</v>
      </c>
      <c r="BA116" s="68">
        <f>($B112 - SUM($G114:BA114) + SUM($F116:AZ116) - SUM($F117:AZ117)) * BA113/12*Параметры!BA$31</f>
        <v>0</v>
      </c>
      <c r="BB116" s="68">
        <f>($B112 - SUM($G114:BB114) + SUM($F116:BA116) - SUM($F117:BA117)) * BB113/12*Параметры!BB$31</f>
        <v>0</v>
      </c>
      <c r="BC116" s="68"/>
      <c r="BD116" s="69">
        <f>SUM(G116:BC116)</f>
        <v>0</v>
      </c>
    </row>
    <row r="117" spans="1:56" ht="14.4" hidden="1" thickTop="1" x14ac:dyDescent="0.3">
      <c r="A117" s="71" t="str">
        <f ca="1">Language!A$570</f>
        <v>выплаченные проценты</v>
      </c>
      <c r="B117" s="6"/>
      <c r="C117" s="1" t="str">
        <f t="shared" ca="1" si="126"/>
        <v>руб.</v>
      </c>
      <c r="D117" s="11">
        <f>D111</f>
        <v>1</v>
      </c>
      <c r="E117" s="6" t="s">
        <v>1456</v>
      </c>
      <c r="F117" s="6" t="s">
        <v>2348</v>
      </c>
      <c r="G117" s="282">
        <f>G116</f>
        <v>0</v>
      </c>
      <c r="H117" s="282">
        <f t="shared" ref="H117:K117" si="127">H116</f>
        <v>0</v>
      </c>
      <c r="I117" s="282">
        <f t="shared" si="127"/>
        <v>0</v>
      </c>
      <c r="J117" s="282">
        <f t="shared" si="127"/>
        <v>0</v>
      </c>
      <c r="K117" s="282">
        <f t="shared" si="127"/>
        <v>0</v>
      </c>
      <c r="L117" s="282">
        <f t="shared" ref="L117:M117" si="128">L116</f>
        <v>0</v>
      </c>
      <c r="M117" s="282">
        <f t="shared" si="128"/>
        <v>0</v>
      </c>
      <c r="N117" s="282">
        <f t="shared" ref="N117:O117" si="129">N116</f>
        <v>0</v>
      </c>
      <c r="O117" s="282">
        <f t="shared" si="129"/>
        <v>0</v>
      </c>
      <c r="P117" s="282">
        <f t="shared" ref="P117:Q117" si="130">P116</f>
        <v>0</v>
      </c>
      <c r="Q117" s="282">
        <f t="shared" si="130"/>
        <v>0</v>
      </c>
      <c r="R117" s="282">
        <f t="shared" ref="R117:S117" si="131">R116</f>
        <v>0</v>
      </c>
      <c r="S117" s="282">
        <f t="shared" si="131"/>
        <v>0</v>
      </c>
      <c r="T117" s="282">
        <f t="shared" ref="T117:U117" si="132">T116</f>
        <v>0</v>
      </c>
      <c r="U117" s="282">
        <f t="shared" si="132"/>
        <v>0</v>
      </c>
      <c r="V117" s="282">
        <f t="shared" ref="V117:W117" si="133">V116</f>
        <v>0</v>
      </c>
      <c r="W117" s="282">
        <f t="shared" si="133"/>
        <v>0</v>
      </c>
      <c r="X117" s="282">
        <f t="shared" ref="X117:Y117" si="134">X116</f>
        <v>0</v>
      </c>
      <c r="Y117" s="282">
        <f t="shared" si="134"/>
        <v>0</v>
      </c>
      <c r="Z117" s="282">
        <f t="shared" ref="Z117:AA117" si="135">Z116</f>
        <v>0</v>
      </c>
      <c r="AA117" s="282">
        <f t="shared" si="135"/>
        <v>0</v>
      </c>
      <c r="AB117" s="282">
        <f t="shared" ref="AB117:AC117" si="136">AB116</f>
        <v>0</v>
      </c>
      <c r="AC117" s="282">
        <f t="shared" si="136"/>
        <v>0</v>
      </c>
      <c r="AD117" s="282">
        <f t="shared" ref="AD117:AE117" si="137">AD116</f>
        <v>0</v>
      </c>
      <c r="AE117" s="282">
        <f t="shared" si="137"/>
        <v>0</v>
      </c>
      <c r="AF117" s="282">
        <f t="shared" ref="AF117:AG117" si="138">AF116</f>
        <v>0</v>
      </c>
      <c r="AG117" s="282">
        <f t="shared" si="138"/>
        <v>0</v>
      </c>
      <c r="AH117" s="282">
        <f t="shared" ref="AH117:AI117" si="139">AH116</f>
        <v>0</v>
      </c>
      <c r="AI117" s="282">
        <f t="shared" si="139"/>
        <v>0</v>
      </c>
      <c r="AJ117" s="282">
        <f t="shared" ref="AJ117:AK117" si="140">AJ116</f>
        <v>0</v>
      </c>
      <c r="AK117" s="282">
        <f t="shared" si="140"/>
        <v>0</v>
      </c>
      <c r="AL117" s="282">
        <f t="shared" ref="AL117:AM117" si="141">AL116</f>
        <v>0</v>
      </c>
      <c r="AM117" s="282">
        <f t="shared" si="141"/>
        <v>0</v>
      </c>
      <c r="AN117" s="282">
        <f t="shared" ref="AN117:AO117" si="142">AN116</f>
        <v>0</v>
      </c>
      <c r="AO117" s="282">
        <f t="shared" si="142"/>
        <v>0</v>
      </c>
      <c r="AP117" s="282">
        <f t="shared" ref="AP117:AQ117" si="143">AP116</f>
        <v>0</v>
      </c>
      <c r="AQ117" s="282">
        <f t="shared" si="143"/>
        <v>0</v>
      </c>
      <c r="AR117" s="282">
        <f t="shared" ref="AR117:AS117" si="144">AR116</f>
        <v>0</v>
      </c>
      <c r="AS117" s="282">
        <f t="shared" si="144"/>
        <v>0</v>
      </c>
      <c r="AT117" s="282">
        <f t="shared" ref="AT117:AU117" si="145">AT116</f>
        <v>0</v>
      </c>
      <c r="AU117" s="282">
        <f t="shared" si="145"/>
        <v>0</v>
      </c>
      <c r="AV117" s="282">
        <f t="shared" ref="AV117:AW117" si="146">AV116</f>
        <v>0</v>
      </c>
      <c r="AW117" s="282">
        <f t="shared" si="146"/>
        <v>0</v>
      </c>
      <c r="AX117" s="282">
        <f t="shared" ref="AX117:AY117" si="147">AX116</f>
        <v>0</v>
      </c>
      <c r="AY117" s="282">
        <f t="shared" si="147"/>
        <v>0</v>
      </c>
      <c r="AZ117" s="282">
        <f t="shared" ref="AZ117:BA117" si="148">AZ116</f>
        <v>0</v>
      </c>
      <c r="BA117" s="282">
        <f t="shared" si="148"/>
        <v>0</v>
      </c>
      <c r="BB117" s="282">
        <f t="shared" ref="BB117" si="149">BB116</f>
        <v>0</v>
      </c>
      <c r="BC117" s="72"/>
      <c r="BD117" s="73">
        <f>SUM(G117:BC117)</f>
        <v>0</v>
      </c>
    </row>
    <row r="118" spans="1:56" ht="14.4" thickTop="1" x14ac:dyDescent="0.3">
      <c r="A118" s="10"/>
      <c r="BD118" s="41"/>
    </row>
    <row r="119" spans="1:56" hidden="1" x14ac:dyDescent="0.3">
      <c r="A119" s="49" t="str">
        <f ca="1">Language!A$571</f>
        <v>Долгосрочные кредиты</v>
      </c>
      <c r="B119" s="13"/>
      <c r="C119" s="13"/>
      <c r="D119" s="14"/>
      <c r="E119" s="14" t="s">
        <v>715</v>
      </c>
      <c r="F119" s="14" t="s">
        <v>2217</v>
      </c>
      <c r="G119" s="13"/>
      <c r="H119" s="13"/>
      <c r="I119" s="13"/>
      <c r="J119" s="13"/>
      <c r="K119" s="13"/>
      <c r="L119" s="13"/>
      <c r="M119" s="13"/>
      <c r="N119" s="13"/>
      <c r="O119" s="13"/>
      <c r="P119" s="13"/>
      <c r="Q119" s="13"/>
      <c r="R119" s="13"/>
      <c r="S119" s="13"/>
      <c r="T119" s="13"/>
      <c r="U119" s="13"/>
      <c r="V119" s="13"/>
      <c r="W119" s="13"/>
      <c r="X119" s="13"/>
      <c r="Y119" s="13"/>
      <c r="Z119" s="13"/>
      <c r="AA119" s="13"/>
      <c r="AB119" s="13"/>
      <c r="AC119" s="13"/>
      <c r="AD119" s="13"/>
      <c r="AE119" s="13"/>
      <c r="AF119" s="13"/>
      <c r="AG119" s="13"/>
      <c r="AH119" s="13"/>
      <c r="AI119" s="13"/>
      <c r="AJ119" s="13"/>
      <c r="AK119" s="13"/>
      <c r="AL119" s="13"/>
      <c r="AM119" s="13"/>
      <c r="AN119" s="13"/>
      <c r="AO119" s="13"/>
      <c r="AP119" s="13"/>
      <c r="AQ119" s="13"/>
      <c r="AR119" s="13"/>
      <c r="AS119" s="13"/>
      <c r="AT119" s="13"/>
      <c r="AU119" s="13"/>
      <c r="AV119" s="13"/>
      <c r="AW119" s="13"/>
      <c r="AX119" s="13"/>
      <c r="AY119" s="13"/>
      <c r="AZ119" s="13"/>
      <c r="BA119" s="13"/>
      <c r="BB119" s="13"/>
      <c r="BC119" s="13"/>
      <c r="BD119" s="65"/>
    </row>
    <row r="120" spans="1:56" hidden="1" x14ac:dyDescent="0.3">
      <c r="A120" s="10"/>
      <c r="BD120" s="41"/>
    </row>
    <row r="121" spans="1:56" hidden="1" x14ac:dyDescent="0.3">
      <c r="A121" s="10"/>
      <c r="BD121" s="41"/>
    </row>
    <row r="122" spans="1:56" hidden="1" x14ac:dyDescent="0.3">
      <c r="A122" s="49" t="str">
        <f ca="1">Language!A$572</f>
        <v>Краткосрочные кредиты</v>
      </c>
      <c r="B122" s="13"/>
      <c r="C122" s="13"/>
      <c r="D122" s="14"/>
      <c r="E122" s="14" t="s">
        <v>716</v>
      </c>
      <c r="F122" s="14" t="s">
        <v>2218</v>
      </c>
      <c r="G122" s="13"/>
      <c r="H122" s="13"/>
      <c r="I122" s="13"/>
      <c r="J122" s="13"/>
      <c r="K122" s="13"/>
      <c r="L122" s="13"/>
      <c r="M122" s="13"/>
      <c r="N122" s="13"/>
      <c r="O122" s="13"/>
      <c r="P122" s="13"/>
      <c r="Q122" s="13"/>
      <c r="R122" s="13"/>
      <c r="S122" s="13"/>
      <c r="T122" s="13"/>
      <c r="U122" s="13"/>
      <c r="V122" s="13"/>
      <c r="W122" s="13"/>
      <c r="X122" s="13"/>
      <c r="Y122" s="13"/>
      <c r="Z122" s="13"/>
      <c r="AA122" s="13"/>
      <c r="AB122" s="13"/>
      <c r="AC122" s="13"/>
      <c r="AD122" s="13"/>
      <c r="AE122" s="13"/>
      <c r="AF122" s="13"/>
      <c r="AG122" s="13"/>
      <c r="AH122" s="13"/>
      <c r="AI122" s="13"/>
      <c r="AJ122" s="13"/>
      <c r="AK122" s="13"/>
      <c r="AL122" s="13"/>
      <c r="AM122" s="13"/>
      <c r="AN122" s="13"/>
      <c r="AO122" s="13"/>
      <c r="AP122" s="13"/>
      <c r="AQ122" s="13"/>
      <c r="AR122" s="13"/>
      <c r="AS122" s="13"/>
      <c r="AT122" s="13"/>
      <c r="AU122" s="13"/>
      <c r="AV122" s="13"/>
      <c r="AW122" s="13"/>
      <c r="AX122" s="13"/>
      <c r="AY122" s="13"/>
      <c r="AZ122" s="13"/>
      <c r="BA122" s="13"/>
      <c r="BB122" s="13"/>
      <c r="BC122" s="13"/>
      <c r="BD122" s="65"/>
    </row>
    <row r="123" spans="1:56" hidden="1" x14ac:dyDescent="0.3">
      <c r="A123" s="10"/>
      <c r="BD123" s="41"/>
    </row>
    <row r="124" spans="1:56" hidden="1" x14ac:dyDescent="0.3">
      <c r="A124" s="10"/>
      <c r="E124" s="6" t="s">
        <v>712</v>
      </c>
      <c r="BD124" s="41"/>
    </row>
    <row r="125" spans="1:56" s="34" customFormat="1" collapsed="1" x14ac:dyDescent="0.3">
      <c r="A125" s="22" t="str">
        <f ca="1">Language!A$573</f>
        <v>Итого: Задолженность на конец периода</v>
      </c>
      <c r="B125" s="5"/>
      <c r="C125" s="37" t="str">
        <f t="shared" ref="C125:C136" ca="1" si="150">CurName1</f>
        <v>руб.</v>
      </c>
      <c r="D125" s="6"/>
      <c r="E125" s="6"/>
      <c r="F125" s="6" t="s">
        <v>741</v>
      </c>
      <c r="G125" s="58">
        <f>G131+G132</f>
        <v>0</v>
      </c>
      <c r="H125" s="58">
        <f t="shared" ref="H125:J125" si="151">H131+H132</f>
        <v>0</v>
      </c>
      <c r="I125" s="58">
        <f t="shared" si="151"/>
        <v>0</v>
      </c>
      <c r="J125" s="58">
        <f t="shared" si="151"/>
        <v>0</v>
      </c>
      <c r="K125" s="58">
        <f t="shared" ref="K125:L125" si="152">K131+K132</f>
        <v>0</v>
      </c>
      <c r="L125" s="58">
        <f t="shared" si="152"/>
        <v>0</v>
      </c>
      <c r="M125" s="58">
        <f t="shared" ref="M125:N125" si="153">M131+M132</f>
        <v>0</v>
      </c>
      <c r="N125" s="58">
        <f t="shared" si="153"/>
        <v>0</v>
      </c>
      <c r="O125" s="58">
        <f t="shared" ref="O125:P125" si="154">O131+O132</f>
        <v>0</v>
      </c>
      <c r="P125" s="58">
        <f t="shared" si="154"/>
        <v>0</v>
      </c>
      <c r="Q125" s="58">
        <f t="shared" ref="Q125:R125" si="155">Q131+Q132</f>
        <v>0</v>
      </c>
      <c r="R125" s="58">
        <f t="shared" si="155"/>
        <v>0</v>
      </c>
      <c r="S125" s="58">
        <f t="shared" ref="S125:T125" si="156">S131+S132</f>
        <v>0</v>
      </c>
      <c r="T125" s="58">
        <f t="shared" si="156"/>
        <v>0</v>
      </c>
      <c r="U125" s="58">
        <f t="shared" ref="U125:V125" si="157">U131+U132</f>
        <v>0</v>
      </c>
      <c r="V125" s="58">
        <f t="shared" si="157"/>
        <v>0</v>
      </c>
      <c r="W125" s="58">
        <f t="shared" ref="W125:X125" si="158">W131+W132</f>
        <v>0</v>
      </c>
      <c r="X125" s="58">
        <f t="shared" si="158"/>
        <v>0</v>
      </c>
      <c r="Y125" s="58">
        <f t="shared" ref="Y125:Z125" si="159">Y131+Y132</f>
        <v>0</v>
      </c>
      <c r="Z125" s="58">
        <f t="shared" si="159"/>
        <v>0</v>
      </c>
      <c r="AA125" s="58">
        <f t="shared" ref="AA125:AB125" si="160">AA131+AA132</f>
        <v>0</v>
      </c>
      <c r="AB125" s="58">
        <f t="shared" si="160"/>
        <v>0</v>
      </c>
      <c r="AC125" s="58">
        <f t="shared" ref="AC125:AD125" si="161">AC131+AC132</f>
        <v>0</v>
      </c>
      <c r="AD125" s="58">
        <f t="shared" si="161"/>
        <v>0</v>
      </c>
      <c r="AE125" s="58">
        <f t="shared" ref="AE125:AF125" si="162">AE131+AE132</f>
        <v>0</v>
      </c>
      <c r="AF125" s="58">
        <f t="shared" si="162"/>
        <v>0</v>
      </c>
      <c r="AG125" s="58">
        <f t="shared" ref="AG125:AH125" si="163">AG131+AG132</f>
        <v>0</v>
      </c>
      <c r="AH125" s="58">
        <f t="shared" si="163"/>
        <v>0</v>
      </c>
      <c r="AI125" s="58">
        <f t="shared" ref="AI125:AJ125" si="164">AI131+AI132</f>
        <v>0</v>
      </c>
      <c r="AJ125" s="58">
        <f t="shared" si="164"/>
        <v>0</v>
      </c>
      <c r="AK125" s="58">
        <f t="shared" ref="AK125:AL125" si="165">AK131+AK132</f>
        <v>0</v>
      </c>
      <c r="AL125" s="58">
        <f t="shared" si="165"/>
        <v>0</v>
      </c>
      <c r="AM125" s="58">
        <f t="shared" ref="AM125:AN125" si="166">AM131+AM132</f>
        <v>0</v>
      </c>
      <c r="AN125" s="58">
        <f t="shared" si="166"/>
        <v>0</v>
      </c>
      <c r="AO125" s="58">
        <f t="shared" ref="AO125:AP125" si="167">AO131+AO132</f>
        <v>0</v>
      </c>
      <c r="AP125" s="58">
        <f t="shared" si="167"/>
        <v>0</v>
      </c>
      <c r="AQ125" s="58">
        <f t="shared" ref="AQ125:AR125" si="168">AQ131+AQ132</f>
        <v>0</v>
      </c>
      <c r="AR125" s="58">
        <f t="shared" si="168"/>
        <v>0</v>
      </c>
      <c r="AS125" s="58">
        <f t="shared" ref="AS125:AT125" si="169">AS131+AS132</f>
        <v>0</v>
      </c>
      <c r="AT125" s="58">
        <f t="shared" si="169"/>
        <v>0</v>
      </c>
      <c r="AU125" s="58">
        <f t="shared" ref="AU125:AV125" si="170">AU131+AU132</f>
        <v>0</v>
      </c>
      <c r="AV125" s="58">
        <f t="shared" si="170"/>
        <v>0</v>
      </c>
      <c r="AW125" s="58">
        <f t="shared" ref="AW125:AX125" si="171">AW131+AW132</f>
        <v>0</v>
      </c>
      <c r="AX125" s="58">
        <f t="shared" si="171"/>
        <v>0</v>
      </c>
      <c r="AY125" s="58">
        <f t="shared" ref="AY125:AZ125" si="172">AY131+AY132</f>
        <v>0</v>
      </c>
      <c r="AZ125" s="58">
        <f t="shared" si="172"/>
        <v>0</v>
      </c>
      <c r="BA125" s="58">
        <f t="shared" ref="BA125:BB125" si="173">BA131+BA132</f>
        <v>0</v>
      </c>
      <c r="BB125" s="58">
        <f t="shared" si="173"/>
        <v>0</v>
      </c>
      <c r="BC125" s="5"/>
      <c r="BD125" s="57"/>
    </row>
    <row r="126" spans="1:56" s="34" customFormat="1" hidden="1" outlineLevel="1" x14ac:dyDescent="0.3">
      <c r="A126" s="10" t="str">
        <f ca="1">Language!A$574</f>
        <v>Выплата основного долга</v>
      </c>
      <c r="B126" s="5"/>
      <c r="C126" s="37" t="str">
        <f t="shared" ca="1" si="150"/>
        <v>руб.</v>
      </c>
      <c r="D126" s="6"/>
      <c r="E126" s="6"/>
      <c r="F126" s="6" t="s">
        <v>1115</v>
      </c>
      <c r="G126" s="55">
        <v>0</v>
      </c>
      <c r="H126" s="55">
        <v>0</v>
      </c>
      <c r="I126" s="55">
        <v>0</v>
      </c>
      <c r="J126" s="55">
        <v>0</v>
      </c>
      <c r="K126" s="55">
        <v>0</v>
      </c>
      <c r="L126" s="55">
        <v>0</v>
      </c>
      <c r="M126" s="55">
        <v>0</v>
      </c>
      <c r="N126" s="55">
        <v>0</v>
      </c>
      <c r="O126" s="55">
        <v>0</v>
      </c>
      <c r="P126" s="55">
        <v>0</v>
      </c>
      <c r="Q126" s="55">
        <v>0</v>
      </c>
      <c r="R126" s="55">
        <v>0</v>
      </c>
      <c r="S126" s="55">
        <v>0</v>
      </c>
      <c r="T126" s="55">
        <v>0</v>
      </c>
      <c r="U126" s="55">
        <v>0</v>
      </c>
      <c r="V126" s="55">
        <v>0</v>
      </c>
      <c r="W126" s="55">
        <v>0</v>
      </c>
      <c r="X126" s="55">
        <v>0</v>
      </c>
      <c r="Y126" s="55">
        <v>0</v>
      </c>
      <c r="Z126" s="55">
        <v>0</v>
      </c>
      <c r="AA126" s="55">
        <v>0</v>
      </c>
      <c r="AB126" s="55">
        <v>0</v>
      </c>
      <c r="AC126" s="55">
        <v>0</v>
      </c>
      <c r="AD126" s="55">
        <v>0</v>
      </c>
      <c r="AE126" s="55">
        <v>0</v>
      </c>
      <c r="AF126" s="55">
        <v>0</v>
      </c>
      <c r="AG126" s="55">
        <v>0</v>
      </c>
      <c r="AH126" s="55">
        <v>0</v>
      </c>
      <c r="AI126" s="55">
        <v>0</v>
      </c>
      <c r="AJ126" s="55">
        <v>0</v>
      </c>
      <c r="AK126" s="55">
        <v>0</v>
      </c>
      <c r="AL126" s="55">
        <v>0</v>
      </c>
      <c r="AM126" s="55">
        <v>0</v>
      </c>
      <c r="AN126" s="55">
        <v>0</v>
      </c>
      <c r="AO126" s="55">
        <v>0</v>
      </c>
      <c r="AP126" s="55">
        <v>0</v>
      </c>
      <c r="AQ126" s="55">
        <v>0</v>
      </c>
      <c r="AR126" s="55">
        <v>0</v>
      </c>
      <c r="AS126" s="55">
        <v>0</v>
      </c>
      <c r="AT126" s="55">
        <v>0</v>
      </c>
      <c r="AU126" s="55">
        <v>0</v>
      </c>
      <c r="AV126" s="55">
        <v>0</v>
      </c>
      <c r="AW126" s="55">
        <v>0</v>
      </c>
      <c r="AX126" s="55">
        <v>0</v>
      </c>
      <c r="AY126" s="55">
        <v>0</v>
      </c>
      <c r="AZ126" s="55">
        <v>0</v>
      </c>
      <c r="BA126" s="55">
        <v>0</v>
      </c>
      <c r="BB126" s="55">
        <v>0</v>
      </c>
      <c r="BC126" s="5"/>
      <c r="BD126" s="57">
        <f>SUM(G126:BC126)</f>
        <v>0</v>
      </c>
    </row>
    <row r="127" spans="1:56" s="34" customFormat="1" hidden="1" outlineLevel="1" x14ac:dyDescent="0.3">
      <c r="A127" s="10" t="str">
        <f ca="1">Language!A$575</f>
        <v>Проценты начисленные</v>
      </c>
      <c r="B127" s="5"/>
      <c r="C127" s="37" t="str">
        <f t="shared" ca="1" si="150"/>
        <v>руб.</v>
      </c>
      <c r="D127" s="6"/>
      <c r="E127" s="6"/>
      <c r="F127" s="6" t="s">
        <v>1454</v>
      </c>
      <c r="G127" s="55">
        <v>0</v>
      </c>
      <c r="H127" s="55">
        <v>0</v>
      </c>
      <c r="I127" s="55">
        <v>0</v>
      </c>
      <c r="J127" s="55">
        <v>0</v>
      </c>
      <c r="K127" s="55">
        <v>0</v>
      </c>
      <c r="L127" s="55">
        <v>0</v>
      </c>
      <c r="M127" s="55">
        <v>0</v>
      </c>
      <c r="N127" s="55">
        <v>0</v>
      </c>
      <c r="O127" s="55">
        <v>0</v>
      </c>
      <c r="P127" s="55">
        <v>0</v>
      </c>
      <c r="Q127" s="55">
        <v>0</v>
      </c>
      <c r="R127" s="55">
        <v>0</v>
      </c>
      <c r="S127" s="55">
        <v>0</v>
      </c>
      <c r="T127" s="55">
        <v>0</v>
      </c>
      <c r="U127" s="55">
        <v>0</v>
      </c>
      <c r="V127" s="55">
        <v>0</v>
      </c>
      <c r="W127" s="55">
        <v>0</v>
      </c>
      <c r="X127" s="55">
        <v>0</v>
      </c>
      <c r="Y127" s="55">
        <v>0</v>
      </c>
      <c r="Z127" s="55">
        <v>0</v>
      </c>
      <c r="AA127" s="55">
        <v>0</v>
      </c>
      <c r="AB127" s="55">
        <v>0</v>
      </c>
      <c r="AC127" s="55">
        <v>0</v>
      </c>
      <c r="AD127" s="55">
        <v>0</v>
      </c>
      <c r="AE127" s="55">
        <v>0</v>
      </c>
      <c r="AF127" s="55">
        <v>0</v>
      </c>
      <c r="AG127" s="55">
        <v>0</v>
      </c>
      <c r="AH127" s="55">
        <v>0</v>
      </c>
      <c r="AI127" s="55">
        <v>0</v>
      </c>
      <c r="AJ127" s="55">
        <v>0</v>
      </c>
      <c r="AK127" s="55">
        <v>0</v>
      </c>
      <c r="AL127" s="55">
        <v>0</v>
      </c>
      <c r="AM127" s="55">
        <v>0</v>
      </c>
      <c r="AN127" s="55">
        <v>0</v>
      </c>
      <c r="AO127" s="55">
        <v>0</v>
      </c>
      <c r="AP127" s="55">
        <v>0</v>
      </c>
      <c r="AQ127" s="55">
        <v>0</v>
      </c>
      <c r="AR127" s="55">
        <v>0</v>
      </c>
      <c r="AS127" s="55">
        <v>0</v>
      </c>
      <c r="AT127" s="55">
        <v>0</v>
      </c>
      <c r="AU127" s="55">
        <v>0</v>
      </c>
      <c r="AV127" s="55">
        <v>0</v>
      </c>
      <c r="AW127" s="55">
        <v>0</v>
      </c>
      <c r="AX127" s="55">
        <v>0</v>
      </c>
      <c r="AY127" s="55">
        <v>0</v>
      </c>
      <c r="AZ127" s="55">
        <v>0</v>
      </c>
      <c r="BA127" s="55">
        <v>0</v>
      </c>
      <c r="BB127" s="55">
        <v>0</v>
      </c>
      <c r="BC127" s="5"/>
      <c r="BD127" s="57">
        <f>SUM(G127:BC127)</f>
        <v>0</v>
      </c>
    </row>
    <row r="128" spans="1:56" s="34" customFormat="1" hidden="1" outlineLevel="1" x14ac:dyDescent="0.3">
      <c r="A128" s="10" t="str">
        <f ca="1">Language!A$576</f>
        <v>Проценты уплаченные</v>
      </c>
      <c r="B128" s="5"/>
      <c r="C128" s="37" t="str">
        <f t="shared" ca="1" si="150"/>
        <v>руб.</v>
      </c>
      <c r="D128" s="6"/>
      <c r="E128" s="6"/>
      <c r="F128" s="6" t="s">
        <v>1455</v>
      </c>
      <c r="G128" s="55">
        <v>0</v>
      </c>
      <c r="H128" s="55">
        <v>0</v>
      </c>
      <c r="I128" s="55">
        <v>0</v>
      </c>
      <c r="J128" s="55">
        <v>0</v>
      </c>
      <c r="K128" s="55">
        <v>0</v>
      </c>
      <c r="L128" s="55">
        <v>0</v>
      </c>
      <c r="M128" s="55">
        <v>0</v>
      </c>
      <c r="N128" s="55">
        <v>0</v>
      </c>
      <c r="O128" s="55">
        <v>0</v>
      </c>
      <c r="P128" s="55">
        <v>0</v>
      </c>
      <c r="Q128" s="55">
        <v>0</v>
      </c>
      <c r="R128" s="55">
        <v>0</v>
      </c>
      <c r="S128" s="55">
        <v>0</v>
      </c>
      <c r="T128" s="55">
        <v>0</v>
      </c>
      <c r="U128" s="55">
        <v>0</v>
      </c>
      <c r="V128" s="55">
        <v>0</v>
      </c>
      <c r="W128" s="55">
        <v>0</v>
      </c>
      <c r="X128" s="55">
        <v>0</v>
      </c>
      <c r="Y128" s="55">
        <v>0</v>
      </c>
      <c r="Z128" s="55">
        <v>0</v>
      </c>
      <c r="AA128" s="55">
        <v>0</v>
      </c>
      <c r="AB128" s="55">
        <v>0</v>
      </c>
      <c r="AC128" s="55">
        <v>0</v>
      </c>
      <c r="AD128" s="55">
        <v>0</v>
      </c>
      <c r="AE128" s="55">
        <v>0</v>
      </c>
      <c r="AF128" s="55">
        <v>0</v>
      </c>
      <c r="AG128" s="55">
        <v>0</v>
      </c>
      <c r="AH128" s="55">
        <v>0</v>
      </c>
      <c r="AI128" s="55">
        <v>0</v>
      </c>
      <c r="AJ128" s="55">
        <v>0</v>
      </c>
      <c r="AK128" s="55">
        <v>0</v>
      </c>
      <c r="AL128" s="55">
        <v>0</v>
      </c>
      <c r="AM128" s="55">
        <v>0</v>
      </c>
      <c r="AN128" s="55">
        <v>0</v>
      </c>
      <c r="AO128" s="55">
        <v>0</v>
      </c>
      <c r="AP128" s="55">
        <v>0</v>
      </c>
      <c r="AQ128" s="55">
        <v>0</v>
      </c>
      <c r="AR128" s="55">
        <v>0</v>
      </c>
      <c r="AS128" s="55">
        <v>0</v>
      </c>
      <c r="AT128" s="55">
        <v>0</v>
      </c>
      <c r="AU128" s="55">
        <v>0</v>
      </c>
      <c r="AV128" s="55">
        <v>0</v>
      </c>
      <c r="AW128" s="55">
        <v>0</v>
      </c>
      <c r="AX128" s="55">
        <v>0</v>
      </c>
      <c r="AY128" s="55">
        <v>0</v>
      </c>
      <c r="AZ128" s="55">
        <v>0</v>
      </c>
      <c r="BA128" s="55">
        <v>0</v>
      </c>
      <c r="BB128" s="55">
        <v>0</v>
      </c>
      <c r="BC128" s="5"/>
      <c r="BD128" s="57">
        <f>SUM(G128:BC128)</f>
        <v>0</v>
      </c>
    </row>
    <row r="129" spans="1:56" s="34" customFormat="1" hidden="1" outlineLevel="1" x14ac:dyDescent="0.3">
      <c r="A129" s="10" t="str">
        <f ca="1">Language!A$577</f>
        <v>Долгосрочные кредиты на начало периода</v>
      </c>
      <c r="B129" s="5"/>
      <c r="C129" s="37" t="str">
        <f t="shared" ca="1" si="150"/>
        <v>руб.</v>
      </c>
      <c r="D129" s="6"/>
      <c r="E129" s="6"/>
      <c r="F129" s="6" t="s">
        <v>1126</v>
      </c>
      <c r="G129" s="55">
        <v>0</v>
      </c>
      <c r="H129" s="55">
        <v>0</v>
      </c>
      <c r="I129" s="55">
        <v>0</v>
      </c>
      <c r="J129" s="55">
        <v>0</v>
      </c>
      <c r="K129" s="55">
        <v>0</v>
      </c>
      <c r="L129" s="55">
        <v>0</v>
      </c>
      <c r="M129" s="55">
        <v>0</v>
      </c>
      <c r="N129" s="55">
        <v>0</v>
      </c>
      <c r="O129" s="55">
        <v>0</v>
      </c>
      <c r="P129" s="55">
        <v>0</v>
      </c>
      <c r="Q129" s="55">
        <v>0</v>
      </c>
      <c r="R129" s="55">
        <v>0</v>
      </c>
      <c r="S129" s="55">
        <v>0</v>
      </c>
      <c r="T129" s="55">
        <v>0</v>
      </c>
      <c r="U129" s="55">
        <v>0</v>
      </c>
      <c r="V129" s="55">
        <v>0</v>
      </c>
      <c r="W129" s="55">
        <v>0</v>
      </c>
      <c r="X129" s="55">
        <v>0</v>
      </c>
      <c r="Y129" s="55">
        <v>0</v>
      </c>
      <c r="Z129" s="55">
        <v>0</v>
      </c>
      <c r="AA129" s="55">
        <v>0</v>
      </c>
      <c r="AB129" s="55">
        <v>0</v>
      </c>
      <c r="AC129" s="55">
        <v>0</v>
      </c>
      <c r="AD129" s="55">
        <v>0</v>
      </c>
      <c r="AE129" s="55">
        <v>0</v>
      </c>
      <c r="AF129" s="55">
        <v>0</v>
      </c>
      <c r="AG129" s="55">
        <v>0</v>
      </c>
      <c r="AH129" s="55">
        <v>0</v>
      </c>
      <c r="AI129" s="55">
        <v>0</v>
      </c>
      <c r="AJ129" s="55">
        <v>0</v>
      </c>
      <c r="AK129" s="55">
        <v>0</v>
      </c>
      <c r="AL129" s="55">
        <v>0</v>
      </c>
      <c r="AM129" s="55">
        <v>0</v>
      </c>
      <c r="AN129" s="55">
        <v>0</v>
      </c>
      <c r="AO129" s="55">
        <v>0</v>
      </c>
      <c r="AP129" s="55">
        <v>0</v>
      </c>
      <c r="AQ129" s="55">
        <v>0</v>
      </c>
      <c r="AR129" s="55">
        <v>0</v>
      </c>
      <c r="AS129" s="55">
        <v>0</v>
      </c>
      <c r="AT129" s="55">
        <v>0</v>
      </c>
      <c r="AU129" s="55">
        <v>0</v>
      </c>
      <c r="AV129" s="55">
        <v>0</v>
      </c>
      <c r="AW129" s="55">
        <v>0</v>
      </c>
      <c r="AX129" s="55">
        <v>0</v>
      </c>
      <c r="AY129" s="55">
        <v>0</v>
      </c>
      <c r="AZ129" s="55">
        <v>0</v>
      </c>
      <c r="BA129" s="55">
        <v>0</v>
      </c>
      <c r="BB129" s="55">
        <v>0</v>
      </c>
      <c r="BC129" s="5"/>
      <c r="BD129" s="57"/>
    </row>
    <row r="130" spans="1:56" s="34" customFormat="1" hidden="1" outlineLevel="1" x14ac:dyDescent="0.3">
      <c r="A130" s="10" t="str">
        <f ca="1">Language!A$578</f>
        <v>Краткосрочные кредиты на начало периода</v>
      </c>
      <c r="B130" s="5"/>
      <c r="C130" s="37" t="str">
        <f t="shared" ca="1" si="150"/>
        <v>руб.</v>
      </c>
      <c r="D130" s="6"/>
      <c r="E130" s="6"/>
      <c r="F130" s="6" t="s">
        <v>1127</v>
      </c>
      <c r="G130" s="55">
        <v>0</v>
      </c>
      <c r="H130" s="55">
        <v>0</v>
      </c>
      <c r="I130" s="55">
        <v>0</v>
      </c>
      <c r="J130" s="55">
        <v>0</v>
      </c>
      <c r="K130" s="55">
        <v>0</v>
      </c>
      <c r="L130" s="55">
        <v>0</v>
      </c>
      <c r="M130" s="55">
        <v>0</v>
      </c>
      <c r="N130" s="55">
        <v>0</v>
      </c>
      <c r="O130" s="55">
        <v>0</v>
      </c>
      <c r="P130" s="55">
        <v>0</v>
      </c>
      <c r="Q130" s="55">
        <v>0</v>
      </c>
      <c r="R130" s="55">
        <v>0</v>
      </c>
      <c r="S130" s="55">
        <v>0</v>
      </c>
      <c r="T130" s="55">
        <v>0</v>
      </c>
      <c r="U130" s="55">
        <v>0</v>
      </c>
      <c r="V130" s="55">
        <v>0</v>
      </c>
      <c r="W130" s="55">
        <v>0</v>
      </c>
      <c r="X130" s="55">
        <v>0</v>
      </c>
      <c r="Y130" s="55">
        <v>0</v>
      </c>
      <c r="Z130" s="55">
        <v>0</v>
      </c>
      <c r="AA130" s="55">
        <v>0</v>
      </c>
      <c r="AB130" s="55">
        <v>0</v>
      </c>
      <c r="AC130" s="55">
        <v>0</v>
      </c>
      <c r="AD130" s="55">
        <v>0</v>
      </c>
      <c r="AE130" s="55">
        <v>0</v>
      </c>
      <c r="AF130" s="55">
        <v>0</v>
      </c>
      <c r="AG130" s="55">
        <v>0</v>
      </c>
      <c r="AH130" s="55">
        <v>0</v>
      </c>
      <c r="AI130" s="55">
        <v>0</v>
      </c>
      <c r="AJ130" s="55">
        <v>0</v>
      </c>
      <c r="AK130" s="55">
        <v>0</v>
      </c>
      <c r="AL130" s="55">
        <v>0</v>
      </c>
      <c r="AM130" s="55">
        <v>0</v>
      </c>
      <c r="AN130" s="55">
        <v>0</v>
      </c>
      <c r="AO130" s="55">
        <v>0</v>
      </c>
      <c r="AP130" s="55">
        <v>0</v>
      </c>
      <c r="AQ130" s="55">
        <v>0</v>
      </c>
      <c r="AR130" s="55">
        <v>0</v>
      </c>
      <c r="AS130" s="55">
        <v>0</v>
      </c>
      <c r="AT130" s="55">
        <v>0</v>
      </c>
      <c r="AU130" s="55">
        <v>0</v>
      </c>
      <c r="AV130" s="55">
        <v>0</v>
      </c>
      <c r="AW130" s="55">
        <v>0</v>
      </c>
      <c r="AX130" s="55">
        <v>0</v>
      </c>
      <c r="AY130" s="55">
        <v>0</v>
      </c>
      <c r="AZ130" s="55">
        <v>0</v>
      </c>
      <c r="BA130" s="55">
        <v>0</v>
      </c>
      <c r="BB130" s="55">
        <v>0</v>
      </c>
      <c r="BC130" s="5"/>
      <c r="BD130" s="57"/>
    </row>
    <row r="131" spans="1:56" s="34" customFormat="1" hidden="1" outlineLevel="1" x14ac:dyDescent="0.3">
      <c r="A131" s="10" t="str">
        <f ca="1">Language!A$579</f>
        <v>Долгосрочные кредиты на конец периода</v>
      </c>
      <c r="B131" s="5"/>
      <c r="C131" s="37" t="str">
        <f t="shared" ca="1" si="150"/>
        <v>руб.</v>
      </c>
      <c r="D131" s="6"/>
      <c r="E131" s="6"/>
      <c r="F131" s="6" t="s">
        <v>1116</v>
      </c>
      <c r="G131" s="55">
        <v>0</v>
      </c>
      <c r="H131" s="55">
        <v>0</v>
      </c>
      <c r="I131" s="55">
        <v>0</v>
      </c>
      <c r="J131" s="55">
        <v>0</v>
      </c>
      <c r="K131" s="55">
        <v>0</v>
      </c>
      <c r="L131" s="55">
        <v>0</v>
      </c>
      <c r="M131" s="55">
        <v>0</v>
      </c>
      <c r="N131" s="55">
        <v>0</v>
      </c>
      <c r="O131" s="55">
        <v>0</v>
      </c>
      <c r="P131" s="55">
        <v>0</v>
      </c>
      <c r="Q131" s="55">
        <v>0</v>
      </c>
      <c r="R131" s="55">
        <v>0</v>
      </c>
      <c r="S131" s="55">
        <v>0</v>
      </c>
      <c r="T131" s="55">
        <v>0</v>
      </c>
      <c r="U131" s="55">
        <v>0</v>
      </c>
      <c r="V131" s="55">
        <v>0</v>
      </c>
      <c r="W131" s="55">
        <v>0</v>
      </c>
      <c r="X131" s="55">
        <v>0</v>
      </c>
      <c r="Y131" s="55">
        <v>0</v>
      </c>
      <c r="Z131" s="55">
        <v>0</v>
      </c>
      <c r="AA131" s="55">
        <v>0</v>
      </c>
      <c r="AB131" s="55">
        <v>0</v>
      </c>
      <c r="AC131" s="55">
        <v>0</v>
      </c>
      <c r="AD131" s="55">
        <v>0</v>
      </c>
      <c r="AE131" s="55">
        <v>0</v>
      </c>
      <c r="AF131" s="55">
        <v>0</v>
      </c>
      <c r="AG131" s="55">
        <v>0</v>
      </c>
      <c r="AH131" s="55">
        <v>0</v>
      </c>
      <c r="AI131" s="55">
        <v>0</v>
      </c>
      <c r="AJ131" s="55">
        <v>0</v>
      </c>
      <c r="AK131" s="55">
        <v>0</v>
      </c>
      <c r="AL131" s="55">
        <v>0</v>
      </c>
      <c r="AM131" s="55">
        <v>0</v>
      </c>
      <c r="AN131" s="55">
        <v>0</v>
      </c>
      <c r="AO131" s="55">
        <v>0</v>
      </c>
      <c r="AP131" s="55">
        <v>0</v>
      </c>
      <c r="AQ131" s="55">
        <v>0</v>
      </c>
      <c r="AR131" s="55">
        <v>0</v>
      </c>
      <c r="AS131" s="55">
        <v>0</v>
      </c>
      <c r="AT131" s="55">
        <v>0</v>
      </c>
      <c r="AU131" s="55">
        <v>0</v>
      </c>
      <c r="AV131" s="55">
        <v>0</v>
      </c>
      <c r="AW131" s="55">
        <v>0</v>
      </c>
      <c r="AX131" s="55">
        <v>0</v>
      </c>
      <c r="AY131" s="55">
        <v>0</v>
      </c>
      <c r="AZ131" s="55">
        <v>0</v>
      </c>
      <c r="BA131" s="55">
        <v>0</v>
      </c>
      <c r="BB131" s="55">
        <v>0</v>
      </c>
      <c r="BC131" s="5"/>
      <c r="BD131" s="57"/>
    </row>
    <row r="132" spans="1:56" s="34" customFormat="1" hidden="1" outlineLevel="1" x14ac:dyDescent="0.3">
      <c r="A132" s="10" t="str">
        <f ca="1">Language!A$580</f>
        <v>Краткосрочные кредиты на конец периода</v>
      </c>
      <c r="B132" s="5"/>
      <c r="C132" s="37" t="str">
        <f t="shared" ca="1" si="150"/>
        <v>руб.</v>
      </c>
      <c r="D132" s="6"/>
      <c r="E132" s="6"/>
      <c r="F132" s="6" t="s">
        <v>1117</v>
      </c>
      <c r="G132" s="55">
        <v>0</v>
      </c>
      <c r="H132" s="55">
        <v>0</v>
      </c>
      <c r="I132" s="55">
        <v>0</v>
      </c>
      <c r="J132" s="55">
        <v>0</v>
      </c>
      <c r="K132" s="55">
        <v>0</v>
      </c>
      <c r="L132" s="55">
        <v>0</v>
      </c>
      <c r="M132" s="55">
        <v>0</v>
      </c>
      <c r="N132" s="55">
        <v>0</v>
      </c>
      <c r="O132" s="55">
        <v>0</v>
      </c>
      <c r="P132" s="55">
        <v>0</v>
      </c>
      <c r="Q132" s="55">
        <v>0</v>
      </c>
      <c r="R132" s="55">
        <v>0</v>
      </c>
      <c r="S132" s="55">
        <v>0</v>
      </c>
      <c r="T132" s="55">
        <v>0</v>
      </c>
      <c r="U132" s="55">
        <v>0</v>
      </c>
      <c r="V132" s="55">
        <v>0</v>
      </c>
      <c r="W132" s="55">
        <v>0</v>
      </c>
      <c r="X132" s="55">
        <v>0</v>
      </c>
      <c r="Y132" s="55">
        <v>0</v>
      </c>
      <c r="Z132" s="55">
        <v>0</v>
      </c>
      <c r="AA132" s="55">
        <v>0</v>
      </c>
      <c r="AB132" s="55">
        <v>0</v>
      </c>
      <c r="AC132" s="55">
        <v>0</v>
      </c>
      <c r="AD132" s="55">
        <v>0</v>
      </c>
      <c r="AE132" s="55">
        <v>0</v>
      </c>
      <c r="AF132" s="55">
        <v>0</v>
      </c>
      <c r="AG132" s="55">
        <v>0</v>
      </c>
      <c r="AH132" s="55">
        <v>0</v>
      </c>
      <c r="AI132" s="55">
        <v>0</v>
      </c>
      <c r="AJ132" s="55">
        <v>0</v>
      </c>
      <c r="AK132" s="55">
        <v>0</v>
      </c>
      <c r="AL132" s="55">
        <v>0</v>
      </c>
      <c r="AM132" s="55">
        <v>0</v>
      </c>
      <c r="AN132" s="55">
        <v>0</v>
      </c>
      <c r="AO132" s="55">
        <v>0</v>
      </c>
      <c r="AP132" s="55">
        <v>0</v>
      </c>
      <c r="AQ132" s="55">
        <v>0</v>
      </c>
      <c r="AR132" s="55">
        <v>0</v>
      </c>
      <c r="AS132" s="55">
        <v>0</v>
      </c>
      <c r="AT132" s="55">
        <v>0</v>
      </c>
      <c r="AU132" s="55">
        <v>0</v>
      </c>
      <c r="AV132" s="55">
        <v>0</v>
      </c>
      <c r="AW132" s="55">
        <v>0</v>
      </c>
      <c r="AX132" s="55">
        <v>0</v>
      </c>
      <c r="AY132" s="55">
        <v>0</v>
      </c>
      <c r="AZ132" s="55">
        <v>0</v>
      </c>
      <c r="BA132" s="55">
        <v>0</v>
      </c>
      <c r="BB132" s="55">
        <v>0</v>
      </c>
      <c r="BC132" s="5"/>
      <c r="BD132" s="57"/>
    </row>
    <row r="133" spans="1:56" s="34" customFormat="1" hidden="1" outlineLevel="1" x14ac:dyDescent="0.3">
      <c r="A133" s="10" t="str">
        <f ca="1">Language!A$581</f>
        <v>Курсовые разницы</v>
      </c>
      <c r="B133" s="5"/>
      <c r="C133" s="37" t="str">
        <f t="shared" ca="1" si="150"/>
        <v>руб.</v>
      </c>
      <c r="D133" s="6"/>
      <c r="E133" s="6"/>
      <c r="F133" s="6" t="s">
        <v>740</v>
      </c>
      <c r="G133" s="55">
        <f>IF(G$2=1,0,$G129+$G130-SUM($F126:G126)-G131-G132+SUM($F127:G127)-SUM($F128:G128)-SUM($F133:F133))</f>
        <v>0</v>
      </c>
      <c r="H133" s="55">
        <f>IF(H$2=1,0,$G129+$G130-SUM($F126:H126)-H131-H132+SUM($F127:H127)-SUM($F128:H128)-SUM($F133:G133))</f>
        <v>0</v>
      </c>
      <c r="I133" s="55">
        <f>IF(I$2=1,0,$G129+$G130-SUM($F126:I126)-I131-I132+SUM($F127:I127)-SUM($F128:I128)-SUM($F133:H133))</f>
        <v>0</v>
      </c>
      <c r="J133" s="55">
        <f>IF(J$2=1,0,$G129+$G130-SUM($F126:J126)-J131-J132+SUM($F127:J127)-SUM($F128:J128)-SUM($F133:I133))</f>
        <v>0</v>
      </c>
      <c r="K133" s="55">
        <f>IF(K$2=1,0,$G129+$G130-SUM($F126:K126)-K131-K132+SUM($F127:K127)-SUM($F128:K128)-SUM($F133:J133))</f>
        <v>0</v>
      </c>
      <c r="L133" s="55">
        <f>IF(L$2=1,0,$G129+$G130-SUM($F126:L126)-L131-L132+SUM($F127:L127)-SUM($F128:L128)-SUM($F133:K133))</f>
        <v>0</v>
      </c>
      <c r="M133" s="55">
        <f>IF(M$2=1,0,$G129+$G130-SUM($F126:M126)-M131-M132+SUM($F127:M127)-SUM($F128:M128)-SUM($F133:L133))</f>
        <v>0</v>
      </c>
      <c r="N133" s="55">
        <f>IF(N$2=1,0,$G129+$G130-SUM($F126:N126)-N131-N132+SUM($F127:N127)-SUM($F128:N128)-SUM($F133:M133))</f>
        <v>0</v>
      </c>
      <c r="O133" s="55">
        <f>IF(O$2=1,0,$G129+$G130-SUM($F126:O126)-O131-O132+SUM($F127:O127)-SUM($F128:O128)-SUM($F133:N133))</f>
        <v>0</v>
      </c>
      <c r="P133" s="55">
        <f>IF(P$2=1,0,$G129+$G130-SUM($F126:P126)-P131-P132+SUM($F127:P127)-SUM($F128:P128)-SUM($F133:O133))</f>
        <v>0</v>
      </c>
      <c r="Q133" s="55">
        <f>IF(Q$2=1,0,$G129+$G130-SUM($F126:Q126)-Q131-Q132+SUM($F127:Q127)-SUM($F128:Q128)-SUM($F133:P133))</f>
        <v>0</v>
      </c>
      <c r="R133" s="55">
        <f>IF(R$2=1,0,$G129+$G130-SUM($F126:R126)-R131-R132+SUM($F127:R127)-SUM($F128:R128)-SUM($F133:Q133))</f>
        <v>0</v>
      </c>
      <c r="S133" s="55">
        <f>IF(S$2=1,0,$G129+$G130-SUM($F126:S126)-S131-S132+SUM($F127:S127)-SUM($F128:S128)-SUM($F133:R133))</f>
        <v>0</v>
      </c>
      <c r="T133" s="55">
        <f>IF(T$2=1,0,$G129+$G130-SUM($F126:T126)-T131-T132+SUM($F127:T127)-SUM($F128:T128)-SUM($F133:S133))</f>
        <v>0</v>
      </c>
      <c r="U133" s="55">
        <f>IF(U$2=1,0,$G129+$G130-SUM($F126:U126)-U131-U132+SUM($F127:U127)-SUM($F128:U128)-SUM($F133:T133))</f>
        <v>0</v>
      </c>
      <c r="V133" s="55">
        <f>IF(V$2=1,0,$G129+$G130-SUM($F126:V126)-V131-V132+SUM($F127:V127)-SUM($F128:V128)-SUM($F133:U133))</f>
        <v>0</v>
      </c>
      <c r="W133" s="55">
        <f>IF(W$2=1,0,$G129+$G130-SUM($F126:W126)-W131-W132+SUM($F127:W127)-SUM($F128:W128)-SUM($F133:V133))</f>
        <v>0</v>
      </c>
      <c r="X133" s="55">
        <f>IF(X$2=1,0,$G129+$G130-SUM($F126:X126)-X131-X132+SUM($F127:X127)-SUM($F128:X128)-SUM($F133:W133))</f>
        <v>0</v>
      </c>
      <c r="Y133" s="55">
        <f>IF(Y$2=1,0,$G129+$G130-SUM($F126:Y126)-Y131-Y132+SUM($F127:Y127)-SUM($F128:Y128)-SUM($F133:X133))</f>
        <v>0</v>
      </c>
      <c r="Z133" s="55">
        <f>IF(Z$2=1,0,$G129+$G130-SUM($F126:Z126)-Z131-Z132+SUM($F127:Z127)-SUM($F128:Z128)-SUM($F133:Y133))</f>
        <v>0</v>
      </c>
      <c r="AA133" s="55">
        <f>IF(AA$2=1,0,$G129+$G130-SUM($F126:AA126)-AA131-AA132+SUM($F127:AA127)-SUM($F128:AA128)-SUM($F133:Z133))</f>
        <v>0</v>
      </c>
      <c r="AB133" s="55">
        <f>IF(AB$2=1,0,$G129+$G130-SUM($F126:AB126)-AB131-AB132+SUM($F127:AB127)-SUM($F128:AB128)-SUM($F133:AA133))</f>
        <v>0</v>
      </c>
      <c r="AC133" s="55">
        <f>IF(AC$2=1,0,$G129+$G130-SUM($F126:AC126)-AC131-AC132+SUM($F127:AC127)-SUM($F128:AC128)-SUM($F133:AB133))</f>
        <v>0</v>
      </c>
      <c r="AD133" s="55">
        <f>IF(AD$2=1,0,$G129+$G130-SUM($F126:AD126)-AD131-AD132+SUM($F127:AD127)-SUM($F128:AD128)-SUM($F133:AC133))</f>
        <v>0</v>
      </c>
      <c r="AE133" s="55">
        <f>IF(AE$2=1,0,$G129+$G130-SUM($F126:AE126)-AE131-AE132+SUM($F127:AE127)-SUM($F128:AE128)-SUM($F133:AD133))</f>
        <v>0</v>
      </c>
      <c r="AF133" s="55">
        <f>IF(AF$2=1,0,$G129+$G130-SUM($F126:AF126)-AF131-AF132+SUM($F127:AF127)-SUM($F128:AF128)-SUM($F133:AE133))</f>
        <v>0</v>
      </c>
      <c r="AG133" s="55">
        <f>IF(AG$2=1,0,$G129+$G130-SUM($F126:AG126)-AG131-AG132+SUM($F127:AG127)-SUM($F128:AG128)-SUM($F133:AF133))</f>
        <v>0</v>
      </c>
      <c r="AH133" s="55">
        <f>IF(AH$2=1,0,$G129+$G130-SUM($F126:AH126)-AH131-AH132+SUM($F127:AH127)-SUM($F128:AH128)-SUM($F133:AG133))</f>
        <v>0</v>
      </c>
      <c r="AI133" s="55">
        <f>IF(AI$2=1,0,$G129+$G130-SUM($F126:AI126)-AI131-AI132+SUM($F127:AI127)-SUM($F128:AI128)-SUM($F133:AH133))</f>
        <v>0</v>
      </c>
      <c r="AJ133" s="55">
        <f>IF(AJ$2=1,0,$G129+$G130-SUM($F126:AJ126)-AJ131-AJ132+SUM($F127:AJ127)-SUM($F128:AJ128)-SUM($F133:AI133))</f>
        <v>0</v>
      </c>
      <c r="AK133" s="55">
        <f>IF(AK$2=1,0,$G129+$G130-SUM($F126:AK126)-AK131-AK132+SUM($F127:AK127)-SUM($F128:AK128)-SUM($F133:AJ133))</f>
        <v>0</v>
      </c>
      <c r="AL133" s="55">
        <f>IF(AL$2=1,0,$G129+$G130-SUM($F126:AL126)-AL131-AL132+SUM($F127:AL127)-SUM($F128:AL128)-SUM($F133:AK133))</f>
        <v>0</v>
      </c>
      <c r="AM133" s="55">
        <f>IF(AM$2=1,0,$G129+$G130-SUM($F126:AM126)-AM131-AM132+SUM($F127:AM127)-SUM($F128:AM128)-SUM($F133:AL133))</f>
        <v>0</v>
      </c>
      <c r="AN133" s="55">
        <f>IF(AN$2=1,0,$G129+$G130-SUM($F126:AN126)-AN131-AN132+SUM($F127:AN127)-SUM($F128:AN128)-SUM($F133:AM133))</f>
        <v>0</v>
      </c>
      <c r="AO133" s="55">
        <f>IF(AO$2=1,0,$G129+$G130-SUM($F126:AO126)-AO131-AO132+SUM($F127:AO127)-SUM($F128:AO128)-SUM($F133:AN133))</f>
        <v>0</v>
      </c>
      <c r="AP133" s="55">
        <f>IF(AP$2=1,0,$G129+$G130-SUM($F126:AP126)-AP131-AP132+SUM($F127:AP127)-SUM($F128:AP128)-SUM($F133:AO133))</f>
        <v>0</v>
      </c>
      <c r="AQ133" s="55">
        <f>IF(AQ$2=1,0,$G129+$G130-SUM($F126:AQ126)-AQ131-AQ132+SUM($F127:AQ127)-SUM($F128:AQ128)-SUM($F133:AP133))</f>
        <v>0</v>
      </c>
      <c r="AR133" s="55">
        <f>IF(AR$2=1,0,$G129+$G130-SUM($F126:AR126)-AR131-AR132+SUM($F127:AR127)-SUM($F128:AR128)-SUM($F133:AQ133))</f>
        <v>0</v>
      </c>
      <c r="AS133" s="55">
        <f>IF(AS$2=1,0,$G129+$G130-SUM($F126:AS126)-AS131-AS132+SUM($F127:AS127)-SUM($F128:AS128)-SUM($F133:AR133))</f>
        <v>0</v>
      </c>
      <c r="AT133" s="55">
        <f>IF(AT$2=1,0,$G129+$G130-SUM($F126:AT126)-AT131-AT132+SUM($F127:AT127)-SUM($F128:AT128)-SUM($F133:AS133))</f>
        <v>0</v>
      </c>
      <c r="AU133" s="55">
        <f>IF(AU$2=1,0,$G129+$G130-SUM($F126:AU126)-AU131-AU132+SUM($F127:AU127)-SUM($F128:AU128)-SUM($F133:AT133))</f>
        <v>0</v>
      </c>
      <c r="AV133" s="55">
        <f>IF(AV$2=1,0,$G129+$G130-SUM($F126:AV126)-AV131-AV132+SUM($F127:AV127)-SUM($F128:AV128)-SUM($F133:AU133))</f>
        <v>0</v>
      </c>
      <c r="AW133" s="55">
        <f>IF(AW$2=1,0,$G129+$G130-SUM($F126:AW126)-AW131-AW132+SUM($F127:AW127)-SUM($F128:AW128)-SUM($F133:AV133))</f>
        <v>0</v>
      </c>
      <c r="AX133" s="55">
        <f>IF(AX$2=1,0,$G129+$G130-SUM($F126:AX126)-AX131-AX132+SUM($F127:AX127)-SUM($F128:AX128)-SUM($F133:AW133))</f>
        <v>0</v>
      </c>
      <c r="AY133" s="55">
        <f>IF(AY$2=1,0,$G129+$G130-SUM($F126:AY126)-AY131-AY132+SUM($F127:AY127)-SUM($F128:AY128)-SUM($F133:AX133))</f>
        <v>0</v>
      </c>
      <c r="AZ133" s="55">
        <f>IF(AZ$2=1,0,$G129+$G130-SUM($F126:AZ126)-AZ131-AZ132+SUM($F127:AZ127)-SUM($F128:AZ128)-SUM($F133:AY133))</f>
        <v>0</v>
      </c>
      <c r="BA133" s="55">
        <f>IF(BA$2=1,0,$G129+$G130-SUM($F126:BA126)-BA131-BA132+SUM($F127:BA127)-SUM($F128:BA128)-SUM($F133:AZ133))</f>
        <v>0</v>
      </c>
      <c r="BB133" s="55">
        <f>IF(BB$2=1,0,$G129+$G130-SUM($F126:BB126)-BB131-BB132+SUM($F127:BB127)-SUM($F128:BB128)-SUM($F133:BA133))</f>
        <v>0</v>
      </c>
      <c r="BC133" s="5"/>
      <c r="BD133" s="57">
        <f>SUM(G133:BC133)</f>
        <v>0</v>
      </c>
    </row>
    <row r="134" spans="1:56" s="34" customFormat="1" x14ac:dyDescent="0.3">
      <c r="A134" s="35"/>
      <c r="B134" s="55"/>
      <c r="C134" s="37"/>
      <c r="D134" s="6"/>
      <c r="E134" s="6"/>
      <c r="F134" s="6"/>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7"/>
    </row>
    <row r="135" spans="1:56" s="34" customFormat="1" x14ac:dyDescent="0.3">
      <c r="A135" s="10" t="str">
        <f ca="1">Language!A$582</f>
        <v>Прочие долгосрочные кредиты</v>
      </c>
      <c r="B135" s="5"/>
      <c r="C135" s="37" t="str">
        <f t="shared" ca="1" si="150"/>
        <v>руб.</v>
      </c>
      <c r="D135" s="6"/>
      <c r="E135" s="6"/>
      <c r="F135" s="6" t="s">
        <v>741</v>
      </c>
      <c r="G135" s="55">
        <f t="shared" ref="G135:BB135" si="174">IF(G$2=1, $B$37-$G$129, F135)</f>
        <v>0</v>
      </c>
      <c r="H135" s="55">
        <f t="shared" si="174"/>
        <v>0</v>
      </c>
      <c r="I135" s="55">
        <f t="shared" si="174"/>
        <v>0</v>
      </c>
      <c r="J135" s="55">
        <f t="shared" si="174"/>
        <v>0</v>
      </c>
      <c r="K135" s="55">
        <f t="shared" si="174"/>
        <v>0</v>
      </c>
      <c r="L135" s="55">
        <f t="shared" si="174"/>
        <v>0</v>
      </c>
      <c r="M135" s="55">
        <f t="shared" si="174"/>
        <v>0</v>
      </c>
      <c r="N135" s="55">
        <f t="shared" si="174"/>
        <v>0</v>
      </c>
      <c r="O135" s="55">
        <f t="shared" si="174"/>
        <v>0</v>
      </c>
      <c r="P135" s="55">
        <f t="shared" si="174"/>
        <v>0</v>
      </c>
      <c r="Q135" s="55">
        <f t="shared" si="174"/>
        <v>0</v>
      </c>
      <c r="R135" s="55">
        <f t="shared" si="174"/>
        <v>0</v>
      </c>
      <c r="S135" s="55">
        <f t="shared" si="174"/>
        <v>0</v>
      </c>
      <c r="T135" s="55">
        <f t="shared" si="174"/>
        <v>0</v>
      </c>
      <c r="U135" s="55">
        <f t="shared" si="174"/>
        <v>0</v>
      </c>
      <c r="V135" s="55">
        <f t="shared" si="174"/>
        <v>0</v>
      </c>
      <c r="W135" s="55">
        <f t="shared" si="174"/>
        <v>0</v>
      </c>
      <c r="X135" s="55">
        <f t="shared" si="174"/>
        <v>0</v>
      </c>
      <c r="Y135" s="55">
        <f t="shared" si="174"/>
        <v>0</v>
      </c>
      <c r="Z135" s="55">
        <f t="shared" si="174"/>
        <v>0</v>
      </c>
      <c r="AA135" s="55">
        <f t="shared" si="174"/>
        <v>0</v>
      </c>
      <c r="AB135" s="55">
        <f t="shared" si="174"/>
        <v>0</v>
      </c>
      <c r="AC135" s="55">
        <f t="shared" si="174"/>
        <v>0</v>
      </c>
      <c r="AD135" s="55">
        <f t="shared" si="174"/>
        <v>0</v>
      </c>
      <c r="AE135" s="55">
        <f t="shared" si="174"/>
        <v>0</v>
      </c>
      <c r="AF135" s="55">
        <f t="shared" si="174"/>
        <v>0</v>
      </c>
      <c r="AG135" s="55">
        <f t="shared" si="174"/>
        <v>0</v>
      </c>
      <c r="AH135" s="55">
        <f t="shared" si="174"/>
        <v>0</v>
      </c>
      <c r="AI135" s="55">
        <f t="shared" si="174"/>
        <v>0</v>
      </c>
      <c r="AJ135" s="55">
        <f t="shared" si="174"/>
        <v>0</v>
      </c>
      <c r="AK135" s="55">
        <f t="shared" si="174"/>
        <v>0</v>
      </c>
      <c r="AL135" s="55">
        <f t="shared" si="174"/>
        <v>0</v>
      </c>
      <c r="AM135" s="55">
        <f t="shared" si="174"/>
        <v>0</v>
      </c>
      <c r="AN135" s="55">
        <f t="shared" si="174"/>
        <v>0</v>
      </c>
      <c r="AO135" s="55">
        <f t="shared" si="174"/>
        <v>0</v>
      </c>
      <c r="AP135" s="55">
        <f t="shared" si="174"/>
        <v>0</v>
      </c>
      <c r="AQ135" s="55">
        <f t="shared" si="174"/>
        <v>0</v>
      </c>
      <c r="AR135" s="55">
        <f t="shared" si="174"/>
        <v>0</v>
      </c>
      <c r="AS135" s="55">
        <f t="shared" si="174"/>
        <v>0</v>
      </c>
      <c r="AT135" s="55">
        <f t="shared" si="174"/>
        <v>0</v>
      </c>
      <c r="AU135" s="55">
        <f t="shared" si="174"/>
        <v>0</v>
      </c>
      <c r="AV135" s="55">
        <f t="shared" si="174"/>
        <v>0</v>
      </c>
      <c r="AW135" s="55">
        <f t="shared" si="174"/>
        <v>0</v>
      </c>
      <c r="AX135" s="55">
        <f t="shared" si="174"/>
        <v>0</v>
      </c>
      <c r="AY135" s="55">
        <f t="shared" si="174"/>
        <v>0</v>
      </c>
      <c r="AZ135" s="55">
        <f t="shared" si="174"/>
        <v>0</v>
      </c>
      <c r="BA135" s="55">
        <f t="shared" si="174"/>
        <v>0</v>
      </c>
      <c r="BB135" s="55">
        <f t="shared" si="174"/>
        <v>0</v>
      </c>
      <c r="BC135" s="5"/>
      <c r="BD135" s="57"/>
    </row>
    <row r="136" spans="1:56" s="34" customFormat="1" x14ac:dyDescent="0.3">
      <c r="A136" s="10" t="str">
        <f ca="1">Language!A$583</f>
        <v>Прочие краткосрочные кредиты</v>
      </c>
      <c r="B136" s="5"/>
      <c r="C136" s="37" t="str">
        <f t="shared" ca="1" si="150"/>
        <v>руб.</v>
      </c>
      <c r="D136" s="6"/>
      <c r="E136" s="6"/>
      <c r="F136" s="6" t="s">
        <v>741</v>
      </c>
      <c r="G136" s="55">
        <f t="shared" ref="G136:BB136" si="175">IF(G$2=1, $B$33-$G$130, F136)</f>
        <v>0</v>
      </c>
      <c r="H136" s="55">
        <f t="shared" si="175"/>
        <v>0</v>
      </c>
      <c r="I136" s="55">
        <f t="shared" si="175"/>
        <v>0</v>
      </c>
      <c r="J136" s="55">
        <f t="shared" si="175"/>
        <v>0</v>
      </c>
      <c r="K136" s="55">
        <f t="shared" si="175"/>
        <v>0</v>
      </c>
      <c r="L136" s="55">
        <f t="shared" si="175"/>
        <v>0</v>
      </c>
      <c r="M136" s="55">
        <f t="shared" si="175"/>
        <v>0</v>
      </c>
      <c r="N136" s="55">
        <f t="shared" si="175"/>
        <v>0</v>
      </c>
      <c r="O136" s="55">
        <f t="shared" si="175"/>
        <v>0</v>
      </c>
      <c r="P136" s="55">
        <f t="shared" si="175"/>
        <v>0</v>
      </c>
      <c r="Q136" s="55">
        <f t="shared" si="175"/>
        <v>0</v>
      </c>
      <c r="R136" s="55">
        <f t="shared" si="175"/>
        <v>0</v>
      </c>
      <c r="S136" s="55">
        <f t="shared" si="175"/>
        <v>0</v>
      </c>
      <c r="T136" s="55">
        <f t="shared" si="175"/>
        <v>0</v>
      </c>
      <c r="U136" s="55">
        <f t="shared" si="175"/>
        <v>0</v>
      </c>
      <c r="V136" s="55">
        <f t="shared" si="175"/>
        <v>0</v>
      </c>
      <c r="W136" s="55">
        <f t="shared" si="175"/>
        <v>0</v>
      </c>
      <c r="X136" s="55">
        <f t="shared" si="175"/>
        <v>0</v>
      </c>
      <c r="Y136" s="55">
        <f t="shared" si="175"/>
        <v>0</v>
      </c>
      <c r="Z136" s="55">
        <f t="shared" si="175"/>
        <v>0</v>
      </c>
      <c r="AA136" s="55">
        <f t="shared" si="175"/>
        <v>0</v>
      </c>
      <c r="AB136" s="55">
        <f t="shared" si="175"/>
        <v>0</v>
      </c>
      <c r="AC136" s="55">
        <f t="shared" si="175"/>
        <v>0</v>
      </c>
      <c r="AD136" s="55">
        <f t="shared" si="175"/>
        <v>0</v>
      </c>
      <c r="AE136" s="55">
        <f t="shared" si="175"/>
        <v>0</v>
      </c>
      <c r="AF136" s="55">
        <f t="shared" si="175"/>
        <v>0</v>
      </c>
      <c r="AG136" s="55">
        <f t="shared" si="175"/>
        <v>0</v>
      </c>
      <c r="AH136" s="55">
        <f t="shared" si="175"/>
        <v>0</v>
      </c>
      <c r="AI136" s="55">
        <f t="shared" si="175"/>
        <v>0</v>
      </c>
      <c r="AJ136" s="55">
        <f t="shared" si="175"/>
        <v>0</v>
      </c>
      <c r="AK136" s="55">
        <f t="shared" si="175"/>
        <v>0</v>
      </c>
      <c r="AL136" s="55">
        <f t="shared" si="175"/>
        <v>0</v>
      </c>
      <c r="AM136" s="55">
        <f t="shared" si="175"/>
        <v>0</v>
      </c>
      <c r="AN136" s="55">
        <f t="shared" si="175"/>
        <v>0</v>
      </c>
      <c r="AO136" s="55">
        <f t="shared" si="175"/>
        <v>0</v>
      </c>
      <c r="AP136" s="55">
        <f t="shared" si="175"/>
        <v>0</v>
      </c>
      <c r="AQ136" s="55">
        <f t="shared" si="175"/>
        <v>0</v>
      </c>
      <c r="AR136" s="55">
        <f t="shared" si="175"/>
        <v>0</v>
      </c>
      <c r="AS136" s="55">
        <f t="shared" si="175"/>
        <v>0</v>
      </c>
      <c r="AT136" s="55">
        <f t="shared" si="175"/>
        <v>0</v>
      </c>
      <c r="AU136" s="55">
        <f t="shared" si="175"/>
        <v>0</v>
      </c>
      <c r="AV136" s="55">
        <f t="shared" si="175"/>
        <v>0</v>
      </c>
      <c r="AW136" s="55">
        <f t="shared" si="175"/>
        <v>0</v>
      </c>
      <c r="AX136" s="55">
        <f t="shared" si="175"/>
        <v>0</v>
      </c>
      <c r="AY136" s="55">
        <f t="shared" si="175"/>
        <v>0</v>
      </c>
      <c r="AZ136" s="55">
        <f t="shared" si="175"/>
        <v>0</v>
      </c>
      <c r="BA136" s="55">
        <f t="shared" si="175"/>
        <v>0</v>
      </c>
      <c r="BB136" s="55">
        <f t="shared" si="175"/>
        <v>0</v>
      </c>
      <c r="BC136" s="5"/>
      <c r="BD136" s="57"/>
    </row>
    <row r="137" spans="1:56" x14ac:dyDescent="0.3">
      <c r="A137" s="12"/>
      <c r="B137" s="13"/>
      <c r="C137" s="13"/>
      <c r="D137" s="14"/>
      <c r="E137" s="14" t="s">
        <v>930</v>
      </c>
      <c r="F137" s="14"/>
      <c r="G137" s="13"/>
      <c r="H137" s="13"/>
      <c r="I137" s="13"/>
      <c r="J137" s="13"/>
      <c r="K137" s="13"/>
      <c r="L137" s="13"/>
      <c r="M137" s="13"/>
      <c r="N137" s="13"/>
      <c r="O137" s="13"/>
      <c r="P137" s="13"/>
      <c r="Q137" s="13"/>
      <c r="R137" s="13"/>
      <c r="S137" s="13"/>
      <c r="T137" s="13"/>
      <c r="U137" s="13"/>
      <c r="V137" s="13"/>
      <c r="W137" s="13"/>
      <c r="X137" s="13"/>
      <c r="Y137" s="13"/>
      <c r="Z137" s="13"/>
      <c r="AA137" s="13"/>
      <c r="AB137" s="13"/>
      <c r="AC137" s="13"/>
      <c r="AD137" s="13"/>
      <c r="AE137" s="13"/>
      <c r="AF137" s="13"/>
      <c r="AG137" s="13"/>
      <c r="AH137" s="13"/>
      <c r="AI137" s="13"/>
      <c r="AJ137" s="13"/>
      <c r="AK137" s="13"/>
      <c r="AL137" s="13"/>
      <c r="AM137" s="13"/>
      <c r="AN137" s="13"/>
      <c r="AO137" s="13"/>
      <c r="AP137" s="13"/>
      <c r="AQ137" s="13"/>
      <c r="AR137" s="13"/>
      <c r="AS137" s="13"/>
      <c r="AT137" s="13"/>
      <c r="AU137" s="13"/>
      <c r="AV137" s="13"/>
      <c r="AW137" s="13"/>
      <c r="AX137" s="13"/>
      <c r="AY137" s="13"/>
      <c r="AZ137" s="13"/>
      <c r="BA137" s="13"/>
      <c r="BB137" s="13"/>
      <c r="BC137" s="13"/>
      <c r="BD137" s="65"/>
    </row>
  </sheetData>
  <sheetProtection formatCells="0"/>
  <dataConsolidate/>
  <mergeCells count="1">
    <mergeCell ref="A1:C2"/>
  </mergeCells>
  <conditionalFormatting sqref="G62:K62">
    <cfRule type="cellIs" dxfId="4" priority="85" operator="lessThan">
      <formula>0</formula>
    </cfRule>
  </conditionalFormatting>
  <conditionalFormatting sqref="B47">
    <cfRule type="expression" dxfId="3" priority="77">
      <formula>$B$47&lt;&gt;0</formula>
    </cfRule>
  </conditionalFormatting>
  <conditionalFormatting sqref="L62">
    <cfRule type="cellIs" dxfId="2" priority="55" operator="lessThan">
      <formula>0</formula>
    </cfRule>
  </conditionalFormatting>
  <conditionalFormatting sqref="M62:BB62">
    <cfRule type="cellIs" dxfId="1" priority="54" operator="lessThan">
      <formula>0</formula>
    </cfRule>
  </conditionalFormatting>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0485" r:id="rId3" name="Button 5">
              <controlPr defaultSize="0" print="0" autoFill="0" autoPict="0" macro="[0]!Show_Navigator">
                <anchor moveWithCells="1">
                  <from>
                    <xdr:col>0</xdr:col>
                    <xdr:colOff>38100</xdr:colOff>
                    <xdr:row>3</xdr:row>
                    <xdr:rowOff>38100</xdr:rowOff>
                  </from>
                  <to>
                    <xdr:col>0</xdr:col>
                    <xdr:colOff>289560</xdr:colOff>
                    <xdr:row>3</xdr:row>
                    <xdr:rowOff>289560</xdr:rowOff>
                  </to>
                </anchor>
              </controlPr>
            </control>
          </mc:Choice>
        </mc:AlternateContent>
        <mc:AlternateContent xmlns:mc="http://schemas.openxmlformats.org/markup-compatibility/2006">
          <mc:Choice Requires="x14">
            <control shapeId="20487" r:id="rId4" name="Button 7">
              <controlPr defaultSize="0" print="0" autoFill="0" autoPict="0" macro="[0]!Show_Navigator">
                <anchor moveWithCells="1">
                  <from>
                    <xdr:col>0</xdr:col>
                    <xdr:colOff>38100</xdr:colOff>
                    <xdr:row>54</xdr:row>
                    <xdr:rowOff>38100</xdr:rowOff>
                  </from>
                  <to>
                    <xdr:col>0</xdr:col>
                    <xdr:colOff>289560</xdr:colOff>
                    <xdr:row>54</xdr:row>
                    <xdr:rowOff>289560</xdr:rowOff>
                  </to>
                </anchor>
              </controlPr>
            </control>
          </mc:Choice>
        </mc:AlternateContent>
        <mc:AlternateContent xmlns:mc="http://schemas.openxmlformats.org/markup-compatibility/2006">
          <mc:Choice Requires="x14">
            <control shapeId="20488" r:id="rId5" name="Button 8">
              <controlPr defaultSize="0" print="0" autoFill="0" autoPict="0" macro="[0]!Show_Navigator">
                <anchor moveWithCells="1">
                  <from>
                    <xdr:col>0</xdr:col>
                    <xdr:colOff>38100</xdr:colOff>
                    <xdr:row>101</xdr:row>
                    <xdr:rowOff>38100</xdr:rowOff>
                  </from>
                  <to>
                    <xdr:col>0</xdr:col>
                    <xdr:colOff>289560</xdr:colOff>
                    <xdr:row>101</xdr:row>
                    <xdr:rowOff>289560</xdr:rowOff>
                  </to>
                </anchor>
              </controlPr>
            </control>
          </mc:Choice>
        </mc:AlternateContent>
        <mc:AlternateContent xmlns:mc="http://schemas.openxmlformats.org/markup-compatibility/2006">
          <mc:Choice Requires="x14">
            <control shapeId="20490" r:id="rId6" name="Button 10">
              <controlPr defaultSize="0" print="0" autoFill="0" autoPict="0" macro="[0]!Run_Data">
                <anchor moveWithCells="1">
                  <from>
                    <xdr:col>2</xdr:col>
                    <xdr:colOff>38100</xdr:colOff>
                    <xdr:row>101</xdr:row>
                    <xdr:rowOff>38100</xdr:rowOff>
                  </from>
                  <to>
                    <xdr:col>6</xdr:col>
                    <xdr:colOff>0</xdr:colOff>
                    <xdr:row>101</xdr:row>
                    <xdr:rowOff>289560</xdr:rowOff>
                  </to>
                </anchor>
              </controlPr>
            </control>
          </mc:Choice>
        </mc:AlternateContent>
        <mc:AlternateContent xmlns:mc="http://schemas.openxmlformats.org/markup-compatibility/2006">
          <mc:Choice Requires="x14">
            <control shapeId="20491" r:id="rId7" name="Button 11">
              <controlPr defaultSize="0" print="0" autoFill="0" autoPict="0" macro="[0]!Show_Navigator">
                <anchor moveWithCells="1">
                  <from>
                    <xdr:col>0</xdr:col>
                    <xdr:colOff>38100</xdr:colOff>
                    <xdr:row>89</xdr:row>
                    <xdr:rowOff>38100</xdr:rowOff>
                  </from>
                  <to>
                    <xdr:col>0</xdr:col>
                    <xdr:colOff>289560</xdr:colOff>
                    <xdr:row>89</xdr:row>
                    <xdr:rowOff>289560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3">
    <tabColor rgb="FF92D050"/>
    <outlinePr summaryBelow="0" summaryRight="0"/>
  </sheetPr>
  <dimension ref="A1:AEE1356"/>
  <sheetViews>
    <sheetView workbookViewId="0">
      <pane xSplit="6" ySplit="2" topLeftCell="AQ1182" activePane="bottomRight" state="frozen"/>
      <selection pane="topRight" activeCell="G1" sqref="G1"/>
      <selection pane="bottomLeft" activeCell="A3" sqref="A3"/>
      <selection pane="bottomRight" activeCell="AX1232" sqref="AX1232"/>
    </sheetView>
  </sheetViews>
  <sheetFormatPr defaultColWidth="8.77734375" defaultRowHeight="13.8" outlineLevelRow="1" x14ac:dyDescent="0.3"/>
  <cols>
    <col min="1" max="1" width="50.5546875" style="169" customWidth="1"/>
    <col min="2" max="3" width="12.5546875" style="169" customWidth="1"/>
    <col min="4" max="4" width="6.5546875" style="170" hidden="1" customWidth="1"/>
    <col min="5" max="5" width="12.5546875" style="170" hidden="1" customWidth="1"/>
    <col min="6" max="6" width="24.5546875" style="170" hidden="1" customWidth="1"/>
    <col min="7" max="54" width="12.5546875" style="169" customWidth="1"/>
    <col min="55" max="55" width="1.5546875" style="169" customWidth="1"/>
    <col min="56" max="56" width="12.5546875" style="171" customWidth="1"/>
    <col min="57" max="16384" width="8.77734375" style="169"/>
  </cols>
  <sheetData>
    <row r="1" spans="1:56" s="165" customFormat="1" ht="12.75" customHeight="1" x14ac:dyDescent="0.2">
      <c r="A1" s="458" t="str">
        <f ca="1">Language!A$584 &amp; " :: " &amp; Prj_Name</f>
        <v>Данные :: SPORT PLACE</v>
      </c>
      <c r="B1" s="459"/>
      <c r="C1" s="459"/>
      <c r="D1" s="163" t="s">
        <v>6</v>
      </c>
      <c r="E1" s="163" t="s">
        <v>4</v>
      </c>
      <c r="F1" s="163" t="s">
        <v>5</v>
      </c>
      <c r="G1" s="163" t="str">
        <f ca="1">Параметры!G$34</f>
        <v>янв.25</v>
      </c>
      <c r="H1" s="163" t="str">
        <f ca="1">Параметры!H$34</f>
        <v>фев.25</v>
      </c>
      <c r="I1" s="163" t="str">
        <f ca="1">Параметры!I$34</f>
        <v>мар.25</v>
      </c>
      <c r="J1" s="163" t="str">
        <f ca="1">Параметры!J$34</f>
        <v>апр.25</v>
      </c>
      <c r="K1" s="163" t="str">
        <f ca="1">Параметры!K$34</f>
        <v>май.25</v>
      </c>
      <c r="L1" s="163" t="str">
        <f ca="1">Параметры!L$34</f>
        <v>июн.25</v>
      </c>
      <c r="M1" s="163" t="str">
        <f ca="1">Параметры!M$34</f>
        <v>июл.25</v>
      </c>
      <c r="N1" s="163" t="str">
        <f ca="1">Параметры!N$34</f>
        <v>авг.25</v>
      </c>
      <c r="O1" s="163" t="str">
        <f ca="1">Параметры!O$34</f>
        <v>сен.25</v>
      </c>
      <c r="P1" s="163" t="str">
        <f ca="1">Параметры!P$34</f>
        <v>окт.25</v>
      </c>
      <c r="Q1" s="163" t="str">
        <f ca="1">Параметры!Q$34</f>
        <v>ноя.25</v>
      </c>
      <c r="R1" s="163" t="str">
        <f ca="1">Параметры!R$34</f>
        <v>дек.25</v>
      </c>
      <c r="S1" s="163" t="str">
        <f ca="1">Параметры!S$34</f>
        <v>янв.26</v>
      </c>
      <c r="T1" s="163" t="str">
        <f ca="1">Параметры!T$34</f>
        <v>фев.26</v>
      </c>
      <c r="U1" s="163" t="str">
        <f ca="1">Параметры!U$34</f>
        <v>мар.26</v>
      </c>
      <c r="V1" s="163" t="str">
        <f ca="1">Параметры!V$34</f>
        <v>апр.26</v>
      </c>
      <c r="W1" s="163" t="str">
        <f ca="1">Параметры!W$34</f>
        <v>май.26</v>
      </c>
      <c r="X1" s="163" t="str">
        <f ca="1">Параметры!X$34</f>
        <v>июн.26</v>
      </c>
      <c r="Y1" s="163" t="str">
        <f ca="1">Параметры!Y$34</f>
        <v>июл.26</v>
      </c>
      <c r="Z1" s="163" t="str">
        <f ca="1">Параметры!Z$34</f>
        <v>авг.26</v>
      </c>
      <c r="AA1" s="163" t="str">
        <f ca="1">Параметры!AA$34</f>
        <v>сен.26</v>
      </c>
      <c r="AB1" s="163" t="str">
        <f ca="1">Параметры!AB$34</f>
        <v>окт.26</v>
      </c>
      <c r="AC1" s="163" t="str">
        <f ca="1">Параметры!AC$34</f>
        <v>ноя.26</v>
      </c>
      <c r="AD1" s="163" t="str">
        <f ca="1">Параметры!AD$34</f>
        <v>дек.26</v>
      </c>
      <c r="AE1" s="163" t="str">
        <f ca="1">Параметры!AE$34</f>
        <v>янв.27</v>
      </c>
      <c r="AF1" s="163" t="str">
        <f ca="1">Параметры!AF$34</f>
        <v>фев.27</v>
      </c>
      <c r="AG1" s="163" t="str">
        <f ca="1">Параметры!AG$34</f>
        <v>мар.27</v>
      </c>
      <c r="AH1" s="163" t="str">
        <f ca="1">Параметры!AH$34</f>
        <v>апр.27</v>
      </c>
      <c r="AI1" s="163" t="str">
        <f ca="1">Параметры!AI$34</f>
        <v>май.27</v>
      </c>
      <c r="AJ1" s="163" t="str">
        <f ca="1">Параметры!AJ$34</f>
        <v>июн.27</v>
      </c>
      <c r="AK1" s="163" t="str">
        <f ca="1">Параметры!AK$34</f>
        <v>июл.27</v>
      </c>
      <c r="AL1" s="163" t="str">
        <f ca="1">Параметры!AL$34</f>
        <v>авг.27</v>
      </c>
      <c r="AM1" s="163" t="str">
        <f ca="1">Параметры!AM$34</f>
        <v>сен.27</v>
      </c>
      <c r="AN1" s="163" t="str">
        <f ca="1">Параметры!AN$34</f>
        <v>окт.27</v>
      </c>
      <c r="AO1" s="163" t="str">
        <f ca="1">Параметры!AO$34</f>
        <v>ноя.27</v>
      </c>
      <c r="AP1" s="163" t="str">
        <f ca="1">Параметры!AP$34</f>
        <v>дек.27</v>
      </c>
      <c r="AQ1" s="163" t="str">
        <f ca="1">Параметры!AQ$34</f>
        <v>янв.28</v>
      </c>
      <c r="AR1" s="163" t="str">
        <f ca="1">Параметры!AR$34</f>
        <v>фев.28</v>
      </c>
      <c r="AS1" s="163" t="str">
        <f ca="1">Параметры!AS$34</f>
        <v>мар.28</v>
      </c>
      <c r="AT1" s="163" t="str">
        <f ca="1">Параметры!AT$34</f>
        <v>апр.28</v>
      </c>
      <c r="AU1" s="163" t="str">
        <f ca="1">Параметры!AU$34</f>
        <v>май.28</v>
      </c>
      <c r="AV1" s="163" t="str">
        <f ca="1">Параметры!AV$34</f>
        <v>июн.28</v>
      </c>
      <c r="AW1" s="163" t="str">
        <f ca="1">Параметры!AW$34</f>
        <v>июл.28</v>
      </c>
      <c r="AX1" s="163" t="str">
        <f ca="1">Параметры!AX$34</f>
        <v>авг.28</v>
      </c>
      <c r="AY1" s="163" t="str">
        <f ca="1">Параметры!AY$34</f>
        <v>сен.28</v>
      </c>
      <c r="AZ1" s="163" t="str">
        <f ca="1">Параметры!AZ$34</f>
        <v>окт.28</v>
      </c>
      <c r="BA1" s="163" t="str">
        <f ca="1">Параметры!BA$34</f>
        <v>ноя.28</v>
      </c>
      <c r="BB1" s="163" t="str">
        <f ca="1">Параметры!BB$34</f>
        <v>дек.28</v>
      </c>
      <c r="BC1" s="163"/>
      <c r="BD1" s="164" t="str">
        <f ca="1">Language!$A$1473</f>
        <v>ИТОГО</v>
      </c>
    </row>
    <row r="2" spans="1:56" s="165" customFormat="1" ht="12.75" customHeight="1" x14ac:dyDescent="0.2">
      <c r="A2" s="459"/>
      <c r="B2" s="459"/>
      <c r="C2" s="459"/>
      <c r="D2" s="166"/>
      <c r="E2" s="166"/>
      <c r="F2" s="166"/>
      <c r="G2" s="163">
        <f>Параметры!G25</f>
        <v>1</v>
      </c>
      <c r="H2" s="163">
        <f>Параметры!H25</f>
        <v>2</v>
      </c>
      <c r="I2" s="163">
        <f>Параметры!I25</f>
        <v>3</v>
      </c>
      <c r="J2" s="163">
        <f>Параметры!J25</f>
        <v>4</v>
      </c>
      <c r="K2" s="163">
        <f>Параметры!K25</f>
        <v>5</v>
      </c>
      <c r="L2" s="163">
        <f>Параметры!L25</f>
        <v>6</v>
      </c>
      <c r="M2" s="163">
        <f>Параметры!M25</f>
        <v>7</v>
      </c>
      <c r="N2" s="163">
        <f>Параметры!N25</f>
        <v>8</v>
      </c>
      <c r="O2" s="163">
        <f>Параметры!O25</f>
        <v>9</v>
      </c>
      <c r="P2" s="163">
        <f>Параметры!P25</f>
        <v>10</v>
      </c>
      <c r="Q2" s="163">
        <f>Параметры!Q25</f>
        <v>11</v>
      </c>
      <c r="R2" s="163">
        <f>Параметры!R25</f>
        <v>12</v>
      </c>
      <c r="S2" s="163">
        <f>Параметры!S25</f>
        <v>13</v>
      </c>
      <c r="T2" s="163">
        <f>Параметры!T25</f>
        <v>14</v>
      </c>
      <c r="U2" s="163">
        <f>Параметры!U25</f>
        <v>15</v>
      </c>
      <c r="V2" s="163">
        <f>Параметры!V25</f>
        <v>16</v>
      </c>
      <c r="W2" s="163">
        <f>Параметры!W25</f>
        <v>17</v>
      </c>
      <c r="X2" s="163">
        <f>Параметры!X25</f>
        <v>18</v>
      </c>
      <c r="Y2" s="163">
        <f>Параметры!Y25</f>
        <v>19</v>
      </c>
      <c r="Z2" s="163">
        <f>Параметры!Z25</f>
        <v>20</v>
      </c>
      <c r="AA2" s="163">
        <f>Параметры!AA25</f>
        <v>21</v>
      </c>
      <c r="AB2" s="163">
        <f>Параметры!AB25</f>
        <v>22</v>
      </c>
      <c r="AC2" s="163">
        <f>Параметры!AC25</f>
        <v>23</v>
      </c>
      <c r="AD2" s="163">
        <f>Параметры!AD25</f>
        <v>24</v>
      </c>
      <c r="AE2" s="163">
        <f>Параметры!AE25</f>
        <v>25</v>
      </c>
      <c r="AF2" s="163">
        <f>Параметры!AF25</f>
        <v>26</v>
      </c>
      <c r="AG2" s="163">
        <f>Параметры!AG25</f>
        <v>27</v>
      </c>
      <c r="AH2" s="163">
        <f>Параметры!AH25</f>
        <v>28</v>
      </c>
      <c r="AI2" s="163">
        <f>Параметры!AI25</f>
        <v>29</v>
      </c>
      <c r="AJ2" s="163">
        <f>Параметры!AJ25</f>
        <v>30</v>
      </c>
      <c r="AK2" s="163">
        <f>Параметры!AK25</f>
        <v>31</v>
      </c>
      <c r="AL2" s="163">
        <f>Параметры!AL25</f>
        <v>32</v>
      </c>
      <c r="AM2" s="163">
        <f>Параметры!AM25</f>
        <v>33</v>
      </c>
      <c r="AN2" s="163">
        <f>Параметры!AN25</f>
        <v>34</v>
      </c>
      <c r="AO2" s="163">
        <f>Параметры!AO25</f>
        <v>35</v>
      </c>
      <c r="AP2" s="163">
        <f>Параметры!AP25</f>
        <v>36</v>
      </c>
      <c r="AQ2" s="163">
        <f>Параметры!AQ25</f>
        <v>37</v>
      </c>
      <c r="AR2" s="163">
        <f>Параметры!AR25</f>
        <v>38</v>
      </c>
      <c r="AS2" s="163">
        <f>Параметры!AS25</f>
        <v>39</v>
      </c>
      <c r="AT2" s="163">
        <f>Параметры!AT25</f>
        <v>40</v>
      </c>
      <c r="AU2" s="163">
        <f>Параметры!AU25</f>
        <v>41</v>
      </c>
      <c r="AV2" s="163">
        <f>Параметры!AV25</f>
        <v>42</v>
      </c>
      <c r="AW2" s="163">
        <f>Параметры!AW25</f>
        <v>43</v>
      </c>
      <c r="AX2" s="163">
        <f>Параметры!AX25</f>
        <v>44</v>
      </c>
      <c r="AY2" s="163">
        <f>Параметры!AY25</f>
        <v>45</v>
      </c>
      <c r="AZ2" s="163">
        <f>Параметры!AZ25</f>
        <v>46</v>
      </c>
      <c r="BA2" s="163">
        <f>Параметры!BA25</f>
        <v>47</v>
      </c>
      <c r="BB2" s="163">
        <f>Параметры!BB25</f>
        <v>48</v>
      </c>
      <c r="BC2" s="163"/>
      <c r="BD2" s="167"/>
    </row>
    <row r="4" spans="1:56" s="168" customFormat="1" ht="25.5" customHeight="1" thickBot="1" x14ac:dyDescent="0.35">
      <c r="A4" s="330" t="str">
        <f ca="1">Language!A$585</f>
        <v>ПРОДАЖИ</v>
      </c>
      <c r="B4" s="331"/>
      <c r="C4" s="332"/>
      <c r="D4" s="333"/>
      <c r="E4" s="333" t="s">
        <v>888</v>
      </c>
      <c r="F4" s="333"/>
      <c r="G4" s="334" t="str">
        <f ca="1">Параметры!G$34</f>
        <v>янв.25</v>
      </c>
      <c r="H4" s="334" t="str">
        <f ca="1">Параметры!H$34</f>
        <v>фев.25</v>
      </c>
      <c r="I4" s="334" t="str">
        <f ca="1">Параметры!I$34</f>
        <v>мар.25</v>
      </c>
      <c r="J4" s="334" t="str">
        <f ca="1">Параметры!J$34</f>
        <v>апр.25</v>
      </c>
      <c r="K4" s="334" t="str">
        <f ca="1">Параметры!K$34</f>
        <v>май.25</v>
      </c>
      <c r="L4" s="334" t="str">
        <f ca="1">Параметры!L$34</f>
        <v>июн.25</v>
      </c>
      <c r="M4" s="335" t="str">
        <f ca="1">Параметры!M$34</f>
        <v>июл.25</v>
      </c>
      <c r="N4" s="335" t="str">
        <f ca="1">Параметры!N$34</f>
        <v>авг.25</v>
      </c>
      <c r="O4" s="335" t="str">
        <f ca="1">Параметры!O$34</f>
        <v>сен.25</v>
      </c>
      <c r="P4" s="335" t="str">
        <f ca="1">Параметры!P$34</f>
        <v>окт.25</v>
      </c>
      <c r="Q4" s="335" t="str">
        <f ca="1">Параметры!Q$34</f>
        <v>ноя.25</v>
      </c>
      <c r="R4" s="335" t="str">
        <f ca="1">Параметры!R$34</f>
        <v>дек.25</v>
      </c>
      <c r="S4" s="335" t="str">
        <f ca="1">Параметры!S$34</f>
        <v>янв.26</v>
      </c>
      <c r="T4" s="335" t="str">
        <f ca="1">Параметры!T$34</f>
        <v>фев.26</v>
      </c>
      <c r="U4" s="335" t="str">
        <f ca="1">Параметры!U$34</f>
        <v>мар.26</v>
      </c>
      <c r="V4" s="335" t="str">
        <f ca="1">Параметры!V$34</f>
        <v>апр.26</v>
      </c>
      <c r="W4" s="335" t="str">
        <f ca="1">Параметры!W$34</f>
        <v>май.26</v>
      </c>
      <c r="X4" s="335" t="str">
        <f ca="1">Параметры!X$34</f>
        <v>июн.26</v>
      </c>
      <c r="Y4" s="335" t="str">
        <f ca="1">Параметры!Y$34</f>
        <v>июл.26</v>
      </c>
      <c r="Z4" s="335" t="str">
        <f ca="1">Параметры!Z$34</f>
        <v>авг.26</v>
      </c>
      <c r="AA4" s="335" t="str">
        <f ca="1">Параметры!AA$34</f>
        <v>сен.26</v>
      </c>
      <c r="AB4" s="335" t="str">
        <f ca="1">Параметры!AB$34</f>
        <v>окт.26</v>
      </c>
      <c r="AC4" s="335" t="str">
        <f ca="1">Параметры!AC$34</f>
        <v>ноя.26</v>
      </c>
      <c r="AD4" s="335" t="str">
        <f ca="1">Параметры!AD$34</f>
        <v>дек.26</v>
      </c>
      <c r="AE4" s="335" t="str">
        <f ca="1">Параметры!AE$34</f>
        <v>янв.27</v>
      </c>
      <c r="AF4" s="335" t="str">
        <f ca="1">Параметры!AF$34</f>
        <v>фев.27</v>
      </c>
      <c r="AG4" s="335" t="str">
        <f ca="1">Параметры!AG$34</f>
        <v>мар.27</v>
      </c>
      <c r="AH4" s="335" t="str">
        <f ca="1">Параметры!AH$34</f>
        <v>апр.27</v>
      </c>
      <c r="AI4" s="335" t="str">
        <f ca="1">Параметры!AI$34</f>
        <v>май.27</v>
      </c>
      <c r="AJ4" s="335" t="str">
        <f ca="1">Параметры!AJ$34</f>
        <v>июн.27</v>
      </c>
      <c r="AK4" s="335" t="str">
        <f ca="1">Параметры!AK$34</f>
        <v>июл.27</v>
      </c>
      <c r="AL4" s="335" t="str">
        <f ca="1">Параметры!AL$34</f>
        <v>авг.27</v>
      </c>
      <c r="AM4" s="335" t="str">
        <f ca="1">Параметры!AM$34</f>
        <v>сен.27</v>
      </c>
      <c r="AN4" s="335" t="str">
        <f ca="1">Параметры!AN$34</f>
        <v>окт.27</v>
      </c>
      <c r="AO4" s="335" t="str">
        <f ca="1">Параметры!AO$34</f>
        <v>ноя.27</v>
      </c>
      <c r="AP4" s="335" t="str">
        <f ca="1">Параметры!AP$34</f>
        <v>дек.27</v>
      </c>
      <c r="AQ4" s="335" t="str">
        <f ca="1">Параметры!AQ$34</f>
        <v>янв.28</v>
      </c>
      <c r="AR4" s="335" t="str">
        <f ca="1">Параметры!AR$34</f>
        <v>фев.28</v>
      </c>
      <c r="AS4" s="335" t="str">
        <f ca="1">Параметры!AS$34</f>
        <v>мар.28</v>
      </c>
      <c r="AT4" s="335" t="str">
        <f ca="1">Параметры!AT$34</f>
        <v>апр.28</v>
      </c>
      <c r="AU4" s="335" t="str">
        <f ca="1">Параметры!AU$34</f>
        <v>май.28</v>
      </c>
      <c r="AV4" s="335" t="str">
        <f ca="1">Параметры!AV$34</f>
        <v>июн.28</v>
      </c>
      <c r="AW4" s="335" t="str">
        <f ca="1">Параметры!AW$34</f>
        <v>июл.28</v>
      </c>
      <c r="AX4" s="335" t="str">
        <f ca="1">Параметры!AX$34</f>
        <v>авг.28</v>
      </c>
      <c r="AY4" s="335" t="str">
        <f ca="1">Параметры!AY$34</f>
        <v>сен.28</v>
      </c>
      <c r="AZ4" s="335" t="str">
        <f ca="1">Параметры!AZ$34</f>
        <v>окт.28</v>
      </c>
      <c r="BA4" s="335" t="str">
        <f ca="1">Параметры!BA$34</f>
        <v>ноя.28</v>
      </c>
      <c r="BB4" s="335" t="str">
        <f ca="1">Параметры!BB$34</f>
        <v>дек.28</v>
      </c>
      <c r="BC4" s="335"/>
      <c r="BD4" s="336" t="str">
        <f ca="1">Language!$A$1473</f>
        <v>ИТОГО</v>
      </c>
    </row>
    <row r="5" spans="1:56" ht="14.4" hidden="1" thickTop="1" x14ac:dyDescent="0.3">
      <c r="E5" s="170" t="s">
        <v>642</v>
      </c>
      <c r="F5" s="170" t="s">
        <v>643</v>
      </c>
    </row>
    <row r="6" spans="1:56" ht="14.4" hidden="1" thickTop="1" x14ac:dyDescent="0.3">
      <c r="A6" s="283" t="str">
        <f ca="1">Language!A$586</f>
        <v>Шаблон продажи без единиц</v>
      </c>
      <c r="B6" s="172"/>
      <c r="C6" s="173"/>
      <c r="D6" s="174">
        <v>1</v>
      </c>
      <c r="F6" s="170" t="s">
        <v>1180</v>
      </c>
    </row>
    <row r="7" spans="1:56" ht="14.4" hidden="1" thickTop="1" x14ac:dyDescent="0.3">
      <c r="A7" s="175" t="str">
        <f ca="1">Language!A$588</f>
        <v>объем продаж за период, без учета инфляции</v>
      </c>
      <c r="B7" s="284">
        <v>0</v>
      </c>
      <c r="C7" s="176" t="str">
        <f t="shared" ref="C7:C10" ca="1" si="0">CHOOSE(D7,CurName1,CurName2,CurName3)</f>
        <v>руб.</v>
      </c>
      <c r="D7" s="174">
        <f>D6</f>
        <v>1</v>
      </c>
      <c r="F7" s="170" t="s">
        <v>2341</v>
      </c>
      <c r="G7" s="285">
        <f>IF(G$2=1,$B7,F7)</f>
        <v>0</v>
      </c>
      <c r="H7" s="285">
        <f t="shared" ref="H7:BB7" si="1">IF(H$2=1,$B7,G7)</f>
        <v>0</v>
      </c>
      <c r="I7" s="285">
        <f t="shared" si="1"/>
        <v>0</v>
      </c>
      <c r="J7" s="285">
        <f t="shared" si="1"/>
        <v>0</v>
      </c>
      <c r="K7" s="285">
        <f t="shared" si="1"/>
        <v>0</v>
      </c>
      <c r="L7" s="285">
        <f t="shared" si="1"/>
        <v>0</v>
      </c>
      <c r="M7" s="285">
        <f t="shared" si="1"/>
        <v>0</v>
      </c>
      <c r="N7" s="285">
        <f t="shared" si="1"/>
        <v>0</v>
      </c>
      <c r="O7" s="285">
        <f t="shared" si="1"/>
        <v>0</v>
      </c>
      <c r="P7" s="285">
        <f t="shared" si="1"/>
        <v>0</v>
      </c>
      <c r="Q7" s="285">
        <f t="shared" si="1"/>
        <v>0</v>
      </c>
      <c r="R7" s="285">
        <f t="shared" si="1"/>
        <v>0</v>
      </c>
      <c r="S7" s="285">
        <f t="shared" si="1"/>
        <v>0</v>
      </c>
      <c r="T7" s="285">
        <f t="shared" si="1"/>
        <v>0</v>
      </c>
      <c r="U7" s="285">
        <f t="shared" si="1"/>
        <v>0</v>
      </c>
      <c r="V7" s="285">
        <f t="shared" si="1"/>
        <v>0</v>
      </c>
      <c r="W7" s="285">
        <f t="shared" si="1"/>
        <v>0</v>
      </c>
      <c r="X7" s="285">
        <f t="shared" si="1"/>
        <v>0</v>
      </c>
      <c r="Y7" s="285">
        <f t="shared" si="1"/>
        <v>0</v>
      </c>
      <c r="Z7" s="285">
        <f t="shared" si="1"/>
        <v>0</v>
      </c>
      <c r="AA7" s="285">
        <f t="shared" si="1"/>
        <v>0</v>
      </c>
      <c r="AB7" s="285">
        <f t="shared" si="1"/>
        <v>0</v>
      </c>
      <c r="AC7" s="285">
        <f t="shared" si="1"/>
        <v>0</v>
      </c>
      <c r="AD7" s="285">
        <f t="shared" si="1"/>
        <v>0</v>
      </c>
      <c r="AE7" s="285">
        <f t="shared" si="1"/>
        <v>0</v>
      </c>
      <c r="AF7" s="285">
        <f t="shared" si="1"/>
        <v>0</v>
      </c>
      <c r="AG7" s="285">
        <f t="shared" si="1"/>
        <v>0</v>
      </c>
      <c r="AH7" s="285">
        <f t="shared" si="1"/>
        <v>0</v>
      </c>
      <c r="AI7" s="285">
        <f t="shared" si="1"/>
        <v>0</v>
      </c>
      <c r="AJ7" s="285">
        <f t="shared" si="1"/>
        <v>0</v>
      </c>
      <c r="AK7" s="285">
        <f t="shared" si="1"/>
        <v>0</v>
      </c>
      <c r="AL7" s="285">
        <f t="shared" si="1"/>
        <v>0</v>
      </c>
      <c r="AM7" s="285">
        <f t="shared" si="1"/>
        <v>0</v>
      </c>
      <c r="AN7" s="285">
        <f t="shared" si="1"/>
        <v>0</v>
      </c>
      <c r="AO7" s="285">
        <f t="shared" si="1"/>
        <v>0</v>
      </c>
      <c r="AP7" s="285">
        <f t="shared" si="1"/>
        <v>0</v>
      </c>
      <c r="AQ7" s="285">
        <f t="shared" si="1"/>
        <v>0</v>
      </c>
      <c r="AR7" s="285">
        <f t="shared" si="1"/>
        <v>0</v>
      </c>
      <c r="AS7" s="285">
        <f t="shared" si="1"/>
        <v>0</v>
      </c>
      <c r="AT7" s="285">
        <f t="shared" si="1"/>
        <v>0</v>
      </c>
      <c r="AU7" s="285">
        <f t="shared" si="1"/>
        <v>0</v>
      </c>
      <c r="AV7" s="285">
        <f t="shared" si="1"/>
        <v>0</v>
      </c>
      <c r="AW7" s="285">
        <f t="shared" si="1"/>
        <v>0</v>
      </c>
      <c r="AX7" s="285">
        <f t="shared" si="1"/>
        <v>0</v>
      </c>
      <c r="AY7" s="285">
        <f t="shared" si="1"/>
        <v>0</v>
      </c>
      <c r="AZ7" s="285">
        <f t="shared" si="1"/>
        <v>0</v>
      </c>
      <c r="BA7" s="285">
        <f t="shared" si="1"/>
        <v>0</v>
      </c>
      <c r="BB7" s="285">
        <f t="shared" si="1"/>
        <v>0</v>
      </c>
      <c r="BC7" s="177"/>
      <c r="BD7" s="178">
        <f>SUM(G7:BC7)</f>
        <v>0</v>
      </c>
    </row>
    <row r="8" spans="1:56" ht="14.4" hidden="1" thickTop="1" x14ac:dyDescent="0.3">
      <c r="A8" s="175" t="str">
        <f ca="1">Language!A$587</f>
        <v>коэффициент продаж периода</v>
      </c>
      <c r="B8" s="179"/>
      <c r="C8" s="179" t="s">
        <v>1</v>
      </c>
      <c r="F8" s="170" t="s">
        <v>749</v>
      </c>
      <c r="G8" s="286">
        <f t="shared" ref="G8:BB8" si="2">IF(G$2&gt;Prj_Invest,1,0)</f>
        <v>0</v>
      </c>
      <c r="H8" s="286">
        <f t="shared" si="2"/>
        <v>0</v>
      </c>
      <c r="I8" s="286">
        <f t="shared" si="2"/>
        <v>0</v>
      </c>
      <c r="J8" s="286">
        <f t="shared" si="2"/>
        <v>0</v>
      </c>
      <c r="K8" s="286">
        <f t="shared" si="2"/>
        <v>0</v>
      </c>
      <c r="L8" s="286">
        <f t="shared" si="2"/>
        <v>0</v>
      </c>
      <c r="M8" s="286">
        <f t="shared" si="2"/>
        <v>1</v>
      </c>
      <c r="N8" s="286">
        <f t="shared" si="2"/>
        <v>1</v>
      </c>
      <c r="O8" s="286">
        <f t="shared" si="2"/>
        <v>1</v>
      </c>
      <c r="P8" s="286">
        <f t="shared" si="2"/>
        <v>1</v>
      </c>
      <c r="Q8" s="286">
        <f t="shared" si="2"/>
        <v>1</v>
      </c>
      <c r="R8" s="286">
        <f t="shared" si="2"/>
        <v>1</v>
      </c>
      <c r="S8" s="286">
        <f t="shared" si="2"/>
        <v>1</v>
      </c>
      <c r="T8" s="286">
        <f t="shared" si="2"/>
        <v>1</v>
      </c>
      <c r="U8" s="286">
        <f t="shared" si="2"/>
        <v>1</v>
      </c>
      <c r="V8" s="286">
        <f t="shared" si="2"/>
        <v>1</v>
      </c>
      <c r="W8" s="286">
        <f t="shared" si="2"/>
        <v>1</v>
      </c>
      <c r="X8" s="286">
        <f t="shared" si="2"/>
        <v>1</v>
      </c>
      <c r="Y8" s="286">
        <f t="shared" si="2"/>
        <v>1</v>
      </c>
      <c r="Z8" s="286">
        <f t="shared" si="2"/>
        <v>1</v>
      </c>
      <c r="AA8" s="286">
        <f t="shared" si="2"/>
        <v>1</v>
      </c>
      <c r="AB8" s="286">
        <f t="shared" si="2"/>
        <v>1</v>
      </c>
      <c r="AC8" s="286">
        <f t="shared" si="2"/>
        <v>1</v>
      </c>
      <c r="AD8" s="286">
        <f t="shared" si="2"/>
        <v>1</v>
      </c>
      <c r="AE8" s="286">
        <f t="shared" si="2"/>
        <v>1</v>
      </c>
      <c r="AF8" s="286">
        <f t="shared" si="2"/>
        <v>1</v>
      </c>
      <c r="AG8" s="286">
        <f t="shared" si="2"/>
        <v>1</v>
      </c>
      <c r="AH8" s="286">
        <f t="shared" si="2"/>
        <v>1</v>
      </c>
      <c r="AI8" s="286">
        <f t="shared" si="2"/>
        <v>1</v>
      </c>
      <c r="AJ8" s="286">
        <f t="shared" si="2"/>
        <v>1</v>
      </c>
      <c r="AK8" s="286">
        <f t="shared" si="2"/>
        <v>1</v>
      </c>
      <c r="AL8" s="286">
        <f t="shared" si="2"/>
        <v>1</v>
      </c>
      <c r="AM8" s="286">
        <f t="shared" si="2"/>
        <v>1</v>
      </c>
      <c r="AN8" s="286">
        <f t="shared" si="2"/>
        <v>1</v>
      </c>
      <c r="AO8" s="286">
        <f t="shared" si="2"/>
        <v>1</v>
      </c>
      <c r="AP8" s="286">
        <f t="shared" si="2"/>
        <v>1</v>
      </c>
      <c r="AQ8" s="286">
        <f t="shared" si="2"/>
        <v>1</v>
      </c>
      <c r="AR8" s="286">
        <f t="shared" si="2"/>
        <v>1</v>
      </c>
      <c r="AS8" s="286">
        <f t="shared" si="2"/>
        <v>1</v>
      </c>
      <c r="AT8" s="286">
        <f t="shared" si="2"/>
        <v>1</v>
      </c>
      <c r="AU8" s="286">
        <f t="shared" si="2"/>
        <v>1</v>
      </c>
      <c r="AV8" s="286">
        <f t="shared" si="2"/>
        <v>1</v>
      </c>
      <c r="AW8" s="286">
        <f t="shared" si="2"/>
        <v>1</v>
      </c>
      <c r="AX8" s="286">
        <f t="shared" si="2"/>
        <v>1</v>
      </c>
      <c r="AY8" s="286">
        <f t="shared" si="2"/>
        <v>1</v>
      </c>
      <c r="AZ8" s="286">
        <f t="shared" si="2"/>
        <v>1</v>
      </c>
      <c r="BA8" s="286">
        <f t="shared" si="2"/>
        <v>1</v>
      </c>
      <c r="BB8" s="286">
        <f t="shared" si="2"/>
        <v>1</v>
      </c>
      <c r="BC8" s="180"/>
    </row>
    <row r="9" spans="1:56" ht="14.4" hidden="1" thickTop="1" x14ac:dyDescent="0.3">
      <c r="A9" s="181" t="str">
        <f ca="1">Language!A$589</f>
        <v>выручка от реализации, без НДС</v>
      </c>
      <c r="B9" s="176"/>
      <c r="C9" s="176" t="str">
        <f t="shared" ca="1" si="0"/>
        <v>руб.</v>
      </c>
      <c r="D9" s="174">
        <f>D6</f>
        <v>1</v>
      </c>
      <c r="E9" s="170" t="s">
        <v>992</v>
      </c>
      <c r="F9" s="170" t="s">
        <v>742</v>
      </c>
      <c r="G9" s="182">
        <f ca="1">G7*G8*IF($B20=1,PRODUCT($G20:G20),PRODUCT($G19:G19))</f>
        <v>0</v>
      </c>
      <c r="H9" s="182">
        <f ca="1">H7*H8*IF($B20=1,PRODUCT($G20:H20),PRODUCT($G19:H19))</f>
        <v>0</v>
      </c>
      <c r="I9" s="182">
        <f ca="1">I7*I8*IF($B20=1,PRODUCT($G20:I20),PRODUCT($G19:I19))</f>
        <v>0</v>
      </c>
      <c r="J9" s="182">
        <f ca="1">J7*J8*IF($B20=1,PRODUCT($G20:J20),PRODUCT($G19:J19))</f>
        <v>0</v>
      </c>
      <c r="K9" s="182">
        <f ca="1">K7*K8*IF($B20=1,PRODUCT($G20:K20),PRODUCT($G19:K19))</f>
        <v>0</v>
      </c>
      <c r="L9" s="182">
        <f ca="1">L7*L8*IF($B20=1,PRODUCT($G20:L20),PRODUCT($G19:L19))</f>
        <v>0</v>
      </c>
      <c r="M9" s="182">
        <f ca="1">M7*M8*IF($B20=1,PRODUCT($G20:M20),PRODUCT($G19:M19))</f>
        <v>0</v>
      </c>
      <c r="N9" s="182">
        <f ca="1">N7*N8*IF($B20=1,PRODUCT($G20:N20),PRODUCT($G19:N19))</f>
        <v>0</v>
      </c>
      <c r="O9" s="182">
        <f ca="1">O7*O8*IF($B20=1,PRODUCT($G20:O20),PRODUCT($G19:O19))</f>
        <v>0</v>
      </c>
      <c r="P9" s="182">
        <f ca="1">P7*P8*IF($B20=1,PRODUCT($G20:P20),PRODUCT($G19:P19))</f>
        <v>0</v>
      </c>
      <c r="Q9" s="182">
        <f ca="1">Q7*Q8*IF($B20=1,PRODUCT($G20:Q20),PRODUCT($G19:Q19))</f>
        <v>0</v>
      </c>
      <c r="R9" s="182">
        <f ca="1">R7*R8*IF($B20=1,PRODUCT($G20:R20),PRODUCT($G19:R19))</f>
        <v>0</v>
      </c>
      <c r="S9" s="182">
        <f ca="1">S7*S8*IF($B20=1,PRODUCT($G20:S20),PRODUCT($G19:S19))</f>
        <v>0</v>
      </c>
      <c r="T9" s="182">
        <f ca="1">T7*T8*IF($B20=1,PRODUCT($G20:T20),PRODUCT($G19:T19))</f>
        <v>0</v>
      </c>
      <c r="U9" s="182">
        <f ca="1">U7*U8*IF($B20=1,PRODUCT($G20:U20),PRODUCT($G19:U19))</f>
        <v>0</v>
      </c>
      <c r="V9" s="182">
        <f ca="1">V7*V8*IF($B20=1,PRODUCT($G20:V20),PRODUCT($G19:V19))</f>
        <v>0</v>
      </c>
      <c r="W9" s="182">
        <f ca="1">W7*W8*IF($B20=1,PRODUCT($G20:W20),PRODUCT($G19:W19))</f>
        <v>0</v>
      </c>
      <c r="X9" s="182">
        <f ca="1">X7*X8*IF($B20=1,PRODUCT($G20:X20),PRODUCT($G19:X19))</f>
        <v>0</v>
      </c>
      <c r="Y9" s="182">
        <f ca="1">Y7*Y8*IF($B20=1,PRODUCT($G20:Y20),PRODUCT($G19:Y19))</f>
        <v>0</v>
      </c>
      <c r="Z9" s="182">
        <f ca="1">Z7*Z8*IF($B20=1,PRODUCT($G20:Z20),PRODUCT($G19:Z19))</f>
        <v>0</v>
      </c>
      <c r="AA9" s="182">
        <f ca="1">AA7*AA8*IF($B20=1,PRODUCT($G20:AA20),PRODUCT($G19:AA19))</f>
        <v>0</v>
      </c>
      <c r="AB9" s="182">
        <f ca="1">AB7*AB8*IF($B20=1,PRODUCT($G20:AB20),PRODUCT($G19:AB19))</f>
        <v>0</v>
      </c>
      <c r="AC9" s="182">
        <f ca="1">AC7*AC8*IF($B20=1,PRODUCT($G20:AC20),PRODUCT($G19:AC19))</f>
        <v>0</v>
      </c>
      <c r="AD9" s="182">
        <f ca="1">AD7*AD8*IF($B20=1,PRODUCT($G20:AD20),PRODUCT($G19:AD19))</f>
        <v>0</v>
      </c>
      <c r="AE9" s="182">
        <f ca="1">AE7*AE8*IF($B20=1,PRODUCT($G20:AE20),PRODUCT($G19:AE19))</f>
        <v>0</v>
      </c>
      <c r="AF9" s="182">
        <f ca="1">AF7*AF8*IF($B20=1,PRODUCT($G20:AF20),PRODUCT($G19:AF19))</f>
        <v>0</v>
      </c>
      <c r="AG9" s="182">
        <f ca="1">AG7*AG8*IF($B20=1,PRODUCT($G20:AG20),PRODUCT($G19:AG19))</f>
        <v>0</v>
      </c>
      <c r="AH9" s="182">
        <f ca="1">AH7*AH8*IF($B20=1,PRODUCT($G20:AH20),PRODUCT($G19:AH19))</f>
        <v>0</v>
      </c>
      <c r="AI9" s="182">
        <f ca="1">AI7*AI8*IF($B20=1,PRODUCT($G20:AI20),PRODUCT($G19:AI19))</f>
        <v>0</v>
      </c>
      <c r="AJ9" s="182">
        <f ca="1">AJ7*AJ8*IF($B20=1,PRODUCT($G20:AJ20),PRODUCT($G19:AJ19))</f>
        <v>0</v>
      </c>
      <c r="AK9" s="182">
        <f ca="1">AK7*AK8*IF($B20=1,PRODUCT($G20:AK20),PRODUCT($G19:AK19))</f>
        <v>0</v>
      </c>
      <c r="AL9" s="182">
        <f ca="1">AL7*AL8*IF($B20=1,PRODUCT($G20:AL20),PRODUCT($G19:AL19))</f>
        <v>0</v>
      </c>
      <c r="AM9" s="182">
        <f ca="1">AM7*AM8*IF($B20=1,PRODUCT($G20:AM20),PRODUCT($G19:AM19))</f>
        <v>0</v>
      </c>
      <c r="AN9" s="182">
        <f ca="1">AN7*AN8*IF($B20=1,PRODUCT($G20:AN20),PRODUCT($G19:AN19))</f>
        <v>0</v>
      </c>
      <c r="AO9" s="182">
        <f ca="1">AO7*AO8*IF($B20=1,PRODUCT($G20:AO20),PRODUCT($G19:AO19))</f>
        <v>0</v>
      </c>
      <c r="AP9" s="182">
        <f ca="1">AP7*AP8*IF($B20=1,PRODUCT($G20:AP20),PRODUCT($G19:AP19))</f>
        <v>0</v>
      </c>
      <c r="AQ9" s="182">
        <f ca="1">AQ7*AQ8*IF($B20=1,PRODUCT($G20:AQ20),PRODUCT($G19:AQ19))</f>
        <v>0</v>
      </c>
      <c r="AR9" s="182">
        <f ca="1">AR7*AR8*IF($B20=1,PRODUCT($G20:AR20),PRODUCT($G19:AR19))</f>
        <v>0</v>
      </c>
      <c r="AS9" s="182">
        <f ca="1">AS7*AS8*IF($B20=1,PRODUCT($G20:AS20),PRODUCT($G19:AS19))</f>
        <v>0</v>
      </c>
      <c r="AT9" s="182">
        <f ca="1">AT7*AT8*IF($B20=1,PRODUCT($G20:AT20),PRODUCT($G19:AT19))</f>
        <v>0</v>
      </c>
      <c r="AU9" s="182">
        <f ca="1">AU7*AU8*IF($B20=1,PRODUCT($G20:AU20),PRODUCT($G19:AU19))</f>
        <v>0</v>
      </c>
      <c r="AV9" s="182">
        <f ca="1">AV7*AV8*IF($B20=1,PRODUCT($G20:AV20),PRODUCT($G19:AV19))</f>
        <v>0</v>
      </c>
      <c r="AW9" s="182">
        <f ca="1">AW7*AW8*IF($B20=1,PRODUCT($G20:AW20),PRODUCT($G19:AW19))</f>
        <v>0</v>
      </c>
      <c r="AX9" s="182">
        <f ca="1">AX7*AX8*IF($B20=1,PRODUCT($G20:AX20),PRODUCT($G19:AX19))</f>
        <v>0</v>
      </c>
      <c r="AY9" s="182">
        <f ca="1">AY7*AY8*IF($B20=1,PRODUCT($G20:AY20),PRODUCT($G19:AY19))</f>
        <v>0</v>
      </c>
      <c r="AZ9" s="182">
        <f ca="1">AZ7*AZ8*IF($B20=1,PRODUCT($G20:AZ20),PRODUCT($G19:AZ19))</f>
        <v>0</v>
      </c>
      <c r="BA9" s="182">
        <f ca="1">BA7*BA8*IF($B20=1,PRODUCT($G20:BA20),PRODUCT($G19:BA19))</f>
        <v>0</v>
      </c>
      <c r="BB9" s="182">
        <f ca="1">BB7*BB8*IF($B20=1,PRODUCT($G20:BB20),PRODUCT($G19:BB19))</f>
        <v>0</v>
      </c>
      <c r="BC9" s="182"/>
      <c r="BD9" s="183">
        <f ca="1">SUM(G9:BC9)</f>
        <v>0</v>
      </c>
    </row>
    <row r="10" spans="1:56" ht="14.4" hidden="1" thickTop="1" x14ac:dyDescent="0.3">
      <c r="A10" s="181" t="str">
        <f ca="1">Language!A$590</f>
        <v>выручка от реализации, с НДС</v>
      </c>
      <c r="B10" s="176"/>
      <c r="C10" s="176" t="str">
        <f t="shared" ca="1" si="0"/>
        <v>руб.</v>
      </c>
      <c r="D10" s="174">
        <f>D6</f>
        <v>1</v>
      </c>
      <c r="F10" s="170" t="s">
        <v>743</v>
      </c>
      <c r="G10" s="182">
        <f ca="1">G9+G21+G22</f>
        <v>0</v>
      </c>
      <c r="H10" s="182">
        <f t="shared" ref="H10:K10" ca="1" si="3">H9+H21+H22</f>
        <v>0</v>
      </c>
      <c r="I10" s="182">
        <f t="shared" ca="1" si="3"/>
        <v>0</v>
      </c>
      <c r="J10" s="182">
        <f t="shared" ca="1" si="3"/>
        <v>0</v>
      </c>
      <c r="K10" s="182">
        <f t="shared" ca="1" si="3"/>
        <v>0</v>
      </c>
      <c r="L10" s="182">
        <f t="shared" ref="L10:M10" ca="1" si="4">L9+L21+L22</f>
        <v>0</v>
      </c>
      <c r="M10" s="182">
        <f t="shared" ca="1" si="4"/>
        <v>0</v>
      </c>
      <c r="N10" s="182">
        <f t="shared" ref="N10:O10" ca="1" si="5">N9+N21+N22</f>
        <v>0</v>
      </c>
      <c r="O10" s="182">
        <f t="shared" ca="1" si="5"/>
        <v>0</v>
      </c>
      <c r="P10" s="182">
        <f t="shared" ref="P10:Q10" ca="1" si="6">P9+P21+P22</f>
        <v>0</v>
      </c>
      <c r="Q10" s="182">
        <f t="shared" ca="1" si="6"/>
        <v>0</v>
      </c>
      <c r="R10" s="182">
        <f t="shared" ref="R10:S10" ca="1" si="7">R9+R21+R22</f>
        <v>0</v>
      </c>
      <c r="S10" s="182">
        <f t="shared" ca="1" si="7"/>
        <v>0</v>
      </c>
      <c r="T10" s="182">
        <f t="shared" ref="T10:U10" ca="1" si="8">T9+T21+T22</f>
        <v>0</v>
      </c>
      <c r="U10" s="182">
        <f t="shared" ca="1" si="8"/>
        <v>0</v>
      </c>
      <c r="V10" s="182">
        <f t="shared" ref="V10:W10" ca="1" si="9">V9+V21+V22</f>
        <v>0</v>
      </c>
      <c r="W10" s="182">
        <f t="shared" ca="1" si="9"/>
        <v>0</v>
      </c>
      <c r="X10" s="182">
        <f t="shared" ref="X10:Y10" ca="1" si="10">X9+X21+X22</f>
        <v>0</v>
      </c>
      <c r="Y10" s="182">
        <f t="shared" ca="1" si="10"/>
        <v>0</v>
      </c>
      <c r="Z10" s="182">
        <f t="shared" ref="Z10:AA10" ca="1" si="11">Z9+Z21+Z22</f>
        <v>0</v>
      </c>
      <c r="AA10" s="182">
        <f t="shared" ca="1" si="11"/>
        <v>0</v>
      </c>
      <c r="AB10" s="182">
        <f t="shared" ref="AB10:AC10" ca="1" si="12">AB9+AB21+AB22</f>
        <v>0</v>
      </c>
      <c r="AC10" s="182">
        <f t="shared" ca="1" si="12"/>
        <v>0</v>
      </c>
      <c r="AD10" s="182">
        <f t="shared" ref="AD10:AE10" ca="1" si="13">AD9+AD21+AD22</f>
        <v>0</v>
      </c>
      <c r="AE10" s="182">
        <f t="shared" ca="1" si="13"/>
        <v>0</v>
      </c>
      <c r="AF10" s="182">
        <f t="shared" ref="AF10:AG10" ca="1" si="14">AF9+AF21+AF22</f>
        <v>0</v>
      </c>
      <c r="AG10" s="182">
        <f t="shared" ca="1" si="14"/>
        <v>0</v>
      </c>
      <c r="AH10" s="182">
        <f t="shared" ref="AH10:AI10" ca="1" si="15">AH9+AH21+AH22</f>
        <v>0</v>
      </c>
      <c r="AI10" s="182">
        <f t="shared" ca="1" si="15"/>
        <v>0</v>
      </c>
      <c r="AJ10" s="182">
        <f t="shared" ref="AJ10:AK10" ca="1" si="16">AJ9+AJ21+AJ22</f>
        <v>0</v>
      </c>
      <c r="AK10" s="182">
        <f t="shared" ca="1" si="16"/>
        <v>0</v>
      </c>
      <c r="AL10" s="182">
        <f t="shared" ref="AL10:AM10" ca="1" si="17">AL9+AL21+AL22</f>
        <v>0</v>
      </c>
      <c r="AM10" s="182">
        <f t="shared" ca="1" si="17"/>
        <v>0</v>
      </c>
      <c r="AN10" s="182">
        <f t="shared" ref="AN10:AO10" ca="1" si="18">AN9+AN21+AN22</f>
        <v>0</v>
      </c>
      <c r="AO10" s="182">
        <f t="shared" ca="1" si="18"/>
        <v>0</v>
      </c>
      <c r="AP10" s="182">
        <f t="shared" ref="AP10:AQ10" ca="1" si="19">AP9+AP21+AP22</f>
        <v>0</v>
      </c>
      <c r="AQ10" s="182">
        <f t="shared" ca="1" si="19"/>
        <v>0</v>
      </c>
      <c r="AR10" s="182">
        <f t="shared" ref="AR10:AS10" ca="1" si="20">AR9+AR21+AR22</f>
        <v>0</v>
      </c>
      <c r="AS10" s="182">
        <f t="shared" ca="1" si="20"/>
        <v>0</v>
      </c>
      <c r="AT10" s="182">
        <f t="shared" ref="AT10:AU10" ca="1" si="21">AT9+AT21+AT22</f>
        <v>0</v>
      </c>
      <c r="AU10" s="182">
        <f t="shared" ca="1" si="21"/>
        <v>0</v>
      </c>
      <c r="AV10" s="182">
        <f t="shared" ref="AV10:AW10" ca="1" si="22">AV9+AV21+AV22</f>
        <v>0</v>
      </c>
      <c r="AW10" s="182">
        <f t="shared" ca="1" si="22"/>
        <v>0</v>
      </c>
      <c r="AX10" s="182">
        <f t="shared" ref="AX10:AY10" ca="1" si="23">AX9+AX21+AX22</f>
        <v>0</v>
      </c>
      <c r="AY10" s="182">
        <f t="shared" ca="1" si="23"/>
        <v>0</v>
      </c>
      <c r="AZ10" s="182">
        <f t="shared" ref="AZ10:BA10" ca="1" si="24">AZ9+AZ21+AZ22</f>
        <v>0</v>
      </c>
      <c r="BA10" s="182">
        <f t="shared" ca="1" si="24"/>
        <v>0</v>
      </c>
      <c r="BB10" s="182">
        <f t="shared" ref="BB10" ca="1" si="25">BB9+BB21+BB22</f>
        <v>0</v>
      </c>
      <c r="BC10" s="182"/>
      <c r="BD10" s="183">
        <f ca="1">SUM(G10:BC10)</f>
        <v>0</v>
      </c>
    </row>
    <row r="11" spans="1:56" ht="14.4" hidden="1" thickTop="1" x14ac:dyDescent="0.3">
      <c r="A11" s="184" t="str">
        <f ca="1">Language!A$592</f>
        <v>дебиторская задолженность</v>
      </c>
      <c r="B11" s="163"/>
      <c r="C11" s="163" t="str">
        <f ca="1">CHOOSE(D11,CurName1,CurName2,CurName3)</f>
        <v>руб.</v>
      </c>
      <c r="D11" s="174">
        <f>D6</f>
        <v>1</v>
      </c>
      <c r="E11" s="170" t="s">
        <v>994</v>
      </c>
      <c r="F11" s="170" t="s">
        <v>2342</v>
      </c>
      <c r="G11" s="287">
        <f ca="1">IF(AND($B12=0,G$2&gt;1),F11,(G9+G21+G22)*$B12/Параметры!G$30)</f>
        <v>0</v>
      </c>
      <c r="H11" s="287">
        <f ca="1">IF(AND($B12=0,H$2&gt;1),G11,(H9+H21+H22)*$B12/Параметры!H$30)</f>
        <v>0</v>
      </c>
      <c r="I11" s="287">
        <f ca="1">IF(AND($B12=0,I$2&gt;1),H11,(I9+I21+I22)*$B12/Параметры!I$30)</f>
        <v>0</v>
      </c>
      <c r="J11" s="287">
        <f ca="1">IF(AND($B12=0,J$2&gt;1),I11,(J9+J21+J22)*$B12/Параметры!J$30)</f>
        <v>0</v>
      </c>
      <c r="K11" s="287">
        <f ca="1">IF(AND($B12=0,K$2&gt;1),J11,(K9+K21+K22)*$B12/Параметры!K$30)</f>
        <v>0</v>
      </c>
      <c r="L11" s="287">
        <f ca="1">IF(AND($B12=0,L$2&gt;1),K11,(L9+L21+L22)*$B12/Параметры!L$30)</f>
        <v>0</v>
      </c>
      <c r="M11" s="287">
        <f ca="1">IF(AND($B12=0,M$2&gt;1),L11,(M9+M21+M22)*$B12/Параметры!M$30)</f>
        <v>0</v>
      </c>
      <c r="N11" s="287">
        <f ca="1">IF(AND($B12=0,N$2&gt;1),M11,(N9+N21+N22)*$B12/Параметры!N$30)</f>
        <v>0</v>
      </c>
      <c r="O11" s="287">
        <f ca="1">IF(AND($B12=0,O$2&gt;1),N11,(O9+O21+O22)*$B12/Параметры!O$30)</f>
        <v>0</v>
      </c>
      <c r="P11" s="287">
        <f ca="1">IF(AND($B12=0,P$2&gt;1),O11,(P9+P21+P22)*$B12/Параметры!P$30)</f>
        <v>0</v>
      </c>
      <c r="Q11" s="287">
        <f ca="1">IF(AND($B12=0,Q$2&gt;1),P11,(Q9+Q21+Q22)*$B12/Параметры!Q$30)</f>
        <v>0</v>
      </c>
      <c r="R11" s="287">
        <f ca="1">IF(AND($B12=0,R$2&gt;1),Q11,(R9+R21+R22)*$B12/Параметры!R$30)</f>
        <v>0</v>
      </c>
      <c r="S11" s="287">
        <f ca="1">IF(AND($B12=0,S$2&gt;1),R11,(S9+S21+S22)*$B12/Параметры!S$30)</f>
        <v>0</v>
      </c>
      <c r="T11" s="287">
        <f ca="1">IF(AND($B12=0,T$2&gt;1),S11,(T9+T21+T22)*$B12/Параметры!T$30)</f>
        <v>0</v>
      </c>
      <c r="U11" s="287">
        <f ca="1">IF(AND($B12=0,U$2&gt;1),T11,(U9+U21+U22)*$B12/Параметры!U$30)</f>
        <v>0</v>
      </c>
      <c r="V11" s="287">
        <f ca="1">IF(AND($B12=0,V$2&gt;1),U11,(V9+V21+V22)*$B12/Параметры!V$30)</f>
        <v>0</v>
      </c>
      <c r="W11" s="287">
        <f ca="1">IF(AND($B12=0,W$2&gt;1),V11,(W9+W21+W22)*$B12/Параметры!W$30)</f>
        <v>0</v>
      </c>
      <c r="X11" s="287">
        <f ca="1">IF(AND($B12=0,X$2&gt;1),W11,(X9+X21+X22)*$B12/Параметры!X$30)</f>
        <v>0</v>
      </c>
      <c r="Y11" s="287">
        <f ca="1">IF(AND($B12=0,Y$2&gt;1),X11,(Y9+Y21+Y22)*$B12/Параметры!Y$30)</f>
        <v>0</v>
      </c>
      <c r="Z11" s="287">
        <f ca="1">IF(AND($B12=0,Z$2&gt;1),Y11,(Z9+Z21+Z22)*$B12/Параметры!Z$30)</f>
        <v>0</v>
      </c>
      <c r="AA11" s="287">
        <f ca="1">IF(AND($B12=0,AA$2&gt;1),Z11,(AA9+AA21+AA22)*$B12/Параметры!AA$30)</f>
        <v>0</v>
      </c>
      <c r="AB11" s="287">
        <f ca="1">IF(AND($B12=0,AB$2&gt;1),AA11,(AB9+AB21+AB22)*$B12/Параметры!AB$30)</f>
        <v>0</v>
      </c>
      <c r="AC11" s="287">
        <f ca="1">IF(AND($B12=0,AC$2&gt;1),AB11,(AC9+AC21+AC22)*$B12/Параметры!AC$30)</f>
        <v>0</v>
      </c>
      <c r="AD11" s="287">
        <f ca="1">IF(AND($B12=0,AD$2&gt;1),AC11,(AD9+AD21+AD22)*$B12/Параметры!AD$30)</f>
        <v>0</v>
      </c>
      <c r="AE11" s="287">
        <f ca="1">IF(AND($B12=0,AE$2&gt;1),AD11,(AE9+AE21+AE22)*$B12/Параметры!AE$30)</f>
        <v>0</v>
      </c>
      <c r="AF11" s="287">
        <f ca="1">IF(AND($B12=0,AF$2&gt;1),AE11,(AF9+AF21+AF22)*$B12/Параметры!AF$30)</f>
        <v>0</v>
      </c>
      <c r="AG11" s="287">
        <f ca="1">IF(AND($B12=0,AG$2&gt;1),AF11,(AG9+AG21+AG22)*$B12/Параметры!AG$30)</f>
        <v>0</v>
      </c>
      <c r="AH11" s="287">
        <f ca="1">IF(AND($B12=0,AH$2&gt;1),AG11,(AH9+AH21+AH22)*$B12/Параметры!AH$30)</f>
        <v>0</v>
      </c>
      <c r="AI11" s="287">
        <f ca="1">IF(AND($B12=0,AI$2&gt;1),AH11,(AI9+AI21+AI22)*$B12/Параметры!AI$30)</f>
        <v>0</v>
      </c>
      <c r="AJ11" s="287">
        <f ca="1">IF(AND($B12=0,AJ$2&gt;1),AI11,(AJ9+AJ21+AJ22)*$B12/Параметры!AJ$30)</f>
        <v>0</v>
      </c>
      <c r="AK11" s="287">
        <f ca="1">IF(AND($B12=0,AK$2&gt;1),AJ11,(AK9+AK21+AK22)*$B12/Параметры!AK$30)</f>
        <v>0</v>
      </c>
      <c r="AL11" s="287">
        <f ca="1">IF(AND($B12=0,AL$2&gt;1),AK11,(AL9+AL21+AL22)*$B12/Параметры!AL$30)</f>
        <v>0</v>
      </c>
      <c r="AM11" s="287">
        <f ca="1">IF(AND($B12=0,AM$2&gt;1),AL11,(AM9+AM21+AM22)*$B12/Параметры!AM$30)</f>
        <v>0</v>
      </c>
      <c r="AN11" s="287">
        <f ca="1">IF(AND($B12=0,AN$2&gt;1),AM11,(AN9+AN21+AN22)*$B12/Параметры!AN$30)</f>
        <v>0</v>
      </c>
      <c r="AO11" s="287">
        <f ca="1">IF(AND($B12=0,AO$2&gt;1),AN11,(AO9+AO21+AO22)*$B12/Параметры!AO$30)</f>
        <v>0</v>
      </c>
      <c r="AP11" s="287">
        <f ca="1">IF(AND($B12=0,AP$2&gt;1),AO11,(AP9+AP21+AP22)*$B12/Параметры!AP$30)</f>
        <v>0</v>
      </c>
      <c r="AQ11" s="287">
        <f ca="1">IF(AND($B12=0,AQ$2&gt;1),AP11,(AQ9+AQ21+AQ22)*$B12/Параметры!AQ$30)</f>
        <v>0</v>
      </c>
      <c r="AR11" s="287">
        <f ca="1">IF(AND($B12=0,AR$2&gt;1),AQ11,(AR9+AR21+AR22)*$B12/Параметры!AR$30)</f>
        <v>0</v>
      </c>
      <c r="AS11" s="287">
        <f ca="1">IF(AND($B12=0,AS$2&gt;1),AR11,(AS9+AS21+AS22)*$B12/Параметры!AS$30)</f>
        <v>0</v>
      </c>
      <c r="AT11" s="287">
        <f ca="1">IF(AND($B12=0,AT$2&gt;1),AS11,(AT9+AT21+AT22)*$B12/Параметры!AT$30)</f>
        <v>0</v>
      </c>
      <c r="AU11" s="287">
        <f ca="1">IF(AND($B12=0,AU$2&gt;1),AT11,(AU9+AU21+AU22)*$B12/Параметры!AU$30)</f>
        <v>0</v>
      </c>
      <c r="AV11" s="287">
        <f ca="1">IF(AND($B12=0,AV$2&gt;1),AU11,(AV9+AV21+AV22)*$B12/Параметры!AV$30)</f>
        <v>0</v>
      </c>
      <c r="AW11" s="287">
        <f ca="1">IF(AND($B12=0,AW$2&gt;1),AV11,(AW9+AW21+AW22)*$B12/Параметры!AW$30)</f>
        <v>0</v>
      </c>
      <c r="AX11" s="287">
        <f ca="1">IF(AND($B12=0,AX$2&gt;1),AW11,(AX9+AX21+AX22)*$B12/Параметры!AX$30)</f>
        <v>0</v>
      </c>
      <c r="AY11" s="287">
        <f ca="1">IF(AND($B12=0,AY$2&gt;1),AX11,(AY9+AY21+AY22)*$B12/Параметры!AY$30)</f>
        <v>0</v>
      </c>
      <c r="AZ11" s="287">
        <f ca="1">IF(AND($B12=0,AZ$2&gt;1),AY11,(AZ9+AZ21+AZ22)*$B12/Параметры!AZ$30)</f>
        <v>0</v>
      </c>
      <c r="BA11" s="287">
        <f ca="1">IF(AND($B12=0,BA$2&gt;1),AZ11,(BA9+BA21+BA22)*$B12/Параметры!BA$30)</f>
        <v>0</v>
      </c>
      <c r="BB11" s="287">
        <f ca="1">IF(AND($B12=0,BB$2&gt;1),BA11,(BB9+BB21+BB22)*$B12/Параметры!BB$30)</f>
        <v>0</v>
      </c>
      <c r="BC11" s="185"/>
      <c r="BD11" s="186"/>
    </row>
    <row r="12" spans="1:56" s="170" customFormat="1" ht="14.4" hidden="1" thickTop="1" x14ac:dyDescent="0.3">
      <c r="A12" s="187" t="str">
        <f ca="1">Language!A$593</f>
        <v>средний период отсрочки платежа</v>
      </c>
      <c r="B12" s="288">
        <f>$B$573</f>
        <v>10</v>
      </c>
      <c r="C12" s="163" t="str">
        <f ca="1">Language!$A$1474</f>
        <v>дней</v>
      </c>
      <c r="F12" s="170" t="s">
        <v>2343</v>
      </c>
      <c r="G12" s="185"/>
      <c r="H12" s="185"/>
      <c r="I12" s="185"/>
      <c r="J12" s="185"/>
      <c r="K12" s="185"/>
      <c r="L12" s="185"/>
      <c r="M12" s="185"/>
      <c r="N12" s="185"/>
      <c r="O12" s="185"/>
      <c r="P12" s="185"/>
      <c r="Q12" s="185"/>
      <c r="R12" s="185"/>
      <c r="S12" s="185"/>
      <c r="T12" s="185"/>
      <c r="U12" s="185"/>
      <c r="V12" s="185"/>
      <c r="W12" s="185"/>
      <c r="X12" s="185"/>
      <c r="Y12" s="185"/>
      <c r="Z12" s="185"/>
      <c r="AA12" s="185"/>
      <c r="AB12" s="185"/>
      <c r="AC12" s="185"/>
      <c r="AD12" s="185"/>
      <c r="AE12" s="185"/>
      <c r="AF12" s="185"/>
      <c r="AG12" s="185"/>
      <c r="AH12" s="185"/>
      <c r="AI12" s="185"/>
      <c r="AJ12" s="185"/>
      <c r="AK12" s="185"/>
      <c r="AL12" s="185"/>
      <c r="AM12" s="185"/>
      <c r="AN12" s="185"/>
      <c r="AO12" s="185"/>
      <c r="AP12" s="185"/>
      <c r="AQ12" s="185"/>
      <c r="AR12" s="185"/>
      <c r="AS12" s="185"/>
      <c r="AT12" s="185"/>
      <c r="AU12" s="185"/>
      <c r="AV12" s="185"/>
      <c r="AW12" s="185"/>
      <c r="AX12" s="185"/>
      <c r="AY12" s="185"/>
      <c r="AZ12" s="185"/>
      <c r="BA12" s="185"/>
      <c r="BB12" s="185"/>
      <c r="BC12" s="185"/>
      <c r="BD12" s="186"/>
    </row>
    <row r="13" spans="1:56" ht="14.4" hidden="1" thickTop="1" x14ac:dyDescent="0.3">
      <c r="A13" s="184" t="str">
        <f ca="1">Language!A$594</f>
        <v xml:space="preserve">авансы полученные </v>
      </c>
      <c r="B13" s="163"/>
      <c r="C13" s="163" t="str">
        <f ca="1">CHOOSE(D13,CurName1,CurName2,CurName3)</f>
        <v>руб.</v>
      </c>
      <c r="D13" s="174">
        <f>D6</f>
        <v>1</v>
      </c>
      <c r="E13" s="170" t="s">
        <v>995</v>
      </c>
      <c r="F13" s="170" t="s">
        <v>2342</v>
      </c>
      <c r="G13" s="289">
        <f ca="1">IF(OR(AND($B14=0,G$2&gt;1),G$2=Prj_Len),F13,(OFFSET(G9,0,1)+OFFSET(G21,0,1)+OFFSET(G22,0,1))*$B14/Параметры!G$30)</f>
        <v>0</v>
      </c>
      <c r="H13" s="289">
        <f ca="1">IF(OR(AND($B14=0,H$2&gt;1),H$2=Prj_Len),G13,(OFFSET(H9,0,1)+OFFSET(H21,0,1)+OFFSET(H22,0,1))*$B14/Параметры!H$30)</f>
        <v>0</v>
      </c>
      <c r="I13" s="289">
        <f ca="1">IF(OR(AND($B14=0,I$2&gt;1),I$2=Prj_Len),H13,(OFFSET(I9,0,1)+OFFSET(I21,0,1)+OFFSET(I22,0,1))*$B14/Параметры!I$30)</f>
        <v>0</v>
      </c>
      <c r="J13" s="289">
        <f ca="1">IF(OR(AND($B14=0,J$2&gt;1),J$2=Prj_Len),I13,(OFFSET(J9,0,1)+OFFSET(J21,0,1)+OFFSET(J22,0,1))*$B14/Параметры!J$30)</f>
        <v>0</v>
      </c>
      <c r="K13" s="289">
        <f ca="1">IF(OR(AND($B14=0,K$2&gt;1),K$2=Prj_Len),J13,(OFFSET(K9,0,1)+OFFSET(K21,0,1)+OFFSET(K22,0,1))*$B14/Параметры!K$30)</f>
        <v>0</v>
      </c>
      <c r="L13" s="289">
        <f ca="1">IF(OR(AND($B14=0,L$2&gt;1),L$2=Prj_Len),K13,(OFFSET(L9,0,1)+OFFSET(L21,0,1)+OFFSET(L22,0,1))*$B14/Параметры!L$30)</f>
        <v>0</v>
      </c>
      <c r="M13" s="289">
        <f ca="1">IF(OR(AND($B14=0,M$2&gt;1),M$2=Prj_Len),L13,(OFFSET(M9,0,1)+OFFSET(M21,0,1)+OFFSET(M22,0,1))*$B14/Параметры!M$30)</f>
        <v>0</v>
      </c>
      <c r="N13" s="289">
        <f ca="1">IF(OR(AND($B14=0,N$2&gt;1),N$2=Prj_Len),M13,(OFFSET(N9,0,1)+OFFSET(N21,0,1)+OFFSET(N22,0,1))*$B14/Параметры!N$30)</f>
        <v>0</v>
      </c>
      <c r="O13" s="289">
        <f ca="1">IF(OR(AND($B14=0,O$2&gt;1),O$2=Prj_Len),N13,(OFFSET(O9,0,1)+OFFSET(O21,0,1)+OFFSET(O22,0,1))*$B14/Параметры!O$30)</f>
        <v>0</v>
      </c>
      <c r="P13" s="289">
        <f ca="1">IF(OR(AND($B14=0,P$2&gt;1),P$2=Prj_Len),O13,(OFFSET(P9,0,1)+OFFSET(P21,0,1)+OFFSET(P22,0,1))*$B14/Параметры!P$30)</f>
        <v>0</v>
      </c>
      <c r="Q13" s="289">
        <f ca="1">IF(OR(AND($B14=0,Q$2&gt;1),Q$2=Prj_Len),P13,(OFFSET(Q9,0,1)+OFFSET(Q21,0,1)+OFFSET(Q22,0,1))*$B14/Параметры!Q$30)</f>
        <v>0</v>
      </c>
      <c r="R13" s="289">
        <f ca="1">IF(OR(AND($B14=0,R$2&gt;1),R$2=Prj_Len),Q13,(OFFSET(R9,0,1)+OFFSET(R21,0,1)+OFFSET(R22,0,1))*$B14/Параметры!R$30)</f>
        <v>0</v>
      </c>
      <c r="S13" s="289">
        <f ca="1">IF(OR(AND($B14=0,S$2&gt;1),S$2=Prj_Len),R13,(OFFSET(S9,0,1)+OFFSET(S21,0,1)+OFFSET(S22,0,1))*$B14/Параметры!S$30)</f>
        <v>0</v>
      </c>
      <c r="T13" s="289">
        <f ca="1">IF(OR(AND($B14=0,T$2&gt;1),T$2=Prj_Len),S13,(OFFSET(T9,0,1)+OFFSET(T21,0,1)+OFFSET(T22,0,1))*$B14/Параметры!T$30)</f>
        <v>0</v>
      </c>
      <c r="U13" s="289">
        <f ca="1">IF(OR(AND($B14=0,U$2&gt;1),U$2=Prj_Len),T13,(OFFSET(U9,0,1)+OFFSET(U21,0,1)+OFFSET(U22,0,1))*$B14/Параметры!U$30)</f>
        <v>0</v>
      </c>
      <c r="V13" s="289">
        <f ca="1">IF(OR(AND($B14=0,V$2&gt;1),V$2=Prj_Len),U13,(OFFSET(V9,0,1)+OFFSET(V21,0,1)+OFFSET(V22,0,1))*$B14/Параметры!V$30)</f>
        <v>0</v>
      </c>
      <c r="W13" s="289">
        <f ca="1">IF(OR(AND($B14=0,W$2&gt;1),W$2=Prj_Len),V13,(OFFSET(W9,0,1)+OFFSET(W21,0,1)+OFFSET(W22,0,1))*$B14/Параметры!W$30)</f>
        <v>0</v>
      </c>
      <c r="X13" s="289">
        <f ca="1">IF(OR(AND($B14=0,X$2&gt;1),X$2=Prj_Len),W13,(OFFSET(X9,0,1)+OFFSET(X21,0,1)+OFFSET(X22,0,1))*$B14/Параметры!X$30)</f>
        <v>0</v>
      </c>
      <c r="Y13" s="289">
        <f ca="1">IF(OR(AND($B14=0,Y$2&gt;1),Y$2=Prj_Len),X13,(OFFSET(Y9,0,1)+OFFSET(Y21,0,1)+OFFSET(Y22,0,1))*$B14/Параметры!Y$30)</f>
        <v>0</v>
      </c>
      <c r="Z13" s="289">
        <f ca="1">IF(OR(AND($B14=0,Z$2&gt;1),Z$2=Prj_Len),Y13,(OFFSET(Z9,0,1)+OFFSET(Z21,0,1)+OFFSET(Z22,0,1))*$B14/Параметры!Z$30)</f>
        <v>0</v>
      </c>
      <c r="AA13" s="289">
        <f ca="1">IF(OR(AND($B14=0,AA$2&gt;1),AA$2=Prj_Len),Z13,(OFFSET(AA9,0,1)+OFFSET(AA21,0,1)+OFFSET(AA22,0,1))*$B14/Параметры!AA$30)</f>
        <v>0</v>
      </c>
      <c r="AB13" s="289">
        <f ca="1">IF(OR(AND($B14=0,AB$2&gt;1),AB$2=Prj_Len),AA13,(OFFSET(AB9,0,1)+OFFSET(AB21,0,1)+OFFSET(AB22,0,1))*$B14/Параметры!AB$30)</f>
        <v>0</v>
      </c>
      <c r="AC13" s="289">
        <f ca="1">IF(OR(AND($B14=0,AC$2&gt;1),AC$2=Prj_Len),AB13,(OFFSET(AC9,0,1)+OFFSET(AC21,0,1)+OFFSET(AC22,0,1))*$B14/Параметры!AC$30)</f>
        <v>0</v>
      </c>
      <c r="AD13" s="289">
        <f ca="1">IF(OR(AND($B14=0,AD$2&gt;1),AD$2=Prj_Len),AC13,(OFFSET(AD9,0,1)+OFFSET(AD21,0,1)+OFFSET(AD22,0,1))*$B14/Параметры!AD$30)</f>
        <v>0</v>
      </c>
      <c r="AE13" s="289">
        <f ca="1">IF(OR(AND($B14=0,AE$2&gt;1),AE$2=Prj_Len),AD13,(OFFSET(AE9,0,1)+OFFSET(AE21,0,1)+OFFSET(AE22,0,1))*$B14/Параметры!AE$30)</f>
        <v>0</v>
      </c>
      <c r="AF13" s="289">
        <f ca="1">IF(OR(AND($B14=0,AF$2&gt;1),AF$2=Prj_Len),AE13,(OFFSET(AF9,0,1)+OFFSET(AF21,0,1)+OFFSET(AF22,0,1))*$B14/Параметры!AF$30)</f>
        <v>0</v>
      </c>
      <c r="AG13" s="289">
        <f ca="1">IF(OR(AND($B14=0,AG$2&gt;1),AG$2=Prj_Len),AF13,(OFFSET(AG9,0,1)+OFFSET(AG21,0,1)+OFFSET(AG22,0,1))*$B14/Параметры!AG$30)</f>
        <v>0</v>
      </c>
      <c r="AH13" s="289">
        <f ca="1">IF(OR(AND($B14=0,AH$2&gt;1),AH$2=Prj_Len),AG13,(OFFSET(AH9,0,1)+OFFSET(AH21,0,1)+OFFSET(AH22,0,1))*$B14/Параметры!AH$30)</f>
        <v>0</v>
      </c>
      <c r="AI13" s="289">
        <f ca="1">IF(OR(AND($B14=0,AI$2&gt;1),AI$2=Prj_Len),AH13,(OFFSET(AI9,0,1)+OFFSET(AI21,0,1)+OFFSET(AI22,0,1))*$B14/Параметры!AI$30)</f>
        <v>0</v>
      </c>
      <c r="AJ13" s="289">
        <f ca="1">IF(OR(AND($B14=0,AJ$2&gt;1),AJ$2=Prj_Len),AI13,(OFFSET(AJ9,0,1)+OFFSET(AJ21,0,1)+OFFSET(AJ22,0,1))*$B14/Параметры!AJ$30)</f>
        <v>0</v>
      </c>
      <c r="AK13" s="289">
        <f ca="1">IF(OR(AND($B14=0,AK$2&gt;1),AK$2=Prj_Len),AJ13,(OFFSET(AK9,0,1)+OFFSET(AK21,0,1)+OFFSET(AK22,0,1))*$B14/Параметры!AK$30)</f>
        <v>0</v>
      </c>
      <c r="AL13" s="289">
        <f ca="1">IF(OR(AND($B14=0,AL$2&gt;1),AL$2=Prj_Len),AK13,(OFFSET(AL9,0,1)+OFFSET(AL21,0,1)+OFFSET(AL22,0,1))*$B14/Параметры!AL$30)</f>
        <v>0</v>
      </c>
      <c r="AM13" s="289">
        <f ca="1">IF(OR(AND($B14=0,AM$2&gt;1),AM$2=Prj_Len),AL13,(OFFSET(AM9,0,1)+OFFSET(AM21,0,1)+OFFSET(AM22,0,1))*$B14/Параметры!AM$30)</f>
        <v>0</v>
      </c>
      <c r="AN13" s="289">
        <f ca="1">IF(OR(AND($B14=0,AN$2&gt;1),AN$2=Prj_Len),AM13,(OFFSET(AN9,0,1)+OFFSET(AN21,0,1)+OFFSET(AN22,0,1))*$B14/Параметры!AN$30)</f>
        <v>0</v>
      </c>
      <c r="AO13" s="289">
        <f ca="1">IF(OR(AND($B14=0,AO$2&gt;1),AO$2=Prj_Len),AN13,(OFFSET(AO9,0,1)+OFFSET(AO21,0,1)+OFFSET(AO22,0,1))*$B14/Параметры!AO$30)</f>
        <v>0</v>
      </c>
      <c r="AP13" s="289">
        <f ca="1">IF(OR(AND($B14=0,AP$2&gt;1),AP$2=Prj_Len),AO13,(OFFSET(AP9,0,1)+OFFSET(AP21,0,1)+OFFSET(AP22,0,1))*$B14/Параметры!AP$30)</f>
        <v>0</v>
      </c>
      <c r="AQ13" s="289">
        <f ca="1">IF(OR(AND($B14=0,AQ$2&gt;1),AQ$2=Prj_Len),AP13,(OFFSET(AQ9,0,1)+OFFSET(AQ21,0,1)+OFFSET(AQ22,0,1))*$B14/Параметры!AQ$30)</f>
        <v>0</v>
      </c>
      <c r="AR13" s="289">
        <f ca="1">IF(OR(AND($B14=0,AR$2&gt;1),AR$2=Prj_Len),AQ13,(OFFSET(AR9,0,1)+OFFSET(AR21,0,1)+OFFSET(AR22,0,1))*$B14/Параметры!AR$30)</f>
        <v>0</v>
      </c>
      <c r="AS13" s="289">
        <f ca="1">IF(OR(AND($B14=0,AS$2&gt;1),AS$2=Prj_Len),AR13,(OFFSET(AS9,0,1)+OFFSET(AS21,0,1)+OFFSET(AS22,0,1))*$B14/Параметры!AS$30)</f>
        <v>0</v>
      </c>
      <c r="AT13" s="289">
        <f ca="1">IF(OR(AND($B14=0,AT$2&gt;1),AT$2=Prj_Len),AS13,(OFFSET(AT9,0,1)+OFFSET(AT21,0,1)+OFFSET(AT22,0,1))*$B14/Параметры!AT$30)</f>
        <v>0</v>
      </c>
      <c r="AU13" s="289">
        <f ca="1">IF(OR(AND($B14=0,AU$2&gt;1),AU$2=Prj_Len),AT13,(OFFSET(AU9,0,1)+OFFSET(AU21,0,1)+OFFSET(AU22,0,1))*$B14/Параметры!AU$30)</f>
        <v>0</v>
      </c>
      <c r="AV13" s="289">
        <f ca="1">IF(OR(AND($B14=0,AV$2&gt;1),AV$2=Prj_Len),AU13,(OFFSET(AV9,0,1)+OFFSET(AV21,0,1)+OFFSET(AV22,0,1))*$B14/Параметры!AV$30)</f>
        <v>0</v>
      </c>
      <c r="AW13" s="289">
        <f ca="1">IF(OR(AND($B14=0,AW$2&gt;1),AW$2=Prj_Len),AV13,(OFFSET(AW9,0,1)+OFFSET(AW21,0,1)+OFFSET(AW22,0,1))*$B14/Параметры!AW$30)</f>
        <v>0</v>
      </c>
      <c r="AX13" s="289">
        <f ca="1">IF(OR(AND($B14=0,AX$2&gt;1),AX$2=Prj_Len),AW13,(OFFSET(AX9,0,1)+OFFSET(AX21,0,1)+OFFSET(AX22,0,1))*$B14/Параметры!AX$30)</f>
        <v>0</v>
      </c>
      <c r="AY13" s="289">
        <f ca="1">IF(OR(AND($B14=0,AY$2&gt;1),AY$2=Prj_Len),AX13,(OFFSET(AY9,0,1)+OFFSET(AY21,0,1)+OFFSET(AY22,0,1))*$B14/Параметры!AY$30)</f>
        <v>0</v>
      </c>
      <c r="AZ13" s="289">
        <f ca="1">IF(OR(AND($B14=0,AZ$2&gt;1),AZ$2=Prj_Len),AY13,(OFFSET(AZ9,0,1)+OFFSET(AZ21,0,1)+OFFSET(AZ22,0,1))*$B14/Параметры!AZ$30)</f>
        <v>0</v>
      </c>
      <c r="BA13" s="289">
        <f ca="1">IF(OR(AND($B14=0,BA$2&gt;1),BA$2=Prj_Len),AZ13,(OFFSET(BA9,0,1)+OFFSET(BA21,0,1)+OFFSET(BA22,0,1))*$B14/Параметры!BA$30)</f>
        <v>0</v>
      </c>
      <c r="BB13" s="289">
        <f ca="1">IF(OR(AND($B14=0,BB$2&gt;1),BB$2=Prj_Len),BA13,(OFFSET(BB9,0,1)+OFFSET(BB21,0,1)+OFFSET(BB22,0,1))*$B14/Параметры!BB$30)</f>
        <v>0</v>
      </c>
      <c r="BC13" s="188"/>
      <c r="BD13" s="186"/>
    </row>
    <row r="14" spans="1:56" s="170" customFormat="1" ht="14.4" hidden="1" thickTop="1" x14ac:dyDescent="0.3">
      <c r="A14" s="187" t="str">
        <f ca="1">Language!A$595</f>
        <v>средний период предоплаты</v>
      </c>
      <c r="B14" s="288">
        <f ca="1">$B$579</f>
        <v>0</v>
      </c>
      <c r="C14" s="163" t="str">
        <f ca="1">Language!$A$1474</f>
        <v>дней</v>
      </c>
      <c r="F14" s="170" t="s">
        <v>2343</v>
      </c>
      <c r="G14" s="185"/>
      <c r="H14" s="185"/>
      <c r="I14" s="185"/>
      <c r="J14" s="185"/>
      <c r="K14" s="185"/>
      <c r="L14" s="185"/>
      <c r="M14" s="185"/>
      <c r="N14" s="185"/>
      <c r="O14" s="185"/>
      <c r="P14" s="185"/>
      <c r="Q14" s="185"/>
      <c r="R14" s="185"/>
      <c r="S14" s="185"/>
      <c r="T14" s="185"/>
      <c r="U14" s="185"/>
      <c r="V14" s="185"/>
      <c r="W14" s="185"/>
      <c r="X14" s="185"/>
      <c r="Y14" s="185"/>
      <c r="Z14" s="185"/>
      <c r="AA14" s="185"/>
      <c r="AB14" s="185"/>
      <c r="AC14" s="185"/>
      <c r="AD14" s="185"/>
      <c r="AE14" s="185"/>
      <c r="AF14" s="185"/>
      <c r="AG14" s="185"/>
      <c r="AH14" s="185"/>
      <c r="AI14" s="185"/>
      <c r="AJ14" s="185"/>
      <c r="AK14" s="185"/>
      <c r="AL14" s="185"/>
      <c r="AM14" s="185"/>
      <c r="AN14" s="185"/>
      <c r="AO14" s="185"/>
      <c r="AP14" s="185"/>
      <c r="AQ14" s="185"/>
      <c r="AR14" s="185"/>
      <c r="AS14" s="185"/>
      <c r="AT14" s="185"/>
      <c r="AU14" s="185"/>
      <c r="AV14" s="185"/>
      <c r="AW14" s="185"/>
      <c r="AX14" s="185"/>
      <c r="AY14" s="185"/>
      <c r="AZ14" s="185"/>
      <c r="BA14" s="185"/>
      <c r="BB14" s="185"/>
      <c r="BC14" s="185"/>
      <c r="BD14" s="186"/>
    </row>
    <row r="15" spans="1:56" s="173" customFormat="1" ht="14.4" hidden="1" thickTop="1" x14ac:dyDescent="0.3">
      <c r="A15" s="181" t="str">
        <f ca="1">Language!A$596</f>
        <v>поступление денежных средств, с НДС</v>
      </c>
      <c r="B15" s="176"/>
      <c r="C15" s="176" t="str">
        <f ca="1">CHOOSE(D15,CurName1,CurName2,CurName3)</f>
        <v>руб.</v>
      </c>
      <c r="D15" s="174">
        <f>D6</f>
        <v>1</v>
      </c>
      <c r="E15" s="170" t="s">
        <v>993</v>
      </c>
      <c r="F15" s="170" t="s">
        <v>743</v>
      </c>
      <c r="G15" s="182">
        <f ca="1">G9+G21+G22-IF(G$2=1,G11,G11-F11)+IF(G$2=1,G13,G13-F13)</f>
        <v>0</v>
      </c>
      <c r="H15" s="182">
        <f t="shared" ref="H15:BB15" ca="1" si="26">H9+H21+H22-IF(H$2=1,H11,H11-G11)+IF(H$2=1,H13,H13-G13)</f>
        <v>0</v>
      </c>
      <c r="I15" s="182">
        <f t="shared" ca="1" si="26"/>
        <v>0</v>
      </c>
      <c r="J15" s="182">
        <f t="shared" ca="1" si="26"/>
        <v>0</v>
      </c>
      <c r="K15" s="182">
        <f t="shared" ca="1" si="26"/>
        <v>0</v>
      </c>
      <c r="L15" s="182">
        <f t="shared" ca="1" si="26"/>
        <v>0</v>
      </c>
      <c r="M15" s="182">
        <f t="shared" ca="1" si="26"/>
        <v>0</v>
      </c>
      <c r="N15" s="182">
        <f t="shared" ca="1" si="26"/>
        <v>0</v>
      </c>
      <c r="O15" s="182">
        <f t="shared" ca="1" si="26"/>
        <v>0</v>
      </c>
      <c r="P15" s="182">
        <f t="shared" ca="1" si="26"/>
        <v>0</v>
      </c>
      <c r="Q15" s="182">
        <f t="shared" ca="1" si="26"/>
        <v>0</v>
      </c>
      <c r="R15" s="182">
        <f t="shared" ca="1" si="26"/>
        <v>0</v>
      </c>
      <c r="S15" s="182">
        <f t="shared" ca="1" si="26"/>
        <v>0</v>
      </c>
      <c r="T15" s="182">
        <f t="shared" ca="1" si="26"/>
        <v>0</v>
      </c>
      <c r="U15" s="182">
        <f t="shared" ca="1" si="26"/>
        <v>0</v>
      </c>
      <c r="V15" s="182">
        <f t="shared" ca="1" si="26"/>
        <v>0</v>
      </c>
      <c r="W15" s="182">
        <f t="shared" ca="1" si="26"/>
        <v>0</v>
      </c>
      <c r="X15" s="182">
        <f t="shared" ca="1" si="26"/>
        <v>0</v>
      </c>
      <c r="Y15" s="182">
        <f t="shared" ca="1" si="26"/>
        <v>0</v>
      </c>
      <c r="Z15" s="182">
        <f t="shared" ca="1" si="26"/>
        <v>0</v>
      </c>
      <c r="AA15" s="182">
        <f t="shared" ca="1" si="26"/>
        <v>0</v>
      </c>
      <c r="AB15" s="182">
        <f t="shared" ca="1" si="26"/>
        <v>0</v>
      </c>
      <c r="AC15" s="182">
        <f t="shared" ca="1" si="26"/>
        <v>0</v>
      </c>
      <c r="AD15" s="182">
        <f t="shared" ca="1" si="26"/>
        <v>0</v>
      </c>
      <c r="AE15" s="182">
        <f t="shared" ca="1" si="26"/>
        <v>0</v>
      </c>
      <c r="AF15" s="182">
        <f t="shared" ca="1" si="26"/>
        <v>0</v>
      </c>
      <c r="AG15" s="182">
        <f t="shared" ca="1" si="26"/>
        <v>0</v>
      </c>
      <c r="AH15" s="182">
        <f t="shared" ca="1" si="26"/>
        <v>0</v>
      </c>
      <c r="AI15" s="182">
        <f t="shared" ca="1" si="26"/>
        <v>0</v>
      </c>
      <c r="AJ15" s="182">
        <f t="shared" ca="1" si="26"/>
        <v>0</v>
      </c>
      <c r="AK15" s="182">
        <f t="shared" ca="1" si="26"/>
        <v>0</v>
      </c>
      <c r="AL15" s="182">
        <f t="shared" ca="1" si="26"/>
        <v>0</v>
      </c>
      <c r="AM15" s="182">
        <f t="shared" ca="1" si="26"/>
        <v>0</v>
      </c>
      <c r="AN15" s="182">
        <f t="shared" ca="1" si="26"/>
        <v>0</v>
      </c>
      <c r="AO15" s="182">
        <f t="shared" ca="1" si="26"/>
        <v>0</v>
      </c>
      <c r="AP15" s="182">
        <f t="shared" ca="1" si="26"/>
        <v>0</v>
      </c>
      <c r="AQ15" s="182">
        <f t="shared" ca="1" si="26"/>
        <v>0</v>
      </c>
      <c r="AR15" s="182">
        <f t="shared" ca="1" si="26"/>
        <v>0</v>
      </c>
      <c r="AS15" s="182">
        <f t="shared" ca="1" si="26"/>
        <v>0</v>
      </c>
      <c r="AT15" s="182">
        <f t="shared" ca="1" si="26"/>
        <v>0</v>
      </c>
      <c r="AU15" s="182">
        <f t="shared" ca="1" si="26"/>
        <v>0</v>
      </c>
      <c r="AV15" s="182">
        <f t="shared" ca="1" si="26"/>
        <v>0</v>
      </c>
      <c r="AW15" s="182">
        <f t="shared" ca="1" si="26"/>
        <v>0</v>
      </c>
      <c r="AX15" s="182">
        <f t="shared" ca="1" si="26"/>
        <v>0</v>
      </c>
      <c r="AY15" s="182">
        <f t="shared" ca="1" si="26"/>
        <v>0</v>
      </c>
      <c r="AZ15" s="182">
        <f t="shared" ca="1" si="26"/>
        <v>0</v>
      </c>
      <c r="BA15" s="182">
        <f t="shared" ca="1" si="26"/>
        <v>0</v>
      </c>
      <c r="BB15" s="182">
        <f t="shared" ca="1" si="26"/>
        <v>0</v>
      </c>
      <c r="BC15" s="182"/>
      <c r="BD15" s="183">
        <f ca="1">SUM(G15:BC15)</f>
        <v>0</v>
      </c>
    </row>
    <row r="16" spans="1:56" ht="14.4" hidden="1" thickTop="1" x14ac:dyDescent="0.3">
      <c r="A16" s="184" t="str">
        <f ca="1">Language!A$597</f>
        <v>темп изменения цен</v>
      </c>
      <c r="B16" s="189"/>
      <c r="C16" s="163" t="str">
        <f ca="1">Language!$A$480</f>
        <v>% в год</v>
      </c>
      <c r="D16" s="174"/>
      <c r="F16" s="170" t="s">
        <v>2344</v>
      </c>
      <c r="G16" s="290">
        <f>CHOOSE($D6,Параметры!G$47,Параметры!G$56,Параметры!G$62)</f>
        <v>0.06</v>
      </c>
      <c r="H16" s="290">
        <f>CHOOSE($D6,Параметры!H$47,Параметры!H$56,Параметры!H$62)</f>
        <v>0.06</v>
      </c>
      <c r="I16" s="290">
        <f>CHOOSE($D6,Параметры!I$47,Параметры!I$56,Параметры!I$62)</f>
        <v>0.06</v>
      </c>
      <c r="J16" s="290">
        <f>CHOOSE($D6,Параметры!J$47,Параметры!J$56,Параметры!J$62)</f>
        <v>0.06</v>
      </c>
      <c r="K16" s="290">
        <f>CHOOSE($D6,Параметры!K$47,Параметры!K$56,Параметры!K$62)</f>
        <v>0.06</v>
      </c>
      <c r="L16" s="290">
        <f>CHOOSE($D6,Параметры!L$47,Параметры!L$56,Параметры!L$62)</f>
        <v>0.06</v>
      </c>
      <c r="M16" s="290">
        <f>CHOOSE($D6,Параметры!M$47,Параметры!M$56,Параметры!M$62)</f>
        <v>0.06</v>
      </c>
      <c r="N16" s="290">
        <f>CHOOSE($D6,Параметры!N$47,Параметры!N$56,Параметры!N$62)</f>
        <v>0.06</v>
      </c>
      <c r="O16" s="290">
        <f>CHOOSE($D6,Параметры!O$47,Параметры!O$56,Параметры!O$62)</f>
        <v>0.06</v>
      </c>
      <c r="P16" s="290">
        <f>CHOOSE($D6,Параметры!P$47,Параметры!P$56,Параметры!P$62)</f>
        <v>0.06</v>
      </c>
      <c r="Q16" s="290">
        <f>CHOOSE($D6,Параметры!Q$47,Параметры!Q$56,Параметры!Q$62)</f>
        <v>0.06</v>
      </c>
      <c r="R16" s="290">
        <f>CHOOSE($D6,Параметры!R$47,Параметры!R$56,Параметры!R$62)</f>
        <v>0.06</v>
      </c>
      <c r="S16" s="290">
        <f>CHOOSE($D6,Параметры!S$47,Параметры!S$56,Параметры!S$62)</f>
        <v>0.06</v>
      </c>
      <c r="T16" s="290">
        <f>CHOOSE($D6,Параметры!T$47,Параметры!T$56,Параметры!T$62)</f>
        <v>0.06</v>
      </c>
      <c r="U16" s="290">
        <f>CHOOSE($D6,Параметры!U$47,Параметры!U$56,Параметры!U$62)</f>
        <v>0.06</v>
      </c>
      <c r="V16" s="290">
        <f>CHOOSE($D6,Параметры!V$47,Параметры!V$56,Параметры!V$62)</f>
        <v>0.06</v>
      </c>
      <c r="W16" s="290">
        <f>CHOOSE($D6,Параметры!W$47,Параметры!W$56,Параметры!W$62)</f>
        <v>0.06</v>
      </c>
      <c r="X16" s="290">
        <f>CHOOSE($D6,Параметры!X$47,Параметры!X$56,Параметры!X$62)</f>
        <v>0.06</v>
      </c>
      <c r="Y16" s="290">
        <f>CHOOSE($D6,Параметры!Y$47,Параметры!Y$56,Параметры!Y$62)</f>
        <v>0.06</v>
      </c>
      <c r="Z16" s="290">
        <f>CHOOSE($D6,Параметры!Z$47,Параметры!Z$56,Параметры!Z$62)</f>
        <v>0.06</v>
      </c>
      <c r="AA16" s="290">
        <f>CHOOSE($D6,Параметры!AA$47,Параметры!AA$56,Параметры!AA$62)</f>
        <v>0.06</v>
      </c>
      <c r="AB16" s="290">
        <f>CHOOSE($D6,Параметры!AB$47,Параметры!AB$56,Параметры!AB$62)</f>
        <v>0.06</v>
      </c>
      <c r="AC16" s="290">
        <f>CHOOSE($D6,Параметры!AC$47,Параметры!AC$56,Параметры!AC$62)</f>
        <v>0.06</v>
      </c>
      <c r="AD16" s="290">
        <f>CHOOSE($D6,Параметры!AD$47,Параметры!AD$56,Параметры!AD$62)</f>
        <v>0.06</v>
      </c>
      <c r="AE16" s="290">
        <f>CHOOSE($D6,Параметры!AE$47,Параметры!AE$56,Параметры!AE$62)</f>
        <v>0.06</v>
      </c>
      <c r="AF16" s="290">
        <f>CHOOSE($D6,Параметры!AF$47,Параметры!AF$56,Параметры!AF$62)</f>
        <v>0.06</v>
      </c>
      <c r="AG16" s="290">
        <f>CHOOSE($D6,Параметры!AG$47,Параметры!AG$56,Параметры!AG$62)</f>
        <v>0.06</v>
      </c>
      <c r="AH16" s="290">
        <f>CHOOSE($D6,Параметры!AH$47,Параметры!AH$56,Параметры!AH$62)</f>
        <v>0.06</v>
      </c>
      <c r="AI16" s="290">
        <f>CHOOSE($D6,Параметры!AI$47,Параметры!AI$56,Параметры!AI$62)</f>
        <v>0.06</v>
      </c>
      <c r="AJ16" s="290">
        <f>CHOOSE($D6,Параметры!AJ$47,Параметры!AJ$56,Параметры!AJ$62)</f>
        <v>0.06</v>
      </c>
      <c r="AK16" s="290">
        <f>CHOOSE($D6,Параметры!AK$47,Параметры!AK$56,Параметры!AK$62)</f>
        <v>0.06</v>
      </c>
      <c r="AL16" s="290">
        <f>CHOOSE($D6,Параметры!AL$47,Параметры!AL$56,Параметры!AL$62)</f>
        <v>0.06</v>
      </c>
      <c r="AM16" s="290">
        <f>CHOOSE($D6,Параметры!AM$47,Параметры!AM$56,Параметры!AM$62)</f>
        <v>0.06</v>
      </c>
      <c r="AN16" s="290">
        <f>CHOOSE($D6,Параметры!AN$47,Параметры!AN$56,Параметры!AN$62)</f>
        <v>0.06</v>
      </c>
      <c r="AO16" s="290">
        <f>CHOOSE($D6,Параметры!AO$47,Параметры!AO$56,Параметры!AO$62)</f>
        <v>0.06</v>
      </c>
      <c r="AP16" s="290">
        <f>CHOOSE($D6,Параметры!AP$47,Параметры!AP$56,Параметры!AP$62)</f>
        <v>0.06</v>
      </c>
      <c r="AQ16" s="290">
        <f>CHOOSE($D6,Параметры!AQ$47,Параметры!AQ$56,Параметры!AQ$62)</f>
        <v>0.06</v>
      </c>
      <c r="AR16" s="290">
        <f>CHOOSE($D6,Параметры!AR$47,Параметры!AR$56,Параметры!AR$62)</f>
        <v>0.06</v>
      </c>
      <c r="AS16" s="290">
        <f>CHOOSE($D6,Параметры!AS$47,Параметры!AS$56,Параметры!AS$62)</f>
        <v>0.06</v>
      </c>
      <c r="AT16" s="290">
        <f>CHOOSE($D6,Параметры!AT$47,Параметры!AT$56,Параметры!AT$62)</f>
        <v>0.06</v>
      </c>
      <c r="AU16" s="290">
        <f>CHOOSE($D6,Параметры!AU$47,Параметры!AU$56,Параметры!AU$62)</f>
        <v>0.06</v>
      </c>
      <c r="AV16" s="290">
        <f>CHOOSE($D6,Параметры!AV$47,Параметры!AV$56,Параметры!AV$62)</f>
        <v>0.06</v>
      </c>
      <c r="AW16" s="290">
        <f>CHOOSE($D6,Параметры!AW$47,Параметры!AW$56,Параметры!AW$62)</f>
        <v>0.06</v>
      </c>
      <c r="AX16" s="290">
        <f>CHOOSE($D6,Параметры!AX$47,Параметры!AX$56,Параметры!AX$62)</f>
        <v>0.06</v>
      </c>
      <c r="AY16" s="290">
        <f>CHOOSE($D6,Параметры!AY$47,Параметры!AY$56,Параметры!AY$62)</f>
        <v>0.06</v>
      </c>
      <c r="AZ16" s="290">
        <f>CHOOSE($D6,Параметры!AZ$47,Параметры!AZ$56,Параметры!AZ$62)</f>
        <v>0.06</v>
      </c>
      <c r="BA16" s="290">
        <f>CHOOSE($D6,Параметры!BA$47,Параметры!BA$56,Параметры!BA$62)</f>
        <v>0.06</v>
      </c>
      <c r="BB16" s="290">
        <f>CHOOSE($D6,Параметры!BB$47,Параметры!BB$56,Параметры!BB$62)</f>
        <v>0.06</v>
      </c>
      <c r="BC16" s="190"/>
      <c r="BD16" s="186"/>
    </row>
    <row r="17" spans="1:56" ht="14.4" hidden="1" thickTop="1" x14ac:dyDescent="0.3">
      <c r="A17" s="184" t="str">
        <f ca="1">Language!A$598</f>
        <v>ставка НДС</v>
      </c>
      <c r="B17" s="189"/>
      <c r="C17" s="163" t="s">
        <v>1</v>
      </c>
      <c r="D17" s="174"/>
      <c r="F17" s="170" t="s">
        <v>2344</v>
      </c>
      <c r="G17" s="290">
        <f>IF(G$2=1,Параметры!G$72,IF(F17=Параметры!F$72,Параметры!F$72,F17))</f>
        <v>0</v>
      </c>
      <c r="H17" s="290">
        <f>IF(H$2=1,Параметры!H$72,IF(G17=Параметры!G$72,Параметры!G$72,G17))</f>
        <v>0</v>
      </c>
      <c r="I17" s="290">
        <f>IF(I$2=1,Параметры!I$72,IF(H17=Параметры!H$72,Параметры!H$72,H17))</f>
        <v>0</v>
      </c>
      <c r="J17" s="290">
        <f>IF(J$2=1,Параметры!J$72,IF(I17=Параметры!I$72,Параметры!I$72,I17))</f>
        <v>0</v>
      </c>
      <c r="K17" s="290">
        <f>IF(K$2=1,Параметры!K$72,IF(J17=Параметры!J$72,Параметры!J$72,J17))</f>
        <v>0</v>
      </c>
      <c r="L17" s="290">
        <f>IF(L$2=1,Параметры!L$72,IF(K17=Параметры!K$72,Параметры!K$72,K17))</f>
        <v>0</v>
      </c>
      <c r="M17" s="290">
        <f>IF(M$2=1,Параметры!M$72,IF(L17=Параметры!L$72,Параметры!L$72,L17))</f>
        <v>0</v>
      </c>
      <c r="N17" s="290">
        <f>IF(N$2=1,Параметры!N$72,IF(M17=Параметры!M$72,Параметры!M$72,M17))</f>
        <v>0</v>
      </c>
      <c r="O17" s="290">
        <f>IF(O$2=1,Параметры!O$72,IF(N17=Параметры!N$72,Параметры!N$72,N17))</f>
        <v>0</v>
      </c>
      <c r="P17" s="290">
        <f>IF(P$2=1,Параметры!P$72,IF(O17=Параметры!O$72,Параметры!O$72,O17))</f>
        <v>0</v>
      </c>
      <c r="Q17" s="290">
        <f>IF(Q$2=1,Параметры!Q$72,IF(P17=Параметры!P$72,Параметры!P$72,P17))</f>
        <v>0</v>
      </c>
      <c r="R17" s="290">
        <f>IF(R$2=1,Параметры!R$72,IF(Q17=Параметры!Q$72,Параметры!Q$72,Q17))</f>
        <v>0</v>
      </c>
      <c r="S17" s="290">
        <f>IF(S$2=1,Параметры!S$72,IF(R17=Параметры!R$72,Параметры!R$72,R17))</f>
        <v>0</v>
      </c>
      <c r="T17" s="290">
        <f>IF(T$2=1,Параметры!T$72,IF(S17=Параметры!S$72,Параметры!S$72,S17))</f>
        <v>0</v>
      </c>
      <c r="U17" s="290">
        <f>IF(U$2=1,Параметры!U$72,IF(T17=Параметры!T$72,Параметры!T$72,T17))</f>
        <v>0</v>
      </c>
      <c r="V17" s="290">
        <f>IF(V$2=1,Параметры!V$72,IF(U17=Параметры!U$72,Параметры!U$72,U17))</f>
        <v>0</v>
      </c>
      <c r="W17" s="290">
        <f>IF(W$2=1,Параметры!W$72,IF(V17=Параметры!V$72,Параметры!V$72,V17))</f>
        <v>0</v>
      </c>
      <c r="X17" s="290">
        <f>IF(X$2=1,Параметры!X$72,IF(W17=Параметры!W$72,Параметры!W$72,W17))</f>
        <v>0</v>
      </c>
      <c r="Y17" s="290">
        <f>IF(Y$2=1,Параметры!Y$72,IF(X17=Параметры!X$72,Параметры!X$72,X17))</f>
        <v>0</v>
      </c>
      <c r="Z17" s="290">
        <f>IF(Z$2=1,Параметры!Z$72,IF(Y17=Параметры!Y$72,Параметры!Y$72,Y17))</f>
        <v>0</v>
      </c>
      <c r="AA17" s="290">
        <f>IF(AA$2=1,Параметры!AA$72,IF(Z17=Параметры!Z$72,Параметры!Z$72,Z17))</f>
        <v>0</v>
      </c>
      <c r="AB17" s="290">
        <f>IF(AB$2=1,Параметры!AB$72,IF(AA17=Параметры!AA$72,Параметры!AA$72,AA17))</f>
        <v>0</v>
      </c>
      <c r="AC17" s="290">
        <f>IF(AC$2=1,Параметры!AC$72,IF(AB17=Параметры!AB$72,Параметры!AB$72,AB17))</f>
        <v>0</v>
      </c>
      <c r="AD17" s="290">
        <f>IF(AD$2=1,Параметры!AD$72,IF(AC17=Параметры!AC$72,Параметры!AC$72,AC17))</f>
        <v>0</v>
      </c>
      <c r="AE17" s="290">
        <f>IF(AE$2=1,Параметры!AE$72,IF(AD17=Параметры!AD$72,Параметры!AD$72,AD17))</f>
        <v>0</v>
      </c>
      <c r="AF17" s="290">
        <f>IF(AF$2=1,Параметры!AF$72,IF(AE17=Параметры!AE$72,Параметры!AE$72,AE17))</f>
        <v>0</v>
      </c>
      <c r="AG17" s="290">
        <f>IF(AG$2=1,Параметры!AG$72,IF(AF17=Параметры!AF$72,Параметры!AF$72,AF17))</f>
        <v>0</v>
      </c>
      <c r="AH17" s="290">
        <f>IF(AH$2=1,Параметры!AH$72,IF(AG17=Параметры!AG$72,Параметры!AG$72,AG17))</f>
        <v>0</v>
      </c>
      <c r="AI17" s="290">
        <f>IF(AI$2=1,Параметры!AI$72,IF(AH17=Параметры!AH$72,Параметры!AH$72,AH17))</f>
        <v>0</v>
      </c>
      <c r="AJ17" s="290">
        <f>IF(AJ$2=1,Параметры!AJ$72,IF(AI17=Параметры!AI$72,Параметры!AI$72,AI17))</f>
        <v>0</v>
      </c>
      <c r="AK17" s="290">
        <f>IF(AK$2=1,Параметры!AK$72,IF(AJ17=Параметры!AJ$72,Параметры!AJ$72,AJ17))</f>
        <v>0</v>
      </c>
      <c r="AL17" s="290">
        <f>IF(AL$2=1,Параметры!AL$72,IF(AK17=Параметры!AK$72,Параметры!AK$72,AK17))</f>
        <v>0</v>
      </c>
      <c r="AM17" s="290">
        <f>IF(AM$2=1,Параметры!AM$72,IF(AL17=Параметры!AL$72,Параметры!AL$72,AL17))</f>
        <v>0</v>
      </c>
      <c r="AN17" s="290">
        <f>IF(AN$2=1,Параметры!AN$72,IF(AM17=Параметры!AM$72,Параметры!AM$72,AM17))</f>
        <v>0</v>
      </c>
      <c r="AO17" s="290">
        <f>IF(AO$2=1,Параметры!AO$72,IF(AN17=Параметры!AN$72,Параметры!AN$72,AN17))</f>
        <v>0</v>
      </c>
      <c r="AP17" s="290">
        <f>IF(AP$2=1,Параметры!AP$72,IF(AO17=Параметры!AO$72,Параметры!AO$72,AO17))</f>
        <v>0</v>
      </c>
      <c r="AQ17" s="290">
        <f>IF(AQ$2=1,Параметры!AQ$72,IF(AP17=Параметры!AP$72,Параметры!AP$72,AP17))</f>
        <v>0</v>
      </c>
      <c r="AR17" s="290">
        <f>IF(AR$2=1,Параметры!AR$72,IF(AQ17=Параметры!AQ$72,Параметры!AQ$72,AQ17))</f>
        <v>0</v>
      </c>
      <c r="AS17" s="290">
        <f>IF(AS$2=1,Параметры!AS$72,IF(AR17=Параметры!AR$72,Параметры!AR$72,AR17))</f>
        <v>0</v>
      </c>
      <c r="AT17" s="290">
        <f>IF(AT$2=1,Параметры!AT$72,IF(AS17=Параметры!AS$72,Параметры!AS$72,AS17))</f>
        <v>0</v>
      </c>
      <c r="AU17" s="290">
        <f>IF(AU$2=1,Параметры!AU$72,IF(AT17=Параметры!AT$72,Параметры!AT$72,AT17))</f>
        <v>0</v>
      </c>
      <c r="AV17" s="290">
        <f>IF(AV$2=1,Параметры!AV$72,IF(AU17=Параметры!AU$72,Параметры!AU$72,AU17))</f>
        <v>0</v>
      </c>
      <c r="AW17" s="290">
        <f>IF(AW$2=1,Параметры!AW$72,IF(AV17=Параметры!AV$72,Параметры!AV$72,AV17))</f>
        <v>0</v>
      </c>
      <c r="AX17" s="290">
        <f>IF(AX$2=1,Параметры!AX$72,IF(AW17=Параметры!AW$72,Параметры!AW$72,AW17))</f>
        <v>0</v>
      </c>
      <c r="AY17" s="290">
        <f>IF(AY$2=1,Параметры!AY$72,IF(AX17=Параметры!AX$72,Параметры!AX$72,AX17))</f>
        <v>0</v>
      </c>
      <c r="AZ17" s="290">
        <f>IF(AZ$2=1,Параметры!AZ$72,IF(AY17=Параметры!AY$72,Параметры!AY$72,AY17))</f>
        <v>0</v>
      </c>
      <c r="BA17" s="290">
        <f>IF(BA$2=1,Параметры!BA$72,IF(AZ17=Параметры!AZ$72,Параметры!AZ$72,AZ17))</f>
        <v>0</v>
      </c>
      <c r="BB17" s="290">
        <f>IF(BB$2=1,Параметры!BB$72,IF(BA17=Параметры!BA$72,Параметры!BA$72,BA17))</f>
        <v>0</v>
      </c>
      <c r="BC17" s="190"/>
      <c r="BD17" s="186"/>
    </row>
    <row r="18" spans="1:56" ht="14.4" hidden="1" thickTop="1" x14ac:dyDescent="0.3">
      <c r="A18" s="184" t="str">
        <f ca="1">Language!A$599</f>
        <v>ставка акцизов, в процентах</v>
      </c>
      <c r="B18" s="189"/>
      <c r="C18" s="163" t="s">
        <v>1</v>
      </c>
      <c r="D18" s="174"/>
      <c r="F18" s="170" t="s">
        <v>2344</v>
      </c>
      <c r="G18" s="290">
        <v>0</v>
      </c>
      <c r="H18" s="290">
        <f t="shared" ref="H18" si="27">G18</f>
        <v>0</v>
      </c>
      <c r="I18" s="290">
        <f t="shared" ref="I18" si="28">H18</f>
        <v>0</v>
      </c>
      <c r="J18" s="290">
        <f t="shared" ref="J18" si="29">I18</f>
        <v>0</v>
      </c>
      <c r="K18" s="290">
        <f t="shared" ref="K18:BB18" si="30">J18</f>
        <v>0</v>
      </c>
      <c r="L18" s="290">
        <f t="shared" si="30"/>
        <v>0</v>
      </c>
      <c r="M18" s="290">
        <f t="shared" si="30"/>
        <v>0</v>
      </c>
      <c r="N18" s="290">
        <f t="shared" si="30"/>
        <v>0</v>
      </c>
      <c r="O18" s="290">
        <f t="shared" si="30"/>
        <v>0</v>
      </c>
      <c r="P18" s="290">
        <f t="shared" si="30"/>
        <v>0</v>
      </c>
      <c r="Q18" s="290">
        <f t="shared" si="30"/>
        <v>0</v>
      </c>
      <c r="R18" s="290">
        <f t="shared" si="30"/>
        <v>0</v>
      </c>
      <c r="S18" s="290">
        <f t="shared" si="30"/>
        <v>0</v>
      </c>
      <c r="T18" s="290">
        <f t="shared" si="30"/>
        <v>0</v>
      </c>
      <c r="U18" s="290">
        <f t="shared" si="30"/>
        <v>0</v>
      </c>
      <c r="V18" s="290">
        <f t="shared" si="30"/>
        <v>0</v>
      </c>
      <c r="W18" s="290">
        <f t="shared" si="30"/>
        <v>0</v>
      </c>
      <c r="X18" s="290">
        <f t="shared" si="30"/>
        <v>0</v>
      </c>
      <c r="Y18" s="290">
        <f t="shared" si="30"/>
        <v>0</v>
      </c>
      <c r="Z18" s="290">
        <f t="shared" si="30"/>
        <v>0</v>
      </c>
      <c r="AA18" s="290">
        <f t="shared" si="30"/>
        <v>0</v>
      </c>
      <c r="AB18" s="290">
        <f t="shared" si="30"/>
        <v>0</v>
      </c>
      <c r="AC18" s="290">
        <f t="shared" si="30"/>
        <v>0</v>
      </c>
      <c r="AD18" s="290">
        <f t="shared" si="30"/>
        <v>0</v>
      </c>
      <c r="AE18" s="290">
        <f t="shared" si="30"/>
        <v>0</v>
      </c>
      <c r="AF18" s="290">
        <f t="shared" si="30"/>
        <v>0</v>
      </c>
      <c r="AG18" s="290">
        <f t="shared" si="30"/>
        <v>0</v>
      </c>
      <c r="AH18" s="290">
        <f t="shared" si="30"/>
        <v>0</v>
      </c>
      <c r="AI18" s="290">
        <f t="shared" si="30"/>
        <v>0</v>
      </c>
      <c r="AJ18" s="290">
        <f t="shared" si="30"/>
        <v>0</v>
      </c>
      <c r="AK18" s="290">
        <f t="shared" si="30"/>
        <v>0</v>
      </c>
      <c r="AL18" s="290">
        <f t="shared" si="30"/>
        <v>0</v>
      </c>
      <c r="AM18" s="290">
        <f t="shared" si="30"/>
        <v>0</v>
      </c>
      <c r="AN18" s="290">
        <f t="shared" si="30"/>
        <v>0</v>
      </c>
      <c r="AO18" s="290">
        <f t="shared" si="30"/>
        <v>0</v>
      </c>
      <c r="AP18" s="290">
        <f t="shared" si="30"/>
        <v>0</v>
      </c>
      <c r="AQ18" s="290">
        <f t="shared" si="30"/>
        <v>0</v>
      </c>
      <c r="AR18" s="290">
        <f t="shared" si="30"/>
        <v>0</v>
      </c>
      <c r="AS18" s="290">
        <f t="shared" si="30"/>
        <v>0</v>
      </c>
      <c r="AT18" s="290">
        <f t="shared" si="30"/>
        <v>0</v>
      </c>
      <c r="AU18" s="290">
        <f t="shared" si="30"/>
        <v>0</v>
      </c>
      <c r="AV18" s="290">
        <f t="shared" si="30"/>
        <v>0</v>
      </c>
      <c r="AW18" s="290">
        <f t="shared" si="30"/>
        <v>0</v>
      </c>
      <c r="AX18" s="290">
        <f t="shared" si="30"/>
        <v>0</v>
      </c>
      <c r="AY18" s="290">
        <f t="shared" si="30"/>
        <v>0</v>
      </c>
      <c r="AZ18" s="290">
        <f t="shared" si="30"/>
        <v>0</v>
      </c>
      <c r="BA18" s="290">
        <f t="shared" si="30"/>
        <v>0</v>
      </c>
      <c r="BB18" s="290">
        <f t="shared" si="30"/>
        <v>0</v>
      </c>
      <c r="BC18" s="190"/>
      <c r="BD18" s="186"/>
    </row>
    <row r="19" spans="1:56" ht="14.4" hidden="1" thickTop="1" x14ac:dyDescent="0.3">
      <c r="A19" s="184" t="str">
        <f ca="1">Language!A$675</f>
        <v>коэффициент прироста цен к предыдущему периоду</v>
      </c>
      <c r="B19" s="189"/>
      <c r="C19" s="163" t="str">
        <f ca="1">Language!$A$1477</f>
        <v>раз</v>
      </c>
      <c r="D19" s="174"/>
      <c r="F19" s="170" t="s">
        <v>748</v>
      </c>
      <c r="G19" s="191">
        <f ca="1">IF(G$2=1,1,IF(Prj_Inflation=1,POWER(1+OFFSET(G16,0,-1),Параметры!G$30/360),1))</f>
        <v>1</v>
      </c>
      <c r="H19" s="191">
        <f ca="1">IF(H$2=1,1,IF(Prj_Inflation=1,POWER(1+OFFSET(H16,0,-1),Параметры!H$30/360),1))</f>
        <v>1.004867550565343</v>
      </c>
      <c r="I19" s="191">
        <f ca="1">IF(I$2=1,1,IF(Prj_Inflation=1,POWER(1+OFFSET(I16,0,-1),Параметры!I$30/360),1))</f>
        <v>1.004867550565343</v>
      </c>
      <c r="J19" s="191">
        <f ca="1">IF(J$2=1,1,IF(Prj_Inflation=1,POWER(1+OFFSET(J16,0,-1),Параметры!J$30/360),1))</f>
        <v>1.004867550565343</v>
      </c>
      <c r="K19" s="191">
        <f ca="1">IF(K$2=1,1,IF(Prj_Inflation=1,POWER(1+OFFSET(K16,0,-1),Параметры!K$30/360),1))</f>
        <v>1.004867550565343</v>
      </c>
      <c r="L19" s="191">
        <f ca="1">IF(L$2=1,1,IF(Prj_Inflation=1,POWER(1+OFFSET(L16,0,-1),Параметры!L$30/360),1))</f>
        <v>1.004867550565343</v>
      </c>
      <c r="M19" s="191">
        <f ca="1">IF(M$2=1,1,IF(Prj_Inflation=1,POWER(1+OFFSET(M16,0,-1),Параметры!M$30/360),1))</f>
        <v>1.004867550565343</v>
      </c>
      <c r="N19" s="191">
        <f ca="1">IF(N$2=1,1,IF(Prj_Inflation=1,POWER(1+OFFSET(N16,0,-1),Параметры!N$30/360),1))</f>
        <v>1.004867550565343</v>
      </c>
      <c r="O19" s="191">
        <f ca="1">IF(O$2=1,1,IF(Prj_Inflation=1,POWER(1+OFFSET(O16,0,-1),Параметры!O$30/360),1))</f>
        <v>1.004867550565343</v>
      </c>
      <c r="P19" s="191">
        <f ca="1">IF(P$2=1,1,IF(Prj_Inflation=1,POWER(1+OFFSET(P16,0,-1),Параметры!P$30/360),1))</f>
        <v>1.004867550565343</v>
      </c>
      <c r="Q19" s="191">
        <f ca="1">IF(Q$2=1,1,IF(Prj_Inflation=1,POWER(1+OFFSET(Q16,0,-1),Параметры!Q$30/360),1))</f>
        <v>1.004867550565343</v>
      </c>
      <c r="R19" s="191">
        <f ca="1">IF(R$2=1,1,IF(Prj_Inflation=1,POWER(1+OFFSET(R16,0,-1),Параметры!R$30/360),1))</f>
        <v>1.004867550565343</v>
      </c>
      <c r="S19" s="191">
        <f ca="1">IF(S$2=1,1,IF(Prj_Inflation=1,POWER(1+OFFSET(S16,0,-1),Параметры!S$30/360),1))</f>
        <v>1.004867550565343</v>
      </c>
      <c r="T19" s="191">
        <f ca="1">IF(T$2=1,1,IF(Prj_Inflation=1,POWER(1+OFFSET(T16,0,-1),Параметры!T$30/360),1))</f>
        <v>1.004867550565343</v>
      </c>
      <c r="U19" s="191">
        <f ca="1">IF(U$2=1,1,IF(Prj_Inflation=1,POWER(1+OFFSET(U16,0,-1),Параметры!U$30/360),1))</f>
        <v>1.004867550565343</v>
      </c>
      <c r="V19" s="191">
        <f ca="1">IF(V$2=1,1,IF(Prj_Inflation=1,POWER(1+OFFSET(V16,0,-1),Параметры!V$30/360),1))</f>
        <v>1.004867550565343</v>
      </c>
      <c r="W19" s="191">
        <f ca="1">IF(W$2=1,1,IF(Prj_Inflation=1,POWER(1+OFFSET(W16,0,-1),Параметры!W$30/360),1))</f>
        <v>1.004867550565343</v>
      </c>
      <c r="X19" s="191">
        <f ca="1">IF(X$2=1,1,IF(Prj_Inflation=1,POWER(1+OFFSET(X16,0,-1),Параметры!X$30/360),1))</f>
        <v>1.004867550565343</v>
      </c>
      <c r="Y19" s="191">
        <f ca="1">IF(Y$2=1,1,IF(Prj_Inflation=1,POWER(1+OFFSET(Y16,0,-1),Параметры!Y$30/360),1))</f>
        <v>1.004867550565343</v>
      </c>
      <c r="Z19" s="191">
        <f ca="1">IF(Z$2=1,1,IF(Prj_Inflation=1,POWER(1+OFFSET(Z16,0,-1),Параметры!Z$30/360),1))</f>
        <v>1.004867550565343</v>
      </c>
      <c r="AA19" s="191">
        <f ca="1">IF(AA$2=1,1,IF(Prj_Inflation=1,POWER(1+OFFSET(AA16,0,-1),Параметры!AA$30/360),1))</f>
        <v>1.004867550565343</v>
      </c>
      <c r="AB19" s="191">
        <f ca="1">IF(AB$2=1,1,IF(Prj_Inflation=1,POWER(1+OFFSET(AB16,0,-1),Параметры!AB$30/360),1))</f>
        <v>1.004867550565343</v>
      </c>
      <c r="AC19" s="191">
        <f ca="1">IF(AC$2=1,1,IF(Prj_Inflation=1,POWER(1+OFFSET(AC16,0,-1),Параметры!AC$30/360),1))</f>
        <v>1.004867550565343</v>
      </c>
      <c r="AD19" s="191">
        <f ca="1">IF(AD$2=1,1,IF(Prj_Inflation=1,POWER(1+OFFSET(AD16,0,-1),Параметры!AD$30/360),1))</f>
        <v>1.004867550565343</v>
      </c>
      <c r="AE19" s="191">
        <f ca="1">IF(AE$2=1,1,IF(Prj_Inflation=1,POWER(1+OFFSET(AE16,0,-1),Параметры!AE$30/360),1))</f>
        <v>1.004867550565343</v>
      </c>
      <c r="AF19" s="191">
        <f ca="1">IF(AF$2=1,1,IF(Prj_Inflation=1,POWER(1+OFFSET(AF16,0,-1),Параметры!AF$30/360),1))</f>
        <v>1.004867550565343</v>
      </c>
      <c r="AG19" s="191">
        <f ca="1">IF(AG$2=1,1,IF(Prj_Inflation=1,POWER(1+OFFSET(AG16,0,-1),Параметры!AG$30/360),1))</f>
        <v>1.004867550565343</v>
      </c>
      <c r="AH19" s="191">
        <f ca="1">IF(AH$2=1,1,IF(Prj_Inflation=1,POWER(1+OFFSET(AH16,0,-1),Параметры!AH$30/360),1))</f>
        <v>1.004867550565343</v>
      </c>
      <c r="AI19" s="191">
        <f ca="1">IF(AI$2=1,1,IF(Prj_Inflation=1,POWER(1+OFFSET(AI16,0,-1),Параметры!AI$30/360),1))</f>
        <v>1.004867550565343</v>
      </c>
      <c r="AJ19" s="191">
        <f ca="1">IF(AJ$2=1,1,IF(Prj_Inflation=1,POWER(1+OFFSET(AJ16,0,-1),Параметры!AJ$30/360),1))</f>
        <v>1.004867550565343</v>
      </c>
      <c r="AK19" s="191">
        <f ca="1">IF(AK$2=1,1,IF(Prj_Inflation=1,POWER(1+OFFSET(AK16,0,-1),Параметры!AK$30/360),1))</f>
        <v>1.004867550565343</v>
      </c>
      <c r="AL19" s="191">
        <f ca="1">IF(AL$2=1,1,IF(Prj_Inflation=1,POWER(1+OFFSET(AL16,0,-1),Параметры!AL$30/360),1))</f>
        <v>1.004867550565343</v>
      </c>
      <c r="AM19" s="191">
        <f ca="1">IF(AM$2=1,1,IF(Prj_Inflation=1,POWER(1+OFFSET(AM16,0,-1),Параметры!AM$30/360),1))</f>
        <v>1.004867550565343</v>
      </c>
      <c r="AN19" s="191">
        <f ca="1">IF(AN$2=1,1,IF(Prj_Inflation=1,POWER(1+OFFSET(AN16,0,-1),Параметры!AN$30/360),1))</f>
        <v>1.004867550565343</v>
      </c>
      <c r="AO19" s="191">
        <f ca="1">IF(AO$2=1,1,IF(Prj_Inflation=1,POWER(1+OFFSET(AO16,0,-1),Параметры!AO$30/360),1))</f>
        <v>1.004867550565343</v>
      </c>
      <c r="AP19" s="191">
        <f ca="1">IF(AP$2=1,1,IF(Prj_Inflation=1,POWER(1+OFFSET(AP16,0,-1),Параметры!AP$30/360),1))</f>
        <v>1.004867550565343</v>
      </c>
      <c r="AQ19" s="191">
        <f ca="1">IF(AQ$2=1,1,IF(Prj_Inflation=1,POWER(1+OFFSET(AQ16,0,-1),Параметры!AQ$30/360),1))</f>
        <v>1.004867550565343</v>
      </c>
      <c r="AR19" s="191">
        <f ca="1">IF(AR$2=1,1,IF(Prj_Inflation=1,POWER(1+OFFSET(AR16,0,-1),Параметры!AR$30/360),1))</f>
        <v>1.004867550565343</v>
      </c>
      <c r="AS19" s="191">
        <f ca="1">IF(AS$2=1,1,IF(Prj_Inflation=1,POWER(1+OFFSET(AS16,0,-1),Параметры!AS$30/360),1))</f>
        <v>1.004867550565343</v>
      </c>
      <c r="AT19" s="191">
        <f ca="1">IF(AT$2=1,1,IF(Prj_Inflation=1,POWER(1+OFFSET(AT16,0,-1),Параметры!AT$30/360),1))</f>
        <v>1.004867550565343</v>
      </c>
      <c r="AU19" s="191">
        <f ca="1">IF(AU$2=1,1,IF(Prj_Inflation=1,POWER(1+OFFSET(AU16,0,-1),Параметры!AU$30/360),1))</f>
        <v>1.004867550565343</v>
      </c>
      <c r="AV19" s="191">
        <f ca="1">IF(AV$2=1,1,IF(Prj_Inflation=1,POWER(1+OFFSET(AV16,0,-1),Параметры!AV$30/360),1))</f>
        <v>1.004867550565343</v>
      </c>
      <c r="AW19" s="191">
        <f ca="1">IF(AW$2=1,1,IF(Prj_Inflation=1,POWER(1+OFFSET(AW16,0,-1),Параметры!AW$30/360),1))</f>
        <v>1.004867550565343</v>
      </c>
      <c r="AX19" s="191">
        <f ca="1">IF(AX$2=1,1,IF(Prj_Inflation=1,POWER(1+OFFSET(AX16,0,-1),Параметры!AX$30/360),1))</f>
        <v>1.004867550565343</v>
      </c>
      <c r="AY19" s="191">
        <f ca="1">IF(AY$2=1,1,IF(Prj_Inflation=1,POWER(1+OFFSET(AY16,0,-1),Параметры!AY$30/360),1))</f>
        <v>1.004867550565343</v>
      </c>
      <c r="AZ19" s="191">
        <f ca="1">IF(AZ$2=1,1,IF(Prj_Inflation=1,POWER(1+OFFSET(AZ16,0,-1),Параметры!AZ$30/360),1))</f>
        <v>1.004867550565343</v>
      </c>
      <c r="BA19" s="191">
        <f ca="1">IF(BA$2=1,1,IF(Prj_Inflation=1,POWER(1+OFFSET(BA16,0,-1),Параметры!BA$30/360),1))</f>
        <v>1.004867550565343</v>
      </c>
      <c r="BB19" s="191">
        <f ca="1">IF(BB$2=1,1,IF(Prj_Inflation=1,POWER(1+OFFSET(BB16,0,-1),Параметры!BB$30/360),1))</f>
        <v>1.004867550565343</v>
      </c>
      <c r="BC19" s="191"/>
      <c r="BD19" s="186"/>
    </row>
    <row r="20" spans="1:56" ht="14.4" hidden="1" thickTop="1" x14ac:dyDescent="0.3">
      <c r="A20" s="184" t="str">
        <f ca="1">Language!A$1486</f>
        <v>индексировать в начале года</v>
      </c>
      <c r="B20" s="291">
        <v>0</v>
      </c>
      <c r="C20" s="163" t="str">
        <f ca="1">IF(B20=1,Language!$A$1475,Language!$A$1476)</f>
        <v>Нет</v>
      </c>
      <c r="D20" s="174"/>
      <c r="F20" s="170" t="s">
        <v>2345</v>
      </c>
      <c r="G20" s="192" t="str">
        <f ca="1">IF(Prj_Inflation=1,IF($B20=1,IF(G$2=1,1,IF(Параметры!G$29=1,1+OFFSET(G16,0,-1),1)),"-"),1)</f>
        <v>-</v>
      </c>
      <c r="H20" s="192" t="str">
        <f ca="1">IF(Prj_Inflation=1,IF($B20=1,IF(H$2=1,1,IF(Параметры!H$29=1,1+OFFSET(H16,0,-1),1)),"-"),1)</f>
        <v>-</v>
      </c>
      <c r="I20" s="192" t="str">
        <f ca="1">IF(Prj_Inflation=1,IF($B20=1,IF(I$2=1,1,IF(Параметры!I$29=1,1+OFFSET(I16,0,-1),1)),"-"),1)</f>
        <v>-</v>
      </c>
      <c r="J20" s="192" t="str">
        <f ca="1">IF(Prj_Inflation=1,IF($B20=1,IF(J$2=1,1,IF(Параметры!J$29=1,1+OFFSET(J16,0,-1),1)),"-"),1)</f>
        <v>-</v>
      </c>
      <c r="K20" s="192" t="str">
        <f ca="1">IF(Prj_Inflation=1,IF($B20=1,IF(K$2=1,1,IF(Параметры!K$29=1,1+OFFSET(K16,0,-1),1)),"-"),1)</f>
        <v>-</v>
      </c>
      <c r="L20" s="192" t="str">
        <f ca="1">IF(Prj_Inflation=1,IF($B20=1,IF(L$2=1,1,IF(Параметры!L$29=1,1+OFFSET(L16,0,-1),1)),"-"),1)</f>
        <v>-</v>
      </c>
      <c r="M20" s="192" t="str">
        <f ca="1">IF(Prj_Inflation=1,IF($B20=1,IF(M$2=1,1,IF(Параметры!M$29=1,1+OFFSET(M16,0,-1),1)),"-"),1)</f>
        <v>-</v>
      </c>
      <c r="N20" s="192" t="str">
        <f ca="1">IF(Prj_Inflation=1,IF($B20=1,IF(N$2=1,1,IF(Параметры!N$29=1,1+OFFSET(N16,0,-1),1)),"-"),1)</f>
        <v>-</v>
      </c>
      <c r="O20" s="192" t="str">
        <f ca="1">IF(Prj_Inflation=1,IF($B20=1,IF(O$2=1,1,IF(Параметры!O$29=1,1+OFFSET(O16,0,-1),1)),"-"),1)</f>
        <v>-</v>
      </c>
      <c r="P20" s="192" t="str">
        <f ca="1">IF(Prj_Inflation=1,IF($B20=1,IF(P$2=1,1,IF(Параметры!P$29=1,1+OFFSET(P16,0,-1),1)),"-"),1)</f>
        <v>-</v>
      </c>
      <c r="Q20" s="192" t="str">
        <f ca="1">IF(Prj_Inflation=1,IF($B20=1,IF(Q$2=1,1,IF(Параметры!Q$29=1,1+OFFSET(Q16,0,-1),1)),"-"),1)</f>
        <v>-</v>
      </c>
      <c r="R20" s="192" t="str">
        <f ca="1">IF(Prj_Inflation=1,IF($B20=1,IF(R$2=1,1,IF(Параметры!R$29=1,1+OFFSET(R16,0,-1),1)),"-"),1)</f>
        <v>-</v>
      </c>
      <c r="S20" s="192" t="str">
        <f ca="1">IF(Prj_Inflation=1,IF($B20=1,IF(S$2=1,1,IF(Параметры!S$29=1,1+OFFSET(S16,0,-1),1)),"-"),1)</f>
        <v>-</v>
      </c>
      <c r="T20" s="192" t="str">
        <f ca="1">IF(Prj_Inflation=1,IF($B20=1,IF(T$2=1,1,IF(Параметры!T$29=1,1+OFFSET(T16,0,-1),1)),"-"),1)</f>
        <v>-</v>
      </c>
      <c r="U20" s="192" t="str">
        <f ca="1">IF(Prj_Inflation=1,IF($B20=1,IF(U$2=1,1,IF(Параметры!U$29=1,1+OFFSET(U16,0,-1),1)),"-"),1)</f>
        <v>-</v>
      </c>
      <c r="V20" s="192" t="str">
        <f ca="1">IF(Prj_Inflation=1,IF($B20=1,IF(V$2=1,1,IF(Параметры!V$29=1,1+OFFSET(V16,0,-1),1)),"-"),1)</f>
        <v>-</v>
      </c>
      <c r="W20" s="192" t="str">
        <f ca="1">IF(Prj_Inflation=1,IF($B20=1,IF(W$2=1,1,IF(Параметры!W$29=1,1+OFFSET(W16,0,-1),1)),"-"),1)</f>
        <v>-</v>
      </c>
      <c r="X20" s="192" t="str">
        <f ca="1">IF(Prj_Inflation=1,IF($B20=1,IF(X$2=1,1,IF(Параметры!X$29=1,1+OFFSET(X16,0,-1),1)),"-"),1)</f>
        <v>-</v>
      </c>
      <c r="Y20" s="192" t="str">
        <f ca="1">IF(Prj_Inflation=1,IF($B20=1,IF(Y$2=1,1,IF(Параметры!Y$29=1,1+OFFSET(Y16,0,-1),1)),"-"),1)</f>
        <v>-</v>
      </c>
      <c r="Z20" s="192" t="str">
        <f ca="1">IF(Prj_Inflation=1,IF($B20=1,IF(Z$2=1,1,IF(Параметры!Z$29=1,1+OFFSET(Z16,0,-1),1)),"-"),1)</f>
        <v>-</v>
      </c>
      <c r="AA20" s="192" t="str">
        <f ca="1">IF(Prj_Inflation=1,IF($B20=1,IF(AA$2=1,1,IF(Параметры!AA$29=1,1+OFFSET(AA16,0,-1),1)),"-"),1)</f>
        <v>-</v>
      </c>
      <c r="AB20" s="192" t="str">
        <f ca="1">IF(Prj_Inflation=1,IF($B20=1,IF(AB$2=1,1,IF(Параметры!AB$29=1,1+OFFSET(AB16,0,-1),1)),"-"),1)</f>
        <v>-</v>
      </c>
      <c r="AC20" s="192" t="str">
        <f ca="1">IF(Prj_Inflation=1,IF($B20=1,IF(AC$2=1,1,IF(Параметры!AC$29=1,1+OFFSET(AC16,0,-1),1)),"-"),1)</f>
        <v>-</v>
      </c>
      <c r="AD20" s="192" t="str">
        <f ca="1">IF(Prj_Inflation=1,IF($B20=1,IF(AD$2=1,1,IF(Параметры!AD$29=1,1+OFFSET(AD16,0,-1),1)),"-"),1)</f>
        <v>-</v>
      </c>
      <c r="AE20" s="192" t="str">
        <f ca="1">IF(Prj_Inflation=1,IF($B20=1,IF(AE$2=1,1,IF(Параметры!AE$29=1,1+OFFSET(AE16,0,-1),1)),"-"),1)</f>
        <v>-</v>
      </c>
      <c r="AF20" s="192" t="str">
        <f ca="1">IF(Prj_Inflation=1,IF($B20=1,IF(AF$2=1,1,IF(Параметры!AF$29=1,1+OFFSET(AF16,0,-1),1)),"-"),1)</f>
        <v>-</v>
      </c>
      <c r="AG20" s="192" t="str">
        <f ca="1">IF(Prj_Inflation=1,IF($B20=1,IF(AG$2=1,1,IF(Параметры!AG$29=1,1+OFFSET(AG16,0,-1),1)),"-"),1)</f>
        <v>-</v>
      </c>
      <c r="AH20" s="192" t="str">
        <f ca="1">IF(Prj_Inflation=1,IF($B20=1,IF(AH$2=1,1,IF(Параметры!AH$29=1,1+OFFSET(AH16,0,-1),1)),"-"),1)</f>
        <v>-</v>
      </c>
      <c r="AI20" s="192" t="str">
        <f ca="1">IF(Prj_Inflation=1,IF($B20=1,IF(AI$2=1,1,IF(Параметры!AI$29=1,1+OFFSET(AI16,0,-1),1)),"-"),1)</f>
        <v>-</v>
      </c>
      <c r="AJ20" s="192" t="str">
        <f ca="1">IF(Prj_Inflation=1,IF($B20=1,IF(AJ$2=1,1,IF(Параметры!AJ$29=1,1+OFFSET(AJ16,0,-1),1)),"-"),1)</f>
        <v>-</v>
      </c>
      <c r="AK20" s="192" t="str">
        <f ca="1">IF(Prj_Inflation=1,IF($B20=1,IF(AK$2=1,1,IF(Параметры!AK$29=1,1+OFFSET(AK16,0,-1),1)),"-"),1)</f>
        <v>-</v>
      </c>
      <c r="AL20" s="192" t="str">
        <f ca="1">IF(Prj_Inflation=1,IF($B20=1,IF(AL$2=1,1,IF(Параметры!AL$29=1,1+OFFSET(AL16,0,-1),1)),"-"),1)</f>
        <v>-</v>
      </c>
      <c r="AM20" s="192" t="str">
        <f ca="1">IF(Prj_Inflation=1,IF($B20=1,IF(AM$2=1,1,IF(Параметры!AM$29=1,1+OFFSET(AM16,0,-1),1)),"-"),1)</f>
        <v>-</v>
      </c>
      <c r="AN20" s="192" t="str">
        <f ca="1">IF(Prj_Inflation=1,IF($B20=1,IF(AN$2=1,1,IF(Параметры!AN$29=1,1+OFFSET(AN16,0,-1),1)),"-"),1)</f>
        <v>-</v>
      </c>
      <c r="AO20" s="192" t="str">
        <f ca="1">IF(Prj_Inflation=1,IF($B20=1,IF(AO$2=1,1,IF(Параметры!AO$29=1,1+OFFSET(AO16,0,-1),1)),"-"),1)</f>
        <v>-</v>
      </c>
      <c r="AP20" s="192" t="str">
        <f ca="1">IF(Prj_Inflation=1,IF($B20=1,IF(AP$2=1,1,IF(Параметры!AP$29=1,1+OFFSET(AP16,0,-1),1)),"-"),1)</f>
        <v>-</v>
      </c>
      <c r="AQ20" s="192" t="str">
        <f ca="1">IF(Prj_Inflation=1,IF($B20=1,IF(AQ$2=1,1,IF(Параметры!AQ$29=1,1+OFFSET(AQ16,0,-1),1)),"-"),1)</f>
        <v>-</v>
      </c>
      <c r="AR20" s="192" t="str">
        <f ca="1">IF(Prj_Inflation=1,IF($B20=1,IF(AR$2=1,1,IF(Параметры!AR$29=1,1+OFFSET(AR16,0,-1),1)),"-"),1)</f>
        <v>-</v>
      </c>
      <c r="AS20" s="192" t="str">
        <f ca="1">IF(Prj_Inflation=1,IF($B20=1,IF(AS$2=1,1,IF(Параметры!AS$29=1,1+OFFSET(AS16,0,-1),1)),"-"),1)</f>
        <v>-</v>
      </c>
      <c r="AT20" s="192" t="str">
        <f ca="1">IF(Prj_Inflation=1,IF($B20=1,IF(AT$2=1,1,IF(Параметры!AT$29=1,1+OFFSET(AT16,0,-1),1)),"-"),1)</f>
        <v>-</v>
      </c>
      <c r="AU20" s="192" t="str">
        <f ca="1">IF(Prj_Inflation=1,IF($B20=1,IF(AU$2=1,1,IF(Параметры!AU$29=1,1+OFFSET(AU16,0,-1),1)),"-"),1)</f>
        <v>-</v>
      </c>
      <c r="AV20" s="192" t="str">
        <f ca="1">IF(Prj_Inflation=1,IF($B20=1,IF(AV$2=1,1,IF(Параметры!AV$29=1,1+OFFSET(AV16,0,-1),1)),"-"),1)</f>
        <v>-</v>
      </c>
      <c r="AW20" s="192" t="str">
        <f ca="1">IF(Prj_Inflation=1,IF($B20=1,IF(AW$2=1,1,IF(Параметры!AW$29=1,1+OFFSET(AW16,0,-1),1)),"-"),1)</f>
        <v>-</v>
      </c>
      <c r="AX20" s="192" t="str">
        <f ca="1">IF(Prj_Inflation=1,IF($B20=1,IF(AX$2=1,1,IF(Параметры!AX$29=1,1+OFFSET(AX16,0,-1),1)),"-"),1)</f>
        <v>-</v>
      </c>
      <c r="AY20" s="192" t="str">
        <f ca="1">IF(Prj_Inflation=1,IF($B20=1,IF(AY$2=1,1,IF(Параметры!AY$29=1,1+OFFSET(AY16,0,-1),1)),"-"),1)</f>
        <v>-</v>
      </c>
      <c r="AZ20" s="192" t="str">
        <f ca="1">IF(Prj_Inflation=1,IF($B20=1,IF(AZ$2=1,1,IF(Параметры!AZ$29=1,1+OFFSET(AZ16,0,-1),1)),"-"),1)</f>
        <v>-</v>
      </c>
      <c r="BA20" s="192" t="str">
        <f ca="1">IF(Prj_Inflation=1,IF($B20=1,IF(BA$2=1,1,IF(Параметры!BA$29=1,1+OFFSET(BA16,0,-1),1)),"-"),1)</f>
        <v>-</v>
      </c>
      <c r="BB20" s="192" t="str">
        <f ca="1">IF(Prj_Inflation=1,IF($B20=1,IF(BB$2=1,1,IF(Параметры!BB$29=1,1+OFFSET(BB16,0,-1),1)),"-"),1)</f>
        <v>-</v>
      </c>
      <c r="BC20" s="191"/>
      <c r="BD20" s="186"/>
    </row>
    <row r="21" spans="1:56" ht="14.4" hidden="1" thickTop="1" x14ac:dyDescent="0.3">
      <c r="A21" s="184" t="str">
        <f ca="1">Language!A$601</f>
        <v>акцизы начисленные</v>
      </c>
      <c r="B21" s="174"/>
      <c r="C21" s="163" t="str">
        <f ca="1">CHOOSE(D21,CurName1,CurName2,CurName3)</f>
        <v>руб.</v>
      </c>
      <c r="D21" s="174">
        <f>D6</f>
        <v>1</v>
      </c>
      <c r="E21" s="170" t="s">
        <v>996</v>
      </c>
      <c r="F21" s="170" t="s">
        <v>743</v>
      </c>
      <c r="G21" s="185">
        <f t="shared" ref="G21:K21" ca="1" si="31">G9*G18</f>
        <v>0</v>
      </c>
      <c r="H21" s="185">
        <f t="shared" ca="1" si="31"/>
        <v>0</v>
      </c>
      <c r="I21" s="185">
        <f t="shared" ca="1" si="31"/>
        <v>0</v>
      </c>
      <c r="J21" s="185">
        <f t="shared" ca="1" si="31"/>
        <v>0</v>
      </c>
      <c r="K21" s="185">
        <f t="shared" ca="1" si="31"/>
        <v>0</v>
      </c>
      <c r="L21" s="185">
        <f t="shared" ref="L21:M21" ca="1" si="32">L9*L18</f>
        <v>0</v>
      </c>
      <c r="M21" s="185">
        <f t="shared" ca="1" si="32"/>
        <v>0</v>
      </c>
      <c r="N21" s="185">
        <f t="shared" ref="N21:O21" ca="1" si="33">N9*N18</f>
        <v>0</v>
      </c>
      <c r="O21" s="185">
        <f t="shared" ca="1" si="33"/>
        <v>0</v>
      </c>
      <c r="P21" s="185">
        <f t="shared" ref="P21:Q21" ca="1" si="34">P9*P18</f>
        <v>0</v>
      </c>
      <c r="Q21" s="185">
        <f t="shared" ca="1" si="34"/>
        <v>0</v>
      </c>
      <c r="R21" s="185">
        <f t="shared" ref="R21:S21" ca="1" si="35">R9*R18</f>
        <v>0</v>
      </c>
      <c r="S21" s="185">
        <f t="shared" ca="1" si="35"/>
        <v>0</v>
      </c>
      <c r="T21" s="185">
        <f t="shared" ref="T21:U21" ca="1" si="36">T9*T18</f>
        <v>0</v>
      </c>
      <c r="U21" s="185">
        <f t="shared" ca="1" si="36"/>
        <v>0</v>
      </c>
      <c r="V21" s="185">
        <f t="shared" ref="V21:W21" ca="1" si="37">V9*V18</f>
        <v>0</v>
      </c>
      <c r="W21" s="185">
        <f t="shared" ca="1" si="37"/>
        <v>0</v>
      </c>
      <c r="X21" s="185">
        <f t="shared" ref="X21:Y21" ca="1" si="38">X9*X18</f>
        <v>0</v>
      </c>
      <c r="Y21" s="185">
        <f t="shared" ca="1" si="38"/>
        <v>0</v>
      </c>
      <c r="Z21" s="185">
        <f t="shared" ref="Z21:AA21" ca="1" si="39">Z9*Z18</f>
        <v>0</v>
      </c>
      <c r="AA21" s="185">
        <f t="shared" ca="1" si="39"/>
        <v>0</v>
      </c>
      <c r="AB21" s="185">
        <f t="shared" ref="AB21:AC21" ca="1" si="40">AB9*AB18</f>
        <v>0</v>
      </c>
      <c r="AC21" s="185">
        <f t="shared" ca="1" si="40"/>
        <v>0</v>
      </c>
      <c r="AD21" s="185">
        <f t="shared" ref="AD21:AE21" ca="1" si="41">AD9*AD18</f>
        <v>0</v>
      </c>
      <c r="AE21" s="185">
        <f t="shared" ca="1" si="41"/>
        <v>0</v>
      </c>
      <c r="AF21" s="185">
        <f t="shared" ref="AF21:AG21" ca="1" si="42">AF9*AF18</f>
        <v>0</v>
      </c>
      <c r="AG21" s="185">
        <f t="shared" ca="1" si="42"/>
        <v>0</v>
      </c>
      <c r="AH21" s="185">
        <f t="shared" ref="AH21:AI21" ca="1" si="43">AH9*AH18</f>
        <v>0</v>
      </c>
      <c r="AI21" s="185">
        <f t="shared" ca="1" si="43"/>
        <v>0</v>
      </c>
      <c r="AJ21" s="185">
        <f t="shared" ref="AJ21:AK21" ca="1" si="44">AJ9*AJ18</f>
        <v>0</v>
      </c>
      <c r="AK21" s="185">
        <f t="shared" ca="1" si="44"/>
        <v>0</v>
      </c>
      <c r="AL21" s="185">
        <f t="shared" ref="AL21:AM21" ca="1" si="45">AL9*AL18</f>
        <v>0</v>
      </c>
      <c r="AM21" s="185">
        <f t="shared" ca="1" si="45"/>
        <v>0</v>
      </c>
      <c r="AN21" s="185">
        <f t="shared" ref="AN21:AO21" ca="1" si="46">AN9*AN18</f>
        <v>0</v>
      </c>
      <c r="AO21" s="185">
        <f t="shared" ca="1" si="46"/>
        <v>0</v>
      </c>
      <c r="AP21" s="185">
        <f t="shared" ref="AP21:AQ21" ca="1" si="47">AP9*AP18</f>
        <v>0</v>
      </c>
      <c r="AQ21" s="185">
        <f t="shared" ca="1" si="47"/>
        <v>0</v>
      </c>
      <c r="AR21" s="185">
        <f t="shared" ref="AR21:AS21" ca="1" si="48">AR9*AR18</f>
        <v>0</v>
      </c>
      <c r="AS21" s="185">
        <f t="shared" ca="1" si="48"/>
        <v>0</v>
      </c>
      <c r="AT21" s="185">
        <f t="shared" ref="AT21:AU21" ca="1" si="49">AT9*AT18</f>
        <v>0</v>
      </c>
      <c r="AU21" s="185">
        <f t="shared" ca="1" si="49"/>
        <v>0</v>
      </c>
      <c r="AV21" s="185">
        <f t="shared" ref="AV21:AW21" ca="1" si="50">AV9*AV18</f>
        <v>0</v>
      </c>
      <c r="AW21" s="185">
        <f t="shared" ca="1" si="50"/>
        <v>0</v>
      </c>
      <c r="AX21" s="185">
        <f t="shared" ref="AX21:AY21" ca="1" si="51">AX9*AX18</f>
        <v>0</v>
      </c>
      <c r="AY21" s="185">
        <f t="shared" ca="1" si="51"/>
        <v>0</v>
      </c>
      <c r="AZ21" s="185">
        <f t="shared" ref="AZ21:BA21" ca="1" si="52">AZ9*AZ18</f>
        <v>0</v>
      </c>
      <c r="BA21" s="185">
        <f t="shared" ca="1" si="52"/>
        <v>0</v>
      </c>
      <c r="BB21" s="185">
        <f t="shared" ref="BB21" ca="1" si="53">BB9*BB18</f>
        <v>0</v>
      </c>
      <c r="BC21" s="185"/>
      <c r="BD21" s="193">
        <f ca="1">SUM(G21:BC21)</f>
        <v>0</v>
      </c>
    </row>
    <row r="22" spans="1:56" ht="14.4" hidden="1" thickTop="1" x14ac:dyDescent="0.3">
      <c r="A22" s="184" t="str">
        <f ca="1">Language!A$602</f>
        <v>НДС начисленный</v>
      </c>
      <c r="B22" s="174"/>
      <c r="C22" s="163" t="str">
        <f ca="1">CHOOSE(D22,CurName1,CurName2,CurName3)</f>
        <v>руб.</v>
      </c>
      <c r="D22" s="174">
        <f>D6</f>
        <v>1</v>
      </c>
      <c r="E22" s="170" t="s">
        <v>785</v>
      </c>
      <c r="F22" s="170" t="s">
        <v>743</v>
      </c>
      <c r="G22" s="185">
        <f t="shared" ref="G22:K22" ca="1" si="54">(G9+G21)*G17</f>
        <v>0</v>
      </c>
      <c r="H22" s="185">
        <f t="shared" ca="1" si="54"/>
        <v>0</v>
      </c>
      <c r="I22" s="185">
        <f t="shared" ca="1" si="54"/>
        <v>0</v>
      </c>
      <c r="J22" s="185">
        <f t="shared" ca="1" si="54"/>
        <v>0</v>
      </c>
      <c r="K22" s="185">
        <f t="shared" ca="1" si="54"/>
        <v>0</v>
      </c>
      <c r="L22" s="185">
        <f t="shared" ref="L22:M22" ca="1" si="55">(L9+L21)*L17</f>
        <v>0</v>
      </c>
      <c r="M22" s="185">
        <f t="shared" ca="1" si="55"/>
        <v>0</v>
      </c>
      <c r="N22" s="185">
        <f t="shared" ref="N22:O22" ca="1" si="56">(N9+N21)*N17</f>
        <v>0</v>
      </c>
      <c r="O22" s="185">
        <f t="shared" ca="1" si="56"/>
        <v>0</v>
      </c>
      <c r="P22" s="185">
        <f t="shared" ref="P22:Q22" ca="1" si="57">(P9+P21)*P17</f>
        <v>0</v>
      </c>
      <c r="Q22" s="185">
        <f t="shared" ca="1" si="57"/>
        <v>0</v>
      </c>
      <c r="R22" s="185">
        <f t="shared" ref="R22:S22" ca="1" si="58">(R9+R21)*R17</f>
        <v>0</v>
      </c>
      <c r="S22" s="185">
        <f t="shared" ca="1" si="58"/>
        <v>0</v>
      </c>
      <c r="T22" s="185">
        <f t="shared" ref="T22:U22" ca="1" si="59">(T9+T21)*T17</f>
        <v>0</v>
      </c>
      <c r="U22" s="185">
        <f t="shared" ca="1" si="59"/>
        <v>0</v>
      </c>
      <c r="V22" s="185">
        <f t="shared" ref="V22:W22" ca="1" si="60">(V9+V21)*V17</f>
        <v>0</v>
      </c>
      <c r="W22" s="185">
        <f t="shared" ca="1" si="60"/>
        <v>0</v>
      </c>
      <c r="X22" s="185">
        <f t="shared" ref="X22:Y22" ca="1" si="61">(X9+X21)*X17</f>
        <v>0</v>
      </c>
      <c r="Y22" s="185">
        <f t="shared" ca="1" si="61"/>
        <v>0</v>
      </c>
      <c r="Z22" s="185">
        <f t="shared" ref="Z22:AA22" ca="1" si="62">(Z9+Z21)*Z17</f>
        <v>0</v>
      </c>
      <c r="AA22" s="185">
        <f t="shared" ca="1" si="62"/>
        <v>0</v>
      </c>
      <c r="AB22" s="185">
        <f t="shared" ref="AB22:AC22" ca="1" si="63">(AB9+AB21)*AB17</f>
        <v>0</v>
      </c>
      <c r="AC22" s="185">
        <f t="shared" ca="1" si="63"/>
        <v>0</v>
      </c>
      <c r="AD22" s="185">
        <f t="shared" ref="AD22:AE22" ca="1" si="64">(AD9+AD21)*AD17</f>
        <v>0</v>
      </c>
      <c r="AE22" s="185">
        <f t="shared" ca="1" si="64"/>
        <v>0</v>
      </c>
      <c r="AF22" s="185">
        <f t="shared" ref="AF22:AG22" ca="1" si="65">(AF9+AF21)*AF17</f>
        <v>0</v>
      </c>
      <c r="AG22" s="185">
        <f t="shared" ca="1" si="65"/>
        <v>0</v>
      </c>
      <c r="AH22" s="185">
        <f t="shared" ref="AH22:AI22" ca="1" si="66">(AH9+AH21)*AH17</f>
        <v>0</v>
      </c>
      <c r="AI22" s="185">
        <f t="shared" ca="1" si="66"/>
        <v>0</v>
      </c>
      <c r="AJ22" s="185">
        <f t="shared" ref="AJ22:AK22" ca="1" si="67">(AJ9+AJ21)*AJ17</f>
        <v>0</v>
      </c>
      <c r="AK22" s="185">
        <f t="shared" ca="1" si="67"/>
        <v>0</v>
      </c>
      <c r="AL22" s="185">
        <f t="shared" ref="AL22:AM22" ca="1" si="68">(AL9+AL21)*AL17</f>
        <v>0</v>
      </c>
      <c r="AM22" s="185">
        <f t="shared" ca="1" si="68"/>
        <v>0</v>
      </c>
      <c r="AN22" s="185">
        <f t="shared" ref="AN22:AO22" ca="1" si="69">(AN9+AN21)*AN17</f>
        <v>0</v>
      </c>
      <c r="AO22" s="185">
        <f t="shared" ca="1" si="69"/>
        <v>0</v>
      </c>
      <c r="AP22" s="185">
        <f t="shared" ref="AP22:AQ22" ca="1" si="70">(AP9+AP21)*AP17</f>
        <v>0</v>
      </c>
      <c r="AQ22" s="185">
        <f t="shared" ca="1" si="70"/>
        <v>0</v>
      </c>
      <c r="AR22" s="185">
        <f t="shared" ref="AR22:AS22" ca="1" si="71">(AR9+AR21)*AR17</f>
        <v>0</v>
      </c>
      <c r="AS22" s="185">
        <f t="shared" ca="1" si="71"/>
        <v>0</v>
      </c>
      <c r="AT22" s="185">
        <f t="shared" ref="AT22:AU22" ca="1" si="72">(AT9+AT21)*AT17</f>
        <v>0</v>
      </c>
      <c r="AU22" s="185">
        <f t="shared" ca="1" si="72"/>
        <v>0</v>
      </c>
      <c r="AV22" s="185">
        <f t="shared" ref="AV22:AW22" ca="1" si="73">(AV9+AV21)*AV17</f>
        <v>0</v>
      </c>
      <c r="AW22" s="185">
        <f t="shared" ca="1" si="73"/>
        <v>0</v>
      </c>
      <c r="AX22" s="185">
        <f t="shared" ref="AX22:AY22" ca="1" si="74">(AX9+AX21)*AX17</f>
        <v>0</v>
      </c>
      <c r="AY22" s="185">
        <f t="shared" ca="1" si="74"/>
        <v>0</v>
      </c>
      <c r="AZ22" s="185">
        <f t="shared" ref="AZ22:BA22" ca="1" si="75">(AZ9+AZ21)*AZ17</f>
        <v>0</v>
      </c>
      <c r="BA22" s="185">
        <f t="shared" ca="1" si="75"/>
        <v>0</v>
      </c>
      <c r="BB22" s="185">
        <f t="shared" ref="BB22" ca="1" si="76">(BB9+BB21)*BB17</f>
        <v>0</v>
      </c>
      <c r="BC22" s="185"/>
      <c r="BD22" s="193">
        <f ca="1">SUM(G22:BC22)</f>
        <v>0</v>
      </c>
    </row>
    <row r="23" spans="1:56" ht="14.4" hidden="1" thickTop="1" x14ac:dyDescent="0.3">
      <c r="A23" s="184" t="str">
        <f ca="1">Language!A$603</f>
        <v>НДС полученный с авансов</v>
      </c>
      <c r="B23" s="174"/>
      <c r="C23" s="163" t="str">
        <f ca="1">CHOOSE(D23,CurName1,CurName2,CurName3)</f>
        <v>руб.</v>
      </c>
      <c r="D23" s="174">
        <f>D6</f>
        <v>1</v>
      </c>
      <c r="E23" s="170" t="s">
        <v>1457</v>
      </c>
      <c r="F23" s="170" t="s">
        <v>743</v>
      </c>
      <c r="G23" s="185">
        <f ca="1">G13*G17/(1+G17)</f>
        <v>0</v>
      </c>
      <c r="H23" s="185">
        <f t="shared" ref="H23:K23" ca="1" si="77">H13*H17/(1+H17)</f>
        <v>0</v>
      </c>
      <c r="I23" s="185">
        <f t="shared" ca="1" si="77"/>
        <v>0</v>
      </c>
      <c r="J23" s="185">
        <f t="shared" ca="1" si="77"/>
        <v>0</v>
      </c>
      <c r="K23" s="185">
        <f t="shared" ca="1" si="77"/>
        <v>0</v>
      </c>
      <c r="L23" s="185">
        <f t="shared" ref="L23:M23" ca="1" si="78">L13*L17/(1+L17)</f>
        <v>0</v>
      </c>
      <c r="M23" s="185">
        <f t="shared" ca="1" si="78"/>
        <v>0</v>
      </c>
      <c r="N23" s="185">
        <f t="shared" ref="N23:O23" ca="1" si="79">N13*N17/(1+N17)</f>
        <v>0</v>
      </c>
      <c r="O23" s="185">
        <f t="shared" ca="1" si="79"/>
        <v>0</v>
      </c>
      <c r="P23" s="185">
        <f t="shared" ref="P23:Q23" ca="1" si="80">P13*P17/(1+P17)</f>
        <v>0</v>
      </c>
      <c r="Q23" s="185">
        <f t="shared" ca="1" si="80"/>
        <v>0</v>
      </c>
      <c r="R23" s="185">
        <f t="shared" ref="R23:S23" ca="1" si="81">R13*R17/(1+R17)</f>
        <v>0</v>
      </c>
      <c r="S23" s="185">
        <f t="shared" ca="1" si="81"/>
        <v>0</v>
      </c>
      <c r="T23" s="185">
        <f t="shared" ref="T23:U23" ca="1" si="82">T13*T17/(1+T17)</f>
        <v>0</v>
      </c>
      <c r="U23" s="185">
        <f t="shared" ca="1" si="82"/>
        <v>0</v>
      </c>
      <c r="V23" s="185">
        <f t="shared" ref="V23:W23" ca="1" si="83">V13*V17/(1+V17)</f>
        <v>0</v>
      </c>
      <c r="W23" s="185">
        <f t="shared" ca="1" si="83"/>
        <v>0</v>
      </c>
      <c r="X23" s="185">
        <f t="shared" ref="X23:Y23" ca="1" si="84">X13*X17/(1+X17)</f>
        <v>0</v>
      </c>
      <c r="Y23" s="185">
        <f t="shared" ca="1" si="84"/>
        <v>0</v>
      </c>
      <c r="Z23" s="185">
        <f t="shared" ref="Z23:AA23" ca="1" si="85">Z13*Z17/(1+Z17)</f>
        <v>0</v>
      </c>
      <c r="AA23" s="185">
        <f t="shared" ca="1" si="85"/>
        <v>0</v>
      </c>
      <c r="AB23" s="185">
        <f t="shared" ref="AB23:AC23" ca="1" si="86">AB13*AB17/(1+AB17)</f>
        <v>0</v>
      </c>
      <c r="AC23" s="185">
        <f t="shared" ca="1" si="86"/>
        <v>0</v>
      </c>
      <c r="AD23" s="185">
        <f t="shared" ref="AD23:AE23" ca="1" si="87">AD13*AD17/(1+AD17)</f>
        <v>0</v>
      </c>
      <c r="AE23" s="185">
        <f t="shared" ca="1" si="87"/>
        <v>0</v>
      </c>
      <c r="AF23" s="185">
        <f t="shared" ref="AF23:AG23" ca="1" si="88">AF13*AF17/(1+AF17)</f>
        <v>0</v>
      </c>
      <c r="AG23" s="185">
        <f t="shared" ca="1" si="88"/>
        <v>0</v>
      </c>
      <c r="AH23" s="185">
        <f t="shared" ref="AH23:AI23" ca="1" si="89">AH13*AH17/(1+AH17)</f>
        <v>0</v>
      </c>
      <c r="AI23" s="185">
        <f t="shared" ca="1" si="89"/>
        <v>0</v>
      </c>
      <c r="AJ23" s="185">
        <f t="shared" ref="AJ23:AK23" ca="1" si="90">AJ13*AJ17/(1+AJ17)</f>
        <v>0</v>
      </c>
      <c r="AK23" s="185">
        <f t="shared" ca="1" si="90"/>
        <v>0</v>
      </c>
      <c r="AL23" s="185">
        <f t="shared" ref="AL23:AM23" ca="1" si="91">AL13*AL17/(1+AL17)</f>
        <v>0</v>
      </c>
      <c r="AM23" s="185">
        <f t="shared" ca="1" si="91"/>
        <v>0</v>
      </c>
      <c r="AN23" s="185">
        <f t="shared" ref="AN23:AO23" ca="1" si="92">AN13*AN17/(1+AN17)</f>
        <v>0</v>
      </c>
      <c r="AO23" s="185">
        <f t="shared" ca="1" si="92"/>
        <v>0</v>
      </c>
      <c r="AP23" s="185">
        <f t="shared" ref="AP23:AQ23" ca="1" si="93">AP13*AP17/(1+AP17)</f>
        <v>0</v>
      </c>
      <c r="AQ23" s="185">
        <f t="shared" ca="1" si="93"/>
        <v>0</v>
      </c>
      <c r="AR23" s="185">
        <f t="shared" ref="AR23:AS23" ca="1" si="94">AR13*AR17/(1+AR17)</f>
        <v>0</v>
      </c>
      <c r="AS23" s="185">
        <f t="shared" ca="1" si="94"/>
        <v>0</v>
      </c>
      <c r="AT23" s="185">
        <f t="shared" ref="AT23:AU23" ca="1" si="95">AT13*AT17/(1+AT17)</f>
        <v>0</v>
      </c>
      <c r="AU23" s="185">
        <f t="shared" ca="1" si="95"/>
        <v>0</v>
      </c>
      <c r="AV23" s="185">
        <f t="shared" ref="AV23:AW23" ca="1" si="96">AV13*AV17/(1+AV17)</f>
        <v>0</v>
      </c>
      <c r="AW23" s="185">
        <f t="shared" ca="1" si="96"/>
        <v>0</v>
      </c>
      <c r="AX23" s="185">
        <f t="shared" ref="AX23:AY23" ca="1" si="97">AX13*AX17/(1+AX17)</f>
        <v>0</v>
      </c>
      <c r="AY23" s="185">
        <f t="shared" ca="1" si="97"/>
        <v>0</v>
      </c>
      <c r="AZ23" s="185">
        <f t="shared" ref="AZ23:BA23" ca="1" si="98">AZ13*AZ17/(1+AZ17)</f>
        <v>0</v>
      </c>
      <c r="BA23" s="185">
        <f t="shared" ca="1" si="98"/>
        <v>0</v>
      </c>
      <c r="BB23" s="185">
        <f t="shared" ref="BB23" ca="1" si="99">BB13*BB17/(1+BB17)</f>
        <v>0</v>
      </c>
      <c r="BC23" s="185"/>
      <c r="BD23" s="193">
        <f ca="1">SUM(G23:BC23)</f>
        <v>0</v>
      </c>
    </row>
    <row r="24" spans="1:56" ht="14.4" hidden="1" thickTop="1" x14ac:dyDescent="0.3">
      <c r="A24" s="283" t="str">
        <f ca="1">Language!A$604</f>
        <v>Шаблон продажи с единицами</v>
      </c>
      <c r="B24" s="172"/>
      <c r="C24" s="173"/>
      <c r="D24" s="174">
        <v>1</v>
      </c>
      <c r="F24" s="170" t="s">
        <v>1184</v>
      </c>
    </row>
    <row r="25" spans="1:56" ht="14.4" hidden="1" thickTop="1" x14ac:dyDescent="0.3">
      <c r="A25" s="175" t="str">
        <f ca="1">Language!A$606</f>
        <v>объем продаж за период</v>
      </c>
      <c r="B25" s="284">
        <v>0</v>
      </c>
      <c r="C25" s="292" t="str">
        <f ca="1">Language!$A$258</f>
        <v>ед.</v>
      </c>
      <c r="E25" s="170" t="s">
        <v>945</v>
      </c>
      <c r="F25" s="170" t="s">
        <v>2341</v>
      </c>
      <c r="G25" s="285">
        <f t="shared" ref="G25:BB25" si="100">$B25*G26</f>
        <v>0</v>
      </c>
      <c r="H25" s="285">
        <f t="shared" si="100"/>
        <v>0</v>
      </c>
      <c r="I25" s="285">
        <f t="shared" si="100"/>
        <v>0</v>
      </c>
      <c r="J25" s="285">
        <f t="shared" si="100"/>
        <v>0</v>
      </c>
      <c r="K25" s="285">
        <f t="shared" si="100"/>
        <v>0</v>
      </c>
      <c r="L25" s="285">
        <f t="shared" si="100"/>
        <v>0</v>
      </c>
      <c r="M25" s="285">
        <f t="shared" si="100"/>
        <v>0</v>
      </c>
      <c r="N25" s="285">
        <f t="shared" si="100"/>
        <v>0</v>
      </c>
      <c r="O25" s="285">
        <f t="shared" si="100"/>
        <v>0</v>
      </c>
      <c r="P25" s="285">
        <f t="shared" si="100"/>
        <v>0</v>
      </c>
      <c r="Q25" s="285">
        <f t="shared" si="100"/>
        <v>0</v>
      </c>
      <c r="R25" s="285">
        <f t="shared" si="100"/>
        <v>0</v>
      </c>
      <c r="S25" s="285">
        <f t="shared" si="100"/>
        <v>0</v>
      </c>
      <c r="T25" s="285">
        <f t="shared" si="100"/>
        <v>0</v>
      </c>
      <c r="U25" s="285">
        <f t="shared" si="100"/>
        <v>0</v>
      </c>
      <c r="V25" s="285">
        <f t="shared" si="100"/>
        <v>0</v>
      </c>
      <c r="W25" s="285">
        <f t="shared" si="100"/>
        <v>0</v>
      </c>
      <c r="X25" s="285">
        <f t="shared" si="100"/>
        <v>0</v>
      </c>
      <c r="Y25" s="285">
        <f t="shared" si="100"/>
        <v>0</v>
      </c>
      <c r="Z25" s="285">
        <f t="shared" si="100"/>
        <v>0</v>
      </c>
      <c r="AA25" s="285">
        <f t="shared" si="100"/>
        <v>0</v>
      </c>
      <c r="AB25" s="285">
        <f t="shared" si="100"/>
        <v>0</v>
      </c>
      <c r="AC25" s="285">
        <f t="shared" si="100"/>
        <v>0</v>
      </c>
      <c r="AD25" s="285">
        <f t="shared" si="100"/>
        <v>0</v>
      </c>
      <c r="AE25" s="285">
        <f t="shared" si="100"/>
        <v>0</v>
      </c>
      <c r="AF25" s="285">
        <f t="shared" si="100"/>
        <v>0</v>
      </c>
      <c r="AG25" s="285">
        <f t="shared" si="100"/>
        <v>0</v>
      </c>
      <c r="AH25" s="285">
        <f t="shared" si="100"/>
        <v>0</v>
      </c>
      <c r="AI25" s="285">
        <f t="shared" si="100"/>
        <v>0</v>
      </c>
      <c r="AJ25" s="285">
        <f t="shared" si="100"/>
        <v>0</v>
      </c>
      <c r="AK25" s="285">
        <f t="shared" si="100"/>
        <v>0</v>
      </c>
      <c r="AL25" s="285">
        <f t="shared" si="100"/>
        <v>0</v>
      </c>
      <c r="AM25" s="285">
        <f t="shared" si="100"/>
        <v>0</v>
      </c>
      <c r="AN25" s="285">
        <f t="shared" si="100"/>
        <v>0</v>
      </c>
      <c r="AO25" s="285">
        <f t="shared" si="100"/>
        <v>0</v>
      </c>
      <c r="AP25" s="285">
        <f t="shared" si="100"/>
        <v>0</v>
      </c>
      <c r="AQ25" s="285">
        <f t="shared" si="100"/>
        <v>0</v>
      </c>
      <c r="AR25" s="285">
        <f t="shared" si="100"/>
        <v>0</v>
      </c>
      <c r="AS25" s="285">
        <f t="shared" si="100"/>
        <v>0</v>
      </c>
      <c r="AT25" s="285">
        <f t="shared" si="100"/>
        <v>0</v>
      </c>
      <c r="AU25" s="285">
        <f t="shared" si="100"/>
        <v>0</v>
      </c>
      <c r="AV25" s="285">
        <f t="shared" si="100"/>
        <v>0</v>
      </c>
      <c r="AW25" s="285">
        <f t="shared" si="100"/>
        <v>0</v>
      </c>
      <c r="AX25" s="285">
        <f t="shared" si="100"/>
        <v>0</v>
      </c>
      <c r="AY25" s="285">
        <f t="shared" si="100"/>
        <v>0</v>
      </c>
      <c r="AZ25" s="285">
        <f t="shared" si="100"/>
        <v>0</v>
      </c>
      <c r="BA25" s="285">
        <f t="shared" si="100"/>
        <v>0</v>
      </c>
      <c r="BB25" s="285">
        <f t="shared" si="100"/>
        <v>0</v>
      </c>
      <c r="BC25" s="177"/>
      <c r="BD25" s="178">
        <f>SUM(G25:BC25)</f>
        <v>0</v>
      </c>
    </row>
    <row r="26" spans="1:56" ht="14.4" hidden="1" thickTop="1" x14ac:dyDescent="0.3">
      <c r="A26" s="175" t="str">
        <f ca="1">Language!A$587</f>
        <v>коэффициент продаж периода</v>
      </c>
      <c r="B26" s="179"/>
      <c r="C26" s="179"/>
      <c r="F26" s="170" t="s">
        <v>749</v>
      </c>
      <c r="G26" s="286">
        <f t="shared" ref="G26:BB26" si="101">IF(G$2&gt;Prj_Invest,1,0)</f>
        <v>0</v>
      </c>
      <c r="H26" s="286">
        <f t="shared" si="101"/>
        <v>0</v>
      </c>
      <c r="I26" s="286">
        <f t="shared" si="101"/>
        <v>0</v>
      </c>
      <c r="J26" s="286">
        <f t="shared" si="101"/>
        <v>0</v>
      </c>
      <c r="K26" s="286">
        <f t="shared" si="101"/>
        <v>0</v>
      </c>
      <c r="L26" s="286">
        <f t="shared" si="101"/>
        <v>0</v>
      </c>
      <c r="M26" s="286">
        <f t="shared" si="101"/>
        <v>1</v>
      </c>
      <c r="N26" s="286">
        <f t="shared" si="101"/>
        <v>1</v>
      </c>
      <c r="O26" s="286">
        <f t="shared" si="101"/>
        <v>1</v>
      </c>
      <c r="P26" s="286">
        <f t="shared" si="101"/>
        <v>1</v>
      </c>
      <c r="Q26" s="286">
        <f t="shared" si="101"/>
        <v>1</v>
      </c>
      <c r="R26" s="286">
        <f t="shared" si="101"/>
        <v>1</v>
      </c>
      <c r="S26" s="286">
        <f t="shared" si="101"/>
        <v>1</v>
      </c>
      <c r="T26" s="286">
        <f t="shared" si="101"/>
        <v>1</v>
      </c>
      <c r="U26" s="286">
        <f t="shared" si="101"/>
        <v>1</v>
      </c>
      <c r="V26" s="286">
        <f t="shared" si="101"/>
        <v>1</v>
      </c>
      <c r="W26" s="286">
        <f t="shared" si="101"/>
        <v>1</v>
      </c>
      <c r="X26" s="286">
        <f t="shared" si="101"/>
        <v>1</v>
      </c>
      <c r="Y26" s="286">
        <f t="shared" si="101"/>
        <v>1</v>
      </c>
      <c r="Z26" s="286">
        <f t="shared" si="101"/>
        <v>1</v>
      </c>
      <c r="AA26" s="286">
        <f t="shared" si="101"/>
        <v>1</v>
      </c>
      <c r="AB26" s="286">
        <f t="shared" si="101"/>
        <v>1</v>
      </c>
      <c r="AC26" s="286">
        <f t="shared" si="101"/>
        <v>1</v>
      </c>
      <c r="AD26" s="286">
        <f t="shared" si="101"/>
        <v>1</v>
      </c>
      <c r="AE26" s="286">
        <f t="shared" si="101"/>
        <v>1</v>
      </c>
      <c r="AF26" s="286">
        <f t="shared" si="101"/>
        <v>1</v>
      </c>
      <c r="AG26" s="286">
        <f t="shared" si="101"/>
        <v>1</v>
      </c>
      <c r="AH26" s="286">
        <f t="shared" si="101"/>
        <v>1</v>
      </c>
      <c r="AI26" s="286">
        <f t="shared" si="101"/>
        <v>1</v>
      </c>
      <c r="AJ26" s="286">
        <f t="shared" si="101"/>
        <v>1</v>
      </c>
      <c r="AK26" s="286">
        <f t="shared" si="101"/>
        <v>1</v>
      </c>
      <c r="AL26" s="286">
        <f t="shared" si="101"/>
        <v>1</v>
      </c>
      <c r="AM26" s="286">
        <f t="shared" si="101"/>
        <v>1</v>
      </c>
      <c r="AN26" s="286">
        <f t="shared" si="101"/>
        <v>1</v>
      </c>
      <c r="AO26" s="286">
        <f t="shared" si="101"/>
        <v>1</v>
      </c>
      <c r="AP26" s="286">
        <f t="shared" si="101"/>
        <v>1</v>
      </c>
      <c r="AQ26" s="286">
        <f t="shared" si="101"/>
        <v>1</v>
      </c>
      <c r="AR26" s="286">
        <f t="shared" si="101"/>
        <v>1</v>
      </c>
      <c r="AS26" s="286">
        <f t="shared" si="101"/>
        <v>1</v>
      </c>
      <c r="AT26" s="286">
        <f t="shared" si="101"/>
        <v>1</v>
      </c>
      <c r="AU26" s="286">
        <f t="shared" si="101"/>
        <v>1</v>
      </c>
      <c r="AV26" s="286">
        <f t="shared" si="101"/>
        <v>1</v>
      </c>
      <c r="AW26" s="286">
        <f t="shared" si="101"/>
        <v>1</v>
      </c>
      <c r="AX26" s="286">
        <f t="shared" si="101"/>
        <v>1</v>
      </c>
      <c r="AY26" s="286">
        <f t="shared" si="101"/>
        <v>1</v>
      </c>
      <c r="AZ26" s="286">
        <f t="shared" si="101"/>
        <v>1</v>
      </c>
      <c r="BA26" s="286">
        <f t="shared" si="101"/>
        <v>1</v>
      </c>
      <c r="BB26" s="286">
        <f t="shared" si="101"/>
        <v>1</v>
      </c>
      <c r="BC26" s="180"/>
    </row>
    <row r="27" spans="1:56" ht="14.4" hidden="1" thickTop="1" x14ac:dyDescent="0.3">
      <c r="A27" s="181" t="str">
        <f ca="1">Language!A$607 &amp; C25 &amp; Language!A$1485</f>
        <v>цена за единицу (ед.), без НДС</v>
      </c>
      <c r="B27" s="293">
        <v>0</v>
      </c>
      <c r="C27" s="176" t="str">
        <f t="shared" ref="C27:C29" ca="1" si="102">CHOOSE(D27,CurName1,CurName2,CurName3)</f>
        <v>руб.</v>
      </c>
      <c r="D27" s="174">
        <f>D24</f>
        <v>1</v>
      </c>
      <c r="E27" s="170" t="s">
        <v>842</v>
      </c>
      <c r="F27" s="170" t="s">
        <v>2349</v>
      </c>
      <c r="G27" s="294">
        <f ca="1">IF(G$2=1,$B27,F27)*IF($B40=1,G40,G39)</f>
        <v>0</v>
      </c>
      <c r="H27" s="294">
        <f t="shared" ref="H27:BB27" ca="1" si="103">IF(H$2=1,$B27,G27)*IF($B40=1,H40,H39)</f>
        <v>0</v>
      </c>
      <c r="I27" s="294">
        <f t="shared" ca="1" si="103"/>
        <v>0</v>
      </c>
      <c r="J27" s="294">
        <f t="shared" ca="1" si="103"/>
        <v>0</v>
      </c>
      <c r="K27" s="294">
        <f t="shared" ca="1" si="103"/>
        <v>0</v>
      </c>
      <c r="L27" s="294">
        <f t="shared" ca="1" si="103"/>
        <v>0</v>
      </c>
      <c r="M27" s="294">
        <f t="shared" ca="1" si="103"/>
        <v>0</v>
      </c>
      <c r="N27" s="294">
        <f t="shared" ca="1" si="103"/>
        <v>0</v>
      </c>
      <c r="O27" s="294">
        <f t="shared" ca="1" si="103"/>
        <v>0</v>
      </c>
      <c r="P27" s="294">
        <f t="shared" ca="1" si="103"/>
        <v>0</v>
      </c>
      <c r="Q27" s="294">
        <f t="shared" ca="1" si="103"/>
        <v>0</v>
      </c>
      <c r="R27" s="294">
        <f t="shared" ca="1" si="103"/>
        <v>0</v>
      </c>
      <c r="S27" s="294">
        <f t="shared" ca="1" si="103"/>
        <v>0</v>
      </c>
      <c r="T27" s="294">
        <f t="shared" ca="1" si="103"/>
        <v>0</v>
      </c>
      <c r="U27" s="294">
        <f t="shared" ca="1" si="103"/>
        <v>0</v>
      </c>
      <c r="V27" s="294">
        <f t="shared" ca="1" si="103"/>
        <v>0</v>
      </c>
      <c r="W27" s="294">
        <f t="shared" ca="1" si="103"/>
        <v>0</v>
      </c>
      <c r="X27" s="294">
        <f t="shared" ca="1" si="103"/>
        <v>0</v>
      </c>
      <c r="Y27" s="294">
        <f t="shared" ca="1" si="103"/>
        <v>0</v>
      </c>
      <c r="Z27" s="294">
        <f t="shared" ca="1" si="103"/>
        <v>0</v>
      </c>
      <c r="AA27" s="294">
        <f t="shared" ca="1" si="103"/>
        <v>0</v>
      </c>
      <c r="AB27" s="294">
        <f t="shared" ca="1" si="103"/>
        <v>0</v>
      </c>
      <c r="AC27" s="294">
        <f t="shared" ca="1" si="103"/>
        <v>0</v>
      </c>
      <c r="AD27" s="294">
        <f t="shared" ca="1" si="103"/>
        <v>0</v>
      </c>
      <c r="AE27" s="294">
        <f t="shared" ca="1" si="103"/>
        <v>0</v>
      </c>
      <c r="AF27" s="294">
        <f t="shared" ca="1" si="103"/>
        <v>0</v>
      </c>
      <c r="AG27" s="294">
        <f t="shared" ca="1" si="103"/>
        <v>0</v>
      </c>
      <c r="AH27" s="294">
        <f t="shared" ca="1" si="103"/>
        <v>0</v>
      </c>
      <c r="AI27" s="294">
        <f t="shared" ca="1" si="103"/>
        <v>0</v>
      </c>
      <c r="AJ27" s="294">
        <f t="shared" ca="1" si="103"/>
        <v>0</v>
      </c>
      <c r="AK27" s="294">
        <f t="shared" ca="1" si="103"/>
        <v>0</v>
      </c>
      <c r="AL27" s="294">
        <f t="shared" ca="1" si="103"/>
        <v>0</v>
      </c>
      <c r="AM27" s="294">
        <f t="shared" ca="1" si="103"/>
        <v>0</v>
      </c>
      <c r="AN27" s="294">
        <f t="shared" ca="1" si="103"/>
        <v>0</v>
      </c>
      <c r="AO27" s="294">
        <f t="shared" ca="1" si="103"/>
        <v>0</v>
      </c>
      <c r="AP27" s="294">
        <f t="shared" ca="1" si="103"/>
        <v>0</v>
      </c>
      <c r="AQ27" s="294">
        <f t="shared" ca="1" si="103"/>
        <v>0</v>
      </c>
      <c r="AR27" s="294">
        <f t="shared" ca="1" si="103"/>
        <v>0</v>
      </c>
      <c r="AS27" s="294">
        <f t="shared" ca="1" si="103"/>
        <v>0</v>
      </c>
      <c r="AT27" s="294">
        <f t="shared" ca="1" si="103"/>
        <v>0</v>
      </c>
      <c r="AU27" s="294">
        <f t="shared" ca="1" si="103"/>
        <v>0</v>
      </c>
      <c r="AV27" s="294">
        <f t="shared" ca="1" si="103"/>
        <v>0</v>
      </c>
      <c r="AW27" s="294">
        <f t="shared" ca="1" si="103"/>
        <v>0</v>
      </c>
      <c r="AX27" s="294">
        <f t="shared" ca="1" si="103"/>
        <v>0</v>
      </c>
      <c r="AY27" s="294">
        <f t="shared" ca="1" si="103"/>
        <v>0</v>
      </c>
      <c r="AZ27" s="294">
        <f t="shared" ca="1" si="103"/>
        <v>0</v>
      </c>
      <c r="BA27" s="294">
        <f t="shared" ca="1" si="103"/>
        <v>0</v>
      </c>
      <c r="BB27" s="294">
        <f t="shared" ca="1" si="103"/>
        <v>0</v>
      </c>
      <c r="BC27" s="177"/>
    </row>
    <row r="28" spans="1:56" ht="14.4" hidden="1" thickTop="1" x14ac:dyDescent="0.3">
      <c r="A28" s="181" t="str">
        <f ca="1">Language!A$608</f>
        <v>выручка от реализации, без НДС</v>
      </c>
      <c r="B28" s="176"/>
      <c r="C28" s="176" t="str">
        <f t="shared" ca="1" si="102"/>
        <v>руб.</v>
      </c>
      <c r="D28" s="174">
        <f>D24</f>
        <v>1</v>
      </c>
      <c r="E28" s="170" t="s">
        <v>992</v>
      </c>
      <c r="F28" s="170" t="s">
        <v>742</v>
      </c>
      <c r="G28" s="182">
        <f t="shared" ref="G28:M28" ca="1" si="104">G25*G27</f>
        <v>0</v>
      </c>
      <c r="H28" s="182">
        <f t="shared" ca="1" si="104"/>
        <v>0</v>
      </c>
      <c r="I28" s="182">
        <f t="shared" ca="1" si="104"/>
        <v>0</v>
      </c>
      <c r="J28" s="182">
        <f t="shared" ca="1" si="104"/>
        <v>0</v>
      </c>
      <c r="K28" s="182">
        <f t="shared" ca="1" si="104"/>
        <v>0</v>
      </c>
      <c r="L28" s="182">
        <f t="shared" ca="1" si="104"/>
        <v>0</v>
      </c>
      <c r="M28" s="182">
        <f t="shared" ca="1" si="104"/>
        <v>0</v>
      </c>
      <c r="N28" s="182">
        <f t="shared" ref="N28:O28" ca="1" si="105">N25*N27</f>
        <v>0</v>
      </c>
      <c r="O28" s="182">
        <f t="shared" ca="1" si="105"/>
        <v>0</v>
      </c>
      <c r="P28" s="182">
        <f t="shared" ref="P28:Q28" ca="1" si="106">P25*P27</f>
        <v>0</v>
      </c>
      <c r="Q28" s="182">
        <f t="shared" ca="1" si="106"/>
        <v>0</v>
      </c>
      <c r="R28" s="182">
        <f t="shared" ref="R28:S28" ca="1" si="107">R25*R27</f>
        <v>0</v>
      </c>
      <c r="S28" s="182">
        <f t="shared" ca="1" si="107"/>
        <v>0</v>
      </c>
      <c r="T28" s="182">
        <f t="shared" ref="T28:U28" ca="1" si="108">T25*T27</f>
        <v>0</v>
      </c>
      <c r="U28" s="182">
        <f t="shared" ca="1" si="108"/>
        <v>0</v>
      </c>
      <c r="V28" s="182">
        <f t="shared" ref="V28:W28" ca="1" si="109">V25*V27</f>
        <v>0</v>
      </c>
      <c r="W28" s="182">
        <f t="shared" ca="1" si="109"/>
        <v>0</v>
      </c>
      <c r="X28" s="182">
        <f t="shared" ref="X28:Y28" ca="1" si="110">X25*X27</f>
        <v>0</v>
      </c>
      <c r="Y28" s="182">
        <f t="shared" ca="1" si="110"/>
        <v>0</v>
      </c>
      <c r="Z28" s="182">
        <f t="shared" ref="Z28:AA28" ca="1" si="111">Z25*Z27</f>
        <v>0</v>
      </c>
      <c r="AA28" s="182">
        <f t="shared" ca="1" si="111"/>
        <v>0</v>
      </c>
      <c r="AB28" s="182">
        <f t="shared" ref="AB28:AC28" ca="1" si="112">AB25*AB27</f>
        <v>0</v>
      </c>
      <c r="AC28" s="182">
        <f t="shared" ca="1" si="112"/>
        <v>0</v>
      </c>
      <c r="AD28" s="182">
        <f t="shared" ref="AD28:AE28" ca="1" si="113">AD25*AD27</f>
        <v>0</v>
      </c>
      <c r="AE28" s="182">
        <f t="shared" ca="1" si="113"/>
        <v>0</v>
      </c>
      <c r="AF28" s="182">
        <f t="shared" ref="AF28:AG28" ca="1" si="114">AF25*AF27</f>
        <v>0</v>
      </c>
      <c r="AG28" s="182">
        <f t="shared" ca="1" si="114"/>
        <v>0</v>
      </c>
      <c r="AH28" s="182">
        <f t="shared" ref="AH28:AI28" ca="1" si="115">AH25*AH27</f>
        <v>0</v>
      </c>
      <c r="AI28" s="182">
        <f t="shared" ca="1" si="115"/>
        <v>0</v>
      </c>
      <c r="AJ28" s="182">
        <f t="shared" ref="AJ28:AK28" ca="1" si="116">AJ25*AJ27</f>
        <v>0</v>
      </c>
      <c r="AK28" s="182">
        <f t="shared" ca="1" si="116"/>
        <v>0</v>
      </c>
      <c r="AL28" s="182">
        <f t="shared" ref="AL28:AM28" ca="1" si="117">AL25*AL27</f>
        <v>0</v>
      </c>
      <c r="AM28" s="182">
        <f t="shared" ca="1" si="117"/>
        <v>0</v>
      </c>
      <c r="AN28" s="182">
        <f t="shared" ref="AN28:AO28" ca="1" si="118">AN25*AN27</f>
        <v>0</v>
      </c>
      <c r="AO28" s="182">
        <f t="shared" ca="1" si="118"/>
        <v>0</v>
      </c>
      <c r="AP28" s="182">
        <f t="shared" ref="AP28:AQ28" ca="1" si="119">AP25*AP27</f>
        <v>0</v>
      </c>
      <c r="AQ28" s="182">
        <f t="shared" ca="1" si="119"/>
        <v>0</v>
      </c>
      <c r="AR28" s="182">
        <f t="shared" ref="AR28:AS28" ca="1" si="120">AR25*AR27</f>
        <v>0</v>
      </c>
      <c r="AS28" s="182">
        <f t="shared" ca="1" si="120"/>
        <v>0</v>
      </c>
      <c r="AT28" s="182">
        <f t="shared" ref="AT28:AU28" ca="1" si="121">AT25*AT27</f>
        <v>0</v>
      </c>
      <c r="AU28" s="182">
        <f t="shared" ca="1" si="121"/>
        <v>0</v>
      </c>
      <c r="AV28" s="182">
        <f t="shared" ref="AV28:AW28" ca="1" si="122">AV25*AV27</f>
        <v>0</v>
      </c>
      <c r="AW28" s="182">
        <f t="shared" ca="1" si="122"/>
        <v>0</v>
      </c>
      <c r="AX28" s="182">
        <f t="shared" ref="AX28:AY28" ca="1" si="123">AX25*AX27</f>
        <v>0</v>
      </c>
      <c r="AY28" s="182">
        <f t="shared" ca="1" si="123"/>
        <v>0</v>
      </c>
      <c r="AZ28" s="182">
        <f t="shared" ref="AZ28:BA28" ca="1" si="124">AZ25*AZ27</f>
        <v>0</v>
      </c>
      <c r="BA28" s="182">
        <f t="shared" ca="1" si="124"/>
        <v>0</v>
      </c>
      <c r="BB28" s="182">
        <f t="shared" ref="BB28" ca="1" si="125">BB25*BB27</f>
        <v>0</v>
      </c>
      <c r="BC28" s="182"/>
      <c r="BD28" s="183">
        <f ca="1">SUM(G28:BC28)</f>
        <v>0</v>
      </c>
    </row>
    <row r="29" spans="1:56" ht="14.4" hidden="1" thickTop="1" x14ac:dyDescent="0.3">
      <c r="A29" s="181" t="str">
        <f ca="1">Language!A$590</f>
        <v>выручка от реализации, с НДС</v>
      </c>
      <c r="B29" s="176"/>
      <c r="C29" s="176" t="str">
        <f t="shared" ca="1" si="102"/>
        <v>руб.</v>
      </c>
      <c r="D29" s="174">
        <f>D24</f>
        <v>1</v>
      </c>
      <c r="F29" s="170" t="s">
        <v>743</v>
      </c>
      <c r="G29" s="182">
        <f ca="1">G28+G41+G42</f>
        <v>0</v>
      </c>
      <c r="H29" s="182">
        <f t="shared" ref="H29:K29" ca="1" si="126">H28+H41+H42</f>
        <v>0</v>
      </c>
      <c r="I29" s="182">
        <f t="shared" ca="1" si="126"/>
        <v>0</v>
      </c>
      <c r="J29" s="182">
        <f t="shared" ca="1" si="126"/>
        <v>0</v>
      </c>
      <c r="K29" s="182">
        <f t="shared" ca="1" si="126"/>
        <v>0</v>
      </c>
      <c r="L29" s="182">
        <f t="shared" ref="L29:M29" ca="1" si="127">L28+L41+L42</f>
        <v>0</v>
      </c>
      <c r="M29" s="182">
        <f t="shared" ca="1" si="127"/>
        <v>0</v>
      </c>
      <c r="N29" s="182">
        <f t="shared" ref="N29:O29" ca="1" si="128">N28+N41+N42</f>
        <v>0</v>
      </c>
      <c r="O29" s="182">
        <f t="shared" ca="1" si="128"/>
        <v>0</v>
      </c>
      <c r="P29" s="182">
        <f t="shared" ref="P29:Q29" ca="1" si="129">P28+P41+P42</f>
        <v>0</v>
      </c>
      <c r="Q29" s="182">
        <f t="shared" ca="1" si="129"/>
        <v>0</v>
      </c>
      <c r="R29" s="182">
        <f t="shared" ref="R29:S29" ca="1" si="130">R28+R41+R42</f>
        <v>0</v>
      </c>
      <c r="S29" s="182">
        <f t="shared" ca="1" si="130"/>
        <v>0</v>
      </c>
      <c r="T29" s="182">
        <f t="shared" ref="T29:U29" ca="1" si="131">T28+T41+T42</f>
        <v>0</v>
      </c>
      <c r="U29" s="182">
        <f t="shared" ca="1" si="131"/>
        <v>0</v>
      </c>
      <c r="V29" s="182">
        <f t="shared" ref="V29:W29" ca="1" si="132">V28+V41+V42</f>
        <v>0</v>
      </c>
      <c r="W29" s="182">
        <f t="shared" ca="1" si="132"/>
        <v>0</v>
      </c>
      <c r="X29" s="182">
        <f t="shared" ref="X29:Y29" ca="1" si="133">X28+X41+X42</f>
        <v>0</v>
      </c>
      <c r="Y29" s="182">
        <f t="shared" ca="1" si="133"/>
        <v>0</v>
      </c>
      <c r="Z29" s="182">
        <f t="shared" ref="Z29:AA29" ca="1" si="134">Z28+Z41+Z42</f>
        <v>0</v>
      </c>
      <c r="AA29" s="182">
        <f t="shared" ca="1" si="134"/>
        <v>0</v>
      </c>
      <c r="AB29" s="182">
        <f t="shared" ref="AB29:AC29" ca="1" si="135">AB28+AB41+AB42</f>
        <v>0</v>
      </c>
      <c r="AC29" s="182">
        <f t="shared" ca="1" si="135"/>
        <v>0</v>
      </c>
      <c r="AD29" s="182">
        <f t="shared" ref="AD29:AE29" ca="1" si="136">AD28+AD41+AD42</f>
        <v>0</v>
      </c>
      <c r="AE29" s="182">
        <f t="shared" ca="1" si="136"/>
        <v>0</v>
      </c>
      <c r="AF29" s="182">
        <f t="shared" ref="AF29:AG29" ca="1" si="137">AF28+AF41+AF42</f>
        <v>0</v>
      </c>
      <c r="AG29" s="182">
        <f t="shared" ca="1" si="137"/>
        <v>0</v>
      </c>
      <c r="AH29" s="182">
        <f t="shared" ref="AH29:AI29" ca="1" si="138">AH28+AH41+AH42</f>
        <v>0</v>
      </c>
      <c r="AI29" s="182">
        <f t="shared" ca="1" si="138"/>
        <v>0</v>
      </c>
      <c r="AJ29" s="182">
        <f t="shared" ref="AJ29:AK29" ca="1" si="139">AJ28+AJ41+AJ42</f>
        <v>0</v>
      </c>
      <c r="AK29" s="182">
        <f t="shared" ca="1" si="139"/>
        <v>0</v>
      </c>
      <c r="AL29" s="182">
        <f t="shared" ref="AL29:AM29" ca="1" si="140">AL28+AL41+AL42</f>
        <v>0</v>
      </c>
      <c r="AM29" s="182">
        <f t="shared" ca="1" si="140"/>
        <v>0</v>
      </c>
      <c r="AN29" s="182">
        <f t="shared" ref="AN29:AO29" ca="1" si="141">AN28+AN41+AN42</f>
        <v>0</v>
      </c>
      <c r="AO29" s="182">
        <f t="shared" ca="1" si="141"/>
        <v>0</v>
      </c>
      <c r="AP29" s="182">
        <f t="shared" ref="AP29:AQ29" ca="1" si="142">AP28+AP41+AP42</f>
        <v>0</v>
      </c>
      <c r="AQ29" s="182">
        <f t="shared" ca="1" si="142"/>
        <v>0</v>
      </c>
      <c r="AR29" s="182">
        <f t="shared" ref="AR29:AS29" ca="1" si="143">AR28+AR41+AR42</f>
        <v>0</v>
      </c>
      <c r="AS29" s="182">
        <f t="shared" ca="1" si="143"/>
        <v>0</v>
      </c>
      <c r="AT29" s="182">
        <f t="shared" ref="AT29:AU29" ca="1" si="144">AT28+AT41+AT42</f>
        <v>0</v>
      </c>
      <c r="AU29" s="182">
        <f t="shared" ca="1" si="144"/>
        <v>0</v>
      </c>
      <c r="AV29" s="182">
        <f t="shared" ref="AV29:AW29" ca="1" si="145">AV28+AV41+AV42</f>
        <v>0</v>
      </c>
      <c r="AW29" s="182">
        <f t="shared" ca="1" si="145"/>
        <v>0</v>
      </c>
      <c r="AX29" s="182">
        <f t="shared" ref="AX29:AY29" ca="1" si="146">AX28+AX41+AX42</f>
        <v>0</v>
      </c>
      <c r="AY29" s="182">
        <f t="shared" ca="1" si="146"/>
        <v>0</v>
      </c>
      <c r="AZ29" s="182">
        <f t="shared" ref="AZ29:BA29" ca="1" si="147">AZ28+AZ41+AZ42</f>
        <v>0</v>
      </c>
      <c r="BA29" s="182">
        <f t="shared" ca="1" si="147"/>
        <v>0</v>
      </c>
      <c r="BB29" s="182">
        <f t="shared" ref="BB29" ca="1" si="148">BB28+BB41+BB42</f>
        <v>0</v>
      </c>
      <c r="BC29" s="182"/>
      <c r="BD29" s="183">
        <f ca="1">SUM(G29:BC29)</f>
        <v>0</v>
      </c>
    </row>
    <row r="30" spans="1:56" ht="14.4" hidden="1" thickTop="1" x14ac:dyDescent="0.3">
      <c r="A30" s="184" t="str">
        <f ca="1">Language!A$609</f>
        <v>дебиторская задолженность</v>
      </c>
      <c r="B30" s="163"/>
      <c r="C30" s="163" t="str">
        <f ca="1">CHOOSE(D30,CurName1,CurName2,CurName3)</f>
        <v>руб.</v>
      </c>
      <c r="D30" s="174">
        <f>D24</f>
        <v>1</v>
      </c>
      <c r="E30" s="170" t="s">
        <v>994</v>
      </c>
      <c r="F30" s="170" t="s">
        <v>2342</v>
      </c>
      <c r="G30" s="287">
        <f ca="1">IF(AND($B31=0,G$2&gt;1),F30,(G28+G41+G42)*$B31/Параметры!G$30)</f>
        <v>0</v>
      </c>
      <c r="H30" s="287">
        <f ca="1">IF(AND($B31=0,H$2&gt;1),G30,(H28+H41+H42)*$B31/Параметры!H$30)</f>
        <v>0</v>
      </c>
      <c r="I30" s="287">
        <f ca="1">IF(AND($B31=0,I$2&gt;1),H30,(I28+I41+I42)*$B31/Параметры!I$30)</f>
        <v>0</v>
      </c>
      <c r="J30" s="287">
        <f ca="1">IF(AND($B31=0,J$2&gt;1),I30,(J28+J41+J42)*$B31/Параметры!J$30)</f>
        <v>0</v>
      </c>
      <c r="K30" s="287">
        <f ca="1">IF(AND($B31=0,K$2&gt;1),J30,(K28+K41+K42)*$B31/Параметры!K$30)</f>
        <v>0</v>
      </c>
      <c r="L30" s="287">
        <f ca="1">IF(AND($B31=0,L$2&gt;1),K30,(L28+L41+L42)*$B31/Параметры!L$30)</f>
        <v>0</v>
      </c>
      <c r="M30" s="287">
        <f ca="1">IF(AND($B31=0,M$2&gt;1),L30,(M28+M41+M42)*$B31/Параметры!M$30)</f>
        <v>0</v>
      </c>
      <c r="N30" s="287">
        <f ca="1">IF(AND($B31=0,N$2&gt;1),M30,(N28+N41+N42)*$B31/Параметры!N$30)</f>
        <v>0</v>
      </c>
      <c r="O30" s="287">
        <f ca="1">IF(AND($B31=0,O$2&gt;1),N30,(O28+O41+O42)*$B31/Параметры!O$30)</f>
        <v>0</v>
      </c>
      <c r="P30" s="287">
        <f ca="1">IF(AND($B31=0,P$2&gt;1),O30,(P28+P41+P42)*$B31/Параметры!P$30)</f>
        <v>0</v>
      </c>
      <c r="Q30" s="287">
        <f ca="1">IF(AND($B31=0,Q$2&gt;1),P30,(Q28+Q41+Q42)*$B31/Параметры!Q$30)</f>
        <v>0</v>
      </c>
      <c r="R30" s="287">
        <f ca="1">IF(AND($B31=0,R$2&gt;1),Q30,(R28+R41+R42)*$B31/Параметры!R$30)</f>
        <v>0</v>
      </c>
      <c r="S30" s="287">
        <f ca="1">IF(AND($B31=0,S$2&gt;1),R30,(S28+S41+S42)*$B31/Параметры!S$30)</f>
        <v>0</v>
      </c>
      <c r="T30" s="287">
        <f ca="1">IF(AND($B31=0,T$2&gt;1),S30,(T28+T41+T42)*$B31/Параметры!T$30)</f>
        <v>0</v>
      </c>
      <c r="U30" s="287">
        <f ca="1">IF(AND($B31=0,U$2&gt;1),T30,(U28+U41+U42)*$B31/Параметры!U$30)</f>
        <v>0</v>
      </c>
      <c r="V30" s="287">
        <f ca="1">IF(AND($B31=0,V$2&gt;1),U30,(V28+V41+V42)*$B31/Параметры!V$30)</f>
        <v>0</v>
      </c>
      <c r="W30" s="287">
        <f ca="1">IF(AND($B31=0,W$2&gt;1),V30,(W28+W41+W42)*$B31/Параметры!W$30)</f>
        <v>0</v>
      </c>
      <c r="X30" s="287">
        <f ca="1">IF(AND($B31=0,X$2&gt;1),W30,(X28+X41+X42)*$B31/Параметры!X$30)</f>
        <v>0</v>
      </c>
      <c r="Y30" s="287">
        <f ca="1">IF(AND($B31=0,Y$2&gt;1),X30,(Y28+Y41+Y42)*$B31/Параметры!Y$30)</f>
        <v>0</v>
      </c>
      <c r="Z30" s="287">
        <f ca="1">IF(AND($B31=0,Z$2&gt;1),Y30,(Z28+Z41+Z42)*$B31/Параметры!Z$30)</f>
        <v>0</v>
      </c>
      <c r="AA30" s="287">
        <f ca="1">IF(AND($B31=0,AA$2&gt;1),Z30,(AA28+AA41+AA42)*$B31/Параметры!AA$30)</f>
        <v>0</v>
      </c>
      <c r="AB30" s="287">
        <f ca="1">IF(AND($B31=0,AB$2&gt;1),AA30,(AB28+AB41+AB42)*$B31/Параметры!AB$30)</f>
        <v>0</v>
      </c>
      <c r="AC30" s="287">
        <f ca="1">IF(AND($B31=0,AC$2&gt;1),AB30,(AC28+AC41+AC42)*$B31/Параметры!AC$30)</f>
        <v>0</v>
      </c>
      <c r="AD30" s="287">
        <f ca="1">IF(AND($B31=0,AD$2&gt;1),AC30,(AD28+AD41+AD42)*$B31/Параметры!AD$30)</f>
        <v>0</v>
      </c>
      <c r="AE30" s="287">
        <f ca="1">IF(AND($B31=0,AE$2&gt;1),AD30,(AE28+AE41+AE42)*$B31/Параметры!AE$30)</f>
        <v>0</v>
      </c>
      <c r="AF30" s="287">
        <f ca="1">IF(AND($B31=0,AF$2&gt;1),AE30,(AF28+AF41+AF42)*$B31/Параметры!AF$30)</f>
        <v>0</v>
      </c>
      <c r="AG30" s="287">
        <f ca="1">IF(AND($B31=0,AG$2&gt;1),AF30,(AG28+AG41+AG42)*$B31/Параметры!AG$30)</f>
        <v>0</v>
      </c>
      <c r="AH30" s="287">
        <f ca="1">IF(AND($B31=0,AH$2&gt;1),AG30,(AH28+AH41+AH42)*$B31/Параметры!AH$30)</f>
        <v>0</v>
      </c>
      <c r="AI30" s="287">
        <f ca="1">IF(AND($B31=0,AI$2&gt;1),AH30,(AI28+AI41+AI42)*$B31/Параметры!AI$30)</f>
        <v>0</v>
      </c>
      <c r="AJ30" s="287">
        <f ca="1">IF(AND($B31=0,AJ$2&gt;1),AI30,(AJ28+AJ41+AJ42)*$B31/Параметры!AJ$30)</f>
        <v>0</v>
      </c>
      <c r="AK30" s="287">
        <f ca="1">IF(AND($B31=0,AK$2&gt;1),AJ30,(AK28+AK41+AK42)*$B31/Параметры!AK$30)</f>
        <v>0</v>
      </c>
      <c r="AL30" s="287">
        <f ca="1">IF(AND($B31=0,AL$2&gt;1),AK30,(AL28+AL41+AL42)*$B31/Параметры!AL$30)</f>
        <v>0</v>
      </c>
      <c r="AM30" s="287">
        <f ca="1">IF(AND($B31=0,AM$2&gt;1),AL30,(AM28+AM41+AM42)*$B31/Параметры!AM$30)</f>
        <v>0</v>
      </c>
      <c r="AN30" s="287">
        <f ca="1">IF(AND($B31=0,AN$2&gt;1),AM30,(AN28+AN41+AN42)*$B31/Параметры!AN$30)</f>
        <v>0</v>
      </c>
      <c r="AO30" s="287">
        <f ca="1">IF(AND($B31=0,AO$2&gt;1),AN30,(AO28+AO41+AO42)*$B31/Параметры!AO$30)</f>
        <v>0</v>
      </c>
      <c r="AP30" s="287">
        <f ca="1">IF(AND($B31=0,AP$2&gt;1),AO30,(AP28+AP41+AP42)*$B31/Параметры!AP$30)</f>
        <v>0</v>
      </c>
      <c r="AQ30" s="287">
        <f ca="1">IF(AND($B31=0,AQ$2&gt;1),AP30,(AQ28+AQ41+AQ42)*$B31/Параметры!AQ$30)</f>
        <v>0</v>
      </c>
      <c r="AR30" s="287">
        <f ca="1">IF(AND($B31=0,AR$2&gt;1),AQ30,(AR28+AR41+AR42)*$B31/Параметры!AR$30)</f>
        <v>0</v>
      </c>
      <c r="AS30" s="287">
        <f ca="1">IF(AND($B31=0,AS$2&gt;1),AR30,(AS28+AS41+AS42)*$B31/Параметры!AS$30)</f>
        <v>0</v>
      </c>
      <c r="AT30" s="287">
        <f ca="1">IF(AND($B31=0,AT$2&gt;1),AS30,(AT28+AT41+AT42)*$B31/Параметры!AT$30)</f>
        <v>0</v>
      </c>
      <c r="AU30" s="287">
        <f ca="1">IF(AND($B31=0,AU$2&gt;1),AT30,(AU28+AU41+AU42)*$B31/Параметры!AU$30)</f>
        <v>0</v>
      </c>
      <c r="AV30" s="287">
        <f ca="1">IF(AND($B31=0,AV$2&gt;1),AU30,(AV28+AV41+AV42)*$B31/Параметры!AV$30)</f>
        <v>0</v>
      </c>
      <c r="AW30" s="287">
        <f ca="1">IF(AND($B31=0,AW$2&gt;1),AV30,(AW28+AW41+AW42)*$B31/Параметры!AW$30)</f>
        <v>0</v>
      </c>
      <c r="AX30" s="287">
        <f ca="1">IF(AND($B31=0,AX$2&gt;1),AW30,(AX28+AX41+AX42)*$B31/Параметры!AX$30)</f>
        <v>0</v>
      </c>
      <c r="AY30" s="287">
        <f ca="1">IF(AND($B31=0,AY$2&gt;1),AX30,(AY28+AY41+AY42)*$B31/Параметры!AY$30)</f>
        <v>0</v>
      </c>
      <c r="AZ30" s="287">
        <f ca="1">IF(AND($B31=0,AZ$2&gt;1),AY30,(AZ28+AZ41+AZ42)*$B31/Параметры!AZ$30)</f>
        <v>0</v>
      </c>
      <c r="BA30" s="287">
        <f ca="1">IF(AND($B31=0,BA$2&gt;1),AZ30,(BA28+BA41+BA42)*$B31/Параметры!BA$30)</f>
        <v>0</v>
      </c>
      <c r="BB30" s="287">
        <f ca="1">IF(AND($B31=0,BB$2&gt;1),BA30,(BB28+BB41+BB42)*$B31/Параметры!BB$30)</f>
        <v>0</v>
      </c>
      <c r="BC30" s="185"/>
      <c r="BD30" s="186"/>
    </row>
    <row r="31" spans="1:56" s="170" customFormat="1" ht="14.4" hidden="1" thickTop="1" x14ac:dyDescent="0.3">
      <c r="A31" s="187" t="str">
        <f ca="1">Language!A$610</f>
        <v>средний период отсрочки платежа</v>
      </c>
      <c r="B31" s="288">
        <f>$B$573</f>
        <v>10</v>
      </c>
      <c r="C31" s="163" t="str">
        <f ca="1">Language!$A$1474</f>
        <v>дней</v>
      </c>
      <c r="F31" s="170" t="s">
        <v>2343</v>
      </c>
      <c r="G31" s="185"/>
      <c r="H31" s="185"/>
      <c r="I31" s="185"/>
      <c r="J31" s="185"/>
      <c r="K31" s="185"/>
      <c r="L31" s="185"/>
      <c r="M31" s="185"/>
      <c r="N31" s="185"/>
      <c r="O31" s="185"/>
      <c r="P31" s="185"/>
      <c r="Q31" s="185"/>
      <c r="R31" s="185"/>
      <c r="S31" s="185"/>
      <c r="T31" s="185"/>
      <c r="U31" s="185"/>
      <c r="V31" s="185"/>
      <c r="W31" s="185"/>
      <c r="X31" s="185"/>
      <c r="Y31" s="185"/>
      <c r="Z31" s="185"/>
      <c r="AA31" s="185"/>
      <c r="AB31" s="185"/>
      <c r="AC31" s="185"/>
      <c r="AD31" s="185"/>
      <c r="AE31" s="185"/>
      <c r="AF31" s="185"/>
      <c r="AG31" s="185"/>
      <c r="AH31" s="185"/>
      <c r="AI31" s="185"/>
      <c r="AJ31" s="185"/>
      <c r="AK31" s="185"/>
      <c r="AL31" s="185"/>
      <c r="AM31" s="185"/>
      <c r="AN31" s="185"/>
      <c r="AO31" s="185"/>
      <c r="AP31" s="185"/>
      <c r="AQ31" s="185"/>
      <c r="AR31" s="185"/>
      <c r="AS31" s="185"/>
      <c r="AT31" s="185"/>
      <c r="AU31" s="185"/>
      <c r="AV31" s="185"/>
      <c r="AW31" s="185"/>
      <c r="AX31" s="185"/>
      <c r="AY31" s="185"/>
      <c r="AZ31" s="185"/>
      <c r="BA31" s="185"/>
      <c r="BB31" s="185"/>
      <c r="BC31" s="185"/>
      <c r="BD31" s="186"/>
    </row>
    <row r="32" spans="1:56" ht="14.4" hidden="1" thickTop="1" x14ac:dyDescent="0.3">
      <c r="A32" s="184" t="str">
        <f ca="1">Language!A$611</f>
        <v xml:space="preserve">авансы полученные </v>
      </c>
      <c r="B32" s="163"/>
      <c r="C32" s="163" t="str">
        <f ca="1">CHOOSE(D32,CurName1,CurName2,CurName3)</f>
        <v>руб.</v>
      </c>
      <c r="D32" s="174">
        <f>D24</f>
        <v>1</v>
      </c>
      <c r="E32" s="170" t="s">
        <v>995</v>
      </c>
      <c r="F32" s="170" t="s">
        <v>2342</v>
      </c>
      <c r="G32" s="289">
        <f ca="1">IF(OR(AND($B33=0,G$2&gt;1),G$2=Prj_Len),F32,(OFFSET(G28,0,1)+OFFSET(G41,0,1)+OFFSET(G42,0,1))*$B33/Параметры!G$30)</f>
        <v>0</v>
      </c>
      <c r="H32" s="289">
        <f ca="1">IF(OR(AND($B33=0,H$2&gt;1),H$2=Prj_Len),G32,(OFFSET(H28,0,1)+OFFSET(H41,0,1)+OFFSET(H42,0,1))*$B33/Параметры!H$30)</f>
        <v>0</v>
      </c>
      <c r="I32" s="289">
        <f ca="1">IF(OR(AND($B33=0,I$2&gt;1),I$2=Prj_Len),H32,(OFFSET(I28,0,1)+OFFSET(I41,0,1)+OFFSET(I42,0,1))*$B33/Параметры!I$30)</f>
        <v>0</v>
      </c>
      <c r="J32" s="289">
        <f ca="1">IF(OR(AND($B33=0,J$2&gt;1),J$2=Prj_Len),I32,(OFFSET(J28,0,1)+OFFSET(J41,0,1)+OFFSET(J42,0,1))*$B33/Параметры!J$30)</f>
        <v>0</v>
      </c>
      <c r="K32" s="289">
        <f ca="1">IF(OR(AND($B33=0,K$2&gt;1),K$2=Prj_Len),J32,(OFFSET(K28,0,1)+OFFSET(K41,0,1)+OFFSET(K42,0,1))*$B33/Параметры!K$30)</f>
        <v>0</v>
      </c>
      <c r="L32" s="289">
        <f ca="1">IF(OR(AND($B33=0,L$2&gt;1),L$2=Prj_Len),K32,(OFFSET(L28,0,1)+OFFSET(L41,0,1)+OFFSET(L42,0,1))*$B33/Параметры!L$30)</f>
        <v>0</v>
      </c>
      <c r="M32" s="289">
        <f ca="1">IF(OR(AND($B33=0,M$2&gt;1),M$2=Prj_Len),L32,(OFFSET(M28,0,1)+OFFSET(M41,0,1)+OFFSET(M42,0,1))*$B33/Параметры!M$30)</f>
        <v>0</v>
      </c>
      <c r="N32" s="289">
        <f ca="1">IF(OR(AND($B33=0,N$2&gt;1),N$2=Prj_Len),M32,(OFFSET(N28,0,1)+OFFSET(N41,0,1)+OFFSET(N42,0,1))*$B33/Параметры!N$30)</f>
        <v>0</v>
      </c>
      <c r="O32" s="289">
        <f ca="1">IF(OR(AND($B33=0,O$2&gt;1),O$2=Prj_Len),N32,(OFFSET(O28,0,1)+OFFSET(O41,0,1)+OFFSET(O42,0,1))*$B33/Параметры!O$30)</f>
        <v>0</v>
      </c>
      <c r="P32" s="289">
        <f ca="1">IF(OR(AND($B33=0,P$2&gt;1),P$2=Prj_Len),O32,(OFFSET(P28,0,1)+OFFSET(P41,0,1)+OFFSET(P42,0,1))*$B33/Параметры!P$30)</f>
        <v>0</v>
      </c>
      <c r="Q32" s="289">
        <f ca="1">IF(OR(AND($B33=0,Q$2&gt;1),Q$2=Prj_Len),P32,(OFFSET(Q28,0,1)+OFFSET(Q41,0,1)+OFFSET(Q42,0,1))*$B33/Параметры!Q$30)</f>
        <v>0</v>
      </c>
      <c r="R32" s="289">
        <f ca="1">IF(OR(AND($B33=0,R$2&gt;1),R$2=Prj_Len),Q32,(OFFSET(R28,0,1)+OFFSET(R41,0,1)+OFFSET(R42,0,1))*$B33/Параметры!R$30)</f>
        <v>0</v>
      </c>
      <c r="S32" s="289">
        <f ca="1">IF(OR(AND($B33=0,S$2&gt;1),S$2=Prj_Len),R32,(OFFSET(S28,0,1)+OFFSET(S41,0,1)+OFFSET(S42,0,1))*$B33/Параметры!S$30)</f>
        <v>0</v>
      </c>
      <c r="T32" s="289">
        <f ca="1">IF(OR(AND($B33=0,T$2&gt;1),T$2=Prj_Len),S32,(OFFSET(T28,0,1)+OFFSET(T41,0,1)+OFFSET(T42,0,1))*$B33/Параметры!T$30)</f>
        <v>0</v>
      </c>
      <c r="U32" s="289">
        <f ca="1">IF(OR(AND($B33=0,U$2&gt;1),U$2=Prj_Len),T32,(OFFSET(U28,0,1)+OFFSET(U41,0,1)+OFFSET(U42,0,1))*$B33/Параметры!U$30)</f>
        <v>0</v>
      </c>
      <c r="V32" s="289">
        <f ca="1">IF(OR(AND($B33=0,V$2&gt;1),V$2=Prj_Len),U32,(OFFSET(V28,0,1)+OFFSET(V41,0,1)+OFFSET(V42,0,1))*$B33/Параметры!V$30)</f>
        <v>0</v>
      </c>
      <c r="W32" s="289">
        <f ca="1">IF(OR(AND($B33=0,W$2&gt;1),W$2=Prj_Len),V32,(OFFSET(W28,0,1)+OFFSET(W41,0,1)+OFFSET(W42,0,1))*$B33/Параметры!W$30)</f>
        <v>0</v>
      </c>
      <c r="X32" s="289">
        <f ca="1">IF(OR(AND($B33=0,X$2&gt;1),X$2=Prj_Len),W32,(OFFSET(X28,0,1)+OFFSET(X41,0,1)+OFFSET(X42,0,1))*$B33/Параметры!X$30)</f>
        <v>0</v>
      </c>
      <c r="Y32" s="289">
        <f ca="1">IF(OR(AND($B33=0,Y$2&gt;1),Y$2=Prj_Len),X32,(OFFSET(Y28,0,1)+OFFSET(Y41,0,1)+OFFSET(Y42,0,1))*$B33/Параметры!Y$30)</f>
        <v>0</v>
      </c>
      <c r="Z32" s="289">
        <f ca="1">IF(OR(AND($B33=0,Z$2&gt;1),Z$2=Prj_Len),Y32,(OFFSET(Z28,0,1)+OFFSET(Z41,0,1)+OFFSET(Z42,0,1))*$B33/Параметры!Z$30)</f>
        <v>0</v>
      </c>
      <c r="AA32" s="289">
        <f ca="1">IF(OR(AND($B33=0,AA$2&gt;1),AA$2=Prj_Len),Z32,(OFFSET(AA28,0,1)+OFFSET(AA41,0,1)+OFFSET(AA42,0,1))*$B33/Параметры!AA$30)</f>
        <v>0</v>
      </c>
      <c r="AB32" s="289">
        <f ca="1">IF(OR(AND($B33=0,AB$2&gt;1),AB$2=Prj_Len),AA32,(OFFSET(AB28,0,1)+OFFSET(AB41,0,1)+OFFSET(AB42,0,1))*$B33/Параметры!AB$30)</f>
        <v>0</v>
      </c>
      <c r="AC32" s="289">
        <f ca="1">IF(OR(AND($B33=0,AC$2&gt;1),AC$2=Prj_Len),AB32,(OFFSET(AC28,0,1)+OFFSET(AC41,0,1)+OFFSET(AC42,0,1))*$B33/Параметры!AC$30)</f>
        <v>0</v>
      </c>
      <c r="AD32" s="289">
        <f ca="1">IF(OR(AND($B33=0,AD$2&gt;1),AD$2=Prj_Len),AC32,(OFFSET(AD28,0,1)+OFFSET(AD41,0,1)+OFFSET(AD42,0,1))*$B33/Параметры!AD$30)</f>
        <v>0</v>
      </c>
      <c r="AE32" s="289">
        <f ca="1">IF(OR(AND($B33=0,AE$2&gt;1),AE$2=Prj_Len),AD32,(OFFSET(AE28,0,1)+OFFSET(AE41,0,1)+OFFSET(AE42,0,1))*$B33/Параметры!AE$30)</f>
        <v>0</v>
      </c>
      <c r="AF32" s="289">
        <f ca="1">IF(OR(AND($B33=0,AF$2&gt;1),AF$2=Prj_Len),AE32,(OFFSET(AF28,0,1)+OFFSET(AF41,0,1)+OFFSET(AF42,0,1))*$B33/Параметры!AF$30)</f>
        <v>0</v>
      </c>
      <c r="AG32" s="289">
        <f ca="1">IF(OR(AND($B33=0,AG$2&gt;1),AG$2=Prj_Len),AF32,(OFFSET(AG28,0,1)+OFFSET(AG41,0,1)+OFFSET(AG42,0,1))*$B33/Параметры!AG$30)</f>
        <v>0</v>
      </c>
      <c r="AH32" s="289">
        <f ca="1">IF(OR(AND($B33=0,AH$2&gt;1),AH$2=Prj_Len),AG32,(OFFSET(AH28,0,1)+OFFSET(AH41,0,1)+OFFSET(AH42,0,1))*$B33/Параметры!AH$30)</f>
        <v>0</v>
      </c>
      <c r="AI32" s="289">
        <f ca="1">IF(OR(AND($B33=0,AI$2&gt;1),AI$2=Prj_Len),AH32,(OFFSET(AI28,0,1)+OFFSET(AI41,0,1)+OFFSET(AI42,0,1))*$B33/Параметры!AI$30)</f>
        <v>0</v>
      </c>
      <c r="AJ32" s="289">
        <f ca="1">IF(OR(AND($B33=0,AJ$2&gt;1),AJ$2=Prj_Len),AI32,(OFFSET(AJ28,0,1)+OFFSET(AJ41,0,1)+OFFSET(AJ42,0,1))*$B33/Параметры!AJ$30)</f>
        <v>0</v>
      </c>
      <c r="AK32" s="289">
        <f ca="1">IF(OR(AND($B33=0,AK$2&gt;1),AK$2=Prj_Len),AJ32,(OFFSET(AK28,0,1)+OFFSET(AK41,0,1)+OFFSET(AK42,0,1))*$B33/Параметры!AK$30)</f>
        <v>0</v>
      </c>
      <c r="AL32" s="289">
        <f ca="1">IF(OR(AND($B33=0,AL$2&gt;1),AL$2=Prj_Len),AK32,(OFFSET(AL28,0,1)+OFFSET(AL41,0,1)+OFFSET(AL42,0,1))*$B33/Параметры!AL$30)</f>
        <v>0</v>
      </c>
      <c r="AM32" s="289">
        <f ca="1">IF(OR(AND($B33=0,AM$2&gt;1),AM$2=Prj_Len),AL32,(OFFSET(AM28,0,1)+OFFSET(AM41,0,1)+OFFSET(AM42,0,1))*$B33/Параметры!AM$30)</f>
        <v>0</v>
      </c>
      <c r="AN32" s="289">
        <f ca="1">IF(OR(AND($B33=0,AN$2&gt;1),AN$2=Prj_Len),AM32,(OFFSET(AN28,0,1)+OFFSET(AN41,0,1)+OFFSET(AN42,0,1))*$B33/Параметры!AN$30)</f>
        <v>0</v>
      </c>
      <c r="AO32" s="289">
        <f ca="1">IF(OR(AND($B33=0,AO$2&gt;1),AO$2=Prj_Len),AN32,(OFFSET(AO28,0,1)+OFFSET(AO41,0,1)+OFFSET(AO42,0,1))*$B33/Параметры!AO$30)</f>
        <v>0</v>
      </c>
      <c r="AP32" s="289">
        <f ca="1">IF(OR(AND($B33=0,AP$2&gt;1),AP$2=Prj_Len),AO32,(OFFSET(AP28,0,1)+OFFSET(AP41,0,1)+OFFSET(AP42,0,1))*$B33/Параметры!AP$30)</f>
        <v>0</v>
      </c>
      <c r="AQ32" s="289">
        <f ca="1">IF(OR(AND($B33=0,AQ$2&gt;1),AQ$2=Prj_Len),AP32,(OFFSET(AQ28,0,1)+OFFSET(AQ41,0,1)+OFFSET(AQ42,0,1))*$B33/Параметры!AQ$30)</f>
        <v>0</v>
      </c>
      <c r="AR32" s="289">
        <f ca="1">IF(OR(AND($B33=0,AR$2&gt;1),AR$2=Prj_Len),AQ32,(OFFSET(AR28,0,1)+OFFSET(AR41,0,1)+OFFSET(AR42,0,1))*$B33/Параметры!AR$30)</f>
        <v>0</v>
      </c>
      <c r="AS32" s="289">
        <f ca="1">IF(OR(AND($B33=0,AS$2&gt;1),AS$2=Prj_Len),AR32,(OFFSET(AS28,0,1)+OFFSET(AS41,0,1)+OFFSET(AS42,0,1))*$B33/Параметры!AS$30)</f>
        <v>0</v>
      </c>
      <c r="AT32" s="289">
        <f ca="1">IF(OR(AND($B33=0,AT$2&gt;1),AT$2=Prj_Len),AS32,(OFFSET(AT28,0,1)+OFFSET(AT41,0,1)+OFFSET(AT42,0,1))*$B33/Параметры!AT$30)</f>
        <v>0</v>
      </c>
      <c r="AU32" s="289">
        <f ca="1">IF(OR(AND($B33=0,AU$2&gt;1),AU$2=Prj_Len),AT32,(OFFSET(AU28,0,1)+OFFSET(AU41,0,1)+OFFSET(AU42,0,1))*$B33/Параметры!AU$30)</f>
        <v>0</v>
      </c>
      <c r="AV32" s="289">
        <f ca="1">IF(OR(AND($B33=0,AV$2&gt;1),AV$2=Prj_Len),AU32,(OFFSET(AV28,0,1)+OFFSET(AV41,0,1)+OFFSET(AV42,0,1))*$B33/Параметры!AV$30)</f>
        <v>0</v>
      </c>
      <c r="AW32" s="289">
        <f ca="1">IF(OR(AND($B33=0,AW$2&gt;1),AW$2=Prj_Len),AV32,(OFFSET(AW28,0,1)+OFFSET(AW41,0,1)+OFFSET(AW42,0,1))*$B33/Параметры!AW$30)</f>
        <v>0</v>
      </c>
      <c r="AX32" s="289">
        <f ca="1">IF(OR(AND($B33=0,AX$2&gt;1),AX$2=Prj_Len),AW32,(OFFSET(AX28,0,1)+OFFSET(AX41,0,1)+OFFSET(AX42,0,1))*$B33/Параметры!AX$30)</f>
        <v>0</v>
      </c>
      <c r="AY32" s="289">
        <f ca="1">IF(OR(AND($B33=0,AY$2&gt;1),AY$2=Prj_Len),AX32,(OFFSET(AY28,0,1)+OFFSET(AY41,0,1)+OFFSET(AY42,0,1))*$B33/Параметры!AY$30)</f>
        <v>0</v>
      </c>
      <c r="AZ32" s="289">
        <f ca="1">IF(OR(AND($B33=0,AZ$2&gt;1),AZ$2=Prj_Len),AY32,(OFFSET(AZ28,0,1)+OFFSET(AZ41,0,1)+OFFSET(AZ42,0,1))*$B33/Параметры!AZ$30)</f>
        <v>0</v>
      </c>
      <c r="BA32" s="289">
        <f ca="1">IF(OR(AND($B33=0,BA$2&gt;1),BA$2=Prj_Len),AZ32,(OFFSET(BA28,0,1)+OFFSET(BA41,0,1)+OFFSET(BA42,0,1))*$B33/Параметры!BA$30)</f>
        <v>0</v>
      </c>
      <c r="BB32" s="289">
        <f ca="1">IF(OR(AND($B33=0,BB$2&gt;1),BB$2=Prj_Len),BA32,(OFFSET(BB28,0,1)+OFFSET(BB41,0,1)+OFFSET(BB42,0,1))*$B33/Параметры!BB$30)</f>
        <v>0</v>
      </c>
      <c r="BC32" s="188"/>
      <c r="BD32" s="186"/>
    </row>
    <row r="33" spans="1:56" s="170" customFormat="1" ht="14.4" hidden="1" thickTop="1" x14ac:dyDescent="0.3">
      <c r="A33" s="187" t="str">
        <f ca="1">Language!A$612</f>
        <v>средний период предоплаты</v>
      </c>
      <c r="B33" s="288">
        <f ca="1">$B$579</f>
        <v>0</v>
      </c>
      <c r="C33" s="163" t="str">
        <f ca="1">Language!$A$1474</f>
        <v>дней</v>
      </c>
      <c r="F33" s="170" t="s">
        <v>2343</v>
      </c>
      <c r="G33" s="185"/>
      <c r="H33" s="185"/>
      <c r="I33" s="185"/>
      <c r="J33" s="185"/>
      <c r="K33" s="185"/>
      <c r="L33" s="185"/>
      <c r="M33" s="185"/>
      <c r="N33" s="185"/>
      <c r="O33" s="185"/>
      <c r="P33" s="185"/>
      <c r="Q33" s="185"/>
      <c r="R33" s="185"/>
      <c r="S33" s="185"/>
      <c r="T33" s="185"/>
      <c r="U33" s="185"/>
      <c r="V33" s="185"/>
      <c r="W33" s="185"/>
      <c r="X33" s="185"/>
      <c r="Y33" s="185"/>
      <c r="Z33" s="185"/>
      <c r="AA33" s="185"/>
      <c r="AB33" s="185"/>
      <c r="AC33" s="185"/>
      <c r="AD33" s="185"/>
      <c r="AE33" s="185"/>
      <c r="AF33" s="185"/>
      <c r="AG33" s="185"/>
      <c r="AH33" s="185"/>
      <c r="AI33" s="185"/>
      <c r="AJ33" s="185"/>
      <c r="AK33" s="185"/>
      <c r="AL33" s="185"/>
      <c r="AM33" s="185"/>
      <c r="AN33" s="185"/>
      <c r="AO33" s="185"/>
      <c r="AP33" s="185"/>
      <c r="AQ33" s="185"/>
      <c r="AR33" s="185"/>
      <c r="AS33" s="185"/>
      <c r="AT33" s="185"/>
      <c r="AU33" s="185"/>
      <c r="AV33" s="185"/>
      <c r="AW33" s="185"/>
      <c r="AX33" s="185"/>
      <c r="AY33" s="185"/>
      <c r="AZ33" s="185"/>
      <c r="BA33" s="185"/>
      <c r="BB33" s="185"/>
      <c r="BC33" s="185"/>
      <c r="BD33" s="186"/>
    </row>
    <row r="34" spans="1:56" s="173" customFormat="1" ht="14.4" hidden="1" thickTop="1" x14ac:dyDescent="0.3">
      <c r="A34" s="181" t="str">
        <f ca="1">Language!A$613</f>
        <v>поступление денежных средств, с НДС</v>
      </c>
      <c r="B34" s="176"/>
      <c r="C34" s="176" t="str">
        <f ca="1">CHOOSE(D34,CurName1,CurName2,CurName3)</f>
        <v>руб.</v>
      </c>
      <c r="D34" s="174">
        <f>D24</f>
        <v>1</v>
      </c>
      <c r="E34" s="170" t="s">
        <v>993</v>
      </c>
      <c r="F34" s="170" t="s">
        <v>743</v>
      </c>
      <c r="G34" s="182">
        <f ca="1">G28+G41+G42-IF(G$2=1,G30,G30-F30)+IF(G$2=1,G32,G32-F32)</f>
        <v>0</v>
      </c>
      <c r="H34" s="182">
        <f t="shared" ref="H34:BB34" ca="1" si="149">H28+H41+H42-IF(H$2=1,H30,H30-G30)+IF(H$2=1,H32,H32-G32)</f>
        <v>0</v>
      </c>
      <c r="I34" s="182">
        <f t="shared" ca="1" si="149"/>
        <v>0</v>
      </c>
      <c r="J34" s="182">
        <f t="shared" ca="1" si="149"/>
        <v>0</v>
      </c>
      <c r="K34" s="182">
        <f t="shared" ca="1" si="149"/>
        <v>0</v>
      </c>
      <c r="L34" s="182">
        <f t="shared" ca="1" si="149"/>
        <v>0</v>
      </c>
      <c r="M34" s="182">
        <f t="shared" ca="1" si="149"/>
        <v>0</v>
      </c>
      <c r="N34" s="182">
        <f t="shared" ca="1" si="149"/>
        <v>0</v>
      </c>
      <c r="O34" s="182">
        <f t="shared" ca="1" si="149"/>
        <v>0</v>
      </c>
      <c r="P34" s="182">
        <f t="shared" ca="1" si="149"/>
        <v>0</v>
      </c>
      <c r="Q34" s="182">
        <f t="shared" ca="1" si="149"/>
        <v>0</v>
      </c>
      <c r="R34" s="182">
        <f t="shared" ca="1" si="149"/>
        <v>0</v>
      </c>
      <c r="S34" s="182">
        <f t="shared" ca="1" si="149"/>
        <v>0</v>
      </c>
      <c r="T34" s="182">
        <f t="shared" ca="1" si="149"/>
        <v>0</v>
      </c>
      <c r="U34" s="182">
        <f t="shared" ca="1" si="149"/>
        <v>0</v>
      </c>
      <c r="V34" s="182">
        <f t="shared" ca="1" si="149"/>
        <v>0</v>
      </c>
      <c r="W34" s="182">
        <f t="shared" ca="1" si="149"/>
        <v>0</v>
      </c>
      <c r="X34" s="182">
        <f t="shared" ca="1" si="149"/>
        <v>0</v>
      </c>
      <c r="Y34" s="182">
        <f t="shared" ca="1" si="149"/>
        <v>0</v>
      </c>
      <c r="Z34" s="182">
        <f t="shared" ca="1" si="149"/>
        <v>0</v>
      </c>
      <c r="AA34" s="182">
        <f t="shared" ca="1" si="149"/>
        <v>0</v>
      </c>
      <c r="AB34" s="182">
        <f t="shared" ca="1" si="149"/>
        <v>0</v>
      </c>
      <c r="AC34" s="182">
        <f t="shared" ca="1" si="149"/>
        <v>0</v>
      </c>
      <c r="AD34" s="182">
        <f t="shared" ca="1" si="149"/>
        <v>0</v>
      </c>
      <c r="AE34" s="182">
        <f t="shared" ca="1" si="149"/>
        <v>0</v>
      </c>
      <c r="AF34" s="182">
        <f t="shared" ca="1" si="149"/>
        <v>0</v>
      </c>
      <c r="AG34" s="182">
        <f t="shared" ca="1" si="149"/>
        <v>0</v>
      </c>
      <c r="AH34" s="182">
        <f t="shared" ca="1" si="149"/>
        <v>0</v>
      </c>
      <c r="AI34" s="182">
        <f t="shared" ca="1" si="149"/>
        <v>0</v>
      </c>
      <c r="AJ34" s="182">
        <f t="shared" ca="1" si="149"/>
        <v>0</v>
      </c>
      <c r="AK34" s="182">
        <f t="shared" ca="1" si="149"/>
        <v>0</v>
      </c>
      <c r="AL34" s="182">
        <f t="shared" ca="1" si="149"/>
        <v>0</v>
      </c>
      <c r="AM34" s="182">
        <f t="shared" ca="1" si="149"/>
        <v>0</v>
      </c>
      <c r="AN34" s="182">
        <f t="shared" ca="1" si="149"/>
        <v>0</v>
      </c>
      <c r="AO34" s="182">
        <f t="shared" ca="1" si="149"/>
        <v>0</v>
      </c>
      <c r="AP34" s="182">
        <f t="shared" ca="1" si="149"/>
        <v>0</v>
      </c>
      <c r="AQ34" s="182">
        <f t="shared" ca="1" si="149"/>
        <v>0</v>
      </c>
      <c r="AR34" s="182">
        <f t="shared" ca="1" si="149"/>
        <v>0</v>
      </c>
      <c r="AS34" s="182">
        <f t="shared" ca="1" si="149"/>
        <v>0</v>
      </c>
      <c r="AT34" s="182">
        <f t="shared" ca="1" si="149"/>
        <v>0</v>
      </c>
      <c r="AU34" s="182">
        <f t="shared" ca="1" si="149"/>
        <v>0</v>
      </c>
      <c r="AV34" s="182">
        <f t="shared" ca="1" si="149"/>
        <v>0</v>
      </c>
      <c r="AW34" s="182">
        <f t="shared" ca="1" si="149"/>
        <v>0</v>
      </c>
      <c r="AX34" s="182">
        <f t="shared" ca="1" si="149"/>
        <v>0</v>
      </c>
      <c r="AY34" s="182">
        <f t="shared" ca="1" si="149"/>
        <v>0</v>
      </c>
      <c r="AZ34" s="182">
        <f t="shared" ca="1" si="149"/>
        <v>0</v>
      </c>
      <c r="BA34" s="182">
        <f t="shared" ca="1" si="149"/>
        <v>0</v>
      </c>
      <c r="BB34" s="182">
        <f t="shared" ca="1" si="149"/>
        <v>0</v>
      </c>
      <c r="BC34" s="182"/>
      <c r="BD34" s="183">
        <f ca="1">SUM(G34:BC34)</f>
        <v>0</v>
      </c>
    </row>
    <row r="35" spans="1:56" ht="14.4" hidden="1" thickTop="1" x14ac:dyDescent="0.3">
      <c r="A35" s="184" t="str">
        <f ca="1">Language!A$614</f>
        <v>темп изменения цен</v>
      </c>
      <c r="B35" s="189"/>
      <c r="C35" s="163" t="str">
        <f ca="1">Language!$A$480</f>
        <v>% в год</v>
      </c>
      <c r="D35" s="174"/>
      <c r="F35" s="170" t="s">
        <v>2344</v>
      </c>
      <c r="G35" s="290">
        <f>CHOOSE($D24,Параметры!G$47,Параметры!G$56,Параметры!G$62)</f>
        <v>0.06</v>
      </c>
      <c r="H35" s="290">
        <f>CHOOSE($D24,Параметры!H$47,Параметры!H$56,Параметры!H$62)</f>
        <v>0.06</v>
      </c>
      <c r="I35" s="290">
        <f>CHOOSE($D24,Параметры!I$47,Параметры!I$56,Параметры!I$62)</f>
        <v>0.06</v>
      </c>
      <c r="J35" s="290">
        <f>CHOOSE($D24,Параметры!J$47,Параметры!J$56,Параметры!J$62)</f>
        <v>0.06</v>
      </c>
      <c r="K35" s="290">
        <f>CHOOSE($D24,Параметры!K$47,Параметры!K$56,Параметры!K$62)</f>
        <v>0.06</v>
      </c>
      <c r="L35" s="290">
        <f>CHOOSE($D24,Параметры!L$47,Параметры!L$56,Параметры!L$62)</f>
        <v>0.06</v>
      </c>
      <c r="M35" s="290">
        <f>CHOOSE($D24,Параметры!M$47,Параметры!M$56,Параметры!M$62)</f>
        <v>0.06</v>
      </c>
      <c r="N35" s="290">
        <f>CHOOSE($D24,Параметры!N$47,Параметры!N$56,Параметры!N$62)</f>
        <v>0.06</v>
      </c>
      <c r="O35" s="290">
        <f>CHOOSE($D24,Параметры!O$47,Параметры!O$56,Параметры!O$62)</f>
        <v>0.06</v>
      </c>
      <c r="P35" s="290">
        <f>CHOOSE($D24,Параметры!P$47,Параметры!P$56,Параметры!P$62)</f>
        <v>0.06</v>
      </c>
      <c r="Q35" s="290">
        <f>CHOOSE($D24,Параметры!Q$47,Параметры!Q$56,Параметры!Q$62)</f>
        <v>0.06</v>
      </c>
      <c r="R35" s="290">
        <f>CHOOSE($D24,Параметры!R$47,Параметры!R$56,Параметры!R$62)</f>
        <v>0.06</v>
      </c>
      <c r="S35" s="290">
        <f>CHOOSE($D24,Параметры!S$47,Параметры!S$56,Параметры!S$62)</f>
        <v>0.06</v>
      </c>
      <c r="T35" s="290">
        <f>CHOOSE($D24,Параметры!T$47,Параметры!T$56,Параметры!T$62)</f>
        <v>0.06</v>
      </c>
      <c r="U35" s="290">
        <f>CHOOSE($D24,Параметры!U$47,Параметры!U$56,Параметры!U$62)</f>
        <v>0.06</v>
      </c>
      <c r="V35" s="290">
        <f>CHOOSE($D24,Параметры!V$47,Параметры!V$56,Параметры!V$62)</f>
        <v>0.06</v>
      </c>
      <c r="W35" s="290">
        <f>CHOOSE($D24,Параметры!W$47,Параметры!W$56,Параметры!W$62)</f>
        <v>0.06</v>
      </c>
      <c r="X35" s="290">
        <f>CHOOSE($D24,Параметры!X$47,Параметры!X$56,Параметры!X$62)</f>
        <v>0.06</v>
      </c>
      <c r="Y35" s="290">
        <f>CHOOSE($D24,Параметры!Y$47,Параметры!Y$56,Параметры!Y$62)</f>
        <v>0.06</v>
      </c>
      <c r="Z35" s="290">
        <f>CHOOSE($D24,Параметры!Z$47,Параметры!Z$56,Параметры!Z$62)</f>
        <v>0.06</v>
      </c>
      <c r="AA35" s="290">
        <f>CHOOSE($D24,Параметры!AA$47,Параметры!AA$56,Параметры!AA$62)</f>
        <v>0.06</v>
      </c>
      <c r="AB35" s="290">
        <f>CHOOSE($D24,Параметры!AB$47,Параметры!AB$56,Параметры!AB$62)</f>
        <v>0.06</v>
      </c>
      <c r="AC35" s="290">
        <f>CHOOSE($D24,Параметры!AC$47,Параметры!AC$56,Параметры!AC$62)</f>
        <v>0.06</v>
      </c>
      <c r="AD35" s="290">
        <f>CHOOSE($D24,Параметры!AD$47,Параметры!AD$56,Параметры!AD$62)</f>
        <v>0.06</v>
      </c>
      <c r="AE35" s="290">
        <f>CHOOSE($D24,Параметры!AE$47,Параметры!AE$56,Параметры!AE$62)</f>
        <v>0.06</v>
      </c>
      <c r="AF35" s="290">
        <f>CHOOSE($D24,Параметры!AF$47,Параметры!AF$56,Параметры!AF$62)</f>
        <v>0.06</v>
      </c>
      <c r="AG35" s="290">
        <f>CHOOSE($D24,Параметры!AG$47,Параметры!AG$56,Параметры!AG$62)</f>
        <v>0.06</v>
      </c>
      <c r="AH35" s="290">
        <f>CHOOSE($D24,Параметры!AH$47,Параметры!AH$56,Параметры!AH$62)</f>
        <v>0.06</v>
      </c>
      <c r="AI35" s="290">
        <f>CHOOSE($D24,Параметры!AI$47,Параметры!AI$56,Параметры!AI$62)</f>
        <v>0.06</v>
      </c>
      <c r="AJ35" s="290">
        <f>CHOOSE($D24,Параметры!AJ$47,Параметры!AJ$56,Параметры!AJ$62)</f>
        <v>0.06</v>
      </c>
      <c r="AK35" s="290">
        <f>CHOOSE($D24,Параметры!AK$47,Параметры!AK$56,Параметры!AK$62)</f>
        <v>0.06</v>
      </c>
      <c r="AL35" s="290">
        <f>CHOOSE($D24,Параметры!AL$47,Параметры!AL$56,Параметры!AL$62)</f>
        <v>0.06</v>
      </c>
      <c r="AM35" s="290">
        <f>CHOOSE($D24,Параметры!AM$47,Параметры!AM$56,Параметры!AM$62)</f>
        <v>0.06</v>
      </c>
      <c r="AN35" s="290">
        <f>CHOOSE($D24,Параметры!AN$47,Параметры!AN$56,Параметры!AN$62)</f>
        <v>0.06</v>
      </c>
      <c r="AO35" s="290">
        <f>CHOOSE($D24,Параметры!AO$47,Параметры!AO$56,Параметры!AO$62)</f>
        <v>0.06</v>
      </c>
      <c r="AP35" s="290">
        <f>CHOOSE($D24,Параметры!AP$47,Параметры!AP$56,Параметры!AP$62)</f>
        <v>0.06</v>
      </c>
      <c r="AQ35" s="290">
        <f>CHOOSE($D24,Параметры!AQ$47,Параметры!AQ$56,Параметры!AQ$62)</f>
        <v>0.06</v>
      </c>
      <c r="AR35" s="290">
        <f>CHOOSE($D24,Параметры!AR$47,Параметры!AR$56,Параметры!AR$62)</f>
        <v>0.06</v>
      </c>
      <c r="AS35" s="290">
        <f>CHOOSE($D24,Параметры!AS$47,Параметры!AS$56,Параметры!AS$62)</f>
        <v>0.06</v>
      </c>
      <c r="AT35" s="290">
        <f>CHOOSE($D24,Параметры!AT$47,Параметры!AT$56,Параметры!AT$62)</f>
        <v>0.06</v>
      </c>
      <c r="AU35" s="290">
        <f>CHOOSE($D24,Параметры!AU$47,Параметры!AU$56,Параметры!AU$62)</f>
        <v>0.06</v>
      </c>
      <c r="AV35" s="290">
        <f>CHOOSE($D24,Параметры!AV$47,Параметры!AV$56,Параметры!AV$62)</f>
        <v>0.06</v>
      </c>
      <c r="AW35" s="290">
        <f>CHOOSE($D24,Параметры!AW$47,Параметры!AW$56,Параметры!AW$62)</f>
        <v>0.06</v>
      </c>
      <c r="AX35" s="290">
        <f>CHOOSE($D24,Параметры!AX$47,Параметры!AX$56,Параметры!AX$62)</f>
        <v>0.06</v>
      </c>
      <c r="AY35" s="290">
        <f>CHOOSE($D24,Параметры!AY$47,Параметры!AY$56,Параметры!AY$62)</f>
        <v>0.06</v>
      </c>
      <c r="AZ35" s="290">
        <f>CHOOSE($D24,Параметры!AZ$47,Параметры!AZ$56,Параметры!AZ$62)</f>
        <v>0.06</v>
      </c>
      <c r="BA35" s="290">
        <f>CHOOSE($D24,Параметры!BA$47,Параметры!BA$56,Параметры!BA$62)</f>
        <v>0.06</v>
      </c>
      <c r="BB35" s="290">
        <f>CHOOSE($D24,Параметры!BB$47,Параметры!BB$56,Параметры!BB$62)</f>
        <v>0.06</v>
      </c>
      <c r="BC35" s="190"/>
      <c r="BD35" s="186"/>
    </row>
    <row r="36" spans="1:56" ht="14.4" hidden="1" thickTop="1" x14ac:dyDescent="0.3">
      <c r="A36" s="184" t="str">
        <f ca="1">Language!A$615</f>
        <v>ставка НДС</v>
      </c>
      <c r="B36" s="189"/>
      <c r="C36" s="163" t="s">
        <v>1</v>
      </c>
      <c r="D36" s="174"/>
      <c r="F36" s="170" t="s">
        <v>2344</v>
      </c>
      <c r="G36" s="290">
        <f>IF(G$2=1,Параметры!G$72,IF(F36=Параметры!F$72,Параметры!F$72,F36))</f>
        <v>0</v>
      </c>
      <c r="H36" s="290">
        <f>IF(H$2=1,Параметры!H$72,IF(G36=Параметры!G$72,Параметры!G$72,G36))</f>
        <v>0</v>
      </c>
      <c r="I36" s="290">
        <f>IF(I$2=1,Параметры!I$72,IF(H36=Параметры!H$72,Параметры!H$72,H36))</f>
        <v>0</v>
      </c>
      <c r="J36" s="290">
        <f>IF(J$2=1,Параметры!J$72,IF(I36=Параметры!I$72,Параметры!I$72,I36))</f>
        <v>0</v>
      </c>
      <c r="K36" s="290">
        <f>IF(K$2=1,Параметры!K$72,IF(J36=Параметры!J$72,Параметры!J$72,J36))</f>
        <v>0</v>
      </c>
      <c r="L36" s="290">
        <f>IF(L$2=1,Параметры!L$72,IF(K36=Параметры!K$72,Параметры!K$72,K36))</f>
        <v>0</v>
      </c>
      <c r="M36" s="290">
        <f>IF(M$2=1,Параметры!M$72,IF(L36=Параметры!L$72,Параметры!L$72,L36))</f>
        <v>0</v>
      </c>
      <c r="N36" s="290">
        <f>IF(N$2=1,Параметры!N$72,IF(M36=Параметры!M$72,Параметры!M$72,M36))</f>
        <v>0</v>
      </c>
      <c r="O36" s="290">
        <f>IF(O$2=1,Параметры!O$72,IF(N36=Параметры!N$72,Параметры!N$72,N36))</f>
        <v>0</v>
      </c>
      <c r="P36" s="290">
        <f>IF(P$2=1,Параметры!P$72,IF(O36=Параметры!O$72,Параметры!O$72,O36))</f>
        <v>0</v>
      </c>
      <c r="Q36" s="290">
        <f>IF(Q$2=1,Параметры!Q$72,IF(P36=Параметры!P$72,Параметры!P$72,P36))</f>
        <v>0</v>
      </c>
      <c r="R36" s="290">
        <f>IF(R$2=1,Параметры!R$72,IF(Q36=Параметры!Q$72,Параметры!Q$72,Q36))</f>
        <v>0</v>
      </c>
      <c r="S36" s="290">
        <f>IF(S$2=1,Параметры!S$72,IF(R36=Параметры!R$72,Параметры!R$72,R36))</f>
        <v>0</v>
      </c>
      <c r="T36" s="290">
        <f>IF(T$2=1,Параметры!T$72,IF(S36=Параметры!S$72,Параметры!S$72,S36))</f>
        <v>0</v>
      </c>
      <c r="U36" s="290">
        <f>IF(U$2=1,Параметры!U$72,IF(T36=Параметры!T$72,Параметры!T$72,T36))</f>
        <v>0</v>
      </c>
      <c r="V36" s="290">
        <f>IF(V$2=1,Параметры!V$72,IF(U36=Параметры!U$72,Параметры!U$72,U36))</f>
        <v>0</v>
      </c>
      <c r="W36" s="290">
        <f>IF(W$2=1,Параметры!W$72,IF(V36=Параметры!V$72,Параметры!V$72,V36))</f>
        <v>0</v>
      </c>
      <c r="X36" s="290">
        <f>IF(X$2=1,Параметры!X$72,IF(W36=Параметры!W$72,Параметры!W$72,W36))</f>
        <v>0</v>
      </c>
      <c r="Y36" s="290">
        <f>IF(Y$2=1,Параметры!Y$72,IF(X36=Параметры!X$72,Параметры!X$72,X36))</f>
        <v>0</v>
      </c>
      <c r="Z36" s="290">
        <f>IF(Z$2=1,Параметры!Z$72,IF(Y36=Параметры!Y$72,Параметры!Y$72,Y36))</f>
        <v>0</v>
      </c>
      <c r="AA36" s="290">
        <f>IF(AA$2=1,Параметры!AA$72,IF(Z36=Параметры!Z$72,Параметры!Z$72,Z36))</f>
        <v>0</v>
      </c>
      <c r="AB36" s="290">
        <f>IF(AB$2=1,Параметры!AB$72,IF(AA36=Параметры!AA$72,Параметры!AA$72,AA36))</f>
        <v>0</v>
      </c>
      <c r="AC36" s="290">
        <f>IF(AC$2=1,Параметры!AC$72,IF(AB36=Параметры!AB$72,Параметры!AB$72,AB36))</f>
        <v>0</v>
      </c>
      <c r="AD36" s="290">
        <f>IF(AD$2=1,Параметры!AD$72,IF(AC36=Параметры!AC$72,Параметры!AC$72,AC36))</f>
        <v>0</v>
      </c>
      <c r="AE36" s="290">
        <f>IF(AE$2=1,Параметры!AE$72,IF(AD36=Параметры!AD$72,Параметры!AD$72,AD36))</f>
        <v>0</v>
      </c>
      <c r="AF36" s="290">
        <f>IF(AF$2=1,Параметры!AF$72,IF(AE36=Параметры!AE$72,Параметры!AE$72,AE36))</f>
        <v>0</v>
      </c>
      <c r="AG36" s="290">
        <f>IF(AG$2=1,Параметры!AG$72,IF(AF36=Параметры!AF$72,Параметры!AF$72,AF36))</f>
        <v>0</v>
      </c>
      <c r="AH36" s="290">
        <f>IF(AH$2=1,Параметры!AH$72,IF(AG36=Параметры!AG$72,Параметры!AG$72,AG36))</f>
        <v>0</v>
      </c>
      <c r="AI36" s="290">
        <f>IF(AI$2=1,Параметры!AI$72,IF(AH36=Параметры!AH$72,Параметры!AH$72,AH36))</f>
        <v>0</v>
      </c>
      <c r="AJ36" s="290">
        <f>IF(AJ$2=1,Параметры!AJ$72,IF(AI36=Параметры!AI$72,Параметры!AI$72,AI36))</f>
        <v>0</v>
      </c>
      <c r="AK36" s="290">
        <f>IF(AK$2=1,Параметры!AK$72,IF(AJ36=Параметры!AJ$72,Параметры!AJ$72,AJ36))</f>
        <v>0</v>
      </c>
      <c r="AL36" s="290">
        <f>IF(AL$2=1,Параметры!AL$72,IF(AK36=Параметры!AK$72,Параметры!AK$72,AK36))</f>
        <v>0</v>
      </c>
      <c r="AM36" s="290">
        <f>IF(AM$2=1,Параметры!AM$72,IF(AL36=Параметры!AL$72,Параметры!AL$72,AL36))</f>
        <v>0</v>
      </c>
      <c r="AN36" s="290">
        <f>IF(AN$2=1,Параметры!AN$72,IF(AM36=Параметры!AM$72,Параметры!AM$72,AM36))</f>
        <v>0</v>
      </c>
      <c r="AO36" s="290">
        <f>IF(AO$2=1,Параметры!AO$72,IF(AN36=Параметры!AN$72,Параметры!AN$72,AN36))</f>
        <v>0</v>
      </c>
      <c r="AP36" s="290">
        <f>IF(AP$2=1,Параметры!AP$72,IF(AO36=Параметры!AO$72,Параметры!AO$72,AO36))</f>
        <v>0</v>
      </c>
      <c r="AQ36" s="290">
        <f>IF(AQ$2=1,Параметры!AQ$72,IF(AP36=Параметры!AP$72,Параметры!AP$72,AP36))</f>
        <v>0</v>
      </c>
      <c r="AR36" s="290">
        <f>IF(AR$2=1,Параметры!AR$72,IF(AQ36=Параметры!AQ$72,Параметры!AQ$72,AQ36))</f>
        <v>0</v>
      </c>
      <c r="AS36" s="290">
        <f>IF(AS$2=1,Параметры!AS$72,IF(AR36=Параметры!AR$72,Параметры!AR$72,AR36))</f>
        <v>0</v>
      </c>
      <c r="AT36" s="290">
        <f>IF(AT$2=1,Параметры!AT$72,IF(AS36=Параметры!AS$72,Параметры!AS$72,AS36))</f>
        <v>0</v>
      </c>
      <c r="AU36" s="290">
        <f>IF(AU$2=1,Параметры!AU$72,IF(AT36=Параметры!AT$72,Параметры!AT$72,AT36))</f>
        <v>0</v>
      </c>
      <c r="AV36" s="290">
        <f>IF(AV$2=1,Параметры!AV$72,IF(AU36=Параметры!AU$72,Параметры!AU$72,AU36))</f>
        <v>0</v>
      </c>
      <c r="AW36" s="290">
        <f>IF(AW$2=1,Параметры!AW$72,IF(AV36=Параметры!AV$72,Параметры!AV$72,AV36))</f>
        <v>0</v>
      </c>
      <c r="AX36" s="290">
        <f>IF(AX$2=1,Параметры!AX$72,IF(AW36=Параметры!AW$72,Параметры!AW$72,AW36))</f>
        <v>0</v>
      </c>
      <c r="AY36" s="290">
        <f>IF(AY$2=1,Параметры!AY$72,IF(AX36=Параметры!AX$72,Параметры!AX$72,AX36))</f>
        <v>0</v>
      </c>
      <c r="AZ36" s="290">
        <f>IF(AZ$2=1,Параметры!AZ$72,IF(AY36=Параметры!AY$72,Параметры!AY$72,AY36))</f>
        <v>0</v>
      </c>
      <c r="BA36" s="290">
        <f>IF(BA$2=1,Параметры!BA$72,IF(AZ36=Параметры!AZ$72,Параметры!AZ$72,AZ36))</f>
        <v>0</v>
      </c>
      <c r="BB36" s="290">
        <f>IF(BB$2=1,Параметры!BB$72,IF(BA36=Параметры!BA$72,Параметры!BA$72,BA36))</f>
        <v>0</v>
      </c>
      <c r="BC36" s="190"/>
      <c r="BD36" s="186"/>
    </row>
    <row r="37" spans="1:56" ht="14.4" hidden="1" thickTop="1" x14ac:dyDescent="0.3">
      <c r="A37" s="184" t="str">
        <f ca="1">Language!A$616</f>
        <v>акцизы, на единицу</v>
      </c>
      <c r="B37" s="174"/>
      <c r="C37" s="163" t="str">
        <f ca="1">CHOOSE(D37,CurName1,CurName2,CurName3)&amp;"/"&amp;C25</f>
        <v>руб./ед.</v>
      </c>
      <c r="D37" s="174">
        <f>D24</f>
        <v>1</v>
      </c>
      <c r="F37" s="170" t="s">
        <v>2344</v>
      </c>
      <c r="G37" s="287">
        <v>0</v>
      </c>
      <c r="H37" s="287">
        <f t="shared" ref="H37:H38" si="150">G37</f>
        <v>0</v>
      </c>
      <c r="I37" s="287">
        <f t="shared" ref="I37:I38" si="151">H37</f>
        <v>0</v>
      </c>
      <c r="J37" s="287">
        <f t="shared" ref="J37:J38" si="152">I37</f>
        <v>0</v>
      </c>
      <c r="K37" s="287">
        <f t="shared" ref="K37:BB38" si="153">J37</f>
        <v>0</v>
      </c>
      <c r="L37" s="287">
        <f t="shared" si="153"/>
        <v>0</v>
      </c>
      <c r="M37" s="287">
        <f t="shared" si="153"/>
        <v>0</v>
      </c>
      <c r="N37" s="287">
        <f t="shared" si="153"/>
        <v>0</v>
      </c>
      <c r="O37" s="287">
        <f t="shared" si="153"/>
        <v>0</v>
      </c>
      <c r="P37" s="287">
        <f t="shared" si="153"/>
        <v>0</v>
      </c>
      <c r="Q37" s="287">
        <f t="shared" si="153"/>
        <v>0</v>
      </c>
      <c r="R37" s="287">
        <f t="shared" si="153"/>
        <v>0</v>
      </c>
      <c r="S37" s="287">
        <f t="shared" si="153"/>
        <v>0</v>
      </c>
      <c r="T37" s="287">
        <f t="shared" si="153"/>
        <v>0</v>
      </c>
      <c r="U37" s="287">
        <f t="shared" si="153"/>
        <v>0</v>
      </c>
      <c r="V37" s="287">
        <f t="shared" si="153"/>
        <v>0</v>
      </c>
      <c r="W37" s="287">
        <f t="shared" si="153"/>
        <v>0</v>
      </c>
      <c r="X37" s="287">
        <f t="shared" si="153"/>
        <v>0</v>
      </c>
      <c r="Y37" s="287">
        <f t="shared" si="153"/>
        <v>0</v>
      </c>
      <c r="Z37" s="287">
        <f t="shared" si="153"/>
        <v>0</v>
      </c>
      <c r="AA37" s="287">
        <f t="shared" si="153"/>
        <v>0</v>
      </c>
      <c r="AB37" s="287">
        <f t="shared" si="153"/>
        <v>0</v>
      </c>
      <c r="AC37" s="287">
        <f t="shared" si="153"/>
        <v>0</v>
      </c>
      <c r="AD37" s="287">
        <f t="shared" si="153"/>
        <v>0</v>
      </c>
      <c r="AE37" s="287">
        <f t="shared" si="153"/>
        <v>0</v>
      </c>
      <c r="AF37" s="287">
        <f t="shared" si="153"/>
        <v>0</v>
      </c>
      <c r="AG37" s="287">
        <f t="shared" si="153"/>
        <v>0</v>
      </c>
      <c r="AH37" s="287">
        <f t="shared" si="153"/>
        <v>0</v>
      </c>
      <c r="AI37" s="287">
        <f t="shared" si="153"/>
        <v>0</v>
      </c>
      <c r="AJ37" s="287">
        <f t="shared" si="153"/>
        <v>0</v>
      </c>
      <c r="AK37" s="287">
        <f t="shared" si="153"/>
        <v>0</v>
      </c>
      <c r="AL37" s="287">
        <f t="shared" si="153"/>
        <v>0</v>
      </c>
      <c r="AM37" s="287">
        <f t="shared" si="153"/>
        <v>0</v>
      </c>
      <c r="AN37" s="287">
        <f t="shared" si="153"/>
        <v>0</v>
      </c>
      <c r="AO37" s="287">
        <f t="shared" si="153"/>
        <v>0</v>
      </c>
      <c r="AP37" s="287">
        <f t="shared" si="153"/>
        <v>0</v>
      </c>
      <c r="AQ37" s="287">
        <f t="shared" si="153"/>
        <v>0</v>
      </c>
      <c r="AR37" s="287">
        <f t="shared" si="153"/>
        <v>0</v>
      </c>
      <c r="AS37" s="287">
        <f t="shared" si="153"/>
        <v>0</v>
      </c>
      <c r="AT37" s="287">
        <f t="shared" si="153"/>
        <v>0</v>
      </c>
      <c r="AU37" s="287">
        <f t="shared" si="153"/>
        <v>0</v>
      </c>
      <c r="AV37" s="287">
        <f t="shared" si="153"/>
        <v>0</v>
      </c>
      <c r="AW37" s="287">
        <f t="shared" si="153"/>
        <v>0</v>
      </c>
      <c r="AX37" s="287">
        <f t="shared" si="153"/>
        <v>0</v>
      </c>
      <c r="AY37" s="287">
        <f t="shared" si="153"/>
        <v>0</v>
      </c>
      <c r="AZ37" s="287">
        <f t="shared" si="153"/>
        <v>0</v>
      </c>
      <c r="BA37" s="287">
        <f t="shared" si="153"/>
        <v>0</v>
      </c>
      <c r="BB37" s="287">
        <f t="shared" si="153"/>
        <v>0</v>
      </c>
      <c r="BC37" s="185"/>
      <c r="BD37" s="186"/>
    </row>
    <row r="38" spans="1:56" ht="14.4" hidden="1" thickTop="1" x14ac:dyDescent="0.3">
      <c r="A38" s="184" t="str">
        <f ca="1">Language!A$617</f>
        <v>ставка акцизов, в процентах</v>
      </c>
      <c r="B38" s="189"/>
      <c r="C38" s="163" t="s">
        <v>1</v>
      </c>
      <c r="D38" s="174"/>
      <c r="F38" s="170" t="s">
        <v>2344</v>
      </c>
      <c r="G38" s="290">
        <v>0</v>
      </c>
      <c r="H38" s="290">
        <f t="shared" si="150"/>
        <v>0</v>
      </c>
      <c r="I38" s="290">
        <f t="shared" si="151"/>
        <v>0</v>
      </c>
      <c r="J38" s="290">
        <f t="shared" si="152"/>
        <v>0</v>
      </c>
      <c r="K38" s="290">
        <f t="shared" si="153"/>
        <v>0</v>
      </c>
      <c r="L38" s="290">
        <f t="shared" si="153"/>
        <v>0</v>
      </c>
      <c r="M38" s="290">
        <f t="shared" si="153"/>
        <v>0</v>
      </c>
      <c r="N38" s="290">
        <f t="shared" si="153"/>
        <v>0</v>
      </c>
      <c r="O38" s="290">
        <f t="shared" si="153"/>
        <v>0</v>
      </c>
      <c r="P38" s="290">
        <f t="shared" si="153"/>
        <v>0</v>
      </c>
      <c r="Q38" s="290">
        <f t="shared" si="153"/>
        <v>0</v>
      </c>
      <c r="R38" s="290">
        <f t="shared" si="153"/>
        <v>0</v>
      </c>
      <c r="S38" s="290">
        <f t="shared" si="153"/>
        <v>0</v>
      </c>
      <c r="T38" s="290">
        <f t="shared" si="153"/>
        <v>0</v>
      </c>
      <c r="U38" s="290">
        <f t="shared" si="153"/>
        <v>0</v>
      </c>
      <c r="V38" s="290">
        <f t="shared" si="153"/>
        <v>0</v>
      </c>
      <c r="W38" s="290">
        <f t="shared" si="153"/>
        <v>0</v>
      </c>
      <c r="X38" s="290">
        <f t="shared" si="153"/>
        <v>0</v>
      </c>
      <c r="Y38" s="290">
        <f t="shared" si="153"/>
        <v>0</v>
      </c>
      <c r="Z38" s="290">
        <f t="shared" si="153"/>
        <v>0</v>
      </c>
      <c r="AA38" s="290">
        <f t="shared" si="153"/>
        <v>0</v>
      </c>
      <c r="AB38" s="290">
        <f t="shared" si="153"/>
        <v>0</v>
      </c>
      <c r="AC38" s="290">
        <f t="shared" si="153"/>
        <v>0</v>
      </c>
      <c r="AD38" s="290">
        <f t="shared" si="153"/>
        <v>0</v>
      </c>
      <c r="AE38" s="290">
        <f t="shared" si="153"/>
        <v>0</v>
      </c>
      <c r="AF38" s="290">
        <f t="shared" si="153"/>
        <v>0</v>
      </c>
      <c r="AG38" s="290">
        <f t="shared" si="153"/>
        <v>0</v>
      </c>
      <c r="AH38" s="290">
        <f t="shared" si="153"/>
        <v>0</v>
      </c>
      <c r="AI38" s="290">
        <f t="shared" si="153"/>
        <v>0</v>
      </c>
      <c r="AJ38" s="290">
        <f t="shared" si="153"/>
        <v>0</v>
      </c>
      <c r="AK38" s="290">
        <f t="shared" si="153"/>
        <v>0</v>
      </c>
      <c r="AL38" s="290">
        <f t="shared" si="153"/>
        <v>0</v>
      </c>
      <c r="AM38" s="290">
        <f t="shared" si="153"/>
        <v>0</v>
      </c>
      <c r="AN38" s="290">
        <f t="shared" si="153"/>
        <v>0</v>
      </c>
      <c r="AO38" s="290">
        <f t="shared" si="153"/>
        <v>0</v>
      </c>
      <c r="AP38" s="290">
        <f t="shared" si="153"/>
        <v>0</v>
      </c>
      <c r="AQ38" s="290">
        <f t="shared" si="153"/>
        <v>0</v>
      </c>
      <c r="AR38" s="290">
        <f t="shared" si="153"/>
        <v>0</v>
      </c>
      <c r="AS38" s="290">
        <f t="shared" si="153"/>
        <v>0</v>
      </c>
      <c r="AT38" s="290">
        <f t="shared" si="153"/>
        <v>0</v>
      </c>
      <c r="AU38" s="290">
        <f t="shared" si="153"/>
        <v>0</v>
      </c>
      <c r="AV38" s="290">
        <f t="shared" si="153"/>
        <v>0</v>
      </c>
      <c r="AW38" s="290">
        <f t="shared" si="153"/>
        <v>0</v>
      </c>
      <c r="AX38" s="290">
        <f t="shared" si="153"/>
        <v>0</v>
      </c>
      <c r="AY38" s="290">
        <f t="shared" si="153"/>
        <v>0</v>
      </c>
      <c r="AZ38" s="290">
        <f t="shared" si="153"/>
        <v>0</v>
      </c>
      <c r="BA38" s="290">
        <f t="shared" si="153"/>
        <v>0</v>
      </c>
      <c r="BB38" s="290">
        <f t="shared" si="153"/>
        <v>0</v>
      </c>
      <c r="BC38" s="190"/>
      <c r="BD38" s="186"/>
    </row>
    <row r="39" spans="1:56" ht="14.4" hidden="1" thickTop="1" x14ac:dyDescent="0.3">
      <c r="A39" s="184" t="str">
        <f ca="1">Language!A$618</f>
        <v>коэффициент прироста цен к предыдущему периоду</v>
      </c>
      <c r="B39" s="189"/>
      <c r="C39" s="163" t="str">
        <f ca="1">Language!$A$1477</f>
        <v>раз</v>
      </c>
      <c r="D39" s="174"/>
      <c r="F39" s="170" t="s">
        <v>748</v>
      </c>
      <c r="G39" s="191">
        <f ca="1">IF(G$2=1,1,IF(Prj_Inflation=1,POWER(1+OFFSET(G35,0,-1),Параметры!G$30/360),1))</f>
        <v>1</v>
      </c>
      <c r="H39" s="191">
        <f ca="1">IF(H$2=1,1,IF(Prj_Inflation=1,POWER(1+OFFSET(H35,0,-1),Параметры!H$30/360),1))</f>
        <v>1.004867550565343</v>
      </c>
      <c r="I39" s="191">
        <f ca="1">IF(I$2=1,1,IF(Prj_Inflation=1,POWER(1+OFFSET(I35,0,-1),Параметры!I$30/360),1))</f>
        <v>1.004867550565343</v>
      </c>
      <c r="J39" s="191">
        <f ca="1">IF(J$2=1,1,IF(Prj_Inflation=1,POWER(1+OFFSET(J35,0,-1),Параметры!J$30/360),1))</f>
        <v>1.004867550565343</v>
      </c>
      <c r="K39" s="191">
        <f ca="1">IF(K$2=1,1,IF(Prj_Inflation=1,POWER(1+OFFSET(K35,0,-1),Параметры!K$30/360),1))</f>
        <v>1.004867550565343</v>
      </c>
      <c r="L39" s="191">
        <f ca="1">IF(L$2=1,1,IF(Prj_Inflation=1,POWER(1+OFFSET(L35,0,-1),Параметры!L$30/360),1))</f>
        <v>1.004867550565343</v>
      </c>
      <c r="M39" s="191">
        <f ca="1">IF(M$2=1,1,IF(Prj_Inflation=1,POWER(1+OFFSET(M35,0,-1),Параметры!M$30/360),1))</f>
        <v>1.004867550565343</v>
      </c>
      <c r="N39" s="191">
        <f ca="1">IF(N$2=1,1,IF(Prj_Inflation=1,POWER(1+OFFSET(N35,0,-1),Параметры!N$30/360),1))</f>
        <v>1.004867550565343</v>
      </c>
      <c r="O39" s="191">
        <f ca="1">IF(O$2=1,1,IF(Prj_Inflation=1,POWER(1+OFFSET(O35,0,-1),Параметры!O$30/360),1))</f>
        <v>1.004867550565343</v>
      </c>
      <c r="P39" s="191">
        <f ca="1">IF(P$2=1,1,IF(Prj_Inflation=1,POWER(1+OFFSET(P35,0,-1),Параметры!P$30/360),1))</f>
        <v>1.004867550565343</v>
      </c>
      <c r="Q39" s="191">
        <f ca="1">IF(Q$2=1,1,IF(Prj_Inflation=1,POWER(1+OFFSET(Q35,0,-1),Параметры!Q$30/360),1))</f>
        <v>1.004867550565343</v>
      </c>
      <c r="R39" s="191">
        <f ca="1">IF(R$2=1,1,IF(Prj_Inflation=1,POWER(1+OFFSET(R35,0,-1),Параметры!R$30/360),1))</f>
        <v>1.004867550565343</v>
      </c>
      <c r="S39" s="191">
        <f ca="1">IF(S$2=1,1,IF(Prj_Inflation=1,POWER(1+OFFSET(S35,0,-1),Параметры!S$30/360),1))</f>
        <v>1.004867550565343</v>
      </c>
      <c r="T39" s="191">
        <f ca="1">IF(T$2=1,1,IF(Prj_Inflation=1,POWER(1+OFFSET(T35,0,-1),Параметры!T$30/360),1))</f>
        <v>1.004867550565343</v>
      </c>
      <c r="U39" s="191">
        <f ca="1">IF(U$2=1,1,IF(Prj_Inflation=1,POWER(1+OFFSET(U35,0,-1),Параметры!U$30/360),1))</f>
        <v>1.004867550565343</v>
      </c>
      <c r="V39" s="191">
        <f ca="1">IF(V$2=1,1,IF(Prj_Inflation=1,POWER(1+OFFSET(V35,0,-1),Параметры!V$30/360),1))</f>
        <v>1.004867550565343</v>
      </c>
      <c r="W39" s="191">
        <f ca="1">IF(W$2=1,1,IF(Prj_Inflation=1,POWER(1+OFFSET(W35,0,-1),Параметры!W$30/360),1))</f>
        <v>1.004867550565343</v>
      </c>
      <c r="X39" s="191">
        <f ca="1">IF(X$2=1,1,IF(Prj_Inflation=1,POWER(1+OFFSET(X35,0,-1),Параметры!X$30/360),1))</f>
        <v>1.004867550565343</v>
      </c>
      <c r="Y39" s="191">
        <f ca="1">IF(Y$2=1,1,IF(Prj_Inflation=1,POWER(1+OFFSET(Y35,0,-1),Параметры!Y$30/360),1))</f>
        <v>1.004867550565343</v>
      </c>
      <c r="Z39" s="191">
        <f ca="1">IF(Z$2=1,1,IF(Prj_Inflation=1,POWER(1+OFFSET(Z35,0,-1),Параметры!Z$30/360),1))</f>
        <v>1.004867550565343</v>
      </c>
      <c r="AA39" s="191">
        <f ca="1">IF(AA$2=1,1,IF(Prj_Inflation=1,POWER(1+OFFSET(AA35,0,-1),Параметры!AA$30/360),1))</f>
        <v>1.004867550565343</v>
      </c>
      <c r="AB39" s="191">
        <f ca="1">IF(AB$2=1,1,IF(Prj_Inflation=1,POWER(1+OFFSET(AB35,0,-1),Параметры!AB$30/360),1))</f>
        <v>1.004867550565343</v>
      </c>
      <c r="AC39" s="191">
        <f ca="1">IF(AC$2=1,1,IF(Prj_Inflation=1,POWER(1+OFFSET(AC35,0,-1),Параметры!AC$30/360),1))</f>
        <v>1.004867550565343</v>
      </c>
      <c r="AD39" s="191">
        <f ca="1">IF(AD$2=1,1,IF(Prj_Inflation=1,POWER(1+OFFSET(AD35,0,-1),Параметры!AD$30/360),1))</f>
        <v>1.004867550565343</v>
      </c>
      <c r="AE39" s="191">
        <f ca="1">IF(AE$2=1,1,IF(Prj_Inflation=1,POWER(1+OFFSET(AE35,0,-1),Параметры!AE$30/360),1))</f>
        <v>1.004867550565343</v>
      </c>
      <c r="AF39" s="191">
        <f ca="1">IF(AF$2=1,1,IF(Prj_Inflation=1,POWER(1+OFFSET(AF35,0,-1),Параметры!AF$30/360),1))</f>
        <v>1.004867550565343</v>
      </c>
      <c r="AG39" s="191">
        <f ca="1">IF(AG$2=1,1,IF(Prj_Inflation=1,POWER(1+OFFSET(AG35,0,-1),Параметры!AG$30/360),1))</f>
        <v>1.004867550565343</v>
      </c>
      <c r="AH39" s="191">
        <f ca="1">IF(AH$2=1,1,IF(Prj_Inflation=1,POWER(1+OFFSET(AH35,0,-1),Параметры!AH$30/360),1))</f>
        <v>1.004867550565343</v>
      </c>
      <c r="AI39" s="191">
        <f ca="1">IF(AI$2=1,1,IF(Prj_Inflation=1,POWER(1+OFFSET(AI35,0,-1),Параметры!AI$30/360),1))</f>
        <v>1.004867550565343</v>
      </c>
      <c r="AJ39" s="191">
        <f ca="1">IF(AJ$2=1,1,IF(Prj_Inflation=1,POWER(1+OFFSET(AJ35,0,-1),Параметры!AJ$30/360),1))</f>
        <v>1.004867550565343</v>
      </c>
      <c r="AK39" s="191">
        <f ca="1">IF(AK$2=1,1,IF(Prj_Inflation=1,POWER(1+OFFSET(AK35,0,-1),Параметры!AK$30/360),1))</f>
        <v>1.004867550565343</v>
      </c>
      <c r="AL39" s="191">
        <f ca="1">IF(AL$2=1,1,IF(Prj_Inflation=1,POWER(1+OFFSET(AL35,0,-1),Параметры!AL$30/360),1))</f>
        <v>1.004867550565343</v>
      </c>
      <c r="AM39" s="191">
        <f ca="1">IF(AM$2=1,1,IF(Prj_Inflation=1,POWER(1+OFFSET(AM35,0,-1),Параметры!AM$30/360),1))</f>
        <v>1.004867550565343</v>
      </c>
      <c r="AN39" s="191">
        <f ca="1">IF(AN$2=1,1,IF(Prj_Inflation=1,POWER(1+OFFSET(AN35,0,-1),Параметры!AN$30/360),1))</f>
        <v>1.004867550565343</v>
      </c>
      <c r="AO39" s="191">
        <f ca="1">IF(AO$2=1,1,IF(Prj_Inflation=1,POWER(1+OFFSET(AO35,0,-1),Параметры!AO$30/360),1))</f>
        <v>1.004867550565343</v>
      </c>
      <c r="AP39" s="191">
        <f ca="1">IF(AP$2=1,1,IF(Prj_Inflation=1,POWER(1+OFFSET(AP35,0,-1),Параметры!AP$30/360),1))</f>
        <v>1.004867550565343</v>
      </c>
      <c r="AQ39" s="191">
        <f ca="1">IF(AQ$2=1,1,IF(Prj_Inflation=1,POWER(1+OFFSET(AQ35,0,-1),Параметры!AQ$30/360),1))</f>
        <v>1.004867550565343</v>
      </c>
      <c r="AR39" s="191">
        <f ca="1">IF(AR$2=1,1,IF(Prj_Inflation=1,POWER(1+OFFSET(AR35,0,-1),Параметры!AR$30/360),1))</f>
        <v>1.004867550565343</v>
      </c>
      <c r="AS39" s="191">
        <f ca="1">IF(AS$2=1,1,IF(Prj_Inflation=1,POWER(1+OFFSET(AS35,0,-1),Параметры!AS$30/360),1))</f>
        <v>1.004867550565343</v>
      </c>
      <c r="AT39" s="191">
        <f ca="1">IF(AT$2=1,1,IF(Prj_Inflation=1,POWER(1+OFFSET(AT35,0,-1),Параметры!AT$30/360),1))</f>
        <v>1.004867550565343</v>
      </c>
      <c r="AU39" s="191">
        <f ca="1">IF(AU$2=1,1,IF(Prj_Inflation=1,POWER(1+OFFSET(AU35,0,-1),Параметры!AU$30/360),1))</f>
        <v>1.004867550565343</v>
      </c>
      <c r="AV39" s="191">
        <f ca="1">IF(AV$2=1,1,IF(Prj_Inflation=1,POWER(1+OFFSET(AV35,0,-1),Параметры!AV$30/360),1))</f>
        <v>1.004867550565343</v>
      </c>
      <c r="AW39" s="191">
        <f ca="1">IF(AW$2=1,1,IF(Prj_Inflation=1,POWER(1+OFFSET(AW35,0,-1),Параметры!AW$30/360),1))</f>
        <v>1.004867550565343</v>
      </c>
      <c r="AX39" s="191">
        <f ca="1">IF(AX$2=1,1,IF(Prj_Inflation=1,POWER(1+OFFSET(AX35,0,-1),Параметры!AX$30/360),1))</f>
        <v>1.004867550565343</v>
      </c>
      <c r="AY39" s="191">
        <f ca="1">IF(AY$2=1,1,IF(Prj_Inflation=1,POWER(1+OFFSET(AY35,0,-1),Параметры!AY$30/360),1))</f>
        <v>1.004867550565343</v>
      </c>
      <c r="AZ39" s="191">
        <f ca="1">IF(AZ$2=1,1,IF(Prj_Inflation=1,POWER(1+OFFSET(AZ35,0,-1),Параметры!AZ$30/360),1))</f>
        <v>1.004867550565343</v>
      </c>
      <c r="BA39" s="191">
        <f ca="1">IF(BA$2=1,1,IF(Prj_Inflation=1,POWER(1+OFFSET(BA35,0,-1),Параметры!BA$30/360),1))</f>
        <v>1.004867550565343</v>
      </c>
      <c r="BB39" s="191">
        <f ca="1">IF(BB$2=1,1,IF(Prj_Inflation=1,POWER(1+OFFSET(BB35,0,-1),Параметры!BB$30/360),1))</f>
        <v>1.004867550565343</v>
      </c>
      <c r="BC39" s="191"/>
      <c r="BD39" s="186"/>
    </row>
    <row r="40" spans="1:56" ht="14.4" hidden="1" thickTop="1" x14ac:dyDescent="0.3">
      <c r="A40" s="184" t="str">
        <f ca="1">Language!A$1486</f>
        <v>индексировать в начале года</v>
      </c>
      <c r="B40" s="291">
        <v>0</v>
      </c>
      <c r="C40" s="163" t="str">
        <f ca="1">IF(B40=1,Language!$A$1475,Language!$A$1476)</f>
        <v>Нет</v>
      </c>
      <c r="D40" s="174"/>
      <c r="F40" s="170" t="s">
        <v>2345</v>
      </c>
      <c r="G40" s="192" t="str">
        <f ca="1">IF(Prj_Inflation=1,IF($B40=1,IF(G$2=1,1,IF(Параметры!G$29=1,1+OFFSET(G35,0,-1),1)),"-"),1)</f>
        <v>-</v>
      </c>
      <c r="H40" s="192" t="str">
        <f ca="1">IF(Prj_Inflation=1,IF($B40=1,IF(H$2=1,1,IF(Параметры!H$29=1,1+OFFSET(H35,0,-1),1)),"-"),1)</f>
        <v>-</v>
      </c>
      <c r="I40" s="192" t="str">
        <f ca="1">IF(Prj_Inflation=1,IF($B40=1,IF(I$2=1,1,IF(Параметры!I$29=1,1+OFFSET(I35,0,-1),1)),"-"),1)</f>
        <v>-</v>
      </c>
      <c r="J40" s="192" t="str">
        <f ca="1">IF(Prj_Inflation=1,IF($B40=1,IF(J$2=1,1,IF(Параметры!J$29=1,1+OFFSET(J35,0,-1),1)),"-"),1)</f>
        <v>-</v>
      </c>
      <c r="K40" s="192" t="str">
        <f ca="1">IF(Prj_Inflation=1,IF($B40=1,IF(K$2=1,1,IF(Параметры!K$29=1,1+OFFSET(K35,0,-1),1)),"-"),1)</f>
        <v>-</v>
      </c>
      <c r="L40" s="192" t="str">
        <f ca="1">IF(Prj_Inflation=1,IF($B40=1,IF(L$2=1,1,IF(Параметры!L$29=1,1+OFFSET(L35,0,-1),1)),"-"),1)</f>
        <v>-</v>
      </c>
      <c r="M40" s="192" t="str">
        <f ca="1">IF(Prj_Inflation=1,IF($B40=1,IF(M$2=1,1,IF(Параметры!M$29=1,1+OFFSET(M35,0,-1),1)),"-"),1)</f>
        <v>-</v>
      </c>
      <c r="N40" s="192" t="str">
        <f ca="1">IF(Prj_Inflation=1,IF($B40=1,IF(N$2=1,1,IF(Параметры!N$29=1,1+OFFSET(N35,0,-1),1)),"-"),1)</f>
        <v>-</v>
      </c>
      <c r="O40" s="192" t="str">
        <f ca="1">IF(Prj_Inflation=1,IF($B40=1,IF(O$2=1,1,IF(Параметры!O$29=1,1+OFFSET(O35,0,-1),1)),"-"),1)</f>
        <v>-</v>
      </c>
      <c r="P40" s="192" t="str">
        <f ca="1">IF(Prj_Inflation=1,IF($B40=1,IF(P$2=1,1,IF(Параметры!P$29=1,1+OFFSET(P35,0,-1),1)),"-"),1)</f>
        <v>-</v>
      </c>
      <c r="Q40" s="192" t="str">
        <f ca="1">IF(Prj_Inflation=1,IF($B40=1,IF(Q$2=1,1,IF(Параметры!Q$29=1,1+OFFSET(Q35,0,-1),1)),"-"),1)</f>
        <v>-</v>
      </c>
      <c r="R40" s="192" t="str">
        <f ca="1">IF(Prj_Inflation=1,IF($B40=1,IF(R$2=1,1,IF(Параметры!R$29=1,1+OFFSET(R35,0,-1),1)),"-"),1)</f>
        <v>-</v>
      </c>
      <c r="S40" s="192" t="str">
        <f ca="1">IF(Prj_Inflation=1,IF($B40=1,IF(S$2=1,1,IF(Параметры!S$29=1,1+OFFSET(S35,0,-1),1)),"-"),1)</f>
        <v>-</v>
      </c>
      <c r="T40" s="192" t="str">
        <f ca="1">IF(Prj_Inflation=1,IF($B40=1,IF(T$2=1,1,IF(Параметры!T$29=1,1+OFFSET(T35,0,-1),1)),"-"),1)</f>
        <v>-</v>
      </c>
      <c r="U40" s="192" t="str">
        <f ca="1">IF(Prj_Inflation=1,IF($B40=1,IF(U$2=1,1,IF(Параметры!U$29=1,1+OFFSET(U35,0,-1),1)),"-"),1)</f>
        <v>-</v>
      </c>
      <c r="V40" s="192" t="str">
        <f ca="1">IF(Prj_Inflation=1,IF($B40=1,IF(V$2=1,1,IF(Параметры!V$29=1,1+OFFSET(V35,0,-1),1)),"-"),1)</f>
        <v>-</v>
      </c>
      <c r="W40" s="192" t="str">
        <f ca="1">IF(Prj_Inflation=1,IF($B40=1,IF(W$2=1,1,IF(Параметры!W$29=1,1+OFFSET(W35,0,-1),1)),"-"),1)</f>
        <v>-</v>
      </c>
      <c r="X40" s="192" t="str">
        <f ca="1">IF(Prj_Inflation=1,IF($B40=1,IF(X$2=1,1,IF(Параметры!X$29=1,1+OFFSET(X35,0,-1),1)),"-"),1)</f>
        <v>-</v>
      </c>
      <c r="Y40" s="192" t="str">
        <f ca="1">IF(Prj_Inflation=1,IF($B40=1,IF(Y$2=1,1,IF(Параметры!Y$29=1,1+OFFSET(Y35,0,-1),1)),"-"),1)</f>
        <v>-</v>
      </c>
      <c r="Z40" s="192" t="str">
        <f ca="1">IF(Prj_Inflation=1,IF($B40=1,IF(Z$2=1,1,IF(Параметры!Z$29=1,1+OFFSET(Z35,0,-1),1)),"-"),1)</f>
        <v>-</v>
      </c>
      <c r="AA40" s="192" t="str">
        <f ca="1">IF(Prj_Inflation=1,IF($B40=1,IF(AA$2=1,1,IF(Параметры!AA$29=1,1+OFFSET(AA35,0,-1),1)),"-"),1)</f>
        <v>-</v>
      </c>
      <c r="AB40" s="192" t="str">
        <f ca="1">IF(Prj_Inflation=1,IF($B40=1,IF(AB$2=1,1,IF(Параметры!AB$29=1,1+OFFSET(AB35,0,-1),1)),"-"),1)</f>
        <v>-</v>
      </c>
      <c r="AC40" s="192" t="str">
        <f ca="1">IF(Prj_Inflation=1,IF($B40=1,IF(AC$2=1,1,IF(Параметры!AC$29=1,1+OFFSET(AC35,0,-1),1)),"-"),1)</f>
        <v>-</v>
      </c>
      <c r="AD40" s="192" t="str">
        <f ca="1">IF(Prj_Inflation=1,IF($B40=1,IF(AD$2=1,1,IF(Параметры!AD$29=1,1+OFFSET(AD35,0,-1),1)),"-"),1)</f>
        <v>-</v>
      </c>
      <c r="AE40" s="192" t="str">
        <f ca="1">IF(Prj_Inflation=1,IF($B40=1,IF(AE$2=1,1,IF(Параметры!AE$29=1,1+OFFSET(AE35,0,-1),1)),"-"),1)</f>
        <v>-</v>
      </c>
      <c r="AF40" s="192" t="str">
        <f ca="1">IF(Prj_Inflation=1,IF($B40=1,IF(AF$2=1,1,IF(Параметры!AF$29=1,1+OFFSET(AF35,0,-1),1)),"-"),1)</f>
        <v>-</v>
      </c>
      <c r="AG40" s="192" t="str">
        <f ca="1">IF(Prj_Inflation=1,IF($B40=1,IF(AG$2=1,1,IF(Параметры!AG$29=1,1+OFFSET(AG35,0,-1),1)),"-"),1)</f>
        <v>-</v>
      </c>
      <c r="AH40" s="192" t="str">
        <f ca="1">IF(Prj_Inflation=1,IF($B40=1,IF(AH$2=1,1,IF(Параметры!AH$29=1,1+OFFSET(AH35,0,-1),1)),"-"),1)</f>
        <v>-</v>
      </c>
      <c r="AI40" s="192" t="str">
        <f ca="1">IF(Prj_Inflation=1,IF($B40=1,IF(AI$2=1,1,IF(Параметры!AI$29=1,1+OFFSET(AI35,0,-1),1)),"-"),1)</f>
        <v>-</v>
      </c>
      <c r="AJ40" s="192" t="str">
        <f ca="1">IF(Prj_Inflation=1,IF($B40=1,IF(AJ$2=1,1,IF(Параметры!AJ$29=1,1+OFFSET(AJ35,0,-1),1)),"-"),1)</f>
        <v>-</v>
      </c>
      <c r="AK40" s="192" t="str">
        <f ca="1">IF(Prj_Inflation=1,IF($B40=1,IF(AK$2=1,1,IF(Параметры!AK$29=1,1+OFFSET(AK35,0,-1),1)),"-"),1)</f>
        <v>-</v>
      </c>
      <c r="AL40" s="192" t="str">
        <f ca="1">IF(Prj_Inflation=1,IF($B40=1,IF(AL$2=1,1,IF(Параметры!AL$29=1,1+OFFSET(AL35,0,-1),1)),"-"),1)</f>
        <v>-</v>
      </c>
      <c r="AM40" s="192" t="str">
        <f ca="1">IF(Prj_Inflation=1,IF($B40=1,IF(AM$2=1,1,IF(Параметры!AM$29=1,1+OFFSET(AM35,0,-1),1)),"-"),1)</f>
        <v>-</v>
      </c>
      <c r="AN40" s="192" t="str">
        <f ca="1">IF(Prj_Inflation=1,IF($B40=1,IF(AN$2=1,1,IF(Параметры!AN$29=1,1+OFFSET(AN35,0,-1),1)),"-"),1)</f>
        <v>-</v>
      </c>
      <c r="AO40" s="192" t="str">
        <f ca="1">IF(Prj_Inflation=1,IF($B40=1,IF(AO$2=1,1,IF(Параметры!AO$29=1,1+OFFSET(AO35,0,-1),1)),"-"),1)</f>
        <v>-</v>
      </c>
      <c r="AP40" s="192" t="str">
        <f ca="1">IF(Prj_Inflation=1,IF($B40=1,IF(AP$2=1,1,IF(Параметры!AP$29=1,1+OFFSET(AP35,0,-1),1)),"-"),1)</f>
        <v>-</v>
      </c>
      <c r="AQ40" s="192" t="str">
        <f ca="1">IF(Prj_Inflation=1,IF($B40=1,IF(AQ$2=1,1,IF(Параметры!AQ$29=1,1+OFFSET(AQ35,0,-1),1)),"-"),1)</f>
        <v>-</v>
      </c>
      <c r="AR40" s="192" t="str">
        <f ca="1">IF(Prj_Inflation=1,IF($B40=1,IF(AR$2=1,1,IF(Параметры!AR$29=1,1+OFFSET(AR35,0,-1),1)),"-"),1)</f>
        <v>-</v>
      </c>
      <c r="AS40" s="192" t="str">
        <f ca="1">IF(Prj_Inflation=1,IF($B40=1,IF(AS$2=1,1,IF(Параметры!AS$29=1,1+OFFSET(AS35,0,-1),1)),"-"),1)</f>
        <v>-</v>
      </c>
      <c r="AT40" s="192" t="str">
        <f ca="1">IF(Prj_Inflation=1,IF($B40=1,IF(AT$2=1,1,IF(Параметры!AT$29=1,1+OFFSET(AT35,0,-1),1)),"-"),1)</f>
        <v>-</v>
      </c>
      <c r="AU40" s="192" t="str">
        <f ca="1">IF(Prj_Inflation=1,IF($B40=1,IF(AU$2=1,1,IF(Параметры!AU$29=1,1+OFFSET(AU35,0,-1),1)),"-"),1)</f>
        <v>-</v>
      </c>
      <c r="AV40" s="192" t="str">
        <f ca="1">IF(Prj_Inflation=1,IF($B40=1,IF(AV$2=1,1,IF(Параметры!AV$29=1,1+OFFSET(AV35,0,-1),1)),"-"),1)</f>
        <v>-</v>
      </c>
      <c r="AW40" s="192" t="str">
        <f ca="1">IF(Prj_Inflation=1,IF($B40=1,IF(AW$2=1,1,IF(Параметры!AW$29=1,1+OFFSET(AW35,0,-1),1)),"-"),1)</f>
        <v>-</v>
      </c>
      <c r="AX40" s="192" t="str">
        <f ca="1">IF(Prj_Inflation=1,IF($B40=1,IF(AX$2=1,1,IF(Параметры!AX$29=1,1+OFFSET(AX35,0,-1),1)),"-"),1)</f>
        <v>-</v>
      </c>
      <c r="AY40" s="192" t="str">
        <f ca="1">IF(Prj_Inflation=1,IF($B40=1,IF(AY$2=1,1,IF(Параметры!AY$29=1,1+OFFSET(AY35,0,-1),1)),"-"),1)</f>
        <v>-</v>
      </c>
      <c r="AZ40" s="192" t="str">
        <f ca="1">IF(Prj_Inflation=1,IF($B40=1,IF(AZ$2=1,1,IF(Параметры!AZ$29=1,1+OFFSET(AZ35,0,-1),1)),"-"),1)</f>
        <v>-</v>
      </c>
      <c r="BA40" s="192" t="str">
        <f ca="1">IF(Prj_Inflation=1,IF($B40=1,IF(BA$2=1,1,IF(Параметры!BA$29=1,1+OFFSET(BA35,0,-1),1)),"-"),1)</f>
        <v>-</v>
      </c>
      <c r="BB40" s="192" t="str">
        <f ca="1">IF(Prj_Inflation=1,IF($B40=1,IF(BB$2=1,1,IF(Параметры!BB$29=1,1+OFFSET(BB35,0,-1),1)),"-"),1)</f>
        <v>-</v>
      </c>
      <c r="BC40" s="191"/>
      <c r="BD40" s="186"/>
    </row>
    <row r="41" spans="1:56" ht="14.4" hidden="1" thickTop="1" x14ac:dyDescent="0.3">
      <c r="A41" s="184" t="str">
        <f ca="1">Language!A$619</f>
        <v>акцизы начисленные</v>
      </c>
      <c r="B41" s="174"/>
      <c r="C41" s="163" t="str">
        <f ca="1">CHOOSE(D41,CurName1,CurName2,CurName3)</f>
        <v>руб.</v>
      </c>
      <c r="D41" s="174">
        <f>D24</f>
        <v>1</v>
      </c>
      <c r="E41" s="170" t="s">
        <v>996</v>
      </c>
      <c r="F41" s="170" t="s">
        <v>743</v>
      </c>
      <c r="G41" s="185">
        <f t="shared" ref="G41:M41" ca="1" si="154">G28*G38+G25*G37</f>
        <v>0</v>
      </c>
      <c r="H41" s="185">
        <f t="shared" ca="1" si="154"/>
        <v>0</v>
      </c>
      <c r="I41" s="185">
        <f t="shared" ca="1" si="154"/>
        <v>0</v>
      </c>
      <c r="J41" s="185">
        <f t="shared" ca="1" si="154"/>
        <v>0</v>
      </c>
      <c r="K41" s="185">
        <f t="shared" ca="1" si="154"/>
        <v>0</v>
      </c>
      <c r="L41" s="185">
        <f t="shared" ca="1" si="154"/>
        <v>0</v>
      </c>
      <c r="M41" s="185">
        <f t="shared" ca="1" si="154"/>
        <v>0</v>
      </c>
      <c r="N41" s="185">
        <f t="shared" ref="N41:O41" ca="1" si="155">N28*N38+N25*N37</f>
        <v>0</v>
      </c>
      <c r="O41" s="185">
        <f t="shared" ca="1" si="155"/>
        <v>0</v>
      </c>
      <c r="P41" s="185">
        <f t="shared" ref="P41:Q41" ca="1" si="156">P28*P38+P25*P37</f>
        <v>0</v>
      </c>
      <c r="Q41" s="185">
        <f t="shared" ca="1" si="156"/>
        <v>0</v>
      </c>
      <c r="R41" s="185">
        <f t="shared" ref="R41:S41" ca="1" si="157">R28*R38+R25*R37</f>
        <v>0</v>
      </c>
      <c r="S41" s="185">
        <f t="shared" ca="1" si="157"/>
        <v>0</v>
      </c>
      <c r="T41" s="185">
        <f t="shared" ref="T41:U41" ca="1" si="158">T28*T38+T25*T37</f>
        <v>0</v>
      </c>
      <c r="U41" s="185">
        <f t="shared" ca="1" si="158"/>
        <v>0</v>
      </c>
      <c r="V41" s="185">
        <f t="shared" ref="V41:W41" ca="1" si="159">V28*V38+V25*V37</f>
        <v>0</v>
      </c>
      <c r="W41" s="185">
        <f t="shared" ca="1" si="159"/>
        <v>0</v>
      </c>
      <c r="X41" s="185">
        <f t="shared" ref="X41:Y41" ca="1" si="160">X28*X38+X25*X37</f>
        <v>0</v>
      </c>
      <c r="Y41" s="185">
        <f t="shared" ca="1" si="160"/>
        <v>0</v>
      </c>
      <c r="Z41" s="185">
        <f t="shared" ref="Z41:AA41" ca="1" si="161">Z28*Z38+Z25*Z37</f>
        <v>0</v>
      </c>
      <c r="AA41" s="185">
        <f t="shared" ca="1" si="161"/>
        <v>0</v>
      </c>
      <c r="AB41" s="185">
        <f t="shared" ref="AB41:AC41" ca="1" si="162">AB28*AB38+AB25*AB37</f>
        <v>0</v>
      </c>
      <c r="AC41" s="185">
        <f t="shared" ca="1" si="162"/>
        <v>0</v>
      </c>
      <c r="AD41" s="185">
        <f t="shared" ref="AD41:AE41" ca="1" si="163">AD28*AD38+AD25*AD37</f>
        <v>0</v>
      </c>
      <c r="AE41" s="185">
        <f t="shared" ca="1" si="163"/>
        <v>0</v>
      </c>
      <c r="AF41" s="185">
        <f t="shared" ref="AF41:AG41" ca="1" si="164">AF28*AF38+AF25*AF37</f>
        <v>0</v>
      </c>
      <c r="AG41" s="185">
        <f t="shared" ca="1" si="164"/>
        <v>0</v>
      </c>
      <c r="AH41" s="185">
        <f t="shared" ref="AH41:AI41" ca="1" si="165">AH28*AH38+AH25*AH37</f>
        <v>0</v>
      </c>
      <c r="AI41" s="185">
        <f t="shared" ca="1" si="165"/>
        <v>0</v>
      </c>
      <c r="AJ41" s="185">
        <f t="shared" ref="AJ41:AK41" ca="1" si="166">AJ28*AJ38+AJ25*AJ37</f>
        <v>0</v>
      </c>
      <c r="AK41" s="185">
        <f t="shared" ca="1" si="166"/>
        <v>0</v>
      </c>
      <c r="AL41" s="185">
        <f t="shared" ref="AL41:AM41" ca="1" si="167">AL28*AL38+AL25*AL37</f>
        <v>0</v>
      </c>
      <c r="AM41" s="185">
        <f t="shared" ca="1" si="167"/>
        <v>0</v>
      </c>
      <c r="AN41" s="185">
        <f t="shared" ref="AN41:AO41" ca="1" si="168">AN28*AN38+AN25*AN37</f>
        <v>0</v>
      </c>
      <c r="AO41" s="185">
        <f t="shared" ca="1" si="168"/>
        <v>0</v>
      </c>
      <c r="AP41" s="185">
        <f t="shared" ref="AP41:AQ41" ca="1" si="169">AP28*AP38+AP25*AP37</f>
        <v>0</v>
      </c>
      <c r="AQ41" s="185">
        <f t="shared" ca="1" si="169"/>
        <v>0</v>
      </c>
      <c r="AR41" s="185">
        <f t="shared" ref="AR41:AS41" ca="1" si="170">AR28*AR38+AR25*AR37</f>
        <v>0</v>
      </c>
      <c r="AS41" s="185">
        <f t="shared" ca="1" si="170"/>
        <v>0</v>
      </c>
      <c r="AT41" s="185">
        <f t="shared" ref="AT41:AU41" ca="1" si="171">AT28*AT38+AT25*AT37</f>
        <v>0</v>
      </c>
      <c r="AU41" s="185">
        <f t="shared" ca="1" si="171"/>
        <v>0</v>
      </c>
      <c r="AV41" s="185">
        <f t="shared" ref="AV41:AW41" ca="1" si="172">AV28*AV38+AV25*AV37</f>
        <v>0</v>
      </c>
      <c r="AW41" s="185">
        <f t="shared" ca="1" si="172"/>
        <v>0</v>
      </c>
      <c r="AX41" s="185">
        <f t="shared" ref="AX41:AY41" ca="1" si="173">AX28*AX38+AX25*AX37</f>
        <v>0</v>
      </c>
      <c r="AY41" s="185">
        <f t="shared" ca="1" si="173"/>
        <v>0</v>
      </c>
      <c r="AZ41" s="185">
        <f t="shared" ref="AZ41:BA41" ca="1" si="174">AZ28*AZ38+AZ25*AZ37</f>
        <v>0</v>
      </c>
      <c r="BA41" s="185">
        <f t="shared" ca="1" si="174"/>
        <v>0</v>
      </c>
      <c r="BB41" s="185">
        <f t="shared" ref="BB41" ca="1" si="175">BB28*BB38+BB25*BB37</f>
        <v>0</v>
      </c>
      <c r="BC41" s="185"/>
      <c r="BD41" s="193">
        <f ca="1">SUM(G41:BC41)</f>
        <v>0</v>
      </c>
    </row>
    <row r="42" spans="1:56" ht="14.4" hidden="1" thickTop="1" x14ac:dyDescent="0.3">
      <c r="A42" s="184" t="str">
        <f ca="1">Language!A$620</f>
        <v>НДС начисленный</v>
      </c>
      <c r="B42" s="174"/>
      <c r="C42" s="163" t="str">
        <f ca="1">CHOOSE(D42,CurName1,CurName2,CurName3)</f>
        <v>руб.</v>
      </c>
      <c r="D42" s="174">
        <f>D24</f>
        <v>1</v>
      </c>
      <c r="E42" s="170" t="s">
        <v>785</v>
      </c>
      <c r="F42" s="170" t="s">
        <v>743</v>
      </c>
      <c r="G42" s="185">
        <f t="shared" ref="G42:K42" ca="1" si="176">(G28+G41)*G36</f>
        <v>0</v>
      </c>
      <c r="H42" s="185">
        <f t="shared" ca="1" si="176"/>
        <v>0</v>
      </c>
      <c r="I42" s="185">
        <f t="shared" ca="1" si="176"/>
        <v>0</v>
      </c>
      <c r="J42" s="185">
        <f t="shared" ca="1" si="176"/>
        <v>0</v>
      </c>
      <c r="K42" s="185">
        <f t="shared" ca="1" si="176"/>
        <v>0</v>
      </c>
      <c r="L42" s="185">
        <f t="shared" ref="L42:M42" ca="1" si="177">(L28+L41)*L36</f>
        <v>0</v>
      </c>
      <c r="M42" s="185">
        <f t="shared" ca="1" si="177"/>
        <v>0</v>
      </c>
      <c r="N42" s="185">
        <f t="shared" ref="N42:O42" ca="1" si="178">(N28+N41)*N36</f>
        <v>0</v>
      </c>
      <c r="O42" s="185">
        <f t="shared" ca="1" si="178"/>
        <v>0</v>
      </c>
      <c r="P42" s="185">
        <f t="shared" ref="P42:Q42" ca="1" si="179">(P28+P41)*P36</f>
        <v>0</v>
      </c>
      <c r="Q42" s="185">
        <f t="shared" ca="1" si="179"/>
        <v>0</v>
      </c>
      <c r="R42" s="185">
        <f t="shared" ref="R42:S42" ca="1" si="180">(R28+R41)*R36</f>
        <v>0</v>
      </c>
      <c r="S42" s="185">
        <f t="shared" ca="1" si="180"/>
        <v>0</v>
      </c>
      <c r="T42" s="185">
        <f t="shared" ref="T42:U42" ca="1" si="181">(T28+T41)*T36</f>
        <v>0</v>
      </c>
      <c r="U42" s="185">
        <f t="shared" ca="1" si="181"/>
        <v>0</v>
      </c>
      <c r="V42" s="185">
        <f t="shared" ref="V42:W42" ca="1" si="182">(V28+V41)*V36</f>
        <v>0</v>
      </c>
      <c r="W42" s="185">
        <f t="shared" ca="1" si="182"/>
        <v>0</v>
      </c>
      <c r="X42" s="185">
        <f t="shared" ref="X42:Y42" ca="1" si="183">(X28+X41)*X36</f>
        <v>0</v>
      </c>
      <c r="Y42" s="185">
        <f t="shared" ca="1" si="183"/>
        <v>0</v>
      </c>
      <c r="Z42" s="185">
        <f t="shared" ref="Z42:AA42" ca="1" si="184">(Z28+Z41)*Z36</f>
        <v>0</v>
      </c>
      <c r="AA42" s="185">
        <f t="shared" ca="1" si="184"/>
        <v>0</v>
      </c>
      <c r="AB42" s="185">
        <f t="shared" ref="AB42:AC42" ca="1" si="185">(AB28+AB41)*AB36</f>
        <v>0</v>
      </c>
      <c r="AC42" s="185">
        <f t="shared" ca="1" si="185"/>
        <v>0</v>
      </c>
      <c r="AD42" s="185">
        <f t="shared" ref="AD42:AE42" ca="1" si="186">(AD28+AD41)*AD36</f>
        <v>0</v>
      </c>
      <c r="AE42" s="185">
        <f t="shared" ca="1" si="186"/>
        <v>0</v>
      </c>
      <c r="AF42" s="185">
        <f t="shared" ref="AF42:AG42" ca="1" si="187">(AF28+AF41)*AF36</f>
        <v>0</v>
      </c>
      <c r="AG42" s="185">
        <f t="shared" ca="1" si="187"/>
        <v>0</v>
      </c>
      <c r="AH42" s="185">
        <f t="shared" ref="AH42:AI42" ca="1" si="188">(AH28+AH41)*AH36</f>
        <v>0</v>
      </c>
      <c r="AI42" s="185">
        <f t="shared" ca="1" si="188"/>
        <v>0</v>
      </c>
      <c r="AJ42" s="185">
        <f t="shared" ref="AJ42:AK42" ca="1" si="189">(AJ28+AJ41)*AJ36</f>
        <v>0</v>
      </c>
      <c r="AK42" s="185">
        <f t="shared" ca="1" si="189"/>
        <v>0</v>
      </c>
      <c r="AL42" s="185">
        <f t="shared" ref="AL42:AM42" ca="1" si="190">(AL28+AL41)*AL36</f>
        <v>0</v>
      </c>
      <c r="AM42" s="185">
        <f t="shared" ca="1" si="190"/>
        <v>0</v>
      </c>
      <c r="AN42" s="185">
        <f t="shared" ref="AN42:AO42" ca="1" si="191">(AN28+AN41)*AN36</f>
        <v>0</v>
      </c>
      <c r="AO42" s="185">
        <f t="shared" ca="1" si="191"/>
        <v>0</v>
      </c>
      <c r="AP42" s="185">
        <f t="shared" ref="AP42:AQ42" ca="1" si="192">(AP28+AP41)*AP36</f>
        <v>0</v>
      </c>
      <c r="AQ42" s="185">
        <f t="shared" ca="1" si="192"/>
        <v>0</v>
      </c>
      <c r="AR42" s="185">
        <f t="shared" ref="AR42:AS42" ca="1" si="193">(AR28+AR41)*AR36</f>
        <v>0</v>
      </c>
      <c r="AS42" s="185">
        <f t="shared" ca="1" si="193"/>
        <v>0</v>
      </c>
      <c r="AT42" s="185">
        <f t="shared" ref="AT42:AU42" ca="1" si="194">(AT28+AT41)*AT36</f>
        <v>0</v>
      </c>
      <c r="AU42" s="185">
        <f t="shared" ca="1" si="194"/>
        <v>0</v>
      </c>
      <c r="AV42" s="185">
        <f t="shared" ref="AV42:AW42" ca="1" si="195">(AV28+AV41)*AV36</f>
        <v>0</v>
      </c>
      <c r="AW42" s="185">
        <f t="shared" ca="1" si="195"/>
        <v>0</v>
      </c>
      <c r="AX42" s="185">
        <f t="shared" ref="AX42:AY42" ca="1" si="196">(AX28+AX41)*AX36</f>
        <v>0</v>
      </c>
      <c r="AY42" s="185">
        <f t="shared" ca="1" si="196"/>
        <v>0</v>
      </c>
      <c r="AZ42" s="185">
        <f t="shared" ref="AZ42:BA42" ca="1" si="197">(AZ28+AZ41)*AZ36</f>
        <v>0</v>
      </c>
      <c r="BA42" s="185">
        <f t="shared" ca="1" si="197"/>
        <v>0</v>
      </c>
      <c r="BB42" s="185">
        <f t="shared" ref="BB42" ca="1" si="198">(BB28+BB41)*BB36</f>
        <v>0</v>
      </c>
      <c r="BC42" s="185"/>
      <c r="BD42" s="193">
        <f ca="1">SUM(G42:BC42)</f>
        <v>0</v>
      </c>
    </row>
    <row r="43" spans="1:56" ht="14.4" hidden="1" thickTop="1" x14ac:dyDescent="0.3">
      <c r="A43" s="184" t="str">
        <f ca="1">Language!A$621</f>
        <v>НДС полученный с авансов</v>
      </c>
      <c r="B43" s="174"/>
      <c r="C43" s="163" t="str">
        <f ca="1">CHOOSE(D43,CurName1,CurName2,CurName3)</f>
        <v>руб.</v>
      </c>
      <c r="D43" s="174">
        <f>D24</f>
        <v>1</v>
      </c>
      <c r="E43" s="170" t="s">
        <v>1457</v>
      </c>
      <c r="F43" s="170" t="s">
        <v>743</v>
      </c>
      <c r="G43" s="185">
        <f ca="1">G32*G36/(1+G36)</f>
        <v>0</v>
      </c>
      <c r="H43" s="185">
        <f t="shared" ref="H43:K43" ca="1" si="199">H32*H36/(1+H36)</f>
        <v>0</v>
      </c>
      <c r="I43" s="185">
        <f t="shared" ca="1" si="199"/>
        <v>0</v>
      </c>
      <c r="J43" s="185">
        <f t="shared" ca="1" si="199"/>
        <v>0</v>
      </c>
      <c r="K43" s="185">
        <f t="shared" ca="1" si="199"/>
        <v>0</v>
      </c>
      <c r="L43" s="185">
        <f t="shared" ref="L43:M43" ca="1" si="200">L32*L36/(1+L36)</f>
        <v>0</v>
      </c>
      <c r="M43" s="185">
        <f t="shared" ca="1" si="200"/>
        <v>0</v>
      </c>
      <c r="N43" s="185">
        <f t="shared" ref="N43:O43" ca="1" si="201">N32*N36/(1+N36)</f>
        <v>0</v>
      </c>
      <c r="O43" s="185">
        <f t="shared" ca="1" si="201"/>
        <v>0</v>
      </c>
      <c r="P43" s="185">
        <f t="shared" ref="P43:Q43" ca="1" si="202">P32*P36/(1+P36)</f>
        <v>0</v>
      </c>
      <c r="Q43" s="185">
        <f t="shared" ca="1" si="202"/>
        <v>0</v>
      </c>
      <c r="R43" s="185">
        <f t="shared" ref="R43:S43" ca="1" si="203">R32*R36/(1+R36)</f>
        <v>0</v>
      </c>
      <c r="S43" s="185">
        <f t="shared" ca="1" si="203"/>
        <v>0</v>
      </c>
      <c r="T43" s="185">
        <f t="shared" ref="T43:U43" ca="1" si="204">T32*T36/(1+T36)</f>
        <v>0</v>
      </c>
      <c r="U43" s="185">
        <f t="shared" ca="1" si="204"/>
        <v>0</v>
      </c>
      <c r="V43" s="185">
        <f t="shared" ref="V43:W43" ca="1" si="205">V32*V36/(1+V36)</f>
        <v>0</v>
      </c>
      <c r="W43" s="185">
        <f t="shared" ca="1" si="205"/>
        <v>0</v>
      </c>
      <c r="X43" s="185">
        <f t="shared" ref="X43:Y43" ca="1" si="206">X32*X36/(1+X36)</f>
        <v>0</v>
      </c>
      <c r="Y43" s="185">
        <f t="shared" ca="1" si="206"/>
        <v>0</v>
      </c>
      <c r="Z43" s="185">
        <f t="shared" ref="Z43:AA43" ca="1" si="207">Z32*Z36/(1+Z36)</f>
        <v>0</v>
      </c>
      <c r="AA43" s="185">
        <f t="shared" ca="1" si="207"/>
        <v>0</v>
      </c>
      <c r="AB43" s="185">
        <f t="shared" ref="AB43:AC43" ca="1" si="208">AB32*AB36/(1+AB36)</f>
        <v>0</v>
      </c>
      <c r="AC43" s="185">
        <f t="shared" ca="1" si="208"/>
        <v>0</v>
      </c>
      <c r="AD43" s="185">
        <f t="shared" ref="AD43:AE43" ca="1" si="209">AD32*AD36/(1+AD36)</f>
        <v>0</v>
      </c>
      <c r="AE43" s="185">
        <f t="shared" ca="1" si="209"/>
        <v>0</v>
      </c>
      <c r="AF43" s="185">
        <f t="shared" ref="AF43:AG43" ca="1" si="210">AF32*AF36/(1+AF36)</f>
        <v>0</v>
      </c>
      <c r="AG43" s="185">
        <f t="shared" ca="1" si="210"/>
        <v>0</v>
      </c>
      <c r="AH43" s="185">
        <f t="shared" ref="AH43:AI43" ca="1" si="211">AH32*AH36/(1+AH36)</f>
        <v>0</v>
      </c>
      <c r="AI43" s="185">
        <f t="shared" ca="1" si="211"/>
        <v>0</v>
      </c>
      <c r="AJ43" s="185">
        <f t="shared" ref="AJ43:AK43" ca="1" si="212">AJ32*AJ36/(1+AJ36)</f>
        <v>0</v>
      </c>
      <c r="AK43" s="185">
        <f t="shared" ca="1" si="212"/>
        <v>0</v>
      </c>
      <c r="AL43" s="185">
        <f t="shared" ref="AL43:AM43" ca="1" si="213">AL32*AL36/(1+AL36)</f>
        <v>0</v>
      </c>
      <c r="AM43" s="185">
        <f t="shared" ca="1" si="213"/>
        <v>0</v>
      </c>
      <c r="AN43" s="185">
        <f t="shared" ref="AN43:AO43" ca="1" si="214">AN32*AN36/(1+AN36)</f>
        <v>0</v>
      </c>
      <c r="AO43" s="185">
        <f t="shared" ca="1" si="214"/>
        <v>0</v>
      </c>
      <c r="AP43" s="185">
        <f t="shared" ref="AP43:AQ43" ca="1" si="215">AP32*AP36/(1+AP36)</f>
        <v>0</v>
      </c>
      <c r="AQ43" s="185">
        <f t="shared" ca="1" si="215"/>
        <v>0</v>
      </c>
      <c r="AR43" s="185">
        <f t="shared" ref="AR43:AS43" ca="1" si="216">AR32*AR36/(1+AR36)</f>
        <v>0</v>
      </c>
      <c r="AS43" s="185">
        <f t="shared" ca="1" si="216"/>
        <v>0</v>
      </c>
      <c r="AT43" s="185">
        <f t="shared" ref="AT43:AU43" ca="1" si="217">AT32*AT36/(1+AT36)</f>
        <v>0</v>
      </c>
      <c r="AU43" s="185">
        <f t="shared" ca="1" si="217"/>
        <v>0</v>
      </c>
      <c r="AV43" s="185">
        <f t="shared" ref="AV43:AW43" ca="1" si="218">AV32*AV36/(1+AV36)</f>
        <v>0</v>
      </c>
      <c r="AW43" s="185">
        <f t="shared" ca="1" si="218"/>
        <v>0</v>
      </c>
      <c r="AX43" s="185">
        <f t="shared" ref="AX43:AY43" ca="1" si="219">AX32*AX36/(1+AX36)</f>
        <v>0</v>
      </c>
      <c r="AY43" s="185">
        <f t="shared" ca="1" si="219"/>
        <v>0</v>
      </c>
      <c r="AZ43" s="185">
        <f t="shared" ref="AZ43:BA43" ca="1" si="220">AZ32*AZ36/(1+AZ36)</f>
        <v>0</v>
      </c>
      <c r="BA43" s="185">
        <f t="shared" ca="1" si="220"/>
        <v>0</v>
      </c>
      <c r="BB43" s="185">
        <f t="shared" ref="BB43" ca="1" si="221">BB32*BB36/(1+BB36)</f>
        <v>0</v>
      </c>
      <c r="BC43" s="185"/>
      <c r="BD43" s="193">
        <f ca="1">SUM(G43:BC43)</f>
        <v>0</v>
      </c>
    </row>
    <row r="44" spans="1:56" s="195" customFormat="1" ht="14.4" thickTop="1" x14ac:dyDescent="0.3">
      <c r="A44" s="244"/>
      <c r="B44" s="169"/>
      <c r="C44" s="194"/>
      <c r="D44" s="170"/>
      <c r="E44" s="170"/>
      <c r="F44" s="170"/>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69"/>
      <c r="AI44" s="169"/>
      <c r="AJ44" s="169"/>
      <c r="AK44" s="169"/>
      <c r="AL44" s="169"/>
      <c r="AM44" s="169"/>
      <c r="AN44" s="169"/>
      <c r="AO44" s="169"/>
      <c r="AP44" s="169"/>
      <c r="AQ44" s="169"/>
      <c r="AR44" s="169"/>
      <c r="AS44" s="169"/>
      <c r="AT44" s="169"/>
      <c r="AU44" s="169"/>
      <c r="AV44" s="169"/>
      <c r="AW44" s="169"/>
      <c r="AX44" s="169"/>
      <c r="AY44" s="169"/>
      <c r="AZ44" s="169"/>
      <c r="BA44" s="169"/>
      <c r="BB44" s="169"/>
      <c r="BC44" s="169"/>
      <c r="BD44" s="178"/>
    </row>
    <row r="45" spans="1:56" hidden="1" x14ac:dyDescent="0.3">
      <c r="E45" s="170" t="s">
        <v>717</v>
      </c>
      <c r="F45" s="170" t="s">
        <v>3510</v>
      </c>
    </row>
    <row r="46" spans="1:56" x14ac:dyDescent="0.3">
      <c r="A46" s="300" t="s">
        <v>3526</v>
      </c>
      <c r="B46" s="172"/>
      <c r="C46" s="173"/>
      <c r="D46" s="174">
        <v>1</v>
      </c>
      <c r="F46" s="170" t="s">
        <v>3486</v>
      </c>
    </row>
    <row r="47" spans="1:56" x14ac:dyDescent="0.3">
      <c r="A47" s="175" t="str">
        <f ca="1">Language!A$606</f>
        <v>объем продаж за период</v>
      </c>
      <c r="B47" s="284">
        <f>200*30*0.8</f>
        <v>4800</v>
      </c>
      <c r="C47" s="292" t="s">
        <v>521</v>
      </c>
      <c r="E47" s="170" t="s">
        <v>945</v>
      </c>
      <c r="F47" s="170" t="s">
        <v>2353</v>
      </c>
      <c r="G47" s="285">
        <f t="shared" ref="G47:BB47" si="222">$B47*G48</f>
        <v>0</v>
      </c>
      <c r="H47" s="285">
        <f t="shared" si="222"/>
        <v>0</v>
      </c>
      <c r="I47" s="285">
        <f t="shared" si="222"/>
        <v>0</v>
      </c>
      <c r="J47" s="285">
        <f t="shared" si="222"/>
        <v>0</v>
      </c>
      <c r="K47" s="285">
        <f t="shared" si="222"/>
        <v>0</v>
      </c>
      <c r="L47" s="285">
        <f t="shared" si="222"/>
        <v>0</v>
      </c>
      <c r="M47" s="285">
        <f t="shared" si="222"/>
        <v>1440</v>
      </c>
      <c r="N47" s="285">
        <f t="shared" si="222"/>
        <v>1920</v>
      </c>
      <c r="O47" s="285">
        <f t="shared" si="222"/>
        <v>2400</v>
      </c>
      <c r="P47" s="285">
        <f t="shared" si="222"/>
        <v>2880</v>
      </c>
      <c r="Q47" s="285">
        <f t="shared" si="222"/>
        <v>2880</v>
      </c>
      <c r="R47" s="285">
        <f t="shared" si="222"/>
        <v>2880</v>
      </c>
      <c r="S47" s="285">
        <f t="shared" si="222"/>
        <v>3840</v>
      </c>
      <c r="T47" s="285">
        <f t="shared" si="222"/>
        <v>3360</v>
      </c>
      <c r="U47" s="285">
        <f t="shared" si="222"/>
        <v>2880</v>
      </c>
      <c r="V47" s="285">
        <f t="shared" si="222"/>
        <v>2880</v>
      </c>
      <c r="W47" s="285">
        <f t="shared" si="222"/>
        <v>2400</v>
      </c>
      <c r="X47" s="285">
        <f t="shared" si="222"/>
        <v>3840</v>
      </c>
      <c r="Y47" s="285">
        <f t="shared" si="222"/>
        <v>4800</v>
      </c>
      <c r="Z47" s="285">
        <f t="shared" si="222"/>
        <v>4800</v>
      </c>
      <c r="AA47" s="285">
        <f t="shared" si="222"/>
        <v>3360</v>
      </c>
      <c r="AB47" s="285">
        <f t="shared" si="222"/>
        <v>2400</v>
      </c>
      <c r="AC47" s="285">
        <f t="shared" si="222"/>
        <v>2400</v>
      </c>
      <c r="AD47" s="285">
        <f t="shared" si="222"/>
        <v>2880</v>
      </c>
      <c r="AE47" s="285">
        <f t="shared" si="222"/>
        <v>3840</v>
      </c>
      <c r="AF47" s="285">
        <f t="shared" si="222"/>
        <v>3360</v>
      </c>
      <c r="AG47" s="285">
        <f t="shared" si="222"/>
        <v>2880</v>
      </c>
      <c r="AH47" s="285">
        <f t="shared" si="222"/>
        <v>2880</v>
      </c>
      <c r="AI47" s="285">
        <f t="shared" si="222"/>
        <v>2400</v>
      </c>
      <c r="AJ47" s="285">
        <f t="shared" si="222"/>
        <v>3840</v>
      </c>
      <c r="AK47" s="285">
        <f t="shared" si="222"/>
        <v>4800</v>
      </c>
      <c r="AL47" s="285">
        <f t="shared" si="222"/>
        <v>4800</v>
      </c>
      <c r="AM47" s="285">
        <f t="shared" si="222"/>
        <v>3360</v>
      </c>
      <c r="AN47" s="285">
        <f t="shared" si="222"/>
        <v>2400</v>
      </c>
      <c r="AO47" s="285">
        <f t="shared" si="222"/>
        <v>2400</v>
      </c>
      <c r="AP47" s="285">
        <f t="shared" si="222"/>
        <v>2880</v>
      </c>
      <c r="AQ47" s="285">
        <f t="shared" si="222"/>
        <v>3840</v>
      </c>
      <c r="AR47" s="285">
        <f t="shared" si="222"/>
        <v>3360</v>
      </c>
      <c r="AS47" s="285">
        <f t="shared" si="222"/>
        <v>2880</v>
      </c>
      <c r="AT47" s="285">
        <f t="shared" si="222"/>
        <v>2880</v>
      </c>
      <c r="AU47" s="285">
        <f t="shared" si="222"/>
        <v>2400</v>
      </c>
      <c r="AV47" s="285">
        <f t="shared" si="222"/>
        <v>3840</v>
      </c>
      <c r="AW47" s="285">
        <f t="shared" si="222"/>
        <v>4800</v>
      </c>
      <c r="AX47" s="285">
        <f t="shared" si="222"/>
        <v>4800</v>
      </c>
      <c r="AY47" s="285">
        <f t="shared" si="222"/>
        <v>3360</v>
      </c>
      <c r="AZ47" s="285">
        <f t="shared" si="222"/>
        <v>2400</v>
      </c>
      <c r="BA47" s="285">
        <f t="shared" si="222"/>
        <v>2400</v>
      </c>
      <c r="BB47" s="285">
        <f t="shared" si="222"/>
        <v>2880</v>
      </c>
      <c r="BC47" s="177"/>
      <c r="BD47" s="178">
        <f>SUM(G47:BC47)</f>
        <v>133920</v>
      </c>
    </row>
    <row r="48" spans="1:56" x14ac:dyDescent="0.3">
      <c r="A48" s="175" t="str">
        <f ca="1">Language!A$587</f>
        <v>коэффициент продаж периода</v>
      </c>
      <c r="B48" s="179"/>
      <c r="C48" s="179"/>
      <c r="F48" s="170" t="s">
        <v>745</v>
      </c>
      <c r="G48" s="375">
        <f t="shared" ref="G48:L48" si="223">IF(G$2&gt;Prj_Invest,1,0)</f>
        <v>0</v>
      </c>
      <c r="H48" s="375">
        <f t="shared" si="223"/>
        <v>0</v>
      </c>
      <c r="I48" s="375">
        <f t="shared" si="223"/>
        <v>0</v>
      </c>
      <c r="J48" s="375">
        <f t="shared" si="223"/>
        <v>0</v>
      </c>
      <c r="K48" s="375">
        <f t="shared" si="223"/>
        <v>0</v>
      </c>
      <c r="L48" s="375">
        <f t="shared" si="223"/>
        <v>0</v>
      </c>
      <c r="M48" s="375">
        <v>0.3</v>
      </c>
      <c r="N48" s="375">
        <v>0.4</v>
      </c>
      <c r="O48" s="375">
        <v>0.5</v>
      </c>
      <c r="P48" s="375">
        <v>0.6</v>
      </c>
      <c r="Q48" s="375">
        <v>0.6</v>
      </c>
      <c r="R48" s="375">
        <v>0.6</v>
      </c>
      <c r="S48" s="375">
        <v>0.8</v>
      </c>
      <c r="T48" s="375">
        <v>0.7</v>
      </c>
      <c r="U48" s="375">
        <v>0.6</v>
      </c>
      <c r="V48" s="375">
        <v>0.6</v>
      </c>
      <c r="W48" s="375">
        <v>0.5</v>
      </c>
      <c r="X48" s="375">
        <v>0.8</v>
      </c>
      <c r="Y48" s="375">
        <v>1</v>
      </c>
      <c r="Z48" s="375">
        <v>1</v>
      </c>
      <c r="AA48" s="375">
        <v>0.7</v>
      </c>
      <c r="AB48" s="375">
        <v>0.5</v>
      </c>
      <c r="AC48" s="375">
        <v>0.5</v>
      </c>
      <c r="AD48" s="375">
        <v>0.6</v>
      </c>
      <c r="AE48" s="375">
        <v>0.8</v>
      </c>
      <c r="AF48" s="375">
        <v>0.7</v>
      </c>
      <c r="AG48" s="375">
        <v>0.6</v>
      </c>
      <c r="AH48" s="375">
        <v>0.6</v>
      </c>
      <c r="AI48" s="375">
        <v>0.5</v>
      </c>
      <c r="AJ48" s="375">
        <v>0.8</v>
      </c>
      <c r="AK48" s="375">
        <v>1</v>
      </c>
      <c r="AL48" s="375">
        <v>1</v>
      </c>
      <c r="AM48" s="375">
        <v>0.7</v>
      </c>
      <c r="AN48" s="375">
        <v>0.5</v>
      </c>
      <c r="AO48" s="375">
        <v>0.5</v>
      </c>
      <c r="AP48" s="375">
        <v>0.6</v>
      </c>
      <c r="AQ48" s="375">
        <v>0.8</v>
      </c>
      <c r="AR48" s="375">
        <v>0.7</v>
      </c>
      <c r="AS48" s="375">
        <v>0.6</v>
      </c>
      <c r="AT48" s="375">
        <v>0.6</v>
      </c>
      <c r="AU48" s="375">
        <v>0.5</v>
      </c>
      <c r="AV48" s="375">
        <v>0.8</v>
      </c>
      <c r="AW48" s="375">
        <v>1</v>
      </c>
      <c r="AX48" s="375">
        <v>1</v>
      </c>
      <c r="AY48" s="375">
        <v>0.7</v>
      </c>
      <c r="AZ48" s="375">
        <v>0.5</v>
      </c>
      <c r="BA48" s="375">
        <v>0.5</v>
      </c>
      <c r="BB48" s="375">
        <v>0.6</v>
      </c>
      <c r="BC48" s="180"/>
    </row>
    <row r="49" spans="1:56" x14ac:dyDescent="0.3">
      <c r="A49" s="181" t="str">
        <f ca="1">Language!A$607 &amp; C47 &amp; Language!A$1485</f>
        <v>цена за единицу (ед.), без НДС</v>
      </c>
      <c r="B49" s="293">
        <v>4000</v>
      </c>
      <c r="C49" s="176" t="str">
        <f t="shared" ref="C49:C51" ca="1" si="224">CHOOSE(D49,CurName1,CurName2,CurName3)</f>
        <v>руб.</v>
      </c>
      <c r="D49" s="174">
        <f>D46</f>
        <v>1</v>
      </c>
      <c r="E49" s="170" t="s">
        <v>842</v>
      </c>
      <c r="F49" s="170" t="s">
        <v>2346</v>
      </c>
      <c r="G49" s="294">
        <f ca="1">IF(G$2=1,$B49,F49)*IF($B62=1,G62,G61)</f>
        <v>4000</v>
      </c>
      <c r="H49" s="294">
        <f t="shared" ref="H49" ca="1" si="225">IF(H$2=1,$B49,G49)*IF($B62=1,H62,H61)</f>
        <v>4019.4702022613724</v>
      </c>
      <c r="I49" s="294">
        <f t="shared" ref="I49" ca="1" si="226">IF(I$2=1,$B49,H49)*IF($B62=1,I62,I61)</f>
        <v>4039.0351767167695</v>
      </c>
      <c r="J49" s="294">
        <f t="shared" ref="J49" ca="1" si="227">IF(J$2=1,$B49,I49)*IF($B62=1,J62,J61)</f>
        <v>4058.6953846746378</v>
      </c>
      <c r="K49" s="294">
        <f t="shared" ref="K49" ca="1" si="228">IF(K$2=1,$B49,J49)*IF($B62=1,K62,K61)</f>
        <v>4078.4512896888659</v>
      </c>
      <c r="L49" s="294">
        <f t="shared" ref="L49" ca="1" si="229">IF(L$2=1,$B49,K49)*IF($B62=1,L62,L61)</f>
        <v>4098.3033575697154</v>
      </c>
      <c r="M49" s="294">
        <f t="shared" ref="M49" ca="1" si="230">IF(M$2=1,$B49,L49)*IF($B62=1,M62,M61)</f>
        <v>4118.252056394801</v>
      </c>
      <c r="N49" s="294">
        <f t="shared" ref="N49" ca="1" si="231">IF(N$2=1,$B49,M49)*IF($B62=1,N62,N61)</f>
        <v>4138.2978565201311</v>
      </c>
      <c r="O49" s="294">
        <f t="shared" ref="O49" ca="1" si="232">IF(O$2=1,$B49,N49)*IF($B62=1,O62,O61)</f>
        <v>4158.4412305911937</v>
      </c>
      <c r="P49" s="294">
        <f t="shared" ref="P49" ca="1" si="233">IF(P$2=1,$B49,O49)*IF($B62=1,P62,P61)</f>
        <v>4178.682653554104</v>
      </c>
      <c r="Q49" s="294">
        <f t="shared" ref="Q49" ca="1" si="234">IF(Q$2=1,$B49,P49)*IF($B62=1,Q62,Q61)</f>
        <v>4199.0226026668006</v>
      </c>
      <c r="R49" s="294">
        <f t="shared" ref="R49" ca="1" si="235">IF(R$2=1,$B49,Q49)*IF($B62=1,R62,R61)</f>
        <v>4219.4615575102998</v>
      </c>
      <c r="S49" s="294">
        <f t="shared" ref="S49" ca="1" si="236">IF(S$2=1,$B49,R49)*IF($B62=1,S62,S61)</f>
        <v>4240.0000000000027</v>
      </c>
      <c r="T49" s="294">
        <f t="shared" ref="T49" ca="1" si="237">IF(T$2=1,$B49,S49)*IF($B62=1,T62,T61)</f>
        <v>4260.6384143970572</v>
      </c>
      <c r="U49" s="294">
        <f t="shared" ref="U49" ca="1" si="238">IF(U$2=1,$B49,T49)*IF($B62=1,U62,U61)</f>
        <v>4281.3772873197777</v>
      </c>
      <c r="V49" s="294">
        <f t="shared" ref="V49" ca="1" si="239">IF(V$2=1,$B49,U49)*IF($B62=1,V62,V61)</f>
        <v>4302.2171077551184</v>
      </c>
      <c r="W49" s="294">
        <f t="shared" ref="W49" ca="1" si="240">IF(W$2=1,$B49,V49)*IF($B62=1,W62,W61)</f>
        <v>4323.1583670702003</v>
      </c>
      <c r="X49" s="294">
        <f t="shared" ref="X49" ca="1" si="241">IF(X$2=1,$B49,W49)*IF($B62=1,X62,X61)</f>
        <v>4344.2015590239007</v>
      </c>
      <c r="Y49" s="294">
        <f t="shared" ref="Y49" ca="1" si="242">IF(Y$2=1,$B49,X49)*IF($B62=1,Y62,Y61)</f>
        <v>4365.3471797784914</v>
      </c>
      <c r="Z49" s="294">
        <f t="shared" ref="Z49" ca="1" si="243">IF(Z$2=1,$B49,Y49)*IF($B62=1,Z62,Z61)</f>
        <v>4386.5957279113409</v>
      </c>
      <c r="AA49" s="294">
        <f t="shared" ref="AA49" ca="1" si="244">IF(AA$2=1,$B49,Z49)*IF($B62=1,AA62,AA61)</f>
        <v>4407.9477044266669</v>
      </c>
      <c r="AB49" s="294">
        <f t="shared" ref="AB49" ca="1" si="245">IF(AB$2=1,$B49,AA49)*IF($B62=1,AB62,AB61)</f>
        <v>4429.4036127673517</v>
      </c>
      <c r="AC49" s="294">
        <f t="shared" ref="AC49" ca="1" si="246">IF(AC$2=1,$B49,AB49)*IF($B62=1,AC62,AC61)</f>
        <v>4450.9639588268101</v>
      </c>
      <c r="AD49" s="294">
        <f t="shared" ref="AD49" ca="1" si="247">IF(AD$2=1,$B49,AC49)*IF($B62=1,AD62,AD61)</f>
        <v>4472.6292509609193</v>
      </c>
      <c r="AE49" s="294">
        <f t="shared" ref="AE49" ca="1" si="248">IF(AE$2=1,$B49,AD49)*IF($B62=1,AE62,AE61)</f>
        <v>4494.4000000000042</v>
      </c>
      <c r="AF49" s="294">
        <f t="shared" ref="AF49" ca="1" si="249">IF(AF$2=1,$B49,AE49)*IF($B62=1,AF62,AF61)</f>
        <v>4516.2767192608817</v>
      </c>
      <c r="AG49" s="294">
        <f t="shared" ref="AG49" ca="1" si="250">IF(AG$2=1,$B49,AF49)*IF($B62=1,AG62,AG61)</f>
        <v>4538.2599245589654</v>
      </c>
      <c r="AH49" s="294">
        <f t="shared" ref="AH49" ca="1" si="251">IF(AH$2=1,$B49,AG49)*IF($B62=1,AH62,AH61)</f>
        <v>4560.3501342204263</v>
      </c>
      <c r="AI49" s="294">
        <f t="shared" ref="AI49" ca="1" si="252">IF(AI$2=1,$B49,AH49)*IF($B62=1,AI62,AI61)</f>
        <v>4582.5478690944128</v>
      </c>
      <c r="AJ49" s="294">
        <f t="shared" ref="AJ49" ca="1" si="253">IF(AJ$2=1,$B49,AI49)*IF($B62=1,AJ62,AJ61)</f>
        <v>4604.8536525653353</v>
      </c>
      <c r="AK49" s="294">
        <f t="shared" ref="AK49" ca="1" si="254">IF(AK$2=1,$B49,AJ49)*IF($B62=1,AK62,AK61)</f>
        <v>4627.2680105652016</v>
      </c>
      <c r="AL49" s="294">
        <f t="shared" ref="AL49" ca="1" si="255">IF(AL$2=1,$B49,AK49)*IF($B62=1,AL62,AL61)</f>
        <v>4649.7914715860225</v>
      </c>
      <c r="AM49" s="294">
        <f t="shared" ref="AM49" ca="1" si="256">IF(AM$2=1,$B49,AL49)*IF($B62=1,AM62,AM61)</f>
        <v>4672.4245666922679</v>
      </c>
      <c r="AN49" s="294">
        <f t="shared" ref="AN49" ca="1" si="257">IF(AN$2=1,$B49,AM49)*IF($B62=1,AN62,AN61)</f>
        <v>4695.1678295333941</v>
      </c>
      <c r="AO49" s="294">
        <f t="shared" ref="AO49" ca="1" si="258">IF(AO$2=1,$B49,AN49)*IF($B62=1,AO62,AO61)</f>
        <v>4718.0217963564201</v>
      </c>
      <c r="AP49" s="294">
        <f t="shared" ref="AP49" ca="1" si="259">IF(AP$2=1,$B49,AO49)*IF($B62=1,AP62,AP61)</f>
        <v>4740.9870060185758</v>
      </c>
      <c r="AQ49" s="294">
        <f t="shared" ref="AQ49" ca="1" si="260">IF(AQ$2=1,$B49,AP49)*IF($B62=1,AQ62,AQ61)</f>
        <v>4764.0640000000058</v>
      </c>
      <c r="AR49" s="294">
        <f t="shared" ref="AR49" ca="1" si="261">IF(AR$2=1,$B49,AQ49)*IF($B62=1,AR62,AR61)</f>
        <v>4787.2533224165363</v>
      </c>
      <c r="AS49" s="294">
        <f t="shared" ref="AS49" ca="1" si="262">IF(AS$2=1,$B49,AR49)*IF($B62=1,AS62,AS61)</f>
        <v>4810.5555200325052</v>
      </c>
      <c r="AT49" s="294">
        <f t="shared" ref="AT49" ca="1" si="263">IF(AT$2=1,$B49,AS49)*IF($B62=1,AT62,AT61)</f>
        <v>4833.9711422736536</v>
      </c>
      <c r="AU49" s="294">
        <f t="shared" ref="AU49" ca="1" si="264">IF(AU$2=1,$B49,AT49)*IF($B62=1,AU62,AU61)</f>
        <v>4857.5007412400801</v>
      </c>
      <c r="AV49" s="294">
        <f t="shared" ref="AV49" ca="1" si="265">IF(AV$2=1,$B49,AU49)*IF($B62=1,AV62,AV61)</f>
        <v>4881.1448717192579</v>
      </c>
      <c r="AW49" s="294">
        <f t="shared" ref="AW49" ca="1" si="266">IF(AW$2=1,$B49,AV49)*IF($B62=1,AW62,AW61)</f>
        <v>4904.904091199116</v>
      </c>
      <c r="AX49" s="294">
        <f t="shared" ref="AX49" ca="1" si="267">IF(AX$2=1,$B49,AW49)*IF($B62=1,AX62,AX61)</f>
        <v>4928.778959881186</v>
      </c>
      <c r="AY49" s="294">
        <f t="shared" ref="AY49" ca="1" si="268">IF(AY$2=1,$B49,AX49)*IF($B62=1,AY62,AY61)</f>
        <v>4952.7700406938065</v>
      </c>
      <c r="AZ49" s="294">
        <f t="shared" ref="AZ49" ca="1" si="269">IF(AZ$2=1,$B49,AY49)*IF($B62=1,AZ62,AZ61)</f>
        <v>4976.8778993054002</v>
      </c>
      <c r="BA49" s="294">
        <f t="shared" ref="BA49" ca="1" si="270">IF(BA$2=1,$B49,AZ49)*IF($B62=1,BA62,BA61)</f>
        <v>5001.1031041378073</v>
      </c>
      <c r="BB49" s="294">
        <f t="shared" ref="BB49" ca="1" si="271">IF(BB$2=1,$B49,BA49)*IF($B62=1,BB62,BB61)</f>
        <v>5025.4462263796922</v>
      </c>
      <c r="BC49" s="177"/>
    </row>
    <row r="50" spans="1:56" collapsed="1" x14ac:dyDescent="0.3">
      <c r="A50" s="181" t="str">
        <f ca="1">Language!A$608</f>
        <v>выручка от реализации, без НДС</v>
      </c>
      <c r="B50" s="176"/>
      <c r="C50" s="176" t="str">
        <f t="shared" ca="1" si="224"/>
        <v>руб.</v>
      </c>
      <c r="D50" s="174">
        <f>D46</f>
        <v>1</v>
      </c>
      <c r="E50" s="170" t="s">
        <v>992</v>
      </c>
      <c r="F50" s="170" t="s">
        <v>740</v>
      </c>
      <c r="G50" s="182">
        <f t="shared" ref="G50:BB50" ca="1" si="272">G47*G49</f>
        <v>0</v>
      </c>
      <c r="H50" s="182">
        <f t="shared" ca="1" si="272"/>
        <v>0</v>
      </c>
      <c r="I50" s="182">
        <f t="shared" ca="1" si="272"/>
        <v>0</v>
      </c>
      <c r="J50" s="182">
        <f t="shared" ca="1" si="272"/>
        <v>0</v>
      </c>
      <c r="K50" s="182">
        <f t="shared" ca="1" si="272"/>
        <v>0</v>
      </c>
      <c r="L50" s="182">
        <f t="shared" ca="1" si="272"/>
        <v>0</v>
      </c>
      <c r="M50" s="182">
        <f t="shared" ca="1" si="272"/>
        <v>5930282.961208513</v>
      </c>
      <c r="N50" s="182">
        <f t="shared" ca="1" si="272"/>
        <v>7945531.8845186513</v>
      </c>
      <c r="O50" s="182">
        <f t="shared" ca="1" si="272"/>
        <v>9980258.9534188658</v>
      </c>
      <c r="P50" s="182">
        <f t="shared" ca="1" si="272"/>
        <v>12034606.04223582</v>
      </c>
      <c r="Q50" s="182">
        <f t="shared" ca="1" si="272"/>
        <v>12093185.095680386</v>
      </c>
      <c r="R50" s="182">
        <f t="shared" ca="1" si="272"/>
        <v>12152049.285629664</v>
      </c>
      <c r="S50" s="182">
        <f t="shared" ca="1" si="272"/>
        <v>16281600.000000011</v>
      </c>
      <c r="T50" s="182">
        <f t="shared" ca="1" si="272"/>
        <v>14315745.072374113</v>
      </c>
      <c r="U50" s="182">
        <f t="shared" ca="1" si="272"/>
        <v>12330366.58748096</v>
      </c>
      <c r="V50" s="182">
        <f t="shared" ca="1" si="272"/>
        <v>12390385.270334741</v>
      </c>
      <c r="W50" s="182">
        <f t="shared" ca="1" si="272"/>
        <v>10375580.080968481</v>
      </c>
      <c r="X50" s="182">
        <f t="shared" ca="1" si="272"/>
        <v>16681733.986651778</v>
      </c>
      <c r="Y50" s="182">
        <f t="shared" ca="1" si="272"/>
        <v>20953666.462936759</v>
      </c>
      <c r="Z50" s="182">
        <f t="shared" ca="1" si="272"/>
        <v>21055659.493974436</v>
      </c>
      <c r="AA50" s="182">
        <f t="shared" ca="1" si="272"/>
        <v>14810704.286873601</v>
      </c>
      <c r="AB50" s="182">
        <f t="shared" ca="1" si="272"/>
        <v>10630568.670641644</v>
      </c>
      <c r="AC50" s="182">
        <f t="shared" ca="1" si="272"/>
        <v>10682313.501184344</v>
      </c>
      <c r="AD50" s="182">
        <f t="shared" ca="1" si="272"/>
        <v>12881172.242767448</v>
      </c>
      <c r="AE50" s="182">
        <f t="shared" ca="1" si="272"/>
        <v>17258496.000000015</v>
      </c>
      <c r="AF50" s="182">
        <f t="shared" ca="1" si="272"/>
        <v>15174689.776716562</v>
      </c>
      <c r="AG50" s="182">
        <f t="shared" ca="1" si="272"/>
        <v>13070188.58272982</v>
      </c>
      <c r="AH50" s="182">
        <f t="shared" ca="1" si="272"/>
        <v>13133808.386554828</v>
      </c>
      <c r="AI50" s="182">
        <f t="shared" ca="1" si="272"/>
        <v>10998114.885826591</v>
      </c>
      <c r="AJ50" s="182">
        <f t="shared" ca="1" si="272"/>
        <v>17682638.025850888</v>
      </c>
      <c r="AK50" s="182">
        <f t="shared" ca="1" si="272"/>
        <v>22210886.450712968</v>
      </c>
      <c r="AL50" s="182">
        <f t="shared" ca="1" si="272"/>
        <v>22318999.063612908</v>
      </c>
      <c r="AM50" s="182">
        <f t="shared" ca="1" si="272"/>
        <v>15699346.54408602</v>
      </c>
      <c r="AN50" s="182">
        <f t="shared" ca="1" si="272"/>
        <v>11268402.790880146</v>
      </c>
      <c r="AO50" s="182">
        <f t="shared" ca="1" si="272"/>
        <v>11323252.311255408</v>
      </c>
      <c r="AP50" s="182">
        <f t="shared" ca="1" si="272"/>
        <v>13654042.577333499</v>
      </c>
      <c r="AQ50" s="182">
        <f t="shared" ca="1" si="272"/>
        <v>18294005.76000002</v>
      </c>
      <c r="AR50" s="182">
        <f t="shared" ca="1" si="272"/>
        <v>16085171.163319562</v>
      </c>
      <c r="AS50" s="182">
        <f t="shared" ca="1" si="272"/>
        <v>13854399.897693615</v>
      </c>
      <c r="AT50" s="182">
        <f t="shared" ca="1" si="272"/>
        <v>13921836.889748123</v>
      </c>
      <c r="AU50" s="182">
        <f t="shared" ca="1" si="272"/>
        <v>11658001.778976193</v>
      </c>
      <c r="AV50" s="182">
        <f t="shared" ca="1" si="272"/>
        <v>18743596.307401951</v>
      </c>
      <c r="AW50" s="182">
        <f t="shared" ca="1" si="272"/>
        <v>23543539.637755755</v>
      </c>
      <c r="AX50" s="182">
        <f t="shared" ca="1" si="272"/>
        <v>23658139.007429693</v>
      </c>
      <c r="AY50" s="182">
        <f t="shared" ca="1" si="272"/>
        <v>16641307.33673119</v>
      </c>
      <c r="AZ50" s="182">
        <f t="shared" ca="1" si="272"/>
        <v>11944506.95833296</v>
      </c>
      <c r="BA50" s="182">
        <f t="shared" ca="1" si="272"/>
        <v>12002647.449930737</v>
      </c>
      <c r="BB50" s="182">
        <f t="shared" ca="1" si="272"/>
        <v>14473285.131973514</v>
      </c>
      <c r="BC50" s="182"/>
      <c r="BD50" s="183">
        <f ca="1">SUM(G50:BC50)</f>
        <v>612138712.59373331</v>
      </c>
    </row>
    <row r="51" spans="1:56" hidden="1" outlineLevel="1" x14ac:dyDescent="0.3">
      <c r="A51" s="181" t="str">
        <f ca="1">Language!A$590</f>
        <v>выручка от реализации, с НДС</v>
      </c>
      <c r="B51" s="176"/>
      <c r="C51" s="176" t="str">
        <f t="shared" ca="1" si="224"/>
        <v>руб.</v>
      </c>
      <c r="D51" s="174">
        <f>D46</f>
        <v>1</v>
      </c>
      <c r="F51" s="170" t="s">
        <v>740</v>
      </c>
      <c r="G51" s="182">
        <f ca="1">G50+G63+G64</f>
        <v>0</v>
      </c>
      <c r="H51" s="182">
        <f t="shared" ref="H51:BB51" ca="1" si="273">H50+H63+H64</f>
        <v>0</v>
      </c>
      <c r="I51" s="182">
        <f t="shared" ca="1" si="273"/>
        <v>0</v>
      </c>
      <c r="J51" s="182">
        <f t="shared" ca="1" si="273"/>
        <v>0</v>
      </c>
      <c r="K51" s="182">
        <f t="shared" ca="1" si="273"/>
        <v>0</v>
      </c>
      <c r="L51" s="182">
        <f t="shared" ca="1" si="273"/>
        <v>0</v>
      </c>
      <c r="M51" s="182">
        <f t="shared" ca="1" si="273"/>
        <v>5930282.961208513</v>
      </c>
      <c r="N51" s="182">
        <f t="shared" ca="1" si="273"/>
        <v>7945531.8845186513</v>
      </c>
      <c r="O51" s="182">
        <f t="shared" ca="1" si="273"/>
        <v>9980258.9534188658</v>
      </c>
      <c r="P51" s="182">
        <f t="shared" ca="1" si="273"/>
        <v>12034606.04223582</v>
      </c>
      <c r="Q51" s="182">
        <f t="shared" ca="1" si="273"/>
        <v>12093185.095680386</v>
      </c>
      <c r="R51" s="182">
        <f t="shared" ca="1" si="273"/>
        <v>12152049.285629664</v>
      </c>
      <c r="S51" s="182">
        <f t="shared" ca="1" si="273"/>
        <v>16281600.000000011</v>
      </c>
      <c r="T51" s="182">
        <f t="shared" ca="1" si="273"/>
        <v>14315745.072374113</v>
      </c>
      <c r="U51" s="182">
        <f t="shared" ca="1" si="273"/>
        <v>12330366.58748096</v>
      </c>
      <c r="V51" s="182">
        <f t="shared" ca="1" si="273"/>
        <v>12390385.270334741</v>
      </c>
      <c r="W51" s="182">
        <f t="shared" ca="1" si="273"/>
        <v>10375580.080968481</v>
      </c>
      <c r="X51" s="182">
        <f t="shared" ca="1" si="273"/>
        <v>16681733.986651778</v>
      </c>
      <c r="Y51" s="182">
        <f t="shared" ca="1" si="273"/>
        <v>20953666.462936759</v>
      </c>
      <c r="Z51" s="182">
        <f t="shared" ca="1" si="273"/>
        <v>21055659.493974436</v>
      </c>
      <c r="AA51" s="182">
        <f t="shared" ca="1" si="273"/>
        <v>14810704.286873601</v>
      </c>
      <c r="AB51" s="182">
        <f t="shared" ca="1" si="273"/>
        <v>10630568.670641644</v>
      </c>
      <c r="AC51" s="182">
        <f t="shared" ca="1" si="273"/>
        <v>10682313.501184344</v>
      </c>
      <c r="AD51" s="182">
        <f t="shared" ca="1" si="273"/>
        <v>12881172.242767448</v>
      </c>
      <c r="AE51" s="182">
        <f t="shared" ca="1" si="273"/>
        <v>17258496.000000015</v>
      </c>
      <c r="AF51" s="182">
        <f t="shared" ca="1" si="273"/>
        <v>15174689.776716562</v>
      </c>
      <c r="AG51" s="182">
        <f t="shared" ca="1" si="273"/>
        <v>13070188.58272982</v>
      </c>
      <c r="AH51" s="182">
        <f t="shared" ca="1" si="273"/>
        <v>13133808.386554828</v>
      </c>
      <c r="AI51" s="182">
        <f t="shared" ca="1" si="273"/>
        <v>10998114.885826591</v>
      </c>
      <c r="AJ51" s="182">
        <f t="shared" ca="1" si="273"/>
        <v>17682638.025850888</v>
      </c>
      <c r="AK51" s="182">
        <f t="shared" ca="1" si="273"/>
        <v>22210886.450712968</v>
      </c>
      <c r="AL51" s="182">
        <f t="shared" ca="1" si="273"/>
        <v>22318999.063612908</v>
      </c>
      <c r="AM51" s="182">
        <f t="shared" ca="1" si="273"/>
        <v>15699346.54408602</v>
      </c>
      <c r="AN51" s="182">
        <f t="shared" ca="1" si="273"/>
        <v>11268402.790880146</v>
      </c>
      <c r="AO51" s="182">
        <f t="shared" ca="1" si="273"/>
        <v>11323252.311255408</v>
      </c>
      <c r="AP51" s="182">
        <f t="shared" ca="1" si="273"/>
        <v>13654042.577333499</v>
      </c>
      <c r="AQ51" s="182">
        <f t="shared" ca="1" si="273"/>
        <v>18294005.76000002</v>
      </c>
      <c r="AR51" s="182">
        <f t="shared" ca="1" si="273"/>
        <v>16085171.163319562</v>
      </c>
      <c r="AS51" s="182">
        <f t="shared" ca="1" si="273"/>
        <v>13854399.897693615</v>
      </c>
      <c r="AT51" s="182">
        <f t="shared" ca="1" si="273"/>
        <v>13921836.889748123</v>
      </c>
      <c r="AU51" s="182">
        <f t="shared" ca="1" si="273"/>
        <v>11658001.778976193</v>
      </c>
      <c r="AV51" s="182">
        <f t="shared" ca="1" si="273"/>
        <v>18743596.307401951</v>
      </c>
      <c r="AW51" s="182">
        <f t="shared" ca="1" si="273"/>
        <v>23543539.637755755</v>
      </c>
      <c r="AX51" s="182">
        <f t="shared" ca="1" si="273"/>
        <v>23658139.007429693</v>
      </c>
      <c r="AY51" s="182">
        <f t="shared" ca="1" si="273"/>
        <v>16641307.33673119</v>
      </c>
      <c r="AZ51" s="182">
        <f t="shared" ca="1" si="273"/>
        <v>11944506.95833296</v>
      </c>
      <c r="BA51" s="182">
        <f t="shared" ca="1" si="273"/>
        <v>12002647.449930737</v>
      </c>
      <c r="BB51" s="182">
        <f t="shared" ca="1" si="273"/>
        <v>14473285.131973514</v>
      </c>
      <c r="BC51" s="182"/>
      <c r="BD51" s="183">
        <f ca="1">SUM(G51:BC51)</f>
        <v>612138712.59373331</v>
      </c>
    </row>
    <row r="52" spans="1:56" hidden="1" outlineLevel="1" x14ac:dyDescent="0.3">
      <c r="A52" s="184" t="str">
        <f ca="1">Language!A$609</f>
        <v>дебиторская задолженность</v>
      </c>
      <c r="B52" s="163"/>
      <c r="C52" s="163" t="str">
        <f ca="1">CHOOSE(D52,CurName1,CurName2,CurName3)</f>
        <v>руб.</v>
      </c>
      <c r="D52" s="174">
        <f>D46</f>
        <v>1</v>
      </c>
      <c r="E52" s="170" t="s">
        <v>994</v>
      </c>
      <c r="F52" s="170" t="s">
        <v>2350</v>
      </c>
      <c r="G52" s="287">
        <f ca="1">IF(AND($B53=0,G$2&gt;1),F52,(G50+G63+G64)*$B53/Параметры!G$30)</f>
        <v>0</v>
      </c>
      <c r="H52" s="287">
        <f ca="1">IF(AND($B53=0,H$2&gt;1),G52,(H50+H63+H64)*$B53/Параметры!H$30)</f>
        <v>0</v>
      </c>
      <c r="I52" s="287">
        <f ca="1">IF(AND($B53=0,I$2&gt;1),H52,(I50+I63+I64)*$B53/Параметры!I$30)</f>
        <v>0</v>
      </c>
      <c r="J52" s="287">
        <f ca="1">IF(AND($B53=0,J$2&gt;1),I52,(J50+J63+J64)*$B53/Параметры!J$30)</f>
        <v>0</v>
      </c>
      <c r="K52" s="287">
        <f ca="1">IF(AND($B53=0,K$2&gt;1),J52,(K50+K63+K64)*$B53/Параметры!K$30)</f>
        <v>0</v>
      </c>
      <c r="L52" s="287">
        <f ca="1">IF(AND($B53=0,L$2&gt;1),K52,(L50+L63+L64)*$B53/Параметры!L$30)</f>
        <v>0</v>
      </c>
      <c r="M52" s="287">
        <f ca="1">IF(AND($B53=0,M$2&gt;1),L52,(M50+M63+M64)*$B53/Параметры!M$30)</f>
        <v>1976760.9870695046</v>
      </c>
      <c r="N52" s="287">
        <f ca="1">IF(AND($B53=0,N$2&gt;1),M52,(N50+N63+N64)*$B53/Параметры!N$30)</f>
        <v>2648510.6281728838</v>
      </c>
      <c r="O52" s="287">
        <f ca="1">IF(AND($B53=0,O$2&gt;1),N52,(O50+O63+O64)*$B53/Параметры!O$30)</f>
        <v>3326752.9844729551</v>
      </c>
      <c r="P52" s="287">
        <f ca="1">IF(AND($B53=0,P$2&gt;1),O52,(P50+P63+P64)*$B53/Параметры!P$30)</f>
        <v>4011535.3474119399</v>
      </c>
      <c r="Q52" s="287">
        <f ca="1">IF(AND($B53=0,Q$2&gt;1),P52,(Q50+Q63+Q64)*$B53/Параметры!Q$30)</f>
        <v>4031061.6985601285</v>
      </c>
      <c r="R52" s="287">
        <f ca="1">IF(AND($B53=0,R$2&gt;1),Q52,(R50+R63+R64)*$B53/Параметры!R$30)</f>
        <v>4050683.0952098877</v>
      </c>
      <c r="S52" s="287">
        <f ca="1">IF(AND($B53=0,S$2&gt;1),R52,(S50+S63+S64)*$B53/Параметры!S$30)</f>
        <v>5427200.0000000037</v>
      </c>
      <c r="T52" s="287">
        <f ca="1">IF(AND($B53=0,T$2&gt;1),S52,(T50+T63+T64)*$B53/Параметры!T$30)</f>
        <v>4771915.0241247034</v>
      </c>
      <c r="U52" s="287">
        <f ca="1">IF(AND($B53=0,U$2&gt;1),T52,(U50+U63+U64)*$B53/Параметры!U$30)</f>
        <v>4110122.1958269868</v>
      </c>
      <c r="V52" s="287">
        <f ca="1">IF(AND($B53=0,V$2&gt;1),U52,(V50+V63+V64)*$B53/Параметры!V$30)</f>
        <v>4130128.4234449137</v>
      </c>
      <c r="W52" s="287">
        <f ca="1">IF(AND($B53=0,W$2&gt;1),V52,(W50+W63+W64)*$B53/Параметры!W$30)</f>
        <v>3458526.6936561605</v>
      </c>
      <c r="X52" s="287">
        <f ca="1">IF(AND($B53=0,X$2&gt;1),W52,(X50+X63+X64)*$B53/Параметры!X$30)</f>
        <v>5560577.9955505924</v>
      </c>
      <c r="Y52" s="287">
        <f ca="1">IF(AND($B53=0,Y$2&gt;1),X52,(Y50+Y63+Y64)*$B53/Параметры!Y$30)</f>
        <v>6984555.487645586</v>
      </c>
      <c r="Z52" s="287">
        <f ca="1">IF(AND($B53=0,Z$2&gt;1),Y52,(Z50+Z63+Z64)*$B53/Параметры!Z$30)</f>
        <v>7018553.164658145</v>
      </c>
      <c r="AA52" s="287">
        <f ca="1">IF(AND($B53=0,AA$2&gt;1),Z52,(AA50+AA63+AA64)*$B53/Параметры!AA$30)</f>
        <v>4936901.4289578674</v>
      </c>
      <c r="AB52" s="287">
        <f ca="1">IF(AND($B53=0,AB$2&gt;1),AA52,(AB50+AB63+AB64)*$B53/Параметры!AB$30)</f>
        <v>3543522.8902138816</v>
      </c>
      <c r="AC52" s="287">
        <f ca="1">IF(AND($B53=0,AC$2&gt;1),AB52,(AC50+AC63+AC64)*$B53/Параметры!AC$30)</f>
        <v>3560771.1670614481</v>
      </c>
      <c r="AD52" s="287">
        <f ca="1">IF(AND($B53=0,AD$2&gt;1),AC52,(AD50+AD63+AD64)*$B53/Параметры!AD$30)</f>
        <v>4293724.0809224825</v>
      </c>
      <c r="AE52" s="287">
        <f ca="1">IF(AND($B53=0,AE$2&gt;1),AD52,(AE50+AE63+AE64)*$B53/Параметры!AE$30)</f>
        <v>5752832.0000000047</v>
      </c>
      <c r="AF52" s="287">
        <f ca="1">IF(AND($B53=0,AF$2&gt;1),AE52,(AF50+AF63+AF64)*$B53/Параметры!AF$30)</f>
        <v>5058229.9255721876</v>
      </c>
      <c r="AG52" s="287">
        <f ca="1">IF(AND($B53=0,AG$2&gt;1),AF52,(AG50+AG63+AG64)*$B53/Параметры!AG$30)</f>
        <v>4356729.5275766067</v>
      </c>
      <c r="AH52" s="287">
        <f ca="1">IF(AND($B53=0,AH$2&gt;1),AG52,(AH50+AH63+AH64)*$B53/Параметры!AH$30)</f>
        <v>4377936.1288516093</v>
      </c>
      <c r="AI52" s="287">
        <f ca="1">IF(AND($B53=0,AI$2&gt;1),AH52,(AI50+AI63+AI64)*$B53/Параметры!AI$30)</f>
        <v>3666038.2952755303</v>
      </c>
      <c r="AJ52" s="287">
        <f ca="1">IF(AND($B53=0,AJ$2&gt;1),AI52,(AJ50+AJ63+AJ64)*$B53/Параметры!AJ$30)</f>
        <v>5894212.6752836294</v>
      </c>
      <c r="AK52" s="287">
        <f ca="1">IF(AND($B53=0,AK$2&gt;1),AJ52,(AK50+AK63+AK64)*$B53/Параметры!AK$30)</f>
        <v>7403628.8169043222</v>
      </c>
      <c r="AL52" s="287">
        <f ca="1">IF(AND($B53=0,AL$2&gt;1),AK52,(AL50+AL63+AL64)*$B53/Параметры!AL$30)</f>
        <v>7439666.354537636</v>
      </c>
      <c r="AM52" s="287">
        <f ca="1">IF(AND($B53=0,AM$2&gt;1),AL52,(AM50+AM63+AM64)*$B53/Параметры!AM$30)</f>
        <v>5233115.5146953408</v>
      </c>
      <c r="AN52" s="287">
        <f ca="1">IF(AND($B53=0,AN$2&gt;1),AM52,(AN50+AN63+AN64)*$B53/Параметры!AN$30)</f>
        <v>3756134.2636267152</v>
      </c>
      <c r="AO52" s="287">
        <f ca="1">IF(AND($B53=0,AO$2&gt;1),AN52,(AO50+AO63+AO64)*$B53/Параметры!AO$30)</f>
        <v>3774417.4370851363</v>
      </c>
      <c r="AP52" s="287">
        <f ca="1">IF(AND($B53=0,AP$2&gt;1),AO52,(AP50+AP63+AP64)*$B53/Параметры!AP$30)</f>
        <v>4551347.5257778326</v>
      </c>
      <c r="AQ52" s="287">
        <f ca="1">IF(AND($B53=0,AQ$2&gt;1),AP52,(AQ50+AQ63+AQ64)*$B53/Параметры!AQ$30)</f>
        <v>6098001.9200000064</v>
      </c>
      <c r="AR52" s="287">
        <f ca="1">IF(AND($B53=0,AR$2&gt;1),AQ52,(AR50+AR63+AR64)*$B53/Параметры!AR$30)</f>
        <v>5361723.7211065199</v>
      </c>
      <c r="AS52" s="287">
        <f ca="1">IF(AND($B53=0,AS$2&gt;1),AR52,(AS50+AS63+AS64)*$B53/Параметры!AS$30)</f>
        <v>4618133.2992312051</v>
      </c>
      <c r="AT52" s="287">
        <f ca="1">IF(AND($B53=0,AT$2&gt;1),AS52,(AT50+AT63+AT64)*$B53/Параметры!AT$30)</f>
        <v>4640612.2965827081</v>
      </c>
      <c r="AU52" s="287">
        <f ca="1">IF(AND($B53=0,AU$2&gt;1),AT52,(AU50+AU63+AU64)*$B53/Параметры!AU$30)</f>
        <v>3886000.5929920645</v>
      </c>
      <c r="AV52" s="287">
        <f ca="1">IF(AND($B53=0,AV$2&gt;1),AU52,(AV50+AV63+AV64)*$B53/Параметры!AV$30)</f>
        <v>6247865.4358006511</v>
      </c>
      <c r="AW52" s="287">
        <f ca="1">IF(AND($B53=0,AW$2&gt;1),AV52,(AW50+AW63+AW64)*$B53/Параметры!AW$30)</f>
        <v>7847846.5459185848</v>
      </c>
      <c r="AX52" s="287">
        <f ca="1">IF(AND($B53=0,AX$2&gt;1),AW52,(AX50+AX63+AX64)*$B53/Параметры!AX$30)</f>
        <v>7886046.3358098976</v>
      </c>
      <c r="AY52" s="287">
        <f ca="1">IF(AND($B53=0,AY$2&gt;1),AX52,(AY50+AY63+AY64)*$B53/Параметры!AY$30)</f>
        <v>5547102.4455770636</v>
      </c>
      <c r="AZ52" s="287">
        <f ca="1">IF(AND($B53=0,AZ$2&gt;1),AY52,(AZ50+AZ63+AZ64)*$B53/Параметры!AZ$30)</f>
        <v>3981502.3194443197</v>
      </c>
      <c r="BA52" s="287">
        <f ca="1">IF(AND($B53=0,BA$2&gt;1),AZ52,(BA50+BA63+BA64)*$B53/Параметры!BA$30)</f>
        <v>4000882.4833102454</v>
      </c>
      <c r="BB52" s="287">
        <f ca="1">IF(AND($B53=0,BB$2&gt;1),BA52,(BB50+BB63+BB64)*$B53/Параметры!BB$30)</f>
        <v>4824428.3773245048</v>
      </c>
      <c r="BC52" s="185"/>
      <c r="BD52" s="186"/>
    </row>
    <row r="53" spans="1:56" s="170" customFormat="1" hidden="1" outlineLevel="1" x14ac:dyDescent="0.3">
      <c r="A53" s="187" t="str">
        <f ca="1">Language!A$610</f>
        <v>средний период отсрочки платежа</v>
      </c>
      <c r="B53" s="288">
        <f>$B$573</f>
        <v>10</v>
      </c>
      <c r="C53" s="163" t="str">
        <f ca="1">Language!$A$1474</f>
        <v>дней</v>
      </c>
      <c r="F53" s="170" t="s">
        <v>2347</v>
      </c>
      <c r="G53" s="185"/>
      <c r="H53" s="185"/>
      <c r="I53" s="185"/>
      <c r="J53" s="185"/>
      <c r="K53" s="185"/>
      <c r="L53" s="185"/>
      <c r="M53" s="185"/>
      <c r="N53" s="185"/>
      <c r="O53" s="185"/>
      <c r="P53" s="185"/>
      <c r="Q53" s="185"/>
      <c r="R53" s="185"/>
      <c r="S53" s="185"/>
      <c r="T53" s="185"/>
      <c r="U53" s="185"/>
      <c r="V53" s="185"/>
      <c r="W53" s="185"/>
      <c r="X53" s="185"/>
      <c r="Y53" s="185"/>
      <c r="Z53" s="185"/>
      <c r="AA53" s="185"/>
      <c r="AB53" s="185"/>
      <c r="AC53" s="185"/>
      <c r="AD53" s="185"/>
      <c r="AE53" s="185"/>
      <c r="AF53" s="185"/>
      <c r="AG53" s="185"/>
      <c r="AH53" s="185"/>
      <c r="AI53" s="185"/>
      <c r="AJ53" s="185"/>
      <c r="AK53" s="185"/>
      <c r="AL53" s="185"/>
      <c r="AM53" s="185"/>
      <c r="AN53" s="185"/>
      <c r="AO53" s="185"/>
      <c r="AP53" s="185"/>
      <c r="AQ53" s="185"/>
      <c r="AR53" s="185"/>
      <c r="AS53" s="185"/>
      <c r="AT53" s="185"/>
      <c r="AU53" s="185"/>
      <c r="AV53" s="185"/>
      <c r="AW53" s="185"/>
      <c r="AX53" s="185"/>
      <c r="AY53" s="185"/>
      <c r="AZ53" s="185"/>
      <c r="BA53" s="185"/>
      <c r="BB53" s="185"/>
      <c r="BC53" s="185"/>
      <c r="BD53" s="186"/>
    </row>
    <row r="54" spans="1:56" hidden="1" outlineLevel="1" x14ac:dyDescent="0.3">
      <c r="A54" s="184" t="str">
        <f ca="1">Language!A$611</f>
        <v xml:space="preserve">авансы полученные </v>
      </c>
      <c r="B54" s="163"/>
      <c r="C54" s="163" t="str">
        <f ca="1">CHOOSE(D54,CurName1,CurName2,CurName3)</f>
        <v>руб.</v>
      </c>
      <c r="D54" s="174">
        <f>D46</f>
        <v>1</v>
      </c>
      <c r="E54" s="170" t="s">
        <v>995</v>
      </c>
      <c r="F54" s="170" t="s">
        <v>2350</v>
      </c>
      <c r="G54" s="289">
        <f ca="1">IF(OR(AND($B55=0,G$2&gt;1),G$2=Prj_Len),F54,(OFFSET(G50,0,1)+OFFSET(G63,0,1)+OFFSET(G64,0,1))*$B55/Параметры!G$30)</f>
        <v>0</v>
      </c>
      <c r="H54" s="289">
        <f ca="1">IF(OR(AND($B55=0,H$2&gt;1),H$2=Prj_Len),G54,(OFFSET(H50,0,1)+OFFSET(H63,0,1)+OFFSET(H64,0,1))*$B55/Параметры!H$30)</f>
        <v>0</v>
      </c>
      <c r="I54" s="289">
        <f ca="1">IF(OR(AND($B55=0,I$2&gt;1),I$2=Prj_Len),H54,(OFFSET(I50,0,1)+OFFSET(I63,0,1)+OFFSET(I64,0,1))*$B55/Параметры!I$30)</f>
        <v>0</v>
      </c>
      <c r="J54" s="289">
        <f ca="1">IF(OR(AND($B55=0,J$2&gt;1),J$2=Prj_Len),I54,(OFFSET(J50,0,1)+OFFSET(J63,0,1)+OFFSET(J64,0,1))*$B55/Параметры!J$30)</f>
        <v>0</v>
      </c>
      <c r="K54" s="289">
        <f ca="1">IF(OR(AND($B55=0,K$2&gt;1),K$2=Prj_Len),J54,(OFFSET(K50,0,1)+OFFSET(K63,0,1)+OFFSET(K64,0,1))*$B55/Параметры!K$30)</f>
        <v>0</v>
      </c>
      <c r="L54" s="289">
        <f ca="1">IF(OR(AND($B55=0,L$2&gt;1),L$2=Prj_Len),K54,(OFFSET(L50,0,1)+OFFSET(L63,0,1)+OFFSET(L64,0,1))*$B55/Параметры!L$30)</f>
        <v>0</v>
      </c>
      <c r="M54" s="289">
        <f ca="1">IF(OR(AND($B55=0,M$2&gt;1),M$2=Prj_Len),L54,(OFFSET(M50,0,1)+OFFSET(M63,0,1)+OFFSET(M64,0,1))*$B55/Параметры!M$30)</f>
        <v>0</v>
      </c>
      <c r="N54" s="289">
        <f ca="1">IF(OR(AND($B55=0,N$2&gt;1),N$2=Prj_Len),M54,(OFFSET(N50,0,1)+OFFSET(N63,0,1)+OFFSET(N64,0,1))*$B55/Параметры!N$30)</f>
        <v>0</v>
      </c>
      <c r="O54" s="289">
        <f ca="1">IF(OR(AND($B55=0,O$2&gt;1),O$2=Prj_Len),N54,(OFFSET(O50,0,1)+OFFSET(O63,0,1)+OFFSET(O64,0,1))*$B55/Параметры!O$30)</f>
        <v>0</v>
      </c>
      <c r="P54" s="289">
        <f ca="1">IF(OR(AND($B55=0,P$2&gt;1),P$2=Prj_Len),O54,(OFFSET(P50,0,1)+OFFSET(P63,0,1)+OFFSET(P64,0,1))*$B55/Параметры!P$30)</f>
        <v>0</v>
      </c>
      <c r="Q54" s="289">
        <f ca="1">IF(OR(AND($B55=0,Q$2&gt;1),Q$2=Prj_Len),P54,(OFFSET(Q50,0,1)+OFFSET(Q63,0,1)+OFFSET(Q64,0,1))*$B55/Параметры!Q$30)</f>
        <v>0</v>
      </c>
      <c r="R54" s="289">
        <f ca="1">IF(OR(AND($B55=0,R$2&gt;1),R$2=Prj_Len),Q54,(OFFSET(R50,0,1)+OFFSET(R63,0,1)+OFFSET(R64,0,1))*$B55/Параметры!R$30)</f>
        <v>0</v>
      </c>
      <c r="S54" s="289">
        <f ca="1">IF(OR(AND($B55=0,S$2&gt;1),S$2=Prj_Len),R54,(OFFSET(S50,0,1)+OFFSET(S63,0,1)+OFFSET(S64,0,1))*$B55/Параметры!S$30)</f>
        <v>0</v>
      </c>
      <c r="T54" s="289">
        <f ca="1">IF(OR(AND($B55=0,T$2&gt;1),T$2=Prj_Len),S54,(OFFSET(T50,0,1)+OFFSET(T63,0,1)+OFFSET(T64,0,1))*$B55/Параметры!T$30)</f>
        <v>0</v>
      </c>
      <c r="U54" s="289">
        <f ca="1">IF(OR(AND($B55=0,U$2&gt;1),U$2=Prj_Len),T54,(OFFSET(U50,0,1)+OFFSET(U63,0,1)+OFFSET(U64,0,1))*$B55/Параметры!U$30)</f>
        <v>0</v>
      </c>
      <c r="V54" s="289">
        <f ca="1">IF(OR(AND($B55=0,V$2&gt;1),V$2=Prj_Len),U54,(OFFSET(V50,0,1)+OFFSET(V63,0,1)+OFFSET(V64,0,1))*$B55/Параметры!V$30)</f>
        <v>0</v>
      </c>
      <c r="W54" s="289">
        <f ca="1">IF(OR(AND($B55=0,W$2&gt;1),W$2=Prj_Len),V54,(OFFSET(W50,0,1)+OFFSET(W63,0,1)+OFFSET(W64,0,1))*$B55/Параметры!W$30)</f>
        <v>0</v>
      </c>
      <c r="X54" s="289">
        <f ca="1">IF(OR(AND($B55=0,X$2&gt;1),X$2=Prj_Len),W54,(OFFSET(X50,0,1)+OFFSET(X63,0,1)+OFFSET(X64,0,1))*$B55/Параметры!X$30)</f>
        <v>0</v>
      </c>
      <c r="Y54" s="289">
        <f ca="1">IF(OR(AND($B55=0,Y$2&gt;1),Y$2=Prj_Len),X54,(OFFSET(Y50,0,1)+OFFSET(Y63,0,1)+OFFSET(Y64,0,1))*$B55/Параметры!Y$30)</f>
        <v>0</v>
      </c>
      <c r="Z54" s="289">
        <f ca="1">IF(OR(AND($B55=0,Z$2&gt;1),Z$2=Prj_Len),Y54,(OFFSET(Z50,0,1)+OFFSET(Z63,0,1)+OFFSET(Z64,0,1))*$B55/Параметры!Z$30)</f>
        <v>0</v>
      </c>
      <c r="AA54" s="289">
        <f ca="1">IF(OR(AND($B55=0,AA$2&gt;1),AA$2=Prj_Len),Z54,(OFFSET(AA50,0,1)+OFFSET(AA63,0,1)+OFFSET(AA64,0,1))*$B55/Параметры!AA$30)</f>
        <v>0</v>
      </c>
      <c r="AB54" s="289">
        <f ca="1">IF(OR(AND($B55=0,AB$2&gt;1),AB$2=Prj_Len),AA54,(OFFSET(AB50,0,1)+OFFSET(AB63,0,1)+OFFSET(AB64,0,1))*$B55/Параметры!AB$30)</f>
        <v>0</v>
      </c>
      <c r="AC54" s="289">
        <f ca="1">IF(OR(AND($B55=0,AC$2&gt;1),AC$2=Prj_Len),AB54,(OFFSET(AC50,0,1)+OFFSET(AC63,0,1)+OFFSET(AC64,0,1))*$B55/Параметры!AC$30)</f>
        <v>0</v>
      </c>
      <c r="AD54" s="289">
        <f ca="1">IF(OR(AND($B55=0,AD$2&gt;1),AD$2=Prj_Len),AC54,(OFFSET(AD50,0,1)+OFFSET(AD63,0,1)+OFFSET(AD64,0,1))*$B55/Параметры!AD$30)</f>
        <v>0</v>
      </c>
      <c r="AE54" s="289">
        <f ca="1">IF(OR(AND($B55=0,AE$2&gt;1),AE$2=Prj_Len),AD54,(OFFSET(AE50,0,1)+OFFSET(AE63,0,1)+OFFSET(AE64,0,1))*$B55/Параметры!AE$30)</f>
        <v>0</v>
      </c>
      <c r="AF54" s="289">
        <f ca="1">IF(OR(AND($B55=0,AF$2&gt;1),AF$2=Prj_Len),AE54,(OFFSET(AF50,0,1)+OFFSET(AF63,0,1)+OFFSET(AF64,0,1))*$B55/Параметры!AF$30)</f>
        <v>0</v>
      </c>
      <c r="AG54" s="289">
        <f ca="1">IF(OR(AND($B55=0,AG$2&gt;1),AG$2=Prj_Len),AF54,(OFFSET(AG50,0,1)+OFFSET(AG63,0,1)+OFFSET(AG64,0,1))*$B55/Параметры!AG$30)</f>
        <v>0</v>
      </c>
      <c r="AH54" s="289">
        <f ca="1">IF(OR(AND($B55=0,AH$2&gt;1),AH$2=Prj_Len),AG54,(OFFSET(AH50,0,1)+OFFSET(AH63,0,1)+OFFSET(AH64,0,1))*$B55/Параметры!AH$30)</f>
        <v>0</v>
      </c>
      <c r="AI54" s="289">
        <f ca="1">IF(OR(AND($B55=0,AI$2&gt;1),AI$2=Prj_Len),AH54,(OFFSET(AI50,0,1)+OFFSET(AI63,0,1)+OFFSET(AI64,0,1))*$B55/Параметры!AI$30)</f>
        <v>0</v>
      </c>
      <c r="AJ54" s="289">
        <f ca="1">IF(OR(AND($B55=0,AJ$2&gt;1),AJ$2=Prj_Len),AI54,(OFFSET(AJ50,0,1)+OFFSET(AJ63,0,1)+OFFSET(AJ64,0,1))*$B55/Параметры!AJ$30)</f>
        <v>0</v>
      </c>
      <c r="AK54" s="289">
        <f ca="1">IF(OR(AND($B55=0,AK$2&gt;1),AK$2=Prj_Len),AJ54,(OFFSET(AK50,0,1)+OFFSET(AK63,0,1)+OFFSET(AK64,0,1))*$B55/Параметры!AK$30)</f>
        <v>0</v>
      </c>
      <c r="AL54" s="289">
        <f ca="1">IF(OR(AND($B55=0,AL$2&gt;1),AL$2=Prj_Len),AK54,(OFFSET(AL50,0,1)+OFFSET(AL63,0,1)+OFFSET(AL64,0,1))*$B55/Параметры!AL$30)</f>
        <v>0</v>
      </c>
      <c r="AM54" s="289">
        <f ca="1">IF(OR(AND($B55=0,AM$2&gt;1),AM$2=Prj_Len),AL54,(OFFSET(AM50,0,1)+OFFSET(AM63,0,1)+OFFSET(AM64,0,1))*$B55/Параметры!AM$30)</f>
        <v>0</v>
      </c>
      <c r="AN54" s="289">
        <f ca="1">IF(OR(AND($B55=0,AN$2&gt;1),AN$2=Prj_Len),AM54,(OFFSET(AN50,0,1)+OFFSET(AN63,0,1)+OFFSET(AN64,0,1))*$B55/Параметры!AN$30)</f>
        <v>0</v>
      </c>
      <c r="AO54" s="289">
        <f ca="1">IF(OR(AND($B55=0,AO$2&gt;1),AO$2=Prj_Len),AN54,(OFFSET(AO50,0,1)+OFFSET(AO63,0,1)+OFFSET(AO64,0,1))*$B55/Параметры!AO$30)</f>
        <v>0</v>
      </c>
      <c r="AP54" s="289">
        <f ca="1">IF(OR(AND($B55=0,AP$2&gt;1),AP$2=Prj_Len),AO54,(OFFSET(AP50,0,1)+OFFSET(AP63,0,1)+OFFSET(AP64,0,1))*$B55/Параметры!AP$30)</f>
        <v>0</v>
      </c>
      <c r="AQ54" s="289">
        <f ca="1">IF(OR(AND($B55=0,AQ$2&gt;1),AQ$2=Prj_Len),AP54,(OFFSET(AQ50,0,1)+OFFSET(AQ63,0,1)+OFFSET(AQ64,0,1))*$B55/Параметры!AQ$30)</f>
        <v>0</v>
      </c>
      <c r="AR54" s="289">
        <f ca="1">IF(OR(AND($B55=0,AR$2&gt;1),AR$2=Prj_Len),AQ54,(OFFSET(AR50,0,1)+OFFSET(AR63,0,1)+OFFSET(AR64,0,1))*$B55/Параметры!AR$30)</f>
        <v>0</v>
      </c>
      <c r="AS54" s="289">
        <f ca="1">IF(OR(AND($B55=0,AS$2&gt;1),AS$2=Prj_Len),AR54,(OFFSET(AS50,0,1)+OFFSET(AS63,0,1)+OFFSET(AS64,0,1))*$B55/Параметры!AS$30)</f>
        <v>0</v>
      </c>
      <c r="AT54" s="289">
        <f ca="1">IF(OR(AND($B55=0,AT$2&gt;1),AT$2=Prj_Len),AS54,(OFFSET(AT50,0,1)+OFFSET(AT63,0,1)+OFFSET(AT64,0,1))*$B55/Параметры!AT$30)</f>
        <v>0</v>
      </c>
      <c r="AU54" s="289">
        <f ca="1">IF(OR(AND($B55=0,AU$2&gt;1),AU$2=Prj_Len),AT54,(OFFSET(AU50,0,1)+OFFSET(AU63,0,1)+OFFSET(AU64,0,1))*$B55/Параметры!AU$30)</f>
        <v>0</v>
      </c>
      <c r="AV54" s="289">
        <f ca="1">IF(OR(AND($B55=0,AV$2&gt;1),AV$2=Prj_Len),AU54,(OFFSET(AV50,0,1)+OFFSET(AV63,0,1)+OFFSET(AV64,0,1))*$B55/Параметры!AV$30)</f>
        <v>0</v>
      </c>
      <c r="AW54" s="289">
        <f ca="1">IF(OR(AND($B55=0,AW$2&gt;1),AW$2=Prj_Len),AV54,(OFFSET(AW50,0,1)+OFFSET(AW63,0,1)+OFFSET(AW64,0,1))*$B55/Параметры!AW$30)</f>
        <v>0</v>
      </c>
      <c r="AX54" s="289">
        <f ca="1">IF(OR(AND($B55=0,AX$2&gt;1),AX$2=Prj_Len),AW54,(OFFSET(AX50,0,1)+OFFSET(AX63,0,1)+OFFSET(AX64,0,1))*$B55/Параметры!AX$30)</f>
        <v>0</v>
      </c>
      <c r="AY54" s="289">
        <f ca="1">IF(OR(AND($B55=0,AY$2&gt;1),AY$2=Prj_Len),AX54,(OFFSET(AY50,0,1)+OFFSET(AY63,0,1)+OFFSET(AY64,0,1))*$B55/Параметры!AY$30)</f>
        <v>0</v>
      </c>
      <c r="AZ54" s="289">
        <f ca="1">IF(OR(AND($B55=0,AZ$2&gt;1),AZ$2=Prj_Len),AY54,(OFFSET(AZ50,0,1)+OFFSET(AZ63,0,1)+OFFSET(AZ64,0,1))*$B55/Параметры!AZ$30)</f>
        <v>0</v>
      </c>
      <c r="BA54" s="289">
        <f ca="1">IF(OR(AND($B55=0,BA$2&gt;1),BA$2=Prj_Len),AZ54,(OFFSET(BA50,0,1)+OFFSET(BA63,0,1)+OFFSET(BA64,0,1))*$B55/Параметры!BA$30)</f>
        <v>0</v>
      </c>
      <c r="BB54" s="289">
        <f ca="1">IF(OR(AND($B55=0,BB$2&gt;1),BB$2=Prj_Len),BA54,(OFFSET(BB50,0,1)+OFFSET(BB63,0,1)+OFFSET(BB64,0,1))*$B55/Параметры!BB$30)</f>
        <v>0</v>
      </c>
      <c r="BC54" s="188"/>
      <c r="BD54" s="186"/>
    </row>
    <row r="55" spans="1:56" s="170" customFormat="1" hidden="1" outlineLevel="1" x14ac:dyDescent="0.3">
      <c r="A55" s="187" t="str">
        <f ca="1">Language!A$612</f>
        <v>средний период предоплаты</v>
      </c>
      <c r="B55" s="288">
        <f ca="1">$B$579</f>
        <v>0</v>
      </c>
      <c r="C55" s="163" t="str">
        <f ca="1">Language!$A$1474</f>
        <v>дней</v>
      </c>
      <c r="F55" s="170" t="s">
        <v>2347</v>
      </c>
      <c r="G55" s="185"/>
      <c r="H55" s="185"/>
      <c r="I55" s="185"/>
      <c r="J55" s="185"/>
      <c r="K55" s="185"/>
      <c r="L55" s="185"/>
      <c r="M55" s="185"/>
      <c r="N55" s="185"/>
      <c r="O55" s="185"/>
      <c r="P55" s="185"/>
      <c r="Q55" s="185"/>
      <c r="R55" s="185"/>
      <c r="S55" s="185"/>
      <c r="T55" s="185"/>
      <c r="U55" s="185"/>
      <c r="V55" s="185"/>
      <c r="W55" s="185"/>
      <c r="X55" s="185"/>
      <c r="Y55" s="185"/>
      <c r="Z55" s="185"/>
      <c r="AA55" s="185"/>
      <c r="AB55" s="185"/>
      <c r="AC55" s="185"/>
      <c r="AD55" s="185"/>
      <c r="AE55" s="185"/>
      <c r="AF55" s="185"/>
      <c r="AG55" s="185"/>
      <c r="AH55" s="185"/>
      <c r="AI55" s="185"/>
      <c r="AJ55" s="185"/>
      <c r="AK55" s="185"/>
      <c r="AL55" s="185"/>
      <c r="AM55" s="185"/>
      <c r="AN55" s="185"/>
      <c r="AO55" s="185"/>
      <c r="AP55" s="185"/>
      <c r="AQ55" s="185"/>
      <c r="AR55" s="185"/>
      <c r="AS55" s="185"/>
      <c r="AT55" s="185"/>
      <c r="AU55" s="185"/>
      <c r="AV55" s="185"/>
      <c r="AW55" s="185"/>
      <c r="AX55" s="185"/>
      <c r="AY55" s="185"/>
      <c r="AZ55" s="185"/>
      <c r="BA55" s="185"/>
      <c r="BB55" s="185"/>
      <c r="BC55" s="185"/>
      <c r="BD55" s="186"/>
    </row>
    <row r="56" spans="1:56" s="173" customFormat="1" hidden="1" outlineLevel="1" x14ac:dyDescent="0.3">
      <c r="A56" s="181" t="str">
        <f ca="1">Language!A$613</f>
        <v>поступление денежных средств, с НДС</v>
      </c>
      <c r="B56" s="176"/>
      <c r="C56" s="176" t="str">
        <f ca="1">CHOOSE(D56,CurName1,CurName2,CurName3)</f>
        <v>руб.</v>
      </c>
      <c r="D56" s="174">
        <f>D46</f>
        <v>1</v>
      </c>
      <c r="E56" s="170" t="s">
        <v>993</v>
      </c>
      <c r="F56" s="170" t="s">
        <v>740</v>
      </c>
      <c r="G56" s="182">
        <f ca="1">G50+G63+G64-IF(G$2=1,G52,G52-F52)+IF(G$2=1,G54,G54-F54)</f>
        <v>0</v>
      </c>
      <c r="H56" s="182">
        <f t="shared" ref="H56" ca="1" si="274">H50+H63+H64-IF(H$2=1,H52,H52-G52)+IF(H$2=1,H54,H54-G54)</f>
        <v>0</v>
      </c>
      <c r="I56" s="182">
        <f t="shared" ref="I56" ca="1" si="275">I50+I63+I64-IF(I$2=1,I52,I52-H52)+IF(I$2=1,I54,I54-H54)</f>
        <v>0</v>
      </c>
      <c r="J56" s="182">
        <f t="shared" ref="J56" ca="1" si="276">J50+J63+J64-IF(J$2=1,J52,J52-I52)+IF(J$2=1,J54,J54-I54)</f>
        <v>0</v>
      </c>
      <c r="K56" s="182">
        <f t="shared" ref="K56" ca="1" si="277">K50+K63+K64-IF(K$2=1,K52,K52-J52)+IF(K$2=1,K54,K54-J54)</f>
        <v>0</v>
      </c>
      <c r="L56" s="182">
        <f t="shared" ref="L56" ca="1" si="278">L50+L63+L64-IF(L$2=1,L52,L52-K52)+IF(L$2=1,L54,L54-K54)</f>
        <v>0</v>
      </c>
      <c r="M56" s="182">
        <f t="shared" ref="M56" ca="1" si="279">M50+M63+M64-IF(M$2=1,M52,M52-L52)+IF(M$2=1,M54,M54-L54)</f>
        <v>3953521.9741390087</v>
      </c>
      <c r="N56" s="182">
        <f t="shared" ref="N56" ca="1" si="280">N50+N63+N64-IF(N$2=1,N52,N52-M52)+IF(N$2=1,N54,N54-M54)</f>
        <v>7273782.2434152719</v>
      </c>
      <c r="O56" s="182">
        <f t="shared" ref="O56" ca="1" si="281">O50+O63+O64-IF(O$2=1,O52,O52-N52)+IF(O$2=1,O54,O54-N54)</f>
        <v>9302016.5971187949</v>
      </c>
      <c r="P56" s="182">
        <f t="shared" ref="P56" ca="1" si="282">P50+P63+P64-IF(P$2=1,P52,P52-O52)+IF(P$2=1,P54,P54-O54)</f>
        <v>11349823.679296834</v>
      </c>
      <c r="Q56" s="182">
        <f t="shared" ref="Q56" ca="1" si="283">Q50+Q63+Q64-IF(Q$2=1,Q52,Q52-P52)+IF(Q$2=1,Q54,Q54-P54)</f>
        <v>12073658.744532198</v>
      </c>
      <c r="R56" s="182">
        <f t="shared" ref="R56" ca="1" si="284">R50+R63+R64-IF(R$2=1,R52,R52-Q52)+IF(R$2=1,R54,R54-Q54)</f>
        <v>12132427.888979904</v>
      </c>
      <c r="S56" s="182">
        <f t="shared" ref="S56" ca="1" si="285">S50+S63+S64-IF(S$2=1,S52,S52-R52)+IF(S$2=1,S54,S54-R54)</f>
        <v>14905083.095209895</v>
      </c>
      <c r="T56" s="182">
        <f t="shared" ref="T56" ca="1" si="286">T50+T63+T64-IF(T$2=1,T52,T52-S52)+IF(T$2=1,T54,T54-S54)</f>
        <v>14971030.048249412</v>
      </c>
      <c r="U56" s="182">
        <f t="shared" ref="U56" ca="1" si="287">U50+U63+U64-IF(U$2=1,U52,U52-T52)+IF(U$2=1,U54,U54-T54)</f>
        <v>12992159.415778678</v>
      </c>
      <c r="V56" s="182">
        <f t="shared" ref="V56" ca="1" si="288">V50+V63+V64-IF(V$2=1,V52,V52-U52)+IF(V$2=1,V54,V54-U54)</f>
        <v>12370379.042716814</v>
      </c>
      <c r="W56" s="182">
        <f t="shared" ref="W56" ca="1" si="289">W50+W63+W64-IF(W$2=1,W52,W52-V52)+IF(W$2=1,W54,W54-V54)</f>
        <v>11047181.810757235</v>
      </c>
      <c r="X56" s="182">
        <f t="shared" ref="X56" ca="1" si="290">X50+X63+X64-IF(X$2=1,X52,X52-W52)+IF(X$2=1,X54,X54-W54)</f>
        <v>14579682.684757346</v>
      </c>
      <c r="Y56" s="182">
        <f t="shared" ref="Y56" ca="1" si="291">Y50+Y63+Y64-IF(Y$2=1,Y52,Y52-X52)+IF(Y$2=1,Y54,Y54-X54)</f>
        <v>19529688.970841765</v>
      </c>
      <c r="Z56" s="182">
        <f t="shared" ref="Z56" ca="1" si="292">Z50+Z63+Z64-IF(Z$2=1,Z52,Z52-Y52)+IF(Z$2=1,Z54,Z54-Y54)</f>
        <v>21021661.816961877</v>
      </c>
      <c r="AA56" s="182">
        <f t="shared" ref="AA56" ca="1" si="293">AA50+AA63+AA64-IF(AA$2=1,AA52,AA52-Z52)+IF(AA$2=1,AA54,AA54-Z54)</f>
        <v>16892356.022573881</v>
      </c>
      <c r="AB56" s="182">
        <f t="shared" ref="AB56" ca="1" si="294">AB50+AB63+AB64-IF(AB$2=1,AB52,AB52-AA52)+IF(AB$2=1,AB54,AB54-AA54)</f>
        <v>12023947.20938563</v>
      </c>
      <c r="AC56" s="182">
        <f t="shared" ref="AC56" ca="1" si="295">AC50+AC63+AC64-IF(AC$2=1,AC52,AC52-AB52)+IF(AC$2=1,AC54,AC54-AB54)</f>
        <v>10665065.224336777</v>
      </c>
      <c r="AD56" s="182">
        <f t="shared" ref="AD56" ca="1" si="296">AD50+AD63+AD64-IF(AD$2=1,AD52,AD52-AC52)+IF(AD$2=1,AD54,AD54-AC54)</f>
        <v>12148219.328906413</v>
      </c>
      <c r="AE56" s="182">
        <f t="shared" ref="AE56" ca="1" si="297">AE50+AE63+AE64-IF(AE$2=1,AE52,AE52-AD52)+IF(AE$2=1,AE54,AE54-AD54)</f>
        <v>15799388.080922492</v>
      </c>
      <c r="AF56" s="182">
        <f t="shared" ref="AF56" ca="1" si="298">AF50+AF63+AF64-IF(AF$2=1,AF52,AF52-AE52)+IF(AF$2=1,AF54,AF54-AE54)</f>
        <v>15869291.851144379</v>
      </c>
      <c r="AG56" s="182">
        <f t="shared" ref="AG56" ca="1" si="299">AG50+AG63+AG64-IF(AG$2=1,AG52,AG52-AF52)+IF(AG$2=1,AG54,AG54-AF54)</f>
        <v>13771688.9807254</v>
      </c>
      <c r="AH56" s="182">
        <f t="shared" ref="AH56" ca="1" si="300">AH50+AH63+AH64-IF(AH$2=1,AH52,AH52-AG52)+IF(AH$2=1,AH54,AH54-AG54)</f>
        <v>13112601.785279825</v>
      </c>
      <c r="AI56" s="182">
        <f t="shared" ref="AI56" ca="1" si="301">AI50+AI63+AI64-IF(AI$2=1,AI52,AI52-AH52)+IF(AI$2=1,AI54,AI54-AH54)</f>
        <v>11710012.719402671</v>
      </c>
      <c r="AJ56" s="182">
        <f t="shared" ref="AJ56" ca="1" si="302">AJ50+AJ63+AJ64-IF(AJ$2=1,AJ52,AJ52-AI52)+IF(AJ$2=1,AJ54,AJ54-AI54)</f>
        <v>15454463.645842789</v>
      </c>
      <c r="AK56" s="182">
        <f t="shared" ref="AK56" ca="1" si="303">AK50+AK63+AK64-IF(AK$2=1,AK52,AK52-AJ52)+IF(AK$2=1,AK54,AK54-AJ54)</f>
        <v>20701470.309092276</v>
      </c>
      <c r="AL56" s="182">
        <f t="shared" ref="AL56" ca="1" si="304">AL50+AL63+AL64-IF(AL$2=1,AL52,AL52-AK52)+IF(AL$2=1,AL54,AL54-AK54)</f>
        <v>22282961.525979593</v>
      </c>
      <c r="AM56" s="182">
        <f t="shared" ref="AM56" ca="1" si="305">AM50+AM63+AM64-IF(AM$2=1,AM52,AM52-AL52)+IF(AM$2=1,AM54,AM54-AL54)</f>
        <v>17905897.383928314</v>
      </c>
      <c r="AN56" s="182">
        <f t="shared" ref="AN56" ca="1" si="306">AN50+AN63+AN64-IF(AN$2=1,AN52,AN52-AM52)+IF(AN$2=1,AN54,AN54-AM54)</f>
        <v>12745384.041948771</v>
      </c>
      <c r="AO56" s="182">
        <f t="shared" ref="AO56" ca="1" si="307">AO50+AO63+AO64-IF(AO$2=1,AO52,AO52-AN52)+IF(AO$2=1,AO54,AO54-AN54)</f>
        <v>11304969.137796987</v>
      </c>
      <c r="AP56" s="182">
        <f t="shared" ref="AP56" ca="1" si="308">AP50+AP63+AP64-IF(AP$2=1,AP52,AP52-AO52)+IF(AP$2=1,AP54,AP54-AO54)</f>
        <v>12877112.488640802</v>
      </c>
      <c r="AQ56" s="182">
        <f t="shared" ref="AQ56" ca="1" si="309">AQ50+AQ63+AQ64-IF(AQ$2=1,AQ52,AQ52-AP52)+IF(AQ$2=1,AQ54,AQ54-AP54)</f>
        <v>16747351.365777846</v>
      </c>
      <c r="AR56" s="182">
        <f t="shared" ref="AR56" ca="1" si="310">AR50+AR63+AR64-IF(AR$2=1,AR52,AR52-AQ52)+IF(AR$2=1,AR54,AR54-AQ54)</f>
        <v>16821449.362213049</v>
      </c>
      <c r="AS56" s="182">
        <f t="shared" ref="AS56" ca="1" si="311">AS50+AS63+AS64-IF(AS$2=1,AS52,AS52-AR52)+IF(AS$2=1,AS54,AS54-AR54)</f>
        <v>14597990.31956893</v>
      </c>
      <c r="AT56" s="182">
        <f t="shared" ref="AT56" ca="1" si="312">AT50+AT63+AT64-IF(AT$2=1,AT52,AT52-AS52)+IF(AT$2=1,AT54,AT54-AS54)</f>
        <v>13899357.89239662</v>
      </c>
      <c r="AU56" s="182">
        <f t="shared" ref="AU56" ca="1" si="313">AU50+AU63+AU64-IF(AU$2=1,AU52,AU52-AT52)+IF(AU$2=1,AU54,AU54-AT54)</f>
        <v>12412613.482566837</v>
      </c>
      <c r="AV56" s="182">
        <f t="shared" ref="AV56" ca="1" si="314">AV50+AV63+AV64-IF(AV$2=1,AV52,AV52-AU52)+IF(AV$2=1,AV54,AV54-AU54)</f>
        <v>16381731.464593366</v>
      </c>
      <c r="AW56" s="182">
        <f t="shared" ref="AW56" ca="1" si="315">AW50+AW63+AW64-IF(AW$2=1,AW52,AW52-AV52)+IF(AW$2=1,AW54,AW54-AV54)</f>
        <v>21943558.527637821</v>
      </c>
      <c r="AX56" s="182">
        <f t="shared" ref="AX56" ca="1" si="316">AX50+AX63+AX64-IF(AX$2=1,AX52,AX52-AW52)+IF(AX$2=1,AX54,AX54-AW54)</f>
        <v>23619939.217538379</v>
      </c>
      <c r="AY56" s="182">
        <f t="shared" ref="AY56" ca="1" si="317">AY50+AY63+AY64-IF(AY$2=1,AY52,AY52-AX52)+IF(AY$2=1,AY54,AY54-AX54)</f>
        <v>18980251.226964023</v>
      </c>
      <c r="AZ56" s="182">
        <f t="shared" ref="AZ56" ca="1" si="318">AZ50+AZ63+AZ64-IF(AZ$2=1,AZ52,AZ52-AY52)+IF(AZ$2=1,AZ54,AZ54-AY54)</f>
        <v>13510107.084465703</v>
      </c>
      <c r="BA56" s="182">
        <f t="shared" ref="BA56" ca="1" si="319">BA50+BA63+BA64-IF(BA$2=1,BA52,BA52-AZ52)+IF(BA$2=1,BA54,BA54-AZ54)</f>
        <v>11983267.286064811</v>
      </c>
      <c r="BB56" s="182">
        <f t="shared" ref="BB56" ca="1" si="320">BB50+BB63+BB64-IF(BB$2=1,BB52,BB52-BA52)+IF(BB$2=1,BB54,BB54-BA54)</f>
        <v>13649739.237959255</v>
      </c>
      <c r="BC56" s="182"/>
      <c r="BD56" s="183">
        <f ca="1">SUM(G56:BC56)</f>
        <v>607314284.21640873</v>
      </c>
    </row>
    <row r="57" spans="1:56" hidden="1" outlineLevel="1" x14ac:dyDescent="0.3">
      <c r="A57" s="184" t="str">
        <f ca="1">Language!A$614</f>
        <v>темп изменения цен</v>
      </c>
      <c r="B57" s="189"/>
      <c r="C57" s="163" t="str">
        <f ca="1">Language!$A$480</f>
        <v>% в год</v>
      </c>
      <c r="D57" s="174"/>
      <c r="F57" s="170" t="s">
        <v>2346</v>
      </c>
      <c r="G57" s="290">
        <f>CHOOSE($D46,Параметры!G$47,Параметры!G$56,Параметры!G$62)</f>
        <v>0.06</v>
      </c>
      <c r="H57" s="290">
        <f>CHOOSE($D46,Параметры!H$47,Параметры!H$56,Параметры!H$62)</f>
        <v>0.06</v>
      </c>
      <c r="I57" s="290">
        <f>CHOOSE($D46,Параметры!I$47,Параметры!I$56,Параметры!I$62)</f>
        <v>0.06</v>
      </c>
      <c r="J57" s="290">
        <f>CHOOSE($D46,Параметры!J$47,Параметры!J$56,Параметры!J$62)</f>
        <v>0.06</v>
      </c>
      <c r="K57" s="290">
        <f>CHOOSE($D46,Параметры!K$47,Параметры!K$56,Параметры!K$62)</f>
        <v>0.06</v>
      </c>
      <c r="L57" s="290">
        <f>CHOOSE($D46,Параметры!L$47,Параметры!L$56,Параметры!L$62)</f>
        <v>0.06</v>
      </c>
      <c r="M57" s="290">
        <f>CHOOSE($D46,Параметры!M$47,Параметры!M$56,Параметры!M$62)</f>
        <v>0.06</v>
      </c>
      <c r="N57" s="290">
        <f>CHOOSE($D46,Параметры!N$47,Параметры!N$56,Параметры!N$62)</f>
        <v>0.06</v>
      </c>
      <c r="O57" s="290">
        <f>CHOOSE($D46,Параметры!O$47,Параметры!O$56,Параметры!O$62)</f>
        <v>0.06</v>
      </c>
      <c r="P57" s="290">
        <f>CHOOSE($D46,Параметры!P$47,Параметры!P$56,Параметры!P$62)</f>
        <v>0.06</v>
      </c>
      <c r="Q57" s="290">
        <f>CHOOSE($D46,Параметры!Q$47,Параметры!Q$56,Параметры!Q$62)</f>
        <v>0.06</v>
      </c>
      <c r="R57" s="290">
        <f>CHOOSE($D46,Параметры!R$47,Параметры!R$56,Параметры!R$62)</f>
        <v>0.06</v>
      </c>
      <c r="S57" s="290">
        <f>CHOOSE($D46,Параметры!S$47,Параметры!S$56,Параметры!S$62)</f>
        <v>0.06</v>
      </c>
      <c r="T57" s="290">
        <f>CHOOSE($D46,Параметры!T$47,Параметры!T$56,Параметры!T$62)</f>
        <v>0.06</v>
      </c>
      <c r="U57" s="290">
        <f>CHOOSE($D46,Параметры!U$47,Параметры!U$56,Параметры!U$62)</f>
        <v>0.06</v>
      </c>
      <c r="V57" s="290">
        <f>CHOOSE($D46,Параметры!V$47,Параметры!V$56,Параметры!V$62)</f>
        <v>0.06</v>
      </c>
      <c r="W57" s="290">
        <f>CHOOSE($D46,Параметры!W$47,Параметры!W$56,Параметры!W$62)</f>
        <v>0.06</v>
      </c>
      <c r="X57" s="290">
        <f>CHOOSE($D46,Параметры!X$47,Параметры!X$56,Параметры!X$62)</f>
        <v>0.06</v>
      </c>
      <c r="Y57" s="290">
        <f>CHOOSE($D46,Параметры!Y$47,Параметры!Y$56,Параметры!Y$62)</f>
        <v>0.06</v>
      </c>
      <c r="Z57" s="290">
        <f>CHOOSE($D46,Параметры!Z$47,Параметры!Z$56,Параметры!Z$62)</f>
        <v>0.06</v>
      </c>
      <c r="AA57" s="290">
        <f>CHOOSE($D46,Параметры!AA$47,Параметры!AA$56,Параметры!AA$62)</f>
        <v>0.06</v>
      </c>
      <c r="AB57" s="290">
        <f>CHOOSE($D46,Параметры!AB$47,Параметры!AB$56,Параметры!AB$62)</f>
        <v>0.06</v>
      </c>
      <c r="AC57" s="290">
        <f>CHOOSE($D46,Параметры!AC$47,Параметры!AC$56,Параметры!AC$62)</f>
        <v>0.06</v>
      </c>
      <c r="AD57" s="290">
        <f>CHOOSE($D46,Параметры!AD$47,Параметры!AD$56,Параметры!AD$62)</f>
        <v>0.06</v>
      </c>
      <c r="AE57" s="290">
        <f>CHOOSE($D46,Параметры!AE$47,Параметры!AE$56,Параметры!AE$62)</f>
        <v>0.06</v>
      </c>
      <c r="AF57" s="290">
        <f>CHOOSE($D46,Параметры!AF$47,Параметры!AF$56,Параметры!AF$62)</f>
        <v>0.06</v>
      </c>
      <c r="AG57" s="290">
        <f>CHOOSE($D46,Параметры!AG$47,Параметры!AG$56,Параметры!AG$62)</f>
        <v>0.06</v>
      </c>
      <c r="AH57" s="290">
        <f>CHOOSE($D46,Параметры!AH$47,Параметры!AH$56,Параметры!AH$62)</f>
        <v>0.06</v>
      </c>
      <c r="AI57" s="290">
        <f>CHOOSE($D46,Параметры!AI$47,Параметры!AI$56,Параметры!AI$62)</f>
        <v>0.06</v>
      </c>
      <c r="AJ57" s="290">
        <f>CHOOSE($D46,Параметры!AJ$47,Параметры!AJ$56,Параметры!AJ$62)</f>
        <v>0.06</v>
      </c>
      <c r="AK57" s="290">
        <f>CHOOSE($D46,Параметры!AK$47,Параметры!AK$56,Параметры!AK$62)</f>
        <v>0.06</v>
      </c>
      <c r="AL57" s="290">
        <f>CHOOSE($D46,Параметры!AL$47,Параметры!AL$56,Параметры!AL$62)</f>
        <v>0.06</v>
      </c>
      <c r="AM57" s="290">
        <f>CHOOSE($D46,Параметры!AM$47,Параметры!AM$56,Параметры!AM$62)</f>
        <v>0.06</v>
      </c>
      <c r="AN57" s="290">
        <f>CHOOSE($D46,Параметры!AN$47,Параметры!AN$56,Параметры!AN$62)</f>
        <v>0.06</v>
      </c>
      <c r="AO57" s="290">
        <f>CHOOSE($D46,Параметры!AO$47,Параметры!AO$56,Параметры!AO$62)</f>
        <v>0.06</v>
      </c>
      <c r="AP57" s="290">
        <f>CHOOSE($D46,Параметры!AP$47,Параметры!AP$56,Параметры!AP$62)</f>
        <v>0.06</v>
      </c>
      <c r="AQ57" s="290">
        <f>CHOOSE($D46,Параметры!AQ$47,Параметры!AQ$56,Параметры!AQ$62)</f>
        <v>0.06</v>
      </c>
      <c r="AR57" s="290">
        <f>CHOOSE($D46,Параметры!AR$47,Параметры!AR$56,Параметры!AR$62)</f>
        <v>0.06</v>
      </c>
      <c r="AS57" s="290">
        <f>CHOOSE($D46,Параметры!AS$47,Параметры!AS$56,Параметры!AS$62)</f>
        <v>0.06</v>
      </c>
      <c r="AT57" s="290">
        <f>CHOOSE($D46,Параметры!AT$47,Параметры!AT$56,Параметры!AT$62)</f>
        <v>0.06</v>
      </c>
      <c r="AU57" s="290">
        <f>CHOOSE($D46,Параметры!AU$47,Параметры!AU$56,Параметры!AU$62)</f>
        <v>0.06</v>
      </c>
      <c r="AV57" s="290">
        <f>CHOOSE($D46,Параметры!AV$47,Параметры!AV$56,Параметры!AV$62)</f>
        <v>0.06</v>
      </c>
      <c r="AW57" s="290">
        <f>CHOOSE($D46,Параметры!AW$47,Параметры!AW$56,Параметры!AW$62)</f>
        <v>0.06</v>
      </c>
      <c r="AX57" s="290">
        <f>CHOOSE($D46,Параметры!AX$47,Параметры!AX$56,Параметры!AX$62)</f>
        <v>0.06</v>
      </c>
      <c r="AY57" s="290">
        <f>CHOOSE($D46,Параметры!AY$47,Параметры!AY$56,Параметры!AY$62)</f>
        <v>0.06</v>
      </c>
      <c r="AZ57" s="290">
        <f>CHOOSE($D46,Параметры!AZ$47,Параметры!AZ$56,Параметры!AZ$62)</f>
        <v>0.06</v>
      </c>
      <c r="BA57" s="290">
        <f>CHOOSE($D46,Параметры!BA$47,Параметры!BA$56,Параметры!BA$62)</f>
        <v>0.06</v>
      </c>
      <c r="BB57" s="290">
        <f>CHOOSE($D46,Параметры!BB$47,Параметры!BB$56,Параметры!BB$62)</f>
        <v>0.06</v>
      </c>
      <c r="BC57" s="190"/>
      <c r="BD57" s="186"/>
    </row>
    <row r="58" spans="1:56" hidden="1" outlineLevel="1" x14ac:dyDescent="0.3">
      <c r="A58" s="184" t="str">
        <f ca="1">Language!A$615</f>
        <v>ставка НДС</v>
      </c>
      <c r="B58" s="189"/>
      <c r="C58" s="163" t="s">
        <v>1</v>
      </c>
      <c r="D58" s="174"/>
      <c r="F58" s="170" t="s">
        <v>2346</v>
      </c>
      <c r="G58" s="290">
        <f>IF(G$2=1,Параметры!G$72,IF(F58=Параметры!F$72,Параметры!F$72,F58))</f>
        <v>0</v>
      </c>
      <c r="H58" s="290">
        <f>IF(H$2=1,Параметры!H$72,IF(G58=Параметры!G$72,Параметры!G$72,G58))</f>
        <v>0</v>
      </c>
      <c r="I58" s="290">
        <f>IF(I$2=1,Параметры!I$72,IF(H58=Параметры!H$72,Параметры!H$72,H58))</f>
        <v>0</v>
      </c>
      <c r="J58" s="290">
        <f>IF(J$2=1,Параметры!J$72,IF(I58=Параметры!I$72,Параметры!I$72,I58))</f>
        <v>0</v>
      </c>
      <c r="K58" s="290">
        <f>IF(K$2=1,Параметры!K$72,IF(J58=Параметры!J$72,Параметры!J$72,J58))</f>
        <v>0</v>
      </c>
      <c r="L58" s="290">
        <f>IF(L$2=1,Параметры!L$72,IF(K58=Параметры!K$72,Параметры!K$72,K58))</f>
        <v>0</v>
      </c>
      <c r="M58" s="290">
        <f>IF(M$2=1,Параметры!M$72,IF(L58=Параметры!L$72,Параметры!L$72,L58))</f>
        <v>0</v>
      </c>
      <c r="N58" s="290">
        <f>IF(N$2=1,Параметры!N$72,IF(M58=Параметры!M$72,Параметры!M$72,M58))</f>
        <v>0</v>
      </c>
      <c r="O58" s="290">
        <f>IF(O$2=1,Параметры!O$72,IF(N58=Параметры!N$72,Параметры!N$72,N58))</f>
        <v>0</v>
      </c>
      <c r="P58" s="290">
        <f>IF(P$2=1,Параметры!P$72,IF(O58=Параметры!O$72,Параметры!O$72,O58))</f>
        <v>0</v>
      </c>
      <c r="Q58" s="290">
        <f>IF(Q$2=1,Параметры!Q$72,IF(P58=Параметры!P$72,Параметры!P$72,P58))</f>
        <v>0</v>
      </c>
      <c r="R58" s="290">
        <f>IF(R$2=1,Параметры!R$72,IF(Q58=Параметры!Q$72,Параметры!Q$72,Q58))</f>
        <v>0</v>
      </c>
      <c r="S58" s="290">
        <f>IF(S$2=1,Параметры!S$72,IF(R58=Параметры!R$72,Параметры!R$72,R58))</f>
        <v>0</v>
      </c>
      <c r="T58" s="290">
        <f>IF(T$2=1,Параметры!T$72,IF(S58=Параметры!S$72,Параметры!S$72,S58))</f>
        <v>0</v>
      </c>
      <c r="U58" s="290">
        <f>IF(U$2=1,Параметры!U$72,IF(T58=Параметры!T$72,Параметры!T$72,T58))</f>
        <v>0</v>
      </c>
      <c r="V58" s="290">
        <f>IF(V$2=1,Параметры!V$72,IF(U58=Параметры!U$72,Параметры!U$72,U58))</f>
        <v>0</v>
      </c>
      <c r="W58" s="290">
        <f>IF(W$2=1,Параметры!W$72,IF(V58=Параметры!V$72,Параметры!V$72,V58))</f>
        <v>0</v>
      </c>
      <c r="X58" s="290">
        <f>IF(X$2=1,Параметры!X$72,IF(W58=Параметры!W$72,Параметры!W$72,W58))</f>
        <v>0</v>
      </c>
      <c r="Y58" s="290">
        <f>IF(Y$2=1,Параметры!Y$72,IF(X58=Параметры!X$72,Параметры!X$72,X58))</f>
        <v>0</v>
      </c>
      <c r="Z58" s="290">
        <f>IF(Z$2=1,Параметры!Z$72,IF(Y58=Параметры!Y$72,Параметры!Y$72,Y58))</f>
        <v>0</v>
      </c>
      <c r="AA58" s="290">
        <f>IF(AA$2=1,Параметры!AA$72,IF(Z58=Параметры!Z$72,Параметры!Z$72,Z58))</f>
        <v>0</v>
      </c>
      <c r="AB58" s="290">
        <f>IF(AB$2=1,Параметры!AB$72,IF(AA58=Параметры!AA$72,Параметры!AA$72,AA58))</f>
        <v>0</v>
      </c>
      <c r="AC58" s="290">
        <f>IF(AC$2=1,Параметры!AC$72,IF(AB58=Параметры!AB$72,Параметры!AB$72,AB58))</f>
        <v>0</v>
      </c>
      <c r="AD58" s="290">
        <f>IF(AD$2=1,Параметры!AD$72,IF(AC58=Параметры!AC$72,Параметры!AC$72,AC58))</f>
        <v>0</v>
      </c>
      <c r="AE58" s="290">
        <f>IF(AE$2=1,Параметры!AE$72,IF(AD58=Параметры!AD$72,Параметры!AD$72,AD58))</f>
        <v>0</v>
      </c>
      <c r="AF58" s="290">
        <f>IF(AF$2=1,Параметры!AF$72,IF(AE58=Параметры!AE$72,Параметры!AE$72,AE58))</f>
        <v>0</v>
      </c>
      <c r="AG58" s="290">
        <f>IF(AG$2=1,Параметры!AG$72,IF(AF58=Параметры!AF$72,Параметры!AF$72,AF58))</f>
        <v>0</v>
      </c>
      <c r="AH58" s="290">
        <f>IF(AH$2=1,Параметры!AH$72,IF(AG58=Параметры!AG$72,Параметры!AG$72,AG58))</f>
        <v>0</v>
      </c>
      <c r="AI58" s="290">
        <f>IF(AI$2=1,Параметры!AI$72,IF(AH58=Параметры!AH$72,Параметры!AH$72,AH58))</f>
        <v>0</v>
      </c>
      <c r="AJ58" s="290">
        <f>IF(AJ$2=1,Параметры!AJ$72,IF(AI58=Параметры!AI$72,Параметры!AI$72,AI58))</f>
        <v>0</v>
      </c>
      <c r="AK58" s="290">
        <f>IF(AK$2=1,Параметры!AK$72,IF(AJ58=Параметры!AJ$72,Параметры!AJ$72,AJ58))</f>
        <v>0</v>
      </c>
      <c r="AL58" s="290">
        <f>IF(AL$2=1,Параметры!AL$72,IF(AK58=Параметры!AK$72,Параметры!AK$72,AK58))</f>
        <v>0</v>
      </c>
      <c r="AM58" s="290">
        <f>IF(AM$2=1,Параметры!AM$72,IF(AL58=Параметры!AL$72,Параметры!AL$72,AL58))</f>
        <v>0</v>
      </c>
      <c r="AN58" s="290">
        <f>IF(AN$2=1,Параметры!AN$72,IF(AM58=Параметры!AM$72,Параметры!AM$72,AM58))</f>
        <v>0</v>
      </c>
      <c r="AO58" s="290">
        <f>IF(AO$2=1,Параметры!AO$72,IF(AN58=Параметры!AN$72,Параметры!AN$72,AN58))</f>
        <v>0</v>
      </c>
      <c r="AP58" s="290">
        <f>IF(AP$2=1,Параметры!AP$72,IF(AO58=Параметры!AO$72,Параметры!AO$72,AO58))</f>
        <v>0</v>
      </c>
      <c r="AQ58" s="290">
        <f>IF(AQ$2=1,Параметры!AQ$72,IF(AP58=Параметры!AP$72,Параметры!AP$72,AP58))</f>
        <v>0</v>
      </c>
      <c r="AR58" s="290">
        <f>IF(AR$2=1,Параметры!AR$72,IF(AQ58=Параметры!AQ$72,Параметры!AQ$72,AQ58))</f>
        <v>0</v>
      </c>
      <c r="AS58" s="290">
        <f>IF(AS$2=1,Параметры!AS$72,IF(AR58=Параметры!AR$72,Параметры!AR$72,AR58))</f>
        <v>0</v>
      </c>
      <c r="AT58" s="290">
        <f>IF(AT$2=1,Параметры!AT$72,IF(AS58=Параметры!AS$72,Параметры!AS$72,AS58))</f>
        <v>0</v>
      </c>
      <c r="AU58" s="290">
        <f>IF(AU$2=1,Параметры!AU$72,IF(AT58=Параметры!AT$72,Параметры!AT$72,AT58))</f>
        <v>0</v>
      </c>
      <c r="AV58" s="290">
        <f>IF(AV$2=1,Параметры!AV$72,IF(AU58=Параметры!AU$72,Параметры!AU$72,AU58))</f>
        <v>0</v>
      </c>
      <c r="AW58" s="290">
        <f>IF(AW$2=1,Параметры!AW$72,IF(AV58=Параметры!AV$72,Параметры!AV$72,AV58))</f>
        <v>0</v>
      </c>
      <c r="AX58" s="290">
        <f>IF(AX$2=1,Параметры!AX$72,IF(AW58=Параметры!AW$72,Параметры!AW$72,AW58))</f>
        <v>0</v>
      </c>
      <c r="AY58" s="290">
        <f>IF(AY$2=1,Параметры!AY$72,IF(AX58=Параметры!AX$72,Параметры!AX$72,AX58))</f>
        <v>0</v>
      </c>
      <c r="AZ58" s="290">
        <f>IF(AZ$2=1,Параметры!AZ$72,IF(AY58=Параметры!AY$72,Параметры!AY$72,AY58))</f>
        <v>0</v>
      </c>
      <c r="BA58" s="290">
        <f>IF(BA$2=1,Параметры!BA$72,IF(AZ58=Параметры!AZ$72,Параметры!AZ$72,AZ58))</f>
        <v>0</v>
      </c>
      <c r="BB58" s="290">
        <f>IF(BB$2=1,Параметры!BB$72,IF(BA58=Параметры!BA$72,Параметры!BA$72,BA58))</f>
        <v>0</v>
      </c>
      <c r="BC58" s="190"/>
      <c r="BD58" s="186"/>
    </row>
    <row r="59" spans="1:56" hidden="1" outlineLevel="1" x14ac:dyDescent="0.3">
      <c r="A59" s="184" t="str">
        <f ca="1">Language!A$616</f>
        <v>акцизы, на единицу</v>
      </c>
      <c r="B59" s="174"/>
      <c r="C59" s="163" t="str">
        <f ca="1">CHOOSE(D59,CurName1,CurName2,CurName3)&amp;"/"&amp;C47</f>
        <v>руб./ед.</v>
      </c>
      <c r="D59" s="174">
        <f>D46</f>
        <v>1</v>
      </c>
      <c r="F59" s="170" t="s">
        <v>2346</v>
      </c>
      <c r="G59" s="287">
        <v>0</v>
      </c>
      <c r="H59" s="287">
        <f t="shared" ref="H59:H60" si="321">G59</f>
        <v>0</v>
      </c>
      <c r="I59" s="287">
        <f t="shared" ref="I59:I60" si="322">H59</f>
        <v>0</v>
      </c>
      <c r="J59" s="287">
        <f t="shared" ref="J59:J60" si="323">I59</f>
        <v>0</v>
      </c>
      <c r="K59" s="287">
        <f t="shared" ref="K59:K60" si="324">J59</f>
        <v>0</v>
      </c>
      <c r="L59" s="287">
        <f t="shared" ref="L59:L60" si="325">K59</f>
        <v>0</v>
      </c>
      <c r="M59" s="287">
        <f t="shared" ref="M59:M60" si="326">L59</f>
        <v>0</v>
      </c>
      <c r="N59" s="287">
        <f t="shared" ref="N59:N60" si="327">M59</f>
        <v>0</v>
      </c>
      <c r="O59" s="287">
        <f t="shared" ref="O59:O60" si="328">N59</f>
        <v>0</v>
      </c>
      <c r="P59" s="287">
        <f t="shared" ref="P59:P60" si="329">O59</f>
        <v>0</v>
      </c>
      <c r="Q59" s="287">
        <f t="shared" ref="Q59:Q60" si="330">P59</f>
        <v>0</v>
      </c>
      <c r="R59" s="287">
        <f t="shared" ref="R59:R60" si="331">Q59</f>
        <v>0</v>
      </c>
      <c r="S59" s="287">
        <f t="shared" ref="S59:S60" si="332">R59</f>
        <v>0</v>
      </c>
      <c r="T59" s="287">
        <f t="shared" ref="T59:T60" si="333">S59</f>
        <v>0</v>
      </c>
      <c r="U59" s="287">
        <f t="shared" ref="U59:U60" si="334">T59</f>
        <v>0</v>
      </c>
      <c r="V59" s="287">
        <f t="shared" ref="V59:V60" si="335">U59</f>
        <v>0</v>
      </c>
      <c r="W59" s="287">
        <f t="shared" ref="W59:W60" si="336">V59</f>
        <v>0</v>
      </c>
      <c r="X59" s="287">
        <f t="shared" ref="X59:X60" si="337">W59</f>
        <v>0</v>
      </c>
      <c r="Y59" s="287">
        <f t="shared" ref="Y59:Y60" si="338">X59</f>
        <v>0</v>
      </c>
      <c r="Z59" s="287">
        <f t="shared" ref="Z59:Z60" si="339">Y59</f>
        <v>0</v>
      </c>
      <c r="AA59" s="287">
        <f t="shared" ref="AA59:AA60" si="340">Z59</f>
        <v>0</v>
      </c>
      <c r="AB59" s="287">
        <f t="shared" ref="AB59:AB60" si="341">AA59</f>
        <v>0</v>
      </c>
      <c r="AC59" s="287">
        <f t="shared" ref="AC59:AC60" si="342">AB59</f>
        <v>0</v>
      </c>
      <c r="AD59" s="287">
        <f t="shared" ref="AD59:AD60" si="343">AC59</f>
        <v>0</v>
      </c>
      <c r="AE59" s="287">
        <f t="shared" ref="AE59:AE60" si="344">AD59</f>
        <v>0</v>
      </c>
      <c r="AF59" s="287">
        <f t="shared" ref="AF59:AF60" si="345">AE59</f>
        <v>0</v>
      </c>
      <c r="AG59" s="287">
        <f t="shared" ref="AG59:AG60" si="346">AF59</f>
        <v>0</v>
      </c>
      <c r="AH59" s="287">
        <f t="shared" ref="AH59:AH60" si="347">AG59</f>
        <v>0</v>
      </c>
      <c r="AI59" s="287">
        <f t="shared" ref="AI59:AI60" si="348">AH59</f>
        <v>0</v>
      </c>
      <c r="AJ59" s="287">
        <f t="shared" ref="AJ59:AJ60" si="349">AI59</f>
        <v>0</v>
      </c>
      <c r="AK59" s="287">
        <f t="shared" ref="AK59:AK60" si="350">AJ59</f>
        <v>0</v>
      </c>
      <c r="AL59" s="287">
        <f t="shared" ref="AL59:AL60" si="351">AK59</f>
        <v>0</v>
      </c>
      <c r="AM59" s="287">
        <f t="shared" ref="AM59:AM60" si="352">AL59</f>
        <v>0</v>
      </c>
      <c r="AN59" s="287">
        <f t="shared" ref="AN59:AN60" si="353">AM59</f>
        <v>0</v>
      </c>
      <c r="AO59" s="287">
        <f t="shared" ref="AO59:AO60" si="354">AN59</f>
        <v>0</v>
      </c>
      <c r="AP59" s="287">
        <f t="shared" ref="AP59:AP60" si="355">AO59</f>
        <v>0</v>
      </c>
      <c r="AQ59" s="287">
        <f t="shared" ref="AQ59:AQ60" si="356">AP59</f>
        <v>0</v>
      </c>
      <c r="AR59" s="287">
        <f t="shared" ref="AR59:AR60" si="357">AQ59</f>
        <v>0</v>
      </c>
      <c r="AS59" s="287">
        <f t="shared" ref="AS59:AS60" si="358">AR59</f>
        <v>0</v>
      </c>
      <c r="AT59" s="287">
        <f t="shared" ref="AT59:AT60" si="359">AS59</f>
        <v>0</v>
      </c>
      <c r="AU59" s="287">
        <f t="shared" ref="AU59:AU60" si="360">AT59</f>
        <v>0</v>
      </c>
      <c r="AV59" s="287">
        <f t="shared" ref="AV59:AV60" si="361">AU59</f>
        <v>0</v>
      </c>
      <c r="AW59" s="287">
        <f t="shared" ref="AW59:AW60" si="362">AV59</f>
        <v>0</v>
      </c>
      <c r="AX59" s="287">
        <f t="shared" ref="AX59:AX60" si="363">AW59</f>
        <v>0</v>
      </c>
      <c r="AY59" s="287">
        <f t="shared" ref="AY59:AY60" si="364">AX59</f>
        <v>0</v>
      </c>
      <c r="AZ59" s="287">
        <f t="shared" ref="AZ59:AZ60" si="365">AY59</f>
        <v>0</v>
      </c>
      <c r="BA59" s="287">
        <f t="shared" ref="BA59:BA60" si="366">AZ59</f>
        <v>0</v>
      </c>
      <c r="BB59" s="287">
        <f t="shared" ref="BB59:BB60" si="367">BA59</f>
        <v>0</v>
      </c>
      <c r="BC59" s="185"/>
      <c r="BD59" s="186"/>
    </row>
    <row r="60" spans="1:56" hidden="1" outlineLevel="1" x14ac:dyDescent="0.3">
      <c r="A60" s="184" t="str">
        <f ca="1">Language!A$617</f>
        <v>ставка акцизов, в процентах</v>
      </c>
      <c r="B60" s="189"/>
      <c r="C60" s="163" t="s">
        <v>1</v>
      </c>
      <c r="D60" s="174"/>
      <c r="F60" s="170" t="s">
        <v>2346</v>
      </c>
      <c r="G60" s="290">
        <v>0</v>
      </c>
      <c r="H60" s="290">
        <f t="shared" si="321"/>
        <v>0</v>
      </c>
      <c r="I60" s="290">
        <f t="shared" si="322"/>
        <v>0</v>
      </c>
      <c r="J60" s="290">
        <f t="shared" si="323"/>
        <v>0</v>
      </c>
      <c r="K60" s="290">
        <f t="shared" si="324"/>
        <v>0</v>
      </c>
      <c r="L60" s="290">
        <f t="shared" si="325"/>
        <v>0</v>
      </c>
      <c r="M60" s="290">
        <f t="shared" si="326"/>
        <v>0</v>
      </c>
      <c r="N60" s="290">
        <f t="shared" si="327"/>
        <v>0</v>
      </c>
      <c r="O60" s="290">
        <f t="shared" si="328"/>
        <v>0</v>
      </c>
      <c r="P60" s="290">
        <f t="shared" si="329"/>
        <v>0</v>
      </c>
      <c r="Q60" s="290">
        <f t="shared" si="330"/>
        <v>0</v>
      </c>
      <c r="R60" s="290">
        <f t="shared" si="331"/>
        <v>0</v>
      </c>
      <c r="S60" s="290">
        <f t="shared" si="332"/>
        <v>0</v>
      </c>
      <c r="T60" s="290">
        <f t="shared" si="333"/>
        <v>0</v>
      </c>
      <c r="U60" s="290">
        <f t="shared" si="334"/>
        <v>0</v>
      </c>
      <c r="V60" s="290">
        <f t="shared" si="335"/>
        <v>0</v>
      </c>
      <c r="W60" s="290">
        <f t="shared" si="336"/>
        <v>0</v>
      </c>
      <c r="X60" s="290">
        <f t="shared" si="337"/>
        <v>0</v>
      </c>
      <c r="Y60" s="290">
        <f t="shared" si="338"/>
        <v>0</v>
      </c>
      <c r="Z60" s="290">
        <f t="shared" si="339"/>
        <v>0</v>
      </c>
      <c r="AA60" s="290">
        <f t="shared" si="340"/>
        <v>0</v>
      </c>
      <c r="AB60" s="290">
        <f t="shared" si="341"/>
        <v>0</v>
      </c>
      <c r="AC60" s="290">
        <f t="shared" si="342"/>
        <v>0</v>
      </c>
      <c r="AD60" s="290">
        <f t="shared" si="343"/>
        <v>0</v>
      </c>
      <c r="AE60" s="290">
        <f t="shared" si="344"/>
        <v>0</v>
      </c>
      <c r="AF60" s="290">
        <f t="shared" si="345"/>
        <v>0</v>
      </c>
      <c r="AG60" s="290">
        <f t="shared" si="346"/>
        <v>0</v>
      </c>
      <c r="AH60" s="290">
        <f t="shared" si="347"/>
        <v>0</v>
      </c>
      <c r="AI60" s="290">
        <f t="shared" si="348"/>
        <v>0</v>
      </c>
      <c r="AJ60" s="290">
        <f t="shared" si="349"/>
        <v>0</v>
      </c>
      <c r="AK60" s="290">
        <f t="shared" si="350"/>
        <v>0</v>
      </c>
      <c r="AL60" s="290">
        <f t="shared" si="351"/>
        <v>0</v>
      </c>
      <c r="AM60" s="290">
        <f t="shared" si="352"/>
        <v>0</v>
      </c>
      <c r="AN60" s="290">
        <f t="shared" si="353"/>
        <v>0</v>
      </c>
      <c r="AO60" s="290">
        <f t="shared" si="354"/>
        <v>0</v>
      </c>
      <c r="AP60" s="290">
        <f t="shared" si="355"/>
        <v>0</v>
      </c>
      <c r="AQ60" s="290">
        <f t="shared" si="356"/>
        <v>0</v>
      </c>
      <c r="AR60" s="290">
        <f t="shared" si="357"/>
        <v>0</v>
      </c>
      <c r="AS60" s="290">
        <f t="shared" si="358"/>
        <v>0</v>
      </c>
      <c r="AT60" s="290">
        <f t="shared" si="359"/>
        <v>0</v>
      </c>
      <c r="AU60" s="290">
        <f t="shared" si="360"/>
        <v>0</v>
      </c>
      <c r="AV60" s="290">
        <f t="shared" si="361"/>
        <v>0</v>
      </c>
      <c r="AW60" s="290">
        <f t="shared" si="362"/>
        <v>0</v>
      </c>
      <c r="AX60" s="290">
        <f t="shared" si="363"/>
        <v>0</v>
      </c>
      <c r="AY60" s="290">
        <f t="shared" si="364"/>
        <v>0</v>
      </c>
      <c r="AZ60" s="290">
        <f t="shared" si="365"/>
        <v>0</v>
      </c>
      <c r="BA60" s="290">
        <f t="shared" si="366"/>
        <v>0</v>
      </c>
      <c r="BB60" s="290">
        <f t="shared" si="367"/>
        <v>0</v>
      </c>
      <c r="BC60" s="190"/>
      <c r="BD60" s="186"/>
    </row>
    <row r="61" spans="1:56" hidden="1" outlineLevel="1" x14ac:dyDescent="0.3">
      <c r="A61" s="184" t="str">
        <f ca="1">Language!A$618</f>
        <v>коэффициент прироста цен к предыдущему периоду</v>
      </c>
      <c r="B61" s="189"/>
      <c r="C61" s="163" t="str">
        <f ca="1">Language!$A$1477</f>
        <v>раз</v>
      </c>
      <c r="D61" s="174"/>
      <c r="F61" s="170" t="s">
        <v>745</v>
      </c>
      <c r="G61" s="191">
        <f ca="1">IF(G$2=1,1,IF(Prj_Inflation=1,POWER(1+OFFSET(G57,0,-1),Параметры!G$30/360),1))</f>
        <v>1</v>
      </c>
      <c r="H61" s="191">
        <f ca="1">IF(H$2=1,1,IF(Prj_Inflation=1,POWER(1+OFFSET(H57,0,-1),Параметры!H$30/360),1))</f>
        <v>1.004867550565343</v>
      </c>
      <c r="I61" s="191">
        <f ca="1">IF(I$2=1,1,IF(Prj_Inflation=1,POWER(1+OFFSET(I57,0,-1),Параметры!I$30/360),1))</f>
        <v>1.004867550565343</v>
      </c>
      <c r="J61" s="191">
        <f ca="1">IF(J$2=1,1,IF(Prj_Inflation=1,POWER(1+OFFSET(J57,0,-1),Параметры!J$30/360),1))</f>
        <v>1.004867550565343</v>
      </c>
      <c r="K61" s="191">
        <f ca="1">IF(K$2=1,1,IF(Prj_Inflation=1,POWER(1+OFFSET(K57,0,-1),Параметры!K$30/360),1))</f>
        <v>1.004867550565343</v>
      </c>
      <c r="L61" s="191">
        <f ca="1">IF(L$2=1,1,IF(Prj_Inflation=1,POWER(1+OFFSET(L57,0,-1),Параметры!L$30/360),1))</f>
        <v>1.004867550565343</v>
      </c>
      <c r="M61" s="191">
        <f ca="1">IF(M$2=1,1,IF(Prj_Inflation=1,POWER(1+OFFSET(M57,0,-1),Параметры!M$30/360),1))</f>
        <v>1.004867550565343</v>
      </c>
      <c r="N61" s="191">
        <f ca="1">IF(N$2=1,1,IF(Prj_Inflation=1,POWER(1+OFFSET(N57,0,-1),Параметры!N$30/360),1))</f>
        <v>1.004867550565343</v>
      </c>
      <c r="O61" s="191">
        <f ca="1">IF(O$2=1,1,IF(Prj_Inflation=1,POWER(1+OFFSET(O57,0,-1),Параметры!O$30/360),1))</f>
        <v>1.004867550565343</v>
      </c>
      <c r="P61" s="191">
        <f ca="1">IF(P$2=1,1,IF(Prj_Inflation=1,POWER(1+OFFSET(P57,0,-1),Параметры!P$30/360),1))</f>
        <v>1.004867550565343</v>
      </c>
      <c r="Q61" s="191">
        <f ca="1">IF(Q$2=1,1,IF(Prj_Inflation=1,POWER(1+OFFSET(Q57,0,-1),Параметры!Q$30/360),1))</f>
        <v>1.004867550565343</v>
      </c>
      <c r="R61" s="191">
        <f ca="1">IF(R$2=1,1,IF(Prj_Inflation=1,POWER(1+OFFSET(R57,0,-1),Параметры!R$30/360),1))</f>
        <v>1.004867550565343</v>
      </c>
      <c r="S61" s="191">
        <f ca="1">IF(S$2=1,1,IF(Prj_Inflation=1,POWER(1+OFFSET(S57,0,-1),Параметры!S$30/360),1))</f>
        <v>1.004867550565343</v>
      </c>
      <c r="T61" s="191">
        <f ca="1">IF(T$2=1,1,IF(Prj_Inflation=1,POWER(1+OFFSET(T57,0,-1),Параметры!T$30/360),1))</f>
        <v>1.004867550565343</v>
      </c>
      <c r="U61" s="191">
        <f ca="1">IF(U$2=1,1,IF(Prj_Inflation=1,POWER(1+OFFSET(U57,0,-1),Параметры!U$30/360),1))</f>
        <v>1.004867550565343</v>
      </c>
      <c r="V61" s="191">
        <f ca="1">IF(V$2=1,1,IF(Prj_Inflation=1,POWER(1+OFFSET(V57,0,-1),Параметры!V$30/360),1))</f>
        <v>1.004867550565343</v>
      </c>
      <c r="W61" s="191">
        <f ca="1">IF(W$2=1,1,IF(Prj_Inflation=1,POWER(1+OFFSET(W57,0,-1),Параметры!W$30/360),1))</f>
        <v>1.004867550565343</v>
      </c>
      <c r="X61" s="191">
        <f ca="1">IF(X$2=1,1,IF(Prj_Inflation=1,POWER(1+OFFSET(X57,0,-1),Параметры!X$30/360),1))</f>
        <v>1.004867550565343</v>
      </c>
      <c r="Y61" s="191">
        <f ca="1">IF(Y$2=1,1,IF(Prj_Inflation=1,POWER(1+OFFSET(Y57,0,-1),Параметры!Y$30/360),1))</f>
        <v>1.004867550565343</v>
      </c>
      <c r="Z61" s="191">
        <f ca="1">IF(Z$2=1,1,IF(Prj_Inflation=1,POWER(1+OFFSET(Z57,0,-1),Параметры!Z$30/360),1))</f>
        <v>1.004867550565343</v>
      </c>
      <c r="AA61" s="191">
        <f ca="1">IF(AA$2=1,1,IF(Prj_Inflation=1,POWER(1+OFFSET(AA57,0,-1),Параметры!AA$30/360),1))</f>
        <v>1.004867550565343</v>
      </c>
      <c r="AB61" s="191">
        <f ca="1">IF(AB$2=1,1,IF(Prj_Inflation=1,POWER(1+OFFSET(AB57,0,-1),Параметры!AB$30/360),1))</f>
        <v>1.004867550565343</v>
      </c>
      <c r="AC61" s="191">
        <f ca="1">IF(AC$2=1,1,IF(Prj_Inflation=1,POWER(1+OFFSET(AC57,0,-1),Параметры!AC$30/360),1))</f>
        <v>1.004867550565343</v>
      </c>
      <c r="AD61" s="191">
        <f ca="1">IF(AD$2=1,1,IF(Prj_Inflation=1,POWER(1+OFFSET(AD57,0,-1),Параметры!AD$30/360),1))</f>
        <v>1.004867550565343</v>
      </c>
      <c r="AE61" s="191">
        <f ca="1">IF(AE$2=1,1,IF(Prj_Inflation=1,POWER(1+OFFSET(AE57,0,-1),Параметры!AE$30/360),1))</f>
        <v>1.004867550565343</v>
      </c>
      <c r="AF61" s="191">
        <f ca="1">IF(AF$2=1,1,IF(Prj_Inflation=1,POWER(1+OFFSET(AF57,0,-1),Параметры!AF$30/360),1))</f>
        <v>1.004867550565343</v>
      </c>
      <c r="AG61" s="191">
        <f ca="1">IF(AG$2=1,1,IF(Prj_Inflation=1,POWER(1+OFFSET(AG57,0,-1),Параметры!AG$30/360),1))</f>
        <v>1.004867550565343</v>
      </c>
      <c r="AH61" s="191">
        <f ca="1">IF(AH$2=1,1,IF(Prj_Inflation=1,POWER(1+OFFSET(AH57,0,-1),Параметры!AH$30/360),1))</f>
        <v>1.004867550565343</v>
      </c>
      <c r="AI61" s="191">
        <f ca="1">IF(AI$2=1,1,IF(Prj_Inflation=1,POWER(1+OFFSET(AI57,0,-1),Параметры!AI$30/360),1))</f>
        <v>1.004867550565343</v>
      </c>
      <c r="AJ61" s="191">
        <f ca="1">IF(AJ$2=1,1,IF(Prj_Inflation=1,POWER(1+OFFSET(AJ57,0,-1),Параметры!AJ$30/360),1))</f>
        <v>1.004867550565343</v>
      </c>
      <c r="AK61" s="191">
        <f ca="1">IF(AK$2=1,1,IF(Prj_Inflation=1,POWER(1+OFFSET(AK57,0,-1),Параметры!AK$30/360),1))</f>
        <v>1.004867550565343</v>
      </c>
      <c r="AL61" s="191">
        <f ca="1">IF(AL$2=1,1,IF(Prj_Inflation=1,POWER(1+OFFSET(AL57,0,-1),Параметры!AL$30/360),1))</f>
        <v>1.004867550565343</v>
      </c>
      <c r="AM61" s="191">
        <f ca="1">IF(AM$2=1,1,IF(Prj_Inflation=1,POWER(1+OFFSET(AM57,0,-1),Параметры!AM$30/360),1))</f>
        <v>1.004867550565343</v>
      </c>
      <c r="AN61" s="191">
        <f ca="1">IF(AN$2=1,1,IF(Prj_Inflation=1,POWER(1+OFFSET(AN57,0,-1),Параметры!AN$30/360),1))</f>
        <v>1.004867550565343</v>
      </c>
      <c r="AO61" s="191">
        <f ca="1">IF(AO$2=1,1,IF(Prj_Inflation=1,POWER(1+OFFSET(AO57,0,-1),Параметры!AO$30/360),1))</f>
        <v>1.004867550565343</v>
      </c>
      <c r="AP61" s="191">
        <f ca="1">IF(AP$2=1,1,IF(Prj_Inflation=1,POWER(1+OFFSET(AP57,0,-1),Параметры!AP$30/360),1))</f>
        <v>1.004867550565343</v>
      </c>
      <c r="AQ61" s="191">
        <f ca="1">IF(AQ$2=1,1,IF(Prj_Inflation=1,POWER(1+OFFSET(AQ57,0,-1),Параметры!AQ$30/360),1))</f>
        <v>1.004867550565343</v>
      </c>
      <c r="AR61" s="191">
        <f ca="1">IF(AR$2=1,1,IF(Prj_Inflation=1,POWER(1+OFFSET(AR57,0,-1),Параметры!AR$30/360),1))</f>
        <v>1.004867550565343</v>
      </c>
      <c r="AS61" s="191">
        <f ca="1">IF(AS$2=1,1,IF(Prj_Inflation=1,POWER(1+OFFSET(AS57,0,-1),Параметры!AS$30/360),1))</f>
        <v>1.004867550565343</v>
      </c>
      <c r="AT61" s="191">
        <f ca="1">IF(AT$2=1,1,IF(Prj_Inflation=1,POWER(1+OFFSET(AT57,0,-1),Параметры!AT$30/360),1))</f>
        <v>1.004867550565343</v>
      </c>
      <c r="AU61" s="191">
        <f ca="1">IF(AU$2=1,1,IF(Prj_Inflation=1,POWER(1+OFFSET(AU57,0,-1),Параметры!AU$30/360),1))</f>
        <v>1.004867550565343</v>
      </c>
      <c r="AV61" s="191">
        <f ca="1">IF(AV$2=1,1,IF(Prj_Inflation=1,POWER(1+OFFSET(AV57,0,-1),Параметры!AV$30/360),1))</f>
        <v>1.004867550565343</v>
      </c>
      <c r="AW61" s="191">
        <f ca="1">IF(AW$2=1,1,IF(Prj_Inflation=1,POWER(1+OFFSET(AW57,0,-1),Параметры!AW$30/360),1))</f>
        <v>1.004867550565343</v>
      </c>
      <c r="AX61" s="191">
        <f ca="1">IF(AX$2=1,1,IF(Prj_Inflation=1,POWER(1+OFFSET(AX57,0,-1),Параметры!AX$30/360),1))</f>
        <v>1.004867550565343</v>
      </c>
      <c r="AY61" s="191">
        <f ca="1">IF(AY$2=1,1,IF(Prj_Inflation=1,POWER(1+OFFSET(AY57,0,-1),Параметры!AY$30/360),1))</f>
        <v>1.004867550565343</v>
      </c>
      <c r="AZ61" s="191">
        <f ca="1">IF(AZ$2=1,1,IF(Prj_Inflation=1,POWER(1+OFFSET(AZ57,0,-1),Параметры!AZ$30/360),1))</f>
        <v>1.004867550565343</v>
      </c>
      <c r="BA61" s="191">
        <f ca="1">IF(BA$2=1,1,IF(Prj_Inflation=1,POWER(1+OFFSET(BA57,0,-1),Параметры!BA$30/360),1))</f>
        <v>1.004867550565343</v>
      </c>
      <c r="BB61" s="191">
        <f ca="1">IF(BB$2=1,1,IF(Prj_Inflation=1,POWER(1+OFFSET(BB57,0,-1),Параметры!BB$30/360),1))</f>
        <v>1.004867550565343</v>
      </c>
      <c r="BC61" s="191"/>
      <c r="BD61" s="186"/>
    </row>
    <row r="62" spans="1:56" hidden="1" outlineLevel="1" x14ac:dyDescent="0.3">
      <c r="A62" s="184" t="str">
        <f ca="1">Language!A$1486</f>
        <v>индексировать в начале года</v>
      </c>
      <c r="B62" s="291">
        <v>0</v>
      </c>
      <c r="C62" s="163" t="str">
        <f ca="1">IF(B62=1,Language!$A$1475,Language!$A$1476)</f>
        <v>Нет</v>
      </c>
      <c r="D62" s="174"/>
      <c r="F62" s="170" t="s">
        <v>3408</v>
      </c>
      <c r="G62" s="192" t="str">
        <f ca="1">IF(Prj_Inflation=1,IF($B62=1,IF(G$2=1,1,IF(Параметры!G$29=1,1+OFFSET(G57,0,-1),1)),"-"),1)</f>
        <v>-</v>
      </c>
      <c r="H62" s="192" t="str">
        <f ca="1">IF(Prj_Inflation=1,IF($B62=1,IF(H$2=1,1,IF(Параметры!H$29=1,1+OFFSET(H57,0,-1),1)),"-"),1)</f>
        <v>-</v>
      </c>
      <c r="I62" s="192" t="str">
        <f ca="1">IF(Prj_Inflation=1,IF($B62=1,IF(I$2=1,1,IF(Параметры!I$29=1,1+OFFSET(I57,0,-1),1)),"-"),1)</f>
        <v>-</v>
      </c>
      <c r="J62" s="192" t="str">
        <f ca="1">IF(Prj_Inflation=1,IF($B62=1,IF(J$2=1,1,IF(Параметры!J$29=1,1+OFFSET(J57,0,-1),1)),"-"),1)</f>
        <v>-</v>
      </c>
      <c r="K62" s="192" t="str">
        <f ca="1">IF(Prj_Inflation=1,IF($B62=1,IF(K$2=1,1,IF(Параметры!K$29=1,1+OFFSET(K57,0,-1),1)),"-"),1)</f>
        <v>-</v>
      </c>
      <c r="L62" s="192" t="str">
        <f ca="1">IF(Prj_Inflation=1,IF($B62=1,IF(L$2=1,1,IF(Параметры!L$29=1,1+OFFSET(L57,0,-1),1)),"-"),1)</f>
        <v>-</v>
      </c>
      <c r="M62" s="192" t="str">
        <f ca="1">IF(Prj_Inflation=1,IF($B62=1,IF(M$2=1,1,IF(Параметры!M$29=1,1+OFFSET(M57,0,-1),1)),"-"),1)</f>
        <v>-</v>
      </c>
      <c r="N62" s="192" t="str">
        <f ca="1">IF(Prj_Inflation=1,IF($B62=1,IF(N$2=1,1,IF(Параметры!N$29=1,1+OFFSET(N57,0,-1),1)),"-"),1)</f>
        <v>-</v>
      </c>
      <c r="O62" s="192" t="str">
        <f ca="1">IF(Prj_Inflation=1,IF($B62=1,IF(O$2=1,1,IF(Параметры!O$29=1,1+OFFSET(O57,0,-1),1)),"-"),1)</f>
        <v>-</v>
      </c>
      <c r="P62" s="192" t="str">
        <f ca="1">IF(Prj_Inflation=1,IF($B62=1,IF(P$2=1,1,IF(Параметры!P$29=1,1+OFFSET(P57,0,-1),1)),"-"),1)</f>
        <v>-</v>
      </c>
      <c r="Q62" s="192" t="str">
        <f ca="1">IF(Prj_Inflation=1,IF($B62=1,IF(Q$2=1,1,IF(Параметры!Q$29=1,1+OFFSET(Q57,0,-1),1)),"-"),1)</f>
        <v>-</v>
      </c>
      <c r="R62" s="192" t="str">
        <f ca="1">IF(Prj_Inflation=1,IF($B62=1,IF(R$2=1,1,IF(Параметры!R$29=1,1+OFFSET(R57,0,-1),1)),"-"),1)</f>
        <v>-</v>
      </c>
      <c r="S62" s="192" t="str">
        <f ca="1">IF(Prj_Inflation=1,IF($B62=1,IF(S$2=1,1,IF(Параметры!S$29=1,1+OFFSET(S57,0,-1),1)),"-"),1)</f>
        <v>-</v>
      </c>
      <c r="T62" s="192" t="str">
        <f ca="1">IF(Prj_Inflation=1,IF($B62=1,IF(T$2=1,1,IF(Параметры!T$29=1,1+OFFSET(T57,0,-1),1)),"-"),1)</f>
        <v>-</v>
      </c>
      <c r="U62" s="192" t="str">
        <f ca="1">IF(Prj_Inflation=1,IF($B62=1,IF(U$2=1,1,IF(Параметры!U$29=1,1+OFFSET(U57,0,-1),1)),"-"),1)</f>
        <v>-</v>
      </c>
      <c r="V62" s="192" t="str">
        <f ca="1">IF(Prj_Inflation=1,IF($B62=1,IF(V$2=1,1,IF(Параметры!V$29=1,1+OFFSET(V57,0,-1),1)),"-"),1)</f>
        <v>-</v>
      </c>
      <c r="W62" s="192" t="str">
        <f ca="1">IF(Prj_Inflation=1,IF($B62=1,IF(W$2=1,1,IF(Параметры!W$29=1,1+OFFSET(W57,0,-1),1)),"-"),1)</f>
        <v>-</v>
      </c>
      <c r="X62" s="192" t="str">
        <f ca="1">IF(Prj_Inflation=1,IF($B62=1,IF(X$2=1,1,IF(Параметры!X$29=1,1+OFFSET(X57,0,-1),1)),"-"),1)</f>
        <v>-</v>
      </c>
      <c r="Y62" s="192" t="str">
        <f ca="1">IF(Prj_Inflation=1,IF($B62=1,IF(Y$2=1,1,IF(Параметры!Y$29=1,1+OFFSET(Y57,0,-1),1)),"-"),1)</f>
        <v>-</v>
      </c>
      <c r="Z62" s="192" t="str">
        <f ca="1">IF(Prj_Inflation=1,IF($B62=1,IF(Z$2=1,1,IF(Параметры!Z$29=1,1+OFFSET(Z57,0,-1),1)),"-"),1)</f>
        <v>-</v>
      </c>
      <c r="AA62" s="192" t="str">
        <f ca="1">IF(Prj_Inflation=1,IF($B62=1,IF(AA$2=1,1,IF(Параметры!AA$29=1,1+OFFSET(AA57,0,-1),1)),"-"),1)</f>
        <v>-</v>
      </c>
      <c r="AB62" s="192" t="str">
        <f ca="1">IF(Prj_Inflation=1,IF($B62=1,IF(AB$2=1,1,IF(Параметры!AB$29=1,1+OFFSET(AB57,0,-1),1)),"-"),1)</f>
        <v>-</v>
      </c>
      <c r="AC62" s="192" t="str">
        <f ca="1">IF(Prj_Inflation=1,IF($B62=1,IF(AC$2=1,1,IF(Параметры!AC$29=1,1+OFFSET(AC57,0,-1),1)),"-"),1)</f>
        <v>-</v>
      </c>
      <c r="AD62" s="192" t="str">
        <f ca="1">IF(Prj_Inflation=1,IF($B62=1,IF(AD$2=1,1,IF(Параметры!AD$29=1,1+OFFSET(AD57,0,-1),1)),"-"),1)</f>
        <v>-</v>
      </c>
      <c r="AE62" s="192" t="str">
        <f ca="1">IF(Prj_Inflation=1,IF($B62=1,IF(AE$2=1,1,IF(Параметры!AE$29=1,1+OFFSET(AE57,0,-1),1)),"-"),1)</f>
        <v>-</v>
      </c>
      <c r="AF62" s="192" t="str">
        <f ca="1">IF(Prj_Inflation=1,IF($B62=1,IF(AF$2=1,1,IF(Параметры!AF$29=1,1+OFFSET(AF57,0,-1),1)),"-"),1)</f>
        <v>-</v>
      </c>
      <c r="AG62" s="192" t="str">
        <f ca="1">IF(Prj_Inflation=1,IF($B62=1,IF(AG$2=1,1,IF(Параметры!AG$29=1,1+OFFSET(AG57,0,-1),1)),"-"),1)</f>
        <v>-</v>
      </c>
      <c r="AH62" s="192" t="str">
        <f ca="1">IF(Prj_Inflation=1,IF($B62=1,IF(AH$2=1,1,IF(Параметры!AH$29=1,1+OFFSET(AH57,0,-1),1)),"-"),1)</f>
        <v>-</v>
      </c>
      <c r="AI62" s="192" t="str">
        <f ca="1">IF(Prj_Inflation=1,IF($B62=1,IF(AI$2=1,1,IF(Параметры!AI$29=1,1+OFFSET(AI57,0,-1),1)),"-"),1)</f>
        <v>-</v>
      </c>
      <c r="AJ62" s="192" t="str">
        <f ca="1">IF(Prj_Inflation=1,IF($B62=1,IF(AJ$2=1,1,IF(Параметры!AJ$29=1,1+OFFSET(AJ57,0,-1),1)),"-"),1)</f>
        <v>-</v>
      </c>
      <c r="AK62" s="192" t="str">
        <f ca="1">IF(Prj_Inflation=1,IF($B62=1,IF(AK$2=1,1,IF(Параметры!AK$29=1,1+OFFSET(AK57,0,-1),1)),"-"),1)</f>
        <v>-</v>
      </c>
      <c r="AL62" s="192" t="str">
        <f ca="1">IF(Prj_Inflation=1,IF($B62=1,IF(AL$2=1,1,IF(Параметры!AL$29=1,1+OFFSET(AL57,0,-1),1)),"-"),1)</f>
        <v>-</v>
      </c>
      <c r="AM62" s="192" t="str">
        <f ca="1">IF(Prj_Inflation=1,IF($B62=1,IF(AM$2=1,1,IF(Параметры!AM$29=1,1+OFFSET(AM57,0,-1),1)),"-"),1)</f>
        <v>-</v>
      </c>
      <c r="AN62" s="192" t="str">
        <f ca="1">IF(Prj_Inflation=1,IF($B62=1,IF(AN$2=1,1,IF(Параметры!AN$29=1,1+OFFSET(AN57,0,-1),1)),"-"),1)</f>
        <v>-</v>
      </c>
      <c r="AO62" s="192" t="str">
        <f ca="1">IF(Prj_Inflation=1,IF($B62=1,IF(AO$2=1,1,IF(Параметры!AO$29=1,1+OFFSET(AO57,0,-1),1)),"-"),1)</f>
        <v>-</v>
      </c>
      <c r="AP62" s="192" t="str">
        <f ca="1">IF(Prj_Inflation=1,IF($B62=1,IF(AP$2=1,1,IF(Параметры!AP$29=1,1+OFFSET(AP57,0,-1),1)),"-"),1)</f>
        <v>-</v>
      </c>
      <c r="AQ62" s="192" t="str">
        <f ca="1">IF(Prj_Inflation=1,IF($B62=1,IF(AQ$2=1,1,IF(Параметры!AQ$29=1,1+OFFSET(AQ57,0,-1),1)),"-"),1)</f>
        <v>-</v>
      </c>
      <c r="AR62" s="192" t="str">
        <f ca="1">IF(Prj_Inflation=1,IF($B62=1,IF(AR$2=1,1,IF(Параметры!AR$29=1,1+OFFSET(AR57,0,-1),1)),"-"),1)</f>
        <v>-</v>
      </c>
      <c r="AS62" s="192" t="str">
        <f ca="1">IF(Prj_Inflation=1,IF($B62=1,IF(AS$2=1,1,IF(Параметры!AS$29=1,1+OFFSET(AS57,0,-1),1)),"-"),1)</f>
        <v>-</v>
      </c>
      <c r="AT62" s="192" t="str">
        <f ca="1">IF(Prj_Inflation=1,IF($B62=1,IF(AT$2=1,1,IF(Параметры!AT$29=1,1+OFFSET(AT57,0,-1),1)),"-"),1)</f>
        <v>-</v>
      </c>
      <c r="AU62" s="192" t="str">
        <f ca="1">IF(Prj_Inflation=1,IF($B62=1,IF(AU$2=1,1,IF(Параметры!AU$29=1,1+OFFSET(AU57,0,-1),1)),"-"),1)</f>
        <v>-</v>
      </c>
      <c r="AV62" s="192" t="str">
        <f ca="1">IF(Prj_Inflation=1,IF($B62=1,IF(AV$2=1,1,IF(Параметры!AV$29=1,1+OFFSET(AV57,0,-1),1)),"-"),1)</f>
        <v>-</v>
      </c>
      <c r="AW62" s="192" t="str">
        <f ca="1">IF(Prj_Inflation=1,IF($B62=1,IF(AW$2=1,1,IF(Параметры!AW$29=1,1+OFFSET(AW57,0,-1),1)),"-"),1)</f>
        <v>-</v>
      </c>
      <c r="AX62" s="192" t="str">
        <f ca="1">IF(Prj_Inflation=1,IF($B62=1,IF(AX$2=1,1,IF(Параметры!AX$29=1,1+OFFSET(AX57,0,-1),1)),"-"),1)</f>
        <v>-</v>
      </c>
      <c r="AY62" s="192" t="str">
        <f ca="1">IF(Prj_Inflation=1,IF($B62=1,IF(AY$2=1,1,IF(Параметры!AY$29=1,1+OFFSET(AY57,0,-1),1)),"-"),1)</f>
        <v>-</v>
      </c>
      <c r="AZ62" s="192" t="str">
        <f ca="1">IF(Prj_Inflation=1,IF($B62=1,IF(AZ$2=1,1,IF(Параметры!AZ$29=1,1+OFFSET(AZ57,0,-1),1)),"-"),1)</f>
        <v>-</v>
      </c>
      <c r="BA62" s="192" t="str">
        <f ca="1">IF(Prj_Inflation=1,IF($B62=1,IF(BA$2=1,1,IF(Параметры!BA$29=1,1+OFFSET(BA57,0,-1),1)),"-"),1)</f>
        <v>-</v>
      </c>
      <c r="BB62" s="192" t="str">
        <f ca="1">IF(Prj_Inflation=1,IF($B62=1,IF(BB$2=1,1,IF(Параметры!BB$29=1,1+OFFSET(BB57,0,-1),1)),"-"),1)</f>
        <v>-</v>
      </c>
      <c r="BC62" s="191"/>
      <c r="BD62" s="186"/>
    </row>
    <row r="63" spans="1:56" hidden="1" outlineLevel="1" x14ac:dyDescent="0.3">
      <c r="A63" s="184" t="str">
        <f ca="1">Language!A$619</f>
        <v>акцизы начисленные</v>
      </c>
      <c r="B63" s="174"/>
      <c r="C63" s="163" t="str">
        <f ca="1">CHOOSE(D63,CurName1,CurName2,CurName3)</f>
        <v>руб.</v>
      </c>
      <c r="D63" s="174">
        <f>D46</f>
        <v>1</v>
      </c>
      <c r="E63" s="170" t="s">
        <v>996</v>
      </c>
      <c r="F63" s="170" t="s">
        <v>740</v>
      </c>
      <c r="G63" s="185">
        <f t="shared" ref="G63:BB63" ca="1" si="368">G50*G60+G47*G59</f>
        <v>0</v>
      </c>
      <c r="H63" s="185">
        <f t="shared" ca="1" si="368"/>
        <v>0</v>
      </c>
      <c r="I63" s="185">
        <f t="shared" ca="1" si="368"/>
        <v>0</v>
      </c>
      <c r="J63" s="185">
        <f t="shared" ca="1" si="368"/>
        <v>0</v>
      </c>
      <c r="K63" s="185">
        <f t="shared" ca="1" si="368"/>
        <v>0</v>
      </c>
      <c r="L63" s="185">
        <f t="shared" ca="1" si="368"/>
        <v>0</v>
      </c>
      <c r="M63" s="185">
        <f t="shared" ca="1" si="368"/>
        <v>0</v>
      </c>
      <c r="N63" s="185">
        <f t="shared" ca="1" si="368"/>
        <v>0</v>
      </c>
      <c r="O63" s="185">
        <f t="shared" ca="1" si="368"/>
        <v>0</v>
      </c>
      <c r="P63" s="185">
        <f t="shared" ca="1" si="368"/>
        <v>0</v>
      </c>
      <c r="Q63" s="185">
        <f t="shared" ca="1" si="368"/>
        <v>0</v>
      </c>
      <c r="R63" s="185">
        <f t="shared" ca="1" si="368"/>
        <v>0</v>
      </c>
      <c r="S63" s="185">
        <f t="shared" ca="1" si="368"/>
        <v>0</v>
      </c>
      <c r="T63" s="185">
        <f t="shared" ca="1" si="368"/>
        <v>0</v>
      </c>
      <c r="U63" s="185">
        <f t="shared" ca="1" si="368"/>
        <v>0</v>
      </c>
      <c r="V63" s="185">
        <f t="shared" ca="1" si="368"/>
        <v>0</v>
      </c>
      <c r="W63" s="185">
        <f t="shared" ca="1" si="368"/>
        <v>0</v>
      </c>
      <c r="X63" s="185">
        <f t="shared" ca="1" si="368"/>
        <v>0</v>
      </c>
      <c r="Y63" s="185">
        <f t="shared" ca="1" si="368"/>
        <v>0</v>
      </c>
      <c r="Z63" s="185">
        <f t="shared" ca="1" si="368"/>
        <v>0</v>
      </c>
      <c r="AA63" s="185">
        <f t="shared" ca="1" si="368"/>
        <v>0</v>
      </c>
      <c r="AB63" s="185">
        <f t="shared" ca="1" si="368"/>
        <v>0</v>
      </c>
      <c r="AC63" s="185">
        <f t="shared" ca="1" si="368"/>
        <v>0</v>
      </c>
      <c r="AD63" s="185">
        <f t="shared" ca="1" si="368"/>
        <v>0</v>
      </c>
      <c r="AE63" s="185">
        <f t="shared" ca="1" si="368"/>
        <v>0</v>
      </c>
      <c r="AF63" s="185">
        <f t="shared" ca="1" si="368"/>
        <v>0</v>
      </c>
      <c r="AG63" s="185">
        <f t="shared" ca="1" si="368"/>
        <v>0</v>
      </c>
      <c r="AH63" s="185">
        <f t="shared" ca="1" si="368"/>
        <v>0</v>
      </c>
      <c r="AI63" s="185">
        <f t="shared" ca="1" si="368"/>
        <v>0</v>
      </c>
      <c r="AJ63" s="185">
        <f t="shared" ca="1" si="368"/>
        <v>0</v>
      </c>
      <c r="AK63" s="185">
        <f t="shared" ca="1" si="368"/>
        <v>0</v>
      </c>
      <c r="AL63" s="185">
        <f t="shared" ca="1" si="368"/>
        <v>0</v>
      </c>
      <c r="AM63" s="185">
        <f t="shared" ca="1" si="368"/>
        <v>0</v>
      </c>
      <c r="AN63" s="185">
        <f t="shared" ca="1" si="368"/>
        <v>0</v>
      </c>
      <c r="AO63" s="185">
        <f t="shared" ca="1" si="368"/>
        <v>0</v>
      </c>
      <c r="AP63" s="185">
        <f t="shared" ca="1" si="368"/>
        <v>0</v>
      </c>
      <c r="AQ63" s="185">
        <f t="shared" ca="1" si="368"/>
        <v>0</v>
      </c>
      <c r="AR63" s="185">
        <f t="shared" ca="1" si="368"/>
        <v>0</v>
      </c>
      <c r="AS63" s="185">
        <f t="shared" ca="1" si="368"/>
        <v>0</v>
      </c>
      <c r="AT63" s="185">
        <f t="shared" ca="1" si="368"/>
        <v>0</v>
      </c>
      <c r="AU63" s="185">
        <f t="shared" ca="1" si="368"/>
        <v>0</v>
      </c>
      <c r="AV63" s="185">
        <f t="shared" ca="1" si="368"/>
        <v>0</v>
      </c>
      <c r="AW63" s="185">
        <f t="shared" ca="1" si="368"/>
        <v>0</v>
      </c>
      <c r="AX63" s="185">
        <f t="shared" ca="1" si="368"/>
        <v>0</v>
      </c>
      <c r="AY63" s="185">
        <f t="shared" ca="1" si="368"/>
        <v>0</v>
      </c>
      <c r="AZ63" s="185">
        <f t="shared" ca="1" si="368"/>
        <v>0</v>
      </c>
      <c r="BA63" s="185">
        <f t="shared" ca="1" si="368"/>
        <v>0</v>
      </c>
      <c r="BB63" s="185">
        <f t="shared" ca="1" si="368"/>
        <v>0</v>
      </c>
      <c r="BC63" s="185"/>
      <c r="BD63" s="193">
        <f ca="1">SUM(G63:BC63)</f>
        <v>0</v>
      </c>
    </row>
    <row r="64" spans="1:56" hidden="1" outlineLevel="1" x14ac:dyDescent="0.3">
      <c r="A64" s="184" t="str">
        <f ca="1">Language!A$620</f>
        <v>НДС начисленный</v>
      </c>
      <c r="B64" s="174"/>
      <c r="C64" s="163" t="str">
        <f ca="1">CHOOSE(D64,CurName1,CurName2,CurName3)</f>
        <v>руб.</v>
      </c>
      <c r="D64" s="174">
        <f>D46</f>
        <v>1</v>
      </c>
      <c r="E64" s="170" t="s">
        <v>785</v>
      </c>
      <c r="F64" s="170" t="s">
        <v>740</v>
      </c>
      <c r="G64" s="185">
        <f t="shared" ref="G64:BB64" ca="1" si="369">(G50+G63)*G58</f>
        <v>0</v>
      </c>
      <c r="H64" s="185">
        <f t="shared" ca="1" si="369"/>
        <v>0</v>
      </c>
      <c r="I64" s="185">
        <f t="shared" ca="1" si="369"/>
        <v>0</v>
      </c>
      <c r="J64" s="185">
        <f t="shared" ca="1" si="369"/>
        <v>0</v>
      </c>
      <c r="K64" s="185">
        <f t="shared" ca="1" si="369"/>
        <v>0</v>
      </c>
      <c r="L64" s="185">
        <f t="shared" ca="1" si="369"/>
        <v>0</v>
      </c>
      <c r="M64" s="185">
        <f t="shared" ca="1" si="369"/>
        <v>0</v>
      </c>
      <c r="N64" s="185">
        <f t="shared" ca="1" si="369"/>
        <v>0</v>
      </c>
      <c r="O64" s="185">
        <f t="shared" ca="1" si="369"/>
        <v>0</v>
      </c>
      <c r="P64" s="185">
        <f t="shared" ca="1" si="369"/>
        <v>0</v>
      </c>
      <c r="Q64" s="185">
        <f t="shared" ca="1" si="369"/>
        <v>0</v>
      </c>
      <c r="R64" s="185">
        <f t="shared" ca="1" si="369"/>
        <v>0</v>
      </c>
      <c r="S64" s="185">
        <f t="shared" ca="1" si="369"/>
        <v>0</v>
      </c>
      <c r="T64" s="185">
        <f t="shared" ca="1" si="369"/>
        <v>0</v>
      </c>
      <c r="U64" s="185">
        <f t="shared" ca="1" si="369"/>
        <v>0</v>
      </c>
      <c r="V64" s="185">
        <f t="shared" ca="1" si="369"/>
        <v>0</v>
      </c>
      <c r="W64" s="185">
        <f t="shared" ca="1" si="369"/>
        <v>0</v>
      </c>
      <c r="X64" s="185">
        <f t="shared" ca="1" si="369"/>
        <v>0</v>
      </c>
      <c r="Y64" s="185">
        <f t="shared" ca="1" si="369"/>
        <v>0</v>
      </c>
      <c r="Z64" s="185">
        <f t="shared" ca="1" si="369"/>
        <v>0</v>
      </c>
      <c r="AA64" s="185">
        <f t="shared" ca="1" si="369"/>
        <v>0</v>
      </c>
      <c r="AB64" s="185">
        <f t="shared" ca="1" si="369"/>
        <v>0</v>
      </c>
      <c r="AC64" s="185">
        <f t="shared" ca="1" si="369"/>
        <v>0</v>
      </c>
      <c r="AD64" s="185">
        <f t="shared" ca="1" si="369"/>
        <v>0</v>
      </c>
      <c r="AE64" s="185">
        <f t="shared" ca="1" si="369"/>
        <v>0</v>
      </c>
      <c r="AF64" s="185">
        <f t="shared" ca="1" si="369"/>
        <v>0</v>
      </c>
      <c r="AG64" s="185">
        <f t="shared" ca="1" si="369"/>
        <v>0</v>
      </c>
      <c r="AH64" s="185">
        <f t="shared" ca="1" si="369"/>
        <v>0</v>
      </c>
      <c r="AI64" s="185">
        <f t="shared" ca="1" si="369"/>
        <v>0</v>
      </c>
      <c r="AJ64" s="185">
        <f t="shared" ca="1" si="369"/>
        <v>0</v>
      </c>
      <c r="AK64" s="185">
        <f t="shared" ca="1" si="369"/>
        <v>0</v>
      </c>
      <c r="AL64" s="185">
        <f t="shared" ca="1" si="369"/>
        <v>0</v>
      </c>
      <c r="AM64" s="185">
        <f t="shared" ca="1" si="369"/>
        <v>0</v>
      </c>
      <c r="AN64" s="185">
        <f t="shared" ca="1" si="369"/>
        <v>0</v>
      </c>
      <c r="AO64" s="185">
        <f t="shared" ca="1" si="369"/>
        <v>0</v>
      </c>
      <c r="AP64" s="185">
        <f t="shared" ca="1" si="369"/>
        <v>0</v>
      </c>
      <c r="AQ64" s="185">
        <f t="shared" ca="1" si="369"/>
        <v>0</v>
      </c>
      <c r="AR64" s="185">
        <f t="shared" ca="1" si="369"/>
        <v>0</v>
      </c>
      <c r="AS64" s="185">
        <f t="shared" ca="1" si="369"/>
        <v>0</v>
      </c>
      <c r="AT64" s="185">
        <f t="shared" ca="1" si="369"/>
        <v>0</v>
      </c>
      <c r="AU64" s="185">
        <f t="shared" ca="1" si="369"/>
        <v>0</v>
      </c>
      <c r="AV64" s="185">
        <f t="shared" ca="1" si="369"/>
        <v>0</v>
      </c>
      <c r="AW64" s="185">
        <f t="shared" ca="1" si="369"/>
        <v>0</v>
      </c>
      <c r="AX64" s="185">
        <f t="shared" ca="1" si="369"/>
        <v>0</v>
      </c>
      <c r="AY64" s="185">
        <f t="shared" ca="1" si="369"/>
        <v>0</v>
      </c>
      <c r="AZ64" s="185">
        <f t="shared" ca="1" si="369"/>
        <v>0</v>
      </c>
      <c r="BA64" s="185">
        <f t="shared" ca="1" si="369"/>
        <v>0</v>
      </c>
      <c r="BB64" s="185">
        <f t="shared" ca="1" si="369"/>
        <v>0</v>
      </c>
      <c r="BC64" s="185"/>
      <c r="BD64" s="193">
        <f ca="1">SUM(G64:BC64)</f>
        <v>0</v>
      </c>
    </row>
    <row r="65" spans="1:56" hidden="1" outlineLevel="1" x14ac:dyDescent="0.3">
      <c r="A65" s="184" t="str">
        <f ca="1">Language!A$621</f>
        <v>НДС полученный с авансов</v>
      </c>
      <c r="B65" s="174"/>
      <c r="C65" s="163" t="str">
        <f ca="1">CHOOSE(D65,CurName1,CurName2,CurName3)</f>
        <v>руб.</v>
      </c>
      <c r="D65" s="174">
        <f>D46</f>
        <v>1</v>
      </c>
      <c r="E65" s="170" t="s">
        <v>1457</v>
      </c>
      <c r="F65" s="170" t="s">
        <v>740</v>
      </c>
      <c r="G65" s="185">
        <f ca="1">G54*G58/(1+G58)</f>
        <v>0</v>
      </c>
      <c r="H65" s="185">
        <f t="shared" ref="H65:BB65" ca="1" si="370">H54*H58/(1+H58)</f>
        <v>0</v>
      </c>
      <c r="I65" s="185">
        <f t="shared" ca="1" si="370"/>
        <v>0</v>
      </c>
      <c r="J65" s="185">
        <f t="shared" ca="1" si="370"/>
        <v>0</v>
      </c>
      <c r="K65" s="185">
        <f t="shared" ca="1" si="370"/>
        <v>0</v>
      </c>
      <c r="L65" s="185">
        <f t="shared" ca="1" si="370"/>
        <v>0</v>
      </c>
      <c r="M65" s="185">
        <f t="shared" ca="1" si="370"/>
        <v>0</v>
      </c>
      <c r="N65" s="185">
        <f t="shared" ca="1" si="370"/>
        <v>0</v>
      </c>
      <c r="O65" s="185">
        <f t="shared" ca="1" si="370"/>
        <v>0</v>
      </c>
      <c r="P65" s="185">
        <f t="shared" ca="1" si="370"/>
        <v>0</v>
      </c>
      <c r="Q65" s="185">
        <f t="shared" ca="1" si="370"/>
        <v>0</v>
      </c>
      <c r="R65" s="185">
        <f t="shared" ca="1" si="370"/>
        <v>0</v>
      </c>
      <c r="S65" s="185">
        <f t="shared" ca="1" si="370"/>
        <v>0</v>
      </c>
      <c r="T65" s="185">
        <f t="shared" ca="1" si="370"/>
        <v>0</v>
      </c>
      <c r="U65" s="185">
        <f t="shared" ca="1" si="370"/>
        <v>0</v>
      </c>
      <c r="V65" s="185">
        <f t="shared" ca="1" si="370"/>
        <v>0</v>
      </c>
      <c r="W65" s="185">
        <f t="shared" ca="1" si="370"/>
        <v>0</v>
      </c>
      <c r="X65" s="185">
        <f t="shared" ca="1" si="370"/>
        <v>0</v>
      </c>
      <c r="Y65" s="185">
        <f t="shared" ca="1" si="370"/>
        <v>0</v>
      </c>
      <c r="Z65" s="185">
        <f t="shared" ca="1" si="370"/>
        <v>0</v>
      </c>
      <c r="AA65" s="185">
        <f t="shared" ca="1" si="370"/>
        <v>0</v>
      </c>
      <c r="AB65" s="185">
        <f t="shared" ca="1" si="370"/>
        <v>0</v>
      </c>
      <c r="AC65" s="185">
        <f t="shared" ca="1" si="370"/>
        <v>0</v>
      </c>
      <c r="AD65" s="185">
        <f t="shared" ca="1" si="370"/>
        <v>0</v>
      </c>
      <c r="AE65" s="185">
        <f t="shared" ca="1" si="370"/>
        <v>0</v>
      </c>
      <c r="AF65" s="185">
        <f t="shared" ca="1" si="370"/>
        <v>0</v>
      </c>
      <c r="AG65" s="185">
        <f t="shared" ca="1" si="370"/>
        <v>0</v>
      </c>
      <c r="AH65" s="185">
        <f t="shared" ca="1" si="370"/>
        <v>0</v>
      </c>
      <c r="AI65" s="185">
        <f t="shared" ca="1" si="370"/>
        <v>0</v>
      </c>
      <c r="AJ65" s="185">
        <f t="shared" ca="1" si="370"/>
        <v>0</v>
      </c>
      <c r="AK65" s="185">
        <f t="shared" ca="1" si="370"/>
        <v>0</v>
      </c>
      <c r="AL65" s="185">
        <f t="shared" ca="1" si="370"/>
        <v>0</v>
      </c>
      <c r="AM65" s="185">
        <f t="shared" ca="1" si="370"/>
        <v>0</v>
      </c>
      <c r="AN65" s="185">
        <f t="shared" ca="1" si="370"/>
        <v>0</v>
      </c>
      <c r="AO65" s="185">
        <f t="shared" ca="1" si="370"/>
        <v>0</v>
      </c>
      <c r="AP65" s="185">
        <f t="shared" ca="1" si="370"/>
        <v>0</v>
      </c>
      <c r="AQ65" s="185">
        <f t="shared" ca="1" si="370"/>
        <v>0</v>
      </c>
      <c r="AR65" s="185">
        <f t="shared" ca="1" si="370"/>
        <v>0</v>
      </c>
      <c r="AS65" s="185">
        <f t="shared" ca="1" si="370"/>
        <v>0</v>
      </c>
      <c r="AT65" s="185">
        <f t="shared" ca="1" si="370"/>
        <v>0</v>
      </c>
      <c r="AU65" s="185">
        <f t="shared" ca="1" si="370"/>
        <v>0</v>
      </c>
      <c r="AV65" s="185">
        <f t="shared" ca="1" si="370"/>
        <v>0</v>
      </c>
      <c r="AW65" s="185">
        <f t="shared" ca="1" si="370"/>
        <v>0</v>
      </c>
      <c r="AX65" s="185">
        <f t="shared" ca="1" si="370"/>
        <v>0</v>
      </c>
      <c r="AY65" s="185">
        <f t="shared" ca="1" si="370"/>
        <v>0</v>
      </c>
      <c r="AZ65" s="185">
        <f t="shared" ca="1" si="370"/>
        <v>0</v>
      </c>
      <c r="BA65" s="185">
        <f t="shared" ca="1" si="370"/>
        <v>0</v>
      </c>
      <c r="BB65" s="185">
        <f t="shared" ca="1" si="370"/>
        <v>0</v>
      </c>
      <c r="BC65" s="185"/>
      <c r="BD65" s="193">
        <f ca="1">SUM(G65:BC65)</f>
        <v>0</v>
      </c>
    </row>
    <row r="66" spans="1:56" x14ac:dyDescent="0.3">
      <c r="A66" s="300" t="s">
        <v>3426</v>
      </c>
      <c r="B66" s="172"/>
      <c r="C66" s="173"/>
      <c r="D66" s="174">
        <v>1</v>
      </c>
      <c r="F66" s="170" t="s">
        <v>3419</v>
      </c>
    </row>
    <row r="67" spans="1:56" x14ac:dyDescent="0.3">
      <c r="A67" s="175" t="str">
        <f ca="1">Language!A$606</f>
        <v>объем продаж за период</v>
      </c>
      <c r="B67" s="172"/>
      <c r="C67" s="292" t="s">
        <v>521</v>
      </c>
      <c r="E67" s="170" t="s">
        <v>945</v>
      </c>
      <c r="F67" s="170" t="s">
        <v>2353</v>
      </c>
      <c r="G67" s="285">
        <f>G47*0.5</f>
        <v>0</v>
      </c>
      <c r="H67" s="285">
        <f t="shared" ref="H67:BB67" si="371">H47*0.5</f>
        <v>0</v>
      </c>
      <c r="I67" s="285">
        <f t="shared" si="371"/>
        <v>0</v>
      </c>
      <c r="J67" s="285">
        <f t="shared" si="371"/>
        <v>0</v>
      </c>
      <c r="K67" s="285">
        <f t="shared" si="371"/>
        <v>0</v>
      </c>
      <c r="L67" s="285">
        <f t="shared" si="371"/>
        <v>0</v>
      </c>
      <c r="M67" s="285">
        <f t="shared" si="371"/>
        <v>720</v>
      </c>
      <c r="N67" s="285">
        <f t="shared" si="371"/>
        <v>960</v>
      </c>
      <c r="O67" s="285">
        <f t="shared" si="371"/>
        <v>1200</v>
      </c>
      <c r="P67" s="285">
        <f t="shared" si="371"/>
        <v>1440</v>
      </c>
      <c r="Q67" s="285">
        <f t="shared" si="371"/>
        <v>1440</v>
      </c>
      <c r="R67" s="285">
        <f t="shared" si="371"/>
        <v>1440</v>
      </c>
      <c r="S67" s="285">
        <f t="shared" si="371"/>
        <v>1920</v>
      </c>
      <c r="T67" s="285">
        <f t="shared" si="371"/>
        <v>1680</v>
      </c>
      <c r="U67" s="285">
        <f t="shared" si="371"/>
        <v>1440</v>
      </c>
      <c r="V67" s="285">
        <f t="shared" si="371"/>
        <v>1440</v>
      </c>
      <c r="W67" s="285">
        <f t="shared" si="371"/>
        <v>1200</v>
      </c>
      <c r="X67" s="285">
        <f t="shared" si="371"/>
        <v>1920</v>
      </c>
      <c r="Y67" s="285">
        <f t="shared" si="371"/>
        <v>2400</v>
      </c>
      <c r="Z67" s="285">
        <f t="shared" si="371"/>
        <v>2400</v>
      </c>
      <c r="AA67" s="285">
        <f t="shared" si="371"/>
        <v>1680</v>
      </c>
      <c r="AB67" s="285">
        <f t="shared" si="371"/>
        <v>1200</v>
      </c>
      <c r="AC67" s="285">
        <f t="shared" si="371"/>
        <v>1200</v>
      </c>
      <c r="AD67" s="285">
        <f t="shared" si="371"/>
        <v>1440</v>
      </c>
      <c r="AE67" s="285">
        <f t="shared" si="371"/>
        <v>1920</v>
      </c>
      <c r="AF67" s="285">
        <f t="shared" si="371"/>
        <v>1680</v>
      </c>
      <c r="AG67" s="285">
        <f t="shared" si="371"/>
        <v>1440</v>
      </c>
      <c r="AH67" s="285">
        <f t="shared" si="371"/>
        <v>1440</v>
      </c>
      <c r="AI67" s="285">
        <f t="shared" si="371"/>
        <v>1200</v>
      </c>
      <c r="AJ67" s="285">
        <f t="shared" si="371"/>
        <v>1920</v>
      </c>
      <c r="AK67" s="285">
        <f t="shared" si="371"/>
        <v>2400</v>
      </c>
      <c r="AL67" s="285">
        <f t="shared" si="371"/>
        <v>2400</v>
      </c>
      <c r="AM67" s="285">
        <f t="shared" si="371"/>
        <v>1680</v>
      </c>
      <c r="AN67" s="285">
        <f t="shared" si="371"/>
        <v>1200</v>
      </c>
      <c r="AO67" s="285">
        <f t="shared" si="371"/>
        <v>1200</v>
      </c>
      <c r="AP67" s="285">
        <f t="shared" si="371"/>
        <v>1440</v>
      </c>
      <c r="AQ67" s="285">
        <f t="shared" si="371"/>
        <v>1920</v>
      </c>
      <c r="AR67" s="285">
        <f t="shared" si="371"/>
        <v>1680</v>
      </c>
      <c r="AS67" s="285">
        <f t="shared" si="371"/>
        <v>1440</v>
      </c>
      <c r="AT67" s="285">
        <f t="shared" si="371"/>
        <v>1440</v>
      </c>
      <c r="AU67" s="285">
        <f t="shared" si="371"/>
        <v>1200</v>
      </c>
      <c r="AV67" s="285">
        <f t="shared" si="371"/>
        <v>1920</v>
      </c>
      <c r="AW67" s="285">
        <f t="shared" si="371"/>
        <v>2400</v>
      </c>
      <c r="AX67" s="285">
        <f t="shared" si="371"/>
        <v>2400</v>
      </c>
      <c r="AY67" s="285">
        <f t="shared" si="371"/>
        <v>1680</v>
      </c>
      <c r="AZ67" s="285">
        <f t="shared" si="371"/>
        <v>1200</v>
      </c>
      <c r="BA67" s="285">
        <f t="shared" si="371"/>
        <v>1200</v>
      </c>
      <c r="BB67" s="285">
        <f t="shared" si="371"/>
        <v>1440</v>
      </c>
      <c r="BC67" s="177"/>
      <c r="BD67" s="178">
        <f>SUM(G67:BC67)</f>
        <v>66960</v>
      </c>
    </row>
    <row r="68" spans="1:56" x14ac:dyDescent="0.3">
      <c r="A68" s="175" t="str">
        <f ca="1">Language!A$587</f>
        <v>коэффициент продаж периода</v>
      </c>
      <c r="B68" s="179"/>
      <c r="C68" s="179"/>
      <c r="F68" s="170" t="s">
        <v>745</v>
      </c>
      <c r="G68" s="286">
        <f t="shared" ref="G68:BB68" si="372">IF(G$2&gt;Prj_Invest,1,0)</f>
        <v>0</v>
      </c>
      <c r="H68" s="286">
        <v>0.5</v>
      </c>
      <c r="I68" s="286">
        <v>0.8</v>
      </c>
      <c r="J68" s="286">
        <v>0.9</v>
      </c>
      <c r="K68" s="286">
        <v>1</v>
      </c>
      <c r="L68" s="286">
        <v>1</v>
      </c>
      <c r="M68" s="286">
        <f t="shared" si="372"/>
        <v>1</v>
      </c>
      <c r="N68" s="286">
        <f t="shared" si="372"/>
        <v>1</v>
      </c>
      <c r="O68" s="286">
        <f t="shared" si="372"/>
        <v>1</v>
      </c>
      <c r="P68" s="286">
        <f t="shared" si="372"/>
        <v>1</v>
      </c>
      <c r="Q68" s="286">
        <f t="shared" si="372"/>
        <v>1</v>
      </c>
      <c r="R68" s="286">
        <f t="shared" si="372"/>
        <v>1</v>
      </c>
      <c r="S68" s="286">
        <f t="shared" si="372"/>
        <v>1</v>
      </c>
      <c r="T68" s="286">
        <f t="shared" si="372"/>
        <v>1</v>
      </c>
      <c r="U68" s="286">
        <f t="shared" si="372"/>
        <v>1</v>
      </c>
      <c r="V68" s="286">
        <f t="shared" si="372"/>
        <v>1</v>
      </c>
      <c r="W68" s="286">
        <f t="shared" si="372"/>
        <v>1</v>
      </c>
      <c r="X68" s="286">
        <f t="shared" si="372"/>
        <v>1</v>
      </c>
      <c r="Y68" s="286">
        <f t="shared" si="372"/>
        <v>1</v>
      </c>
      <c r="Z68" s="286">
        <f t="shared" si="372"/>
        <v>1</v>
      </c>
      <c r="AA68" s="286">
        <f t="shared" si="372"/>
        <v>1</v>
      </c>
      <c r="AB68" s="286">
        <f t="shared" si="372"/>
        <v>1</v>
      </c>
      <c r="AC68" s="286">
        <f t="shared" si="372"/>
        <v>1</v>
      </c>
      <c r="AD68" s="286">
        <f t="shared" si="372"/>
        <v>1</v>
      </c>
      <c r="AE68" s="286">
        <f t="shared" si="372"/>
        <v>1</v>
      </c>
      <c r="AF68" s="286">
        <f t="shared" si="372"/>
        <v>1</v>
      </c>
      <c r="AG68" s="286">
        <f t="shared" si="372"/>
        <v>1</v>
      </c>
      <c r="AH68" s="286">
        <f t="shared" si="372"/>
        <v>1</v>
      </c>
      <c r="AI68" s="286">
        <f t="shared" si="372"/>
        <v>1</v>
      </c>
      <c r="AJ68" s="286">
        <f t="shared" si="372"/>
        <v>1</v>
      </c>
      <c r="AK68" s="286">
        <f t="shared" si="372"/>
        <v>1</v>
      </c>
      <c r="AL68" s="286">
        <f t="shared" si="372"/>
        <v>1</v>
      </c>
      <c r="AM68" s="286">
        <f t="shared" si="372"/>
        <v>1</v>
      </c>
      <c r="AN68" s="286">
        <f t="shared" si="372"/>
        <v>1</v>
      </c>
      <c r="AO68" s="286">
        <f t="shared" si="372"/>
        <v>1</v>
      </c>
      <c r="AP68" s="286">
        <f t="shared" si="372"/>
        <v>1</v>
      </c>
      <c r="AQ68" s="286">
        <f t="shared" si="372"/>
        <v>1</v>
      </c>
      <c r="AR68" s="286">
        <f t="shared" si="372"/>
        <v>1</v>
      </c>
      <c r="AS68" s="286">
        <f t="shared" si="372"/>
        <v>1</v>
      </c>
      <c r="AT68" s="286">
        <f t="shared" si="372"/>
        <v>1</v>
      </c>
      <c r="AU68" s="286">
        <f t="shared" si="372"/>
        <v>1</v>
      </c>
      <c r="AV68" s="286">
        <f t="shared" si="372"/>
        <v>1</v>
      </c>
      <c r="AW68" s="286">
        <f t="shared" si="372"/>
        <v>1</v>
      </c>
      <c r="AX68" s="286">
        <f t="shared" si="372"/>
        <v>1</v>
      </c>
      <c r="AY68" s="286">
        <f t="shared" si="372"/>
        <v>1</v>
      </c>
      <c r="AZ68" s="286">
        <f t="shared" si="372"/>
        <v>1</v>
      </c>
      <c r="BA68" s="286">
        <f t="shared" si="372"/>
        <v>1</v>
      </c>
      <c r="BB68" s="286">
        <f t="shared" si="372"/>
        <v>1</v>
      </c>
      <c r="BC68" s="180"/>
    </row>
    <row r="69" spans="1:56" x14ac:dyDescent="0.3">
      <c r="A69" s="181" t="str">
        <f ca="1">Language!A$607 &amp; C67 &amp; Language!A$1485</f>
        <v>цена за единицу (ед.), без НДС</v>
      </c>
      <c r="B69" s="293">
        <v>1400</v>
      </c>
      <c r="C69" s="176" t="str">
        <f t="shared" ref="C69:C71" ca="1" si="373">CHOOSE(D69,CurName1,CurName2,CurName3)</f>
        <v>руб.</v>
      </c>
      <c r="D69" s="174">
        <f>D66</f>
        <v>1</v>
      </c>
      <c r="E69" s="170" t="s">
        <v>842</v>
      </c>
      <c r="F69" s="170" t="s">
        <v>2346</v>
      </c>
      <c r="G69" s="294">
        <f ca="1">IF(G$2=1,$B69,F69)*IF($B82=1,G82,G81)</f>
        <v>1400</v>
      </c>
      <c r="H69" s="294">
        <f t="shared" ref="H69" ca="1" si="374">IF(H$2=1,$B69,G69)*IF($B82=1,H82,H81)</f>
        <v>1406.8145707914803</v>
      </c>
      <c r="I69" s="294">
        <f t="shared" ref="I69" ca="1" si="375">IF(I$2=1,$B69,H69)*IF($B82=1,I82,I81)</f>
        <v>1413.6623118508692</v>
      </c>
      <c r="J69" s="294">
        <f t="shared" ref="J69" ca="1" si="376">IF(J$2=1,$B69,I69)*IF($B82=1,J82,J81)</f>
        <v>1420.5433846361229</v>
      </c>
      <c r="K69" s="294">
        <f t="shared" ref="K69" ca="1" si="377">IF(K$2=1,$B69,J69)*IF($B82=1,K82,K81)</f>
        <v>1427.4579513911028</v>
      </c>
      <c r="L69" s="294">
        <f t="shared" ref="L69" ca="1" si="378">IF(L$2=1,$B69,K69)*IF($B82=1,L82,L81)</f>
        <v>1434.4061751494</v>
      </c>
      <c r="M69" s="294">
        <f t="shared" ref="M69:BB69" ca="1" si="379">IF(M$2=1,$B69,L69)*IF($B82=1,M82,M81)</f>
        <v>1441.3882197381802</v>
      </c>
      <c r="N69" s="294">
        <f t="shared" ca="1" si="379"/>
        <v>1448.4042497820456</v>
      </c>
      <c r="O69" s="294">
        <f t="shared" ca="1" si="379"/>
        <v>1455.4544307069175</v>
      </c>
      <c r="P69" s="294">
        <f t="shared" ca="1" si="379"/>
        <v>1462.5389287439359</v>
      </c>
      <c r="Q69" s="294">
        <f t="shared" ca="1" si="379"/>
        <v>1469.6579109333798</v>
      </c>
      <c r="R69" s="294">
        <f t="shared" ca="1" si="379"/>
        <v>1476.8115451286044</v>
      </c>
      <c r="S69" s="294">
        <f t="shared" ca="1" si="379"/>
        <v>1484.0000000000002</v>
      </c>
      <c r="T69" s="294">
        <f t="shared" ca="1" si="379"/>
        <v>1491.2234450389692</v>
      </c>
      <c r="U69" s="294">
        <f t="shared" ca="1" si="379"/>
        <v>1498.4820505619214</v>
      </c>
      <c r="V69" s="294">
        <f t="shared" ca="1" si="379"/>
        <v>1505.7759877142905</v>
      </c>
      <c r="W69" s="294">
        <f t="shared" ca="1" si="379"/>
        <v>1513.1054284745692</v>
      </c>
      <c r="X69" s="294">
        <f t="shared" ca="1" si="379"/>
        <v>1520.4705456583642</v>
      </c>
      <c r="Y69" s="294">
        <f t="shared" ca="1" si="379"/>
        <v>1527.8715129224711</v>
      </c>
      <c r="Z69" s="294">
        <f t="shared" ca="1" si="379"/>
        <v>1535.3085047689683</v>
      </c>
      <c r="AA69" s="294">
        <f t="shared" ca="1" si="379"/>
        <v>1542.7816965493325</v>
      </c>
      <c r="AB69" s="294">
        <f t="shared" ca="1" si="379"/>
        <v>1550.2912644685721</v>
      </c>
      <c r="AC69" s="294">
        <f t="shared" ca="1" si="379"/>
        <v>1557.8373855893824</v>
      </c>
      <c r="AD69" s="294">
        <f t="shared" ca="1" si="379"/>
        <v>1565.4202378363204</v>
      </c>
      <c r="AE69" s="294">
        <f t="shared" ca="1" si="379"/>
        <v>1573.04</v>
      </c>
      <c r="AF69" s="294">
        <f t="shared" ca="1" si="379"/>
        <v>1580.6968517413072</v>
      </c>
      <c r="AG69" s="294">
        <f t="shared" ca="1" si="379"/>
        <v>1588.3909735956365</v>
      </c>
      <c r="AH69" s="294">
        <f t="shared" ca="1" si="379"/>
        <v>1596.1225469771477</v>
      </c>
      <c r="AI69" s="294">
        <f t="shared" ca="1" si="379"/>
        <v>1603.8917541830431</v>
      </c>
      <c r="AJ69" s="294">
        <f t="shared" ca="1" si="379"/>
        <v>1611.6987783978659</v>
      </c>
      <c r="AK69" s="294">
        <f t="shared" ca="1" si="379"/>
        <v>1619.5438036978192</v>
      </c>
      <c r="AL69" s="294">
        <f t="shared" ca="1" si="379"/>
        <v>1627.4270150551063</v>
      </c>
      <c r="AM69" s="294">
        <f t="shared" ca="1" si="379"/>
        <v>1635.3485983422922</v>
      </c>
      <c r="AN69" s="294">
        <f t="shared" ca="1" si="379"/>
        <v>1643.3087403366862</v>
      </c>
      <c r="AO69" s="294">
        <f t="shared" ca="1" si="379"/>
        <v>1651.3076287247452</v>
      </c>
      <c r="AP69" s="294">
        <f t="shared" ca="1" si="379"/>
        <v>1659.3454521064996</v>
      </c>
      <c r="AQ69" s="294">
        <f t="shared" ca="1" si="379"/>
        <v>1667.4223999999999</v>
      </c>
      <c r="AR69" s="294">
        <f t="shared" ca="1" si="379"/>
        <v>1675.5386628457857</v>
      </c>
      <c r="AS69" s="294">
        <f t="shared" ca="1" si="379"/>
        <v>1683.6944320113748</v>
      </c>
      <c r="AT69" s="294">
        <f t="shared" ca="1" si="379"/>
        <v>1691.8898997957767</v>
      </c>
      <c r="AU69" s="294">
        <f t="shared" ca="1" si="379"/>
        <v>1700.1252594340258</v>
      </c>
      <c r="AV69" s="294">
        <f t="shared" ca="1" si="379"/>
        <v>1708.4007051017379</v>
      </c>
      <c r="AW69" s="294">
        <f t="shared" ca="1" si="379"/>
        <v>1716.7164319196884</v>
      </c>
      <c r="AX69" s="294">
        <f t="shared" ca="1" si="379"/>
        <v>1725.0726359584128</v>
      </c>
      <c r="AY69" s="294">
        <f t="shared" ca="1" si="379"/>
        <v>1733.46951424283</v>
      </c>
      <c r="AZ69" s="294">
        <f t="shared" ca="1" si="379"/>
        <v>1741.9072647568876</v>
      </c>
      <c r="BA69" s="294">
        <f t="shared" ca="1" si="379"/>
        <v>1750.3860864482301</v>
      </c>
      <c r="BB69" s="294">
        <f t="shared" ca="1" si="379"/>
        <v>1758.9061792328898</v>
      </c>
      <c r="BC69" s="177"/>
    </row>
    <row r="70" spans="1:56" collapsed="1" x14ac:dyDescent="0.3">
      <c r="A70" s="181" t="str">
        <f ca="1">Language!A$608</f>
        <v>выручка от реализации, без НДС</v>
      </c>
      <c r="B70" s="176"/>
      <c r="C70" s="176" t="str">
        <f t="shared" ca="1" si="373"/>
        <v>руб.</v>
      </c>
      <c r="D70" s="174">
        <f>D66</f>
        <v>1</v>
      </c>
      <c r="E70" s="170" t="s">
        <v>992</v>
      </c>
      <c r="F70" s="170" t="s">
        <v>740</v>
      </c>
      <c r="G70" s="182">
        <f t="shared" ref="G70:M70" ca="1" si="380">G67*G69</f>
        <v>0</v>
      </c>
      <c r="H70" s="182">
        <f t="shared" ca="1" si="380"/>
        <v>0</v>
      </c>
      <c r="I70" s="182">
        <f t="shared" ca="1" si="380"/>
        <v>0</v>
      </c>
      <c r="J70" s="182">
        <f t="shared" ca="1" si="380"/>
        <v>0</v>
      </c>
      <c r="K70" s="182">
        <f t="shared" ca="1" si="380"/>
        <v>0</v>
      </c>
      <c r="L70" s="182">
        <f t="shared" ca="1" si="380"/>
        <v>0</v>
      </c>
      <c r="M70" s="182">
        <f t="shared" ca="1" si="380"/>
        <v>1037799.5182114898</v>
      </c>
      <c r="N70" s="182">
        <f t="shared" ref="N70:O70" ca="1" si="381">N67*N69</f>
        <v>1390468.0797907638</v>
      </c>
      <c r="O70" s="182">
        <f t="shared" ca="1" si="381"/>
        <v>1746545.3168483011</v>
      </c>
      <c r="P70" s="182">
        <f t="shared" ref="P70:Q70" ca="1" si="382">P67*P69</f>
        <v>2106056.0573912677</v>
      </c>
      <c r="Q70" s="182">
        <f t="shared" ca="1" si="382"/>
        <v>2116307.391744067</v>
      </c>
      <c r="R70" s="182">
        <f t="shared" ref="R70:S70" ca="1" si="383">R67*R69</f>
        <v>2126608.6249851901</v>
      </c>
      <c r="S70" s="182">
        <f t="shared" ca="1" si="383"/>
        <v>2849280.0000000005</v>
      </c>
      <c r="T70" s="182">
        <f t="shared" ref="T70:U70" ca="1" si="384">T67*T69</f>
        <v>2505255.3876654683</v>
      </c>
      <c r="U70" s="182">
        <f t="shared" ca="1" si="384"/>
        <v>2157814.1528091668</v>
      </c>
      <c r="V70" s="182">
        <f t="shared" ref="V70:W70" ca="1" si="385">V67*V69</f>
        <v>2168317.4223085782</v>
      </c>
      <c r="W70" s="182">
        <f t="shared" ca="1" si="385"/>
        <v>1815726.514169483</v>
      </c>
      <c r="X70" s="182">
        <f t="shared" ref="X70:Y70" ca="1" si="386">X67*X69</f>
        <v>2919303.4476640592</v>
      </c>
      <c r="Y70" s="182">
        <f t="shared" ca="1" si="386"/>
        <v>3666891.6310139308</v>
      </c>
      <c r="Z70" s="182">
        <f t="shared" ref="Z70:AA70" ca="1" si="387">Z67*Z69</f>
        <v>3684740.4114455241</v>
      </c>
      <c r="AA70" s="182">
        <f t="shared" ca="1" si="387"/>
        <v>2591873.2502028788</v>
      </c>
      <c r="AB70" s="182">
        <f t="shared" ref="AB70:AC70" ca="1" si="388">AB67*AB69</f>
        <v>1860349.5173622866</v>
      </c>
      <c r="AC70" s="182">
        <f t="shared" ca="1" si="388"/>
        <v>1869404.8627072589</v>
      </c>
      <c r="AD70" s="182">
        <f t="shared" ref="AD70:AE70" ca="1" si="389">AD67*AD69</f>
        <v>2254205.1424843012</v>
      </c>
      <c r="AE70" s="182">
        <f t="shared" ca="1" si="389"/>
        <v>3020236.7999999998</v>
      </c>
      <c r="AF70" s="182">
        <f t="shared" ref="AF70:AG70" ca="1" si="390">AF67*AF69</f>
        <v>2655570.7109253961</v>
      </c>
      <c r="AG70" s="182">
        <f t="shared" ca="1" si="390"/>
        <v>2287283.0019777166</v>
      </c>
      <c r="AH70" s="182">
        <f t="shared" ref="AH70:AI70" ca="1" si="391">AH67*AH69</f>
        <v>2298416.4676470929</v>
      </c>
      <c r="AI70" s="182">
        <f t="shared" ca="1" si="391"/>
        <v>1924670.1050196516</v>
      </c>
      <c r="AJ70" s="182">
        <f t="shared" ref="AJ70:AK70" ca="1" si="392">AJ67*AJ69</f>
        <v>3094461.6545239026</v>
      </c>
      <c r="AK70" s="182">
        <f t="shared" ca="1" si="392"/>
        <v>3886905.1288747662</v>
      </c>
      <c r="AL70" s="182">
        <f t="shared" ref="AL70:AM70" ca="1" si="393">AL67*AL69</f>
        <v>3905824.8361322549</v>
      </c>
      <c r="AM70" s="182">
        <f t="shared" ca="1" si="393"/>
        <v>2747385.6452150508</v>
      </c>
      <c r="AN70" s="182">
        <f t="shared" ref="AN70:AO70" ca="1" si="394">AN67*AN69</f>
        <v>1971970.4884040235</v>
      </c>
      <c r="AO70" s="182">
        <f t="shared" ca="1" si="394"/>
        <v>1981569.1544696942</v>
      </c>
      <c r="AP70" s="182">
        <f t="shared" ref="AP70:AQ70" ca="1" si="395">AP67*AP69</f>
        <v>2389457.4510333594</v>
      </c>
      <c r="AQ70" s="182">
        <f t="shared" ca="1" si="395"/>
        <v>3201451.0079999999</v>
      </c>
      <c r="AR70" s="182">
        <f t="shared" ref="AR70:AS70" ca="1" si="396">AR67*AR69</f>
        <v>2814904.9535809201</v>
      </c>
      <c r="AS70" s="182">
        <f t="shared" ca="1" si="396"/>
        <v>2424519.9820963796</v>
      </c>
      <c r="AT70" s="182">
        <f t="shared" ref="AT70:AU70" ca="1" si="397">AT67*AT69</f>
        <v>2436321.4557059184</v>
      </c>
      <c r="AU70" s="182">
        <f t="shared" ca="1" si="397"/>
        <v>2040150.3113208311</v>
      </c>
      <c r="AV70" s="182">
        <f t="shared" ref="AV70:AW70" ca="1" si="398">AV67*AV69</f>
        <v>3280129.3537953366</v>
      </c>
      <c r="AW70" s="182">
        <f t="shared" ca="1" si="398"/>
        <v>4120119.4366072519</v>
      </c>
      <c r="AX70" s="182">
        <f t="shared" ref="AX70:AY70" ca="1" si="399">AX67*AX69</f>
        <v>4140174.3263001908</v>
      </c>
      <c r="AY70" s="182">
        <f t="shared" ca="1" si="399"/>
        <v>2912228.7839279543</v>
      </c>
      <c r="AZ70" s="182">
        <f t="shared" ref="AZ70:BA70" ca="1" si="400">AZ67*AZ69</f>
        <v>2090288.7177082652</v>
      </c>
      <c r="BA70" s="182">
        <f t="shared" ca="1" si="400"/>
        <v>2100463.303737876</v>
      </c>
      <c r="BB70" s="182">
        <f t="shared" ref="BB70" ca="1" si="401">BB67*BB69</f>
        <v>2532824.8980953614</v>
      </c>
      <c r="BC70" s="182"/>
      <c r="BD70" s="183">
        <f ca="1">SUM(G70:BC70)</f>
        <v>107124274.70390318</v>
      </c>
    </row>
    <row r="71" spans="1:56" hidden="1" outlineLevel="1" x14ac:dyDescent="0.3">
      <c r="A71" s="181" t="str">
        <f ca="1">Language!A$590</f>
        <v>выручка от реализации, с НДС</v>
      </c>
      <c r="B71" s="176"/>
      <c r="C71" s="176" t="str">
        <f t="shared" ca="1" si="373"/>
        <v>руб.</v>
      </c>
      <c r="D71" s="174">
        <f>D66</f>
        <v>1</v>
      </c>
      <c r="F71" s="170" t="s">
        <v>740</v>
      </c>
      <c r="G71" s="182">
        <f ca="1">G70+G83+G84</f>
        <v>0</v>
      </c>
      <c r="H71" s="182">
        <f t="shared" ref="H71:M71" ca="1" si="402">H70+H83+H84</f>
        <v>0</v>
      </c>
      <c r="I71" s="182">
        <f t="shared" ca="1" si="402"/>
        <v>0</v>
      </c>
      <c r="J71" s="182">
        <f t="shared" ca="1" si="402"/>
        <v>0</v>
      </c>
      <c r="K71" s="182">
        <f t="shared" ca="1" si="402"/>
        <v>0</v>
      </c>
      <c r="L71" s="182">
        <f t="shared" ca="1" si="402"/>
        <v>0</v>
      </c>
      <c r="M71" s="182">
        <f t="shared" ca="1" si="402"/>
        <v>1037799.5182114898</v>
      </c>
      <c r="N71" s="182">
        <f t="shared" ref="N71:O71" ca="1" si="403">N70+N83+N84</f>
        <v>1390468.0797907638</v>
      </c>
      <c r="O71" s="182">
        <f t="shared" ca="1" si="403"/>
        <v>1746545.3168483011</v>
      </c>
      <c r="P71" s="182">
        <f t="shared" ref="P71:Q71" ca="1" si="404">P70+P83+P84</f>
        <v>2106056.0573912677</v>
      </c>
      <c r="Q71" s="182">
        <f t="shared" ca="1" si="404"/>
        <v>2116307.391744067</v>
      </c>
      <c r="R71" s="182">
        <f t="shared" ref="R71:S71" ca="1" si="405">R70+R83+R84</f>
        <v>2126608.6249851901</v>
      </c>
      <c r="S71" s="182">
        <f t="shared" ca="1" si="405"/>
        <v>2849280.0000000005</v>
      </c>
      <c r="T71" s="182">
        <f t="shared" ref="T71:U71" ca="1" si="406">T70+T83+T84</f>
        <v>2505255.3876654683</v>
      </c>
      <c r="U71" s="182">
        <f t="shared" ca="1" si="406"/>
        <v>2157814.1528091668</v>
      </c>
      <c r="V71" s="182">
        <f t="shared" ref="V71:W71" ca="1" si="407">V70+V83+V84</f>
        <v>2168317.4223085782</v>
      </c>
      <c r="W71" s="182">
        <f t="shared" ca="1" si="407"/>
        <v>1815726.514169483</v>
      </c>
      <c r="X71" s="182">
        <f t="shared" ref="X71:Y71" ca="1" si="408">X70+X83+X84</f>
        <v>2919303.4476640592</v>
      </c>
      <c r="Y71" s="182">
        <f t="shared" ca="1" si="408"/>
        <v>3666891.6310139308</v>
      </c>
      <c r="Z71" s="182">
        <f t="shared" ref="Z71:AA71" ca="1" si="409">Z70+Z83+Z84</f>
        <v>3684740.4114455241</v>
      </c>
      <c r="AA71" s="182">
        <f t="shared" ca="1" si="409"/>
        <v>2591873.2502028788</v>
      </c>
      <c r="AB71" s="182">
        <f t="shared" ref="AB71:AC71" ca="1" si="410">AB70+AB83+AB84</f>
        <v>1860349.5173622866</v>
      </c>
      <c r="AC71" s="182">
        <f t="shared" ca="1" si="410"/>
        <v>1869404.8627072589</v>
      </c>
      <c r="AD71" s="182">
        <f t="shared" ref="AD71:AE71" ca="1" si="411">AD70+AD83+AD84</f>
        <v>2254205.1424843012</v>
      </c>
      <c r="AE71" s="182">
        <f t="shared" ca="1" si="411"/>
        <v>3020236.7999999998</v>
      </c>
      <c r="AF71" s="182">
        <f t="shared" ref="AF71:AG71" ca="1" si="412">AF70+AF83+AF84</f>
        <v>2655570.7109253961</v>
      </c>
      <c r="AG71" s="182">
        <f t="shared" ca="1" si="412"/>
        <v>2287283.0019777166</v>
      </c>
      <c r="AH71" s="182">
        <f t="shared" ref="AH71:AI71" ca="1" si="413">AH70+AH83+AH84</f>
        <v>2298416.4676470929</v>
      </c>
      <c r="AI71" s="182">
        <f t="shared" ca="1" si="413"/>
        <v>1924670.1050196516</v>
      </c>
      <c r="AJ71" s="182">
        <f t="shared" ref="AJ71:AK71" ca="1" si="414">AJ70+AJ83+AJ84</f>
        <v>3094461.6545239026</v>
      </c>
      <c r="AK71" s="182">
        <f t="shared" ca="1" si="414"/>
        <v>3886905.1288747662</v>
      </c>
      <c r="AL71" s="182">
        <f t="shared" ref="AL71:AM71" ca="1" si="415">AL70+AL83+AL84</f>
        <v>3905824.8361322549</v>
      </c>
      <c r="AM71" s="182">
        <f t="shared" ca="1" si="415"/>
        <v>2747385.6452150508</v>
      </c>
      <c r="AN71" s="182">
        <f t="shared" ref="AN71:AO71" ca="1" si="416">AN70+AN83+AN84</f>
        <v>1971970.4884040235</v>
      </c>
      <c r="AO71" s="182">
        <f t="shared" ca="1" si="416"/>
        <v>1981569.1544696942</v>
      </c>
      <c r="AP71" s="182">
        <f t="shared" ref="AP71:AQ71" ca="1" si="417">AP70+AP83+AP84</f>
        <v>2389457.4510333594</v>
      </c>
      <c r="AQ71" s="182">
        <f t="shared" ca="1" si="417"/>
        <v>3201451.0079999999</v>
      </c>
      <c r="AR71" s="182">
        <f t="shared" ref="AR71:AS71" ca="1" si="418">AR70+AR83+AR84</f>
        <v>2814904.9535809201</v>
      </c>
      <c r="AS71" s="182">
        <f t="shared" ca="1" si="418"/>
        <v>2424519.9820963796</v>
      </c>
      <c r="AT71" s="182">
        <f t="shared" ref="AT71:AU71" ca="1" si="419">AT70+AT83+AT84</f>
        <v>2436321.4557059184</v>
      </c>
      <c r="AU71" s="182">
        <f t="shared" ca="1" si="419"/>
        <v>2040150.3113208311</v>
      </c>
      <c r="AV71" s="182">
        <f t="shared" ref="AV71:AW71" ca="1" si="420">AV70+AV83+AV84</f>
        <v>3280129.3537953366</v>
      </c>
      <c r="AW71" s="182">
        <f t="shared" ca="1" si="420"/>
        <v>4120119.4366072519</v>
      </c>
      <c r="AX71" s="182">
        <f t="shared" ref="AX71:AY71" ca="1" si="421">AX70+AX83+AX84</f>
        <v>4140174.3263001908</v>
      </c>
      <c r="AY71" s="182">
        <f t="shared" ca="1" si="421"/>
        <v>2912228.7839279543</v>
      </c>
      <c r="AZ71" s="182">
        <f t="shared" ref="AZ71:BA71" ca="1" si="422">AZ70+AZ83+AZ84</f>
        <v>2090288.7177082652</v>
      </c>
      <c r="BA71" s="182">
        <f t="shared" ca="1" si="422"/>
        <v>2100463.303737876</v>
      </c>
      <c r="BB71" s="182">
        <f t="shared" ref="BB71" ca="1" si="423">BB70+BB83+BB84</f>
        <v>2532824.8980953614</v>
      </c>
      <c r="BC71" s="182"/>
      <c r="BD71" s="183">
        <f ca="1">SUM(G71:BC71)</f>
        <v>107124274.70390318</v>
      </c>
    </row>
    <row r="72" spans="1:56" hidden="1" outlineLevel="1" x14ac:dyDescent="0.3">
      <c r="A72" s="184" t="str">
        <f ca="1">Language!A$609</f>
        <v>дебиторская задолженность</v>
      </c>
      <c r="B72" s="163"/>
      <c r="C72" s="163" t="str">
        <f ca="1">CHOOSE(D72,CurName1,CurName2,CurName3)</f>
        <v>руб.</v>
      </c>
      <c r="D72" s="174">
        <f>D66</f>
        <v>1</v>
      </c>
      <c r="E72" s="170" t="s">
        <v>994</v>
      </c>
      <c r="F72" s="170" t="s">
        <v>2350</v>
      </c>
      <c r="G72" s="287">
        <f ca="1">IF(AND($B73=0,G$2&gt;1),F72,(G70+G83+G84)*$B73/Параметры!G$30)</f>
        <v>0</v>
      </c>
      <c r="H72" s="287">
        <f ca="1">IF(AND($B73=0,H$2&gt;1),G72,(H70+H83+H84)*$B73/Параметры!H$30)</f>
        <v>0</v>
      </c>
      <c r="I72" s="287">
        <f ca="1">IF(AND($B73=0,I$2&gt;1),H72,(I70+I83+I84)*$B73/Параметры!I$30)</f>
        <v>0</v>
      </c>
      <c r="J72" s="287">
        <f ca="1">IF(AND($B73=0,J$2&gt;1),I72,(J70+J83+J84)*$B73/Параметры!J$30)</f>
        <v>0</v>
      </c>
      <c r="K72" s="287">
        <f ca="1">IF(AND($B73=0,K$2&gt;1),J72,(K70+K83+K84)*$B73/Параметры!K$30)</f>
        <v>0</v>
      </c>
      <c r="L72" s="287">
        <f ca="1">IF(AND($B73=0,L$2&gt;1),K72,(L70+L83+L84)*$B73/Параметры!L$30)</f>
        <v>0</v>
      </c>
      <c r="M72" s="287">
        <f ca="1">IF(AND($B73=0,M$2&gt;1),L72,(M70+M83+M84)*$B73/Параметры!M$30)</f>
        <v>345933.17273716326</v>
      </c>
      <c r="N72" s="287">
        <f ca="1">IF(AND($B73=0,N$2&gt;1),M72,(N70+N83+N84)*$B73/Параметры!N$30)</f>
        <v>463489.35993025458</v>
      </c>
      <c r="O72" s="287">
        <f ca="1">IF(AND($B73=0,O$2&gt;1),N72,(O70+O83+O84)*$B73/Параметры!O$30)</f>
        <v>582181.77228276699</v>
      </c>
      <c r="P72" s="287">
        <f ca="1">IF(AND($B73=0,P$2&gt;1),O72,(P70+P83+P84)*$B73/Параметры!P$30)</f>
        <v>702018.68579708925</v>
      </c>
      <c r="Q72" s="287">
        <f ca="1">IF(AND($B73=0,Q$2&gt;1),P72,(Q70+Q83+Q84)*$B73/Параметры!Q$30)</f>
        <v>705435.79724802228</v>
      </c>
      <c r="R72" s="287">
        <f ca="1">IF(AND($B73=0,R$2&gt;1),Q72,(R70+R83+R84)*$B73/Параметры!R$30)</f>
        <v>708869.54166173004</v>
      </c>
      <c r="S72" s="287">
        <f ca="1">IF(AND($B73=0,S$2&gt;1),R72,(S70+S83+S84)*$B73/Параметры!S$30)</f>
        <v>949760.00000000012</v>
      </c>
      <c r="T72" s="287">
        <f ca="1">IF(AND($B73=0,T$2&gt;1),S72,(T70+T83+T84)*$B73/Параметры!T$30)</f>
        <v>835085.12922182283</v>
      </c>
      <c r="U72" s="287">
        <f ca="1">IF(AND($B73=0,U$2&gt;1),T72,(U70+U83+U84)*$B73/Параметры!U$30)</f>
        <v>719271.38426972227</v>
      </c>
      <c r="V72" s="287">
        <f ca="1">IF(AND($B73=0,V$2&gt;1),U72,(V70+V83+V84)*$B73/Параметры!V$30)</f>
        <v>722772.4741028595</v>
      </c>
      <c r="W72" s="287">
        <f ca="1">IF(AND($B73=0,W$2&gt;1),V72,(W70+W83+W84)*$B73/Параметры!W$30)</f>
        <v>605242.17138982762</v>
      </c>
      <c r="X72" s="287">
        <f ca="1">IF(AND($B73=0,X$2&gt;1),W72,(X70+X83+X84)*$B73/Параметры!X$30)</f>
        <v>973101.14922135312</v>
      </c>
      <c r="Y72" s="287">
        <f ca="1">IF(AND($B73=0,Y$2&gt;1),X72,(Y70+Y83+Y84)*$B73/Параметры!Y$30)</f>
        <v>1222297.2103379769</v>
      </c>
      <c r="Z72" s="287">
        <f ca="1">IF(AND($B73=0,Z$2&gt;1),Y72,(Z70+Z83+Z84)*$B73/Параметры!Z$30)</f>
        <v>1228246.8038151746</v>
      </c>
      <c r="AA72" s="287">
        <f ca="1">IF(AND($B73=0,AA$2&gt;1),Z72,(AA70+AA83+AA84)*$B73/Параметры!AA$30)</f>
        <v>863957.75006762636</v>
      </c>
      <c r="AB72" s="287">
        <f ca="1">IF(AND($B73=0,AB$2&gt;1),AA72,(AB70+AB83+AB84)*$B73/Параметры!AB$30)</f>
        <v>620116.50578742882</v>
      </c>
      <c r="AC72" s="287">
        <f ca="1">IF(AND($B73=0,AC$2&gt;1),AB72,(AC70+AC83+AC84)*$B73/Параметры!AC$30)</f>
        <v>623134.95423575293</v>
      </c>
      <c r="AD72" s="287">
        <f ca="1">IF(AND($B73=0,AD$2&gt;1),AC72,(AD70+AD83+AD84)*$B73/Параметры!AD$30)</f>
        <v>751401.71416143375</v>
      </c>
      <c r="AE72" s="287">
        <f ca="1">IF(AND($B73=0,AE$2&gt;1),AD72,(AE70+AE83+AE84)*$B73/Параметры!AE$30)</f>
        <v>1006745.6</v>
      </c>
      <c r="AF72" s="287">
        <f ca="1">IF(AND($B73=0,AF$2&gt;1),AE72,(AF70+AF83+AF84)*$B73/Параметры!AF$30)</f>
        <v>885190.23697513202</v>
      </c>
      <c r="AG72" s="287">
        <f ca="1">IF(AND($B73=0,AG$2&gt;1),AF72,(AG70+AG83+AG84)*$B73/Параметры!AG$30)</f>
        <v>762427.66732590541</v>
      </c>
      <c r="AH72" s="287">
        <f ca="1">IF(AND($B73=0,AH$2&gt;1),AG72,(AH70+AH83+AH84)*$B73/Параметры!AH$30)</f>
        <v>766138.82254903088</v>
      </c>
      <c r="AI72" s="287">
        <f ca="1">IF(AND($B73=0,AI$2&gt;1),AH72,(AI70+AI83+AI84)*$B73/Параметры!AI$30)</f>
        <v>641556.70167321723</v>
      </c>
      <c r="AJ72" s="287">
        <f ca="1">IF(AND($B73=0,AJ$2&gt;1),AI72,(AJ70+AJ83+AJ84)*$B73/Параметры!AJ$30)</f>
        <v>1031487.2181746342</v>
      </c>
      <c r="AK72" s="287">
        <f ca="1">IF(AND($B73=0,AK$2&gt;1),AJ72,(AK70+AK83+AK84)*$B73/Параметры!AK$30)</f>
        <v>1295635.0429582554</v>
      </c>
      <c r="AL72" s="287">
        <f ca="1">IF(AND($B73=0,AL$2&gt;1),AK72,(AL70+AL83+AL84)*$B73/Параметры!AL$30)</f>
        <v>1301941.6120440851</v>
      </c>
      <c r="AM72" s="287">
        <f ca="1">IF(AND($B73=0,AM$2&gt;1),AL72,(AM70+AM83+AM84)*$B73/Параметры!AM$30)</f>
        <v>915795.21507168363</v>
      </c>
      <c r="AN72" s="287">
        <f ca="1">IF(AND($B73=0,AN$2&gt;1),AM72,(AN70+AN83+AN84)*$B73/Параметры!AN$30)</f>
        <v>657323.49613467453</v>
      </c>
      <c r="AO72" s="287">
        <f ca="1">IF(AND($B73=0,AO$2&gt;1),AN72,(AO70+AO83+AO84)*$B73/Параметры!AO$30)</f>
        <v>660523.05148989812</v>
      </c>
      <c r="AP72" s="287">
        <f ca="1">IF(AND($B73=0,AP$2&gt;1),AO72,(AP70+AP83+AP84)*$B73/Параметры!AP$30)</f>
        <v>796485.8170111198</v>
      </c>
      <c r="AQ72" s="287">
        <f ca="1">IF(AND($B73=0,AQ$2&gt;1),AP72,(AQ70+AQ83+AQ84)*$B73/Параметры!AQ$30)</f>
        <v>1067150.3359999999</v>
      </c>
      <c r="AR72" s="287">
        <f ca="1">IF(AND($B73=0,AR$2&gt;1),AQ72,(AR70+AR83+AR84)*$B73/Параметры!AR$30)</f>
        <v>938301.65119363996</v>
      </c>
      <c r="AS72" s="287">
        <f ca="1">IF(AND($B73=0,AS$2&gt;1),AR72,(AS70+AS83+AS84)*$B73/Параметры!AS$30)</f>
        <v>808173.32736545987</v>
      </c>
      <c r="AT72" s="287">
        <f ca="1">IF(AND($B73=0,AT$2&gt;1),AS72,(AT70+AT83+AT84)*$B73/Параметры!AT$30)</f>
        <v>812107.15190197283</v>
      </c>
      <c r="AU72" s="287">
        <f ca="1">IF(AND($B73=0,AU$2&gt;1),AT72,(AU70+AU83+AU84)*$B73/Параметры!AU$30)</f>
        <v>680050.10377361032</v>
      </c>
      <c r="AV72" s="287">
        <f ca="1">IF(AND($B73=0,AV$2&gt;1),AU72,(AV70+AV83+AV84)*$B73/Параметры!AV$30)</f>
        <v>1093376.4512651123</v>
      </c>
      <c r="AW72" s="287">
        <f ca="1">IF(AND($B73=0,AW$2&gt;1),AV72,(AW70+AW83+AW84)*$B73/Параметры!AW$30)</f>
        <v>1373373.1455357508</v>
      </c>
      <c r="AX72" s="287">
        <f ca="1">IF(AND($B73=0,AX$2&gt;1),AW72,(AX70+AX83+AX84)*$B73/Параметры!AX$30)</f>
        <v>1380058.1087667302</v>
      </c>
      <c r="AY72" s="287">
        <f ca="1">IF(AND($B73=0,AY$2&gt;1),AX72,(AY70+AY83+AY84)*$B73/Параметры!AY$30)</f>
        <v>970742.92797598476</v>
      </c>
      <c r="AZ72" s="287">
        <f ca="1">IF(AND($B73=0,AZ$2&gt;1),AY72,(AZ70+AZ83+AZ84)*$B73/Параметры!AZ$30)</f>
        <v>696762.90590275498</v>
      </c>
      <c r="BA72" s="287">
        <f ca="1">IF(AND($B73=0,BA$2&gt;1),AZ72,(BA70+BA83+BA84)*$B73/Параметры!BA$30)</f>
        <v>700154.43457929196</v>
      </c>
      <c r="BB72" s="287">
        <f ca="1">IF(AND($B73=0,BB$2&gt;1),BA72,(BB70+BB83+BB84)*$B73/Параметры!BB$30)</f>
        <v>844274.96603178722</v>
      </c>
      <c r="BC72" s="185"/>
      <c r="BD72" s="186"/>
    </row>
    <row r="73" spans="1:56" s="170" customFormat="1" hidden="1" outlineLevel="1" x14ac:dyDescent="0.3">
      <c r="A73" s="187" t="str">
        <f ca="1">Language!A$610</f>
        <v>средний период отсрочки платежа</v>
      </c>
      <c r="B73" s="288">
        <f>$B$573</f>
        <v>10</v>
      </c>
      <c r="C73" s="163" t="str">
        <f ca="1">Language!$A$1474</f>
        <v>дней</v>
      </c>
      <c r="F73" s="170" t="s">
        <v>2347</v>
      </c>
      <c r="G73" s="185"/>
      <c r="H73" s="185"/>
      <c r="I73" s="185"/>
      <c r="J73" s="185"/>
      <c r="K73" s="185"/>
      <c r="L73" s="185"/>
      <c r="M73" s="185"/>
      <c r="N73" s="185"/>
      <c r="O73" s="185"/>
      <c r="P73" s="185"/>
      <c r="Q73" s="185"/>
      <c r="R73" s="185"/>
      <c r="S73" s="185"/>
      <c r="T73" s="185"/>
      <c r="U73" s="185"/>
      <c r="V73" s="185"/>
      <c r="W73" s="185"/>
      <c r="X73" s="185"/>
      <c r="Y73" s="185"/>
      <c r="Z73" s="185"/>
      <c r="AA73" s="185"/>
      <c r="AB73" s="185"/>
      <c r="AC73" s="185"/>
      <c r="AD73" s="185"/>
      <c r="AE73" s="185"/>
      <c r="AF73" s="185"/>
      <c r="AG73" s="185"/>
      <c r="AH73" s="185"/>
      <c r="AI73" s="185"/>
      <c r="AJ73" s="185"/>
      <c r="AK73" s="185"/>
      <c r="AL73" s="185"/>
      <c r="AM73" s="185"/>
      <c r="AN73" s="185"/>
      <c r="AO73" s="185"/>
      <c r="AP73" s="185"/>
      <c r="AQ73" s="185"/>
      <c r="AR73" s="185"/>
      <c r="AS73" s="185"/>
      <c r="AT73" s="185"/>
      <c r="AU73" s="185"/>
      <c r="AV73" s="185"/>
      <c r="AW73" s="185"/>
      <c r="AX73" s="185"/>
      <c r="AY73" s="185"/>
      <c r="AZ73" s="185"/>
      <c r="BA73" s="185"/>
      <c r="BB73" s="185"/>
      <c r="BC73" s="185"/>
      <c r="BD73" s="186"/>
    </row>
    <row r="74" spans="1:56" hidden="1" outlineLevel="1" x14ac:dyDescent="0.3">
      <c r="A74" s="184" t="str">
        <f ca="1">Language!A$611</f>
        <v xml:space="preserve">авансы полученные </v>
      </c>
      <c r="B74" s="163"/>
      <c r="C74" s="163" t="str">
        <f ca="1">CHOOSE(D74,CurName1,CurName2,CurName3)</f>
        <v>руб.</v>
      </c>
      <c r="D74" s="174">
        <f>D66</f>
        <v>1</v>
      </c>
      <c r="E74" s="170" t="s">
        <v>995</v>
      </c>
      <c r="F74" s="170" t="s">
        <v>2350</v>
      </c>
      <c r="G74" s="289">
        <f ca="1">IF(OR(AND($B75=0,G$2&gt;1),G$2=Prj_Len),F74,(OFFSET(G70,0,1)+OFFSET(G83,0,1)+OFFSET(G84,0,1))*$B75/Параметры!G$30)</f>
        <v>0</v>
      </c>
      <c r="H74" s="289">
        <f ca="1">IF(OR(AND($B75=0,H$2&gt;1),H$2=Prj_Len),G74,(OFFSET(H70,0,1)+OFFSET(H83,0,1)+OFFSET(H84,0,1))*$B75/Параметры!H$30)</f>
        <v>0</v>
      </c>
      <c r="I74" s="289">
        <f ca="1">IF(OR(AND($B75=0,I$2&gt;1),I$2=Prj_Len),H74,(OFFSET(I70,0,1)+OFFSET(I83,0,1)+OFFSET(I84,0,1))*$B75/Параметры!I$30)</f>
        <v>0</v>
      </c>
      <c r="J74" s="289">
        <f ca="1">IF(OR(AND($B75=0,J$2&gt;1),J$2=Prj_Len),I74,(OFFSET(J70,0,1)+OFFSET(J83,0,1)+OFFSET(J84,0,1))*$B75/Параметры!J$30)</f>
        <v>0</v>
      </c>
      <c r="K74" s="289">
        <f ca="1">IF(OR(AND($B75=0,K$2&gt;1),K$2=Prj_Len),J74,(OFFSET(K70,0,1)+OFFSET(K83,0,1)+OFFSET(K84,0,1))*$B75/Параметры!K$30)</f>
        <v>0</v>
      </c>
      <c r="L74" s="289">
        <f ca="1">IF(OR(AND($B75=0,L$2&gt;1),L$2=Prj_Len),K74,(OFFSET(L70,0,1)+OFFSET(L83,0,1)+OFFSET(L84,0,1))*$B75/Параметры!L$30)</f>
        <v>0</v>
      </c>
      <c r="M74" s="289">
        <f ca="1">IF(OR(AND($B75=0,M$2&gt;1),M$2=Prj_Len),L74,(OFFSET(M70,0,1)+OFFSET(M83,0,1)+OFFSET(M84,0,1))*$B75/Параметры!M$30)</f>
        <v>0</v>
      </c>
      <c r="N74" s="289">
        <f ca="1">IF(OR(AND($B75=0,N$2&gt;1),N$2=Prj_Len),M74,(OFFSET(N70,0,1)+OFFSET(N83,0,1)+OFFSET(N84,0,1))*$B75/Параметры!N$30)</f>
        <v>0</v>
      </c>
      <c r="O74" s="289">
        <f ca="1">IF(OR(AND($B75=0,O$2&gt;1),O$2=Prj_Len),N74,(OFFSET(O70,0,1)+OFFSET(O83,0,1)+OFFSET(O84,0,1))*$B75/Параметры!O$30)</f>
        <v>0</v>
      </c>
      <c r="P74" s="289">
        <f ca="1">IF(OR(AND($B75=0,P$2&gt;1),P$2=Prj_Len),O74,(OFFSET(P70,0,1)+OFFSET(P83,0,1)+OFFSET(P84,0,1))*$B75/Параметры!P$30)</f>
        <v>0</v>
      </c>
      <c r="Q74" s="289">
        <f ca="1">IF(OR(AND($B75=0,Q$2&gt;1),Q$2=Prj_Len),P74,(OFFSET(Q70,0,1)+OFFSET(Q83,0,1)+OFFSET(Q84,0,1))*$B75/Параметры!Q$30)</f>
        <v>0</v>
      </c>
      <c r="R74" s="289">
        <f ca="1">IF(OR(AND($B75=0,R$2&gt;1),R$2=Prj_Len),Q74,(OFFSET(R70,0,1)+OFFSET(R83,0,1)+OFFSET(R84,0,1))*$B75/Параметры!R$30)</f>
        <v>0</v>
      </c>
      <c r="S74" s="289">
        <f ca="1">IF(OR(AND($B75=0,S$2&gt;1),S$2=Prj_Len),R74,(OFFSET(S70,0,1)+OFFSET(S83,0,1)+OFFSET(S84,0,1))*$B75/Параметры!S$30)</f>
        <v>0</v>
      </c>
      <c r="T74" s="289">
        <f ca="1">IF(OR(AND($B75=0,T$2&gt;1),T$2=Prj_Len),S74,(OFFSET(T70,0,1)+OFFSET(T83,0,1)+OFFSET(T84,0,1))*$B75/Параметры!T$30)</f>
        <v>0</v>
      </c>
      <c r="U74" s="289">
        <f ca="1">IF(OR(AND($B75=0,U$2&gt;1),U$2=Prj_Len),T74,(OFFSET(U70,0,1)+OFFSET(U83,0,1)+OFFSET(U84,0,1))*$B75/Параметры!U$30)</f>
        <v>0</v>
      </c>
      <c r="V74" s="289">
        <f ca="1">IF(OR(AND($B75=0,V$2&gt;1),V$2=Prj_Len),U74,(OFFSET(V70,0,1)+OFFSET(V83,0,1)+OFFSET(V84,0,1))*$B75/Параметры!V$30)</f>
        <v>0</v>
      </c>
      <c r="W74" s="289">
        <f ca="1">IF(OR(AND($B75=0,W$2&gt;1),W$2=Prj_Len),V74,(OFFSET(W70,0,1)+OFFSET(W83,0,1)+OFFSET(W84,0,1))*$B75/Параметры!W$30)</f>
        <v>0</v>
      </c>
      <c r="X74" s="289">
        <f ca="1">IF(OR(AND($B75=0,X$2&gt;1),X$2=Prj_Len),W74,(OFFSET(X70,0,1)+OFFSET(X83,0,1)+OFFSET(X84,0,1))*$B75/Параметры!X$30)</f>
        <v>0</v>
      </c>
      <c r="Y74" s="289">
        <f ca="1">IF(OR(AND($B75=0,Y$2&gt;1),Y$2=Prj_Len),X74,(OFFSET(Y70,0,1)+OFFSET(Y83,0,1)+OFFSET(Y84,0,1))*$B75/Параметры!Y$30)</f>
        <v>0</v>
      </c>
      <c r="Z74" s="289">
        <f ca="1">IF(OR(AND($B75=0,Z$2&gt;1),Z$2=Prj_Len),Y74,(OFFSET(Z70,0,1)+OFFSET(Z83,0,1)+OFFSET(Z84,0,1))*$B75/Параметры!Z$30)</f>
        <v>0</v>
      </c>
      <c r="AA74" s="289">
        <f ca="1">IF(OR(AND($B75=0,AA$2&gt;1),AA$2=Prj_Len),Z74,(OFFSET(AA70,0,1)+OFFSET(AA83,0,1)+OFFSET(AA84,0,1))*$B75/Параметры!AA$30)</f>
        <v>0</v>
      </c>
      <c r="AB74" s="289">
        <f ca="1">IF(OR(AND($B75=0,AB$2&gt;1),AB$2=Prj_Len),AA74,(OFFSET(AB70,0,1)+OFFSET(AB83,0,1)+OFFSET(AB84,0,1))*$B75/Параметры!AB$30)</f>
        <v>0</v>
      </c>
      <c r="AC74" s="289">
        <f ca="1">IF(OR(AND($B75=0,AC$2&gt;1),AC$2=Prj_Len),AB74,(OFFSET(AC70,0,1)+OFFSET(AC83,0,1)+OFFSET(AC84,0,1))*$B75/Параметры!AC$30)</f>
        <v>0</v>
      </c>
      <c r="AD74" s="289">
        <f ca="1">IF(OR(AND($B75=0,AD$2&gt;1),AD$2=Prj_Len),AC74,(OFFSET(AD70,0,1)+OFFSET(AD83,0,1)+OFFSET(AD84,0,1))*$B75/Параметры!AD$30)</f>
        <v>0</v>
      </c>
      <c r="AE74" s="289">
        <f ca="1">IF(OR(AND($B75=0,AE$2&gt;1),AE$2=Prj_Len),AD74,(OFFSET(AE70,0,1)+OFFSET(AE83,0,1)+OFFSET(AE84,0,1))*$B75/Параметры!AE$30)</f>
        <v>0</v>
      </c>
      <c r="AF74" s="289">
        <f ca="1">IF(OR(AND($B75=0,AF$2&gt;1),AF$2=Prj_Len),AE74,(OFFSET(AF70,0,1)+OFFSET(AF83,0,1)+OFFSET(AF84,0,1))*$B75/Параметры!AF$30)</f>
        <v>0</v>
      </c>
      <c r="AG74" s="289">
        <f ca="1">IF(OR(AND($B75=0,AG$2&gt;1),AG$2=Prj_Len),AF74,(OFFSET(AG70,0,1)+OFFSET(AG83,0,1)+OFFSET(AG84,0,1))*$B75/Параметры!AG$30)</f>
        <v>0</v>
      </c>
      <c r="AH74" s="289">
        <f ca="1">IF(OR(AND($B75=0,AH$2&gt;1),AH$2=Prj_Len),AG74,(OFFSET(AH70,0,1)+OFFSET(AH83,0,1)+OFFSET(AH84,0,1))*$B75/Параметры!AH$30)</f>
        <v>0</v>
      </c>
      <c r="AI74" s="289">
        <f ca="1">IF(OR(AND($B75=0,AI$2&gt;1),AI$2=Prj_Len),AH74,(OFFSET(AI70,0,1)+OFFSET(AI83,0,1)+OFFSET(AI84,0,1))*$B75/Параметры!AI$30)</f>
        <v>0</v>
      </c>
      <c r="AJ74" s="289">
        <f ca="1">IF(OR(AND($B75=0,AJ$2&gt;1),AJ$2=Prj_Len),AI74,(OFFSET(AJ70,0,1)+OFFSET(AJ83,0,1)+OFFSET(AJ84,0,1))*$B75/Параметры!AJ$30)</f>
        <v>0</v>
      </c>
      <c r="AK74" s="289">
        <f ca="1">IF(OR(AND($B75=0,AK$2&gt;1),AK$2=Prj_Len),AJ74,(OFFSET(AK70,0,1)+OFFSET(AK83,0,1)+OFFSET(AK84,0,1))*$B75/Параметры!AK$30)</f>
        <v>0</v>
      </c>
      <c r="AL74" s="289">
        <f ca="1">IF(OR(AND($B75=0,AL$2&gt;1),AL$2=Prj_Len),AK74,(OFFSET(AL70,0,1)+OFFSET(AL83,0,1)+OFFSET(AL84,0,1))*$B75/Параметры!AL$30)</f>
        <v>0</v>
      </c>
      <c r="AM74" s="289">
        <f ca="1">IF(OR(AND($B75=0,AM$2&gt;1),AM$2=Prj_Len),AL74,(OFFSET(AM70,0,1)+OFFSET(AM83,0,1)+OFFSET(AM84,0,1))*$B75/Параметры!AM$30)</f>
        <v>0</v>
      </c>
      <c r="AN74" s="289">
        <f ca="1">IF(OR(AND($B75=0,AN$2&gt;1),AN$2=Prj_Len),AM74,(OFFSET(AN70,0,1)+OFFSET(AN83,0,1)+OFFSET(AN84,0,1))*$B75/Параметры!AN$30)</f>
        <v>0</v>
      </c>
      <c r="AO74" s="289">
        <f ca="1">IF(OR(AND($B75=0,AO$2&gt;1),AO$2=Prj_Len),AN74,(OFFSET(AO70,0,1)+OFFSET(AO83,0,1)+OFFSET(AO84,0,1))*$B75/Параметры!AO$30)</f>
        <v>0</v>
      </c>
      <c r="AP74" s="289">
        <f ca="1">IF(OR(AND($B75=0,AP$2&gt;1),AP$2=Prj_Len),AO74,(OFFSET(AP70,0,1)+OFFSET(AP83,0,1)+OFFSET(AP84,0,1))*$B75/Параметры!AP$30)</f>
        <v>0</v>
      </c>
      <c r="AQ74" s="289">
        <f ca="1">IF(OR(AND($B75=0,AQ$2&gt;1),AQ$2=Prj_Len),AP74,(OFFSET(AQ70,0,1)+OFFSET(AQ83,0,1)+OFFSET(AQ84,0,1))*$B75/Параметры!AQ$30)</f>
        <v>0</v>
      </c>
      <c r="AR74" s="289">
        <f ca="1">IF(OR(AND($B75=0,AR$2&gt;1),AR$2=Prj_Len),AQ74,(OFFSET(AR70,0,1)+OFFSET(AR83,0,1)+OFFSET(AR84,0,1))*$B75/Параметры!AR$30)</f>
        <v>0</v>
      </c>
      <c r="AS74" s="289">
        <f ca="1">IF(OR(AND($B75=0,AS$2&gt;1),AS$2=Prj_Len),AR74,(OFFSET(AS70,0,1)+OFFSET(AS83,0,1)+OFFSET(AS84,0,1))*$B75/Параметры!AS$30)</f>
        <v>0</v>
      </c>
      <c r="AT74" s="289">
        <f ca="1">IF(OR(AND($B75=0,AT$2&gt;1),AT$2=Prj_Len),AS74,(OFFSET(AT70,0,1)+OFFSET(AT83,0,1)+OFFSET(AT84,0,1))*$B75/Параметры!AT$30)</f>
        <v>0</v>
      </c>
      <c r="AU74" s="289">
        <f ca="1">IF(OR(AND($B75=0,AU$2&gt;1),AU$2=Prj_Len),AT74,(OFFSET(AU70,0,1)+OFFSET(AU83,0,1)+OFFSET(AU84,0,1))*$B75/Параметры!AU$30)</f>
        <v>0</v>
      </c>
      <c r="AV74" s="289">
        <f ca="1">IF(OR(AND($B75=0,AV$2&gt;1),AV$2=Prj_Len),AU74,(OFFSET(AV70,0,1)+OFFSET(AV83,0,1)+OFFSET(AV84,0,1))*$B75/Параметры!AV$30)</f>
        <v>0</v>
      </c>
      <c r="AW74" s="289">
        <f ca="1">IF(OR(AND($B75=0,AW$2&gt;1),AW$2=Prj_Len),AV74,(OFFSET(AW70,0,1)+OFFSET(AW83,0,1)+OFFSET(AW84,0,1))*$B75/Параметры!AW$30)</f>
        <v>0</v>
      </c>
      <c r="AX74" s="289">
        <f ca="1">IF(OR(AND($B75=0,AX$2&gt;1),AX$2=Prj_Len),AW74,(OFFSET(AX70,0,1)+OFFSET(AX83,0,1)+OFFSET(AX84,0,1))*$B75/Параметры!AX$30)</f>
        <v>0</v>
      </c>
      <c r="AY74" s="289">
        <f ca="1">IF(OR(AND($B75=0,AY$2&gt;1),AY$2=Prj_Len),AX74,(OFFSET(AY70,0,1)+OFFSET(AY83,0,1)+OFFSET(AY84,0,1))*$B75/Параметры!AY$30)</f>
        <v>0</v>
      </c>
      <c r="AZ74" s="289">
        <f ca="1">IF(OR(AND($B75=0,AZ$2&gt;1),AZ$2=Prj_Len),AY74,(OFFSET(AZ70,0,1)+OFFSET(AZ83,0,1)+OFFSET(AZ84,0,1))*$B75/Параметры!AZ$30)</f>
        <v>0</v>
      </c>
      <c r="BA74" s="289">
        <f ca="1">IF(OR(AND($B75=0,BA$2&gt;1),BA$2=Prj_Len),AZ74,(OFFSET(BA70,0,1)+OFFSET(BA83,0,1)+OFFSET(BA84,0,1))*$B75/Параметры!BA$30)</f>
        <v>0</v>
      </c>
      <c r="BB74" s="289">
        <f ca="1">IF(OR(AND($B75=0,BB$2&gt;1),BB$2=Prj_Len),BA74,(OFFSET(BB70,0,1)+OFFSET(BB83,0,1)+OFFSET(BB84,0,1))*$B75/Параметры!BB$30)</f>
        <v>0</v>
      </c>
      <c r="BC74" s="188"/>
      <c r="BD74" s="186"/>
    </row>
    <row r="75" spans="1:56" s="170" customFormat="1" hidden="1" outlineLevel="1" x14ac:dyDescent="0.3">
      <c r="A75" s="187" t="str">
        <f ca="1">Language!A$612</f>
        <v>средний период предоплаты</v>
      </c>
      <c r="B75" s="288">
        <f ca="1">$B$579</f>
        <v>0</v>
      </c>
      <c r="C75" s="163" t="str">
        <f ca="1">Language!$A$1474</f>
        <v>дней</v>
      </c>
      <c r="F75" s="170" t="s">
        <v>2347</v>
      </c>
      <c r="G75" s="185"/>
      <c r="H75" s="185"/>
      <c r="I75" s="185"/>
      <c r="J75" s="185"/>
      <c r="K75" s="185"/>
      <c r="L75" s="185"/>
      <c r="M75" s="185"/>
      <c r="N75" s="185"/>
      <c r="O75" s="185"/>
      <c r="P75" s="185"/>
      <c r="Q75" s="185"/>
      <c r="R75" s="185"/>
      <c r="S75" s="185"/>
      <c r="T75" s="185"/>
      <c r="U75" s="185"/>
      <c r="V75" s="185"/>
      <c r="W75" s="185"/>
      <c r="X75" s="185"/>
      <c r="Y75" s="185"/>
      <c r="Z75" s="185"/>
      <c r="AA75" s="185"/>
      <c r="AB75" s="185"/>
      <c r="AC75" s="185"/>
      <c r="AD75" s="185"/>
      <c r="AE75" s="185"/>
      <c r="AF75" s="185"/>
      <c r="AG75" s="185"/>
      <c r="AH75" s="185"/>
      <c r="AI75" s="185"/>
      <c r="AJ75" s="185"/>
      <c r="AK75" s="185"/>
      <c r="AL75" s="185"/>
      <c r="AM75" s="185"/>
      <c r="AN75" s="185"/>
      <c r="AO75" s="185"/>
      <c r="AP75" s="185"/>
      <c r="AQ75" s="185"/>
      <c r="AR75" s="185"/>
      <c r="AS75" s="185"/>
      <c r="AT75" s="185"/>
      <c r="AU75" s="185"/>
      <c r="AV75" s="185"/>
      <c r="AW75" s="185"/>
      <c r="AX75" s="185"/>
      <c r="AY75" s="185"/>
      <c r="AZ75" s="185"/>
      <c r="BA75" s="185"/>
      <c r="BB75" s="185"/>
      <c r="BC75" s="185"/>
      <c r="BD75" s="186"/>
    </row>
    <row r="76" spans="1:56" s="173" customFormat="1" hidden="1" outlineLevel="1" x14ac:dyDescent="0.3">
      <c r="A76" s="181" t="str">
        <f ca="1">Language!A$613</f>
        <v>поступление денежных средств, с НДС</v>
      </c>
      <c r="B76" s="176"/>
      <c r="C76" s="176" t="str">
        <f ca="1">CHOOSE(D76,CurName1,CurName2,CurName3)</f>
        <v>руб.</v>
      </c>
      <c r="D76" s="174">
        <f>D66</f>
        <v>1</v>
      </c>
      <c r="E76" s="170" t="s">
        <v>993</v>
      </c>
      <c r="F76" s="170" t="s">
        <v>740</v>
      </c>
      <c r="G76" s="182">
        <f ca="1">G70+G83+G84-IF(G$2=1,G72,G72-F72)+IF(G$2=1,G74,G74-F74)</f>
        <v>0</v>
      </c>
      <c r="H76" s="182">
        <f t="shared" ref="H76" ca="1" si="424">H70+H83+H84-IF(H$2=1,H72,H72-G72)+IF(H$2=1,H74,H74-G74)</f>
        <v>0</v>
      </c>
      <c r="I76" s="182">
        <f t="shared" ref="I76" ca="1" si="425">I70+I83+I84-IF(I$2=1,I72,I72-H72)+IF(I$2=1,I74,I74-H74)</f>
        <v>0</v>
      </c>
      <c r="J76" s="182">
        <f t="shared" ref="J76" ca="1" si="426">J70+J83+J84-IF(J$2=1,J72,J72-I72)+IF(J$2=1,J74,J74-I74)</f>
        <v>0</v>
      </c>
      <c r="K76" s="182">
        <f t="shared" ref="K76" ca="1" si="427">K70+K83+K84-IF(K$2=1,K72,K72-J72)+IF(K$2=1,K74,K74-J74)</f>
        <v>0</v>
      </c>
      <c r="L76" s="182">
        <f t="shared" ref="L76" ca="1" si="428">L70+L83+L84-IF(L$2=1,L72,L72-K72)+IF(L$2=1,L74,L74-K74)</f>
        <v>0</v>
      </c>
      <c r="M76" s="182">
        <f t="shared" ref="M76:BB76" ca="1" si="429">M70+M83+M84-IF(M$2=1,M72,M72-L72)+IF(M$2=1,M74,M74-L74)</f>
        <v>691866.34547432652</v>
      </c>
      <c r="N76" s="182">
        <f t="shared" ca="1" si="429"/>
        <v>1272911.8925976725</v>
      </c>
      <c r="O76" s="182">
        <f t="shared" ca="1" si="429"/>
        <v>1627852.9044957887</v>
      </c>
      <c r="P76" s="182">
        <f t="shared" ca="1" si="429"/>
        <v>1986219.1438769456</v>
      </c>
      <c r="Q76" s="182">
        <f t="shared" ca="1" si="429"/>
        <v>2112890.280293134</v>
      </c>
      <c r="R76" s="182">
        <f t="shared" ca="1" si="429"/>
        <v>2123174.8805714822</v>
      </c>
      <c r="S76" s="182">
        <f t="shared" ca="1" si="429"/>
        <v>2608389.5416617305</v>
      </c>
      <c r="T76" s="182">
        <f t="shared" ca="1" si="429"/>
        <v>2619930.2584436457</v>
      </c>
      <c r="U76" s="182">
        <f t="shared" ca="1" si="429"/>
        <v>2273627.8977612676</v>
      </c>
      <c r="V76" s="182">
        <f t="shared" ca="1" si="429"/>
        <v>2164816.332475441</v>
      </c>
      <c r="W76" s="182">
        <f t="shared" ca="1" si="429"/>
        <v>1933256.8168825149</v>
      </c>
      <c r="X76" s="182">
        <f t="shared" ca="1" si="429"/>
        <v>2551444.469832534</v>
      </c>
      <c r="Y76" s="182">
        <f t="shared" ca="1" si="429"/>
        <v>3417695.5698973071</v>
      </c>
      <c r="Z76" s="182">
        <f t="shared" ca="1" si="429"/>
        <v>3678790.8179683266</v>
      </c>
      <c r="AA76" s="182">
        <f t="shared" ca="1" si="429"/>
        <v>2956162.3039504271</v>
      </c>
      <c r="AB76" s="182">
        <f t="shared" ca="1" si="429"/>
        <v>2104190.761642484</v>
      </c>
      <c r="AC76" s="182">
        <f t="shared" ca="1" si="429"/>
        <v>1866386.4142589348</v>
      </c>
      <c r="AD76" s="182">
        <f t="shared" ca="1" si="429"/>
        <v>2125938.3825586205</v>
      </c>
      <c r="AE76" s="182">
        <f t="shared" ca="1" si="429"/>
        <v>2764892.9141614335</v>
      </c>
      <c r="AF76" s="182">
        <f t="shared" ca="1" si="429"/>
        <v>2777126.0739502641</v>
      </c>
      <c r="AG76" s="182">
        <f t="shared" ca="1" si="429"/>
        <v>2410045.5716269431</v>
      </c>
      <c r="AH76" s="182">
        <f t="shared" ca="1" si="429"/>
        <v>2294705.3124239673</v>
      </c>
      <c r="AI76" s="182">
        <f t="shared" ca="1" si="429"/>
        <v>2049252.2258954654</v>
      </c>
      <c r="AJ76" s="182">
        <f t="shared" ca="1" si="429"/>
        <v>2704531.1380224857</v>
      </c>
      <c r="AK76" s="182">
        <f t="shared" ca="1" si="429"/>
        <v>3622757.3040911448</v>
      </c>
      <c r="AL76" s="182">
        <f t="shared" ca="1" si="429"/>
        <v>3899518.2670464255</v>
      </c>
      <c r="AM76" s="182">
        <f t="shared" ca="1" si="429"/>
        <v>3133532.0421874523</v>
      </c>
      <c r="AN76" s="182">
        <f t="shared" ca="1" si="429"/>
        <v>2230442.2073410326</v>
      </c>
      <c r="AO76" s="182">
        <f t="shared" ca="1" si="429"/>
        <v>1978369.5991144706</v>
      </c>
      <c r="AP76" s="182">
        <f t="shared" ca="1" si="429"/>
        <v>2253494.6855121376</v>
      </c>
      <c r="AQ76" s="182">
        <f t="shared" ca="1" si="429"/>
        <v>2930786.4890111201</v>
      </c>
      <c r="AR76" s="182">
        <f t="shared" ca="1" si="429"/>
        <v>2943753.6383872801</v>
      </c>
      <c r="AS76" s="182">
        <f t="shared" ca="1" si="429"/>
        <v>2554648.3059245599</v>
      </c>
      <c r="AT76" s="182">
        <f t="shared" ca="1" si="429"/>
        <v>2432387.6311694053</v>
      </c>
      <c r="AU76" s="182">
        <f t="shared" ca="1" si="429"/>
        <v>2172207.3594491938</v>
      </c>
      <c r="AV76" s="182">
        <f t="shared" ca="1" si="429"/>
        <v>2866803.0063038347</v>
      </c>
      <c r="AW76" s="182">
        <f t="shared" ca="1" si="429"/>
        <v>3840122.7423366131</v>
      </c>
      <c r="AX76" s="182">
        <f t="shared" ca="1" si="429"/>
        <v>4133489.3630692111</v>
      </c>
      <c r="AY76" s="182">
        <f t="shared" ca="1" si="429"/>
        <v>3321543.9647186995</v>
      </c>
      <c r="AZ76" s="182">
        <f t="shared" ca="1" si="429"/>
        <v>2364268.7397814952</v>
      </c>
      <c r="BA76" s="182">
        <f t="shared" ca="1" si="429"/>
        <v>2097071.7750613391</v>
      </c>
      <c r="BB76" s="182">
        <f t="shared" ca="1" si="429"/>
        <v>2388704.3666428663</v>
      </c>
      <c r="BC76" s="182"/>
      <c r="BD76" s="183">
        <f ca="1">SUM(G76:BC76)</f>
        <v>106279999.73787144</v>
      </c>
    </row>
    <row r="77" spans="1:56" hidden="1" outlineLevel="1" x14ac:dyDescent="0.3">
      <c r="A77" s="184" t="str">
        <f ca="1">Language!A$614</f>
        <v>темп изменения цен</v>
      </c>
      <c r="B77" s="189"/>
      <c r="C77" s="163" t="str">
        <f ca="1">Language!$A$480</f>
        <v>% в год</v>
      </c>
      <c r="D77" s="174"/>
      <c r="F77" s="170" t="s">
        <v>2346</v>
      </c>
      <c r="G77" s="290">
        <f>CHOOSE($D66,Параметры!G$47,Параметры!G$56,Параметры!G$62)</f>
        <v>0.06</v>
      </c>
      <c r="H77" s="290">
        <f>CHOOSE($D66,Параметры!H$47,Параметры!H$56,Параметры!H$62)</f>
        <v>0.06</v>
      </c>
      <c r="I77" s="290">
        <f>CHOOSE($D66,Параметры!I$47,Параметры!I$56,Параметры!I$62)</f>
        <v>0.06</v>
      </c>
      <c r="J77" s="290">
        <f>CHOOSE($D66,Параметры!J$47,Параметры!J$56,Параметры!J$62)</f>
        <v>0.06</v>
      </c>
      <c r="K77" s="290">
        <f>CHOOSE($D66,Параметры!K$47,Параметры!K$56,Параметры!K$62)</f>
        <v>0.06</v>
      </c>
      <c r="L77" s="290">
        <f>CHOOSE($D66,Параметры!L$47,Параметры!L$56,Параметры!L$62)</f>
        <v>0.06</v>
      </c>
      <c r="M77" s="290">
        <f>CHOOSE($D66,Параметры!M$47,Параметры!M$56,Параметры!M$62)</f>
        <v>0.06</v>
      </c>
      <c r="N77" s="290">
        <f>CHOOSE($D66,Параметры!N$47,Параметры!N$56,Параметры!N$62)</f>
        <v>0.06</v>
      </c>
      <c r="O77" s="290">
        <f>CHOOSE($D66,Параметры!O$47,Параметры!O$56,Параметры!O$62)</f>
        <v>0.06</v>
      </c>
      <c r="P77" s="290">
        <f>CHOOSE($D66,Параметры!P$47,Параметры!P$56,Параметры!P$62)</f>
        <v>0.06</v>
      </c>
      <c r="Q77" s="290">
        <f>CHOOSE($D66,Параметры!Q$47,Параметры!Q$56,Параметры!Q$62)</f>
        <v>0.06</v>
      </c>
      <c r="R77" s="290">
        <f>CHOOSE($D66,Параметры!R$47,Параметры!R$56,Параметры!R$62)</f>
        <v>0.06</v>
      </c>
      <c r="S77" s="290">
        <f>CHOOSE($D66,Параметры!S$47,Параметры!S$56,Параметры!S$62)</f>
        <v>0.06</v>
      </c>
      <c r="T77" s="290">
        <f>CHOOSE($D66,Параметры!T$47,Параметры!T$56,Параметры!T$62)</f>
        <v>0.06</v>
      </c>
      <c r="U77" s="290">
        <f>CHOOSE($D66,Параметры!U$47,Параметры!U$56,Параметры!U$62)</f>
        <v>0.06</v>
      </c>
      <c r="V77" s="290">
        <f>CHOOSE($D66,Параметры!V$47,Параметры!V$56,Параметры!V$62)</f>
        <v>0.06</v>
      </c>
      <c r="W77" s="290">
        <f>CHOOSE($D66,Параметры!W$47,Параметры!W$56,Параметры!W$62)</f>
        <v>0.06</v>
      </c>
      <c r="X77" s="290">
        <f>CHOOSE($D66,Параметры!X$47,Параметры!X$56,Параметры!X$62)</f>
        <v>0.06</v>
      </c>
      <c r="Y77" s="290">
        <f>CHOOSE($D66,Параметры!Y$47,Параметры!Y$56,Параметры!Y$62)</f>
        <v>0.06</v>
      </c>
      <c r="Z77" s="290">
        <f>CHOOSE($D66,Параметры!Z$47,Параметры!Z$56,Параметры!Z$62)</f>
        <v>0.06</v>
      </c>
      <c r="AA77" s="290">
        <f>CHOOSE($D66,Параметры!AA$47,Параметры!AA$56,Параметры!AA$62)</f>
        <v>0.06</v>
      </c>
      <c r="AB77" s="290">
        <f>CHOOSE($D66,Параметры!AB$47,Параметры!AB$56,Параметры!AB$62)</f>
        <v>0.06</v>
      </c>
      <c r="AC77" s="290">
        <f>CHOOSE($D66,Параметры!AC$47,Параметры!AC$56,Параметры!AC$62)</f>
        <v>0.06</v>
      </c>
      <c r="AD77" s="290">
        <f>CHOOSE($D66,Параметры!AD$47,Параметры!AD$56,Параметры!AD$62)</f>
        <v>0.06</v>
      </c>
      <c r="AE77" s="290">
        <f>CHOOSE($D66,Параметры!AE$47,Параметры!AE$56,Параметры!AE$62)</f>
        <v>0.06</v>
      </c>
      <c r="AF77" s="290">
        <f>CHOOSE($D66,Параметры!AF$47,Параметры!AF$56,Параметры!AF$62)</f>
        <v>0.06</v>
      </c>
      <c r="AG77" s="290">
        <f>CHOOSE($D66,Параметры!AG$47,Параметры!AG$56,Параметры!AG$62)</f>
        <v>0.06</v>
      </c>
      <c r="AH77" s="290">
        <f>CHOOSE($D66,Параметры!AH$47,Параметры!AH$56,Параметры!AH$62)</f>
        <v>0.06</v>
      </c>
      <c r="AI77" s="290">
        <f>CHOOSE($D66,Параметры!AI$47,Параметры!AI$56,Параметры!AI$62)</f>
        <v>0.06</v>
      </c>
      <c r="AJ77" s="290">
        <f>CHOOSE($D66,Параметры!AJ$47,Параметры!AJ$56,Параметры!AJ$62)</f>
        <v>0.06</v>
      </c>
      <c r="AK77" s="290">
        <f>CHOOSE($D66,Параметры!AK$47,Параметры!AK$56,Параметры!AK$62)</f>
        <v>0.06</v>
      </c>
      <c r="AL77" s="290">
        <f>CHOOSE($D66,Параметры!AL$47,Параметры!AL$56,Параметры!AL$62)</f>
        <v>0.06</v>
      </c>
      <c r="AM77" s="290">
        <f>CHOOSE($D66,Параметры!AM$47,Параметры!AM$56,Параметры!AM$62)</f>
        <v>0.06</v>
      </c>
      <c r="AN77" s="290">
        <f>CHOOSE($D66,Параметры!AN$47,Параметры!AN$56,Параметры!AN$62)</f>
        <v>0.06</v>
      </c>
      <c r="AO77" s="290">
        <f>CHOOSE($D66,Параметры!AO$47,Параметры!AO$56,Параметры!AO$62)</f>
        <v>0.06</v>
      </c>
      <c r="AP77" s="290">
        <f>CHOOSE($D66,Параметры!AP$47,Параметры!AP$56,Параметры!AP$62)</f>
        <v>0.06</v>
      </c>
      <c r="AQ77" s="290">
        <f>CHOOSE($D66,Параметры!AQ$47,Параметры!AQ$56,Параметры!AQ$62)</f>
        <v>0.06</v>
      </c>
      <c r="AR77" s="290">
        <f>CHOOSE($D66,Параметры!AR$47,Параметры!AR$56,Параметры!AR$62)</f>
        <v>0.06</v>
      </c>
      <c r="AS77" s="290">
        <f>CHOOSE($D66,Параметры!AS$47,Параметры!AS$56,Параметры!AS$62)</f>
        <v>0.06</v>
      </c>
      <c r="AT77" s="290">
        <f>CHOOSE($D66,Параметры!AT$47,Параметры!AT$56,Параметры!AT$62)</f>
        <v>0.06</v>
      </c>
      <c r="AU77" s="290">
        <f>CHOOSE($D66,Параметры!AU$47,Параметры!AU$56,Параметры!AU$62)</f>
        <v>0.06</v>
      </c>
      <c r="AV77" s="290">
        <f>CHOOSE($D66,Параметры!AV$47,Параметры!AV$56,Параметры!AV$62)</f>
        <v>0.06</v>
      </c>
      <c r="AW77" s="290">
        <f>CHOOSE($D66,Параметры!AW$47,Параметры!AW$56,Параметры!AW$62)</f>
        <v>0.06</v>
      </c>
      <c r="AX77" s="290">
        <f>CHOOSE($D66,Параметры!AX$47,Параметры!AX$56,Параметры!AX$62)</f>
        <v>0.06</v>
      </c>
      <c r="AY77" s="290">
        <f>CHOOSE($D66,Параметры!AY$47,Параметры!AY$56,Параметры!AY$62)</f>
        <v>0.06</v>
      </c>
      <c r="AZ77" s="290">
        <f>CHOOSE($D66,Параметры!AZ$47,Параметры!AZ$56,Параметры!AZ$62)</f>
        <v>0.06</v>
      </c>
      <c r="BA77" s="290">
        <f>CHOOSE($D66,Параметры!BA$47,Параметры!BA$56,Параметры!BA$62)</f>
        <v>0.06</v>
      </c>
      <c r="BB77" s="290">
        <f>CHOOSE($D66,Параметры!BB$47,Параметры!BB$56,Параметры!BB$62)</f>
        <v>0.06</v>
      </c>
      <c r="BC77" s="190"/>
      <c r="BD77" s="186"/>
    </row>
    <row r="78" spans="1:56" hidden="1" outlineLevel="1" x14ac:dyDescent="0.3">
      <c r="A78" s="184" t="str">
        <f ca="1">Language!A$615</f>
        <v>ставка НДС</v>
      </c>
      <c r="B78" s="189"/>
      <c r="C78" s="163" t="s">
        <v>1</v>
      </c>
      <c r="D78" s="174"/>
      <c r="F78" s="170" t="s">
        <v>2346</v>
      </c>
      <c r="G78" s="290">
        <f>IF(G$2=1,Параметры!G$72,IF(F78=Параметры!F$72,Параметры!F$72,F78))</f>
        <v>0</v>
      </c>
      <c r="H78" s="290">
        <f>IF(H$2=1,Параметры!H$72,IF(G78=Параметры!G$72,Параметры!G$72,G78))</f>
        <v>0</v>
      </c>
      <c r="I78" s="290">
        <f>IF(I$2=1,Параметры!I$72,IF(H78=Параметры!H$72,Параметры!H$72,H78))</f>
        <v>0</v>
      </c>
      <c r="J78" s="290">
        <f>IF(J$2=1,Параметры!J$72,IF(I78=Параметры!I$72,Параметры!I$72,I78))</f>
        <v>0</v>
      </c>
      <c r="K78" s="290">
        <f>IF(K$2=1,Параметры!K$72,IF(J78=Параметры!J$72,Параметры!J$72,J78))</f>
        <v>0</v>
      </c>
      <c r="L78" s="290">
        <f>IF(L$2=1,Параметры!L$72,IF(K78=Параметры!K$72,Параметры!K$72,K78))</f>
        <v>0</v>
      </c>
      <c r="M78" s="290">
        <f>IF(M$2=1,Параметры!M$72,IF(L78=Параметры!L$72,Параметры!L$72,L78))</f>
        <v>0</v>
      </c>
      <c r="N78" s="290">
        <f>IF(N$2=1,Параметры!N$72,IF(M78=Параметры!M$72,Параметры!M$72,M78))</f>
        <v>0</v>
      </c>
      <c r="O78" s="290">
        <f>IF(O$2=1,Параметры!O$72,IF(N78=Параметры!N$72,Параметры!N$72,N78))</f>
        <v>0</v>
      </c>
      <c r="P78" s="290">
        <f>IF(P$2=1,Параметры!P$72,IF(O78=Параметры!O$72,Параметры!O$72,O78))</f>
        <v>0</v>
      </c>
      <c r="Q78" s="290">
        <f>IF(Q$2=1,Параметры!Q$72,IF(P78=Параметры!P$72,Параметры!P$72,P78))</f>
        <v>0</v>
      </c>
      <c r="R78" s="290">
        <f>IF(R$2=1,Параметры!R$72,IF(Q78=Параметры!Q$72,Параметры!Q$72,Q78))</f>
        <v>0</v>
      </c>
      <c r="S78" s="290">
        <f>IF(S$2=1,Параметры!S$72,IF(R78=Параметры!R$72,Параметры!R$72,R78))</f>
        <v>0</v>
      </c>
      <c r="T78" s="290">
        <f>IF(T$2=1,Параметры!T$72,IF(S78=Параметры!S$72,Параметры!S$72,S78))</f>
        <v>0</v>
      </c>
      <c r="U78" s="290">
        <f>IF(U$2=1,Параметры!U$72,IF(T78=Параметры!T$72,Параметры!T$72,T78))</f>
        <v>0</v>
      </c>
      <c r="V78" s="290">
        <f>IF(V$2=1,Параметры!V$72,IF(U78=Параметры!U$72,Параметры!U$72,U78))</f>
        <v>0</v>
      </c>
      <c r="W78" s="290">
        <f>IF(W$2=1,Параметры!W$72,IF(V78=Параметры!V$72,Параметры!V$72,V78))</f>
        <v>0</v>
      </c>
      <c r="X78" s="290">
        <f>IF(X$2=1,Параметры!X$72,IF(W78=Параметры!W$72,Параметры!W$72,W78))</f>
        <v>0</v>
      </c>
      <c r="Y78" s="290">
        <f>IF(Y$2=1,Параметры!Y$72,IF(X78=Параметры!X$72,Параметры!X$72,X78))</f>
        <v>0</v>
      </c>
      <c r="Z78" s="290">
        <f>IF(Z$2=1,Параметры!Z$72,IF(Y78=Параметры!Y$72,Параметры!Y$72,Y78))</f>
        <v>0</v>
      </c>
      <c r="AA78" s="290">
        <f>IF(AA$2=1,Параметры!AA$72,IF(Z78=Параметры!Z$72,Параметры!Z$72,Z78))</f>
        <v>0</v>
      </c>
      <c r="AB78" s="290">
        <f>IF(AB$2=1,Параметры!AB$72,IF(AA78=Параметры!AA$72,Параметры!AA$72,AA78))</f>
        <v>0</v>
      </c>
      <c r="AC78" s="290">
        <f>IF(AC$2=1,Параметры!AC$72,IF(AB78=Параметры!AB$72,Параметры!AB$72,AB78))</f>
        <v>0</v>
      </c>
      <c r="AD78" s="290">
        <f>IF(AD$2=1,Параметры!AD$72,IF(AC78=Параметры!AC$72,Параметры!AC$72,AC78))</f>
        <v>0</v>
      </c>
      <c r="AE78" s="290">
        <f>IF(AE$2=1,Параметры!AE$72,IF(AD78=Параметры!AD$72,Параметры!AD$72,AD78))</f>
        <v>0</v>
      </c>
      <c r="AF78" s="290">
        <f>IF(AF$2=1,Параметры!AF$72,IF(AE78=Параметры!AE$72,Параметры!AE$72,AE78))</f>
        <v>0</v>
      </c>
      <c r="AG78" s="290">
        <f>IF(AG$2=1,Параметры!AG$72,IF(AF78=Параметры!AF$72,Параметры!AF$72,AF78))</f>
        <v>0</v>
      </c>
      <c r="AH78" s="290">
        <f>IF(AH$2=1,Параметры!AH$72,IF(AG78=Параметры!AG$72,Параметры!AG$72,AG78))</f>
        <v>0</v>
      </c>
      <c r="AI78" s="290">
        <f>IF(AI$2=1,Параметры!AI$72,IF(AH78=Параметры!AH$72,Параметры!AH$72,AH78))</f>
        <v>0</v>
      </c>
      <c r="AJ78" s="290">
        <f>IF(AJ$2=1,Параметры!AJ$72,IF(AI78=Параметры!AI$72,Параметры!AI$72,AI78))</f>
        <v>0</v>
      </c>
      <c r="AK78" s="290">
        <f>IF(AK$2=1,Параметры!AK$72,IF(AJ78=Параметры!AJ$72,Параметры!AJ$72,AJ78))</f>
        <v>0</v>
      </c>
      <c r="AL78" s="290">
        <f>IF(AL$2=1,Параметры!AL$72,IF(AK78=Параметры!AK$72,Параметры!AK$72,AK78))</f>
        <v>0</v>
      </c>
      <c r="AM78" s="290">
        <f>IF(AM$2=1,Параметры!AM$72,IF(AL78=Параметры!AL$72,Параметры!AL$72,AL78))</f>
        <v>0</v>
      </c>
      <c r="AN78" s="290">
        <f>IF(AN$2=1,Параметры!AN$72,IF(AM78=Параметры!AM$72,Параметры!AM$72,AM78))</f>
        <v>0</v>
      </c>
      <c r="AO78" s="290">
        <f>IF(AO$2=1,Параметры!AO$72,IF(AN78=Параметры!AN$72,Параметры!AN$72,AN78))</f>
        <v>0</v>
      </c>
      <c r="AP78" s="290">
        <f>IF(AP$2=1,Параметры!AP$72,IF(AO78=Параметры!AO$72,Параметры!AO$72,AO78))</f>
        <v>0</v>
      </c>
      <c r="AQ78" s="290">
        <f>IF(AQ$2=1,Параметры!AQ$72,IF(AP78=Параметры!AP$72,Параметры!AP$72,AP78))</f>
        <v>0</v>
      </c>
      <c r="AR78" s="290">
        <f>IF(AR$2=1,Параметры!AR$72,IF(AQ78=Параметры!AQ$72,Параметры!AQ$72,AQ78))</f>
        <v>0</v>
      </c>
      <c r="AS78" s="290">
        <f>IF(AS$2=1,Параметры!AS$72,IF(AR78=Параметры!AR$72,Параметры!AR$72,AR78))</f>
        <v>0</v>
      </c>
      <c r="AT78" s="290">
        <f>IF(AT$2=1,Параметры!AT$72,IF(AS78=Параметры!AS$72,Параметры!AS$72,AS78))</f>
        <v>0</v>
      </c>
      <c r="AU78" s="290">
        <f>IF(AU$2=1,Параметры!AU$72,IF(AT78=Параметры!AT$72,Параметры!AT$72,AT78))</f>
        <v>0</v>
      </c>
      <c r="AV78" s="290">
        <f>IF(AV$2=1,Параметры!AV$72,IF(AU78=Параметры!AU$72,Параметры!AU$72,AU78))</f>
        <v>0</v>
      </c>
      <c r="AW78" s="290">
        <f>IF(AW$2=1,Параметры!AW$72,IF(AV78=Параметры!AV$72,Параметры!AV$72,AV78))</f>
        <v>0</v>
      </c>
      <c r="AX78" s="290">
        <f>IF(AX$2=1,Параметры!AX$72,IF(AW78=Параметры!AW$72,Параметры!AW$72,AW78))</f>
        <v>0</v>
      </c>
      <c r="AY78" s="290">
        <f>IF(AY$2=1,Параметры!AY$72,IF(AX78=Параметры!AX$72,Параметры!AX$72,AX78))</f>
        <v>0</v>
      </c>
      <c r="AZ78" s="290">
        <f>IF(AZ$2=1,Параметры!AZ$72,IF(AY78=Параметры!AY$72,Параметры!AY$72,AY78))</f>
        <v>0</v>
      </c>
      <c r="BA78" s="290">
        <f>IF(BA$2=1,Параметры!BA$72,IF(AZ78=Параметры!AZ$72,Параметры!AZ$72,AZ78))</f>
        <v>0</v>
      </c>
      <c r="BB78" s="290">
        <f>IF(BB$2=1,Параметры!BB$72,IF(BA78=Параметры!BA$72,Параметры!BA$72,BA78))</f>
        <v>0</v>
      </c>
      <c r="BC78" s="190"/>
      <c r="BD78" s="186"/>
    </row>
    <row r="79" spans="1:56" hidden="1" outlineLevel="1" x14ac:dyDescent="0.3">
      <c r="A79" s="184" t="str">
        <f ca="1">Language!A$616</f>
        <v>акцизы, на единицу</v>
      </c>
      <c r="B79" s="174"/>
      <c r="C79" s="163" t="str">
        <f ca="1">CHOOSE(D79,CurName1,CurName2,CurName3)&amp;"/"&amp;C67</f>
        <v>руб./ед.</v>
      </c>
      <c r="D79" s="174">
        <f>D66</f>
        <v>1</v>
      </c>
      <c r="F79" s="170" t="s">
        <v>2346</v>
      </c>
      <c r="G79" s="287">
        <v>0</v>
      </c>
      <c r="H79" s="287">
        <f t="shared" ref="H79:H80" si="430">G79</f>
        <v>0</v>
      </c>
      <c r="I79" s="287">
        <f t="shared" ref="I79:I80" si="431">H79</f>
        <v>0</v>
      </c>
      <c r="J79" s="287">
        <f t="shared" ref="J79:J80" si="432">I79</f>
        <v>0</v>
      </c>
      <c r="K79" s="287">
        <f t="shared" ref="K79:K80" si="433">J79</f>
        <v>0</v>
      </c>
      <c r="L79" s="287">
        <f t="shared" ref="L79:L80" si="434">K79</f>
        <v>0</v>
      </c>
      <c r="M79" s="287">
        <f t="shared" ref="M79:BB80" si="435">L79</f>
        <v>0</v>
      </c>
      <c r="N79" s="287">
        <f t="shared" si="435"/>
        <v>0</v>
      </c>
      <c r="O79" s="287">
        <f t="shared" si="435"/>
        <v>0</v>
      </c>
      <c r="P79" s="287">
        <f t="shared" si="435"/>
        <v>0</v>
      </c>
      <c r="Q79" s="287">
        <f t="shared" si="435"/>
        <v>0</v>
      </c>
      <c r="R79" s="287">
        <f t="shared" si="435"/>
        <v>0</v>
      </c>
      <c r="S79" s="287">
        <f t="shared" si="435"/>
        <v>0</v>
      </c>
      <c r="T79" s="287">
        <f t="shared" si="435"/>
        <v>0</v>
      </c>
      <c r="U79" s="287">
        <f t="shared" si="435"/>
        <v>0</v>
      </c>
      <c r="V79" s="287">
        <f t="shared" si="435"/>
        <v>0</v>
      </c>
      <c r="W79" s="287">
        <f t="shared" si="435"/>
        <v>0</v>
      </c>
      <c r="X79" s="287">
        <f t="shared" si="435"/>
        <v>0</v>
      </c>
      <c r="Y79" s="287">
        <f t="shared" si="435"/>
        <v>0</v>
      </c>
      <c r="Z79" s="287">
        <f t="shared" si="435"/>
        <v>0</v>
      </c>
      <c r="AA79" s="287">
        <f t="shared" si="435"/>
        <v>0</v>
      </c>
      <c r="AB79" s="287">
        <f t="shared" si="435"/>
        <v>0</v>
      </c>
      <c r="AC79" s="287">
        <f t="shared" si="435"/>
        <v>0</v>
      </c>
      <c r="AD79" s="287">
        <f t="shared" si="435"/>
        <v>0</v>
      </c>
      <c r="AE79" s="287">
        <f t="shared" si="435"/>
        <v>0</v>
      </c>
      <c r="AF79" s="287">
        <f t="shared" si="435"/>
        <v>0</v>
      </c>
      <c r="AG79" s="287">
        <f t="shared" si="435"/>
        <v>0</v>
      </c>
      <c r="AH79" s="287">
        <f t="shared" si="435"/>
        <v>0</v>
      </c>
      <c r="AI79" s="287">
        <f t="shared" si="435"/>
        <v>0</v>
      </c>
      <c r="AJ79" s="287">
        <f t="shared" si="435"/>
        <v>0</v>
      </c>
      <c r="AK79" s="287">
        <f t="shared" si="435"/>
        <v>0</v>
      </c>
      <c r="AL79" s="287">
        <f t="shared" si="435"/>
        <v>0</v>
      </c>
      <c r="AM79" s="287">
        <f t="shared" si="435"/>
        <v>0</v>
      </c>
      <c r="AN79" s="287">
        <f t="shared" si="435"/>
        <v>0</v>
      </c>
      <c r="AO79" s="287">
        <f t="shared" si="435"/>
        <v>0</v>
      </c>
      <c r="AP79" s="287">
        <f t="shared" si="435"/>
        <v>0</v>
      </c>
      <c r="AQ79" s="287">
        <f t="shared" si="435"/>
        <v>0</v>
      </c>
      <c r="AR79" s="287">
        <f t="shared" si="435"/>
        <v>0</v>
      </c>
      <c r="AS79" s="287">
        <f t="shared" si="435"/>
        <v>0</v>
      </c>
      <c r="AT79" s="287">
        <f t="shared" si="435"/>
        <v>0</v>
      </c>
      <c r="AU79" s="287">
        <f t="shared" si="435"/>
        <v>0</v>
      </c>
      <c r="AV79" s="287">
        <f t="shared" si="435"/>
        <v>0</v>
      </c>
      <c r="AW79" s="287">
        <f t="shared" si="435"/>
        <v>0</v>
      </c>
      <c r="AX79" s="287">
        <f t="shared" si="435"/>
        <v>0</v>
      </c>
      <c r="AY79" s="287">
        <f t="shared" si="435"/>
        <v>0</v>
      </c>
      <c r="AZ79" s="287">
        <f t="shared" si="435"/>
        <v>0</v>
      </c>
      <c r="BA79" s="287">
        <f t="shared" si="435"/>
        <v>0</v>
      </c>
      <c r="BB79" s="287">
        <f t="shared" si="435"/>
        <v>0</v>
      </c>
      <c r="BC79" s="185"/>
      <c r="BD79" s="186"/>
    </row>
    <row r="80" spans="1:56" hidden="1" outlineLevel="1" x14ac:dyDescent="0.3">
      <c r="A80" s="184" t="str">
        <f ca="1">Language!A$617</f>
        <v>ставка акцизов, в процентах</v>
      </c>
      <c r="B80" s="189"/>
      <c r="C80" s="163" t="s">
        <v>1</v>
      </c>
      <c r="D80" s="174"/>
      <c r="F80" s="170" t="s">
        <v>2346</v>
      </c>
      <c r="G80" s="290">
        <v>0</v>
      </c>
      <c r="H80" s="290">
        <f t="shared" si="430"/>
        <v>0</v>
      </c>
      <c r="I80" s="290">
        <f t="shared" si="431"/>
        <v>0</v>
      </c>
      <c r="J80" s="290">
        <f t="shared" si="432"/>
        <v>0</v>
      </c>
      <c r="K80" s="290">
        <f t="shared" si="433"/>
        <v>0</v>
      </c>
      <c r="L80" s="290">
        <f t="shared" si="434"/>
        <v>0</v>
      </c>
      <c r="M80" s="290">
        <f t="shared" si="435"/>
        <v>0</v>
      </c>
      <c r="N80" s="290">
        <f t="shared" si="435"/>
        <v>0</v>
      </c>
      <c r="O80" s="290">
        <f t="shared" si="435"/>
        <v>0</v>
      </c>
      <c r="P80" s="290">
        <f t="shared" si="435"/>
        <v>0</v>
      </c>
      <c r="Q80" s="290">
        <f t="shared" si="435"/>
        <v>0</v>
      </c>
      <c r="R80" s="290">
        <f t="shared" si="435"/>
        <v>0</v>
      </c>
      <c r="S80" s="290">
        <f t="shared" si="435"/>
        <v>0</v>
      </c>
      <c r="T80" s="290">
        <f t="shared" si="435"/>
        <v>0</v>
      </c>
      <c r="U80" s="290">
        <f t="shared" si="435"/>
        <v>0</v>
      </c>
      <c r="V80" s="290">
        <f t="shared" si="435"/>
        <v>0</v>
      </c>
      <c r="W80" s="290">
        <f t="shared" si="435"/>
        <v>0</v>
      </c>
      <c r="X80" s="290">
        <f t="shared" si="435"/>
        <v>0</v>
      </c>
      <c r="Y80" s="290">
        <f t="shared" si="435"/>
        <v>0</v>
      </c>
      <c r="Z80" s="290">
        <f t="shared" si="435"/>
        <v>0</v>
      </c>
      <c r="AA80" s="290">
        <f t="shared" si="435"/>
        <v>0</v>
      </c>
      <c r="AB80" s="290">
        <f t="shared" si="435"/>
        <v>0</v>
      </c>
      <c r="AC80" s="290">
        <f t="shared" si="435"/>
        <v>0</v>
      </c>
      <c r="AD80" s="290">
        <f t="shared" si="435"/>
        <v>0</v>
      </c>
      <c r="AE80" s="290">
        <f t="shared" si="435"/>
        <v>0</v>
      </c>
      <c r="AF80" s="290">
        <f t="shared" si="435"/>
        <v>0</v>
      </c>
      <c r="AG80" s="290">
        <f t="shared" si="435"/>
        <v>0</v>
      </c>
      <c r="AH80" s="290">
        <f t="shared" si="435"/>
        <v>0</v>
      </c>
      <c r="AI80" s="290">
        <f t="shared" si="435"/>
        <v>0</v>
      </c>
      <c r="AJ80" s="290">
        <f t="shared" si="435"/>
        <v>0</v>
      </c>
      <c r="AK80" s="290">
        <f t="shared" si="435"/>
        <v>0</v>
      </c>
      <c r="AL80" s="290">
        <f t="shared" si="435"/>
        <v>0</v>
      </c>
      <c r="AM80" s="290">
        <f t="shared" si="435"/>
        <v>0</v>
      </c>
      <c r="AN80" s="290">
        <f t="shared" si="435"/>
        <v>0</v>
      </c>
      <c r="AO80" s="290">
        <f t="shared" si="435"/>
        <v>0</v>
      </c>
      <c r="AP80" s="290">
        <f t="shared" si="435"/>
        <v>0</v>
      </c>
      <c r="AQ80" s="290">
        <f t="shared" si="435"/>
        <v>0</v>
      </c>
      <c r="AR80" s="290">
        <f t="shared" si="435"/>
        <v>0</v>
      </c>
      <c r="AS80" s="290">
        <f t="shared" si="435"/>
        <v>0</v>
      </c>
      <c r="AT80" s="290">
        <f t="shared" si="435"/>
        <v>0</v>
      </c>
      <c r="AU80" s="290">
        <f t="shared" si="435"/>
        <v>0</v>
      </c>
      <c r="AV80" s="290">
        <f t="shared" si="435"/>
        <v>0</v>
      </c>
      <c r="AW80" s="290">
        <f t="shared" si="435"/>
        <v>0</v>
      </c>
      <c r="AX80" s="290">
        <f t="shared" si="435"/>
        <v>0</v>
      </c>
      <c r="AY80" s="290">
        <f t="shared" si="435"/>
        <v>0</v>
      </c>
      <c r="AZ80" s="290">
        <f t="shared" si="435"/>
        <v>0</v>
      </c>
      <c r="BA80" s="290">
        <f t="shared" si="435"/>
        <v>0</v>
      </c>
      <c r="BB80" s="290">
        <f t="shared" si="435"/>
        <v>0</v>
      </c>
      <c r="BC80" s="190"/>
      <c r="BD80" s="186"/>
    </row>
    <row r="81" spans="1:56" hidden="1" outlineLevel="1" x14ac:dyDescent="0.3">
      <c r="A81" s="184" t="str">
        <f ca="1">Language!A$618</f>
        <v>коэффициент прироста цен к предыдущему периоду</v>
      </c>
      <c r="B81" s="189"/>
      <c r="C81" s="163" t="str">
        <f ca="1">Language!$A$1477</f>
        <v>раз</v>
      </c>
      <c r="D81" s="174"/>
      <c r="F81" s="170" t="s">
        <v>745</v>
      </c>
      <c r="G81" s="191">
        <f ca="1">IF(G$2=1,1,IF(Prj_Inflation=1,POWER(1+OFFSET(G77,0,-1),Параметры!G$30/360),1))</f>
        <v>1</v>
      </c>
      <c r="H81" s="191">
        <f ca="1">IF(H$2=1,1,IF(Prj_Inflation=1,POWER(1+OFFSET(H77,0,-1),Параметры!H$30/360),1))</f>
        <v>1.004867550565343</v>
      </c>
      <c r="I81" s="191">
        <f ca="1">IF(I$2=1,1,IF(Prj_Inflation=1,POWER(1+OFFSET(I77,0,-1),Параметры!I$30/360),1))</f>
        <v>1.004867550565343</v>
      </c>
      <c r="J81" s="191">
        <f ca="1">IF(J$2=1,1,IF(Prj_Inflation=1,POWER(1+OFFSET(J77,0,-1),Параметры!J$30/360),1))</f>
        <v>1.004867550565343</v>
      </c>
      <c r="K81" s="191">
        <f ca="1">IF(K$2=1,1,IF(Prj_Inflation=1,POWER(1+OFFSET(K77,0,-1),Параметры!K$30/360),1))</f>
        <v>1.004867550565343</v>
      </c>
      <c r="L81" s="191">
        <f ca="1">IF(L$2=1,1,IF(Prj_Inflation=1,POWER(1+OFFSET(L77,0,-1),Параметры!L$30/360),1))</f>
        <v>1.004867550565343</v>
      </c>
      <c r="M81" s="191">
        <f ca="1">IF(M$2=1,1,IF(Prj_Inflation=1,POWER(1+OFFSET(M77,0,-1),Параметры!M$30/360),1))</f>
        <v>1.004867550565343</v>
      </c>
      <c r="N81" s="191">
        <f ca="1">IF(N$2=1,1,IF(Prj_Inflation=1,POWER(1+OFFSET(N77,0,-1),Параметры!N$30/360),1))</f>
        <v>1.004867550565343</v>
      </c>
      <c r="O81" s="191">
        <f ca="1">IF(O$2=1,1,IF(Prj_Inflation=1,POWER(1+OFFSET(O77,0,-1),Параметры!O$30/360),1))</f>
        <v>1.004867550565343</v>
      </c>
      <c r="P81" s="191">
        <f ca="1">IF(P$2=1,1,IF(Prj_Inflation=1,POWER(1+OFFSET(P77,0,-1),Параметры!P$30/360),1))</f>
        <v>1.004867550565343</v>
      </c>
      <c r="Q81" s="191">
        <f ca="1">IF(Q$2=1,1,IF(Prj_Inflation=1,POWER(1+OFFSET(Q77,0,-1),Параметры!Q$30/360),1))</f>
        <v>1.004867550565343</v>
      </c>
      <c r="R81" s="191">
        <f ca="1">IF(R$2=1,1,IF(Prj_Inflation=1,POWER(1+OFFSET(R77,0,-1),Параметры!R$30/360),1))</f>
        <v>1.004867550565343</v>
      </c>
      <c r="S81" s="191">
        <f ca="1">IF(S$2=1,1,IF(Prj_Inflation=1,POWER(1+OFFSET(S77,0,-1),Параметры!S$30/360),1))</f>
        <v>1.004867550565343</v>
      </c>
      <c r="T81" s="191">
        <f ca="1">IF(T$2=1,1,IF(Prj_Inflation=1,POWER(1+OFFSET(T77,0,-1),Параметры!T$30/360),1))</f>
        <v>1.004867550565343</v>
      </c>
      <c r="U81" s="191">
        <f ca="1">IF(U$2=1,1,IF(Prj_Inflation=1,POWER(1+OFFSET(U77,0,-1),Параметры!U$30/360),1))</f>
        <v>1.004867550565343</v>
      </c>
      <c r="V81" s="191">
        <f ca="1">IF(V$2=1,1,IF(Prj_Inflation=1,POWER(1+OFFSET(V77,0,-1),Параметры!V$30/360),1))</f>
        <v>1.004867550565343</v>
      </c>
      <c r="W81" s="191">
        <f ca="1">IF(W$2=1,1,IF(Prj_Inflation=1,POWER(1+OFFSET(W77,0,-1),Параметры!W$30/360),1))</f>
        <v>1.004867550565343</v>
      </c>
      <c r="X81" s="191">
        <f ca="1">IF(X$2=1,1,IF(Prj_Inflation=1,POWER(1+OFFSET(X77,0,-1),Параметры!X$30/360),1))</f>
        <v>1.004867550565343</v>
      </c>
      <c r="Y81" s="191">
        <f ca="1">IF(Y$2=1,1,IF(Prj_Inflation=1,POWER(1+OFFSET(Y77,0,-1),Параметры!Y$30/360),1))</f>
        <v>1.004867550565343</v>
      </c>
      <c r="Z81" s="191">
        <f ca="1">IF(Z$2=1,1,IF(Prj_Inflation=1,POWER(1+OFFSET(Z77,0,-1),Параметры!Z$30/360),1))</f>
        <v>1.004867550565343</v>
      </c>
      <c r="AA81" s="191">
        <f ca="1">IF(AA$2=1,1,IF(Prj_Inflation=1,POWER(1+OFFSET(AA77,0,-1),Параметры!AA$30/360),1))</f>
        <v>1.004867550565343</v>
      </c>
      <c r="AB81" s="191">
        <f ca="1">IF(AB$2=1,1,IF(Prj_Inflation=1,POWER(1+OFFSET(AB77,0,-1),Параметры!AB$30/360),1))</f>
        <v>1.004867550565343</v>
      </c>
      <c r="AC81" s="191">
        <f ca="1">IF(AC$2=1,1,IF(Prj_Inflation=1,POWER(1+OFFSET(AC77,0,-1),Параметры!AC$30/360),1))</f>
        <v>1.004867550565343</v>
      </c>
      <c r="AD81" s="191">
        <f ca="1">IF(AD$2=1,1,IF(Prj_Inflation=1,POWER(1+OFFSET(AD77,0,-1),Параметры!AD$30/360),1))</f>
        <v>1.004867550565343</v>
      </c>
      <c r="AE81" s="191">
        <f ca="1">IF(AE$2=1,1,IF(Prj_Inflation=1,POWER(1+OFFSET(AE77,0,-1),Параметры!AE$30/360),1))</f>
        <v>1.004867550565343</v>
      </c>
      <c r="AF81" s="191">
        <f ca="1">IF(AF$2=1,1,IF(Prj_Inflation=1,POWER(1+OFFSET(AF77,0,-1),Параметры!AF$30/360),1))</f>
        <v>1.004867550565343</v>
      </c>
      <c r="AG81" s="191">
        <f ca="1">IF(AG$2=1,1,IF(Prj_Inflation=1,POWER(1+OFFSET(AG77,0,-1),Параметры!AG$30/360),1))</f>
        <v>1.004867550565343</v>
      </c>
      <c r="AH81" s="191">
        <f ca="1">IF(AH$2=1,1,IF(Prj_Inflation=1,POWER(1+OFFSET(AH77,0,-1),Параметры!AH$30/360),1))</f>
        <v>1.004867550565343</v>
      </c>
      <c r="AI81" s="191">
        <f ca="1">IF(AI$2=1,1,IF(Prj_Inflation=1,POWER(1+OFFSET(AI77,0,-1),Параметры!AI$30/360),1))</f>
        <v>1.004867550565343</v>
      </c>
      <c r="AJ81" s="191">
        <f ca="1">IF(AJ$2=1,1,IF(Prj_Inflation=1,POWER(1+OFFSET(AJ77,0,-1),Параметры!AJ$30/360),1))</f>
        <v>1.004867550565343</v>
      </c>
      <c r="AK81" s="191">
        <f ca="1">IF(AK$2=1,1,IF(Prj_Inflation=1,POWER(1+OFFSET(AK77,0,-1),Параметры!AK$30/360),1))</f>
        <v>1.004867550565343</v>
      </c>
      <c r="AL81" s="191">
        <f ca="1">IF(AL$2=1,1,IF(Prj_Inflation=1,POWER(1+OFFSET(AL77,0,-1),Параметры!AL$30/360),1))</f>
        <v>1.004867550565343</v>
      </c>
      <c r="AM81" s="191">
        <f ca="1">IF(AM$2=1,1,IF(Prj_Inflation=1,POWER(1+OFFSET(AM77,0,-1),Параметры!AM$30/360),1))</f>
        <v>1.004867550565343</v>
      </c>
      <c r="AN81" s="191">
        <f ca="1">IF(AN$2=1,1,IF(Prj_Inflation=1,POWER(1+OFFSET(AN77,0,-1),Параметры!AN$30/360),1))</f>
        <v>1.004867550565343</v>
      </c>
      <c r="AO81" s="191">
        <f ca="1">IF(AO$2=1,1,IF(Prj_Inflation=1,POWER(1+OFFSET(AO77,0,-1),Параметры!AO$30/360),1))</f>
        <v>1.004867550565343</v>
      </c>
      <c r="AP81" s="191">
        <f ca="1">IF(AP$2=1,1,IF(Prj_Inflation=1,POWER(1+OFFSET(AP77,0,-1),Параметры!AP$30/360),1))</f>
        <v>1.004867550565343</v>
      </c>
      <c r="AQ81" s="191">
        <f ca="1">IF(AQ$2=1,1,IF(Prj_Inflation=1,POWER(1+OFFSET(AQ77,0,-1),Параметры!AQ$30/360),1))</f>
        <v>1.004867550565343</v>
      </c>
      <c r="AR81" s="191">
        <f ca="1">IF(AR$2=1,1,IF(Prj_Inflation=1,POWER(1+OFFSET(AR77,0,-1),Параметры!AR$30/360),1))</f>
        <v>1.004867550565343</v>
      </c>
      <c r="AS81" s="191">
        <f ca="1">IF(AS$2=1,1,IF(Prj_Inflation=1,POWER(1+OFFSET(AS77,0,-1),Параметры!AS$30/360),1))</f>
        <v>1.004867550565343</v>
      </c>
      <c r="AT81" s="191">
        <f ca="1">IF(AT$2=1,1,IF(Prj_Inflation=1,POWER(1+OFFSET(AT77,0,-1),Параметры!AT$30/360),1))</f>
        <v>1.004867550565343</v>
      </c>
      <c r="AU81" s="191">
        <f ca="1">IF(AU$2=1,1,IF(Prj_Inflation=1,POWER(1+OFFSET(AU77,0,-1),Параметры!AU$30/360),1))</f>
        <v>1.004867550565343</v>
      </c>
      <c r="AV81" s="191">
        <f ca="1">IF(AV$2=1,1,IF(Prj_Inflation=1,POWER(1+OFFSET(AV77,0,-1),Параметры!AV$30/360),1))</f>
        <v>1.004867550565343</v>
      </c>
      <c r="AW81" s="191">
        <f ca="1">IF(AW$2=1,1,IF(Prj_Inflation=1,POWER(1+OFFSET(AW77,0,-1),Параметры!AW$30/360),1))</f>
        <v>1.004867550565343</v>
      </c>
      <c r="AX81" s="191">
        <f ca="1">IF(AX$2=1,1,IF(Prj_Inflation=1,POWER(1+OFFSET(AX77,0,-1),Параметры!AX$30/360),1))</f>
        <v>1.004867550565343</v>
      </c>
      <c r="AY81" s="191">
        <f ca="1">IF(AY$2=1,1,IF(Prj_Inflation=1,POWER(1+OFFSET(AY77,0,-1),Параметры!AY$30/360),1))</f>
        <v>1.004867550565343</v>
      </c>
      <c r="AZ81" s="191">
        <f ca="1">IF(AZ$2=1,1,IF(Prj_Inflation=1,POWER(1+OFFSET(AZ77,0,-1),Параметры!AZ$30/360),1))</f>
        <v>1.004867550565343</v>
      </c>
      <c r="BA81" s="191">
        <f ca="1">IF(BA$2=1,1,IF(Prj_Inflation=1,POWER(1+OFFSET(BA77,0,-1),Параметры!BA$30/360),1))</f>
        <v>1.004867550565343</v>
      </c>
      <c r="BB81" s="191">
        <f ca="1">IF(BB$2=1,1,IF(Prj_Inflation=1,POWER(1+OFFSET(BB77,0,-1),Параметры!BB$30/360),1))</f>
        <v>1.004867550565343</v>
      </c>
      <c r="BC81" s="191"/>
      <c r="BD81" s="186"/>
    </row>
    <row r="82" spans="1:56" hidden="1" outlineLevel="1" x14ac:dyDescent="0.3">
      <c r="A82" s="184" t="str">
        <f ca="1">Language!A$1486</f>
        <v>индексировать в начале года</v>
      </c>
      <c r="B82" s="291">
        <v>0</v>
      </c>
      <c r="C82" s="163" t="str">
        <f ca="1">IF(B82=1,Language!$A$1475,Language!$A$1476)</f>
        <v>Нет</v>
      </c>
      <c r="D82" s="174"/>
      <c r="F82" s="170" t="s">
        <v>3408</v>
      </c>
      <c r="G82" s="192" t="str">
        <f ca="1">IF(Prj_Inflation=1,IF($B82=1,IF(G$2=1,1,IF(Параметры!G$29=1,1+OFFSET(G77,0,-1),1)),"-"),1)</f>
        <v>-</v>
      </c>
      <c r="H82" s="192" t="str">
        <f ca="1">IF(Prj_Inflation=1,IF($B82=1,IF(H$2=1,1,IF(Параметры!H$29=1,1+OFFSET(H77,0,-1),1)),"-"),1)</f>
        <v>-</v>
      </c>
      <c r="I82" s="192" t="str">
        <f ca="1">IF(Prj_Inflation=1,IF($B82=1,IF(I$2=1,1,IF(Параметры!I$29=1,1+OFFSET(I77,0,-1),1)),"-"),1)</f>
        <v>-</v>
      </c>
      <c r="J82" s="192" t="str">
        <f ca="1">IF(Prj_Inflation=1,IF($B82=1,IF(J$2=1,1,IF(Параметры!J$29=1,1+OFFSET(J77,0,-1),1)),"-"),1)</f>
        <v>-</v>
      </c>
      <c r="K82" s="192" t="str">
        <f ca="1">IF(Prj_Inflation=1,IF($B82=1,IF(K$2=1,1,IF(Параметры!K$29=1,1+OFFSET(K77,0,-1),1)),"-"),1)</f>
        <v>-</v>
      </c>
      <c r="L82" s="192" t="str">
        <f ca="1">IF(Prj_Inflation=1,IF($B82=1,IF(L$2=1,1,IF(Параметры!L$29=1,1+OFFSET(L77,0,-1),1)),"-"),1)</f>
        <v>-</v>
      </c>
      <c r="M82" s="192" t="str">
        <f ca="1">IF(Prj_Inflation=1,IF($B82=1,IF(M$2=1,1,IF(Параметры!M$29=1,1+OFFSET(M77,0,-1),1)),"-"),1)</f>
        <v>-</v>
      </c>
      <c r="N82" s="192" t="str">
        <f ca="1">IF(Prj_Inflation=1,IF($B82=1,IF(N$2=1,1,IF(Параметры!N$29=1,1+OFFSET(N77,0,-1),1)),"-"),1)</f>
        <v>-</v>
      </c>
      <c r="O82" s="192" t="str">
        <f ca="1">IF(Prj_Inflation=1,IF($B82=1,IF(O$2=1,1,IF(Параметры!O$29=1,1+OFFSET(O77,0,-1),1)),"-"),1)</f>
        <v>-</v>
      </c>
      <c r="P82" s="192" t="str">
        <f ca="1">IF(Prj_Inflation=1,IF($B82=1,IF(P$2=1,1,IF(Параметры!P$29=1,1+OFFSET(P77,0,-1),1)),"-"),1)</f>
        <v>-</v>
      </c>
      <c r="Q82" s="192" t="str">
        <f ca="1">IF(Prj_Inflation=1,IF($B82=1,IF(Q$2=1,1,IF(Параметры!Q$29=1,1+OFFSET(Q77,0,-1),1)),"-"),1)</f>
        <v>-</v>
      </c>
      <c r="R82" s="192" t="str">
        <f ca="1">IF(Prj_Inflation=1,IF($B82=1,IF(R$2=1,1,IF(Параметры!R$29=1,1+OFFSET(R77,0,-1),1)),"-"),1)</f>
        <v>-</v>
      </c>
      <c r="S82" s="192" t="str">
        <f ca="1">IF(Prj_Inflation=1,IF($B82=1,IF(S$2=1,1,IF(Параметры!S$29=1,1+OFFSET(S77,0,-1),1)),"-"),1)</f>
        <v>-</v>
      </c>
      <c r="T82" s="192" t="str">
        <f ca="1">IF(Prj_Inflation=1,IF($B82=1,IF(T$2=1,1,IF(Параметры!T$29=1,1+OFFSET(T77,0,-1),1)),"-"),1)</f>
        <v>-</v>
      </c>
      <c r="U82" s="192" t="str">
        <f ca="1">IF(Prj_Inflation=1,IF($B82=1,IF(U$2=1,1,IF(Параметры!U$29=1,1+OFFSET(U77,0,-1),1)),"-"),1)</f>
        <v>-</v>
      </c>
      <c r="V82" s="192" t="str">
        <f ca="1">IF(Prj_Inflation=1,IF($B82=1,IF(V$2=1,1,IF(Параметры!V$29=1,1+OFFSET(V77,0,-1),1)),"-"),1)</f>
        <v>-</v>
      </c>
      <c r="W82" s="192" t="str">
        <f ca="1">IF(Prj_Inflation=1,IF($B82=1,IF(W$2=1,1,IF(Параметры!W$29=1,1+OFFSET(W77,0,-1),1)),"-"),1)</f>
        <v>-</v>
      </c>
      <c r="X82" s="192" t="str">
        <f ca="1">IF(Prj_Inflation=1,IF($B82=1,IF(X$2=1,1,IF(Параметры!X$29=1,1+OFFSET(X77,0,-1),1)),"-"),1)</f>
        <v>-</v>
      </c>
      <c r="Y82" s="192" t="str">
        <f ca="1">IF(Prj_Inflation=1,IF($B82=1,IF(Y$2=1,1,IF(Параметры!Y$29=1,1+OFFSET(Y77,0,-1),1)),"-"),1)</f>
        <v>-</v>
      </c>
      <c r="Z82" s="192" t="str">
        <f ca="1">IF(Prj_Inflation=1,IF($B82=1,IF(Z$2=1,1,IF(Параметры!Z$29=1,1+OFFSET(Z77,0,-1),1)),"-"),1)</f>
        <v>-</v>
      </c>
      <c r="AA82" s="192" t="str">
        <f ca="1">IF(Prj_Inflation=1,IF($B82=1,IF(AA$2=1,1,IF(Параметры!AA$29=1,1+OFFSET(AA77,0,-1),1)),"-"),1)</f>
        <v>-</v>
      </c>
      <c r="AB82" s="192" t="str">
        <f ca="1">IF(Prj_Inflation=1,IF($B82=1,IF(AB$2=1,1,IF(Параметры!AB$29=1,1+OFFSET(AB77,0,-1),1)),"-"),1)</f>
        <v>-</v>
      </c>
      <c r="AC82" s="192" t="str">
        <f ca="1">IF(Prj_Inflation=1,IF($B82=1,IF(AC$2=1,1,IF(Параметры!AC$29=1,1+OFFSET(AC77,0,-1),1)),"-"),1)</f>
        <v>-</v>
      </c>
      <c r="AD82" s="192" t="str">
        <f ca="1">IF(Prj_Inflation=1,IF($B82=1,IF(AD$2=1,1,IF(Параметры!AD$29=1,1+OFFSET(AD77,0,-1),1)),"-"),1)</f>
        <v>-</v>
      </c>
      <c r="AE82" s="192" t="str">
        <f ca="1">IF(Prj_Inflation=1,IF($B82=1,IF(AE$2=1,1,IF(Параметры!AE$29=1,1+OFFSET(AE77,0,-1),1)),"-"),1)</f>
        <v>-</v>
      </c>
      <c r="AF82" s="192" t="str">
        <f ca="1">IF(Prj_Inflation=1,IF($B82=1,IF(AF$2=1,1,IF(Параметры!AF$29=1,1+OFFSET(AF77,0,-1),1)),"-"),1)</f>
        <v>-</v>
      </c>
      <c r="AG82" s="192" t="str">
        <f ca="1">IF(Prj_Inflation=1,IF($B82=1,IF(AG$2=1,1,IF(Параметры!AG$29=1,1+OFFSET(AG77,0,-1),1)),"-"),1)</f>
        <v>-</v>
      </c>
      <c r="AH82" s="192" t="str">
        <f ca="1">IF(Prj_Inflation=1,IF($B82=1,IF(AH$2=1,1,IF(Параметры!AH$29=1,1+OFFSET(AH77,0,-1),1)),"-"),1)</f>
        <v>-</v>
      </c>
      <c r="AI82" s="192" t="str">
        <f ca="1">IF(Prj_Inflation=1,IF($B82=1,IF(AI$2=1,1,IF(Параметры!AI$29=1,1+OFFSET(AI77,0,-1),1)),"-"),1)</f>
        <v>-</v>
      </c>
      <c r="AJ82" s="192" t="str">
        <f ca="1">IF(Prj_Inflation=1,IF($B82=1,IF(AJ$2=1,1,IF(Параметры!AJ$29=1,1+OFFSET(AJ77,0,-1),1)),"-"),1)</f>
        <v>-</v>
      </c>
      <c r="AK82" s="192" t="str">
        <f ca="1">IF(Prj_Inflation=1,IF($B82=1,IF(AK$2=1,1,IF(Параметры!AK$29=1,1+OFFSET(AK77,0,-1),1)),"-"),1)</f>
        <v>-</v>
      </c>
      <c r="AL82" s="192" t="str">
        <f ca="1">IF(Prj_Inflation=1,IF($B82=1,IF(AL$2=1,1,IF(Параметры!AL$29=1,1+OFFSET(AL77,0,-1),1)),"-"),1)</f>
        <v>-</v>
      </c>
      <c r="AM82" s="192" t="str">
        <f ca="1">IF(Prj_Inflation=1,IF($B82=1,IF(AM$2=1,1,IF(Параметры!AM$29=1,1+OFFSET(AM77,0,-1),1)),"-"),1)</f>
        <v>-</v>
      </c>
      <c r="AN82" s="192" t="str">
        <f ca="1">IF(Prj_Inflation=1,IF($B82=1,IF(AN$2=1,1,IF(Параметры!AN$29=1,1+OFFSET(AN77,0,-1),1)),"-"),1)</f>
        <v>-</v>
      </c>
      <c r="AO82" s="192" t="str">
        <f ca="1">IF(Prj_Inflation=1,IF($B82=1,IF(AO$2=1,1,IF(Параметры!AO$29=1,1+OFFSET(AO77,0,-1),1)),"-"),1)</f>
        <v>-</v>
      </c>
      <c r="AP82" s="192" t="str">
        <f ca="1">IF(Prj_Inflation=1,IF($B82=1,IF(AP$2=1,1,IF(Параметры!AP$29=1,1+OFFSET(AP77,0,-1),1)),"-"),1)</f>
        <v>-</v>
      </c>
      <c r="AQ82" s="192" t="str">
        <f ca="1">IF(Prj_Inflation=1,IF($B82=1,IF(AQ$2=1,1,IF(Параметры!AQ$29=1,1+OFFSET(AQ77,0,-1),1)),"-"),1)</f>
        <v>-</v>
      </c>
      <c r="AR82" s="192" t="str">
        <f ca="1">IF(Prj_Inflation=1,IF($B82=1,IF(AR$2=1,1,IF(Параметры!AR$29=1,1+OFFSET(AR77,0,-1),1)),"-"),1)</f>
        <v>-</v>
      </c>
      <c r="AS82" s="192" t="str">
        <f ca="1">IF(Prj_Inflation=1,IF($B82=1,IF(AS$2=1,1,IF(Параметры!AS$29=1,1+OFFSET(AS77,0,-1),1)),"-"),1)</f>
        <v>-</v>
      </c>
      <c r="AT82" s="192" t="str">
        <f ca="1">IF(Prj_Inflation=1,IF($B82=1,IF(AT$2=1,1,IF(Параметры!AT$29=1,1+OFFSET(AT77,0,-1),1)),"-"),1)</f>
        <v>-</v>
      </c>
      <c r="AU82" s="192" t="str">
        <f ca="1">IF(Prj_Inflation=1,IF($B82=1,IF(AU$2=1,1,IF(Параметры!AU$29=1,1+OFFSET(AU77,0,-1),1)),"-"),1)</f>
        <v>-</v>
      </c>
      <c r="AV82" s="192" t="str">
        <f ca="1">IF(Prj_Inflation=1,IF($B82=1,IF(AV$2=1,1,IF(Параметры!AV$29=1,1+OFFSET(AV77,0,-1),1)),"-"),1)</f>
        <v>-</v>
      </c>
      <c r="AW82" s="192" t="str">
        <f ca="1">IF(Prj_Inflation=1,IF($B82=1,IF(AW$2=1,1,IF(Параметры!AW$29=1,1+OFFSET(AW77,0,-1),1)),"-"),1)</f>
        <v>-</v>
      </c>
      <c r="AX82" s="192" t="str">
        <f ca="1">IF(Prj_Inflation=1,IF($B82=1,IF(AX$2=1,1,IF(Параметры!AX$29=1,1+OFFSET(AX77,0,-1),1)),"-"),1)</f>
        <v>-</v>
      </c>
      <c r="AY82" s="192" t="str">
        <f ca="1">IF(Prj_Inflation=1,IF($B82=1,IF(AY$2=1,1,IF(Параметры!AY$29=1,1+OFFSET(AY77,0,-1),1)),"-"),1)</f>
        <v>-</v>
      </c>
      <c r="AZ82" s="192" t="str">
        <f ca="1">IF(Prj_Inflation=1,IF($B82=1,IF(AZ$2=1,1,IF(Параметры!AZ$29=1,1+OFFSET(AZ77,0,-1),1)),"-"),1)</f>
        <v>-</v>
      </c>
      <c r="BA82" s="192" t="str">
        <f ca="1">IF(Prj_Inflation=1,IF($B82=1,IF(BA$2=1,1,IF(Параметры!BA$29=1,1+OFFSET(BA77,0,-1),1)),"-"),1)</f>
        <v>-</v>
      </c>
      <c r="BB82" s="192" t="str">
        <f ca="1">IF(Prj_Inflation=1,IF($B82=1,IF(BB$2=1,1,IF(Параметры!BB$29=1,1+OFFSET(BB77,0,-1),1)),"-"),1)</f>
        <v>-</v>
      </c>
      <c r="BC82" s="191"/>
      <c r="BD82" s="186"/>
    </row>
    <row r="83" spans="1:56" hidden="1" outlineLevel="1" x14ac:dyDescent="0.3">
      <c r="A83" s="184" t="str">
        <f ca="1">Language!A$619</f>
        <v>акцизы начисленные</v>
      </c>
      <c r="B83" s="174"/>
      <c r="C83" s="163" t="str">
        <f ca="1">CHOOSE(D83,CurName1,CurName2,CurName3)</f>
        <v>руб.</v>
      </c>
      <c r="D83" s="174">
        <f>D66</f>
        <v>1</v>
      </c>
      <c r="E83" s="170" t="s">
        <v>996</v>
      </c>
      <c r="F83" s="170" t="s">
        <v>740</v>
      </c>
      <c r="G83" s="185">
        <f t="shared" ref="G83:M83" ca="1" si="436">G70*G80+G67*G79</f>
        <v>0</v>
      </c>
      <c r="H83" s="185">
        <f t="shared" ca="1" si="436"/>
        <v>0</v>
      </c>
      <c r="I83" s="185">
        <f t="shared" ca="1" si="436"/>
        <v>0</v>
      </c>
      <c r="J83" s="185">
        <f t="shared" ca="1" si="436"/>
        <v>0</v>
      </c>
      <c r="K83" s="185">
        <f t="shared" ca="1" si="436"/>
        <v>0</v>
      </c>
      <c r="L83" s="185">
        <f t="shared" ca="1" si="436"/>
        <v>0</v>
      </c>
      <c r="M83" s="185">
        <f t="shared" ca="1" si="436"/>
        <v>0</v>
      </c>
      <c r="N83" s="185">
        <f t="shared" ref="N83:O83" ca="1" si="437">N70*N80+N67*N79</f>
        <v>0</v>
      </c>
      <c r="O83" s="185">
        <f t="shared" ca="1" si="437"/>
        <v>0</v>
      </c>
      <c r="P83" s="185">
        <f t="shared" ref="P83:Q83" ca="1" si="438">P70*P80+P67*P79</f>
        <v>0</v>
      </c>
      <c r="Q83" s="185">
        <f t="shared" ca="1" si="438"/>
        <v>0</v>
      </c>
      <c r="R83" s="185">
        <f t="shared" ref="R83:S83" ca="1" si="439">R70*R80+R67*R79</f>
        <v>0</v>
      </c>
      <c r="S83" s="185">
        <f t="shared" ca="1" si="439"/>
        <v>0</v>
      </c>
      <c r="T83" s="185">
        <f t="shared" ref="T83:U83" ca="1" si="440">T70*T80+T67*T79</f>
        <v>0</v>
      </c>
      <c r="U83" s="185">
        <f t="shared" ca="1" si="440"/>
        <v>0</v>
      </c>
      <c r="V83" s="185">
        <f t="shared" ref="V83:W83" ca="1" si="441">V70*V80+V67*V79</f>
        <v>0</v>
      </c>
      <c r="W83" s="185">
        <f t="shared" ca="1" si="441"/>
        <v>0</v>
      </c>
      <c r="X83" s="185">
        <f t="shared" ref="X83:Y83" ca="1" si="442">X70*X80+X67*X79</f>
        <v>0</v>
      </c>
      <c r="Y83" s="185">
        <f t="shared" ca="1" si="442"/>
        <v>0</v>
      </c>
      <c r="Z83" s="185">
        <f t="shared" ref="Z83:AA83" ca="1" si="443">Z70*Z80+Z67*Z79</f>
        <v>0</v>
      </c>
      <c r="AA83" s="185">
        <f t="shared" ca="1" si="443"/>
        <v>0</v>
      </c>
      <c r="AB83" s="185">
        <f t="shared" ref="AB83:AC83" ca="1" si="444">AB70*AB80+AB67*AB79</f>
        <v>0</v>
      </c>
      <c r="AC83" s="185">
        <f t="shared" ca="1" si="444"/>
        <v>0</v>
      </c>
      <c r="AD83" s="185">
        <f t="shared" ref="AD83:AE83" ca="1" si="445">AD70*AD80+AD67*AD79</f>
        <v>0</v>
      </c>
      <c r="AE83" s="185">
        <f t="shared" ca="1" si="445"/>
        <v>0</v>
      </c>
      <c r="AF83" s="185">
        <f t="shared" ref="AF83:AG83" ca="1" si="446">AF70*AF80+AF67*AF79</f>
        <v>0</v>
      </c>
      <c r="AG83" s="185">
        <f t="shared" ca="1" si="446"/>
        <v>0</v>
      </c>
      <c r="AH83" s="185">
        <f t="shared" ref="AH83:AI83" ca="1" si="447">AH70*AH80+AH67*AH79</f>
        <v>0</v>
      </c>
      <c r="AI83" s="185">
        <f t="shared" ca="1" si="447"/>
        <v>0</v>
      </c>
      <c r="AJ83" s="185">
        <f t="shared" ref="AJ83:AK83" ca="1" si="448">AJ70*AJ80+AJ67*AJ79</f>
        <v>0</v>
      </c>
      <c r="AK83" s="185">
        <f t="shared" ca="1" si="448"/>
        <v>0</v>
      </c>
      <c r="AL83" s="185">
        <f t="shared" ref="AL83:AM83" ca="1" si="449">AL70*AL80+AL67*AL79</f>
        <v>0</v>
      </c>
      <c r="AM83" s="185">
        <f t="shared" ca="1" si="449"/>
        <v>0</v>
      </c>
      <c r="AN83" s="185">
        <f t="shared" ref="AN83:AO83" ca="1" si="450">AN70*AN80+AN67*AN79</f>
        <v>0</v>
      </c>
      <c r="AO83" s="185">
        <f t="shared" ca="1" si="450"/>
        <v>0</v>
      </c>
      <c r="AP83" s="185">
        <f t="shared" ref="AP83:AQ83" ca="1" si="451">AP70*AP80+AP67*AP79</f>
        <v>0</v>
      </c>
      <c r="AQ83" s="185">
        <f t="shared" ca="1" si="451"/>
        <v>0</v>
      </c>
      <c r="AR83" s="185">
        <f t="shared" ref="AR83:AS83" ca="1" si="452">AR70*AR80+AR67*AR79</f>
        <v>0</v>
      </c>
      <c r="AS83" s="185">
        <f t="shared" ca="1" si="452"/>
        <v>0</v>
      </c>
      <c r="AT83" s="185">
        <f t="shared" ref="AT83:AU83" ca="1" si="453">AT70*AT80+AT67*AT79</f>
        <v>0</v>
      </c>
      <c r="AU83" s="185">
        <f t="shared" ca="1" si="453"/>
        <v>0</v>
      </c>
      <c r="AV83" s="185">
        <f t="shared" ref="AV83:AW83" ca="1" si="454">AV70*AV80+AV67*AV79</f>
        <v>0</v>
      </c>
      <c r="AW83" s="185">
        <f t="shared" ca="1" si="454"/>
        <v>0</v>
      </c>
      <c r="AX83" s="185">
        <f t="shared" ref="AX83:AY83" ca="1" si="455">AX70*AX80+AX67*AX79</f>
        <v>0</v>
      </c>
      <c r="AY83" s="185">
        <f t="shared" ca="1" si="455"/>
        <v>0</v>
      </c>
      <c r="AZ83" s="185">
        <f t="shared" ref="AZ83:BA83" ca="1" si="456">AZ70*AZ80+AZ67*AZ79</f>
        <v>0</v>
      </c>
      <c r="BA83" s="185">
        <f t="shared" ca="1" si="456"/>
        <v>0</v>
      </c>
      <c r="BB83" s="185">
        <f t="shared" ref="BB83" ca="1" si="457">BB70*BB80+BB67*BB79</f>
        <v>0</v>
      </c>
      <c r="BC83" s="185"/>
      <c r="BD83" s="193">
        <f ca="1">SUM(G83:BC83)</f>
        <v>0</v>
      </c>
    </row>
    <row r="84" spans="1:56" hidden="1" outlineLevel="1" x14ac:dyDescent="0.3">
      <c r="A84" s="184" t="str">
        <f ca="1">Language!A$620</f>
        <v>НДС начисленный</v>
      </c>
      <c r="B84" s="174"/>
      <c r="C84" s="163" t="str">
        <f ca="1">CHOOSE(D84,CurName1,CurName2,CurName3)</f>
        <v>руб.</v>
      </c>
      <c r="D84" s="174">
        <f>D66</f>
        <v>1</v>
      </c>
      <c r="E84" s="170" t="s">
        <v>785</v>
      </c>
      <c r="F84" s="170" t="s">
        <v>740</v>
      </c>
      <c r="G84" s="185">
        <f t="shared" ref="G84:M84" ca="1" si="458">(G70+G83)*G78</f>
        <v>0</v>
      </c>
      <c r="H84" s="185">
        <f t="shared" ca="1" si="458"/>
        <v>0</v>
      </c>
      <c r="I84" s="185">
        <f t="shared" ca="1" si="458"/>
        <v>0</v>
      </c>
      <c r="J84" s="185">
        <f t="shared" ca="1" si="458"/>
        <v>0</v>
      </c>
      <c r="K84" s="185">
        <f t="shared" ca="1" si="458"/>
        <v>0</v>
      </c>
      <c r="L84" s="185">
        <f t="shared" ca="1" si="458"/>
        <v>0</v>
      </c>
      <c r="M84" s="185">
        <f t="shared" ca="1" si="458"/>
        <v>0</v>
      </c>
      <c r="N84" s="185">
        <f t="shared" ref="N84:O84" ca="1" si="459">(N70+N83)*N78</f>
        <v>0</v>
      </c>
      <c r="O84" s="185">
        <f t="shared" ca="1" si="459"/>
        <v>0</v>
      </c>
      <c r="P84" s="185">
        <f t="shared" ref="P84:Q84" ca="1" si="460">(P70+P83)*P78</f>
        <v>0</v>
      </c>
      <c r="Q84" s="185">
        <f t="shared" ca="1" si="460"/>
        <v>0</v>
      </c>
      <c r="R84" s="185">
        <f t="shared" ref="R84:S84" ca="1" si="461">(R70+R83)*R78</f>
        <v>0</v>
      </c>
      <c r="S84" s="185">
        <f t="shared" ca="1" si="461"/>
        <v>0</v>
      </c>
      <c r="T84" s="185">
        <f t="shared" ref="T84:U84" ca="1" si="462">(T70+T83)*T78</f>
        <v>0</v>
      </c>
      <c r="U84" s="185">
        <f t="shared" ca="1" si="462"/>
        <v>0</v>
      </c>
      <c r="V84" s="185">
        <f t="shared" ref="V84:W84" ca="1" si="463">(V70+V83)*V78</f>
        <v>0</v>
      </c>
      <c r="W84" s="185">
        <f t="shared" ca="1" si="463"/>
        <v>0</v>
      </c>
      <c r="X84" s="185">
        <f t="shared" ref="X84:Y84" ca="1" si="464">(X70+X83)*X78</f>
        <v>0</v>
      </c>
      <c r="Y84" s="185">
        <f t="shared" ca="1" si="464"/>
        <v>0</v>
      </c>
      <c r="Z84" s="185">
        <f t="shared" ref="Z84:AA84" ca="1" si="465">(Z70+Z83)*Z78</f>
        <v>0</v>
      </c>
      <c r="AA84" s="185">
        <f t="shared" ca="1" si="465"/>
        <v>0</v>
      </c>
      <c r="AB84" s="185">
        <f t="shared" ref="AB84:AC84" ca="1" si="466">(AB70+AB83)*AB78</f>
        <v>0</v>
      </c>
      <c r="AC84" s="185">
        <f t="shared" ca="1" si="466"/>
        <v>0</v>
      </c>
      <c r="AD84" s="185">
        <f t="shared" ref="AD84:AE84" ca="1" si="467">(AD70+AD83)*AD78</f>
        <v>0</v>
      </c>
      <c r="AE84" s="185">
        <f t="shared" ca="1" si="467"/>
        <v>0</v>
      </c>
      <c r="AF84" s="185">
        <f t="shared" ref="AF84:AG84" ca="1" si="468">(AF70+AF83)*AF78</f>
        <v>0</v>
      </c>
      <c r="AG84" s="185">
        <f t="shared" ca="1" si="468"/>
        <v>0</v>
      </c>
      <c r="AH84" s="185">
        <f t="shared" ref="AH84:AI84" ca="1" si="469">(AH70+AH83)*AH78</f>
        <v>0</v>
      </c>
      <c r="AI84" s="185">
        <f t="shared" ca="1" si="469"/>
        <v>0</v>
      </c>
      <c r="AJ84" s="185">
        <f t="shared" ref="AJ84:AK84" ca="1" si="470">(AJ70+AJ83)*AJ78</f>
        <v>0</v>
      </c>
      <c r="AK84" s="185">
        <f t="shared" ca="1" si="470"/>
        <v>0</v>
      </c>
      <c r="AL84" s="185">
        <f t="shared" ref="AL84:AM84" ca="1" si="471">(AL70+AL83)*AL78</f>
        <v>0</v>
      </c>
      <c r="AM84" s="185">
        <f t="shared" ca="1" si="471"/>
        <v>0</v>
      </c>
      <c r="AN84" s="185">
        <f t="shared" ref="AN84:AO84" ca="1" si="472">(AN70+AN83)*AN78</f>
        <v>0</v>
      </c>
      <c r="AO84" s="185">
        <f t="shared" ca="1" si="472"/>
        <v>0</v>
      </c>
      <c r="AP84" s="185">
        <f t="shared" ref="AP84:AQ84" ca="1" si="473">(AP70+AP83)*AP78</f>
        <v>0</v>
      </c>
      <c r="AQ84" s="185">
        <f t="shared" ca="1" si="473"/>
        <v>0</v>
      </c>
      <c r="AR84" s="185">
        <f t="shared" ref="AR84:AS84" ca="1" si="474">(AR70+AR83)*AR78</f>
        <v>0</v>
      </c>
      <c r="AS84" s="185">
        <f t="shared" ca="1" si="474"/>
        <v>0</v>
      </c>
      <c r="AT84" s="185">
        <f t="shared" ref="AT84:AU84" ca="1" si="475">(AT70+AT83)*AT78</f>
        <v>0</v>
      </c>
      <c r="AU84" s="185">
        <f t="shared" ca="1" si="475"/>
        <v>0</v>
      </c>
      <c r="AV84" s="185">
        <f t="shared" ref="AV84:AW84" ca="1" si="476">(AV70+AV83)*AV78</f>
        <v>0</v>
      </c>
      <c r="AW84" s="185">
        <f t="shared" ca="1" si="476"/>
        <v>0</v>
      </c>
      <c r="AX84" s="185">
        <f t="shared" ref="AX84:AY84" ca="1" si="477">(AX70+AX83)*AX78</f>
        <v>0</v>
      </c>
      <c r="AY84" s="185">
        <f t="shared" ca="1" si="477"/>
        <v>0</v>
      </c>
      <c r="AZ84" s="185">
        <f t="shared" ref="AZ84:BA84" ca="1" si="478">(AZ70+AZ83)*AZ78</f>
        <v>0</v>
      </c>
      <c r="BA84" s="185">
        <f t="shared" ca="1" si="478"/>
        <v>0</v>
      </c>
      <c r="BB84" s="185">
        <f t="shared" ref="BB84" ca="1" si="479">(BB70+BB83)*BB78</f>
        <v>0</v>
      </c>
      <c r="BC84" s="185"/>
      <c r="BD84" s="193">
        <f ca="1">SUM(G84:BC84)</f>
        <v>0</v>
      </c>
    </row>
    <row r="85" spans="1:56" hidden="1" outlineLevel="1" x14ac:dyDescent="0.3">
      <c r="A85" s="184" t="str">
        <f ca="1">Language!A$621</f>
        <v>НДС полученный с авансов</v>
      </c>
      <c r="B85" s="174"/>
      <c r="C85" s="163" t="str">
        <f ca="1">CHOOSE(D85,CurName1,CurName2,CurName3)</f>
        <v>руб.</v>
      </c>
      <c r="D85" s="174">
        <f>D66</f>
        <v>1</v>
      </c>
      <c r="E85" s="170" t="s">
        <v>1457</v>
      </c>
      <c r="F85" s="170" t="s">
        <v>740</v>
      </c>
      <c r="G85" s="185">
        <f ca="1">G74*G78/(1+G78)</f>
        <v>0</v>
      </c>
      <c r="H85" s="185">
        <f t="shared" ref="H85:M85" ca="1" si="480">H74*H78/(1+H78)</f>
        <v>0</v>
      </c>
      <c r="I85" s="185">
        <f t="shared" ca="1" si="480"/>
        <v>0</v>
      </c>
      <c r="J85" s="185">
        <f t="shared" ca="1" si="480"/>
        <v>0</v>
      </c>
      <c r="K85" s="185">
        <f t="shared" ca="1" si="480"/>
        <v>0</v>
      </c>
      <c r="L85" s="185">
        <f t="shared" ca="1" si="480"/>
        <v>0</v>
      </c>
      <c r="M85" s="185">
        <f t="shared" ca="1" si="480"/>
        <v>0</v>
      </c>
      <c r="N85" s="185">
        <f t="shared" ref="N85:O85" ca="1" si="481">N74*N78/(1+N78)</f>
        <v>0</v>
      </c>
      <c r="O85" s="185">
        <f t="shared" ca="1" si="481"/>
        <v>0</v>
      </c>
      <c r="P85" s="185">
        <f t="shared" ref="P85:Q85" ca="1" si="482">P74*P78/(1+P78)</f>
        <v>0</v>
      </c>
      <c r="Q85" s="185">
        <f t="shared" ca="1" si="482"/>
        <v>0</v>
      </c>
      <c r="R85" s="185">
        <f t="shared" ref="R85:S85" ca="1" si="483">R74*R78/(1+R78)</f>
        <v>0</v>
      </c>
      <c r="S85" s="185">
        <f t="shared" ca="1" si="483"/>
        <v>0</v>
      </c>
      <c r="T85" s="185">
        <f t="shared" ref="T85:U85" ca="1" si="484">T74*T78/(1+T78)</f>
        <v>0</v>
      </c>
      <c r="U85" s="185">
        <f t="shared" ca="1" si="484"/>
        <v>0</v>
      </c>
      <c r="V85" s="185">
        <f t="shared" ref="V85:W85" ca="1" si="485">V74*V78/(1+V78)</f>
        <v>0</v>
      </c>
      <c r="W85" s="185">
        <f t="shared" ca="1" si="485"/>
        <v>0</v>
      </c>
      <c r="X85" s="185">
        <f t="shared" ref="X85:Y85" ca="1" si="486">X74*X78/(1+X78)</f>
        <v>0</v>
      </c>
      <c r="Y85" s="185">
        <f t="shared" ca="1" si="486"/>
        <v>0</v>
      </c>
      <c r="Z85" s="185">
        <f t="shared" ref="Z85:AA85" ca="1" si="487">Z74*Z78/(1+Z78)</f>
        <v>0</v>
      </c>
      <c r="AA85" s="185">
        <f t="shared" ca="1" si="487"/>
        <v>0</v>
      </c>
      <c r="AB85" s="185">
        <f t="shared" ref="AB85:AC85" ca="1" si="488">AB74*AB78/(1+AB78)</f>
        <v>0</v>
      </c>
      <c r="AC85" s="185">
        <f t="shared" ca="1" si="488"/>
        <v>0</v>
      </c>
      <c r="AD85" s="185">
        <f t="shared" ref="AD85:AE85" ca="1" si="489">AD74*AD78/(1+AD78)</f>
        <v>0</v>
      </c>
      <c r="AE85" s="185">
        <f t="shared" ca="1" si="489"/>
        <v>0</v>
      </c>
      <c r="AF85" s="185">
        <f t="shared" ref="AF85:AG85" ca="1" si="490">AF74*AF78/(1+AF78)</f>
        <v>0</v>
      </c>
      <c r="AG85" s="185">
        <f t="shared" ca="1" si="490"/>
        <v>0</v>
      </c>
      <c r="AH85" s="185">
        <f t="shared" ref="AH85:AI85" ca="1" si="491">AH74*AH78/(1+AH78)</f>
        <v>0</v>
      </c>
      <c r="AI85" s="185">
        <f t="shared" ca="1" si="491"/>
        <v>0</v>
      </c>
      <c r="AJ85" s="185">
        <f t="shared" ref="AJ85:AK85" ca="1" si="492">AJ74*AJ78/(1+AJ78)</f>
        <v>0</v>
      </c>
      <c r="AK85" s="185">
        <f t="shared" ca="1" si="492"/>
        <v>0</v>
      </c>
      <c r="AL85" s="185">
        <f t="shared" ref="AL85:AM85" ca="1" si="493">AL74*AL78/(1+AL78)</f>
        <v>0</v>
      </c>
      <c r="AM85" s="185">
        <f t="shared" ca="1" si="493"/>
        <v>0</v>
      </c>
      <c r="AN85" s="185">
        <f t="shared" ref="AN85:AO85" ca="1" si="494">AN74*AN78/(1+AN78)</f>
        <v>0</v>
      </c>
      <c r="AO85" s="185">
        <f t="shared" ca="1" si="494"/>
        <v>0</v>
      </c>
      <c r="AP85" s="185">
        <f t="shared" ref="AP85:AQ85" ca="1" si="495">AP74*AP78/(1+AP78)</f>
        <v>0</v>
      </c>
      <c r="AQ85" s="185">
        <f t="shared" ca="1" si="495"/>
        <v>0</v>
      </c>
      <c r="AR85" s="185">
        <f t="shared" ref="AR85:AS85" ca="1" si="496">AR74*AR78/(1+AR78)</f>
        <v>0</v>
      </c>
      <c r="AS85" s="185">
        <f t="shared" ca="1" si="496"/>
        <v>0</v>
      </c>
      <c r="AT85" s="185">
        <f t="shared" ref="AT85:AU85" ca="1" si="497">AT74*AT78/(1+AT78)</f>
        <v>0</v>
      </c>
      <c r="AU85" s="185">
        <f t="shared" ca="1" si="497"/>
        <v>0</v>
      </c>
      <c r="AV85" s="185">
        <f t="shared" ref="AV85:AW85" ca="1" si="498">AV74*AV78/(1+AV78)</f>
        <v>0</v>
      </c>
      <c r="AW85" s="185">
        <f t="shared" ca="1" si="498"/>
        <v>0</v>
      </c>
      <c r="AX85" s="185">
        <f t="shared" ref="AX85:AY85" ca="1" si="499">AX74*AX78/(1+AX78)</f>
        <v>0</v>
      </c>
      <c r="AY85" s="185">
        <f t="shared" ca="1" si="499"/>
        <v>0</v>
      </c>
      <c r="AZ85" s="185">
        <f t="shared" ref="AZ85:BA85" ca="1" si="500">AZ74*AZ78/(1+AZ78)</f>
        <v>0</v>
      </c>
      <c r="BA85" s="185">
        <f t="shared" ca="1" si="500"/>
        <v>0</v>
      </c>
      <c r="BB85" s="185">
        <f t="shared" ref="BB85" ca="1" si="501">BB74*BB78/(1+BB78)</f>
        <v>0</v>
      </c>
      <c r="BC85" s="185"/>
      <c r="BD85" s="193">
        <f ca="1">SUM(G85:BC85)</f>
        <v>0</v>
      </c>
    </row>
    <row r="86" spans="1:56" x14ac:dyDescent="0.3">
      <c r="A86" s="300" t="s">
        <v>3505</v>
      </c>
      <c r="B86" s="172"/>
      <c r="C86" s="173"/>
      <c r="D86" s="174">
        <v>1</v>
      </c>
      <c r="F86" s="170" t="s">
        <v>3428</v>
      </c>
    </row>
    <row r="87" spans="1:56" x14ac:dyDescent="0.3">
      <c r="A87" s="175" t="str">
        <f ca="1">Language!A$606</f>
        <v>объем продаж за период</v>
      </c>
      <c r="B87" s="172"/>
      <c r="C87" s="292" t="s">
        <v>521</v>
      </c>
      <c r="E87" s="170" t="s">
        <v>945</v>
      </c>
      <c r="F87" s="170" t="s">
        <v>2353</v>
      </c>
      <c r="G87" s="285">
        <f>G47*0.2</f>
        <v>0</v>
      </c>
      <c r="H87" s="285">
        <f t="shared" ref="H87:BB87" si="502">H47*0.2</f>
        <v>0</v>
      </c>
      <c r="I87" s="285">
        <f t="shared" si="502"/>
        <v>0</v>
      </c>
      <c r="J87" s="285">
        <f t="shared" si="502"/>
        <v>0</v>
      </c>
      <c r="K87" s="285">
        <f t="shared" si="502"/>
        <v>0</v>
      </c>
      <c r="L87" s="285">
        <f t="shared" si="502"/>
        <v>0</v>
      </c>
      <c r="M87" s="285">
        <f t="shared" si="502"/>
        <v>288</v>
      </c>
      <c r="N87" s="285">
        <f t="shared" si="502"/>
        <v>384</v>
      </c>
      <c r="O87" s="285">
        <f t="shared" si="502"/>
        <v>480</v>
      </c>
      <c r="P87" s="285">
        <f t="shared" si="502"/>
        <v>576</v>
      </c>
      <c r="Q87" s="285">
        <f t="shared" si="502"/>
        <v>576</v>
      </c>
      <c r="R87" s="285">
        <f t="shared" si="502"/>
        <v>576</v>
      </c>
      <c r="S87" s="285">
        <f t="shared" si="502"/>
        <v>768</v>
      </c>
      <c r="T87" s="285">
        <f t="shared" si="502"/>
        <v>672</v>
      </c>
      <c r="U87" s="285">
        <f t="shared" si="502"/>
        <v>576</v>
      </c>
      <c r="V87" s="285">
        <f t="shared" si="502"/>
        <v>576</v>
      </c>
      <c r="W87" s="285">
        <f t="shared" si="502"/>
        <v>480</v>
      </c>
      <c r="X87" s="285">
        <f t="shared" si="502"/>
        <v>768</v>
      </c>
      <c r="Y87" s="285">
        <f t="shared" si="502"/>
        <v>960</v>
      </c>
      <c r="Z87" s="285">
        <f t="shared" si="502"/>
        <v>960</v>
      </c>
      <c r="AA87" s="285">
        <f t="shared" si="502"/>
        <v>672</v>
      </c>
      <c r="AB87" s="285">
        <f t="shared" si="502"/>
        <v>480</v>
      </c>
      <c r="AC87" s="285">
        <f t="shared" si="502"/>
        <v>480</v>
      </c>
      <c r="AD87" s="285">
        <f t="shared" si="502"/>
        <v>576</v>
      </c>
      <c r="AE87" s="285">
        <f t="shared" si="502"/>
        <v>768</v>
      </c>
      <c r="AF87" s="285">
        <f t="shared" si="502"/>
        <v>672</v>
      </c>
      <c r="AG87" s="285">
        <f t="shared" si="502"/>
        <v>576</v>
      </c>
      <c r="AH87" s="285">
        <f t="shared" si="502"/>
        <v>576</v>
      </c>
      <c r="AI87" s="285">
        <f t="shared" si="502"/>
        <v>480</v>
      </c>
      <c r="AJ87" s="285">
        <f t="shared" si="502"/>
        <v>768</v>
      </c>
      <c r="AK87" s="285">
        <f t="shared" si="502"/>
        <v>960</v>
      </c>
      <c r="AL87" s="285">
        <f t="shared" si="502"/>
        <v>960</v>
      </c>
      <c r="AM87" s="285">
        <f t="shared" si="502"/>
        <v>672</v>
      </c>
      <c r="AN87" s="285">
        <f t="shared" si="502"/>
        <v>480</v>
      </c>
      <c r="AO87" s="285">
        <f t="shared" si="502"/>
        <v>480</v>
      </c>
      <c r="AP87" s="285">
        <f t="shared" si="502"/>
        <v>576</v>
      </c>
      <c r="AQ87" s="285">
        <f t="shared" si="502"/>
        <v>768</v>
      </c>
      <c r="AR87" s="285">
        <f t="shared" si="502"/>
        <v>672</v>
      </c>
      <c r="AS87" s="285">
        <f t="shared" si="502"/>
        <v>576</v>
      </c>
      <c r="AT87" s="285">
        <f t="shared" si="502"/>
        <v>576</v>
      </c>
      <c r="AU87" s="285">
        <f t="shared" si="502"/>
        <v>480</v>
      </c>
      <c r="AV87" s="285">
        <f t="shared" si="502"/>
        <v>768</v>
      </c>
      <c r="AW87" s="285">
        <f t="shared" si="502"/>
        <v>960</v>
      </c>
      <c r="AX87" s="285">
        <f t="shared" si="502"/>
        <v>960</v>
      </c>
      <c r="AY87" s="285">
        <f t="shared" si="502"/>
        <v>672</v>
      </c>
      <c r="AZ87" s="285">
        <f t="shared" si="502"/>
        <v>480</v>
      </c>
      <c r="BA87" s="285">
        <f t="shared" si="502"/>
        <v>480</v>
      </c>
      <c r="BB87" s="285">
        <f t="shared" si="502"/>
        <v>576</v>
      </c>
      <c r="BC87" s="177"/>
      <c r="BD87" s="178">
        <f>SUM(G87:BC87)</f>
        <v>26784</v>
      </c>
    </row>
    <row r="88" spans="1:56" x14ac:dyDescent="0.3">
      <c r="A88" s="175" t="str">
        <f ca="1">Language!A$587</f>
        <v>коэффициент продаж периода</v>
      </c>
      <c r="B88" s="179"/>
      <c r="C88" s="179"/>
      <c r="F88" s="170" t="s">
        <v>745</v>
      </c>
      <c r="G88" s="286">
        <f t="shared" ref="G88:BB88" si="503">IF(G$2&gt;Prj_Invest,1,0)</f>
        <v>0</v>
      </c>
      <c r="H88" s="286">
        <f t="shared" si="503"/>
        <v>0</v>
      </c>
      <c r="I88" s="286">
        <f t="shared" si="503"/>
        <v>0</v>
      </c>
      <c r="J88" s="286">
        <f t="shared" si="503"/>
        <v>0</v>
      </c>
      <c r="K88" s="286">
        <f t="shared" si="503"/>
        <v>0</v>
      </c>
      <c r="L88" s="286">
        <f t="shared" si="503"/>
        <v>0</v>
      </c>
      <c r="M88" s="286">
        <f t="shared" si="503"/>
        <v>1</v>
      </c>
      <c r="N88" s="286">
        <f t="shared" si="503"/>
        <v>1</v>
      </c>
      <c r="O88" s="286">
        <f t="shared" si="503"/>
        <v>1</v>
      </c>
      <c r="P88" s="286">
        <f t="shared" si="503"/>
        <v>1</v>
      </c>
      <c r="Q88" s="286">
        <f t="shared" si="503"/>
        <v>1</v>
      </c>
      <c r="R88" s="286">
        <f t="shared" si="503"/>
        <v>1</v>
      </c>
      <c r="S88" s="286">
        <f t="shared" si="503"/>
        <v>1</v>
      </c>
      <c r="T88" s="286">
        <f t="shared" si="503"/>
        <v>1</v>
      </c>
      <c r="U88" s="286">
        <f t="shared" si="503"/>
        <v>1</v>
      </c>
      <c r="V88" s="286">
        <f t="shared" si="503"/>
        <v>1</v>
      </c>
      <c r="W88" s="286">
        <f t="shared" si="503"/>
        <v>1</v>
      </c>
      <c r="X88" s="286">
        <f t="shared" si="503"/>
        <v>1</v>
      </c>
      <c r="Y88" s="286">
        <f t="shared" si="503"/>
        <v>1</v>
      </c>
      <c r="Z88" s="286">
        <f t="shared" si="503"/>
        <v>1</v>
      </c>
      <c r="AA88" s="286">
        <f t="shared" si="503"/>
        <v>1</v>
      </c>
      <c r="AB88" s="286">
        <f t="shared" si="503"/>
        <v>1</v>
      </c>
      <c r="AC88" s="286">
        <f t="shared" si="503"/>
        <v>1</v>
      </c>
      <c r="AD88" s="286">
        <f t="shared" si="503"/>
        <v>1</v>
      </c>
      <c r="AE88" s="286">
        <f t="shared" si="503"/>
        <v>1</v>
      </c>
      <c r="AF88" s="286">
        <f t="shared" si="503"/>
        <v>1</v>
      </c>
      <c r="AG88" s="286">
        <f t="shared" si="503"/>
        <v>1</v>
      </c>
      <c r="AH88" s="286">
        <f t="shared" si="503"/>
        <v>1</v>
      </c>
      <c r="AI88" s="286">
        <f t="shared" si="503"/>
        <v>1</v>
      </c>
      <c r="AJ88" s="286">
        <f t="shared" si="503"/>
        <v>1</v>
      </c>
      <c r="AK88" s="286">
        <f t="shared" si="503"/>
        <v>1</v>
      </c>
      <c r="AL88" s="286">
        <f t="shared" si="503"/>
        <v>1</v>
      </c>
      <c r="AM88" s="286">
        <f t="shared" si="503"/>
        <v>1</v>
      </c>
      <c r="AN88" s="286">
        <f t="shared" si="503"/>
        <v>1</v>
      </c>
      <c r="AO88" s="286">
        <f t="shared" si="503"/>
        <v>1</v>
      </c>
      <c r="AP88" s="286">
        <f t="shared" si="503"/>
        <v>1</v>
      </c>
      <c r="AQ88" s="286">
        <f t="shared" si="503"/>
        <v>1</v>
      </c>
      <c r="AR88" s="286">
        <f t="shared" si="503"/>
        <v>1</v>
      </c>
      <c r="AS88" s="286">
        <f t="shared" si="503"/>
        <v>1</v>
      </c>
      <c r="AT88" s="286">
        <f t="shared" si="503"/>
        <v>1</v>
      </c>
      <c r="AU88" s="286">
        <f t="shared" si="503"/>
        <v>1</v>
      </c>
      <c r="AV88" s="286">
        <f t="shared" si="503"/>
        <v>1</v>
      </c>
      <c r="AW88" s="286">
        <f t="shared" si="503"/>
        <v>1</v>
      </c>
      <c r="AX88" s="286">
        <f t="shared" si="503"/>
        <v>1</v>
      </c>
      <c r="AY88" s="286">
        <f t="shared" si="503"/>
        <v>1</v>
      </c>
      <c r="AZ88" s="286">
        <f t="shared" si="503"/>
        <v>1</v>
      </c>
      <c r="BA88" s="286">
        <f t="shared" si="503"/>
        <v>1</v>
      </c>
      <c r="BB88" s="286">
        <f t="shared" si="503"/>
        <v>1</v>
      </c>
      <c r="BC88" s="180"/>
    </row>
    <row r="89" spans="1:56" x14ac:dyDescent="0.3">
      <c r="A89" s="181" t="str">
        <f ca="1">Language!A$607 &amp; C87 &amp; Language!A$1485</f>
        <v>цена за единицу (ед.), без НДС</v>
      </c>
      <c r="B89" s="293">
        <v>1000</v>
      </c>
      <c r="C89" s="176" t="str">
        <f t="shared" ref="C89:C91" ca="1" si="504">CHOOSE(D89,CurName1,CurName2,CurName3)</f>
        <v>руб.</v>
      </c>
      <c r="D89" s="174">
        <f>D86</f>
        <v>1</v>
      </c>
      <c r="E89" s="170" t="s">
        <v>842</v>
      </c>
      <c r="F89" s="170" t="s">
        <v>2346</v>
      </c>
      <c r="G89" s="294">
        <f ca="1">IF(G$2=1,$B89,F89)*IF($B102=1,G102,G101)</f>
        <v>1000</v>
      </c>
      <c r="H89" s="294">
        <f t="shared" ref="H89" ca="1" si="505">IF(H$2=1,$B89,G89)*IF($B102=1,H102,H101)</f>
        <v>1004.8675505653431</v>
      </c>
      <c r="I89" s="294">
        <f t="shared" ref="I89" ca="1" si="506">IF(I$2=1,$B89,H89)*IF($B102=1,I102,I101)</f>
        <v>1009.7587941791924</v>
      </c>
      <c r="J89" s="294">
        <f t="shared" ref="J89" ca="1" si="507">IF(J$2=1,$B89,I89)*IF($B102=1,J102,J101)</f>
        <v>1014.6738461686595</v>
      </c>
      <c r="K89" s="294">
        <f t="shared" ref="K89" ca="1" si="508">IF(K$2=1,$B89,J89)*IF($B102=1,K102,K101)</f>
        <v>1019.6128224222165</v>
      </c>
      <c r="L89" s="294">
        <f t="shared" ref="L89" ca="1" si="509">IF(L$2=1,$B89,K89)*IF($B102=1,L102,L101)</f>
        <v>1024.5758393924289</v>
      </c>
      <c r="M89" s="294">
        <f t="shared" ref="M89" ca="1" si="510">IF(M$2=1,$B89,L89)*IF($B102=1,M102,M101)</f>
        <v>1029.5630140987003</v>
      </c>
      <c r="N89" s="294">
        <f t="shared" ref="N89" ca="1" si="511">IF(N$2=1,$B89,M89)*IF($B102=1,N102,N101)</f>
        <v>1034.5744641300328</v>
      </c>
      <c r="O89" s="294">
        <f t="shared" ref="O89" ca="1" si="512">IF(O$2=1,$B89,N89)*IF($B102=1,O102,O101)</f>
        <v>1039.6103076477984</v>
      </c>
      <c r="P89" s="294">
        <f t="shared" ref="P89" ca="1" si="513">IF(P$2=1,$B89,O89)*IF($B102=1,P102,P101)</f>
        <v>1044.670663388526</v>
      </c>
      <c r="Q89" s="294">
        <f t="shared" ref="Q89" ca="1" si="514">IF(Q$2=1,$B89,P89)*IF($B102=1,Q102,Q101)</f>
        <v>1049.7556506667001</v>
      </c>
      <c r="R89" s="294">
        <f t="shared" ref="R89" ca="1" si="515">IF(R$2=1,$B89,Q89)*IF($B102=1,R102,R101)</f>
        <v>1054.865389377575</v>
      </c>
      <c r="S89" s="294">
        <f t="shared" ref="S89" ca="1" si="516">IF(S$2=1,$B89,R89)*IF($B102=1,S102,S101)</f>
        <v>1060.0000000000007</v>
      </c>
      <c r="T89" s="294">
        <f t="shared" ref="T89" ca="1" si="517">IF(T$2=1,$B89,S89)*IF($B102=1,T102,T101)</f>
        <v>1065.1596035992643</v>
      </c>
      <c r="U89" s="294">
        <f t="shared" ref="U89" ca="1" si="518">IF(U$2=1,$B89,T89)*IF($B102=1,U102,U101)</f>
        <v>1070.3443218299444</v>
      </c>
      <c r="V89" s="294">
        <f t="shared" ref="V89" ca="1" si="519">IF(V$2=1,$B89,U89)*IF($B102=1,V102,V101)</f>
        <v>1075.5542769387796</v>
      </c>
      <c r="W89" s="294">
        <f t="shared" ref="W89" ca="1" si="520">IF(W$2=1,$B89,V89)*IF($B102=1,W102,W101)</f>
        <v>1080.7895917675501</v>
      </c>
      <c r="X89" s="294">
        <f t="shared" ref="X89" ca="1" si="521">IF(X$2=1,$B89,W89)*IF($B102=1,X102,X101)</f>
        <v>1086.0503897559752</v>
      </c>
      <c r="Y89" s="294">
        <f t="shared" ref="Y89" ca="1" si="522">IF(Y$2=1,$B89,X89)*IF($B102=1,Y102,Y101)</f>
        <v>1091.3367949446229</v>
      </c>
      <c r="Z89" s="294">
        <f t="shared" ref="Z89" ca="1" si="523">IF(Z$2=1,$B89,Y89)*IF($B102=1,Z102,Z101)</f>
        <v>1096.6489319778352</v>
      </c>
      <c r="AA89" s="294">
        <f t="shared" ref="AA89" ca="1" si="524">IF(AA$2=1,$B89,Z89)*IF($B102=1,AA102,AA101)</f>
        <v>1101.9869261066667</v>
      </c>
      <c r="AB89" s="294">
        <f t="shared" ref="AB89" ca="1" si="525">IF(AB$2=1,$B89,AA89)*IF($B102=1,AB102,AB101)</f>
        <v>1107.3509031918379</v>
      </c>
      <c r="AC89" s="294">
        <f t="shared" ref="AC89" ca="1" si="526">IF(AC$2=1,$B89,AB89)*IF($B102=1,AC102,AC101)</f>
        <v>1112.7409897067025</v>
      </c>
      <c r="AD89" s="294">
        <f t="shared" ref="AD89" ca="1" si="527">IF(AD$2=1,$B89,AC89)*IF($B102=1,AD102,AD101)</f>
        <v>1118.1573127402298</v>
      </c>
      <c r="AE89" s="294">
        <f t="shared" ref="AE89" ca="1" si="528">IF(AE$2=1,$B89,AD89)*IF($B102=1,AE102,AE101)</f>
        <v>1123.600000000001</v>
      </c>
      <c r="AF89" s="294">
        <f t="shared" ref="AF89" ca="1" si="529">IF(AF$2=1,$B89,AE89)*IF($B102=1,AF102,AF101)</f>
        <v>1129.0691798152204</v>
      </c>
      <c r="AG89" s="294">
        <f t="shared" ref="AG89" ca="1" si="530">IF(AG$2=1,$B89,AF89)*IF($B102=1,AG102,AG101)</f>
        <v>1134.5649811397413</v>
      </c>
      <c r="AH89" s="294">
        <f t="shared" ref="AH89" ca="1" si="531">IF(AH$2=1,$B89,AG89)*IF($B102=1,AH102,AH101)</f>
        <v>1140.0875335551066</v>
      </c>
      <c r="AI89" s="294">
        <f t="shared" ref="AI89" ca="1" si="532">IF(AI$2=1,$B89,AH89)*IF($B102=1,AI102,AI101)</f>
        <v>1145.6369672736032</v>
      </c>
      <c r="AJ89" s="294">
        <f t="shared" ref="AJ89" ca="1" si="533">IF(AJ$2=1,$B89,AI89)*IF($B102=1,AJ102,AJ101)</f>
        <v>1151.2134131413338</v>
      </c>
      <c r="AK89" s="294">
        <f t="shared" ref="AK89" ca="1" si="534">IF(AK$2=1,$B89,AJ89)*IF($B102=1,AK102,AK101)</f>
        <v>1156.8170026413004</v>
      </c>
      <c r="AL89" s="294">
        <f t="shared" ref="AL89" ca="1" si="535">IF(AL$2=1,$B89,AK89)*IF($B102=1,AL102,AL101)</f>
        <v>1162.4478678965056</v>
      </c>
      <c r="AM89" s="294">
        <f t="shared" ref="AM89" ca="1" si="536">IF(AM$2=1,$B89,AL89)*IF($B102=1,AM102,AM101)</f>
        <v>1168.106141673067</v>
      </c>
      <c r="AN89" s="294">
        <f t="shared" ref="AN89" ca="1" si="537">IF(AN$2=1,$B89,AM89)*IF($B102=1,AN102,AN101)</f>
        <v>1173.7919573833485</v>
      </c>
      <c r="AO89" s="294">
        <f t="shared" ref="AO89" ca="1" si="538">IF(AO$2=1,$B89,AN89)*IF($B102=1,AO102,AO101)</f>
        <v>1179.505449089105</v>
      </c>
      <c r="AP89" s="294">
        <f t="shared" ref="AP89" ca="1" si="539">IF(AP$2=1,$B89,AO89)*IF($B102=1,AP102,AP101)</f>
        <v>1185.246751504644</v>
      </c>
      <c r="AQ89" s="294">
        <f t="shared" ref="AQ89" ca="1" si="540">IF(AQ$2=1,$B89,AP89)*IF($B102=1,AQ102,AQ101)</f>
        <v>1191.0160000000014</v>
      </c>
      <c r="AR89" s="294">
        <f t="shared" ref="AR89" ca="1" si="541">IF(AR$2=1,$B89,AQ89)*IF($B102=1,AR102,AR101)</f>
        <v>1196.8133306041341</v>
      </c>
      <c r="AS89" s="294">
        <f t="shared" ref="AS89" ca="1" si="542">IF(AS$2=1,$B89,AR89)*IF($B102=1,AS102,AS101)</f>
        <v>1202.6388800081263</v>
      </c>
      <c r="AT89" s="294">
        <f t="shared" ref="AT89" ca="1" si="543">IF(AT$2=1,$B89,AS89)*IF($B102=1,AT102,AT101)</f>
        <v>1208.4927855684134</v>
      </c>
      <c r="AU89" s="294">
        <f t="shared" ref="AU89" ca="1" si="544">IF(AU$2=1,$B89,AT89)*IF($B102=1,AU102,AU101)</f>
        <v>1214.37518531002</v>
      </c>
      <c r="AV89" s="294">
        <f t="shared" ref="AV89" ca="1" si="545">IF(AV$2=1,$B89,AU89)*IF($B102=1,AV102,AV101)</f>
        <v>1220.2862179298145</v>
      </c>
      <c r="AW89" s="294">
        <f t="shared" ref="AW89" ca="1" si="546">IF(AW$2=1,$B89,AV89)*IF($B102=1,AW102,AW101)</f>
        <v>1226.226022799779</v>
      </c>
      <c r="AX89" s="294">
        <f t="shared" ref="AX89" ca="1" si="547">IF(AX$2=1,$B89,AW89)*IF($B102=1,AX102,AX101)</f>
        <v>1232.1947399702965</v>
      </c>
      <c r="AY89" s="294">
        <f t="shared" ref="AY89" ca="1" si="548">IF(AY$2=1,$B89,AX89)*IF($B102=1,AY102,AY101)</f>
        <v>1238.1925101734516</v>
      </c>
      <c r="AZ89" s="294">
        <f t="shared" ref="AZ89" ca="1" si="549">IF(AZ$2=1,$B89,AY89)*IF($B102=1,AZ102,AZ101)</f>
        <v>1244.2194748263501</v>
      </c>
      <c r="BA89" s="294">
        <f t="shared" ref="BA89" ca="1" si="550">IF(BA$2=1,$B89,AZ89)*IF($B102=1,BA102,BA101)</f>
        <v>1250.2757760344518</v>
      </c>
      <c r="BB89" s="294">
        <f t="shared" ref="BB89" ca="1" si="551">IF(BB$2=1,$B89,BA89)*IF($B102=1,BB102,BB101)</f>
        <v>1256.3615565949231</v>
      </c>
      <c r="BC89" s="177"/>
    </row>
    <row r="90" spans="1:56" collapsed="1" x14ac:dyDescent="0.3">
      <c r="A90" s="181" t="str">
        <f ca="1">Language!A$608</f>
        <v>выручка от реализации, без НДС</v>
      </c>
      <c r="B90" s="176"/>
      <c r="C90" s="176" t="str">
        <f t="shared" ca="1" si="504"/>
        <v>руб.</v>
      </c>
      <c r="D90" s="174">
        <f>D86</f>
        <v>1</v>
      </c>
      <c r="E90" s="170" t="s">
        <v>992</v>
      </c>
      <c r="F90" s="170" t="s">
        <v>740</v>
      </c>
      <c r="G90" s="182">
        <f t="shared" ref="G90:BB90" ca="1" si="552">G87*G89</f>
        <v>0</v>
      </c>
      <c r="H90" s="182">
        <f t="shared" ca="1" si="552"/>
        <v>0</v>
      </c>
      <c r="I90" s="182">
        <f t="shared" ca="1" si="552"/>
        <v>0</v>
      </c>
      <c r="J90" s="182">
        <f t="shared" ca="1" si="552"/>
        <v>0</v>
      </c>
      <c r="K90" s="182">
        <f t="shared" ca="1" si="552"/>
        <v>0</v>
      </c>
      <c r="L90" s="182">
        <f t="shared" ca="1" si="552"/>
        <v>0</v>
      </c>
      <c r="M90" s="182">
        <f t="shared" ca="1" si="552"/>
        <v>296514.14806042565</v>
      </c>
      <c r="N90" s="182">
        <f t="shared" ca="1" si="552"/>
        <v>397276.59422593261</v>
      </c>
      <c r="O90" s="182">
        <f t="shared" ca="1" si="552"/>
        <v>499012.94767094322</v>
      </c>
      <c r="P90" s="182">
        <f t="shared" ca="1" si="552"/>
        <v>601730.30211179098</v>
      </c>
      <c r="Q90" s="182">
        <f t="shared" ca="1" si="552"/>
        <v>604659.25478401931</v>
      </c>
      <c r="R90" s="182">
        <f t="shared" ca="1" si="552"/>
        <v>607602.4642814832</v>
      </c>
      <c r="S90" s="182">
        <f t="shared" ca="1" si="552"/>
        <v>814080.00000000047</v>
      </c>
      <c r="T90" s="182">
        <f t="shared" ca="1" si="552"/>
        <v>715787.25361870555</v>
      </c>
      <c r="U90" s="182">
        <f t="shared" ca="1" si="552"/>
        <v>616518.32937404793</v>
      </c>
      <c r="V90" s="182">
        <f t="shared" ca="1" si="552"/>
        <v>619519.26351673703</v>
      </c>
      <c r="W90" s="182">
        <f t="shared" ca="1" si="552"/>
        <v>518779.00404842402</v>
      </c>
      <c r="X90" s="182">
        <f t="shared" ca="1" si="552"/>
        <v>834086.69933258893</v>
      </c>
      <c r="Y90" s="182">
        <f t="shared" ca="1" si="552"/>
        <v>1047683.323146838</v>
      </c>
      <c r="Z90" s="182">
        <f t="shared" ca="1" si="552"/>
        <v>1052782.9746987219</v>
      </c>
      <c r="AA90" s="182">
        <f t="shared" ca="1" si="552"/>
        <v>740535.21434368007</v>
      </c>
      <c r="AB90" s="182">
        <f t="shared" ca="1" si="552"/>
        <v>531528.43353208224</v>
      </c>
      <c r="AC90" s="182">
        <f t="shared" ca="1" si="552"/>
        <v>534115.67505921726</v>
      </c>
      <c r="AD90" s="182">
        <f t="shared" ca="1" si="552"/>
        <v>644058.61213837238</v>
      </c>
      <c r="AE90" s="182">
        <f t="shared" ca="1" si="552"/>
        <v>862924.80000000075</v>
      </c>
      <c r="AF90" s="182">
        <f t="shared" ca="1" si="552"/>
        <v>758734.48883582815</v>
      </c>
      <c r="AG90" s="182">
        <f t="shared" ca="1" si="552"/>
        <v>653509.42913649103</v>
      </c>
      <c r="AH90" s="182">
        <f t="shared" ca="1" si="552"/>
        <v>656690.41932774137</v>
      </c>
      <c r="AI90" s="182">
        <f t="shared" ca="1" si="552"/>
        <v>549905.74429132952</v>
      </c>
      <c r="AJ90" s="182">
        <f t="shared" ca="1" si="552"/>
        <v>884131.90129254432</v>
      </c>
      <c r="AK90" s="182">
        <f t="shared" ca="1" si="552"/>
        <v>1110544.3225356485</v>
      </c>
      <c r="AL90" s="182">
        <f t="shared" ca="1" si="552"/>
        <v>1115949.9531806454</v>
      </c>
      <c r="AM90" s="182">
        <f t="shared" ca="1" si="552"/>
        <v>784967.32720430102</v>
      </c>
      <c r="AN90" s="182">
        <f t="shared" ca="1" si="552"/>
        <v>563420.13954400725</v>
      </c>
      <c r="AO90" s="182">
        <f t="shared" ca="1" si="552"/>
        <v>566162.6155627704</v>
      </c>
      <c r="AP90" s="182">
        <f t="shared" ca="1" si="552"/>
        <v>682702.12886667496</v>
      </c>
      <c r="AQ90" s="182">
        <f t="shared" ca="1" si="552"/>
        <v>914700.28800000111</v>
      </c>
      <c r="AR90" s="182">
        <f t="shared" ca="1" si="552"/>
        <v>804258.55816597806</v>
      </c>
      <c r="AS90" s="182">
        <f t="shared" ca="1" si="552"/>
        <v>692719.99488468072</v>
      </c>
      <c r="AT90" s="182">
        <f t="shared" ca="1" si="552"/>
        <v>696091.84448740608</v>
      </c>
      <c r="AU90" s="182">
        <f t="shared" ca="1" si="552"/>
        <v>582900.08894880966</v>
      </c>
      <c r="AV90" s="182">
        <f t="shared" ca="1" si="552"/>
        <v>937179.81537009752</v>
      </c>
      <c r="AW90" s="182">
        <f t="shared" ca="1" si="552"/>
        <v>1177176.9818877878</v>
      </c>
      <c r="AX90" s="182">
        <f t="shared" ca="1" si="552"/>
        <v>1182906.9503714847</v>
      </c>
      <c r="AY90" s="182">
        <f t="shared" ca="1" si="552"/>
        <v>832065.36683655949</v>
      </c>
      <c r="AZ90" s="182">
        <f t="shared" ca="1" si="552"/>
        <v>597225.34791664802</v>
      </c>
      <c r="BA90" s="182">
        <f t="shared" ca="1" si="552"/>
        <v>600132.37249653693</v>
      </c>
      <c r="BB90" s="182">
        <f t="shared" ca="1" si="552"/>
        <v>723664.25659867562</v>
      </c>
      <c r="BC90" s="182"/>
      <c r="BD90" s="183">
        <f ca="1">SUM(G90:BC90)</f>
        <v>30606935.629686661</v>
      </c>
    </row>
    <row r="91" spans="1:56" hidden="1" outlineLevel="1" x14ac:dyDescent="0.3">
      <c r="A91" s="181" t="str">
        <f ca="1">Language!A$590</f>
        <v>выручка от реализации, с НДС</v>
      </c>
      <c r="B91" s="176"/>
      <c r="C91" s="176" t="str">
        <f t="shared" ca="1" si="504"/>
        <v>руб.</v>
      </c>
      <c r="D91" s="174">
        <f>D86</f>
        <v>1</v>
      </c>
      <c r="F91" s="170" t="s">
        <v>740</v>
      </c>
      <c r="G91" s="182">
        <f ca="1">G90+G103+G104</f>
        <v>0</v>
      </c>
      <c r="H91" s="182">
        <f t="shared" ref="H91:BB91" ca="1" si="553">H90+H103+H104</f>
        <v>0</v>
      </c>
      <c r="I91" s="182">
        <f t="shared" ca="1" si="553"/>
        <v>0</v>
      </c>
      <c r="J91" s="182">
        <f t="shared" ca="1" si="553"/>
        <v>0</v>
      </c>
      <c r="K91" s="182">
        <f t="shared" ca="1" si="553"/>
        <v>0</v>
      </c>
      <c r="L91" s="182">
        <f t="shared" ca="1" si="553"/>
        <v>0</v>
      </c>
      <c r="M91" s="182">
        <f t="shared" ca="1" si="553"/>
        <v>296514.14806042565</v>
      </c>
      <c r="N91" s="182">
        <f t="shared" ca="1" si="553"/>
        <v>397276.59422593261</v>
      </c>
      <c r="O91" s="182">
        <f t="shared" ca="1" si="553"/>
        <v>499012.94767094322</v>
      </c>
      <c r="P91" s="182">
        <f t="shared" ca="1" si="553"/>
        <v>601730.30211179098</v>
      </c>
      <c r="Q91" s="182">
        <f t="shared" ca="1" si="553"/>
        <v>604659.25478401931</v>
      </c>
      <c r="R91" s="182">
        <f t="shared" ca="1" si="553"/>
        <v>607602.4642814832</v>
      </c>
      <c r="S91" s="182">
        <f t="shared" ca="1" si="553"/>
        <v>814080.00000000047</v>
      </c>
      <c r="T91" s="182">
        <f t="shared" ca="1" si="553"/>
        <v>715787.25361870555</v>
      </c>
      <c r="U91" s="182">
        <f t="shared" ca="1" si="553"/>
        <v>616518.32937404793</v>
      </c>
      <c r="V91" s="182">
        <f t="shared" ca="1" si="553"/>
        <v>619519.26351673703</v>
      </c>
      <c r="W91" s="182">
        <f t="shared" ca="1" si="553"/>
        <v>518779.00404842402</v>
      </c>
      <c r="X91" s="182">
        <f t="shared" ca="1" si="553"/>
        <v>834086.69933258893</v>
      </c>
      <c r="Y91" s="182">
        <f t="shared" ca="1" si="553"/>
        <v>1047683.323146838</v>
      </c>
      <c r="Z91" s="182">
        <f t="shared" ca="1" si="553"/>
        <v>1052782.9746987219</v>
      </c>
      <c r="AA91" s="182">
        <f t="shared" ca="1" si="553"/>
        <v>740535.21434368007</v>
      </c>
      <c r="AB91" s="182">
        <f t="shared" ca="1" si="553"/>
        <v>531528.43353208224</v>
      </c>
      <c r="AC91" s="182">
        <f t="shared" ca="1" si="553"/>
        <v>534115.67505921726</v>
      </c>
      <c r="AD91" s="182">
        <f t="shared" ca="1" si="553"/>
        <v>644058.61213837238</v>
      </c>
      <c r="AE91" s="182">
        <f t="shared" ca="1" si="553"/>
        <v>862924.80000000075</v>
      </c>
      <c r="AF91" s="182">
        <f t="shared" ca="1" si="553"/>
        <v>758734.48883582815</v>
      </c>
      <c r="AG91" s="182">
        <f t="shared" ca="1" si="553"/>
        <v>653509.42913649103</v>
      </c>
      <c r="AH91" s="182">
        <f t="shared" ca="1" si="553"/>
        <v>656690.41932774137</v>
      </c>
      <c r="AI91" s="182">
        <f t="shared" ca="1" si="553"/>
        <v>549905.74429132952</v>
      </c>
      <c r="AJ91" s="182">
        <f t="shared" ca="1" si="553"/>
        <v>884131.90129254432</v>
      </c>
      <c r="AK91" s="182">
        <f t="shared" ca="1" si="553"/>
        <v>1110544.3225356485</v>
      </c>
      <c r="AL91" s="182">
        <f t="shared" ca="1" si="553"/>
        <v>1115949.9531806454</v>
      </c>
      <c r="AM91" s="182">
        <f t="shared" ca="1" si="553"/>
        <v>784967.32720430102</v>
      </c>
      <c r="AN91" s="182">
        <f t="shared" ca="1" si="553"/>
        <v>563420.13954400725</v>
      </c>
      <c r="AO91" s="182">
        <f t="shared" ca="1" si="553"/>
        <v>566162.6155627704</v>
      </c>
      <c r="AP91" s="182">
        <f t="shared" ca="1" si="553"/>
        <v>682702.12886667496</v>
      </c>
      <c r="AQ91" s="182">
        <f t="shared" ca="1" si="553"/>
        <v>914700.28800000111</v>
      </c>
      <c r="AR91" s="182">
        <f t="shared" ca="1" si="553"/>
        <v>804258.55816597806</v>
      </c>
      <c r="AS91" s="182">
        <f t="shared" ca="1" si="553"/>
        <v>692719.99488468072</v>
      </c>
      <c r="AT91" s="182">
        <f t="shared" ca="1" si="553"/>
        <v>696091.84448740608</v>
      </c>
      <c r="AU91" s="182">
        <f t="shared" ca="1" si="553"/>
        <v>582900.08894880966</v>
      </c>
      <c r="AV91" s="182">
        <f t="shared" ca="1" si="553"/>
        <v>937179.81537009752</v>
      </c>
      <c r="AW91" s="182">
        <f t="shared" ca="1" si="553"/>
        <v>1177176.9818877878</v>
      </c>
      <c r="AX91" s="182">
        <f t="shared" ca="1" si="553"/>
        <v>1182906.9503714847</v>
      </c>
      <c r="AY91" s="182">
        <f t="shared" ca="1" si="553"/>
        <v>832065.36683655949</v>
      </c>
      <c r="AZ91" s="182">
        <f t="shared" ca="1" si="553"/>
        <v>597225.34791664802</v>
      </c>
      <c r="BA91" s="182">
        <f t="shared" ca="1" si="553"/>
        <v>600132.37249653693</v>
      </c>
      <c r="BB91" s="182">
        <f t="shared" ca="1" si="553"/>
        <v>723664.25659867562</v>
      </c>
      <c r="BC91" s="182"/>
      <c r="BD91" s="183">
        <f ca="1">SUM(G91:BC91)</f>
        <v>30606935.629686661</v>
      </c>
    </row>
    <row r="92" spans="1:56" hidden="1" outlineLevel="1" x14ac:dyDescent="0.3">
      <c r="A92" s="184" t="str">
        <f ca="1">Language!A$609</f>
        <v>дебиторская задолженность</v>
      </c>
      <c r="B92" s="163"/>
      <c r="C92" s="163" t="str">
        <f ca="1">CHOOSE(D92,CurName1,CurName2,CurName3)</f>
        <v>руб.</v>
      </c>
      <c r="D92" s="174">
        <f>D86</f>
        <v>1</v>
      </c>
      <c r="E92" s="170" t="s">
        <v>994</v>
      </c>
      <c r="F92" s="170" t="s">
        <v>2350</v>
      </c>
      <c r="G92" s="287">
        <f ca="1">IF(AND($B93=0,G$2&gt;1),F92,(G90+G103+G104)*$B93/Параметры!G$30)</f>
        <v>0</v>
      </c>
      <c r="H92" s="287">
        <f ca="1">IF(AND($B93=0,H$2&gt;1),G92,(H90+H103+H104)*$B93/Параметры!H$30)</f>
        <v>0</v>
      </c>
      <c r="I92" s="287">
        <f ca="1">IF(AND($B93=0,I$2&gt;1),H92,(I90+I103+I104)*$B93/Параметры!I$30)</f>
        <v>0</v>
      </c>
      <c r="J92" s="287">
        <f ca="1">IF(AND($B93=0,J$2&gt;1),I92,(J90+J103+J104)*$B93/Параметры!J$30)</f>
        <v>0</v>
      </c>
      <c r="K92" s="287">
        <f ca="1">IF(AND($B93=0,K$2&gt;1),J92,(K90+K103+K104)*$B93/Параметры!K$30)</f>
        <v>0</v>
      </c>
      <c r="L92" s="287">
        <f ca="1">IF(AND($B93=0,L$2&gt;1),K92,(L90+L103+L104)*$B93/Параметры!L$30)</f>
        <v>0</v>
      </c>
      <c r="M92" s="287">
        <f ca="1">IF(AND($B93=0,M$2&gt;1),L92,(M90+M103+M104)*$B93/Параметры!M$30)</f>
        <v>98838.049353475217</v>
      </c>
      <c r="N92" s="287">
        <f ca="1">IF(AND($B93=0,N$2&gt;1),M92,(N90+N103+N104)*$B93/Параметры!N$30)</f>
        <v>132425.53140864419</v>
      </c>
      <c r="O92" s="287">
        <f ca="1">IF(AND($B93=0,O$2&gt;1),N92,(O90+O103+O104)*$B93/Параметры!O$30)</f>
        <v>166337.64922364772</v>
      </c>
      <c r="P92" s="287">
        <f ca="1">IF(AND($B93=0,P$2&gt;1),O92,(P90+P103+P104)*$B93/Параметры!P$30)</f>
        <v>200576.76737059699</v>
      </c>
      <c r="Q92" s="287">
        <f ca="1">IF(AND($B93=0,Q$2&gt;1),P92,(Q90+Q103+Q104)*$B93/Параметры!Q$30)</f>
        <v>201553.08492800643</v>
      </c>
      <c r="R92" s="287">
        <f ca="1">IF(AND($B93=0,R$2&gt;1),Q92,(R90+R103+R104)*$B93/Параметры!R$30)</f>
        <v>202534.15476049439</v>
      </c>
      <c r="S92" s="287">
        <f ca="1">IF(AND($B93=0,S$2&gt;1),R92,(S90+S103+S104)*$B93/Параметры!S$30)</f>
        <v>271360.00000000017</v>
      </c>
      <c r="T92" s="287">
        <f ca="1">IF(AND($B93=0,T$2&gt;1),S92,(T90+T103+T104)*$B93/Параметры!T$30)</f>
        <v>238595.75120623517</v>
      </c>
      <c r="U92" s="287">
        <f ca="1">IF(AND($B93=0,U$2&gt;1),T92,(U90+U103+U104)*$B93/Параметры!U$30)</f>
        <v>205506.1097913493</v>
      </c>
      <c r="V92" s="287">
        <f ca="1">IF(AND($B93=0,V$2&gt;1),U92,(V90+V103+V104)*$B93/Параметры!V$30)</f>
        <v>206506.4211722457</v>
      </c>
      <c r="W92" s="287">
        <f ca="1">IF(AND($B93=0,W$2&gt;1),V92,(W90+W103+W104)*$B93/Параметры!W$30)</f>
        <v>172926.334682808</v>
      </c>
      <c r="X92" s="287">
        <f ca="1">IF(AND($B93=0,X$2&gt;1),W92,(X90+X103+X104)*$B93/Параметры!X$30)</f>
        <v>278028.89977752964</v>
      </c>
      <c r="Y92" s="287">
        <f ca="1">IF(AND($B93=0,Y$2&gt;1),X92,(Y90+Y103+Y104)*$B93/Параметры!Y$30)</f>
        <v>349227.77438227931</v>
      </c>
      <c r="Z92" s="287">
        <f ca="1">IF(AND($B93=0,Z$2&gt;1),Y92,(Z90+Z103+Z104)*$B93/Параметры!Z$30)</f>
        <v>350927.65823290736</v>
      </c>
      <c r="AA92" s="287">
        <f ca="1">IF(AND($B93=0,AA$2&gt;1),Z92,(AA90+AA103+AA104)*$B93/Параметры!AA$30)</f>
        <v>246845.07144789337</v>
      </c>
      <c r="AB92" s="287">
        <f ca="1">IF(AND($B93=0,AB$2&gt;1),AA92,(AB90+AB103+AB104)*$B93/Параметры!AB$30)</f>
        <v>177176.14451069411</v>
      </c>
      <c r="AC92" s="287">
        <f ca="1">IF(AND($B93=0,AC$2&gt;1),AB92,(AC90+AC103+AC104)*$B93/Параметры!AC$30)</f>
        <v>178038.55835307241</v>
      </c>
      <c r="AD92" s="287">
        <f ca="1">IF(AND($B93=0,AD$2&gt;1),AC92,(AD90+AD103+AD104)*$B93/Параметры!AD$30)</f>
        <v>214686.20404612413</v>
      </c>
      <c r="AE92" s="287">
        <f ca="1">IF(AND($B93=0,AE$2&gt;1),AD92,(AE90+AE103+AE104)*$B93/Параметры!AE$30)</f>
        <v>287641.60000000027</v>
      </c>
      <c r="AF92" s="287">
        <f ca="1">IF(AND($B93=0,AF$2&gt;1),AE92,(AF90+AF103+AF104)*$B93/Параметры!AF$30)</f>
        <v>252911.49627860941</v>
      </c>
      <c r="AG92" s="287">
        <f ca="1">IF(AND($B93=0,AG$2&gt;1),AF92,(AG90+AG103+AG104)*$B93/Параметры!AG$30)</f>
        <v>217836.47637883032</v>
      </c>
      <c r="AH92" s="287">
        <f ca="1">IF(AND($B93=0,AH$2&gt;1),AG92,(AH90+AH103+AH104)*$B93/Параметры!AH$30)</f>
        <v>218896.80644258048</v>
      </c>
      <c r="AI92" s="287">
        <f ca="1">IF(AND($B93=0,AI$2&gt;1),AH92,(AI90+AI103+AI104)*$B93/Параметры!AI$30)</f>
        <v>183301.91476377653</v>
      </c>
      <c r="AJ92" s="287">
        <f ca="1">IF(AND($B93=0,AJ$2&gt;1),AI92,(AJ90+AJ103+AJ104)*$B93/Параметры!AJ$30)</f>
        <v>294710.6337641814</v>
      </c>
      <c r="AK92" s="287">
        <f ca="1">IF(AND($B93=0,AK$2&gt;1),AJ92,(AK90+AK103+AK104)*$B93/Параметры!AK$30)</f>
        <v>370181.44084521622</v>
      </c>
      <c r="AL92" s="287">
        <f ca="1">IF(AND($B93=0,AL$2&gt;1),AK92,(AL90+AL103+AL104)*$B93/Параметры!AL$30)</f>
        <v>371983.31772688183</v>
      </c>
      <c r="AM92" s="287">
        <f ca="1">IF(AND($B93=0,AM$2&gt;1),AL92,(AM90+AM103+AM104)*$B93/Параметры!AM$30)</f>
        <v>261655.775734767</v>
      </c>
      <c r="AN92" s="287">
        <f ca="1">IF(AND($B93=0,AN$2&gt;1),AM92,(AN90+AN103+AN104)*$B93/Параметры!AN$30)</f>
        <v>187806.71318133577</v>
      </c>
      <c r="AO92" s="287">
        <f ca="1">IF(AND($B93=0,AO$2&gt;1),AN92,(AO90+AO103+AO104)*$B93/Параметры!AO$30)</f>
        <v>188720.87185425681</v>
      </c>
      <c r="AP92" s="287">
        <f ca="1">IF(AND($B93=0,AP$2&gt;1),AO92,(AP90+AP103+AP104)*$B93/Параметры!AP$30)</f>
        <v>227567.37628889165</v>
      </c>
      <c r="AQ92" s="287">
        <f ca="1">IF(AND($B93=0,AQ$2&gt;1),AP92,(AQ90+AQ103+AQ104)*$B93/Параметры!AQ$30)</f>
        <v>304900.09600000031</v>
      </c>
      <c r="AR92" s="287">
        <f ca="1">IF(AND($B93=0,AR$2&gt;1),AQ92,(AR90+AR103+AR104)*$B93/Параметры!AR$30)</f>
        <v>268086.18605532602</v>
      </c>
      <c r="AS92" s="287">
        <f ca="1">IF(AND($B93=0,AS$2&gt;1),AR92,(AS90+AS103+AS104)*$B93/Параметры!AS$30)</f>
        <v>230906.66496156025</v>
      </c>
      <c r="AT92" s="287">
        <f ca="1">IF(AND($B93=0,AT$2&gt;1),AS92,(AT90+AT103+AT104)*$B93/Параметры!AT$30)</f>
        <v>232030.61482913539</v>
      </c>
      <c r="AU92" s="287">
        <f ca="1">IF(AND($B93=0,AU$2&gt;1),AT92,(AU90+AU103+AU104)*$B93/Параметры!AU$30)</f>
        <v>194300.02964960321</v>
      </c>
      <c r="AV92" s="287">
        <f ca="1">IF(AND($B93=0,AV$2&gt;1),AU92,(AV90+AV103+AV104)*$B93/Параметры!AV$30)</f>
        <v>312393.27179003251</v>
      </c>
      <c r="AW92" s="287">
        <f ca="1">IF(AND($B93=0,AW$2&gt;1),AV92,(AW90+AW103+AW104)*$B93/Параметры!AW$30)</f>
        <v>392392.32729592925</v>
      </c>
      <c r="AX92" s="287">
        <f ca="1">IF(AND($B93=0,AX$2&gt;1),AW92,(AX90+AX103+AX104)*$B93/Параметры!AX$30)</f>
        <v>394302.31679049495</v>
      </c>
      <c r="AY92" s="287">
        <f ca="1">IF(AND($B93=0,AY$2&gt;1),AX92,(AY90+AY103+AY104)*$B93/Параметры!AY$30)</f>
        <v>277355.12227885314</v>
      </c>
      <c r="AZ92" s="287">
        <f ca="1">IF(AND($B93=0,AZ$2&gt;1),AY92,(AZ90+AZ103+AZ104)*$B93/Параметры!AZ$30)</f>
        <v>199075.11597221598</v>
      </c>
      <c r="BA92" s="287">
        <f ca="1">IF(AND($B93=0,BA$2&gt;1),AZ92,(BA90+BA103+BA104)*$B93/Параметры!BA$30)</f>
        <v>200044.1241655123</v>
      </c>
      <c r="BB92" s="287">
        <f ca="1">IF(AND($B93=0,BB$2&gt;1),BA92,(BB90+BB103+BB104)*$B93/Параметры!BB$30)</f>
        <v>241221.4188662252</v>
      </c>
      <c r="BC92" s="185"/>
      <c r="BD92" s="186"/>
    </row>
    <row r="93" spans="1:56" s="170" customFormat="1" hidden="1" outlineLevel="1" x14ac:dyDescent="0.3">
      <c r="A93" s="187" t="str">
        <f ca="1">Language!A$610</f>
        <v>средний период отсрочки платежа</v>
      </c>
      <c r="B93" s="288">
        <f>$B$573</f>
        <v>10</v>
      </c>
      <c r="C93" s="163" t="str">
        <f ca="1">Language!$A$1474</f>
        <v>дней</v>
      </c>
      <c r="F93" s="170" t="s">
        <v>2347</v>
      </c>
      <c r="G93" s="185"/>
      <c r="H93" s="185"/>
      <c r="I93" s="185"/>
      <c r="J93" s="185"/>
      <c r="K93" s="185"/>
      <c r="L93" s="185"/>
      <c r="M93" s="185"/>
      <c r="N93" s="185"/>
      <c r="O93" s="185"/>
      <c r="P93" s="185"/>
      <c r="Q93" s="185"/>
      <c r="R93" s="185"/>
      <c r="S93" s="185"/>
      <c r="T93" s="185"/>
      <c r="U93" s="185"/>
      <c r="V93" s="185"/>
      <c r="W93" s="185"/>
      <c r="X93" s="185"/>
      <c r="Y93" s="185"/>
      <c r="Z93" s="185"/>
      <c r="AA93" s="185"/>
      <c r="AB93" s="185"/>
      <c r="AC93" s="185"/>
      <c r="AD93" s="185"/>
      <c r="AE93" s="185"/>
      <c r="AF93" s="185"/>
      <c r="AG93" s="185"/>
      <c r="AH93" s="185"/>
      <c r="AI93" s="185"/>
      <c r="AJ93" s="185"/>
      <c r="AK93" s="185"/>
      <c r="AL93" s="185"/>
      <c r="AM93" s="185"/>
      <c r="AN93" s="185"/>
      <c r="AO93" s="185"/>
      <c r="AP93" s="185"/>
      <c r="AQ93" s="185"/>
      <c r="AR93" s="185"/>
      <c r="AS93" s="185"/>
      <c r="AT93" s="185"/>
      <c r="AU93" s="185"/>
      <c r="AV93" s="185"/>
      <c r="AW93" s="185"/>
      <c r="AX93" s="185"/>
      <c r="AY93" s="185"/>
      <c r="AZ93" s="185"/>
      <c r="BA93" s="185"/>
      <c r="BB93" s="185"/>
      <c r="BC93" s="185"/>
      <c r="BD93" s="186"/>
    </row>
    <row r="94" spans="1:56" hidden="1" outlineLevel="1" x14ac:dyDescent="0.3">
      <c r="A94" s="184" t="str">
        <f ca="1">Language!A$611</f>
        <v xml:space="preserve">авансы полученные </v>
      </c>
      <c r="B94" s="163"/>
      <c r="C94" s="163" t="str">
        <f ca="1">CHOOSE(D94,CurName1,CurName2,CurName3)</f>
        <v>руб.</v>
      </c>
      <c r="D94" s="174">
        <f>D86</f>
        <v>1</v>
      </c>
      <c r="E94" s="170" t="s">
        <v>995</v>
      </c>
      <c r="F94" s="170" t="s">
        <v>2350</v>
      </c>
      <c r="G94" s="289">
        <f ca="1">IF(OR(AND($B95=0,G$2&gt;1),G$2=Prj_Len),F94,(OFFSET(G90,0,1)+OFFSET(G103,0,1)+OFFSET(G104,0,1))*$B95/Параметры!G$30)</f>
        <v>0</v>
      </c>
      <c r="H94" s="289">
        <f ca="1">IF(OR(AND($B95=0,H$2&gt;1),H$2=Prj_Len),G94,(OFFSET(H90,0,1)+OFFSET(H103,0,1)+OFFSET(H104,0,1))*$B95/Параметры!H$30)</f>
        <v>0</v>
      </c>
      <c r="I94" s="289">
        <f ca="1">IF(OR(AND($B95=0,I$2&gt;1),I$2=Prj_Len),H94,(OFFSET(I90,0,1)+OFFSET(I103,0,1)+OFFSET(I104,0,1))*$B95/Параметры!I$30)</f>
        <v>0</v>
      </c>
      <c r="J94" s="289">
        <f ca="1">IF(OR(AND($B95=0,J$2&gt;1),J$2=Prj_Len),I94,(OFFSET(J90,0,1)+OFFSET(J103,0,1)+OFFSET(J104,0,1))*$B95/Параметры!J$30)</f>
        <v>0</v>
      </c>
      <c r="K94" s="289">
        <f ca="1">IF(OR(AND($B95=0,K$2&gt;1),K$2=Prj_Len),J94,(OFFSET(K90,0,1)+OFFSET(K103,0,1)+OFFSET(K104,0,1))*$B95/Параметры!K$30)</f>
        <v>0</v>
      </c>
      <c r="L94" s="289">
        <f ca="1">IF(OR(AND($B95=0,L$2&gt;1),L$2=Prj_Len),K94,(OFFSET(L90,0,1)+OFFSET(L103,0,1)+OFFSET(L104,0,1))*$B95/Параметры!L$30)</f>
        <v>0</v>
      </c>
      <c r="M94" s="289">
        <f ca="1">IF(OR(AND($B95=0,M$2&gt;1),M$2=Prj_Len),L94,(OFFSET(M90,0,1)+OFFSET(M103,0,1)+OFFSET(M104,0,1))*$B95/Параметры!M$30)</f>
        <v>0</v>
      </c>
      <c r="N94" s="289">
        <f ca="1">IF(OR(AND($B95=0,N$2&gt;1),N$2=Prj_Len),M94,(OFFSET(N90,0,1)+OFFSET(N103,0,1)+OFFSET(N104,0,1))*$B95/Параметры!N$30)</f>
        <v>0</v>
      </c>
      <c r="O94" s="289">
        <f ca="1">IF(OR(AND($B95=0,O$2&gt;1),O$2=Prj_Len),N94,(OFFSET(O90,0,1)+OFFSET(O103,0,1)+OFFSET(O104,0,1))*$B95/Параметры!O$30)</f>
        <v>0</v>
      </c>
      <c r="P94" s="289">
        <f ca="1">IF(OR(AND($B95=0,P$2&gt;1),P$2=Prj_Len),O94,(OFFSET(P90,0,1)+OFFSET(P103,0,1)+OFFSET(P104,0,1))*$B95/Параметры!P$30)</f>
        <v>0</v>
      </c>
      <c r="Q94" s="289">
        <f ca="1">IF(OR(AND($B95=0,Q$2&gt;1),Q$2=Prj_Len),P94,(OFFSET(Q90,0,1)+OFFSET(Q103,0,1)+OFFSET(Q104,0,1))*$B95/Параметры!Q$30)</f>
        <v>0</v>
      </c>
      <c r="R94" s="289">
        <f ca="1">IF(OR(AND($B95=0,R$2&gt;1),R$2=Prj_Len),Q94,(OFFSET(R90,0,1)+OFFSET(R103,0,1)+OFFSET(R104,0,1))*$B95/Параметры!R$30)</f>
        <v>0</v>
      </c>
      <c r="S94" s="289">
        <f ca="1">IF(OR(AND($B95=0,S$2&gt;1),S$2=Prj_Len),R94,(OFFSET(S90,0,1)+OFFSET(S103,0,1)+OFFSET(S104,0,1))*$B95/Параметры!S$30)</f>
        <v>0</v>
      </c>
      <c r="T94" s="289">
        <f ca="1">IF(OR(AND($B95=0,T$2&gt;1),T$2=Prj_Len),S94,(OFFSET(T90,0,1)+OFFSET(T103,0,1)+OFFSET(T104,0,1))*$B95/Параметры!T$30)</f>
        <v>0</v>
      </c>
      <c r="U94" s="289">
        <f ca="1">IF(OR(AND($B95=0,U$2&gt;1),U$2=Prj_Len),T94,(OFFSET(U90,0,1)+OFFSET(U103,0,1)+OFFSET(U104,0,1))*$B95/Параметры!U$30)</f>
        <v>0</v>
      </c>
      <c r="V94" s="289">
        <f ca="1">IF(OR(AND($B95=0,V$2&gt;1),V$2=Prj_Len),U94,(OFFSET(V90,0,1)+OFFSET(V103,0,1)+OFFSET(V104,0,1))*$B95/Параметры!V$30)</f>
        <v>0</v>
      </c>
      <c r="W94" s="289">
        <f ca="1">IF(OR(AND($B95=0,W$2&gt;1),W$2=Prj_Len),V94,(OFFSET(W90,0,1)+OFFSET(W103,0,1)+OFFSET(W104,0,1))*$B95/Параметры!W$30)</f>
        <v>0</v>
      </c>
      <c r="X94" s="289">
        <f ca="1">IF(OR(AND($B95=0,X$2&gt;1),X$2=Prj_Len),W94,(OFFSET(X90,0,1)+OFFSET(X103,0,1)+OFFSET(X104,0,1))*$B95/Параметры!X$30)</f>
        <v>0</v>
      </c>
      <c r="Y94" s="289">
        <f ca="1">IF(OR(AND($B95=0,Y$2&gt;1),Y$2=Prj_Len),X94,(OFFSET(Y90,0,1)+OFFSET(Y103,0,1)+OFFSET(Y104,0,1))*$B95/Параметры!Y$30)</f>
        <v>0</v>
      </c>
      <c r="Z94" s="289">
        <f ca="1">IF(OR(AND($B95=0,Z$2&gt;1),Z$2=Prj_Len),Y94,(OFFSET(Z90,0,1)+OFFSET(Z103,0,1)+OFFSET(Z104,0,1))*$B95/Параметры!Z$30)</f>
        <v>0</v>
      </c>
      <c r="AA94" s="289">
        <f ca="1">IF(OR(AND($B95=0,AA$2&gt;1),AA$2=Prj_Len),Z94,(OFFSET(AA90,0,1)+OFFSET(AA103,0,1)+OFFSET(AA104,0,1))*$B95/Параметры!AA$30)</f>
        <v>0</v>
      </c>
      <c r="AB94" s="289">
        <f ca="1">IF(OR(AND($B95=0,AB$2&gt;1),AB$2=Prj_Len),AA94,(OFFSET(AB90,0,1)+OFFSET(AB103,0,1)+OFFSET(AB104,0,1))*$B95/Параметры!AB$30)</f>
        <v>0</v>
      </c>
      <c r="AC94" s="289">
        <f ca="1">IF(OR(AND($B95=0,AC$2&gt;1),AC$2=Prj_Len),AB94,(OFFSET(AC90,0,1)+OFFSET(AC103,0,1)+OFFSET(AC104,0,1))*$B95/Параметры!AC$30)</f>
        <v>0</v>
      </c>
      <c r="AD94" s="289">
        <f ca="1">IF(OR(AND($B95=0,AD$2&gt;1),AD$2=Prj_Len),AC94,(OFFSET(AD90,0,1)+OFFSET(AD103,0,1)+OFFSET(AD104,0,1))*$B95/Параметры!AD$30)</f>
        <v>0</v>
      </c>
      <c r="AE94" s="289">
        <f ca="1">IF(OR(AND($B95=0,AE$2&gt;1),AE$2=Prj_Len),AD94,(OFFSET(AE90,0,1)+OFFSET(AE103,0,1)+OFFSET(AE104,0,1))*$B95/Параметры!AE$30)</f>
        <v>0</v>
      </c>
      <c r="AF94" s="289">
        <f ca="1">IF(OR(AND($B95=0,AF$2&gt;1),AF$2=Prj_Len),AE94,(OFFSET(AF90,0,1)+OFFSET(AF103,0,1)+OFFSET(AF104,0,1))*$B95/Параметры!AF$30)</f>
        <v>0</v>
      </c>
      <c r="AG94" s="289">
        <f ca="1">IF(OR(AND($B95=0,AG$2&gt;1),AG$2=Prj_Len),AF94,(OFFSET(AG90,0,1)+OFFSET(AG103,0,1)+OFFSET(AG104,0,1))*$B95/Параметры!AG$30)</f>
        <v>0</v>
      </c>
      <c r="AH94" s="289">
        <f ca="1">IF(OR(AND($B95=0,AH$2&gt;1),AH$2=Prj_Len),AG94,(OFFSET(AH90,0,1)+OFFSET(AH103,0,1)+OFFSET(AH104,0,1))*$B95/Параметры!AH$30)</f>
        <v>0</v>
      </c>
      <c r="AI94" s="289">
        <f ca="1">IF(OR(AND($B95=0,AI$2&gt;1),AI$2=Prj_Len),AH94,(OFFSET(AI90,0,1)+OFFSET(AI103,0,1)+OFFSET(AI104,0,1))*$B95/Параметры!AI$30)</f>
        <v>0</v>
      </c>
      <c r="AJ94" s="289">
        <f ca="1">IF(OR(AND($B95=0,AJ$2&gt;1),AJ$2=Prj_Len),AI94,(OFFSET(AJ90,0,1)+OFFSET(AJ103,0,1)+OFFSET(AJ104,0,1))*$B95/Параметры!AJ$30)</f>
        <v>0</v>
      </c>
      <c r="AK94" s="289">
        <f ca="1">IF(OR(AND($B95=0,AK$2&gt;1),AK$2=Prj_Len),AJ94,(OFFSET(AK90,0,1)+OFFSET(AK103,0,1)+OFFSET(AK104,0,1))*$B95/Параметры!AK$30)</f>
        <v>0</v>
      </c>
      <c r="AL94" s="289">
        <f ca="1">IF(OR(AND($B95=0,AL$2&gt;1),AL$2=Prj_Len),AK94,(OFFSET(AL90,0,1)+OFFSET(AL103,0,1)+OFFSET(AL104,0,1))*$B95/Параметры!AL$30)</f>
        <v>0</v>
      </c>
      <c r="AM94" s="289">
        <f ca="1">IF(OR(AND($B95=0,AM$2&gt;1),AM$2=Prj_Len),AL94,(OFFSET(AM90,0,1)+OFFSET(AM103,0,1)+OFFSET(AM104,0,1))*$B95/Параметры!AM$30)</f>
        <v>0</v>
      </c>
      <c r="AN94" s="289">
        <f ca="1">IF(OR(AND($B95=0,AN$2&gt;1),AN$2=Prj_Len),AM94,(OFFSET(AN90,0,1)+OFFSET(AN103,0,1)+OFFSET(AN104,0,1))*$B95/Параметры!AN$30)</f>
        <v>0</v>
      </c>
      <c r="AO94" s="289">
        <f ca="1">IF(OR(AND($B95=0,AO$2&gt;1),AO$2=Prj_Len),AN94,(OFFSET(AO90,0,1)+OFFSET(AO103,0,1)+OFFSET(AO104,0,1))*$B95/Параметры!AO$30)</f>
        <v>0</v>
      </c>
      <c r="AP94" s="289">
        <f ca="1">IF(OR(AND($B95=0,AP$2&gt;1),AP$2=Prj_Len),AO94,(OFFSET(AP90,0,1)+OFFSET(AP103,0,1)+OFFSET(AP104,0,1))*$B95/Параметры!AP$30)</f>
        <v>0</v>
      </c>
      <c r="AQ94" s="289">
        <f ca="1">IF(OR(AND($B95=0,AQ$2&gt;1),AQ$2=Prj_Len),AP94,(OFFSET(AQ90,0,1)+OFFSET(AQ103,0,1)+OFFSET(AQ104,0,1))*$B95/Параметры!AQ$30)</f>
        <v>0</v>
      </c>
      <c r="AR94" s="289">
        <f ca="1">IF(OR(AND($B95=0,AR$2&gt;1),AR$2=Prj_Len),AQ94,(OFFSET(AR90,0,1)+OFFSET(AR103,0,1)+OFFSET(AR104,0,1))*$B95/Параметры!AR$30)</f>
        <v>0</v>
      </c>
      <c r="AS94" s="289">
        <f ca="1">IF(OR(AND($B95=0,AS$2&gt;1),AS$2=Prj_Len),AR94,(OFFSET(AS90,0,1)+OFFSET(AS103,0,1)+OFFSET(AS104,0,1))*$B95/Параметры!AS$30)</f>
        <v>0</v>
      </c>
      <c r="AT94" s="289">
        <f ca="1">IF(OR(AND($B95=0,AT$2&gt;1),AT$2=Prj_Len),AS94,(OFFSET(AT90,0,1)+OFFSET(AT103,0,1)+OFFSET(AT104,0,1))*$B95/Параметры!AT$30)</f>
        <v>0</v>
      </c>
      <c r="AU94" s="289">
        <f ca="1">IF(OR(AND($B95=0,AU$2&gt;1),AU$2=Prj_Len),AT94,(OFFSET(AU90,0,1)+OFFSET(AU103,0,1)+OFFSET(AU104,0,1))*$B95/Параметры!AU$30)</f>
        <v>0</v>
      </c>
      <c r="AV94" s="289">
        <f ca="1">IF(OR(AND($B95=0,AV$2&gt;1),AV$2=Prj_Len),AU94,(OFFSET(AV90,0,1)+OFFSET(AV103,0,1)+OFFSET(AV104,0,1))*$B95/Параметры!AV$30)</f>
        <v>0</v>
      </c>
      <c r="AW94" s="289">
        <f ca="1">IF(OR(AND($B95=0,AW$2&gt;1),AW$2=Prj_Len),AV94,(OFFSET(AW90,0,1)+OFFSET(AW103,0,1)+OFFSET(AW104,0,1))*$B95/Параметры!AW$30)</f>
        <v>0</v>
      </c>
      <c r="AX94" s="289">
        <f ca="1">IF(OR(AND($B95=0,AX$2&gt;1),AX$2=Prj_Len),AW94,(OFFSET(AX90,0,1)+OFFSET(AX103,0,1)+OFFSET(AX104,0,1))*$B95/Параметры!AX$30)</f>
        <v>0</v>
      </c>
      <c r="AY94" s="289">
        <f ca="1">IF(OR(AND($B95=0,AY$2&gt;1),AY$2=Prj_Len),AX94,(OFFSET(AY90,0,1)+OFFSET(AY103,0,1)+OFFSET(AY104,0,1))*$B95/Параметры!AY$30)</f>
        <v>0</v>
      </c>
      <c r="AZ94" s="289">
        <f ca="1">IF(OR(AND($B95=0,AZ$2&gt;1),AZ$2=Prj_Len),AY94,(OFFSET(AZ90,0,1)+OFFSET(AZ103,0,1)+OFFSET(AZ104,0,1))*$B95/Параметры!AZ$30)</f>
        <v>0</v>
      </c>
      <c r="BA94" s="289">
        <f ca="1">IF(OR(AND($B95=0,BA$2&gt;1),BA$2=Prj_Len),AZ94,(OFFSET(BA90,0,1)+OFFSET(BA103,0,1)+OFFSET(BA104,0,1))*$B95/Параметры!BA$30)</f>
        <v>0</v>
      </c>
      <c r="BB94" s="289">
        <f ca="1">IF(OR(AND($B95=0,BB$2&gt;1),BB$2=Prj_Len),BA94,(OFFSET(BB90,0,1)+OFFSET(BB103,0,1)+OFFSET(BB104,0,1))*$B95/Параметры!BB$30)</f>
        <v>0</v>
      </c>
      <c r="BC94" s="188"/>
      <c r="BD94" s="186"/>
    </row>
    <row r="95" spans="1:56" s="170" customFormat="1" hidden="1" outlineLevel="1" x14ac:dyDescent="0.3">
      <c r="A95" s="187" t="str">
        <f ca="1">Language!A$612</f>
        <v>средний период предоплаты</v>
      </c>
      <c r="B95" s="288">
        <f ca="1">$B$579</f>
        <v>0</v>
      </c>
      <c r="C95" s="163" t="str">
        <f ca="1">Language!$A$1474</f>
        <v>дней</v>
      </c>
      <c r="F95" s="170" t="s">
        <v>2347</v>
      </c>
      <c r="G95" s="185"/>
      <c r="H95" s="185"/>
      <c r="I95" s="185"/>
      <c r="J95" s="185"/>
      <c r="K95" s="185"/>
      <c r="L95" s="185"/>
      <c r="M95" s="185"/>
      <c r="N95" s="185"/>
      <c r="O95" s="185"/>
      <c r="P95" s="185"/>
      <c r="Q95" s="185"/>
      <c r="R95" s="185"/>
      <c r="S95" s="185"/>
      <c r="T95" s="185"/>
      <c r="U95" s="185"/>
      <c r="V95" s="185"/>
      <c r="W95" s="185"/>
      <c r="X95" s="185"/>
      <c r="Y95" s="185"/>
      <c r="Z95" s="185"/>
      <c r="AA95" s="185"/>
      <c r="AB95" s="185"/>
      <c r="AC95" s="185"/>
      <c r="AD95" s="185"/>
      <c r="AE95" s="185"/>
      <c r="AF95" s="185"/>
      <c r="AG95" s="185"/>
      <c r="AH95" s="185"/>
      <c r="AI95" s="185"/>
      <c r="AJ95" s="185"/>
      <c r="AK95" s="185"/>
      <c r="AL95" s="185"/>
      <c r="AM95" s="185"/>
      <c r="AN95" s="185"/>
      <c r="AO95" s="185"/>
      <c r="AP95" s="185"/>
      <c r="AQ95" s="185"/>
      <c r="AR95" s="185"/>
      <c r="AS95" s="185"/>
      <c r="AT95" s="185"/>
      <c r="AU95" s="185"/>
      <c r="AV95" s="185"/>
      <c r="AW95" s="185"/>
      <c r="AX95" s="185"/>
      <c r="AY95" s="185"/>
      <c r="AZ95" s="185"/>
      <c r="BA95" s="185"/>
      <c r="BB95" s="185"/>
      <c r="BC95" s="185"/>
      <c r="BD95" s="186"/>
    </row>
    <row r="96" spans="1:56" s="173" customFormat="1" hidden="1" outlineLevel="1" x14ac:dyDescent="0.3">
      <c r="A96" s="181" t="str">
        <f ca="1">Language!A$613</f>
        <v>поступление денежных средств, с НДС</v>
      </c>
      <c r="B96" s="176"/>
      <c r="C96" s="176" t="str">
        <f ca="1">CHOOSE(D96,CurName1,CurName2,CurName3)</f>
        <v>руб.</v>
      </c>
      <c r="D96" s="174">
        <f>D86</f>
        <v>1</v>
      </c>
      <c r="E96" s="170" t="s">
        <v>993</v>
      </c>
      <c r="F96" s="170" t="s">
        <v>740</v>
      </c>
      <c r="G96" s="182">
        <f ca="1">G90+G103+G104-IF(G$2=1,G92,G92-F92)+IF(G$2=1,G94,G94-F94)</f>
        <v>0</v>
      </c>
      <c r="H96" s="182">
        <f t="shared" ref="H96" ca="1" si="554">H90+H103+H104-IF(H$2=1,H92,H92-G92)+IF(H$2=1,H94,H94-G94)</f>
        <v>0</v>
      </c>
      <c r="I96" s="182">
        <f t="shared" ref="I96" ca="1" si="555">I90+I103+I104-IF(I$2=1,I92,I92-H92)+IF(I$2=1,I94,I94-H94)</f>
        <v>0</v>
      </c>
      <c r="J96" s="182">
        <f t="shared" ref="J96" ca="1" si="556">J90+J103+J104-IF(J$2=1,J92,J92-I92)+IF(J$2=1,J94,J94-I94)</f>
        <v>0</v>
      </c>
      <c r="K96" s="182">
        <f t="shared" ref="K96" ca="1" si="557">K90+K103+K104-IF(K$2=1,K92,K92-J92)+IF(K$2=1,K94,K94-J94)</f>
        <v>0</v>
      </c>
      <c r="L96" s="182">
        <f t="shared" ref="L96" ca="1" si="558">L90+L103+L104-IF(L$2=1,L92,L92-K92)+IF(L$2=1,L94,L94-K94)</f>
        <v>0</v>
      </c>
      <c r="M96" s="182">
        <f t="shared" ref="M96" ca="1" si="559">M90+M103+M104-IF(M$2=1,M92,M92-L92)+IF(M$2=1,M94,M94-L94)</f>
        <v>197676.09870695043</v>
      </c>
      <c r="N96" s="182">
        <f t="shared" ref="N96" ca="1" si="560">N90+N103+N104-IF(N$2=1,N92,N92-M92)+IF(N$2=1,N94,N94-M94)</f>
        <v>363689.11217076366</v>
      </c>
      <c r="O96" s="182">
        <f t="shared" ref="O96" ca="1" si="561">O90+O103+O104-IF(O$2=1,O92,O92-N92)+IF(O$2=1,O94,O94-N94)</f>
        <v>465100.82985593972</v>
      </c>
      <c r="P96" s="182">
        <f t="shared" ref="P96" ca="1" si="562">P90+P103+P104-IF(P$2=1,P92,P92-O92)+IF(P$2=1,P94,P94-O94)</f>
        <v>567491.18396484177</v>
      </c>
      <c r="Q96" s="182">
        <f t="shared" ref="Q96" ca="1" si="563">Q90+Q103+Q104-IF(Q$2=1,Q92,Q92-P92)+IF(Q$2=1,Q94,Q94-P94)</f>
        <v>603682.93722660991</v>
      </c>
      <c r="R96" s="182">
        <f t="shared" ref="R96" ca="1" si="564">R90+R103+R104-IF(R$2=1,R92,R92-Q92)+IF(R$2=1,R94,R94-Q94)</f>
        <v>606621.39444899524</v>
      </c>
      <c r="S96" s="182">
        <f t="shared" ref="S96" ca="1" si="565">S90+S103+S104-IF(S$2=1,S92,S92-R92)+IF(S$2=1,S94,S94-R94)</f>
        <v>745254.15476049471</v>
      </c>
      <c r="T96" s="182">
        <f t="shared" ref="T96" ca="1" si="566">T90+T103+T104-IF(T$2=1,T92,T92-S92)+IF(T$2=1,T94,T94-S94)</f>
        <v>748551.50241247052</v>
      </c>
      <c r="U96" s="182">
        <f t="shared" ref="U96" ca="1" si="567">U90+U103+U104-IF(U$2=1,U92,U92-T92)+IF(U$2=1,U94,U94-T94)</f>
        <v>649607.9707889338</v>
      </c>
      <c r="V96" s="182">
        <f t="shared" ref="V96" ca="1" si="568">V90+V103+V104-IF(V$2=1,V92,V92-U92)+IF(V$2=1,V94,V94-U94)</f>
        <v>618518.95213584066</v>
      </c>
      <c r="W96" s="182">
        <f t="shared" ref="W96" ca="1" si="569">W90+W103+W104-IF(W$2=1,W92,W92-V92)+IF(W$2=1,W94,W94-V94)</f>
        <v>552359.09053786169</v>
      </c>
      <c r="X96" s="182">
        <f t="shared" ref="X96" ca="1" si="570">X90+X103+X104-IF(X$2=1,X92,X92-W92)+IF(X$2=1,X94,X94-W94)</f>
        <v>728984.13423786731</v>
      </c>
      <c r="Y96" s="182">
        <f t="shared" ref="Y96" ca="1" si="571">Y90+Y103+Y104-IF(Y$2=1,Y92,Y92-X92)+IF(Y$2=1,Y94,Y94-X94)</f>
        <v>976484.44854208827</v>
      </c>
      <c r="Z96" s="182">
        <f t="shared" ref="Z96" ca="1" si="572">Z90+Z103+Z104-IF(Z$2=1,Z92,Z92-Y92)+IF(Z$2=1,Z94,Z94-Y94)</f>
        <v>1051083.0908480939</v>
      </c>
      <c r="AA96" s="182">
        <f t="shared" ref="AA96" ca="1" si="573">AA90+AA103+AA104-IF(AA$2=1,AA92,AA92-Z92)+IF(AA$2=1,AA94,AA94-Z94)</f>
        <v>844617.80112869409</v>
      </c>
      <c r="AB96" s="182">
        <f t="shared" ref="AB96" ca="1" si="574">AB90+AB103+AB104-IF(AB$2=1,AB92,AB92-AA92)+IF(AB$2=1,AB94,AB94-AA94)</f>
        <v>601197.36046928144</v>
      </c>
      <c r="AC96" s="182">
        <f t="shared" ref="AC96" ca="1" si="575">AC90+AC103+AC104-IF(AC$2=1,AC92,AC92-AB92)+IF(AC$2=1,AC94,AC94-AB94)</f>
        <v>533253.26121683896</v>
      </c>
      <c r="AD96" s="182">
        <f t="shared" ref="AD96" ca="1" si="576">AD90+AD103+AD104-IF(AD$2=1,AD92,AD92-AC92)+IF(AD$2=1,AD94,AD94-AC94)</f>
        <v>607410.96644532064</v>
      </c>
      <c r="AE96" s="182">
        <f t="shared" ref="AE96" ca="1" si="577">AE90+AE103+AE104-IF(AE$2=1,AE92,AE92-AD92)+IF(AE$2=1,AE94,AE94-AD94)</f>
        <v>789969.40404612455</v>
      </c>
      <c r="AF96" s="182">
        <f t="shared" ref="AF96" ca="1" si="578">AF90+AF103+AF104-IF(AF$2=1,AF92,AF92-AE92)+IF(AF$2=1,AF94,AF94-AE94)</f>
        <v>793464.59255721897</v>
      </c>
      <c r="AG96" s="182">
        <f t="shared" ref="AG96" ca="1" si="579">AG90+AG103+AG104-IF(AG$2=1,AG92,AG92-AF92)+IF(AG$2=1,AG94,AG94-AF94)</f>
        <v>688584.44903627015</v>
      </c>
      <c r="AH96" s="182">
        <f t="shared" ref="AH96" ca="1" si="580">AH90+AH103+AH104-IF(AH$2=1,AH92,AH92-AG92)+IF(AH$2=1,AH94,AH94-AG94)</f>
        <v>655630.08926399122</v>
      </c>
      <c r="AI96" s="182">
        <f t="shared" ref="AI96" ca="1" si="581">AI90+AI103+AI104-IF(AI$2=1,AI92,AI92-AH92)+IF(AI$2=1,AI94,AI94-AH94)</f>
        <v>585500.63597013347</v>
      </c>
      <c r="AJ96" s="182">
        <f t="shared" ref="AJ96" ca="1" si="582">AJ90+AJ103+AJ104-IF(AJ$2=1,AJ92,AJ92-AI92)+IF(AJ$2=1,AJ94,AJ94-AI94)</f>
        <v>772723.18229213939</v>
      </c>
      <c r="AK96" s="182">
        <f t="shared" ref="AK96" ca="1" si="583">AK90+AK103+AK104-IF(AK$2=1,AK92,AK92-AJ92)+IF(AK$2=1,AK94,AK94-AJ94)</f>
        <v>1035073.5154546136</v>
      </c>
      <c r="AL96" s="182">
        <f t="shared" ref="AL96" ca="1" si="584">AL90+AL103+AL104-IF(AL$2=1,AL92,AL92-AK92)+IF(AL$2=1,AL94,AL94-AK94)</f>
        <v>1114148.0762989798</v>
      </c>
      <c r="AM96" s="182">
        <f t="shared" ref="AM96" ca="1" si="585">AM90+AM103+AM104-IF(AM$2=1,AM92,AM92-AL92)+IF(AM$2=1,AM94,AM94-AL94)</f>
        <v>895294.86919641588</v>
      </c>
      <c r="AN96" s="182">
        <f t="shared" ref="AN96" ca="1" si="586">AN90+AN103+AN104-IF(AN$2=1,AN92,AN92-AM92)+IF(AN$2=1,AN94,AN94-AM94)</f>
        <v>637269.20209743851</v>
      </c>
      <c r="AO96" s="182">
        <f t="shared" ref="AO96" ca="1" si="587">AO90+AO103+AO104-IF(AO$2=1,AO92,AO92-AN92)+IF(AO$2=1,AO94,AO94-AN94)</f>
        <v>565248.45688984939</v>
      </c>
      <c r="AP96" s="182">
        <f t="shared" ref="AP96" ca="1" si="588">AP90+AP103+AP104-IF(AP$2=1,AP92,AP92-AO92)+IF(AP$2=1,AP94,AP94-AO94)</f>
        <v>643855.62443204015</v>
      </c>
      <c r="AQ96" s="182">
        <f t="shared" ref="AQ96" ca="1" si="589">AQ90+AQ103+AQ104-IF(AQ$2=1,AQ92,AQ92-AP92)+IF(AQ$2=1,AQ94,AQ94-AP94)</f>
        <v>837367.56828889251</v>
      </c>
      <c r="AR96" s="182">
        <f t="shared" ref="AR96" ca="1" si="590">AR90+AR103+AR104-IF(AR$2=1,AR92,AR92-AQ92)+IF(AR$2=1,AR94,AR94-AQ94)</f>
        <v>841072.46811065241</v>
      </c>
      <c r="AS96" s="182">
        <f t="shared" ref="AS96" ca="1" si="591">AS90+AS103+AS104-IF(AS$2=1,AS92,AS92-AR92)+IF(AS$2=1,AS94,AS94-AR94)</f>
        <v>729899.51597844646</v>
      </c>
      <c r="AT96" s="182">
        <f t="shared" ref="AT96" ca="1" si="592">AT90+AT103+AT104-IF(AT$2=1,AT92,AT92-AS92)+IF(AT$2=1,AT94,AT94-AS94)</f>
        <v>694967.89461983088</v>
      </c>
      <c r="AU96" s="182">
        <f t="shared" ref="AU96" ca="1" si="593">AU90+AU103+AU104-IF(AU$2=1,AU92,AU92-AT92)+IF(AU$2=1,AU94,AU94-AT94)</f>
        <v>620630.67412834184</v>
      </c>
      <c r="AV96" s="182">
        <f t="shared" ref="AV96" ca="1" si="594">AV90+AV103+AV104-IF(AV$2=1,AV92,AV92-AU92)+IF(AV$2=1,AV94,AV94-AU94)</f>
        <v>819086.5732296682</v>
      </c>
      <c r="AW96" s="182">
        <f t="shared" ref="AW96" ca="1" si="595">AW90+AW103+AW104-IF(AW$2=1,AW92,AW92-AV92)+IF(AW$2=1,AW94,AW94-AV94)</f>
        <v>1097177.9263818911</v>
      </c>
      <c r="AX96" s="182">
        <f t="shared" ref="AX96" ca="1" si="596">AX90+AX103+AX104-IF(AX$2=1,AX92,AX92-AW92)+IF(AX$2=1,AX94,AX94-AW94)</f>
        <v>1180996.9608769191</v>
      </c>
      <c r="AY96" s="182">
        <f t="shared" ref="AY96" ca="1" si="597">AY90+AY103+AY104-IF(AY$2=1,AY92,AY92-AX92)+IF(AY$2=1,AY94,AY94-AX94)</f>
        <v>949012.56134820124</v>
      </c>
      <c r="AZ96" s="182">
        <f t="shared" ref="AZ96" ca="1" si="598">AZ90+AZ103+AZ104-IF(AZ$2=1,AZ92,AZ92-AY92)+IF(AZ$2=1,AZ94,AZ94-AY94)</f>
        <v>675505.35422328522</v>
      </c>
      <c r="BA96" s="182">
        <f t="shared" ref="BA96" ca="1" si="599">BA90+BA103+BA104-IF(BA$2=1,BA92,BA92-AZ92)+IF(BA$2=1,BA94,BA94-AZ94)</f>
        <v>599163.36430324055</v>
      </c>
      <c r="BB96" s="182">
        <f t="shared" ref="BB96" ca="1" si="600">BB90+BB103+BB104-IF(BB$2=1,BB92,BB92-BA92)+IF(BB$2=1,BB94,BB94-BA94)</f>
        <v>682486.96189796273</v>
      </c>
      <c r="BC96" s="182"/>
      <c r="BD96" s="183">
        <f ca="1">SUM(G96:BC96)</f>
        <v>30365714.210820429</v>
      </c>
    </row>
    <row r="97" spans="1:56" hidden="1" outlineLevel="1" x14ac:dyDescent="0.3">
      <c r="A97" s="184" t="str">
        <f ca="1">Language!A$614</f>
        <v>темп изменения цен</v>
      </c>
      <c r="B97" s="189"/>
      <c r="C97" s="163" t="str">
        <f ca="1">Language!$A$480</f>
        <v>% в год</v>
      </c>
      <c r="D97" s="174"/>
      <c r="F97" s="170" t="s">
        <v>2346</v>
      </c>
      <c r="G97" s="290">
        <f>CHOOSE($D86,Параметры!G$47,Параметры!G$56,Параметры!G$62)</f>
        <v>0.06</v>
      </c>
      <c r="H97" s="290">
        <f>CHOOSE($D86,Параметры!H$47,Параметры!H$56,Параметры!H$62)</f>
        <v>0.06</v>
      </c>
      <c r="I97" s="290">
        <f>CHOOSE($D86,Параметры!I$47,Параметры!I$56,Параметры!I$62)</f>
        <v>0.06</v>
      </c>
      <c r="J97" s="290">
        <f>CHOOSE($D86,Параметры!J$47,Параметры!J$56,Параметры!J$62)</f>
        <v>0.06</v>
      </c>
      <c r="K97" s="290">
        <f>CHOOSE($D86,Параметры!K$47,Параметры!K$56,Параметры!K$62)</f>
        <v>0.06</v>
      </c>
      <c r="L97" s="290">
        <f>CHOOSE($D86,Параметры!L$47,Параметры!L$56,Параметры!L$62)</f>
        <v>0.06</v>
      </c>
      <c r="M97" s="290">
        <f>CHOOSE($D86,Параметры!M$47,Параметры!M$56,Параметры!M$62)</f>
        <v>0.06</v>
      </c>
      <c r="N97" s="290">
        <f>CHOOSE($D86,Параметры!N$47,Параметры!N$56,Параметры!N$62)</f>
        <v>0.06</v>
      </c>
      <c r="O97" s="290">
        <f>CHOOSE($D86,Параметры!O$47,Параметры!O$56,Параметры!O$62)</f>
        <v>0.06</v>
      </c>
      <c r="P97" s="290">
        <f>CHOOSE($D86,Параметры!P$47,Параметры!P$56,Параметры!P$62)</f>
        <v>0.06</v>
      </c>
      <c r="Q97" s="290">
        <f>CHOOSE($D86,Параметры!Q$47,Параметры!Q$56,Параметры!Q$62)</f>
        <v>0.06</v>
      </c>
      <c r="R97" s="290">
        <f>CHOOSE($D86,Параметры!R$47,Параметры!R$56,Параметры!R$62)</f>
        <v>0.06</v>
      </c>
      <c r="S97" s="290">
        <f>CHOOSE($D86,Параметры!S$47,Параметры!S$56,Параметры!S$62)</f>
        <v>0.06</v>
      </c>
      <c r="T97" s="290">
        <f>CHOOSE($D86,Параметры!T$47,Параметры!T$56,Параметры!T$62)</f>
        <v>0.06</v>
      </c>
      <c r="U97" s="290">
        <f>CHOOSE($D86,Параметры!U$47,Параметры!U$56,Параметры!U$62)</f>
        <v>0.06</v>
      </c>
      <c r="V97" s="290">
        <f>CHOOSE($D86,Параметры!V$47,Параметры!V$56,Параметры!V$62)</f>
        <v>0.06</v>
      </c>
      <c r="W97" s="290">
        <f>CHOOSE($D86,Параметры!W$47,Параметры!W$56,Параметры!W$62)</f>
        <v>0.06</v>
      </c>
      <c r="X97" s="290">
        <f>CHOOSE($D86,Параметры!X$47,Параметры!X$56,Параметры!X$62)</f>
        <v>0.06</v>
      </c>
      <c r="Y97" s="290">
        <f>CHOOSE($D86,Параметры!Y$47,Параметры!Y$56,Параметры!Y$62)</f>
        <v>0.06</v>
      </c>
      <c r="Z97" s="290">
        <f>CHOOSE($D86,Параметры!Z$47,Параметры!Z$56,Параметры!Z$62)</f>
        <v>0.06</v>
      </c>
      <c r="AA97" s="290">
        <f>CHOOSE($D86,Параметры!AA$47,Параметры!AA$56,Параметры!AA$62)</f>
        <v>0.06</v>
      </c>
      <c r="AB97" s="290">
        <f>CHOOSE($D86,Параметры!AB$47,Параметры!AB$56,Параметры!AB$62)</f>
        <v>0.06</v>
      </c>
      <c r="AC97" s="290">
        <f>CHOOSE($D86,Параметры!AC$47,Параметры!AC$56,Параметры!AC$62)</f>
        <v>0.06</v>
      </c>
      <c r="AD97" s="290">
        <f>CHOOSE($D86,Параметры!AD$47,Параметры!AD$56,Параметры!AD$62)</f>
        <v>0.06</v>
      </c>
      <c r="AE97" s="290">
        <f>CHOOSE($D86,Параметры!AE$47,Параметры!AE$56,Параметры!AE$62)</f>
        <v>0.06</v>
      </c>
      <c r="AF97" s="290">
        <f>CHOOSE($D86,Параметры!AF$47,Параметры!AF$56,Параметры!AF$62)</f>
        <v>0.06</v>
      </c>
      <c r="AG97" s="290">
        <f>CHOOSE($D86,Параметры!AG$47,Параметры!AG$56,Параметры!AG$62)</f>
        <v>0.06</v>
      </c>
      <c r="AH97" s="290">
        <f>CHOOSE($D86,Параметры!AH$47,Параметры!AH$56,Параметры!AH$62)</f>
        <v>0.06</v>
      </c>
      <c r="AI97" s="290">
        <f>CHOOSE($D86,Параметры!AI$47,Параметры!AI$56,Параметры!AI$62)</f>
        <v>0.06</v>
      </c>
      <c r="AJ97" s="290">
        <f>CHOOSE($D86,Параметры!AJ$47,Параметры!AJ$56,Параметры!AJ$62)</f>
        <v>0.06</v>
      </c>
      <c r="AK97" s="290">
        <f>CHOOSE($D86,Параметры!AK$47,Параметры!AK$56,Параметры!AK$62)</f>
        <v>0.06</v>
      </c>
      <c r="AL97" s="290">
        <f>CHOOSE($D86,Параметры!AL$47,Параметры!AL$56,Параметры!AL$62)</f>
        <v>0.06</v>
      </c>
      <c r="AM97" s="290">
        <f>CHOOSE($D86,Параметры!AM$47,Параметры!AM$56,Параметры!AM$62)</f>
        <v>0.06</v>
      </c>
      <c r="AN97" s="290">
        <f>CHOOSE($D86,Параметры!AN$47,Параметры!AN$56,Параметры!AN$62)</f>
        <v>0.06</v>
      </c>
      <c r="AO97" s="290">
        <f>CHOOSE($D86,Параметры!AO$47,Параметры!AO$56,Параметры!AO$62)</f>
        <v>0.06</v>
      </c>
      <c r="AP97" s="290">
        <f>CHOOSE($D86,Параметры!AP$47,Параметры!AP$56,Параметры!AP$62)</f>
        <v>0.06</v>
      </c>
      <c r="AQ97" s="290">
        <f>CHOOSE($D86,Параметры!AQ$47,Параметры!AQ$56,Параметры!AQ$62)</f>
        <v>0.06</v>
      </c>
      <c r="AR97" s="290">
        <f>CHOOSE($D86,Параметры!AR$47,Параметры!AR$56,Параметры!AR$62)</f>
        <v>0.06</v>
      </c>
      <c r="AS97" s="290">
        <f>CHOOSE($D86,Параметры!AS$47,Параметры!AS$56,Параметры!AS$62)</f>
        <v>0.06</v>
      </c>
      <c r="AT97" s="290">
        <f>CHOOSE($D86,Параметры!AT$47,Параметры!AT$56,Параметры!AT$62)</f>
        <v>0.06</v>
      </c>
      <c r="AU97" s="290">
        <f>CHOOSE($D86,Параметры!AU$47,Параметры!AU$56,Параметры!AU$62)</f>
        <v>0.06</v>
      </c>
      <c r="AV97" s="290">
        <f>CHOOSE($D86,Параметры!AV$47,Параметры!AV$56,Параметры!AV$62)</f>
        <v>0.06</v>
      </c>
      <c r="AW97" s="290">
        <f>CHOOSE($D86,Параметры!AW$47,Параметры!AW$56,Параметры!AW$62)</f>
        <v>0.06</v>
      </c>
      <c r="AX97" s="290">
        <f>CHOOSE($D86,Параметры!AX$47,Параметры!AX$56,Параметры!AX$62)</f>
        <v>0.06</v>
      </c>
      <c r="AY97" s="290">
        <f>CHOOSE($D86,Параметры!AY$47,Параметры!AY$56,Параметры!AY$62)</f>
        <v>0.06</v>
      </c>
      <c r="AZ97" s="290">
        <f>CHOOSE($D86,Параметры!AZ$47,Параметры!AZ$56,Параметры!AZ$62)</f>
        <v>0.06</v>
      </c>
      <c r="BA97" s="290">
        <f>CHOOSE($D86,Параметры!BA$47,Параметры!BA$56,Параметры!BA$62)</f>
        <v>0.06</v>
      </c>
      <c r="BB97" s="290">
        <f>CHOOSE($D86,Параметры!BB$47,Параметры!BB$56,Параметры!BB$62)</f>
        <v>0.06</v>
      </c>
      <c r="BC97" s="190"/>
      <c r="BD97" s="186"/>
    </row>
    <row r="98" spans="1:56" hidden="1" outlineLevel="1" x14ac:dyDescent="0.3">
      <c r="A98" s="184" t="str">
        <f ca="1">Language!A$615</f>
        <v>ставка НДС</v>
      </c>
      <c r="B98" s="189"/>
      <c r="C98" s="163" t="s">
        <v>1</v>
      </c>
      <c r="D98" s="174"/>
      <c r="F98" s="170" t="s">
        <v>2346</v>
      </c>
      <c r="G98" s="290">
        <f>IF(G$2=1,Параметры!G$72,IF(F98=Параметры!F$72,Параметры!F$72,F98))</f>
        <v>0</v>
      </c>
      <c r="H98" s="290">
        <f>IF(H$2=1,Параметры!H$72,IF(G98=Параметры!G$72,Параметры!G$72,G98))</f>
        <v>0</v>
      </c>
      <c r="I98" s="290">
        <f>IF(I$2=1,Параметры!I$72,IF(H98=Параметры!H$72,Параметры!H$72,H98))</f>
        <v>0</v>
      </c>
      <c r="J98" s="290">
        <f>IF(J$2=1,Параметры!J$72,IF(I98=Параметры!I$72,Параметры!I$72,I98))</f>
        <v>0</v>
      </c>
      <c r="K98" s="290">
        <f>IF(K$2=1,Параметры!K$72,IF(J98=Параметры!J$72,Параметры!J$72,J98))</f>
        <v>0</v>
      </c>
      <c r="L98" s="290">
        <f>IF(L$2=1,Параметры!L$72,IF(K98=Параметры!K$72,Параметры!K$72,K98))</f>
        <v>0</v>
      </c>
      <c r="M98" s="290">
        <f>IF(M$2=1,Параметры!M$72,IF(L98=Параметры!L$72,Параметры!L$72,L98))</f>
        <v>0</v>
      </c>
      <c r="N98" s="290">
        <f>IF(N$2=1,Параметры!N$72,IF(M98=Параметры!M$72,Параметры!M$72,M98))</f>
        <v>0</v>
      </c>
      <c r="O98" s="290">
        <f>IF(O$2=1,Параметры!O$72,IF(N98=Параметры!N$72,Параметры!N$72,N98))</f>
        <v>0</v>
      </c>
      <c r="P98" s="290">
        <f>IF(P$2=1,Параметры!P$72,IF(O98=Параметры!O$72,Параметры!O$72,O98))</f>
        <v>0</v>
      </c>
      <c r="Q98" s="290">
        <f>IF(Q$2=1,Параметры!Q$72,IF(P98=Параметры!P$72,Параметры!P$72,P98))</f>
        <v>0</v>
      </c>
      <c r="R98" s="290">
        <f>IF(R$2=1,Параметры!R$72,IF(Q98=Параметры!Q$72,Параметры!Q$72,Q98))</f>
        <v>0</v>
      </c>
      <c r="S98" s="290">
        <f>IF(S$2=1,Параметры!S$72,IF(R98=Параметры!R$72,Параметры!R$72,R98))</f>
        <v>0</v>
      </c>
      <c r="T98" s="290">
        <f>IF(T$2=1,Параметры!T$72,IF(S98=Параметры!S$72,Параметры!S$72,S98))</f>
        <v>0</v>
      </c>
      <c r="U98" s="290">
        <f>IF(U$2=1,Параметры!U$72,IF(T98=Параметры!T$72,Параметры!T$72,T98))</f>
        <v>0</v>
      </c>
      <c r="V98" s="290">
        <f>IF(V$2=1,Параметры!V$72,IF(U98=Параметры!U$72,Параметры!U$72,U98))</f>
        <v>0</v>
      </c>
      <c r="W98" s="290">
        <f>IF(W$2=1,Параметры!W$72,IF(V98=Параметры!V$72,Параметры!V$72,V98))</f>
        <v>0</v>
      </c>
      <c r="X98" s="290">
        <f>IF(X$2=1,Параметры!X$72,IF(W98=Параметры!W$72,Параметры!W$72,W98))</f>
        <v>0</v>
      </c>
      <c r="Y98" s="290">
        <f>IF(Y$2=1,Параметры!Y$72,IF(X98=Параметры!X$72,Параметры!X$72,X98))</f>
        <v>0</v>
      </c>
      <c r="Z98" s="290">
        <f>IF(Z$2=1,Параметры!Z$72,IF(Y98=Параметры!Y$72,Параметры!Y$72,Y98))</f>
        <v>0</v>
      </c>
      <c r="AA98" s="290">
        <f>IF(AA$2=1,Параметры!AA$72,IF(Z98=Параметры!Z$72,Параметры!Z$72,Z98))</f>
        <v>0</v>
      </c>
      <c r="AB98" s="290">
        <f>IF(AB$2=1,Параметры!AB$72,IF(AA98=Параметры!AA$72,Параметры!AA$72,AA98))</f>
        <v>0</v>
      </c>
      <c r="AC98" s="290">
        <f>IF(AC$2=1,Параметры!AC$72,IF(AB98=Параметры!AB$72,Параметры!AB$72,AB98))</f>
        <v>0</v>
      </c>
      <c r="AD98" s="290">
        <f>IF(AD$2=1,Параметры!AD$72,IF(AC98=Параметры!AC$72,Параметры!AC$72,AC98))</f>
        <v>0</v>
      </c>
      <c r="AE98" s="290">
        <f>IF(AE$2=1,Параметры!AE$72,IF(AD98=Параметры!AD$72,Параметры!AD$72,AD98))</f>
        <v>0</v>
      </c>
      <c r="AF98" s="290">
        <f>IF(AF$2=1,Параметры!AF$72,IF(AE98=Параметры!AE$72,Параметры!AE$72,AE98))</f>
        <v>0</v>
      </c>
      <c r="AG98" s="290">
        <f>IF(AG$2=1,Параметры!AG$72,IF(AF98=Параметры!AF$72,Параметры!AF$72,AF98))</f>
        <v>0</v>
      </c>
      <c r="AH98" s="290">
        <f>IF(AH$2=1,Параметры!AH$72,IF(AG98=Параметры!AG$72,Параметры!AG$72,AG98))</f>
        <v>0</v>
      </c>
      <c r="AI98" s="290">
        <f>IF(AI$2=1,Параметры!AI$72,IF(AH98=Параметры!AH$72,Параметры!AH$72,AH98))</f>
        <v>0</v>
      </c>
      <c r="AJ98" s="290">
        <f>IF(AJ$2=1,Параметры!AJ$72,IF(AI98=Параметры!AI$72,Параметры!AI$72,AI98))</f>
        <v>0</v>
      </c>
      <c r="AK98" s="290">
        <f>IF(AK$2=1,Параметры!AK$72,IF(AJ98=Параметры!AJ$72,Параметры!AJ$72,AJ98))</f>
        <v>0</v>
      </c>
      <c r="AL98" s="290">
        <f>IF(AL$2=1,Параметры!AL$72,IF(AK98=Параметры!AK$72,Параметры!AK$72,AK98))</f>
        <v>0</v>
      </c>
      <c r="AM98" s="290">
        <f>IF(AM$2=1,Параметры!AM$72,IF(AL98=Параметры!AL$72,Параметры!AL$72,AL98))</f>
        <v>0</v>
      </c>
      <c r="AN98" s="290">
        <f>IF(AN$2=1,Параметры!AN$72,IF(AM98=Параметры!AM$72,Параметры!AM$72,AM98))</f>
        <v>0</v>
      </c>
      <c r="AO98" s="290">
        <f>IF(AO$2=1,Параметры!AO$72,IF(AN98=Параметры!AN$72,Параметры!AN$72,AN98))</f>
        <v>0</v>
      </c>
      <c r="AP98" s="290">
        <f>IF(AP$2=1,Параметры!AP$72,IF(AO98=Параметры!AO$72,Параметры!AO$72,AO98))</f>
        <v>0</v>
      </c>
      <c r="AQ98" s="290">
        <f>IF(AQ$2=1,Параметры!AQ$72,IF(AP98=Параметры!AP$72,Параметры!AP$72,AP98))</f>
        <v>0</v>
      </c>
      <c r="AR98" s="290">
        <f>IF(AR$2=1,Параметры!AR$72,IF(AQ98=Параметры!AQ$72,Параметры!AQ$72,AQ98))</f>
        <v>0</v>
      </c>
      <c r="AS98" s="290">
        <f>IF(AS$2=1,Параметры!AS$72,IF(AR98=Параметры!AR$72,Параметры!AR$72,AR98))</f>
        <v>0</v>
      </c>
      <c r="AT98" s="290">
        <f>IF(AT$2=1,Параметры!AT$72,IF(AS98=Параметры!AS$72,Параметры!AS$72,AS98))</f>
        <v>0</v>
      </c>
      <c r="AU98" s="290">
        <f>IF(AU$2=1,Параметры!AU$72,IF(AT98=Параметры!AT$72,Параметры!AT$72,AT98))</f>
        <v>0</v>
      </c>
      <c r="AV98" s="290">
        <f>IF(AV$2=1,Параметры!AV$72,IF(AU98=Параметры!AU$72,Параметры!AU$72,AU98))</f>
        <v>0</v>
      </c>
      <c r="AW98" s="290">
        <f>IF(AW$2=1,Параметры!AW$72,IF(AV98=Параметры!AV$72,Параметры!AV$72,AV98))</f>
        <v>0</v>
      </c>
      <c r="AX98" s="290">
        <f>IF(AX$2=1,Параметры!AX$72,IF(AW98=Параметры!AW$72,Параметры!AW$72,AW98))</f>
        <v>0</v>
      </c>
      <c r="AY98" s="290">
        <f>IF(AY$2=1,Параметры!AY$72,IF(AX98=Параметры!AX$72,Параметры!AX$72,AX98))</f>
        <v>0</v>
      </c>
      <c r="AZ98" s="290">
        <f>IF(AZ$2=1,Параметры!AZ$72,IF(AY98=Параметры!AY$72,Параметры!AY$72,AY98))</f>
        <v>0</v>
      </c>
      <c r="BA98" s="290">
        <f>IF(BA$2=1,Параметры!BA$72,IF(AZ98=Параметры!AZ$72,Параметры!AZ$72,AZ98))</f>
        <v>0</v>
      </c>
      <c r="BB98" s="290">
        <f>IF(BB$2=1,Параметры!BB$72,IF(BA98=Параметры!BA$72,Параметры!BA$72,BA98))</f>
        <v>0</v>
      </c>
      <c r="BC98" s="190"/>
      <c r="BD98" s="186"/>
    </row>
    <row r="99" spans="1:56" hidden="1" outlineLevel="1" x14ac:dyDescent="0.3">
      <c r="A99" s="184" t="str">
        <f ca="1">Language!A$616</f>
        <v>акцизы, на единицу</v>
      </c>
      <c r="B99" s="174"/>
      <c r="C99" s="163" t="str">
        <f ca="1">CHOOSE(D99,CurName1,CurName2,CurName3)&amp;"/"&amp;C87</f>
        <v>руб./ед.</v>
      </c>
      <c r="D99" s="174">
        <f>D86</f>
        <v>1</v>
      </c>
      <c r="F99" s="170" t="s">
        <v>2346</v>
      </c>
      <c r="G99" s="287">
        <v>0</v>
      </c>
      <c r="H99" s="287">
        <f t="shared" ref="H99:H100" si="601">G99</f>
        <v>0</v>
      </c>
      <c r="I99" s="287">
        <f t="shared" ref="I99:I100" si="602">H99</f>
        <v>0</v>
      </c>
      <c r="J99" s="287">
        <f t="shared" ref="J99:J100" si="603">I99</f>
        <v>0</v>
      </c>
      <c r="K99" s="287">
        <f t="shared" ref="K99:K100" si="604">J99</f>
        <v>0</v>
      </c>
      <c r="L99" s="287">
        <f t="shared" ref="L99:L100" si="605">K99</f>
        <v>0</v>
      </c>
      <c r="M99" s="287">
        <f t="shared" ref="M99:M100" si="606">L99</f>
        <v>0</v>
      </c>
      <c r="N99" s="287">
        <f t="shared" ref="N99:N100" si="607">M99</f>
        <v>0</v>
      </c>
      <c r="O99" s="287">
        <f t="shared" ref="O99:O100" si="608">N99</f>
        <v>0</v>
      </c>
      <c r="P99" s="287">
        <f t="shared" ref="P99:P100" si="609">O99</f>
        <v>0</v>
      </c>
      <c r="Q99" s="287">
        <f t="shared" ref="Q99:Q100" si="610">P99</f>
        <v>0</v>
      </c>
      <c r="R99" s="287">
        <f t="shared" ref="R99:R100" si="611">Q99</f>
        <v>0</v>
      </c>
      <c r="S99" s="287">
        <f t="shared" ref="S99:S100" si="612">R99</f>
        <v>0</v>
      </c>
      <c r="T99" s="287">
        <f t="shared" ref="T99:T100" si="613">S99</f>
        <v>0</v>
      </c>
      <c r="U99" s="287">
        <f t="shared" ref="U99:U100" si="614">T99</f>
        <v>0</v>
      </c>
      <c r="V99" s="287">
        <f t="shared" ref="V99:V100" si="615">U99</f>
        <v>0</v>
      </c>
      <c r="W99" s="287">
        <f t="shared" ref="W99:W100" si="616">V99</f>
        <v>0</v>
      </c>
      <c r="X99" s="287">
        <f t="shared" ref="X99:X100" si="617">W99</f>
        <v>0</v>
      </c>
      <c r="Y99" s="287">
        <f t="shared" ref="Y99:Y100" si="618">X99</f>
        <v>0</v>
      </c>
      <c r="Z99" s="287">
        <f t="shared" ref="Z99:Z100" si="619">Y99</f>
        <v>0</v>
      </c>
      <c r="AA99" s="287">
        <f t="shared" ref="AA99:AA100" si="620">Z99</f>
        <v>0</v>
      </c>
      <c r="AB99" s="287">
        <f t="shared" ref="AB99:AB100" si="621">AA99</f>
        <v>0</v>
      </c>
      <c r="AC99" s="287">
        <f t="shared" ref="AC99:AC100" si="622">AB99</f>
        <v>0</v>
      </c>
      <c r="AD99" s="287">
        <f t="shared" ref="AD99:AD100" si="623">AC99</f>
        <v>0</v>
      </c>
      <c r="AE99" s="287">
        <f t="shared" ref="AE99:AE100" si="624">AD99</f>
        <v>0</v>
      </c>
      <c r="AF99" s="287">
        <f t="shared" ref="AF99:AF100" si="625">AE99</f>
        <v>0</v>
      </c>
      <c r="AG99" s="287">
        <f t="shared" ref="AG99:AG100" si="626">AF99</f>
        <v>0</v>
      </c>
      <c r="AH99" s="287">
        <f t="shared" ref="AH99:AH100" si="627">AG99</f>
        <v>0</v>
      </c>
      <c r="AI99" s="287">
        <f t="shared" ref="AI99:AI100" si="628">AH99</f>
        <v>0</v>
      </c>
      <c r="AJ99" s="287">
        <f t="shared" ref="AJ99:AJ100" si="629">AI99</f>
        <v>0</v>
      </c>
      <c r="AK99" s="287">
        <f t="shared" ref="AK99:AK100" si="630">AJ99</f>
        <v>0</v>
      </c>
      <c r="AL99" s="287">
        <f t="shared" ref="AL99:AL100" si="631">AK99</f>
        <v>0</v>
      </c>
      <c r="AM99" s="287">
        <f t="shared" ref="AM99:AM100" si="632">AL99</f>
        <v>0</v>
      </c>
      <c r="AN99" s="287">
        <f t="shared" ref="AN99:AN100" si="633">AM99</f>
        <v>0</v>
      </c>
      <c r="AO99" s="287">
        <f t="shared" ref="AO99:AO100" si="634">AN99</f>
        <v>0</v>
      </c>
      <c r="AP99" s="287">
        <f t="shared" ref="AP99:AP100" si="635">AO99</f>
        <v>0</v>
      </c>
      <c r="AQ99" s="287">
        <f t="shared" ref="AQ99:AQ100" si="636">AP99</f>
        <v>0</v>
      </c>
      <c r="AR99" s="287">
        <f t="shared" ref="AR99:AR100" si="637">AQ99</f>
        <v>0</v>
      </c>
      <c r="AS99" s="287">
        <f t="shared" ref="AS99:AS100" si="638">AR99</f>
        <v>0</v>
      </c>
      <c r="AT99" s="287">
        <f t="shared" ref="AT99:AT100" si="639">AS99</f>
        <v>0</v>
      </c>
      <c r="AU99" s="287">
        <f t="shared" ref="AU99:AU100" si="640">AT99</f>
        <v>0</v>
      </c>
      <c r="AV99" s="287">
        <f t="shared" ref="AV99:AV100" si="641">AU99</f>
        <v>0</v>
      </c>
      <c r="AW99" s="287">
        <f t="shared" ref="AW99:AW100" si="642">AV99</f>
        <v>0</v>
      </c>
      <c r="AX99" s="287">
        <f t="shared" ref="AX99:AX100" si="643">AW99</f>
        <v>0</v>
      </c>
      <c r="AY99" s="287">
        <f t="shared" ref="AY99:AY100" si="644">AX99</f>
        <v>0</v>
      </c>
      <c r="AZ99" s="287">
        <f t="shared" ref="AZ99:AZ100" si="645">AY99</f>
        <v>0</v>
      </c>
      <c r="BA99" s="287">
        <f t="shared" ref="BA99:BA100" si="646">AZ99</f>
        <v>0</v>
      </c>
      <c r="BB99" s="287">
        <f t="shared" ref="BB99:BB100" si="647">BA99</f>
        <v>0</v>
      </c>
      <c r="BC99" s="185"/>
      <c r="BD99" s="186"/>
    </row>
    <row r="100" spans="1:56" hidden="1" outlineLevel="1" x14ac:dyDescent="0.3">
      <c r="A100" s="184" t="str">
        <f ca="1">Language!A$617</f>
        <v>ставка акцизов, в процентах</v>
      </c>
      <c r="B100" s="189"/>
      <c r="C100" s="163" t="s">
        <v>1</v>
      </c>
      <c r="D100" s="174"/>
      <c r="F100" s="170" t="s">
        <v>2346</v>
      </c>
      <c r="G100" s="290">
        <v>0</v>
      </c>
      <c r="H100" s="290">
        <f t="shared" si="601"/>
        <v>0</v>
      </c>
      <c r="I100" s="290">
        <f t="shared" si="602"/>
        <v>0</v>
      </c>
      <c r="J100" s="290">
        <f t="shared" si="603"/>
        <v>0</v>
      </c>
      <c r="K100" s="290">
        <f t="shared" si="604"/>
        <v>0</v>
      </c>
      <c r="L100" s="290">
        <f t="shared" si="605"/>
        <v>0</v>
      </c>
      <c r="M100" s="290">
        <f t="shared" si="606"/>
        <v>0</v>
      </c>
      <c r="N100" s="290">
        <f t="shared" si="607"/>
        <v>0</v>
      </c>
      <c r="O100" s="290">
        <f t="shared" si="608"/>
        <v>0</v>
      </c>
      <c r="P100" s="290">
        <f t="shared" si="609"/>
        <v>0</v>
      </c>
      <c r="Q100" s="290">
        <f t="shared" si="610"/>
        <v>0</v>
      </c>
      <c r="R100" s="290">
        <f t="shared" si="611"/>
        <v>0</v>
      </c>
      <c r="S100" s="290">
        <f t="shared" si="612"/>
        <v>0</v>
      </c>
      <c r="T100" s="290">
        <f t="shared" si="613"/>
        <v>0</v>
      </c>
      <c r="U100" s="290">
        <f t="shared" si="614"/>
        <v>0</v>
      </c>
      <c r="V100" s="290">
        <f t="shared" si="615"/>
        <v>0</v>
      </c>
      <c r="W100" s="290">
        <f t="shared" si="616"/>
        <v>0</v>
      </c>
      <c r="X100" s="290">
        <f t="shared" si="617"/>
        <v>0</v>
      </c>
      <c r="Y100" s="290">
        <f t="shared" si="618"/>
        <v>0</v>
      </c>
      <c r="Z100" s="290">
        <f t="shared" si="619"/>
        <v>0</v>
      </c>
      <c r="AA100" s="290">
        <f t="shared" si="620"/>
        <v>0</v>
      </c>
      <c r="AB100" s="290">
        <f t="shared" si="621"/>
        <v>0</v>
      </c>
      <c r="AC100" s="290">
        <f t="shared" si="622"/>
        <v>0</v>
      </c>
      <c r="AD100" s="290">
        <f t="shared" si="623"/>
        <v>0</v>
      </c>
      <c r="AE100" s="290">
        <f t="shared" si="624"/>
        <v>0</v>
      </c>
      <c r="AF100" s="290">
        <f t="shared" si="625"/>
        <v>0</v>
      </c>
      <c r="AG100" s="290">
        <f t="shared" si="626"/>
        <v>0</v>
      </c>
      <c r="AH100" s="290">
        <f t="shared" si="627"/>
        <v>0</v>
      </c>
      <c r="AI100" s="290">
        <f t="shared" si="628"/>
        <v>0</v>
      </c>
      <c r="AJ100" s="290">
        <f t="shared" si="629"/>
        <v>0</v>
      </c>
      <c r="AK100" s="290">
        <f t="shared" si="630"/>
        <v>0</v>
      </c>
      <c r="AL100" s="290">
        <f t="shared" si="631"/>
        <v>0</v>
      </c>
      <c r="AM100" s="290">
        <f t="shared" si="632"/>
        <v>0</v>
      </c>
      <c r="AN100" s="290">
        <f t="shared" si="633"/>
        <v>0</v>
      </c>
      <c r="AO100" s="290">
        <f t="shared" si="634"/>
        <v>0</v>
      </c>
      <c r="AP100" s="290">
        <f t="shared" si="635"/>
        <v>0</v>
      </c>
      <c r="AQ100" s="290">
        <f t="shared" si="636"/>
        <v>0</v>
      </c>
      <c r="AR100" s="290">
        <f t="shared" si="637"/>
        <v>0</v>
      </c>
      <c r="AS100" s="290">
        <f t="shared" si="638"/>
        <v>0</v>
      </c>
      <c r="AT100" s="290">
        <f t="shared" si="639"/>
        <v>0</v>
      </c>
      <c r="AU100" s="290">
        <f t="shared" si="640"/>
        <v>0</v>
      </c>
      <c r="AV100" s="290">
        <f t="shared" si="641"/>
        <v>0</v>
      </c>
      <c r="AW100" s="290">
        <f t="shared" si="642"/>
        <v>0</v>
      </c>
      <c r="AX100" s="290">
        <f t="shared" si="643"/>
        <v>0</v>
      </c>
      <c r="AY100" s="290">
        <f t="shared" si="644"/>
        <v>0</v>
      </c>
      <c r="AZ100" s="290">
        <f t="shared" si="645"/>
        <v>0</v>
      </c>
      <c r="BA100" s="290">
        <f t="shared" si="646"/>
        <v>0</v>
      </c>
      <c r="BB100" s="290">
        <f t="shared" si="647"/>
        <v>0</v>
      </c>
      <c r="BC100" s="190"/>
      <c r="BD100" s="186"/>
    </row>
    <row r="101" spans="1:56" hidden="1" outlineLevel="1" x14ac:dyDescent="0.3">
      <c r="A101" s="184" t="str">
        <f ca="1">Language!A$618</f>
        <v>коэффициент прироста цен к предыдущему периоду</v>
      </c>
      <c r="B101" s="189"/>
      <c r="C101" s="163" t="str">
        <f ca="1">Language!$A$1477</f>
        <v>раз</v>
      </c>
      <c r="D101" s="174"/>
      <c r="F101" s="170" t="s">
        <v>745</v>
      </c>
      <c r="G101" s="191">
        <f ca="1">IF(G$2=1,1,IF(Prj_Inflation=1,POWER(1+OFFSET(G97,0,-1),Параметры!G$30/360),1))</f>
        <v>1</v>
      </c>
      <c r="H101" s="191">
        <f ca="1">IF(H$2=1,1,IF(Prj_Inflation=1,POWER(1+OFFSET(H97,0,-1),Параметры!H$30/360),1))</f>
        <v>1.004867550565343</v>
      </c>
      <c r="I101" s="191">
        <f ca="1">IF(I$2=1,1,IF(Prj_Inflation=1,POWER(1+OFFSET(I97,0,-1),Параметры!I$30/360),1))</f>
        <v>1.004867550565343</v>
      </c>
      <c r="J101" s="191">
        <f ca="1">IF(J$2=1,1,IF(Prj_Inflation=1,POWER(1+OFFSET(J97,0,-1),Параметры!J$30/360),1))</f>
        <v>1.004867550565343</v>
      </c>
      <c r="K101" s="191">
        <f ca="1">IF(K$2=1,1,IF(Prj_Inflation=1,POWER(1+OFFSET(K97,0,-1),Параметры!K$30/360),1))</f>
        <v>1.004867550565343</v>
      </c>
      <c r="L101" s="191">
        <f ca="1">IF(L$2=1,1,IF(Prj_Inflation=1,POWER(1+OFFSET(L97,0,-1),Параметры!L$30/360),1))</f>
        <v>1.004867550565343</v>
      </c>
      <c r="M101" s="191">
        <f ca="1">IF(M$2=1,1,IF(Prj_Inflation=1,POWER(1+OFFSET(M97,0,-1),Параметры!M$30/360),1))</f>
        <v>1.004867550565343</v>
      </c>
      <c r="N101" s="191">
        <f ca="1">IF(N$2=1,1,IF(Prj_Inflation=1,POWER(1+OFFSET(N97,0,-1),Параметры!N$30/360),1))</f>
        <v>1.004867550565343</v>
      </c>
      <c r="O101" s="191">
        <f ca="1">IF(O$2=1,1,IF(Prj_Inflation=1,POWER(1+OFFSET(O97,0,-1),Параметры!O$30/360),1))</f>
        <v>1.004867550565343</v>
      </c>
      <c r="P101" s="191">
        <f ca="1">IF(P$2=1,1,IF(Prj_Inflation=1,POWER(1+OFFSET(P97,0,-1),Параметры!P$30/360),1))</f>
        <v>1.004867550565343</v>
      </c>
      <c r="Q101" s="191">
        <f ca="1">IF(Q$2=1,1,IF(Prj_Inflation=1,POWER(1+OFFSET(Q97,0,-1),Параметры!Q$30/360),1))</f>
        <v>1.004867550565343</v>
      </c>
      <c r="R101" s="191">
        <f ca="1">IF(R$2=1,1,IF(Prj_Inflation=1,POWER(1+OFFSET(R97,0,-1),Параметры!R$30/360),1))</f>
        <v>1.004867550565343</v>
      </c>
      <c r="S101" s="191">
        <f ca="1">IF(S$2=1,1,IF(Prj_Inflation=1,POWER(1+OFFSET(S97,0,-1),Параметры!S$30/360),1))</f>
        <v>1.004867550565343</v>
      </c>
      <c r="T101" s="191">
        <f ca="1">IF(T$2=1,1,IF(Prj_Inflation=1,POWER(1+OFFSET(T97,0,-1),Параметры!T$30/360),1))</f>
        <v>1.004867550565343</v>
      </c>
      <c r="U101" s="191">
        <f ca="1">IF(U$2=1,1,IF(Prj_Inflation=1,POWER(1+OFFSET(U97,0,-1),Параметры!U$30/360),1))</f>
        <v>1.004867550565343</v>
      </c>
      <c r="V101" s="191">
        <f ca="1">IF(V$2=1,1,IF(Prj_Inflation=1,POWER(1+OFFSET(V97,0,-1),Параметры!V$30/360),1))</f>
        <v>1.004867550565343</v>
      </c>
      <c r="W101" s="191">
        <f ca="1">IF(W$2=1,1,IF(Prj_Inflation=1,POWER(1+OFFSET(W97,0,-1),Параметры!W$30/360),1))</f>
        <v>1.004867550565343</v>
      </c>
      <c r="X101" s="191">
        <f ca="1">IF(X$2=1,1,IF(Prj_Inflation=1,POWER(1+OFFSET(X97,0,-1),Параметры!X$30/360),1))</f>
        <v>1.004867550565343</v>
      </c>
      <c r="Y101" s="191">
        <f ca="1">IF(Y$2=1,1,IF(Prj_Inflation=1,POWER(1+OFFSET(Y97,0,-1),Параметры!Y$30/360),1))</f>
        <v>1.004867550565343</v>
      </c>
      <c r="Z101" s="191">
        <f ca="1">IF(Z$2=1,1,IF(Prj_Inflation=1,POWER(1+OFFSET(Z97,0,-1),Параметры!Z$30/360),1))</f>
        <v>1.004867550565343</v>
      </c>
      <c r="AA101" s="191">
        <f ca="1">IF(AA$2=1,1,IF(Prj_Inflation=1,POWER(1+OFFSET(AA97,0,-1),Параметры!AA$30/360),1))</f>
        <v>1.004867550565343</v>
      </c>
      <c r="AB101" s="191">
        <f ca="1">IF(AB$2=1,1,IF(Prj_Inflation=1,POWER(1+OFFSET(AB97,0,-1),Параметры!AB$30/360),1))</f>
        <v>1.004867550565343</v>
      </c>
      <c r="AC101" s="191">
        <f ca="1">IF(AC$2=1,1,IF(Prj_Inflation=1,POWER(1+OFFSET(AC97,0,-1),Параметры!AC$30/360),1))</f>
        <v>1.004867550565343</v>
      </c>
      <c r="AD101" s="191">
        <f ca="1">IF(AD$2=1,1,IF(Prj_Inflation=1,POWER(1+OFFSET(AD97,0,-1),Параметры!AD$30/360),1))</f>
        <v>1.004867550565343</v>
      </c>
      <c r="AE101" s="191">
        <f ca="1">IF(AE$2=1,1,IF(Prj_Inflation=1,POWER(1+OFFSET(AE97,0,-1),Параметры!AE$30/360),1))</f>
        <v>1.004867550565343</v>
      </c>
      <c r="AF101" s="191">
        <f ca="1">IF(AF$2=1,1,IF(Prj_Inflation=1,POWER(1+OFFSET(AF97,0,-1),Параметры!AF$30/360),1))</f>
        <v>1.004867550565343</v>
      </c>
      <c r="AG101" s="191">
        <f ca="1">IF(AG$2=1,1,IF(Prj_Inflation=1,POWER(1+OFFSET(AG97,0,-1),Параметры!AG$30/360),1))</f>
        <v>1.004867550565343</v>
      </c>
      <c r="AH101" s="191">
        <f ca="1">IF(AH$2=1,1,IF(Prj_Inflation=1,POWER(1+OFFSET(AH97,0,-1),Параметры!AH$30/360),1))</f>
        <v>1.004867550565343</v>
      </c>
      <c r="AI101" s="191">
        <f ca="1">IF(AI$2=1,1,IF(Prj_Inflation=1,POWER(1+OFFSET(AI97,0,-1),Параметры!AI$30/360),1))</f>
        <v>1.004867550565343</v>
      </c>
      <c r="AJ101" s="191">
        <f ca="1">IF(AJ$2=1,1,IF(Prj_Inflation=1,POWER(1+OFFSET(AJ97,0,-1),Параметры!AJ$30/360),1))</f>
        <v>1.004867550565343</v>
      </c>
      <c r="AK101" s="191">
        <f ca="1">IF(AK$2=1,1,IF(Prj_Inflation=1,POWER(1+OFFSET(AK97,0,-1),Параметры!AK$30/360),1))</f>
        <v>1.004867550565343</v>
      </c>
      <c r="AL101" s="191">
        <f ca="1">IF(AL$2=1,1,IF(Prj_Inflation=1,POWER(1+OFFSET(AL97,0,-1),Параметры!AL$30/360),1))</f>
        <v>1.004867550565343</v>
      </c>
      <c r="AM101" s="191">
        <f ca="1">IF(AM$2=1,1,IF(Prj_Inflation=1,POWER(1+OFFSET(AM97,0,-1),Параметры!AM$30/360),1))</f>
        <v>1.004867550565343</v>
      </c>
      <c r="AN101" s="191">
        <f ca="1">IF(AN$2=1,1,IF(Prj_Inflation=1,POWER(1+OFFSET(AN97,0,-1),Параметры!AN$30/360),1))</f>
        <v>1.004867550565343</v>
      </c>
      <c r="AO101" s="191">
        <f ca="1">IF(AO$2=1,1,IF(Prj_Inflation=1,POWER(1+OFFSET(AO97,0,-1),Параметры!AO$30/360),1))</f>
        <v>1.004867550565343</v>
      </c>
      <c r="AP101" s="191">
        <f ca="1">IF(AP$2=1,1,IF(Prj_Inflation=1,POWER(1+OFFSET(AP97,0,-1),Параметры!AP$30/360),1))</f>
        <v>1.004867550565343</v>
      </c>
      <c r="AQ101" s="191">
        <f ca="1">IF(AQ$2=1,1,IF(Prj_Inflation=1,POWER(1+OFFSET(AQ97,0,-1),Параметры!AQ$30/360),1))</f>
        <v>1.004867550565343</v>
      </c>
      <c r="AR101" s="191">
        <f ca="1">IF(AR$2=1,1,IF(Prj_Inflation=1,POWER(1+OFFSET(AR97,0,-1),Параметры!AR$30/360),1))</f>
        <v>1.004867550565343</v>
      </c>
      <c r="AS101" s="191">
        <f ca="1">IF(AS$2=1,1,IF(Prj_Inflation=1,POWER(1+OFFSET(AS97,0,-1),Параметры!AS$30/360),1))</f>
        <v>1.004867550565343</v>
      </c>
      <c r="AT101" s="191">
        <f ca="1">IF(AT$2=1,1,IF(Prj_Inflation=1,POWER(1+OFFSET(AT97,0,-1),Параметры!AT$30/360),1))</f>
        <v>1.004867550565343</v>
      </c>
      <c r="AU101" s="191">
        <f ca="1">IF(AU$2=1,1,IF(Prj_Inflation=1,POWER(1+OFFSET(AU97,0,-1),Параметры!AU$30/360),1))</f>
        <v>1.004867550565343</v>
      </c>
      <c r="AV101" s="191">
        <f ca="1">IF(AV$2=1,1,IF(Prj_Inflation=1,POWER(1+OFFSET(AV97,0,-1),Параметры!AV$30/360),1))</f>
        <v>1.004867550565343</v>
      </c>
      <c r="AW101" s="191">
        <f ca="1">IF(AW$2=1,1,IF(Prj_Inflation=1,POWER(1+OFFSET(AW97,0,-1),Параметры!AW$30/360),1))</f>
        <v>1.004867550565343</v>
      </c>
      <c r="AX101" s="191">
        <f ca="1">IF(AX$2=1,1,IF(Prj_Inflation=1,POWER(1+OFFSET(AX97,0,-1),Параметры!AX$30/360),1))</f>
        <v>1.004867550565343</v>
      </c>
      <c r="AY101" s="191">
        <f ca="1">IF(AY$2=1,1,IF(Prj_Inflation=1,POWER(1+OFFSET(AY97,0,-1),Параметры!AY$30/360),1))</f>
        <v>1.004867550565343</v>
      </c>
      <c r="AZ101" s="191">
        <f ca="1">IF(AZ$2=1,1,IF(Prj_Inflation=1,POWER(1+OFFSET(AZ97,0,-1),Параметры!AZ$30/360),1))</f>
        <v>1.004867550565343</v>
      </c>
      <c r="BA101" s="191">
        <f ca="1">IF(BA$2=1,1,IF(Prj_Inflation=1,POWER(1+OFFSET(BA97,0,-1),Параметры!BA$30/360),1))</f>
        <v>1.004867550565343</v>
      </c>
      <c r="BB101" s="191">
        <f ca="1">IF(BB$2=1,1,IF(Prj_Inflation=1,POWER(1+OFFSET(BB97,0,-1),Параметры!BB$30/360),1))</f>
        <v>1.004867550565343</v>
      </c>
      <c r="BC101" s="191"/>
      <c r="BD101" s="186"/>
    </row>
    <row r="102" spans="1:56" hidden="1" outlineLevel="1" x14ac:dyDescent="0.3">
      <c r="A102" s="184" t="str">
        <f ca="1">Language!A$1486</f>
        <v>индексировать в начале года</v>
      </c>
      <c r="B102" s="291">
        <v>0</v>
      </c>
      <c r="C102" s="163" t="str">
        <f ca="1">IF(B102=1,Language!$A$1475,Language!$A$1476)</f>
        <v>Нет</v>
      </c>
      <c r="D102" s="174"/>
      <c r="F102" s="170" t="s">
        <v>3408</v>
      </c>
      <c r="G102" s="192" t="str">
        <f ca="1">IF(Prj_Inflation=1,IF($B102=1,IF(G$2=1,1,IF(Параметры!G$29=1,1+OFFSET(G97,0,-1),1)),"-"),1)</f>
        <v>-</v>
      </c>
      <c r="H102" s="192" t="str">
        <f ca="1">IF(Prj_Inflation=1,IF($B102=1,IF(H$2=1,1,IF(Параметры!H$29=1,1+OFFSET(H97,0,-1),1)),"-"),1)</f>
        <v>-</v>
      </c>
      <c r="I102" s="192" t="str">
        <f ca="1">IF(Prj_Inflation=1,IF($B102=1,IF(I$2=1,1,IF(Параметры!I$29=1,1+OFFSET(I97,0,-1),1)),"-"),1)</f>
        <v>-</v>
      </c>
      <c r="J102" s="192" t="str">
        <f ca="1">IF(Prj_Inflation=1,IF($B102=1,IF(J$2=1,1,IF(Параметры!J$29=1,1+OFFSET(J97,0,-1),1)),"-"),1)</f>
        <v>-</v>
      </c>
      <c r="K102" s="192" t="str">
        <f ca="1">IF(Prj_Inflation=1,IF($B102=1,IF(K$2=1,1,IF(Параметры!K$29=1,1+OFFSET(K97,0,-1),1)),"-"),1)</f>
        <v>-</v>
      </c>
      <c r="L102" s="192" t="str">
        <f ca="1">IF(Prj_Inflation=1,IF($B102=1,IF(L$2=1,1,IF(Параметры!L$29=1,1+OFFSET(L97,0,-1),1)),"-"),1)</f>
        <v>-</v>
      </c>
      <c r="M102" s="192" t="str">
        <f ca="1">IF(Prj_Inflation=1,IF($B102=1,IF(M$2=1,1,IF(Параметры!M$29=1,1+OFFSET(M97,0,-1),1)),"-"),1)</f>
        <v>-</v>
      </c>
      <c r="N102" s="192" t="str">
        <f ca="1">IF(Prj_Inflation=1,IF($B102=1,IF(N$2=1,1,IF(Параметры!N$29=1,1+OFFSET(N97,0,-1),1)),"-"),1)</f>
        <v>-</v>
      </c>
      <c r="O102" s="192" t="str">
        <f ca="1">IF(Prj_Inflation=1,IF($B102=1,IF(O$2=1,1,IF(Параметры!O$29=1,1+OFFSET(O97,0,-1),1)),"-"),1)</f>
        <v>-</v>
      </c>
      <c r="P102" s="192" t="str">
        <f ca="1">IF(Prj_Inflation=1,IF($B102=1,IF(P$2=1,1,IF(Параметры!P$29=1,1+OFFSET(P97,0,-1),1)),"-"),1)</f>
        <v>-</v>
      </c>
      <c r="Q102" s="192" t="str">
        <f ca="1">IF(Prj_Inflation=1,IF($B102=1,IF(Q$2=1,1,IF(Параметры!Q$29=1,1+OFFSET(Q97,0,-1),1)),"-"),1)</f>
        <v>-</v>
      </c>
      <c r="R102" s="192" t="str">
        <f ca="1">IF(Prj_Inflation=1,IF($B102=1,IF(R$2=1,1,IF(Параметры!R$29=1,1+OFFSET(R97,0,-1),1)),"-"),1)</f>
        <v>-</v>
      </c>
      <c r="S102" s="192" t="str">
        <f ca="1">IF(Prj_Inflation=1,IF($B102=1,IF(S$2=1,1,IF(Параметры!S$29=1,1+OFFSET(S97,0,-1),1)),"-"),1)</f>
        <v>-</v>
      </c>
      <c r="T102" s="192" t="str">
        <f ca="1">IF(Prj_Inflation=1,IF($B102=1,IF(T$2=1,1,IF(Параметры!T$29=1,1+OFFSET(T97,0,-1),1)),"-"),1)</f>
        <v>-</v>
      </c>
      <c r="U102" s="192" t="str">
        <f ca="1">IF(Prj_Inflation=1,IF($B102=1,IF(U$2=1,1,IF(Параметры!U$29=1,1+OFFSET(U97,0,-1),1)),"-"),1)</f>
        <v>-</v>
      </c>
      <c r="V102" s="192" t="str">
        <f ca="1">IF(Prj_Inflation=1,IF($B102=1,IF(V$2=1,1,IF(Параметры!V$29=1,1+OFFSET(V97,0,-1),1)),"-"),1)</f>
        <v>-</v>
      </c>
      <c r="W102" s="192" t="str">
        <f ca="1">IF(Prj_Inflation=1,IF($B102=1,IF(W$2=1,1,IF(Параметры!W$29=1,1+OFFSET(W97,0,-1),1)),"-"),1)</f>
        <v>-</v>
      </c>
      <c r="X102" s="192" t="str">
        <f ca="1">IF(Prj_Inflation=1,IF($B102=1,IF(X$2=1,1,IF(Параметры!X$29=1,1+OFFSET(X97,0,-1),1)),"-"),1)</f>
        <v>-</v>
      </c>
      <c r="Y102" s="192" t="str">
        <f ca="1">IF(Prj_Inflation=1,IF($B102=1,IF(Y$2=1,1,IF(Параметры!Y$29=1,1+OFFSET(Y97,0,-1),1)),"-"),1)</f>
        <v>-</v>
      </c>
      <c r="Z102" s="192" t="str">
        <f ca="1">IF(Prj_Inflation=1,IF($B102=1,IF(Z$2=1,1,IF(Параметры!Z$29=1,1+OFFSET(Z97,0,-1),1)),"-"),1)</f>
        <v>-</v>
      </c>
      <c r="AA102" s="192" t="str">
        <f ca="1">IF(Prj_Inflation=1,IF($B102=1,IF(AA$2=1,1,IF(Параметры!AA$29=1,1+OFFSET(AA97,0,-1),1)),"-"),1)</f>
        <v>-</v>
      </c>
      <c r="AB102" s="192" t="str">
        <f ca="1">IF(Prj_Inflation=1,IF($B102=1,IF(AB$2=1,1,IF(Параметры!AB$29=1,1+OFFSET(AB97,0,-1),1)),"-"),1)</f>
        <v>-</v>
      </c>
      <c r="AC102" s="192" t="str">
        <f ca="1">IF(Prj_Inflation=1,IF($B102=1,IF(AC$2=1,1,IF(Параметры!AC$29=1,1+OFFSET(AC97,0,-1),1)),"-"),1)</f>
        <v>-</v>
      </c>
      <c r="AD102" s="192" t="str">
        <f ca="1">IF(Prj_Inflation=1,IF($B102=1,IF(AD$2=1,1,IF(Параметры!AD$29=1,1+OFFSET(AD97,0,-1),1)),"-"),1)</f>
        <v>-</v>
      </c>
      <c r="AE102" s="192" t="str">
        <f ca="1">IF(Prj_Inflation=1,IF($B102=1,IF(AE$2=1,1,IF(Параметры!AE$29=1,1+OFFSET(AE97,0,-1),1)),"-"),1)</f>
        <v>-</v>
      </c>
      <c r="AF102" s="192" t="str">
        <f ca="1">IF(Prj_Inflation=1,IF($B102=1,IF(AF$2=1,1,IF(Параметры!AF$29=1,1+OFFSET(AF97,0,-1),1)),"-"),1)</f>
        <v>-</v>
      </c>
      <c r="AG102" s="192" t="str">
        <f ca="1">IF(Prj_Inflation=1,IF($B102=1,IF(AG$2=1,1,IF(Параметры!AG$29=1,1+OFFSET(AG97,0,-1),1)),"-"),1)</f>
        <v>-</v>
      </c>
      <c r="AH102" s="192" t="str">
        <f ca="1">IF(Prj_Inflation=1,IF($B102=1,IF(AH$2=1,1,IF(Параметры!AH$29=1,1+OFFSET(AH97,0,-1),1)),"-"),1)</f>
        <v>-</v>
      </c>
      <c r="AI102" s="192" t="str">
        <f ca="1">IF(Prj_Inflation=1,IF($B102=1,IF(AI$2=1,1,IF(Параметры!AI$29=1,1+OFFSET(AI97,0,-1),1)),"-"),1)</f>
        <v>-</v>
      </c>
      <c r="AJ102" s="192" t="str">
        <f ca="1">IF(Prj_Inflation=1,IF($B102=1,IF(AJ$2=1,1,IF(Параметры!AJ$29=1,1+OFFSET(AJ97,0,-1),1)),"-"),1)</f>
        <v>-</v>
      </c>
      <c r="AK102" s="192" t="str">
        <f ca="1">IF(Prj_Inflation=1,IF($B102=1,IF(AK$2=1,1,IF(Параметры!AK$29=1,1+OFFSET(AK97,0,-1),1)),"-"),1)</f>
        <v>-</v>
      </c>
      <c r="AL102" s="192" t="str">
        <f ca="1">IF(Prj_Inflation=1,IF($B102=1,IF(AL$2=1,1,IF(Параметры!AL$29=1,1+OFFSET(AL97,0,-1),1)),"-"),1)</f>
        <v>-</v>
      </c>
      <c r="AM102" s="192" t="str">
        <f ca="1">IF(Prj_Inflation=1,IF($B102=1,IF(AM$2=1,1,IF(Параметры!AM$29=1,1+OFFSET(AM97,0,-1),1)),"-"),1)</f>
        <v>-</v>
      </c>
      <c r="AN102" s="192" t="str">
        <f ca="1">IF(Prj_Inflation=1,IF($B102=1,IF(AN$2=1,1,IF(Параметры!AN$29=1,1+OFFSET(AN97,0,-1),1)),"-"),1)</f>
        <v>-</v>
      </c>
      <c r="AO102" s="192" t="str">
        <f ca="1">IF(Prj_Inflation=1,IF($B102=1,IF(AO$2=1,1,IF(Параметры!AO$29=1,1+OFFSET(AO97,0,-1),1)),"-"),1)</f>
        <v>-</v>
      </c>
      <c r="AP102" s="192" t="str">
        <f ca="1">IF(Prj_Inflation=1,IF($B102=1,IF(AP$2=1,1,IF(Параметры!AP$29=1,1+OFFSET(AP97,0,-1),1)),"-"),1)</f>
        <v>-</v>
      </c>
      <c r="AQ102" s="192" t="str">
        <f ca="1">IF(Prj_Inflation=1,IF($B102=1,IF(AQ$2=1,1,IF(Параметры!AQ$29=1,1+OFFSET(AQ97,0,-1),1)),"-"),1)</f>
        <v>-</v>
      </c>
      <c r="AR102" s="192" t="str">
        <f ca="1">IF(Prj_Inflation=1,IF($B102=1,IF(AR$2=1,1,IF(Параметры!AR$29=1,1+OFFSET(AR97,0,-1),1)),"-"),1)</f>
        <v>-</v>
      </c>
      <c r="AS102" s="192" t="str">
        <f ca="1">IF(Prj_Inflation=1,IF($B102=1,IF(AS$2=1,1,IF(Параметры!AS$29=1,1+OFFSET(AS97,0,-1),1)),"-"),1)</f>
        <v>-</v>
      </c>
      <c r="AT102" s="192" t="str">
        <f ca="1">IF(Prj_Inflation=1,IF($B102=1,IF(AT$2=1,1,IF(Параметры!AT$29=1,1+OFFSET(AT97,0,-1),1)),"-"),1)</f>
        <v>-</v>
      </c>
      <c r="AU102" s="192" t="str">
        <f ca="1">IF(Prj_Inflation=1,IF($B102=1,IF(AU$2=1,1,IF(Параметры!AU$29=1,1+OFFSET(AU97,0,-1),1)),"-"),1)</f>
        <v>-</v>
      </c>
      <c r="AV102" s="192" t="str">
        <f ca="1">IF(Prj_Inflation=1,IF($B102=1,IF(AV$2=1,1,IF(Параметры!AV$29=1,1+OFFSET(AV97,0,-1),1)),"-"),1)</f>
        <v>-</v>
      </c>
      <c r="AW102" s="192" t="str">
        <f ca="1">IF(Prj_Inflation=1,IF($B102=1,IF(AW$2=1,1,IF(Параметры!AW$29=1,1+OFFSET(AW97,0,-1),1)),"-"),1)</f>
        <v>-</v>
      </c>
      <c r="AX102" s="192" t="str">
        <f ca="1">IF(Prj_Inflation=1,IF($B102=1,IF(AX$2=1,1,IF(Параметры!AX$29=1,1+OFFSET(AX97,0,-1),1)),"-"),1)</f>
        <v>-</v>
      </c>
      <c r="AY102" s="192" t="str">
        <f ca="1">IF(Prj_Inflation=1,IF($B102=1,IF(AY$2=1,1,IF(Параметры!AY$29=1,1+OFFSET(AY97,0,-1),1)),"-"),1)</f>
        <v>-</v>
      </c>
      <c r="AZ102" s="192" t="str">
        <f ca="1">IF(Prj_Inflation=1,IF($B102=1,IF(AZ$2=1,1,IF(Параметры!AZ$29=1,1+OFFSET(AZ97,0,-1),1)),"-"),1)</f>
        <v>-</v>
      </c>
      <c r="BA102" s="192" t="str">
        <f ca="1">IF(Prj_Inflation=1,IF($B102=1,IF(BA$2=1,1,IF(Параметры!BA$29=1,1+OFFSET(BA97,0,-1),1)),"-"),1)</f>
        <v>-</v>
      </c>
      <c r="BB102" s="192" t="str">
        <f ca="1">IF(Prj_Inflation=1,IF($B102=1,IF(BB$2=1,1,IF(Параметры!BB$29=1,1+OFFSET(BB97,0,-1),1)),"-"),1)</f>
        <v>-</v>
      </c>
      <c r="BC102" s="191"/>
      <c r="BD102" s="186"/>
    </row>
    <row r="103" spans="1:56" hidden="1" outlineLevel="1" x14ac:dyDescent="0.3">
      <c r="A103" s="184" t="str">
        <f ca="1">Language!A$619</f>
        <v>акцизы начисленные</v>
      </c>
      <c r="B103" s="174"/>
      <c r="C103" s="163" t="str">
        <f ca="1">CHOOSE(D103,CurName1,CurName2,CurName3)</f>
        <v>руб.</v>
      </c>
      <c r="D103" s="174">
        <f>D86</f>
        <v>1</v>
      </c>
      <c r="E103" s="170" t="s">
        <v>996</v>
      </c>
      <c r="F103" s="170" t="s">
        <v>740</v>
      </c>
      <c r="G103" s="185">
        <f t="shared" ref="G103:BB103" ca="1" si="648">G90*G100+G87*G99</f>
        <v>0</v>
      </c>
      <c r="H103" s="185">
        <f t="shared" ca="1" si="648"/>
        <v>0</v>
      </c>
      <c r="I103" s="185">
        <f t="shared" ca="1" si="648"/>
        <v>0</v>
      </c>
      <c r="J103" s="185">
        <f t="shared" ca="1" si="648"/>
        <v>0</v>
      </c>
      <c r="K103" s="185">
        <f t="shared" ca="1" si="648"/>
        <v>0</v>
      </c>
      <c r="L103" s="185">
        <f t="shared" ca="1" si="648"/>
        <v>0</v>
      </c>
      <c r="M103" s="185">
        <f t="shared" ca="1" si="648"/>
        <v>0</v>
      </c>
      <c r="N103" s="185">
        <f t="shared" ca="1" si="648"/>
        <v>0</v>
      </c>
      <c r="O103" s="185">
        <f t="shared" ca="1" si="648"/>
        <v>0</v>
      </c>
      <c r="P103" s="185">
        <f t="shared" ca="1" si="648"/>
        <v>0</v>
      </c>
      <c r="Q103" s="185">
        <f t="shared" ca="1" si="648"/>
        <v>0</v>
      </c>
      <c r="R103" s="185">
        <f t="shared" ca="1" si="648"/>
        <v>0</v>
      </c>
      <c r="S103" s="185">
        <f t="shared" ca="1" si="648"/>
        <v>0</v>
      </c>
      <c r="T103" s="185">
        <f t="shared" ca="1" si="648"/>
        <v>0</v>
      </c>
      <c r="U103" s="185">
        <f t="shared" ca="1" si="648"/>
        <v>0</v>
      </c>
      <c r="V103" s="185">
        <f t="shared" ca="1" si="648"/>
        <v>0</v>
      </c>
      <c r="W103" s="185">
        <f t="shared" ca="1" si="648"/>
        <v>0</v>
      </c>
      <c r="X103" s="185">
        <f t="shared" ca="1" si="648"/>
        <v>0</v>
      </c>
      <c r="Y103" s="185">
        <f t="shared" ca="1" si="648"/>
        <v>0</v>
      </c>
      <c r="Z103" s="185">
        <f t="shared" ca="1" si="648"/>
        <v>0</v>
      </c>
      <c r="AA103" s="185">
        <f t="shared" ca="1" si="648"/>
        <v>0</v>
      </c>
      <c r="AB103" s="185">
        <f t="shared" ca="1" si="648"/>
        <v>0</v>
      </c>
      <c r="AC103" s="185">
        <f t="shared" ca="1" si="648"/>
        <v>0</v>
      </c>
      <c r="AD103" s="185">
        <f t="shared" ca="1" si="648"/>
        <v>0</v>
      </c>
      <c r="AE103" s="185">
        <f t="shared" ca="1" si="648"/>
        <v>0</v>
      </c>
      <c r="AF103" s="185">
        <f t="shared" ca="1" si="648"/>
        <v>0</v>
      </c>
      <c r="AG103" s="185">
        <f t="shared" ca="1" si="648"/>
        <v>0</v>
      </c>
      <c r="AH103" s="185">
        <f t="shared" ca="1" si="648"/>
        <v>0</v>
      </c>
      <c r="AI103" s="185">
        <f t="shared" ca="1" si="648"/>
        <v>0</v>
      </c>
      <c r="AJ103" s="185">
        <f t="shared" ca="1" si="648"/>
        <v>0</v>
      </c>
      <c r="AK103" s="185">
        <f t="shared" ca="1" si="648"/>
        <v>0</v>
      </c>
      <c r="AL103" s="185">
        <f t="shared" ca="1" si="648"/>
        <v>0</v>
      </c>
      <c r="AM103" s="185">
        <f t="shared" ca="1" si="648"/>
        <v>0</v>
      </c>
      <c r="AN103" s="185">
        <f t="shared" ca="1" si="648"/>
        <v>0</v>
      </c>
      <c r="AO103" s="185">
        <f t="shared" ca="1" si="648"/>
        <v>0</v>
      </c>
      <c r="AP103" s="185">
        <f t="shared" ca="1" si="648"/>
        <v>0</v>
      </c>
      <c r="AQ103" s="185">
        <f t="shared" ca="1" si="648"/>
        <v>0</v>
      </c>
      <c r="AR103" s="185">
        <f t="shared" ca="1" si="648"/>
        <v>0</v>
      </c>
      <c r="AS103" s="185">
        <f t="shared" ca="1" si="648"/>
        <v>0</v>
      </c>
      <c r="AT103" s="185">
        <f t="shared" ca="1" si="648"/>
        <v>0</v>
      </c>
      <c r="AU103" s="185">
        <f t="shared" ca="1" si="648"/>
        <v>0</v>
      </c>
      <c r="AV103" s="185">
        <f t="shared" ca="1" si="648"/>
        <v>0</v>
      </c>
      <c r="AW103" s="185">
        <f t="shared" ca="1" si="648"/>
        <v>0</v>
      </c>
      <c r="AX103" s="185">
        <f t="shared" ca="1" si="648"/>
        <v>0</v>
      </c>
      <c r="AY103" s="185">
        <f t="shared" ca="1" si="648"/>
        <v>0</v>
      </c>
      <c r="AZ103" s="185">
        <f t="shared" ca="1" si="648"/>
        <v>0</v>
      </c>
      <c r="BA103" s="185">
        <f t="shared" ca="1" si="648"/>
        <v>0</v>
      </c>
      <c r="BB103" s="185">
        <f t="shared" ca="1" si="648"/>
        <v>0</v>
      </c>
      <c r="BC103" s="185"/>
      <c r="BD103" s="193">
        <f ca="1">SUM(G103:BC103)</f>
        <v>0</v>
      </c>
    </row>
    <row r="104" spans="1:56" hidden="1" outlineLevel="1" x14ac:dyDescent="0.3">
      <c r="A104" s="184" t="str">
        <f ca="1">Language!A$620</f>
        <v>НДС начисленный</v>
      </c>
      <c r="B104" s="174"/>
      <c r="C104" s="163" t="str">
        <f ca="1">CHOOSE(D104,CurName1,CurName2,CurName3)</f>
        <v>руб.</v>
      </c>
      <c r="D104" s="174">
        <f>D86</f>
        <v>1</v>
      </c>
      <c r="E104" s="170" t="s">
        <v>785</v>
      </c>
      <c r="F104" s="170" t="s">
        <v>740</v>
      </c>
      <c r="G104" s="185">
        <f t="shared" ref="G104:BB104" ca="1" si="649">(G90+G103)*G98</f>
        <v>0</v>
      </c>
      <c r="H104" s="185">
        <f t="shared" ca="1" si="649"/>
        <v>0</v>
      </c>
      <c r="I104" s="185">
        <f t="shared" ca="1" si="649"/>
        <v>0</v>
      </c>
      <c r="J104" s="185">
        <f t="shared" ca="1" si="649"/>
        <v>0</v>
      </c>
      <c r="K104" s="185">
        <f t="shared" ca="1" si="649"/>
        <v>0</v>
      </c>
      <c r="L104" s="185">
        <f t="shared" ca="1" si="649"/>
        <v>0</v>
      </c>
      <c r="M104" s="185">
        <f t="shared" ca="1" si="649"/>
        <v>0</v>
      </c>
      <c r="N104" s="185">
        <f t="shared" ca="1" si="649"/>
        <v>0</v>
      </c>
      <c r="O104" s="185">
        <f t="shared" ca="1" si="649"/>
        <v>0</v>
      </c>
      <c r="P104" s="185">
        <f t="shared" ca="1" si="649"/>
        <v>0</v>
      </c>
      <c r="Q104" s="185">
        <f t="shared" ca="1" si="649"/>
        <v>0</v>
      </c>
      <c r="R104" s="185">
        <f t="shared" ca="1" si="649"/>
        <v>0</v>
      </c>
      <c r="S104" s="185">
        <f t="shared" ca="1" si="649"/>
        <v>0</v>
      </c>
      <c r="T104" s="185">
        <f t="shared" ca="1" si="649"/>
        <v>0</v>
      </c>
      <c r="U104" s="185">
        <f t="shared" ca="1" si="649"/>
        <v>0</v>
      </c>
      <c r="V104" s="185">
        <f t="shared" ca="1" si="649"/>
        <v>0</v>
      </c>
      <c r="W104" s="185">
        <f t="shared" ca="1" si="649"/>
        <v>0</v>
      </c>
      <c r="X104" s="185">
        <f t="shared" ca="1" si="649"/>
        <v>0</v>
      </c>
      <c r="Y104" s="185">
        <f t="shared" ca="1" si="649"/>
        <v>0</v>
      </c>
      <c r="Z104" s="185">
        <f t="shared" ca="1" si="649"/>
        <v>0</v>
      </c>
      <c r="AA104" s="185">
        <f t="shared" ca="1" si="649"/>
        <v>0</v>
      </c>
      <c r="AB104" s="185">
        <f t="shared" ca="1" si="649"/>
        <v>0</v>
      </c>
      <c r="AC104" s="185">
        <f t="shared" ca="1" si="649"/>
        <v>0</v>
      </c>
      <c r="AD104" s="185">
        <f t="shared" ca="1" si="649"/>
        <v>0</v>
      </c>
      <c r="AE104" s="185">
        <f t="shared" ca="1" si="649"/>
        <v>0</v>
      </c>
      <c r="AF104" s="185">
        <f t="shared" ca="1" si="649"/>
        <v>0</v>
      </c>
      <c r="AG104" s="185">
        <f t="shared" ca="1" si="649"/>
        <v>0</v>
      </c>
      <c r="AH104" s="185">
        <f t="shared" ca="1" si="649"/>
        <v>0</v>
      </c>
      <c r="AI104" s="185">
        <f t="shared" ca="1" si="649"/>
        <v>0</v>
      </c>
      <c r="AJ104" s="185">
        <f t="shared" ca="1" si="649"/>
        <v>0</v>
      </c>
      <c r="AK104" s="185">
        <f t="shared" ca="1" si="649"/>
        <v>0</v>
      </c>
      <c r="AL104" s="185">
        <f t="shared" ca="1" si="649"/>
        <v>0</v>
      </c>
      <c r="AM104" s="185">
        <f t="shared" ca="1" si="649"/>
        <v>0</v>
      </c>
      <c r="AN104" s="185">
        <f t="shared" ca="1" si="649"/>
        <v>0</v>
      </c>
      <c r="AO104" s="185">
        <f t="shared" ca="1" si="649"/>
        <v>0</v>
      </c>
      <c r="AP104" s="185">
        <f t="shared" ca="1" si="649"/>
        <v>0</v>
      </c>
      <c r="AQ104" s="185">
        <f t="shared" ca="1" si="649"/>
        <v>0</v>
      </c>
      <c r="AR104" s="185">
        <f t="shared" ca="1" si="649"/>
        <v>0</v>
      </c>
      <c r="AS104" s="185">
        <f t="shared" ca="1" si="649"/>
        <v>0</v>
      </c>
      <c r="AT104" s="185">
        <f t="shared" ca="1" si="649"/>
        <v>0</v>
      </c>
      <c r="AU104" s="185">
        <f t="shared" ca="1" si="649"/>
        <v>0</v>
      </c>
      <c r="AV104" s="185">
        <f t="shared" ca="1" si="649"/>
        <v>0</v>
      </c>
      <c r="AW104" s="185">
        <f t="shared" ca="1" si="649"/>
        <v>0</v>
      </c>
      <c r="AX104" s="185">
        <f t="shared" ca="1" si="649"/>
        <v>0</v>
      </c>
      <c r="AY104" s="185">
        <f t="shared" ca="1" si="649"/>
        <v>0</v>
      </c>
      <c r="AZ104" s="185">
        <f t="shared" ca="1" si="649"/>
        <v>0</v>
      </c>
      <c r="BA104" s="185">
        <f t="shared" ca="1" si="649"/>
        <v>0</v>
      </c>
      <c r="BB104" s="185">
        <f t="shared" ca="1" si="649"/>
        <v>0</v>
      </c>
      <c r="BC104" s="185"/>
      <c r="BD104" s="193">
        <f ca="1">SUM(G104:BC104)</f>
        <v>0</v>
      </c>
    </row>
    <row r="105" spans="1:56" hidden="1" outlineLevel="1" x14ac:dyDescent="0.3">
      <c r="A105" s="184" t="str">
        <f ca="1">Language!A$621</f>
        <v>НДС полученный с авансов</v>
      </c>
      <c r="B105" s="174"/>
      <c r="C105" s="163" t="str">
        <f ca="1">CHOOSE(D105,CurName1,CurName2,CurName3)</f>
        <v>руб.</v>
      </c>
      <c r="D105" s="174">
        <f>D86</f>
        <v>1</v>
      </c>
      <c r="E105" s="170" t="s">
        <v>1457</v>
      </c>
      <c r="F105" s="170" t="s">
        <v>740</v>
      </c>
      <c r="G105" s="185">
        <f ca="1">G94*G98/(1+G98)</f>
        <v>0</v>
      </c>
      <c r="H105" s="185">
        <f t="shared" ref="H105:BB105" ca="1" si="650">H94*H98/(1+H98)</f>
        <v>0</v>
      </c>
      <c r="I105" s="185">
        <f t="shared" ca="1" si="650"/>
        <v>0</v>
      </c>
      <c r="J105" s="185">
        <f t="shared" ca="1" si="650"/>
        <v>0</v>
      </c>
      <c r="K105" s="185">
        <f t="shared" ca="1" si="650"/>
        <v>0</v>
      </c>
      <c r="L105" s="185">
        <f t="shared" ca="1" si="650"/>
        <v>0</v>
      </c>
      <c r="M105" s="185">
        <f t="shared" ca="1" si="650"/>
        <v>0</v>
      </c>
      <c r="N105" s="185">
        <f t="shared" ca="1" si="650"/>
        <v>0</v>
      </c>
      <c r="O105" s="185">
        <f t="shared" ca="1" si="650"/>
        <v>0</v>
      </c>
      <c r="P105" s="185">
        <f t="shared" ca="1" si="650"/>
        <v>0</v>
      </c>
      <c r="Q105" s="185">
        <f t="shared" ca="1" si="650"/>
        <v>0</v>
      </c>
      <c r="R105" s="185">
        <f t="shared" ca="1" si="650"/>
        <v>0</v>
      </c>
      <c r="S105" s="185">
        <f t="shared" ca="1" si="650"/>
        <v>0</v>
      </c>
      <c r="T105" s="185">
        <f t="shared" ca="1" si="650"/>
        <v>0</v>
      </c>
      <c r="U105" s="185">
        <f t="shared" ca="1" si="650"/>
        <v>0</v>
      </c>
      <c r="V105" s="185">
        <f t="shared" ca="1" si="650"/>
        <v>0</v>
      </c>
      <c r="W105" s="185">
        <f t="shared" ca="1" si="650"/>
        <v>0</v>
      </c>
      <c r="X105" s="185">
        <f t="shared" ca="1" si="650"/>
        <v>0</v>
      </c>
      <c r="Y105" s="185">
        <f t="shared" ca="1" si="650"/>
        <v>0</v>
      </c>
      <c r="Z105" s="185">
        <f t="shared" ca="1" si="650"/>
        <v>0</v>
      </c>
      <c r="AA105" s="185">
        <f t="shared" ca="1" si="650"/>
        <v>0</v>
      </c>
      <c r="AB105" s="185">
        <f t="shared" ca="1" si="650"/>
        <v>0</v>
      </c>
      <c r="AC105" s="185">
        <f t="shared" ca="1" si="650"/>
        <v>0</v>
      </c>
      <c r="AD105" s="185">
        <f t="shared" ca="1" si="650"/>
        <v>0</v>
      </c>
      <c r="AE105" s="185">
        <f t="shared" ca="1" si="650"/>
        <v>0</v>
      </c>
      <c r="AF105" s="185">
        <f t="shared" ca="1" si="650"/>
        <v>0</v>
      </c>
      <c r="AG105" s="185">
        <f t="shared" ca="1" si="650"/>
        <v>0</v>
      </c>
      <c r="AH105" s="185">
        <f t="shared" ca="1" si="650"/>
        <v>0</v>
      </c>
      <c r="AI105" s="185">
        <f t="shared" ca="1" si="650"/>
        <v>0</v>
      </c>
      <c r="AJ105" s="185">
        <f t="shared" ca="1" si="650"/>
        <v>0</v>
      </c>
      <c r="AK105" s="185">
        <f t="shared" ca="1" si="650"/>
        <v>0</v>
      </c>
      <c r="AL105" s="185">
        <f t="shared" ca="1" si="650"/>
        <v>0</v>
      </c>
      <c r="AM105" s="185">
        <f t="shared" ca="1" si="650"/>
        <v>0</v>
      </c>
      <c r="AN105" s="185">
        <f t="shared" ca="1" si="650"/>
        <v>0</v>
      </c>
      <c r="AO105" s="185">
        <f t="shared" ca="1" si="650"/>
        <v>0</v>
      </c>
      <c r="AP105" s="185">
        <f t="shared" ca="1" si="650"/>
        <v>0</v>
      </c>
      <c r="AQ105" s="185">
        <f t="shared" ca="1" si="650"/>
        <v>0</v>
      </c>
      <c r="AR105" s="185">
        <f t="shared" ca="1" si="650"/>
        <v>0</v>
      </c>
      <c r="AS105" s="185">
        <f t="shared" ca="1" si="650"/>
        <v>0</v>
      </c>
      <c r="AT105" s="185">
        <f t="shared" ca="1" si="650"/>
        <v>0</v>
      </c>
      <c r="AU105" s="185">
        <f t="shared" ca="1" si="650"/>
        <v>0</v>
      </c>
      <c r="AV105" s="185">
        <f t="shared" ca="1" si="650"/>
        <v>0</v>
      </c>
      <c r="AW105" s="185">
        <f t="shared" ca="1" si="650"/>
        <v>0</v>
      </c>
      <c r="AX105" s="185">
        <f t="shared" ca="1" si="650"/>
        <v>0</v>
      </c>
      <c r="AY105" s="185">
        <f t="shared" ca="1" si="650"/>
        <v>0</v>
      </c>
      <c r="AZ105" s="185">
        <f t="shared" ca="1" si="650"/>
        <v>0</v>
      </c>
      <c r="BA105" s="185">
        <f t="shared" ca="1" si="650"/>
        <v>0</v>
      </c>
      <c r="BB105" s="185">
        <f t="shared" ca="1" si="650"/>
        <v>0</v>
      </c>
      <c r="BC105" s="185"/>
      <c r="BD105" s="193">
        <f ca="1">SUM(G105:BC105)</f>
        <v>0</v>
      </c>
    </row>
    <row r="106" spans="1:56" x14ac:dyDescent="0.3">
      <c r="A106" s="283" t="s">
        <v>3431</v>
      </c>
      <c r="B106" s="172"/>
      <c r="C106" s="173"/>
      <c r="D106" s="174">
        <v>1</v>
      </c>
      <c r="F106" s="170" t="s">
        <v>3432</v>
      </c>
    </row>
    <row r="107" spans="1:56" x14ac:dyDescent="0.3">
      <c r="A107" s="175" t="str">
        <f ca="1">Language!A$606</f>
        <v>объем продаж за период</v>
      </c>
      <c r="B107" s="172"/>
      <c r="C107" s="292" t="s">
        <v>521</v>
      </c>
      <c r="E107" s="170" t="s">
        <v>945</v>
      </c>
      <c r="F107" s="170" t="s">
        <v>2353</v>
      </c>
      <c r="G107" s="285">
        <f>G47*0.1</f>
        <v>0</v>
      </c>
      <c r="H107" s="285">
        <f t="shared" ref="H107:BB107" si="651">H47*0.1</f>
        <v>0</v>
      </c>
      <c r="I107" s="285">
        <f t="shared" si="651"/>
        <v>0</v>
      </c>
      <c r="J107" s="285">
        <f t="shared" si="651"/>
        <v>0</v>
      </c>
      <c r="K107" s="285">
        <f t="shared" si="651"/>
        <v>0</v>
      </c>
      <c r="L107" s="285">
        <f t="shared" si="651"/>
        <v>0</v>
      </c>
      <c r="M107" s="285">
        <f t="shared" si="651"/>
        <v>144</v>
      </c>
      <c r="N107" s="285">
        <f t="shared" si="651"/>
        <v>192</v>
      </c>
      <c r="O107" s="285">
        <f t="shared" si="651"/>
        <v>240</v>
      </c>
      <c r="P107" s="285">
        <f t="shared" si="651"/>
        <v>288</v>
      </c>
      <c r="Q107" s="285">
        <f t="shared" si="651"/>
        <v>288</v>
      </c>
      <c r="R107" s="285">
        <f t="shared" si="651"/>
        <v>288</v>
      </c>
      <c r="S107" s="285">
        <f t="shared" si="651"/>
        <v>384</v>
      </c>
      <c r="T107" s="285">
        <f t="shared" si="651"/>
        <v>336</v>
      </c>
      <c r="U107" s="285">
        <f t="shared" si="651"/>
        <v>288</v>
      </c>
      <c r="V107" s="285">
        <f t="shared" si="651"/>
        <v>288</v>
      </c>
      <c r="W107" s="285">
        <f t="shared" si="651"/>
        <v>240</v>
      </c>
      <c r="X107" s="285">
        <f t="shared" si="651"/>
        <v>384</v>
      </c>
      <c r="Y107" s="285">
        <f t="shared" si="651"/>
        <v>480</v>
      </c>
      <c r="Z107" s="285">
        <f t="shared" si="651"/>
        <v>480</v>
      </c>
      <c r="AA107" s="285">
        <f t="shared" si="651"/>
        <v>336</v>
      </c>
      <c r="AB107" s="285">
        <f t="shared" si="651"/>
        <v>240</v>
      </c>
      <c r="AC107" s="285">
        <f t="shared" si="651"/>
        <v>240</v>
      </c>
      <c r="AD107" s="285">
        <f t="shared" si="651"/>
        <v>288</v>
      </c>
      <c r="AE107" s="285">
        <f t="shared" si="651"/>
        <v>384</v>
      </c>
      <c r="AF107" s="285">
        <f t="shared" si="651"/>
        <v>336</v>
      </c>
      <c r="AG107" s="285">
        <f t="shared" si="651"/>
        <v>288</v>
      </c>
      <c r="AH107" s="285">
        <f t="shared" si="651"/>
        <v>288</v>
      </c>
      <c r="AI107" s="285">
        <f t="shared" si="651"/>
        <v>240</v>
      </c>
      <c r="AJ107" s="285">
        <f t="shared" si="651"/>
        <v>384</v>
      </c>
      <c r="AK107" s="285">
        <f t="shared" si="651"/>
        <v>480</v>
      </c>
      <c r="AL107" s="285">
        <f t="shared" si="651"/>
        <v>480</v>
      </c>
      <c r="AM107" s="285">
        <f t="shared" si="651"/>
        <v>336</v>
      </c>
      <c r="AN107" s="285">
        <f t="shared" si="651"/>
        <v>240</v>
      </c>
      <c r="AO107" s="285">
        <f t="shared" si="651"/>
        <v>240</v>
      </c>
      <c r="AP107" s="285">
        <f t="shared" si="651"/>
        <v>288</v>
      </c>
      <c r="AQ107" s="285">
        <f t="shared" si="651"/>
        <v>384</v>
      </c>
      <c r="AR107" s="285">
        <f t="shared" si="651"/>
        <v>336</v>
      </c>
      <c r="AS107" s="285">
        <f t="shared" si="651"/>
        <v>288</v>
      </c>
      <c r="AT107" s="285">
        <f t="shared" si="651"/>
        <v>288</v>
      </c>
      <c r="AU107" s="285">
        <f t="shared" si="651"/>
        <v>240</v>
      </c>
      <c r="AV107" s="285">
        <f t="shared" si="651"/>
        <v>384</v>
      </c>
      <c r="AW107" s="285">
        <f t="shared" si="651"/>
        <v>480</v>
      </c>
      <c r="AX107" s="285">
        <f t="shared" si="651"/>
        <v>480</v>
      </c>
      <c r="AY107" s="285">
        <f t="shared" si="651"/>
        <v>336</v>
      </c>
      <c r="AZ107" s="285">
        <f t="shared" si="651"/>
        <v>240</v>
      </c>
      <c r="BA107" s="285">
        <f t="shared" si="651"/>
        <v>240</v>
      </c>
      <c r="BB107" s="285">
        <f t="shared" si="651"/>
        <v>288</v>
      </c>
      <c r="BC107" s="177"/>
      <c r="BD107" s="178">
        <f>SUM(G107:BC107)</f>
        <v>13392</v>
      </c>
    </row>
    <row r="108" spans="1:56" x14ac:dyDescent="0.3">
      <c r="A108" s="175" t="str">
        <f ca="1">Language!A$587</f>
        <v>коэффициент продаж периода</v>
      </c>
      <c r="B108" s="179"/>
      <c r="C108" s="179"/>
      <c r="F108" s="170" t="s">
        <v>745</v>
      </c>
      <c r="G108" s="286">
        <f t="shared" ref="G108:BB108" si="652">IF(G$2&gt;Prj_Invest,1,0)</f>
        <v>0</v>
      </c>
      <c r="H108" s="286">
        <f t="shared" si="652"/>
        <v>0</v>
      </c>
      <c r="I108" s="286">
        <f t="shared" si="652"/>
        <v>0</v>
      </c>
      <c r="J108" s="286">
        <f t="shared" si="652"/>
        <v>0</v>
      </c>
      <c r="K108" s="286">
        <f t="shared" si="652"/>
        <v>0</v>
      </c>
      <c r="L108" s="286">
        <f t="shared" si="652"/>
        <v>0</v>
      </c>
      <c r="M108" s="286">
        <f t="shared" si="652"/>
        <v>1</v>
      </c>
      <c r="N108" s="286">
        <f t="shared" si="652"/>
        <v>1</v>
      </c>
      <c r="O108" s="286">
        <f t="shared" si="652"/>
        <v>1</v>
      </c>
      <c r="P108" s="286">
        <f t="shared" si="652"/>
        <v>1</v>
      </c>
      <c r="Q108" s="286">
        <f t="shared" si="652"/>
        <v>1</v>
      </c>
      <c r="R108" s="286">
        <f t="shared" si="652"/>
        <v>1</v>
      </c>
      <c r="S108" s="286">
        <f t="shared" si="652"/>
        <v>1</v>
      </c>
      <c r="T108" s="286">
        <f t="shared" si="652"/>
        <v>1</v>
      </c>
      <c r="U108" s="286">
        <f t="shared" si="652"/>
        <v>1</v>
      </c>
      <c r="V108" s="286">
        <f t="shared" si="652"/>
        <v>1</v>
      </c>
      <c r="W108" s="286">
        <f t="shared" si="652"/>
        <v>1</v>
      </c>
      <c r="X108" s="286">
        <f t="shared" si="652"/>
        <v>1</v>
      </c>
      <c r="Y108" s="286">
        <f t="shared" si="652"/>
        <v>1</v>
      </c>
      <c r="Z108" s="286">
        <f t="shared" si="652"/>
        <v>1</v>
      </c>
      <c r="AA108" s="286">
        <f t="shared" si="652"/>
        <v>1</v>
      </c>
      <c r="AB108" s="286">
        <f t="shared" si="652"/>
        <v>1</v>
      </c>
      <c r="AC108" s="286">
        <f t="shared" si="652"/>
        <v>1</v>
      </c>
      <c r="AD108" s="286">
        <f t="shared" si="652"/>
        <v>1</v>
      </c>
      <c r="AE108" s="286">
        <f t="shared" si="652"/>
        <v>1</v>
      </c>
      <c r="AF108" s="286">
        <f t="shared" si="652"/>
        <v>1</v>
      </c>
      <c r="AG108" s="286">
        <f t="shared" si="652"/>
        <v>1</v>
      </c>
      <c r="AH108" s="286">
        <f t="shared" si="652"/>
        <v>1</v>
      </c>
      <c r="AI108" s="286">
        <f t="shared" si="652"/>
        <v>1</v>
      </c>
      <c r="AJ108" s="286">
        <f t="shared" si="652"/>
        <v>1</v>
      </c>
      <c r="AK108" s="286">
        <f t="shared" si="652"/>
        <v>1</v>
      </c>
      <c r="AL108" s="286">
        <f t="shared" si="652"/>
        <v>1</v>
      </c>
      <c r="AM108" s="286">
        <f t="shared" si="652"/>
        <v>1</v>
      </c>
      <c r="AN108" s="286">
        <f t="shared" si="652"/>
        <v>1</v>
      </c>
      <c r="AO108" s="286">
        <f t="shared" si="652"/>
        <v>1</v>
      </c>
      <c r="AP108" s="286">
        <f t="shared" si="652"/>
        <v>1</v>
      </c>
      <c r="AQ108" s="286">
        <f t="shared" si="652"/>
        <v>1</v>
      </c>
      <c r="AR108" s="286">
        <f t="shared" si="652"/>
        <v>1</v>
      </c>
      <c r="AS108" s="286">
        <f t="shared" si="652"/>
        <v>1</v>
      </c>
      <c r="AT108" s="286">
        <f t="shared" si="652"/>
        <v>1</v>
      </c>
      <c r="AU108" s="286">
        <f t="shared" si="652"/>
        <v>1</v>
      </c>
      <c r="AV108" s="286">
        <f t="shared" si="652"/>
        <v>1</v>
      </c>
      <c r="AW108" s="286">
        <f t="shared" si="652"/>
        <v>1</v>
      </c>
      <c r="AX108" s="286">
        <f t="shared" si="652"/>
        <v>1</v>
      </c>
      <c r="AY108" s="286">
        <f t="shared" si="652"/>
        <v>1</v>
      </c>
      <c r="AZ108" s="286">
        <f t="shared" si="652"/>
        <v>1</v>
      </c>
      <c r="BA108" s="286">
        <f t="shared" si="652"/>
        <v>1</v>
      </c>
      <c r="BB108" s="286">
        <f t="shared" si="652"/>
        <v>1</v>
      </c>
      <c r="BC108" s="180"/>
    </row>
    <row r="109" spans="1:56" x14ac:dyDescent="0.3">
      <c r="A109" s="181" t="str">
        <f ca="1">Language!A$607 &amp; C107 &amp; Language!A$1485</f>
        <v>цена за единицу (ед.), без НДС</v>
      </c>
      <c r="B109" s="293">
        <v>1500</v>
      </c>
      <c r="C109" s="176" t="str">
        <f t="shared" ref="C109:C111" ca="1" si="653">CHOOSE(D109,CurName1,CurName2,CurName3)</f>
        <v>руб.</v>
      </c>
      <c r="D109" s="174">
        <f>D106</f>
        <v>1</v>
      </c>
      <c r="E109" s="170" t="s">
        <v>842</v>
      </c>
      <c r="F109" s="170" t="s">
        <v>2346</v>
      </c>
      <c r="G109" s="294">
        <f ca="1">IF(G$2=1,$B109,F109)*IF($B122=1,G122,G121)</f>
        <v>1500</v>
      </c>
      <c r="H109" s="294">
        <f t="shared" ref="H109" ca="1" si="654">IF(H$2=1,$B109,G109)*IF($B122=1,H122,H121)</f>
        <v>1507.3013258480146</v>
      </c>
      <c r="I109" s="294">
        <f t="shared" ref="I109" ca="1" si="655">IF(I$2=1,$B109,H109)*IF($B122=1,I122,I121)</f>
        <v>1514.6381912687884</v>
      </c>
      <c r="J109" s="294">
        <f t="shared" ref="J109" ca="1" si="656">IF(J$2=1,$B109,I109)*IF($B122=1,J122,J121)</f>
        <v>1522.0107692529889</v>
      </c>
      <c r="K109" s="294">
        <f t="shared" ref="K109" ca="1" si="657">IF(K$2=1,$B109,J109)*IF($B122=1,K122,K121)</f>
        <v>1529.4192336333244</v>
      </c>
      <c r="L109" s="294">
        <f t="shared" ref="L109" ca="1" si="658">IF(L$2=1,$B109,K109)*IF($B122=1,L122,L121)</f>
        <v>1536.8637590886428</v>
      </c>
      <c r="M109" s="294">
        <f t="shared" ref="M109" ca="1" si="659">IF(M$2=1,$B109,L109)*IF($B122=1,M122,M121)</f>
        <v>1544.34452114805</v>
      </c>
      <c r="N109" s="294">
        <f t="shared" ref="N109" ca="1" si="660">IF(N$2=1,$B109,M109)*IF($B122=1,N122,N121)</f>
        <v>1551.8616961950486</v>
      </c>
      <c r="O109" s="294">
        <f t="shared" ref="O109" ca="1" si="661">IF(O$2=1,$B109,N109)*IF($B122=1,O122,O121)</f>
        <v>1559.415461471697</v>
      </c>
      <c r="P109" s="294">
        <f t="shared" ref="P109" ca="1" si="662">IF(P$2=1,$B109,O109)*IF($B122=1,P122,P121)</f>
        <v>1567.0059950827883</v>
      </c>
      <c r="Q109" s="294">
        <f t="shared" ref="Q109" ca="1" si="663">IF(Q$2=1,$B109,P109)*IF($B122=1,Q122,Q121)</f>
        <v>1574.6334760000495</v>
      </c>
      <c r="R109" s="294">
        <f t="shared" ref="R109" ca="1" si="664">IF(R$2=1,$B109,Q109)*IF($B122=1,R122,R121)</f>
        <v>1582.2980840663618</v>
      </c>
      <c r="S109" s="294">
        <f t="shared" ref="S109" ca="1" si="665">IF(S$2=1,$B109,R109)*IF($B122=1,S122,S121)</f>
        <v>1590.0000000000002</v>
      </c>
      <c r="T109" s="294">
        <f t="shared" ref="T109" ca="1" si="666">IF(T$2=1,$B109,S109)*IF($B122=1,T122,T121)</f>
        <v>1597.7394053988958</v>
      </c>
      <c r="U109" s="294">
        <f t="shared" ref="U109" ca="1" si="667">IF(U$2=1,$B109,T109)*IF($B122=1,U122,U121)</f>
        <v>1605.5164827449159</v>
      </c>
      <c r="V109" s="294">
        <f t="shared" ref="V109" ca="1" si="668">IF(V$2=1,$B109,U109)*IF($B122=1,V122,V121)</f>
        <v>1613.3314154081686</v>
      </c>
      <c r="W109" s="294">
        <f t="shared" ref="W109" ca="1" si="669">IF(W$2=1,$B109,V109)*IF($B122=1,W122,W121)</f>
        <v>1621.1843876513244</v>
      </c>
      <c r="X109" s="294">
        <f t="shared" ref="X109" ca="1" si="670">IF(X$2=1,$B109,W109)*IF($B122=1,X122,X121)</f>
        <v>1629.0755846339619</v>
      </c>
      <c r="Y109" s="294">
        <f t="shared" ref="Y109" ca="1" si="671">IF(Y$2=1,$B109,X109)*IF($B122=1,Y122,Y121)</f>
        <v>1637.0051924169334</v>
      </c>
      <c r="Z109" s="294">
        <f t="shared" ref="Z109" ca="1" si="672">IF(Z$2=1,$B109,Y109)*IF($B122=1,Z122,Z121)</f>
        <v>1644.9733979667519</v>
      </c>
      <c r="AA109" s="294">
        <f t="shared" ref="AA109" ca="1" si="673">IF(AA$2=1,$B109,Z109)*IF($B122=1,AA122,AA121)</f>
        <v>1652.9803891599993</v>
      </c>
      <c r="AB109" s="294">
        <f t="shared" ref="AB109" ca="1" si="674">IF(AB$2=1,$B109,AA109)*IF($B122=1,AB122,AB121)</f>
        <v>1661.026354787756</v>
      </c>
      <c r="AC109" s="294">
        <f t="shared" ref="AC109" ca="1" si="675">IF(AC$2=1,$B109,AB109)*IF($B122=1,AC122,AC121)</f>
        <v>1669.1114845600528</v>
      </c>
      <c r="AD109" s="294">
        <f t="shared" ref="AD109" ca="1" si="676">IF(AD$2=1,$B109,AC109)*IF($B122=1,AD122,AD121)</f>
        <v>1677.2359691103436</v>
      </c>
      <c r="AE109" s="294">
        <f t="shared" ref="AE109" ca="1" si="677">IF(AE$2=1,$B109,AD109)*IF($B122=1,AE122,AE121)</f>
        <v>1685.4000000000003</v>
      </c>
      <c r="AF109" s="294">
        <f t="shared" ref="AF109" ca="1" si="678">IF(AF$2=1,$B109,AE109)*IF($B122=1,AF122,AF121)</f>
        <v>1693.6037697228294</v>
      </c>
      <c r="AG109" s="294">
        <f t="shared" ref="AG109" ca="1" si="679">IF(AG$2=1,$B109,AF109)*IF($B122=1,AG122,AG121)</f>
        <v>1701.8474717096108</v>
      </c>
      <c r="AH109" s="294">
        <f t="shared" ref="AH109" ca="1" si="680">IF(AH$2=1,$B109,AG109)*IF($B122=1,AH122,AH121)</f>
        <v>1710.1313003326586</v>
      </c>
      <c r="AI109" s="294">
        <f t="shared" ref="AI109" ca="1" si="681">IF(AI$2=1,$B109,AH109)*IF($B122=1,AI122,AI121)</f>
        <v>1718.4554509104037</v>
      </c>
      <c r="AJ109" s="294">
        <f t="shared" ref="AJ109" ca="1" si="682">IF(AJ$2=1,$B109,AI109)*IF($B122=1,AJ122,AJ121)</f>
        <v>1726.8201197119995</v>
      </c>
      <c r="AK109" s="294">
        <f t="shared" ref="AK109" ca="1" si="683">IF(AK$2=1,$B109,AJ109)*IF($B122=1,AK122,AK121)</f>
        <v>1735.2255039619495</v>
      </c>
      <c r="AL109" s="294">
        <f t="shared" ref="AL109" ca="1" si="684">IF(AL$2=1,$B109,AK109)*IF($B122=1,AL122,AL121)</f>
        <v>1743.6718018447571</v>
      </c>
      <c r="AM109" s="294">
        <f t="shared" ref="AM109" ca="1" si="685">IF(AM$2=1,$B109,AL109)*IF($B122=1,AM122,AM121)</f>
        <v>1752.1592125095992</v>
      </c>
      <c r="AN109" s="294">
        <f t="shared" ref="AN109" ca="1" si="686">IF(AN$2=1,$B109,AM109)*IF($B122=1,AN122,AN121)</f>
        <v>1760.6879360750213</v>
      </c>
      <c r="AO109" s="294">
        <f t="shared" ref="AO109" ca="1" si="687">IF(AO$2=1,$B109,AN109)*IF($B122=1,AO122,AO121)</f>
        <v>1769.258173633656</v>
      </c>
      <c r="AP109" s="294">
        <f t="shared" ref="AP109" ca="1" si="688">IF(AP$2=1,$B109,AO109)*IF($B122=1,AP122,AP121)</f>
        <v>1777.8701272569645</v>
      </c>
      <c r="AQ109" s="294">
        <f t="shared" ref="AQ109" ca="1" si="689">IF(AQ$2=1,$B109,AP109)*IF($B122=1,AQ122,AQ121)</f>
        <v>1786.5240000000006</v>
      </c>
      <c r="AR109" s="294">
        <f t="shared" ref="AR109" ca="1" si="690">IF(AR$2=1,$B109,AQ109)*IF($B122=1,AR122,AR121)</f>
        <v>1795.2199959061995</v>
      </c>
      <c r="AS109" s="294">
        <f t="shared" ref="AS109" ca="1" si="691">IF(AS$2=1,$B109,AR109)*IF($B122=1,AS122,AS121)</f>
        <v>1803.9583200121879</v>
      </c>
      <c r="AT109" s="294">
        <f t="shared" ref="AT109" ca="1" si="692">IF(AT$2=1,$B109,AS109)*IF($B122=1,AT122,AT121)</f>
        <v>1812.7391783526184</v>
      </c>
      <c r="AU109" s="294">
        <f t="shared" ref="AU109" ca="1" si="693">IF(AU$2=1,$B109,AT109)*IF($B122=1,AU122,AU121)</f>
        <v>1821.5627779650281</v>
      </c>
      <c r="AV109" s="294">
        <f t="shared" ref="AV109" ca="1" si="694">IF(AV$2=1,$B109,AU109)*IF($B122=1,AV122,AV121)</f>
        <v>1830.4293268947197</v>
      </c>
      <c r="AW109" s="294">
        <f t="shared" ref="AW109" ca="1" si="695">IF(AW$2=1,$B109,AV109)*IF($B122=1,AW122,AW121)</f>
        <v>1839.3390341996665</v>
      </c>
      <c r="AX109" s="294">
        <f t="shared" ref="AX109" ca="1" si="696">IF(AX$2=1,$B109,AW109)*IF($B122=1,AX122,AX121)</f>
        <v>1848.2921099554426</v>
      </c>
      <c r="AY109" s="294">
        <f t="shared" ref="AY109" ca="1" si="697">IF(AY$2=1,$B109,AX109)*IF($B122=1,AY122,AY121)</f>
        <v>1857.2887652601753</v>
      </c>
      <c r="AZ109" s="294">
        <f t="shared" ref="AZ109" ca="1" si="698">IF(AZ$2=1,$B109,AY109)*IF($B122=1,AZ122,AZ121)</f>
        <v>1866.3292122395228</v>
      </c>
      <c r="BA109" s="294">
        <f t="shared" ref="BA109" ca="1" si="699">IF(BA$2=1,$B109,AZ109)*IF($B122=1,BA122,BA121)</f>
        <v>1875.4136640516756</v>
      </c>
      <c r="BB109" s="294">
        <f t="shared" ref="BB109" ca="1" si="700">IF(BB$2=1,$B109,BA109)*IF($B122=1,BB122,BB121)</f>
        <v>1884.5423348923823</v>
      </c>
      <c r="BC109" s="177"/>
    </row>
    <row r="110" spans="1:56" collapsed="1" x14ac:dyDescent="0.3">
      <c r="A110" s="181" t="str">
        <f ca="1">Language!A$608</f>
        <v>выручка от реализации, без НДС</v>
      </c>
      <c r="B110" s="176"/>
      <c r="C110" s="176" t="str">
        <f t="shared" ca="1" si="653"/>
        <v>руб.</v>
      </c>
      <c r="D110" s="174">
        <f>D106</f>
        <v>1</v>
      </c>
      <c r="E110" s="170" t="s">
        <v>992</v>
      </c>
      <c r="F110" s="170" t="s">
        <v>740</v>
      </c>
      <c r="G110" s="182">
        <f t="shared" ref="G110:BB110" ca="1" si="701">G107*G109</f>
        <v>0</v>
      </c>
      <c r="H110" s="182">
        <f t="shared" ca="1" si="701"/>
        <v>0</v>
      </c>
      <c r="I110" s="182">
        <f t="shared" ca="1" si="701"/>
        <v>0</v>
      </c>
      <c r="J110" s="182">
        <f t="shared" ca="1" si="701"/>
        <v>0</v>
      </c>
      <c r="K110" s="182">
        <f t="shared" ca="1" si="701"/>
        <v>0</v>
      </c>
      <c r="L110" s="182">
        <f t="shared" ca="1" si="701"/>
        <v>0</v>
      </c>
      <c r="M110" s="182">
        <f t="shared" ca="1" si="701"/>
        <v>222385.61104531921</v>
      </c>
      <c r="N110" s="182">
        <f t="shared" ca="1" si="701"/>
        <v>297957.44566944934</v>
      </c>
      <c r="O110" s="182">
        <f t="shared" ca="1" si="701"/>
        <v>374259.71075320727</v>
      </c>
      <c r="P110" s="182">
        <f t="shared" ca="1" si="701"/>
        <v>451297.72658384306</v>
      </c>
      <c r="Q110" s="182">
        <f t="shared" ca="1" si="701"/>
        <v>453494.44108801428</v>
      </c>
      <c r="R110" s="182">
        <f t="shared" ca="1" si="701"/>
        <v>455701.8482111122</v>
      </c>
      <c r="S110" s="182">
        <f t="shared" ca="1" si="701"/>
        <v>610560.00000000012</v>
      </c>
      <c r="T110" s="182">
        <f t="shared" ca="1" si="701"/>
        <v>536840.44021402893</v>
      </c>
      <c r="U110" s="182">
        <f t="shared" ca="1" si="701"/>
        <v>462388.74703053577</v>
      </c>
      <c r="V110" s="182">
        <f t="shared" ca="1" si="701"/>
        <v>464639.44763755257</v>
      </c>
      <c r="W110" s="182">
        <f t="shared" ca="1" si="701"/>
        <v>389084.25303631788</v>
      </c>
      <c r="X110" s="182">
        <f t="shared" ca="1" si="701"/>
        <v>625565.02449944138</v>
      </c>
      <c r="Y110" s="182">
        <f t="shared" ca="1" si="701"/>
        <v>785762.49236012797</v>
      </c>
      <c r="Z110" s="182">
        <f t="shared" ca="1" si="701"/>
        <v>789587.23102404096</v>
      </c>
      <c r="AA110" s="182">
        <f t="shared" ca="1" si="701"/>
        <v>555401.4107577597</v>
      </c>
      <c r="AB110" s="182">
        <f t="shared" ca="1" si="701"/>
        <v>398646.32514906145</v>
      </c>
      <c r="AC110" s="182">
        <f t="shared" ca="1" si="701"/>
        <v>400586.75629441265</v>
      </c>
      <c r="AD110" s="182">
        <f t="shared" ca="1" si="701"/>
        <v>483043.95910377894</v>
      </c>
      <c r="AE110" s="182">
        <f t="shared" ca="1" si="701"/>
        <v>647193.60000000009</v>
      </c>
      <c r="AF110" s="182">
        <f t="shared" ca="1" si="701"/>
        <v>569050.8666268707</v>
      </c>
      <c r="AG110" s="182">
        <f t="shared" ca="1" si="701"/>
        <v>490132.0718523679</v>
      </c>
      <c r="AH110" s="182">
        <f t="shared" ca="1" si="701"/>
        <v>492517.81449580565</v>
      </c>
      <c r="AI110" s="182">
        <f t="shared" ca="1" si="701"/>
        <v>412429.30821849685</v>
      </c>
      <c r="AJ110" s="182">
        <f t="shared" ca="1" si="701"/>
        <v>663098.92596940778</v>
      </c>
      <c r="AK110" s="182">
        <f t="shared" ca="1" si="701"/>
        <v>832908.24190173578</v>
      </c>
      <c r="AL110" s="182">
        <f t="shared" ca="1" si="701"/>
        <v>836962.46488548338</v>
      </c>
      <c r="AM110" s="182">
        <f t="shared" ca="1" si="701"/>
        <v>588725.4954032253</v>
      </c>
      <c r="AN110" s="182">
        <f t="shared" ca="1" si="701"/>
        <v>422565.10465800512</v>
      </c>
      <c r="AO110" s="182">
        <f t="shared" ca="1" si="701"/>
        <v>424621.96167207742</v>
      </c>
      <c r="AP110" s="182">
        <f t="shared" ca="1" si="701"/>
        <v>512026.59665000578</v>
      </c>
      <c r="AQ110" s="182">
        <f t="shared" ca="1" si="701"/>
        <v>686025.21600000025</v>
      </c>
      <c r="AR110" s="182">
        <f t="shared" ca="1" si="701"/>
        <v>603193.91862448305</v>
      </c>
      <c r="AS110" s="182">
        <f t="shared" ca="1" si="701"/>
        <v>519539.99616351014</v>
      </c>
      <c r="AT110" s="182">
        <f t="shared" ca="1" si="701"/>
        <v>522068.88336555409</v>
      </c>
      <c r="AU110" s="182">
        <f t="shared" ca="1" si="701"/>
        <v>437175.06671160675</v>
      </c>
      <c r="AV110" s="182">
        <f t="shared" ca="1" si="701"/>
        <v>702884.86152757239</v>
      </c>
      <c r="AW110" s="182">
        <f t="shared" ca="1" si="701"/>
        <v>882882.73641583987</v>
      </c>
      <c r="AX110" s="182">
        <f t="shared" ca="1" si="701"/>
        <v>887180.21277861239</v>
      </c>
      <c r="AY110" s="182">
        <f t="shared" ca="1" si="701"/>
        <v>624049.02512741892</v>
      </c>
      <c r="AZ110" s="182">
        <f t="shared" ca="1" si="701"/>
        <v>447919.01093748549</v>
      </c>
      <c r="BA110" s="182">
        <f t="shared" ca="1" si="701"/>
        <v>450099.27937240212</v>
      </c>
      <c r="BB110" s="182">
        <f t="shared" ca="1" si="701"/>
        <v>542748.19244900614</v>
      </c>
      <c r="BC110" s="182"/>
      <c r="BD110" s="183">
        <f ca="1">SUM(G110:BC110)</f>
        <v>22955201.722264975</v>
      </c>
    </row>
    <row r="111" spans="1:56" hidden="1" outlineLevel="1" x14ac:dyDescent="0.3">
      <c r="A111" s="181" t="str">
        <f ca="1">Language!A$590</f>
        <v>выручка от реализации, с НДС</v>
      </c>
      <c r="B111" s="176"/>
      <c r="C111" s="176" t="str">
        <f t="shared" ca="1" si="653"/>
        <v>руб.</v>
      </c>
      <c r="D111" s="174">
        <f>D106</f>
        <v>1</v>
      </c>
      <c r="F111" s="170" t="s">
        <v>740</v>
      </c>
      <c r="G111" s="182">
        <f ca="1">G110+G123+G124</f>
        <v>0</v>
      </c>
      <c r="H111" s="182">
        <f t="shared" ref="H111:BB111" ca="1" si="702">H110+H123+H124</f>
        <v>0</v>
      </c>
      <c r="I111" s="182">
        <f t="shared" ca="1" si="702"/>
        <v>0</v>
      </c>
      <c r="J111" s="182">
        <f t="shared" ca="1" si="702"/>
        <v>0</v>
      </c>
      <c r="K111" s="182">
        <f t="shared" ca="1" si="702"/>
        <v>0</v>
      </c>
      <c r="L111" s="182">
        <f t="shared" ca="1" si="702"/>
        <v>0</v>
      </c>
      <c r="M111" s="182">
        <f t="shared" ca="1" si="702"/>
        <v>222385.61104531921</v>
      </c>
      <c r="N111" s="182">
        <f t="shared" ca="1" si="702"/>
        <v>297957.44566944934</v>
      </c>
      <c r="O111" s="182">
        <f t="shared" ca="1" si="702"/>
        <v>374259.71075320727</v>
      </c>
      <c r="P111" s="182">
        <f t="shared" ca="1" si="702"/>
        <v>451297.72658384306</v>
      </c>
      <c r="Q111" s="182">
        <f t="shared" ca="1" si="702"/>
        <v>453494.44108801428</v>
      </c>
      <c r="R111" s="182">
        <f t="shared" ca="1" si="702"/>
        <v>455701.8482111122</v>
      </c>
      <c r="S111" s="182">
        <f t="shared" ca="1" si="702"/>
        <v>610560.00000000012</v>
      </c>
      <c r="T111" s="182">
        <f t="shared" ca="1" si="702"/>
        <v>536840.44021402893</v>
      </c>
      <c r="U111" s="182">
        <f t="shared" ca="1" si="702"/>
        <v>462388.74703053577</v>
      </c>
      <c r="V111" s="182">
        <f t="shared" ca="1" si="702"/>
        <v>464639.44763755257</v>
      </c>
      <c r="W111" s="182">
        <f t="shared" ca="1" si="702"/>
        <v>389084.25303631788</v>
      </c>
      <c r="X111" s="182">
        <f t="shared" ca="1" si="702"/>
        <v>625565.02449944138</v>
      </c>
      <c r="Y111" s="182">
        <f t="shared" ca="1" si="702"/>
        <v>785762.49236012797</v>
      </c>
      <c r="Z111" s="182">
        <f t="shared" ca="1" si="702"/>
        <v>789587.23102404096</v>
      </c>
      <c r="AA111" s="182">
        <f t="shared" ca="1" si="702"/>
        <v>555401.4107577597</v>
      </c>
      <c r="AB111" s="182">
        <f t="shared" ca="1" si="702"/>
        <v>398646.32514906145</v>
      </c>
      <c r="AC111" s="182">
        <f t="shared" ca="1" si="702"/>
        <v>400586.75629441265</v>
      </c>
      <c r="AD111" s="182">
        <f t="shared" ca="1" si="702"/>
        <v>483043.95910377894</v>
      </c>
      <c r="AE111" s="182">
        <f t="shared" ca="1" si="702"/>
        <v>647193.60000000009</v>
      </c>
      <c r="AF111" s="182">
        <f t="shared" ca="1" si="702"/>
        <v>569050.8666268707</v>
      </c>
      <c r="AG111" s="182">
        <f t="shared" ca="1" si="702"/>
        <v>490132.0718523679</v>
      </c>
      <c r="AH111" s="182">
        <f t="shared" ca="1" si="702"/>
        <v>492517.81449580565</v>
      </c>
      <c r="AI111" s="182">
        <f t="shared" ca="1" si="702"/>
        <v>412429.30821849685</v>
      </c>
      <c r="AJ111" s="182">
        <f t="shared" ca="1" si="702"/>
        <v>663098.92596940778</v>
      </c>
      <c r="AK111" s="182">
        <f t="shared" ca="1" si="702"/>
        <v>832908.24190173578</v>
      </c>
      <c r="AL111" s="182">
        <f t="shared" ca="1" si="702"/>
        <v>836962.46488548338</v>
      </c>
      <c r="AM111" s="182">
        <f t="shared" ca="1" si="702"/>
        <v>588725.4954032253</v>
      </c>
      <c r="AN111" s="182">
        <f t="shared" ca="1" si="702"/>
        <v>422565.10465800512</v>
      </c>
      <c r="AO111" s="182">
        <f t="shared" ca="1" si="702"/>
        <v>424621.96167207742</v>
      </c>
      <c r="AP111" s="182">
        <f t="shared" ca="1" si="702"/>
        <v>512026.59665000578</v>
      </c>
      <c r="AQ111" s="182">
        <f t="shared" ca="1" si="702"/>
        <v>686025.21600000025</v>
      </c>
      <c r="AR111" s="182">
        <f t="shared" ca="1" si="702"/>
        <v>603193.91862448305</v>
      </c>
      <c r="AS111" s="182">
        <f t="shared" ca="1" si="702"/>
        <v>519539.99616351014</v>
      </c>
      <c r="AT111" s="182">
        <f t="shared" ca="1" si="702"/>
        <v>522068.88336555409</v>
      </c>
      <c r="AU111" s="182">
        <f t="shared" ca="1" si="702"/>
        <v>437175.06671160675</v>
      </c>
      <c r="AV111" s="182">
        <f t="shared" ca="1" si="702"/>
        <v>702884.86152757239</v>
      </c>
      <c r="AW111" s="182">
        <f t="shared" ca="1" si="702"/>
        <v>882882.73641583987</v>
      </c>
      <c r="AX111" s="182">
        <f t="shared" ca="1" si="702"/>
        <v>887180.21277861239</v>
      </c>
      <c r="AY111" s="182">
        <f t="shared" ca="1" si="702"/>
        <v>624049.02512741892</v>
      </c>
      <c r="AZ111" s="182">
        <f t="shared" ca="1" si="702"/>
        <v>447919.01093748549</v>
      </c>
      <c r="BA111" s="182">
        <f t="shared" ca="1" si="702"/>
        <v>450099.27937240212</v>
      </c>
      <c r="BB111" s="182">
        <f t="shared" ca="1" si="702"/>
        <v>542748.19244900614</v>
      </c>
      <c r="BC111" s="182"/>
      <c r="BD111" s="183">
        <f ca="1">SUM(G111:BC111)</f>
        <v>22955201.722264975</v>
      </c>
    </row>
    <row r="112" spans="1:56" hidden="1" outlineLevel="1" x14ac:dyDescent="0.3">
      <c r="A112" s="184" t="str">
        <f ca="1">Language!A$609</f>
        <v>дебиторская задолженность</v>
      </c>
      <c r="B112" s="163"/>
      <c r="C112" s="163" t="str">
        <f ca="1">CHOOSE(D112,CurName1,CurName2,CurName3)</f>
        <v>руб.</v>
      </c>
      <c r="D112" s="174">
        <f>D106</f>
        <v>1</v>
      </c>
      <c r="E112" s="170" t="s">
        <v>994</v>
      </c>
      <c r="F112" s="170" t="s">
        <v>2350</v>
      </c>
      <c r="G112" s="287">
        <f ca="1">IF(AND($B113=0,G$2&gt;1),F112,(G110+G123+G124)*$B113/Параметры!G$30)</f>
        <v>0</v>
      </c>
      <c r="H112" s="287">
        <f ca="1">IF(AND($B113=0,H$2&gt;1),G112,(H110+H123+H124)*$B113/Параметры!H$30)</f>
        <v>0</v>
      </c>
      <c r="I112" s="287">
        <f ca="1">IF(AND($B113=0,I$2&gt;1),H112,(I110+I123+I124)*$B113/Параметры!I$30)</f>
        <v>0</v>
      </c>
      <c r="J112" s="287">
        <f ca="1">IF(AND($B113=0,J$2&gt;1),I112,(J110+J123+J124)*$B113/Параметры!J$30)</f>
        <v>0</v>
      </c>
      <c r="K112" s="287">
        <f ca="1">IF(AND($B113=0,K$2&gt;1),J112,(K110+K123+K124)*$B113/Параметры!K$30)</f>
        <v>0</v>
      </c>
      <c r="L112" s="287">
        <f ca="1">IF(AND($B113=0,L$2&gt;1),K112,(L110+L123+L124)*$B113/Параметры!L$30)</f>
        <v>0</v>
      </c>
      <c r="M112" s="287">
        <f ca="1">IF(AND($B113=0,M$2&gt;1),L112,(M110+M123+M124)*$B113/Параметры!M$30)</f>
        <v>74128.537015106398</v>
      </c>
      <c r="N112" s="287">
        <f ca="1">IF(AND($B113=0,N$2&gt;1),M112,(N110+N123+N124)*$B113/Параметры!N$30)</f>
        <v>99319.148556483124</v>
      </c>
      <c r="O112" s="287">
        <f ca="1">IF(AND($B113=0,O$2&gt;1),N112,(O110+O123+O124)*$B113/Параметры!O$30)</f>
        <v>124753.23691773576</v>
      </c>
      <c r="P112" s="287">
        <f ca="1">IF(AND($B113=0,P$2&gt;1),O112,(P110+P123+P124)*$B113/Параметры!P$30)</f>
        <v>150432.57552794769</v>
      </c>
      <c r="Q112" s="287">
        <f ca="1">IF(AND($B113=0,Q$2&gt;1),P112,(Q110+Q123+Q124)*$B113/Параметры!Q$30)</f>
        <v>151164.81369600477</v>
      </c>
      <c r="R112" s="287">
        <f ca="1">IF(AND($B113=0,R$2&gt;1),Q112,(R110+R123+R124)*$B113/Параметры!R$30)</f>
        <v>151900.61607037074</v>
      </c>
      <c r="S112" s="287">
        <f ca="1">IF(AND($B113=0,S$2&gt;1),R112,(S110+S123+S124)*$B113/Параметры!S$30)</f>
        <v>203520.00000000003</v>
      </c>
      <c r="T112" s="287">
        <f ca="1">IF(AND($B113=0,T$2&gt;1),S112,(T110+T123+T124)*$B113/Параметры!T$30)</f>
        <v>178946.81340467633</v>
      </c>
      <c r="U112" s="287">
        <f ca="1">IF(AND($B113=0,U$2&gt;1),T112,(U110+U123+U124)*$B113/Параметры!U$30)</f>
        <v>154129.58234351192</v>
      </c>
      <c r="V112" s="287">
        <f ca="1">IF(AND($B113=0,V$2&gt;1),U112,(V110+V123+V124)*$B113/Параметры!V$30)</f>
        <v>154879.8158791842</v>
      </c>
      <c r="W112" s="287">
        <f ca="1">IF(AND($B113=0,W$2&gt;1),V112,(W110+W123+W124)*$B113/Параметры!W$30)</f>
        <v>129694.75101210596</v>
      </c>
      <c r="X112" s="287">
        <f ca="1">IF(AND($B113=0,X$2&gt;1),W112,(X110+X123+X124)*$B113/Параметры!X$30)</f>
        <v>208521.67483314715</v>
      </c>
      <c r="Y112" s="287">
        <f ca="1">IF(AND($B113=0,Y$2&gt;1),X112,(Y110+Y123+Y124)*$B113/Параметры!Y$30)</f>
        <v>261920.83078670932</v>
      </c>
      <c r="Z112" s="287">
        <f ca="1">IF(AND($B113=0,Z$2&gt;1),Y112,(Z110+Z123+Z124)*$B113/Параметры!Z$30)</f>
        <v>263195.7436746803</v>
      </c>
      <c r="AA112" s="287">
        <f ca="1">IF(AND($B113=0,AA$2&gt;1),Z112,(AA110+AA123+AA124)*$B113/Параметры!AA$30)</f>
        <v>185133.8035859199</v>
      </c>
      <c r="AB112" s="287">
        <f ca="1">IF(AND($B113=0,AB$2&gt;1),AA112,(AB110+AB123+AB124)*$B113/Параметры!AB$30)</f>
        <v>132882.10838302047</v>
      </c>
      <c r="AC112" s="287">
        <f ca="1">IF(AND($B113=0,AC$2&gt;1),AB112,(AC110+AC123+AC124)*$B113/Параметры!AC$30)</f>
        <v>133528.9187648042</v>
      </c>
      <c r="AD112" s="287">
        <f ca="1">IF(AND($B113=0,AD$2&gt;1),AC112,(AD110+AD123+AD124)*$B113/Параметры!AD$30)</f>
        <v>161014.65303459298</v>
      </c>
      <c r="AE112" s="287">
        <f ca="1">IF(AND($B113=0,AE$2&gt;1),AD112,(AE110+AE123+AE124)*$B113/Параметры!AE$30)</f>
        <v>215731.20000000004</v>
      </c>
      <c r="AF112" s="287">
        <f ca="1">IF(AND($B113=0,AF$2&gt;1),AE112,(AF110+AF123+AF124)*$B113/Параметры!AF$30)</f>
        <v>189683.62220895692</v>
      </c>
      <c r="AG112" s="287">
        <f ca="1">IF(AND($B113=0,AG$2&gt;1),AF112,(AG110+AG123+AG124)*$B113/Параметры!AG$30)</f>
        <v>163377.35728412264</v>
      </c>
      <c r="AH112" s="287">
        <f ca="1">IF(AND($B113=0,AH$2&gt;1),AG112,(AH110+AH123+AH124)*$B113/Параметры!AH$30)</f>
        <v>164172.60483193523</v>
      </c>
      <c r="AI112" s="287">
        <f ca="1">IF(AND($B113=0,AI$2&gt;1),AH112,(AI110+AI123+AI124)*$B113/Параметры!AI$30)</f>
        <v>137476.43607283229</v>
      </c>
      <c r="AJ112" s="287">
        <f ca="1">IF(AND($B113=0,AJ$2&gt;1),AI112,(AJ110+AJ123+AJ124)*$B113/Параметры!AJ$30)</f>
        <v>221032.97532313594</v>
      </c>
      <c r="AK112" s="287">
        <f ca="1">IF(AND($B113=0,AK$2&gt;1),AJ112,(AK110+AK123+AK124)*$B113/Параметры!AK$30)</f>
        <v>277636.08063391194</v>
      </c>
      <c r="AL112" s="287">
        <f ca="1">IF(AND($B113=0,AL$2&gt;1),AK112,(AL110+AL123+AL124)*$B113/Параметры!AL$30)</f>
        <v>278987.48829516111</v>
      </c>
      <c r="AM112" s="287">
        <f ca="1">IF(AND($B113=0,AM$2&gt;1),AL112,(AM110+AM123+AM124)*$B113/Параметры!AM$30)</f>
        <v>196241.83180107511</v>
      </c>
      <c r="AN112" s="287">
        <f ca="1">IF(AND($B113=0,AN$2&gt;1),AM112,(AN110+AN123+AN124)*$B113/Параметры!AN$30)</f>
        <v>140855.0348860017</v>
      </c>
      <c r="AO112" s="287">
        <f ca="1">IF(AND($B113=0,AO$2&gt;1),AN112,(AO110+AO123+AO124)*$B113/Параметры!AO$30)</f>
        <v>141540.65389069248</v>
      </c>
      <c r="AP112" s="287">
        <f ca="1">IF(AND($B113=0,AP$2&gt;1),AO112,(AP110+AP123+AP124)*$B113/Параметры!AP$30)</f>
        <v>170675.53221666859</v>
      </c>
      <c r="AQ112" s="287">
        <f ca="1">IF(AND($B113=0,AQ$2&gt;1),AP112,(AQ110+AQ123+AQ124)*$B113/Параметры!AQ$30)</f>
        <v>228675.07200000007</v>
      </c>
      <c r="AR112" s="287">
        <f ca="1">IF(AND($B113=0,AR$2&gt;1),AQ112,(AR110+AR123+AR124)*$B113/Параметры!AR$30)</f>
        <v>201064.63954149434</v>
      </c>
      <c r="AS112" s="287">
        <f ca="1">IF(AND($B113=0,AS$2&gt;1),AR112,(AS110+AS123+AS124)*$B113/Параметры!AS$30)</f>
        <v>173179.99872117006</v>
      </c>
      <c r="AT112" s="287">
        <f ca="1">IF(AND($B113=0,AT$2&gt;1),AS112,(AT110+AT123+AT124)*$B113/Параметры!AT$30)</f>
        <v>174022.96112185137</v>
      </c>
      <c r="AU112" s="287">
        <f ca="1">IF(AND($B113=0,AU$2&gt;1),AT112,(AU110+AU123+AU124)*$B113/Параметры!AU$30)</f>
        <v>145725.02223720224</v>
      </c>
      <c r="AV112" s="287">
        <f ca="1">IF(AND($B113=0,AV$2&gt;1),AU112,(AV110+AV123+AV124)*$B113/Параметры!AV$30)</f>
        <v>234294.95384252412</v>
      </c>
      <c r="AW112" s="287">
        <f ca="1">IF(AND($B113=0,AW$2&gt;1),AV112,(AW110+AW123+AW124)*$B113/Параметры!AW$30)</f>
        <v>294294.24547194666</v>
      </c>
      <c r="AX112" s="287">
        <f ca="1">IF(AND($B113=0,AX$2&gt;1),AW112,(AX110+AX123+AX124)*$B113/Параметры!AX$30)</f>
        <v>295726.73759287078</v>
      </c>
      <c r="AY112" s="287">
        <f ca="1">IF(AND($B113=0,AY$2&gt;1),AX112,(AY110+AY123+AY124)*$B113/Параметры!AY$30)</f>
        <v>208016.34170913964</v>
      </c>
      <c r="AZ112" s="287">
        <f ca="1">IF(AND($B113=0,AZ$2&gt;1),AY112,(AZ110+AZ123+AZ124)*$B113/Параметры!AZ$30)</f>
        <v>149306.33697916183</v>
      </c>
      <c r="BA112" s="287">
        <f ca="1">IF(AND($B113=0,BA$2&gt;1),AZ112,(BA110+BA123+BA124)*$B113/Параметры!BA$30)</f>
        <v>150033.09312413403</v>
      </c>
      <c r="BB112" s="287">
        <f ca="1">IF(AND($B113=0,BB$2&gt;1),BA112,(BB110+BB123+BB124)*$B113/Параметры!BB$30)</f>
        <v>180916.06414966873</v>
      </c>
      <c r="BC112" s="185"/>
      <c r="BD112" s="186"/>
    </row>
    <row r="113" spans="1:56" s="170" customFormat="1" hidden="1" outlineLevel="1" x14ac:dyDescent="0.3">
      <c r="A113" s="187" t="str">
        <f ca="1">Language!A$610</f>
        <v>средний период отсрочки платежа</v>
      </c>
      <c r="B113" s="288">
        <f>$B$573</f>
        <v>10</v>
      </c>
      <c r="C113" s="163" t="str">
        <f ca="1">Language!$A$1474</f>
        <v>дней</v>
      </c>
      <c r="F113" s="170" t="s">
        <v>2347</v>
      </c>
      <c r="G113" s="185"/>
      <c r="H113" s="185"/>
      <c r="I113" s="185"/>
      <c r="J113" s="185"/>
      <c r="K113" s="185"/>
      <c r="L113" s="185"/>
      <c r="M113" s="185"/>
      <c r="N113" s="185"/>
      <c r="O113" s="185"/>
      <c r="P113" s="185"/>
      <c r="Q113" s="185"/>
      <c r="R113" s="185"/>
      <c r="S113" s="185"/>
      <c r="T113" s="185"/>
      <c r="U113" s="185"/>
      <c r="V113" s="185"/>
      <c r="W113" s="185"/>
      <c r="X113" s="185"/>
      <c r="Y113" s="185"/>
      <c r="Z113" s="185"/>
      <c r="AA113" s="185"/>
      <c r="AB113" s="185"/>
      <c r="AC113" s="185"/>
      <c r="AD113" s="185"/>
      <c r="AE113" s="185"/>
      <c r="AF113" s="185"/>
      <c r="AG113" s="185"/>
      <c r="AH113" s="185"/>
      <c r="AI113" s="185"/>
      <c r="AJ113" s="185"/>
      <c r="AK113" s="185"/>
      <c r="AL113" s="185"/>
      <c r="AM113" s="185"/>
      <c r="AN113" s="185"/>
      <c r="AO113" s="185"/>
      <c r="AP113" s="185"/>
      <c r="AQ113" s="185"/>
      <c r="AR113" s="185"/>
      <c r="AS113" s="185"/>
      <c r="AT113" s="185"/>
      <c r="AU113" s="185"/>
      <c r="AV113" s="185"/>
      <c r="AW113" s="185"/>
      <c r="AX113" s="185"/>
      <c r="AY113" s="185"/>
      <c r="AZ113" s="185"/>
      <c r="BA113" s="185"/>
      <c r="BB113" s="185"/>
      <c r="BC113" s="185"/>
      <c r="BD113" s="186"/>
    </row>
    <row r="114" spans="1:56" hidden="1" outlineLevel="1" x14ac:dyDescent="0.3">
      <c r="A114" s="184" t="str">
        <f ca="1">Language!A$611</f>
        <v xml:space="preserve">авансы полученные </v>
      </c>
      <c r="B114" s="163"/>
      <c r="C114" s="163" t="str">
        <f ca="1">CHOOSE(D114,CurName1,CurName2,CurName3)</f>
        <v>руб.</v>
      </c>
      <c r="D114" s="174">
        <f>D106</f>
        <v>1</v>
      </c>
      <c r="E114" s="170" t="s">
        <v>995</v>
      </c>
      <c r="F114" s="170" t="s">
        <v>2350</v>
      </c>
      <c r="G114" s="289">
        <f ca="1">IF(OR(AND($B115=0,G$2&gt;1),G$2=Prj_Len),F114,(OFFSET(G110,0,1)+OFFSET(G123,0,1)+OFFSET(G124,0,1))*$B115/Параметры!G$30)</f>
        <v>0</v>
      </c>
      <c r="H114" s="289">
        <f ca="1">IF(OR(AND($B115=0,H$2&gt;1),H$2=Prj_Len),G114,(OFFSET(H110,0,1)+OFFSET(H123,0,1)+OFFSET(H124,0,1))*$B115/Параметры!H$30)</f>
        <v>0</v>
      </c>
      <c r="I114" s="289">
        <f ca="1">IF(OR(AND($B115=0,I$2&gt;1),I$2=Prj_Len),H114,(OFFSET(I110,0,1)+OFFSET(I123,0,1)+OFFSET(I124,0,1))*$B115/Параметры!I$30)</f>
        <v>0</v>
      </c>
      <c r="J114" s="289">
        <f ca="1">IF(OR(AND($B115=0,J$2&gt;1),J$2=Prj_Len),I114,(OFFSET(J110,0,1)+OFFSET(J123,0,1)+OFFSET(J124,0,1))*$B115/Параметры!J$30)</f>
        <v>0</v>
      </c>
      <c r="K114" s="289">
        <f ca="1">IF(OR(AND($B115=0,K$2&gt;1),K$2=Prj_Len),J114,(OFFSET(K110,0,1)+OFFSET(K123,0,1)+OFFSET(K124,0,1))*$B115/Параметры!K$30)</f>
        <v>0</v>
      </c>
      <c r="L114" s="289">
        <f ca="1">IF(OR(AND($B115=0,L$2&gt;1),L$2=Prj_Len),K114,(OFFSET(L110,0,1)+OFFSET(L123,0,1)+OFFSET(L124,0,1))*$B115/Параметры!L$30)</f>
        <v>0</v>
      </c>
      <c r="M114" s="289">
        <f ca="1">IF(OR(AND($B115=0,M$2&gt;1),M$2=Prj_Len),L114,(OFFSET(M110,0,1)+OFFSET(M123,0,1)+OFFSET(M124,0,1))*$B115/Параметры!M$30)</f>
        <v>0</v>
      </c>
      <c r="N114" s="289">
        <f ca="1">IF(OR(AND($B115=0,N$2&gt;1),N$2=Prj_Len),M114,(OFFSET(N110,0,1)+OFFSET(N123,0,1)+OFFSET(N124,0,1))*$B115/Параметры!N$30)</f>
        <v>0</v>
      </c>
      <c r="O114" s="289">
        <f ca="1">IF(OR(AND($B115=0,O$2&gt;1),O$2=Prj_Len),N114,(OFFSET(O110,0,1)+OFFSET(O123,0,1)+OFFSET(O124,0,1))*$B115/Параметры!O$30)</f>
        <v>0</v>
      </c>
      <c r="P114" s="289">
        <f ca="1">IF(OR(AND($B115=0,P$2&gt;1),P$2=Prj_Len),O114,(OFFSET(P110,0,1)+OFFSET(P123,0,1)+OFFSET(P124,0,1))*$B115/Параметры!P$30)</f>
        <v>0</v>
      </c>
      <c r="Q114" s="289">
        <f ca="1">IF(OR(AND($B115=0,Q$2&gt;1),Q$2=Prj_Len),P114,(OFFSET(Q110,0,1)+OFFSET(Q123,0,1)+OFFSET(Q124,0,1))*$B115/Параметры!Q$30)</f>
        <v>0</v>
      </c>
      <c r="R114" s="289">
        <f ca="1">IF(OR(AND($B115=0,R$2&gt;1),R$2=Prj_Len),Q114,(OFFSET(R110,0,1)+OFFSET(R123,0,1)+OFFSET(R124,0,1))*$B115/Параметры!R$30)</f>
        <v>0</v>
      </c>
      <c r="S114" s="289">
        <f ca="1">IF(OR(AND($B115=0,S$2&gt;1),S$2=Prj_Len),R114,(OFFSET(S110,0,1)+OFFSET(S123,0,1)+OFFSET(S124,0,1))*$B115/Параметры!S$30)</f>
        <v>0</v>
      </c>
      <c r="T114" s="289">
        <f ca="1">IF(OR(AND($B115=0,T$2&gt;1),T$2=Prj_Len),S114,(OFFSET(T110,0,1)+OFFSET(T123,0,1)+OFFSET(T124,0,1))*$B115/Параметры!T$30)</f>
        <v>0</v>
      </c>
      <c r="U114" s="289">
        <f ca="1">IF(OR(AND($B115=0,U$2&gt;1),U$2=Prj_Len),T114,(OFFSET(U110,0,1)+OFFSET(U123,0,1)+OFFSET(U124,0,1))*$B115/Параметры!U$30)</f>
        <v>0</v>
      </c>
      <c r="V114" s="289">
        <f ca="1">IF(OR(AND($B115=0,V$2&gt;1),V$2=Prj_Len),U114,(OFFSET(V110,0,1)+OFFSET(V123,0,1)+OFFSET(V124,0,1))*$B115/Параметры!V$30)</f>
        <v>0</v>
      </c>
      <c r="W114" s="289">
        <f ca="1">IF(OR(AND($B115=0,W$2&gt;1),W$2=Prj_Len),V114,(OFFSET(W110,0,1)+OFFSET(W123,0,1)+OFFSET(W124,0,1))*$B115/Параметры!W$30)</f>
        <v>0</v>
      </c>
      <c r="X114" s="289">
        <f ca="1">IF(OR(AND($B115=0,X$2&gt;1),X$2=Prj_Len),W114,(OFFSET(X110,0,1)+OFFSET(X123,0,1)+OFFSET(X124,0,1))*$B115/Параметры!X$30)</f>
        <v>0</v>
      </c>
      <c r="Y114" s="289">
        <f ca="1">IF(OR(AND($B115=0,Y$2&gt;1),Y$2=Prj_Len),X114,(OFFSET(Y110,0,1)+OFFSET(Y123,0,1)+OFFSET(Y124,0,1))*$B115/Параметры!Y$30)</f>
        <v>0</v>
      </c>
      <c r="Z114" s="289">
        <f ca="1">IF(OR(AND($B115=0,Z$2&gt;1),Z$2=Prj_Len),Y114,(OFFSET(Z110,0,1)+OFFSET(Z123,0,1)+OFFSET(Z124,0,1))*$B115/Параметры!Z$30)</f>
        <v>0</v>
      </c>
      <c r="AA114" s="289">
        <f ca="1">IF(OR(AND($B115=0,AA$2&gt;1),AA$2=Prj_Len),Z114,(OFFSET(AA110,0,1)+OFFSET(AA123,0,1)+OFFSET(AA124,0,1))*$B115/Параметры!AA$30)</f>
        <v>0</v>
      </c>
      <c r="AB114" s="289">
        <f ca="1">IF(OR(AND($B115=0,AB$2&gt;1),AB$2=Prj_Len),AA114,(OFFSET(AB110,0,1)+OFFSET(AB123,0,1)+OFFSET(AB124,0,1))*$B115/Параметры!AB$30)</f>
        <v>0</v>
      </c>
      <c r="AC114" s="289">
        <f ca="1">IF(OR(AND($B115=0,AC$2&gt;1),AC$2=Prj_Len),AB114,(OFFSET(AC110,0,1)+OFFSET(AC123,0,1)+OFFSET(AC124,0,1))*$B115/Параметры!AC$30)</f>
        <v>0</v>
      </c>
      <c r="AD114" s="289">
        <f ca="1">IF(OR(AND($B115=0,AD$2&gt;1),AD$2=Prj_Len),AC114,(OFFSET(AD110,0,1)+OFFSET(AD123,0,1)+OFFSET(AD124,0,1))*$B115/Параметры!AD$30)</f>
        <v>0</v>
      </c>
      <c r="AE114" s="289">
        <f ca="1">IF(OR(AND($B115=0,AE$2&gt;1),AE$2=Prj_Len),AD114,(OFFSET(AE110,0,1)+OFFSET(AE123,0,1)+OFFSET(AE124,0,1))*$B115/Параметры!AE$30)</f>
        <v>0</v>
      </c>
      <c r="AF114" s="289">
        <f ca="1">IF(OR(AND($B115=0,AF$2&gt;1),AF$2=Prj_Len),AE114,(OFFSET(AF110,0,1)+OFFSET(AF123,0,1)+OFFSET(AF124,0,1))*$B115/Параметры!AF$30)</f>
        <v>0</v>
      </c>
      <c r="AG114" s="289">
        <f ca="1">IF(OR(AND($B115=0,AG$2&gt;1),AG$2=Prj_Len),AF114,(OFFSET(AG110,0,1)+OFFSET(AG123,0,1)+OFFSET(AG124,0,1))*$B115/Параметры!AG$30)</f>
        <v>0</v>
      </c>
      <c r="AH114" s="289">
        <f ca="1">IF(OR(AND($B115=0,AH$2&gt;1),AH$2=Prj_Len),AG114,(OFFSET(AH110,0,1)+OFFSET(AH123,0,1)+OFFSET(AH124,0,1))*$B115/Параметры!AH$30)</f>
        <v>0</v>
      </c>
      <c r="AI114" s="289">
        <f ca="1">IF(OR(AND($B115=0,AI$2&gt;1),AI$2=Prj_Len),AH114,(OFFSET(AI110,0,1)+OFFSET(AI123,0,1)+OFFSET(AI124,0,1))*$B115/Параметры!AI$30)</f>
        <v>0</v>
      </c>
      <c r="AJ114" s="289">
        <f ca="1">IF(OR(AND($B115=0,AJ$2&gt;1),AJ$2=Prj_Len),AI114,(OFFSET(AJ110,0,1)+OFFSET(AJ123,0,1)+OFFSET(AJ124,0,1))*$B115/Параметры!AJ$30)</f>
        <v>0</v>
      </c>
      <c r="AK114" s="289">
        <f ca="1">IF(OR(AND($B115=0,AK$2&gt;1),AK$2=Prj_Len),AJ114,(OFFSET(AK110,0,1)+OFFSET(AK123,0,1)+OFFSET(AK124,0,1))*$B115/Параметры!AK$30)</f>
        <v>0</v>
      </c>
      <c r="AL114" s="289">
        <f ca="1">IF(OR(AND($B115=0,AL$2&gt;1),AL$2=Prj_Len),AK114,(OFFSET(AL110,0,1)+OFFSET(AL123,0,1)+OFFSET(AL124,0,1))*$B115/Параметры!AL$30)</f>
        <v>0</v>
      </c>
      <c r="AM114" s="289">
        <f ca="1">IF(OR(AND($B115=0,AM$2&gt;1),AM$2=Prj_Len),AL114,(OFFSET(AM110,0,1)+OFFSET(AM123,0,1)+OFFSET(AM124,0,1))*$B115/Параметры!AM$30)</f>
        <v>0</v>
      </c>
      <c r="AN114" s="289">
        <f ca="1">IF(OR(AND($B115=0,AN$2&gt;1),AN$2=Prj_Len),AM114,(OFFSET(AN110,0,1)+OFFSET(AN123,0,1)+OFFSET(AN124,0,1))*$B115/Параметры!AN$30)</f>
        <v>0</v>
      </c>
      <c r="AO114" s="289">
        <f ca="1">IF(OR(AND($B115=0,AO$2&gt;1),AO$2=Prj_Len),AN114,(OFFSET(AO110,0,1)+OFFSET(AO123,0,1)+OFFSET(AO124,0,1))*$B115/Параметры!AO$30)</f>
        <v>0</v>
      </c>
      <c r="AP114" s="289">
        <f ca="1">IF(OR(AND($B115=0,AP$2&gt;1),AP$2=Prj_Len),AO114,(OFFSET(AP110,0,1)+OFFSET(AP123,0,1)+OFFSET(AP124,0,1))*$B115/Параметры!AP$30)</f>
        <v>0</v>
      </c>
      <c r="AQ114" s="289">
        <f ca="1">IF(OR(AND($B115=0,AQ$2&gt;1),AQ$2=Prj_Len),AP114,(OFFSET(AQ110,0,1)+OFFSET(AQ123,0,1)+OFFSET(AQ124,0,1))*$B115/Параметры!AQ$30)</f>
        <v>0</v>
      </c>
      <c r="AR114" s="289">
        <f ca="1">IF(OR(AND($B115=0,AR$2&gt;1),AR$2=Prj_Len),AQ114,(OFFSET(AR110,0,1)+OFFSET(AR123,0,1)+OFFSET(AR124,0,1))*$B115/Параметры!AR$30)</f>
        <v>0</v>
      </c>
      <c r="AS114" s="289">
        <f ca="1">IF(OR(AND($B115=0,AS$2&gt;1),AS$2=Prj_Len),AR114,(OFFSET(AS110,0,1)+OFFSET(AS123,0,1)+OFFSET(AS124,0,1))*$B115/Параметры!AS$30)</f>
        <v>0</v>
      </c>
      <c r="AT114" s="289">
        <f ca="1">IF(OR(AND($B115=0,AT$2&gt;1),AT$2=Prj_Len),AS114,(OFFSET(AT110,0,1)+OFFSET(AT123,0,1)+OFFSET(AT124,0,1))*$B115/Параметры!AT$30)</f>
        <v>0</v>
      </c>
      <c r="AU114" s="289">
        <f ca="1">IF(OR(AND($B115=0,AU$2&gt;1),AU$2=Prj_Len),AT114,(OFFSET(AU110,0,1)+OFFSET(AU123,0,1)+OFFSET(AU124,0,1))*$B115/Параметры!AU$30)</f>
        <v>0</v>
      </c>
      <c r="AV114" s="289">
        <f ca="1">IF(OR(AND($B115=0,AV$2&gt;1),AV$2=Prj_Len),AU114,(OFFSET(AV110,0,1)+OFFSET(AV123,0,1)+OFFSET(AV124,0,1))*$B115/Параметры!AV$30)</f>
        <v>0</v>
      </c>
      <c r="AW114" s="289">
        <f ca="1">IF(OR(AND($B115=0,AW$2&gt;1),AW$2=Prj_Len),AV114,(OFFSET(AW110,0,1)+OFFSET(AW123,0,1)+OFFSET(AW124,0,1))*$B115/Параметры!AW$30)</f>
        <v>0</v>
      </c>
      <c r="AX114" s="289">
        <f ca="1">IF(OR(AND($B115=0,AX$2&gt;1),AX$2=Prj_Len),AW114,(OFFSET(AX110,0,1)+OFFSET(AX123,0,1)+OFFSET(AX124,0,1))*$B115/Параметры!AX$30)</f>
        <v>0</v>
      </c>
      <c r="AY114" s="289">
        <f ca="1">IF(OR(AND($B115=0,AY$2&gt;1),AY$2=Prj_Len),AX114,(OFFSET(AY110,0,1)+OFFSET(AY123,0,1)+OFFSET(AY124,0,1))*$B115/Параметры!AY$30)</f>
        <v>0</v>
      </c>
      <c r="AZ114" s="289">
        <f ca="1">IF(OR(AND($B115=0,AZ$2&gt;1),AZ$2=Prj_Len),AY114,(OFFSET(AZ110,0,1)+OFFSET(AZ123,0,1)+OFFSET(AZ124,0,1))*$B115/Параметры!AZ$30)</f>
        <v>0</v>
      </c>
      <c r="BA114" s="289">
        <f ca="1">IF(OR(AND($B115=0,BA$2&gt;1),BA$2=Prj_Len),AZ114,(OFFSET(BA110,0,1)+OFFSET(BA123,0,1)+OFFSET(BA124,0,1))*$B115/Параметры!BA$30)</f>
        <v>0</v>
      </c>
      <c r="BB114" s="289">
        <f ca="1">IF(OR(AND($B115=0,BB$2&gt;1),BB$2=Prj_Len),BA114,(OFFSET(BB110,0,1)+OFFSET(BB123,0,1)+OFFSET(BB124,0,1))*$B115/Параметры!BB$30)</f>
        <v>0</v>
      </c>
      <c r="BC114" s="188"/>
      <c r="BD114" s="186"/>
    </row>
    <row r="115" spans="1:56" s="170" customFormat="1" hidden="1" outlineLevel="1" x14ac:dyDescent="0.3">
      <c r="A115" s="187" t="str">
        <f ca="1">Language!A$612</f>
        <v>средний период предоплаты</v>
      </c>
      <c r="B115" s="288">
        <f ca="1">$B$579</f>
        <v>0</v>
      </c>
      <c r="C115" s="163" t="str">
        <f ca="1">Language!$A$1474</f>
        <v>дней</v>
      </c>
      <c r="F115" s="170" t="s">
        <v>2347</v>
      </c>
      <c r="G115" s="185"/>
      <c r="H115" s="185"/>
      <c r="I115" s="185"/>
      <c r="J115" s="185"/>
      <c r="K115" s="185"/>
      <c r="L115" s="185"/>
      <c r="M115" s="185"/>
      <c r="N115" s="185"/>
      <c r="O115" s="185"/>
      <c r="P115" s="185"/>
      <c r="Q115" s="185"/>
      <c r="R115" s="185"/>
      <c r="S115" s="185"/>
      <c r="T115" s="185"/>
      <c r="U115" s="185"/>
      <c r="V115" s="185"/>
      <c r="W115" s="185"/>
      <c r="X115" s="185"/>
      <c r="Y115" s="185"/>
      <c r="Z115" s="185"/>
      <c r="AA115" s="185"/>
      <c r="AB115" s="185"/>
      <c r="AC115" s="185"/>
      <c r="AD115" s="185"/>
      <c r="AE115" s="185"/>
      <c r="AF115" s="185"/>
      <c r="AG115" s="185"/>
      <c r="AH115" s="185"/>
      <c r="AI115" s="185"/>
      <c r="AJ115" s="185"/>
      <c r="AK115" s="185"/>
      <c r="AL115" s="185"/>
      <c r="AM115" s="185"/>
      <c r="AN115" s="185"/>
      <c r="AO115" s="185"/>
      <c r="AP115" s="185"/>
      <c r="AQ115" s="185"/>
      <c r="AR115" s="185"/>
      <c r="AS115" s="185"/>
      <c r="AT115" s="185"/>
      <c r="AU115" s="185"/>
      <c r="AV115" s="185"/>
      <c r="AW115" s="185"/>
      <c r="AX115" s="185"/>
      <c r="AY115" s="185"/>
      <c r="AZ115" s="185"/>
      <c r="BA115" s="185"/>
      <c r="BB115" s="185"/>
      <c r="BC115" s="185"/>
      <c r="BD115" s="186"/>
    </row>
    <row r="116" spans="1:56" s="173" customFormat="1" hidden="1" outlineLevel="1" x14ac:dyDescent="0.3">
      <c r="A116" s="181" t="str">
        <f ca="1">Language!A$613</f>
        <v>поступление денежных средств, с НДС</v>
      </c>
      <c r="B116" s="176"/>
      <c r="C116" s="176" t="str">
        <f ca="1">CHOOSE(D116,CurName1,CurName2,CurName3)</f>
        <v>руб.</v>
      </c>
      <c r="D116" s="174">
        <f>D106</f>
        <v>1</v>
      </c>
      <c r="E116" s="170" t="s">
        <v>993</v>
      </c>
      <c r="F116" s="170" t="s">
        <v>740</v>
      </c>
      <c r="G116" s="182">
        <f ca="1">G110+G123+G124-IF(G$2=1,G112,G112-F112)+IF(G$2=1,G114,G114-F114)</f>
        <v>0</v>
      </c>
      <c r="H116" s="182">
        <f t="shared" ref="H116" ca="1" si="703">H110+H123+H124-IF(H$2=1,H112,H112-G112)+IF(H$2=1,H114,H114-G114)</f>
        <v>0</v>
      </c>
      <c r="I116" s="182">
        <f t="shared" ref="I116" ca="1" si="704">I110+I123+I124-IF(I$2=1,I112,I112-H112)+IF(I$2=1,I114,I114-H114)</f>
        <v>0</v>
      </c>
      <c r="J116" s="182">
        <f t="shared" ref="J116" ca="1" si="705">J110+J123+J124-IF(J$2=1,J112,J112-I112)+IF(J$2=1,J114,J114-I114)</f>
        <v>0</v>
      </c>
      <c r="K116" s="182">
        <f t="shared" ref="K116" ca="1" si="706">K110+K123+K124-IF(K$2=1,K112,K112-J112)+IF(K$2=1,K114,K114-J114)</f>
        <v>0</v>
      </c>
      <c r="L116" s="182">
        <f t="shared" ref="L116" ca="1" si="707">L110+L123+L124-IF(L$2=1,L112,L112-K112)+IF(L$2=1,L114,L114-K114)</f>
        <v>0</v>
      </c>
      <c r="M116" s="182">
        <f t="shared" ref="M116" ca="1" si="708">M110+M123+M124-IF(M$2=1,M112,M112-L112)+IF(M$2=1,M114,M114-L114)</f>
        <v>148257.07403021283</v>
      </c>
      <c r="N116" s="182">
        <f t="shared" ref="N116" ca="1" si="709">N110+N123+N124-IF(N$2=1,N112,N112-M112)+IF(N$2=1,N114,N114-M114)</f>
        <v>272766.8341280726</v>
      </c>
      <c r="O116" s="182">
        <f t="shared" ref="O116" ca="1" si="710">O110+O123+O124-IF(O$2=1,O112,O112-N112)+IF(O$2=1,O114,O114-N114)</f>
        <v>348825.62239195465</v>
      </c>
      <c r="P116" s="182">
        <f t="shared" ref="P116" ca="1" si="711">P110+P123+P124-IF(P$2=1,P112,P112-O112)+IF(P$2=1,P114,P114-O114)</f>
        <v>425618.38797363115</v>
      </c>
      <c r="Q116" s="182">
        <f t="shared" ref="Q116" ca="1" si="712">Q110+Q123+Q124-IF(Q$2=1,Q112,Q112-P112)+IF(Q$2=1,Q114,Q114-P114)</f>
        <v>452762.20291995723</v>
      </c>
      <c r="R116" s="182">
        <f t="shared" ref="R116" ca="1" si="713">R110+R123+R124-IF(R$2=1,R112,R112-Q112)+IF(R$2=1,R114,R114-Q114)</f>
        <v>454966.04583674623</v>
      </c>
      <c r="S116" s="182">
        <f t="shared" ref="S116" ca="1" si="714">S110+S123+S124-IF(S$2=1,S112,S112-R112)+IF(S$2=1,S114,S114-R114)</f>
        <v>558940.61607037089</v>
      </c>
      <c r="T116" s="182">
        <f t="shared" ref="T116" ca="1" si="715">T110+T123+T124-IF(T$2=1,T112,T112-S112)+IF(T$2=1,T114,T114-S114)</f>
        <v>561413.62680935266</v>
      </c>
      <c r="U116" s="182">
        <f t="shared" ref="U116" ca="1" si="716">U110+U123+U124-IF(U$2=1,U112,U112-T112)+IF(U$2=1,U114,U114-T114)</f>
        <v>487205.97809170018</v>
      </c>
      <c r="V116" s="182">
        <f t="shared" ref="V116" ca="1" si="717">V110+V123+V124-IF(V$2=1,V112,V112-U112)+IF(V$2=1,V114,V114-U114)</f>
        <v>463889.21410188032</v>
      </c>
      <c r="W116" s="182">
        <f t="shared" ref="W116" ca="1" si="718">W110+W123+W124-IF(W$2=1,W112,W112-V112)+IF(W$2=1,W114,W114-V114)</f>
        <v>414269.31790339609</v>
      </c>
      <c r="X116" s="182">
        <f t="shared" ref="X116" ca="1" si="719">X110+X123+X124-IF(X$2=1,X112,X112-W112)+IF(X$2=1,X114,X114-W114)</f>
        <v>546738.10067840014</v>
      </c>
      <c r="Y116" s="182">
        <f t="shared" ref="Y116" ca="1" si="720">Y110+Y123+Y124-IF(Y$2=1,Y112,Y112-X112)+IF(Y$2=1,Y114,Y114-X114)</f>
        <v>732363.33640656574</v>
      </c>
      <c r="Z116" s="182">
        <f t="shared" ref="Z116" ca="1" si="721">Z110+Z123+Z124-IF(Z$2=1,Z112,Z112-Y112)+IF(Z$2=1,Z114,Z114-Y114)</f>
        <v>788312.31813606992</v>
      </c>
      <c r="AA116" s="182">
        <f t="shared" ref="AA116" ca="1" si="722">AA110+AA123+AA124-IF(AA$2=1,AA112,AA112-Z112)+IF(AA$2=1,AA114,AA114-Z114)</f>
        <v>633463.35084652016</v>
      </c>
      <c r="AB116" s="182">
        <f t="shared" ref="AB116" ca="1" si="723">AB110+AB123+AB124-IF(AB$2=1,AB112,AB112-AA112)+IF(AB$2=1,AB114,AB114-AA114)</f>
        <v>450898.02035196091</v>
      </c>
      <c r="AC116" s="182">
        <f t="shared" ref="AC116" ca="1" si="724">AC110+AC123+AC124-IF(AC$2=1,AC112,AC112-AB112)+IF(AC$2=1,AC114,AC114-AB114)</f>
        <v>399939.9459126289</v>
      </c>
      <c r="AD116" s="182">
        <f t="shared" ref="AD116" ca="1" si="725">AD110+AD123+AD124-IF(AD$2=1,AD112,AD112-AC112)+IF(AD$2=1,AD114,AD114-AC114)</f>
        <v>455558.22483399016</v>
      </c>
      <c r="AE116" s="182">
        <f t="shared" ref="AE116" ca="1" si="726">AE110+AE123+AE124-IF(AE$2=1,AE112,AE112-AD112)+IF(AE$2=1,AE114,AE114-AD114)</f>
        <v>592477.053034593</v>
      </c>
      <c r="AF116" s="182">
        <f t="shared" ref="AF116" ca="1" si="727">AF110+AF123+AF124-IF(AF$2=1,AF112,AF112-AE112)+IF(AF$2=1,AF114,AF114-AE114)</f>
        <v>595098.44441791379</v>
      </c>
      <c r="AG116" s="182">
        <f t="shared" ref="AG116" ca="1" si="728">AG110+AG123+AG124-IF(AG$2=1,AG112,AG112-AF112)+IF(AG$2=1,AG114,AG114-AF114)</f>
        <v>516438.3367772022</v>
      </c>
      <c r="AH116" s="182">
        <f t="shared" ref="AH116" ca="1" si="729">AH110+AH123+AH124-IF(AH$2=1,AH112,AH112-AG112)+IF(AH$2=1,AH114,AH114-AG114)</f>
        <v>491722.56694799307</v>
      </c>
      <c r="AI116" s="182">
        <f t="shared" ref="AI116" ca="1" si="730">AI110+AI123+AI124-IF(AI$2=1,AI112,AI112-AH112)+IF(AI$2=1,AI114,AI114-AH114)</f>
        <v>439125.47697759978</v>
      </c>
      <c r="AJ116" s="182">
        <f t="shared" ref="AJ116" ca="1" si="731">AJ110+AJ123+AJ124-IF(AJ$2=1,AJ112,AJ112-AI112)+IF(AJ$2=1,AJ114,AJ114-AI114)</f>
        <v>579542.38671910414</v>
      </c>
      <c r="AK116" s="182">
        <f t="shared" ref="AK116" ca="1" si="732">AK110+AK123+AK124-IF(AK$2=1,AK112,AK112-AJ112)+IF(AK$2=1,AK114,AK114-AJ114)</f>
        <v>776305.13659095974</v>
      </c>
      <c r="AL116" s="182">
        <f t="shared" ref="AL116" ca="1" si="733">AL110+AL123+AL124-IF(AL$2=1,AL112,AL112-AK112)+IF(AL$2=1,AL114,AL114-AK114)</f>
        <v>835611.05722423422</v>
      </c>
      <c r="AM116" s="182">
        <f t="shared" ref="AM116" ca="1" si="734">AM110+AM123+AM124-IF(AM$2=1,AM112,AM112-AL112)+IF(AM$2=1,AM114,AM114-AL114)</f>
        <v>671471.15189731133</v>
      </c>
      <c r="AN116" s="182">
        <f t="shared" ref="AN116" ca="1" si="735">AN110+AN123+AN124-IF(AN$2=1,AN112,AN112-AM112)+IF(AN$2=1,AN114,AN114-AM114)</f>
        <v>477951.90157307853</v>
      </c>
      <c r="AO116" s="182">
        <f t="shared" ref="AO116" ca="1" si="736">AO110+AO123+AO124-IF(AO$2=1,AO112,AO112-AN112)+IF(AO$2=1,AO114,AO114-AN114)</f>
        <v>423936.34266738663</v>
      </c>
      <c r="AP116" s="182">
        <f t="shared" ref="AP116" ca="1" si="737">AP110+AP123+AP124-IF(AP$2=1,AP112,AP112-AO112)+IF(AP$2=1,AP114,AP114-AO114)</f>
        <v>482891.7183240297</v>
      </c>
      <c r="AQ116" s="182">
        <f t="shared" ref="AQ116" ca="1" si="738">AQ110+AQ123+AQ124-IF(AQ$2=1,AQ112,AQ112-AP112)+IF(AQ$2=1,AQ114,AQ114-AP114)</f>
        <v>628025.6762166688</v>
      </c>
      <c r="AR116" s="182">
        <f t="shared" ref="AR116" ca="1" si="739">AR110+AR123+AR124-IF(AR$2=1,AR112,AR112-AQ112)+IF(AR$2=1,AR114,AR114-AQ114)</f>
        <v>630804.35108298878</v>
      </c>
      <c r="AS116" s="182">
        <f t="shared" ref="AS116" ca="1" si="740">AS110+AS123+AS124-IF(AS$2=1,AS112,AS112-AR112)+IF(AS$2=1,AS114,AS114-AR114)</f>
        <v>547424.63698383444</v>
      </c>
      <c r="AT116" s="182">
        <f t="shared" ref="AT116" ca="1" si="741">AT110+AT123+AT124-IF(AT$2=1,AT112,AT112-AS112)+IF(AT$2=1,AT114,AT114-AS114)</f>
        <v>521225.92096487281</v>
      </c>
      <c r="AU116" s="182">
        <f t="shared" ref="AU116" ca="1" si="742">AU110+AU123+AU124-IF(AU$2=1,AU112,AU112-AT112)+IF(AU$2=1,AU114,AU114-AT114)</f>
        <v>465473.00559625588</v>
      </c>
      <c r="AV116" s="182">
        <f t="shared" ref="AV116" ca="1" si="743">AV110+AV123+AV124-IF(AV$2=1,AV112,AV112-AU112)+IF(AV$2=1,AV114,AV114-AU114)</f>
        <v>614314.92992225057</v>
      </c>
      <c r="AW116" s="182">
        <f t="shared" ref="AW116" ca="1" si="744">AW110+AW123+AW124-IF(AW$2=1,AW112,AW112-AV112)+IF(AW$2=1,AW114,AW114-AV114)</f>
        <v>822883.4447864173</v>
      </c>
      <c r="AX116" s="182">
        <f t="shared" ref="AX116" ca="1" si="745">AX110+AX123+AX124-IF(AX$2=1,AX112,AX112-AW112)+IF(AX$2=1,AX114,AX114-AW114)</f>
        <v>885747.72065768833</v>
      </c>
      <c r="AY116" s="182">
        <f t="shared" ref="AY116" ca="1" si="746">AY110+AY123+AY124-IF(AY$2=1,AY112,AY112-AX112)+IF(AY$2=1,AY114,AY114-AX114)</f>
        <v>711759.42101115012</v>
      </c>
      <c r="AZ116" s="182">
        <f t="shared" ref="AZ116" ca="1" si="747">AZ110+AZ123+AZ124-IF(AZ$2=1,AZ112,AZ112-AY112)+IF(AZ$2=1,AZ114,AZ114-AY114)</f>
        <v>506629.0156674633</v>
      </c>
      <c r="BA116" s="182">
        <f t="shared" ref="BA116" ca="1" si="748">BA110+BA123+BA124-IF(BA$2=1,BA112,BA112-AZ112)+IF(BA$2=1,BA114,BA114-AZ114)</f>
        <v>449372.52322742995</v>
      </c>
      <c r="BB116" s="182">
        <f t="shared" ref="BB116" ca="1" si="749">BB110+BB123+BB124-IF(BB$2=1,BB112,BB112-BA112)+IF(BB$2=1,BB114,BB114-BA114)</f>
        <v>511865.22142347146</v>
      </c>
      <c r="BC116" s="182"/>
      <c r="BD116" s="183">
        <f ca="1">SUM(G116:BC116)</f>
        <v>22774285.658115309</v>
      </c>
    </row>
    <row r="117" spans="1:56" hidden="1" outlineLevel="1" x14ac:dyDescent="0.3">
      <c r="A117" s="184" t="str">
        <f ca="1">Language!A$614</f>
        <v>темп изменения цен</v>
      </c>
      <c r="B117" s="189"/>
      <c r="C117" s="163" t="str">
        <f ca="1">Language!$A$480</f>
        <v>% в год</v>
      </c>
      <c r="D117" s="174"/>
      <c r="F117" s="170" t="s">
        <v>2346</v>
      </c>
      <c r="G117" s="290">
        <f>CHOOSE($D106,Параметры!G$47,Параметры!G$56,Параметры!G$62)</f>
        <v>0.06</v>
      </c>
      <c r="H117" s="290">
        <f>CHOOSE($D106,Параметры!H$47,Параметры!H$56,Параметры!H$62)</f>
        <v>0.06</v>
      </c>
      <c r="I117" s="290">
        <f>CHOOSE($D106,Параметры!I$47,Параметры!I$56,Параметры!I$62)</f>
        <v>0.06</v>
      </c>
      <c r="J117" s="290">
        <f>CHOOSE($D106,Параметры!J$47,Параметры!J$56,Параметры!J$62)</f>
        <v>0.06</v>
      </c>
      <c r="K117" s="290">
        <f>CHOOSE($D106,Параметры!K$47,Параметры!K$56,Параметры!K$62)</f>
        <v>0.06</v>
      </c>
      <c r="L117" s="290">
        <f>CHOOSE($D106,Параметры!L$47,Параметры!L$56,Параметры!L$62)</f>
        <v>0.06</v>
      </c>
      <c r="M117" s="290">
        <f>CHOOSE($D106,Параметры!M$47,Параметры!M$56,Параметры!M$62)</f>
        <v>0.06</v>
      </c>
      <c r="N117" s="290">
        <f>CHOOSE($D106,Параметры!N$47,Параметры!N$56,Параметры!N$62)</f>
        <v>0.06</v>
      </c>
      <c r="O117" s="290">
        <f>CHOOSE($D106,Параметры!O$47,Параметры!O$56,Параметры!O$62)</f>
        <v>0.06</v>
      </c>
      <c r="P117" s="290">
        <f>CHOOSE($D106,Параметры!P$47,Параметры!P$56,Параметры!P$62)</f>
        <v>0.06</v>
      </c>
      <c r="Q117" s="290">
        <f>CHOOSE($D106,Параметры!Q$47,Параметры!Q$56,Параметры!Q$62)</f>
        <v>0.06</v>
      </c>
      <c r="R117" s="290">
        <f>CHOOSE($D106,Параметры!R$47,Параметры!R$56,Параметры!R$62)</f>
        <v>0.06</v>
      </c>
      <c r="S117" s="290">
        <f>CHOOSE($D106,Параметры!S$47,Параметры!S$56,Параметры!S$62)</f>
        <v>0.06</v>
      </c>
      <c r="T117" s="290">
        <f>CHOOSE($D106,Параметры!T$47,Параметры!T$56,Параметры!T$62)</f>
        <v>0.06</v>
      </c>
      <c r="U117" s="290">
        <f>CHOOSE($D106,Параметры!U$47,Параметры!U$56,Параметры!U$62)</f>
        <v>0.06</v>
      </c>
      <c r="V117" s="290">
        <f>CHOOSE($D106,Параметры!V$47,Параметры!V$56,Параметры!V$62)</f>
        <v>0.06</v>
      </c>
      <c r="W117" s="290">
        <f>CHOOSE($D106,Параметры!W$47,Параметры!W$56,Параметры!W$62)</f>
        <v>0.06</v>
      </c>
      <c r="X117" s="290">
        <f>CHOOSE($D106,Параметры!X$47,Параметры!X$56,Параметры!X$62)</f>
        <v>0.06</v>
      </c>
      <c r="Y117" s="290">
        <f>CHOOSE($D106,Параметры!Y$47,Параметры!Y$56,Параметры!Y$62)</f>
        <v>0.06</v>
      </c>
      <c r="Z117" s="290">
        <f>CHOOSE($D106,Параметры!Z$47,Параметры!Z$56,Параметры!Z$62)</f>
        <v>0.06</v>
      </c>
      <c r="AA117" s="290">
        <f>CHOOSE($D106,Параметры!AA$47,Параметры!AA$56,Параметры!AA$62)</f>
        <v>0.06</v>
      </c>
      <c r="AB117" s="290">
        <f>CHOOSE($D106,Параметры!AB$47,Параметры!AB$56,Параметры!AB$62)</f>
        <v>0.06</v>
      </c>
      <c r="AC117" s="290">
        <f>CHOOSE($D106,Параметры!AC$47,Параметры!AC$56,Параметры!AC$62)</f>
        <v>0.06</v>
      </c>
      <c r="AD117" s="290">
        <f>CHOOSE($D106,Параметры!AD$47,Параметры!AD$56,Параметры!AD$62)</f>
        <v>0.06</v>
      </c>
      <c r="AE117" s="290">
        <f>CHOOSE($D106,Параметры!AE$47,Параметры!AE$56,Параметры!AE$62)</f>
        <v>0.06</v>
      </c>
      <c r="AF117" s="290">
        <f>CHOOSE($D106,Параметры!AF$47,Параметры!AF$56,Параметры!AF$62)</f>
        <v>0.06</v>
      </c>
      <c r="AG117" s="290">
        <f>CHOOSE($D106,Параметры!AG$47,Параметры!AG$56,Параметры!AG$62)</f>
        <v>0.06</v>
      </c>
      <c r="AH117" s="290">
        <f>CHOOSE($D106,Параметры!AH$47,Параметры!AH$56,Параметры!AH$62)</f>
        <v>0.06</v>
      </c>
      <c r="AI117" s="290">
        <f>CHOOSE($D106,Параметры!AI$47,Параметры!AI$56,Параметры!AI$62)</f>
        <v>0.06</v>
      </c>
      <c r="AJ117" s="290">
        <f>CHOOSE($D106,Параметры!AJ$47,Параметры!AJ$56,Параметры!AJ$62)</f>
        <v>0.06</v>
      </c>
      <c r="AK117" s="290">
        <f>CHOOSE($D106,Параметры!AK$47,Параметры!AK$56,Параметры!AK$62)</f>
        <v>0.06</v>
      </c>
      <c r="AL117" s="290">
        <f>CHOOSE($D106,Параметры!AL$47,Параметры!AL$56,Параметры!AL$62)</f>
        <v>0.06</v>
      </c>
      <c r="AM117" s="290">
        <f>CHOOSE($D106,Параметры!AM$47,Параметры!AM$56,Параметры!AM$62)</f>
        <v>0.06</v>
      </c>
      <c r="AN117" s="290">
        <f>CHOOSE($D106,Параметры!AN$47,Параметры!AN$56,Параметры!AN$62)</f>
        <v>0.06</v>
      </c>
      <c r="AO117" s="290">
        <f>CHOOSE($D106,Параметры!AO$47,Параметры!AO$56,Параметры!AO$62)</f>
        <v>0.06</v>
      </c>
      <c r="AP117" s="290">
        <f>CHOOSE($D106,Параметры!AP$47,Параметры!AP$56,Параметры!AP$62)</f>
        <v>0.06</v>
      </c>
      <c r="AQ117" s="290">
        <f>CHOOSE($D106,Параметры!AQ$47,Параметры!AQ$56,Параметры!AQ$62)</f>
        <v>0.06</v>
      </c>
      <c r="AR117" s="290">
        <f>CHOOSE($D106,Параметры!AR$47,Параметры!AR$56,Параметры!AR$62)</f>
        <v>0.06</v>
      </c>
      <c r="AS117" s="290">
        <f>CHOOSE($D106,Параметры!AS$47,Параметры!AS$56,Параметры!AS$62)</f>
        <v>0.06</v>
      </c>
      <c r="AT117" s="290">
        <f>CHOOSE($D106,Параметры!AT$47,Параметры!AT$56,Параметры!AT$62)</f>
        <v>0.06</v>
      </c>
      <c r="AU117" s="290">
        <f>CHOOSE($D106,Параметры!AU$47,Параметры!AU$56,Параметры!AU$62)</f>
        <v>0.06</v>
      </c>
      <c r="AV117" s="290">
        <f>CHOOSE($D106,Параметры!AV$47,Параметры!AV$56,Параметры!AV$62)</f>
        <v>0.06</v>
      </c>
      <c r="AW117" s="290">
        <f>CHOOSE($D106,Параметры!AW$47,Параметры!AW$56,Параметры!AW$62)</f>
        <v>0.06</v>
      </c>
      <c r="AX117" s="290">
        <f>CHOOSE($D106,Параметры!AX$47,Параметры!AX$56,Параметры!AX$62)</f>
        <v>0.06</v>
      </c>
      <c r="AY117" s="290">
        <f>CHOOSE($D106,Параметры!AY$47,Параметры!AY$56,Параметры!AY$62)</f>
        <v>0.06</v>
      </c>
      <c r="AZ117" s="290">
        <f>CHOOSE($D106,Параметры!AZ$47,Параметры!AZ$56,Параметры!AZ$62)</f>
        <v>0.06</v>
      </c>
      <c r="BA117" s="290">
        <f>CHOOSE($D106,Параметры!BA$47,Параметры!BA$56,Параметры!BA$62)</f>
        <v>0.06</v>
      </c>
      <c r="BB117" s="290">
        <f>CHOOSE($D106,Параметры!BB$47,Параметры!BB$56,Параметры!BB$62)</f>
        <v>0.06</v>
      </c>
      <c r="BC117" s="190"/>
      <c r="BD117" s="186"/>
    </row>
    <row r="118" spans="1:56" hidden="1" outlineLevel="1" x14ac:dyDescent="0.3">
      <c r="A118" s="184" t="str">
        <f ca="1">Language!A$615</f>
        <v>ставка НДС</v>
      </c>
      <c r="B118" s="189"/>
      <c r="C118" s="163" t="s">
        <v>1</v>
      </c>
      <c r="D118" s="174"/>
      <c r="F118" s="170" t="s">
        <v>2346</v>
      </c>
      <c r="G118" s="290">
        <f>IF(G$2=1,Параметры!G$72,IF(F118=Параметры!F$72,Параметры!F$72,F118))</f>
        <v>0</v>
      </c>
      <c r="H118" s="290">
        <f>IF(H$2=1,Параметры!H$72,IF(G118=Параметры!G$72,Параметры!G$72,G118))</f>
        <v>0</v>
      </c>
      <c r="I118" s="290">
        <f>IF(I$2=1,Параметры!I$72,IF(H118=Параметры!H$72,Параметры!H$72,H118))</f>
        <v>0</v>
      </c>
      <c r="J118" s="290">
        <f>IF(J$2=1,Параметры!J$72,IF(I118=Параметры!I$72,Параметры!I$72,I118))</f>
        <v>0</v>
      </c>
      <c r="K118" s="290">
        <f>IF(K$2=1,Параметры!K$72,IF(J118=Параметры!J$72,Параметры!J$72,J118))</f>
        <v>0</v>
      </c>
      <c r="L118" s="290">
        <f>IF(L$2=1,Параметры!L$72,IF(K118=Параметры!K$72,Параметры!K$72,K118))</f>
        <v>0</v>
      </c>
      <c r="M118" s="290">
        <f>IF(M$2=1,Параметры!M$72,IF(L118=Параметры!L$72,Параметры!L$72,L118))</f>
        <v>0</v>
      </c>
      <c r="N118" s="290">
        <f>IF(N$2=1,Параметры!N$72,IF(M118=Параметры!M$72,Параметры!M$72,M118))</f>
        <v>0</v>
      </c>
      <c r="O118" s="290">
        <f>IF(O$2=1,Параметры!O$72,IF(N118=Параметры!N$72,Параметры!N$72,N118))</f>
        <v>0</v>
      </c>
      <c r="P118" s="290">
        <f>IF(P$2=1,Параметры!P$72,IF(O118=Параметры!O$72,Параметры!O$72,O118))</f>
        <v>0</v>
      </c>
      <c r="Q118" s="290">
        <f>IF(Q$2=1,Параметры!Q$72,IF(P118=Параметры!P$72,Параметры!P$72,P118))</f>
        <v>0</v>
      </c>
      <c r="R118" s="290">
        <f>IF(R$2=1,Параметры!R$72,IF(Q118=Параметры!Q$72,Параметры!Q$72,Q118))</f>
        <v>0</v>
      </c>
      <c r="S118" s="290">
        <f>IF(S$2=1,Параметры!S$72,IF(R118=Параметры!R$72,Параметры!R$72,R118))</f>
        <v>0</v>
      </c>
      <c r="T118" s="290">
        <f>IF(T$2=1,Параметры!T$72,IF(S118=Параметры!S$72,Параметры!S$72,S118))</f>
        <v>0</v>
      </c>
      <c r="U118" s="290">
        <f>IF(U$2=1,Параметры!U$72,IF(T118=Параметры!T$72,Параметры!T$72,T118))</f>
        <v>0</v>
      </c>
      <c r="V118" s="290">
        <f>IF(V$2=1,Параметры!V$72,IF(U118=Параметры!U$72,Параметры!U$72,U118))</f>
        <v>0</v>
      </c>
      <c r="W118" s="290">
        <f>IF(W$2=1,Параметры!W$72,IF(V118=Параметры!V$72,Параметры!V$72,V118))</f>
        <v>0</v>
      </c>
      <c r="X118" s="290">
        <f>IF(X$2=1,Параметры!X$72,IF(W118=Параметры!W$72,Параметры!W$72,W118))</f>
        <v>0</v>
      </c>
      <c r="Y118" s="290">
        <f>IF(Y$2=1,Параметры!Y$72,IF(X118=Параметры!X$72,Параметры!X$72,X118))</f>
        <v>0</v>
      </c>
      <c r="Z118" s="290">
        <f>IF(Z$2=1,Параметры!Z$72,IF(Y118=Параметры!Y$72,Параметры!Y$72,Y118))</f>
        <v>0</v>
      </c>
      <c r="AA118" s="290">
        <f>IF(AA$2=1,Параметры!AA$72,IF(Z118=Параметры!Z$72,Параметры!Z$72,Z118))</f>
        <v>0</v>
      </c>
      <c r="AB118" s="290">
        <f>IF(AB$2=1,Параметры!AB$72,IF(AA118=Параметры!AA$72,Параметры!AA$72,AA118))</f>
        <v>0</v>
      </c>
      <c r="AC118" s="290">
        <f>IF(AC$2=1,Параметры!AC$72,IF(AB118=Параметры!AB$72,Параметры!AB$72,AB118))</f>
        <v>0</v>
      </c>
      <c r="AD118" s="290">
        <f>IF(AD$2=1,Параметры!AD$72,IF(AC118=Параметры!AC$72,Параметры!AC$72,AC118))</f>
        <v>0</v>
      </c>
      <c r="AE118" s="290">
        <f>IF(AE$2=1,Параметры!AE$72,IF(AD118=Параметры!AD$72,Параметры!AD$72,AD118))</f>
        <v>0</v>
      </c>
      <c r="AF118" s="290">
        <f>IF(AF$2=1,Параметры!AF$72,IF(AE118=Параметры!AE$72,Параметры!AE$72,AE118))</f>
        <v>0</v>
      </c>
      <c r="AG118" s="290">
        <f>IF(AG$2=1,Параметры!AG$72,IF(AF118=Параметры!AF$72,Параметры!AF$72,AF118))</f>
        <v>0</v>
      </c>
      <c r="AH118" s="290">
        <f>IF(AH$2=1,Параметры!AH$72,IF(AG118=Параметры!AG$72,Параметры!AG$72,AG118))</f>
        <v>0</v>
      </c>
      <c r="AI118" s="290">
        <f>IF(AI$2=1,Параметры!AI$72,IF(AH118=Параметры!AH$72,Параметры!AH$72,AH118))</f>
        <v>0</v>
      </c>
      <c r="AJ118" s="290">
        <f>IF(AJ$2=1,Параметры!AJ$72,IF(AI118=Параметры!AI$72,Параметры!AI$72,AI118))</f>
        <v>0</v>
      </c>
      <c r="AK118" s="290">
        <f>IF(AK$2=1,Параметры!AK$72,IF(AJ118=Параметры!AJ$72,Параметры!AJ$72,AJ118))</f>
        <v>0</v>
      </c>
      <c r="AL118" s="290">
        <f>IF(AL$2=1,Параметры!AL$72,IF(AK118=Параметры!AK$72,Параметры!AK$72,AK118))</f>
        <v>0</v>
      </c>
      <c r="AM118" s="290">
        <f>IF(AM$2=1,Параметры!AM$72,IF(AL118=Параметры!AL$72,Параметры!AL$72,AL118))</f>
        <v>0</v>
      </c>
      <c r="AN118" s="290">
        <f>IF(AN$2=1,Параметры!AN$72,IF(AM118=Параметры!AM$72,Параметры!AM$72,AM118))</f>
        <v>0</v>
      </c>
      <c r="AO118" s="290">
        <f>IF(AO$2=1,Параметры!AO$72,IF(AN118=Параметры!AN$72,Параметры!AN$72,AN118))</f>
        <v>0</v>
      </c>
      <c r="AP118" s="290">
        <f>IF(AP$2=1,Параметры!AP$72,IF(AO118=Параметры!AO$72,Параметры!AO$72,AO118))</f>
        <v>0</v>
      </c>
      <c r="AQ118" s="290">
        <f>IF(AQ$2=1,Параметры!AQ$72,IF(AP118=Параметры!AP$72,Параметры!AP$72,AP118))</f>
        <v>0</v>
      </c>
      <c r="AR118" s="290">
        <f>IF(AR$2=1,Параметры!AR$72,IF(AQ118=Параметры!AQ$72,Параметры!AQ$72,AQ118))</f>
        <v>0</v>
      </c>
      <c r="AS118" s="290">
        <f>IF(AS$2=1,Параметры!AS$72,IF(AR118=Параметры!AR$72,Параметры!AR$72,AR118))</f>
        <v>0</v>
      </c>
      <c r="AT118" s="290">
        <f>IF(AT$2=1,Параметры!AT$72,IF(AS118=Параметры!AS$72,Параметры!AS$72,AS118))</f>
        <v>0</v>
      </c>
      <c r="AU118" s="290">
        <f>IF(AU$2=1,Параметры!AU$72,IF(AT118=Параметры!AT$72,Параметры!AT$72,AT118))</f>
        <v>0</v>
      </c>
      <c r="AV118" s="290">
        <f>IF(AV$2=1,Параметры!AV$72,IF(AU118=Параметры!AU$72,Параметры!AU$72,AU118))</f>
        <v>0</v>
      </c>
      <c r="AW118" s="290">
        <f>IF(AW$2=1,Параметры!AW$72,IF(AV118=Параметры!AV$72,Параметры!AV$72,AV118))</f>
        <v>0</v>
      </c>
      <c r="AX118" s="290">
        <f>IF(AX$2=1,Параметры!AX$72,IF(AW118=Параметры!AW$72,Параметры!AW$72,AW118))</f>
        <v>0</v>
      </c>
      <c r="AY118" s="290">
        <f>IF(AY$2=1,Параметры!AY$72,IF(AX118=Параметры!AX$72,Параметры!AX$72,AX118))</f>
        <v>0</v>
      </c>
      <c r="AZ118" s="290">
        <f>IF(AZ$2=1,Параметры!AZ$72,IF(AY118=Параметры!AY$72,Параметры!AY$72,AY118))</f>
        <v>0</v>
      </c>
      <c r="BA118" s="290">
        <f>IF(BA$2=1,Параметры!BA$72,IF(AZ118=Параметры!AZ$72,Параметры!AZ$72,AZ118))</f>
        <v>0</v>
      </c>
      <c r="BB118" s="290">
        <f>IF(BB$2=1,Параметры!BB$72,IF(BA118=Параметры!BA$72,Параметры!BA$72,BA118))</f>
        <v>0</v>
      </c>
      <c r="BC118" s="190"/>
      <c r="BD118" s="186"/>
    </row>
    <row r="119" spans="1:56" hidden="1" outlineLevel="1" x14ac:dyDescent="0.3">
      <c r="A119" s="184" t="str">
        <f ca="1">Language!A$616</f>
        <v>акцизы, на единицу</v>
      </c>
      <c r="B119" s="174"/>
      <c r="C119" s="163" t="str">
        <f ca="1">CHOOSE(D119,CurName1,CurName2,CurName3)&amp;"/"&amp;C107</f>
        <v>руб./ед.</v>
      </c>
      <c r="D119" s="174">
        <f>D106</f>
        <v>1</v>
      </c>
      <c r="F119" s="170" t="s">
        <v>2346</v>
      </c>
      <c r="G119" s="287">
        <v>0</v>
      </c>
      <c r="H119" s="287">
        <f t="shared" ref="H119:H120" si="750">G119</f>
        <v>0</v>
      </c>
      <c r="I119" s="287">
        <f t="shared" ref="I119:I120" si="751">H119</f>
        <v>0</v>
      </c>
      <c r="J119" s="287">
        <f t="shared" ref="J119:J120" si="752">I119</f>
        <v>0</v>
      </c>
      <c r="K119" s="287">
        <f t="shared" ref="K119:K120" si="753">J119</f>
        <v>0</v>
      </c>
      <c r="L119" s="287">
        <f t="shared" ref="L119:L120" si="754">K119</f>
        <v>0</v>
      </c>
      <c r="M119" s="287">
        <f t="shared" ref="M119:M120" si="755">L119</f>
        <v>0</v>
      </c>
      <c r="N119" s="287">
        <f t="shared" ref="N119:N120" si="756">M119</f>
        <v>0</v>
      </c>
      <c r="O119" s="287">
        <f t="shared" ref="O119:O120" si="757">N119</f>
        <v>0</v>
      </c>
      <c r="P119" s="287">
        <f t="shared" ref="P119:P120" si="758">O119</f>
        <v>0</v>
      </c>
      <c r="Q119" s="287">
        <f t="shared" ref="Q119:Q120" si="759">P119</f>
        <v>0</v>
      </c>
      <c r="R119" s="287">
        <f t="shared" ref="R119:R120" si="760">Q119</f>
        <v>0</v>
      </c>
      <c r="S119" s="287">
        <f t="shared" ref="S119:S120" si="761">R119</f>
        <v>0</v>
      </c>
      <c r="T119" s="287">
        <f t="shared" ref="T119:T120" si="762">S119</f>
        <v>0</v>
      </c>
      <c r="U119" s="287">
        <f t="shared" ref="U119:U120" si="763">T119</f>
        <v>0</v>
      </c>
      <c r="V119" s="287">
        <f t="shared" ref="V119:V120" si="764">U119</f>
        <v>0</v>
      </c>
      <c r="W119" s="287">
        <f t="shared" ref="W119:W120" si="765">V119</f>
        <v>0</v>
      </c>
      <c r="X119" s="287">
        <f t="shared" ref="X119:X120" si="766">W119</f>
        <v>0</v>
      </c>
      <c r="Y119" s="287">
        <f t="shared" ref="Y119:Y120" si="767">X119</f>
        <v>0</v>
      </c>
      <c r="Z119" s="287">
        <f t="shared" ref="Z119:Z120" si="768">Y119</f>
        <v>0</v>
      </c>
      <c r="AA119" s="287">
        <f t="shared" ref="AA119:AA120" si="769">Z119</f>
        <v>0</v>
      </c>
      <c r="AB119" s="287">
        <f t="shared" ref="AB119:AB120" si="770">AA119</f>
        <v>0</v>
      </c>
      <c r="AC119" s="287">
        <f t="shared" ref="AC119:AC120" si="771">AB119</f>
        <v>0</v>
      </c>
      <c r="AD119" s="287">
        <f t="shared" ref="AD119:AD120" si="772">AC119</f>
        <v>0</v>
      </c>
      <c r="AE119" s="287">
        <f t="shared" ref="AE119:AE120" si="773">AD119</f>
        <v>0</v>
      </c>
      <c r="AF119" s="287">
        <f t="shared" ref="AF119:AF120" si="774">AE119</f>
        <v>0</v>
      </c>
      <c r="AG119" s="287">
        <f t="shared" ref="AG119:AG120" si="775">AF119</f>
        <v>0</v>
      </c>
      <c r="AH119" s="287">
        <f t="shared" ref="AH119:AH120" si="776">AG119</f>
        <v>0</v>
      </c>
      <c r="AI119" s="287">
        <f t="shared" ref="AI119:AI120" si="777">AH119</f>
        <v>0</v>
      </c>
      <c r="AJ119" s="287">
        <f t="shared" ref="AJ119:AJ120" si="778">AI119</f>
        <v>0</v>
      </c>
      <c r="AK119" s="287">
        <f t="shared" ref="AK119:AK120" si="779">AJ119</f>
        <v>0</v>
      </c>
      <c r="AL119" s="287">
        <f t="shared" ref="AL119:AL120" si="780">AK119</f>
        <v>0</v>
      </c>
      <c r="AM119" s="287">
        <f t="shared" ref="AM119:AM120" si="781">AL119</f>
        <v>0</v>
      </c>
      <c r="AN119" s="287">
        <f t="shared" ref="AN119:AN120" si="782">AM119</f>
        <v>0</v>
      </c>
      <c r="AO119" s="287">
        <f t="shared" ref="AO119:AO120" si="783">AN119</f>
        <v>0</v>
      </c>
      <c r="AP119" s="287">
        <f t="shared" ref="AP119:AP120" si="784">AO119</f>
        <v>0</v>
      </c>
      <c r="AQ119" s="287">
        <f t="shared" ref="AQ119:AQ120" si="785">AP119</f>
        <v>0</v>
      </c>
      <c r="AR119" s="287">
        <f t="shared" ref="AR119:AR120" si="786">AQ119</f>
        <v>0</v>
      </c>
      <c r="AS119" s="287">
        <f t="shared" ref="AS119:AS120" si="787">AR119</f>
        <v>0</v>
      </c>
      <c r="AT119" s="287">
        <f t="shared" ref="AT119:AT120" si="788">AS119</f>
        <v>0</v>
      </c>
      <c r="AU119" s="287">
        <f t="shared" ref="AU119:AU120" si="789">AT119</f>
        <v>0</v>
      </c>
      <c r="AV119" s="287">
        <f t="shared" ref="AV119:AV120" si="790">AU119</f>
        <v>0</v>
      </c>
      <c r="AW119" s="287">
        <f t="shared" ref="AW119:AW120" si="791">AV119</f>
        <v>0</v>
      </c>
      <c r="AX119" s="287">
        <f t="shared" ref="AX119:AX120" si="792">AW119</f>
        <v>0</v>
      </c>
      <c r="AY119" s="287">
        <f t="shared" ref="AY119:AY120" si="793">AX119</f>
        <v>0</v>
      </c>
      <c r="AZ119" s="287">
        <f t="shared" ref="AZ119:AZ120" si="794">AY119</f>
        <v>0</v>
      </c>
      <c r="BA119" s="287">
        <f t="shared" ref="BA119:BA120" si="795">AZ119</f>
        <v>0</v>
      </c>
      <c r="BB119" s="287">
        <f t="shared" ref="BB119:BB120" si="796">BA119</f>
        <v>0</v>
      </c>
      <c r="BC119" s="185"/>
      <c r="BD119" s="186"/>
    </row>
    <row r="120" spans="1:56" hidden="1" outlineLevel="1" x14ac:dyDescent="0.3">
      <c r="A120" s="184" t="str">
        <f ca="1">Language!A$617</f>
        <v>ставка акцизов, в процентах</v>
      </c>
      <c r="B120" s="189"/>
      <c r="C120" s="163" t="s">
        <v>1</v>
      </c>
      <c r="D120" s="174"/>
      <c r="F120" s="170" t="s">
        <v>2346</v>
      </c>
      <c r="G120" s="290">
        <v>0</v>
      </c>
      <c r="H120" s="290">
        <f t="shared" si="750"/>
        <v>0</v>
      </c>
      <c r="I120" s="290">
        <f t="shared" si="751"/>
        <v>0</v>
      </c>
      <c r="J120" s="290">
        <f t="shared" si="752"/>
        <v>0</v>
      </c>
      <c r="K120" s="290">
        <f t="shared" si="753"/>
        <v>0</v>
      </c>
      <c r="L120" s="290">
        <f t="shared" si="754"/>
        <v>0</v>
      </c>
      <c r="M120" s="290">
        <f t="shared" si="755"/>
        <v>0</v>
      </c>
      <c r="N120" s="290">
        <f t="shared" si="756"/>
        <v>0</v>
      </c>
      <c r="O120" s="290">
        <f t="shared" si="757"/>
        <v>0</v>
      </c>
      <c r="P120" s="290">
        <f t="shared" si="758"/>
        <v>0</v>
      </c>
      <c r="Q120" s="290">
        <f t="shared" si="759"/>
        <v>0</v>
      </c>
      <c r="R120" s="290">
        <f t="shared" si="760"/>
        <v>0</v>
      </c>
      <c r="S120" s="290">
        <f t="shared" si="761"/>
        <v>0</v>
      </c>
      <c r="T120" s="290">
        <f t="shared" si="762"/>
        <v>0</v>
      </c>
      <c r="U120" s="290">
        <f t="shared" si="763"/>
        <v>0</v>
      </c>
      <c r="V120" s="290">
        <f t="shared" si="764"/>
        <v>0</v>
      </c>
      <c r="W120" s="290">
        <f t="shared" si="765"/>
        <v>0</v>
      </c>
      <c r="X120" s="290">
        <f t="shared" si="766"/>
        <v>0</v>
      </c>
      <c r="Y120" s="290">
        <f t="shared" si="767"/>
        <v>0</v>
      </c>
      <c r="Z120" s="290">
        <f t="shared" si="768"/>
        <v>0</v>
      </c>
      <c r="AA120" s="290">
        <f t="shared" si="769"/>
        <v>0</v>
      </c>
      <c r="AB120" s="290">
        <f t="shared" si="770"/>
        <v>0</v>
      </c>
      <c r="AC120" s="290">
        <f t="shared" si="771"/>
        <v>0</v>
      </c>
      <c r="AD120" s="290">
        <f t="shared" si="772"/>
        <v>0</v>
      </c>
      <c r="AE120" s="290">
        <f t="shared" si="773"/>
        <v>0</v>
      </c>
      <c r="AF120" s="290">
        <f t="shared" si="774"/>
        <v>0</v>
      </c>
      <c r="AG120" s="290">
        <f t="shared" si="775"/>
        <v>0</v>
      </c>
      <c r="AH120" s="290">
        <f t="shared" si="776"/>
        <v>0</v>
      </c>
      <c r="AI120" s="290">
        <f t="shared" si="777"/>
        <v>0</v>
      </c>
      <c r="AJ120" s="290">
        <f t="shared" si="778"/>
        <v>0</v>
      </c>
      <c r="AK120" s="290">
        <f t="shared" si="779"/>
        <v>0</v>
      </c>
      <c r="AL120" s="290">
        <f t="shared" si="780"/>
        <v>0</v>
      </c>
      <c r="AM120" s="290">
        <f t="shared" si="781"/>
        <v>0</v>
      </c>
      <c r="AN120" s="290">
        <f t="shared" si="782"/>
        <v>0</v>
      </c>
      <c r="AO120" s="290">
        <f t="shared" si="783"/>
        <v>0</v>
      </c>
      <c r="AP120" s="290">
        <f t="shared" si="784"/>
        <v>0</v>
      </c>
      <c r="AQ120" s="290">
        <f t="shared" si="785"/>
        <v>0</v>
      </c>
      <c r="AR120" s="290">
        <f t="shared" si="786"/>
        <v>0</v>
      </c>
      <c r="AS120" s="290">
        <f t="shared" si="787"/>
        <v>0</v>
      </c>
      <c r="AT120" s="290">
        <f t="shared" si="788"/>
        <v>0</v>
      </c>
      <c r="AU120" s="290">
        <f t="shared" si="789"/>
        <v>0</v>
      </c>
      <c r="AV120" s="290">
        <f t="shared" si="790"/>
        <v>0</v>
      </c>
      <c r="AW120" s="290">
        <f t="shared" si="791"/>
        <v>0</v>
      </c>
      <c r="AX120" s="290">
        <f t="shared" si="792"/>
        <v>0</v>
      </c>
      <c r="AY120" s="290">
        <f t="shared" si="793"/>
        <v>0</v>
      </c>
      <c r="AZ120" s="290">
        <f t="shared" si="794"/>
        <v>0</v>
      </c>
      <c r="BA120" s="290">
        <f t="shared" si="795"/>
        <v>0</v>
      </c>
      <c r="BB120" s="290">
        <f t="shared" si="796"/>
        <v>0</v>
      </c>
      <c r="BC120" s="190"/>
      <c r="BD120" s="186"/>
    </row>
    <row r="121" spans="1:56" hidden="1" outlineLevel="1" x14ac:dyDescent="0.3">
      <c r="A121" s="184" t="str">
        <f ca="1">Language!A$618</f>
        <v>коэффициент прироста цен к предыдущему периоду</v>
      </c>
      <c r="B121" s="189"/>
      <c r="C121" s="163" t="str">
        <f ca="1">Language!$A$1477</f>
        <v>раз</v>
      </c>
      <c r="D121" s="174"/>
      <c r="F121" s="170" t="s">
        <v>745</v>
      </c>
      <c r="G121" s="191">
        <f ca="1">IF(G$2=1,1,IF(Prj_Inflation=1,POWER(1+OFFSET(G117,0,-1),Параметры!G$30/360),1))</f>
        <v>1</v>
      </c>
      <c r="H121" s="191">
        <f ca="1">IF(H$2=1,1,IF(Prj_Inflation=1,POWER(1+OFFSET(H117,0,-1),Параметры!H$30/360),1))</f>
        <v>1.004867550565343</v>
      </c>
      <c r="I121" s="191">
        <f ca="1">IF(I$2=1,1,IF(Prj_Inflation=1,POWER(1+OFFSET(I117,0,-1),Параметры!I$30/360),1))</f>
        <v>1.004867550565343</v>
      </c>
      <c r="J121" s="191">
        <f ca="1">IF(J$2=1,1,IF(Prj_Inflation=1,POWER(1+OFFSET(J117,0,-1),Параметры!J$30/360),1))</f>
        <v>1.004867550565343</v>
      </c>
      <c r="K121" s="191">
        <f ca="1">IF(K$2=1,1,IF(Prj_Inflation=1,POWER(1+OFFSET(K117,0,-1),Параметры!K$30/360),1))</f>
        <v>1.004867550565343</v>
      </c>
      <c r="L121" s="191">
        <f ca="1">IF(L$2=1,1,IF(Prj_Inflation=1,POWER(1+OFFSET(L117,0,-1),Параметры!L$30/360),1))</f>
        <v>1.004867550565343</v>
      </c>
      <c r="M121" s="191">
        <f ca="1">IF(M$2=1,1,IF(Prj_Inflation=1,POWER(1+OFFSET(M117,0,-1),Параметры!M$30/360),1))</f>
        <v>1.004867550565343</v>
      </c>
      <c r="N121" s="191">
        <f ca="1">IF(N$2=1,1,IF(Prj_Inflation=1,POWER(1+OFFSET(N117,0,-1),Параметры!N$30/360),1))</f>
        <v>1.004867550565343</v>
      </c>
      <c r="O121" s="191">
        <f ca="1">IF(O$2=1,1,IF(Prj_Inflation=1,POWER(1+OFFSET(O117,0,-1),Параметры!O$30/360),1))</f>
        <v>1.004867550565343</v>
      </c>
      <c r="P121" s="191">
        <f ca="1">IF(P$2=1,1,IF(Prj_Inflation=1,POWER(1+OFFSET(P117,0,-1),Параметры!P$30/360),1))</f>
        <v>1.004867550565343</v>
      </c>
      <c r="Q121" s="191">
        <f ca="1">IF(Q$2=1,1,IF(Prj_Inflation=1,POWER(1+OFFSET(Q117,0,-1),Параметры!Q$30/360),1))</f>
        <v>1.004867550565343</v>
      </c>
      <c r="R121" s="191">
        <f ca="1">IF(R$2=1,1,IF(Prj_Inflation=1,POWER(1+OFFSET(R117,0,-1),Параметры!R$30/360),1))</f>
        <v>1.004867550565343</v>
      </c>
      <c r="S121" s="191">
        <f ca="1">IF(S$2=1,1,IF(Prj_Inflation=1,POWER(1+OFFSET(S117,0,-1),Параметры!S$30/360),1))</f>
        <v>1.004867550565343</v>
      </c>
      <c r="T121" s="191">
        <f ca="1">IF(T$2=1,1,IF(Prj_Inflation=1,POWER(1+OFFSET(T117,0,-1),Параметры!T$30/360),1))</f>
        <v>1.004867550565343</v>
      </c>
      <c r="U121" s="191">
        <f ca="1">IF(U$2=1,1,IF(Prj_Inflation=1,POWER(1+OFFSET(U117,0,-1),Параметры!U$30/360),1))</f>
        <v>1.004867550565343</v>
      </c>
      <c r="V121" s="191">
        <f ca="1">IF(V$2=1,1,IF(Prj_Inflation=1,POWER(1+OFFSET(V117,0,-1),Параметры!V$30/360),1))</f>
        <v>1.004867550565343</v>
      </c>
      <c r="W121" s="191">
        <f ca="1">IF(W$2=1,1,IF(Prj_Inflation=1,POWER(1+OFFSET(W117,0,-1),Параметры!W$30/360),1))</f>
        <v>1.004867550565343</v>
      </c>
      <c r="X121" s="191">
        <f ca="1">IF(X$2=1,1,IF(Prj_Inflation=1,POWER(1+OFFSET(X117,0,-1),Параметры!X$30/360),1))</f>
        <v>1.004867550565343</v>
      </c>
      <c r="Y121" s="191">
        <f ca="1">IF(Y$2=1,1,IF(Prj_Inflation=1,POWER(1+OFFSET(Y117,0,-1),Параметры!Y$30/360),1))</f>
        <v>1.004867550565343</v>
      </c>
      <c r="Z121" s="191">
        <f ca="1">IF(Z$2=1,1,IF(Prj_Inflation=1,POWER(1+OFFSET(Z117,0,-1),Параметры!Z$30/360),1))</f>
        <v>1.004867550565343</v>
      </c>
      <c r="AA121" s="191">
        <f ca="1">IF(AA$2=1,1,IF(Prj_Inflation=1,POWER(1+OFFSET(AA117,0,-1),Параметры!AA$30/360),1))</f>
        <v>1.004867550565343</v>
      </c>
      <c r="AB121" s="191">
        <f ca="1">IF(AB$2=1,1,IF(Prj_Inflation=1,POWER(1+OFFSET(AB117,0,-1),Параметры!AB$30/360),1))</f>
        <v>1.004867550565343</v>
      </c>
      <c r="AC121" s="191">
        <f ca="1">IF(AC$2=1,1,IF(Prj_Inflation=1,POWER(1+OFFSET(AC117,0,-1),Параметры!AC$30/360),1))</f>
        <v>1.004867550565343</v>
      </c>
      <c r="AD121" s="191">
        <f ca="1">IF(AD$2=1,1,IF(Prj_Inflation=1,POWER(1+OFFSET(AD117,0,-1),Параметры!AD$30/360),1))</f>
        <v>1.004867550565343</v>
      </c>
      <c r="AE121" s="191">
        <f ca="1">IF(AE$2=1,1,IF(Prj_Inflation=1,POWER(1+OFFSET(AE117,0,-1),Параметры!AE$30/360),1))</f>
        <v>1.004867550565343</v>
      </c>
      <c r="AF121" s="191">
        <f ca="1">IF(AF$2=1,1,IF(Prj_Inflation=1,POWER(1+OFFSET(AF117,0,-1),Параметры!AF$30/360),1))</f>
        <v>1.004867550565343</v>
      </c>
      <c r="AG121" s="191">
        <f ca="1">IF(AG$2=1,1,IF(Prj_Inflation=1,POWER(1+OFFSET(AG117,0,-1),Параметры!AG$30/360),1))</f>
        <v>1.004867550565343</v>
      </c>
      <c r="AH121" s="191">
        <f ca="1">IF(AH$2=1,1,IF(Prj_Inflation=1,POWER(1+OFFSET(AH117,0,-1),Параметры!AH$30/360),1))</f>
        <v>1.004867550565343</v>
      </c>
      <c r="AI121" s="191">
        <f ca="1">IF(AI$2=1,1,IF(Prj_Inflation=1,POWER(1+OFFSET(AI117,0,-1),Параметры!AI$30/360),1))</f>
        <v>1.004867550565343</v>
      </c>
      <c r="AJ121" s="191">
        <f ca="1">IF(AJ$2=1,1,IF(Prj_Inflation=1,POWER(1+OFFSET(AJ117,0,-1),Параметры!AJ$30/360),1))</f>
        <v>1.004867550565343</v>
      </c>
      <c r="AK121" s="191">
        <f ca="1">IF(AK$2=1,1,IF(Prj_Inflation=1,POWER(1+OFFSET(AK117,0,-1),Параметры!AK$30/360),1))</f>
        <v>1.004867550565343</v>
      </c>
      <c r="AL121" s="191">
        <f ca="1">IF(AL$2=1,1,IF(Prj_Inflation=1,POWER(1+OFFSET(AL117,0,-1),Параметры!AL$30/360),1))</f>
        <v>1.004867550565343</v>
      </c>
      <c r="AM121" s="191">
        <f ca="1">IF(AM$2=1,1,IF(Prj_Inflation=1,POWER(1+OFFSET(AM117,0,-1),Параметры!AM$30/360),1))</f>
        <v>1.004867550565343</v>
      </c>
      <c r="AN121" s="191">
        <f ca="1">IF(AN$2=1,1,IF(Prj_Inflation=1,POWER(1+OFFSET(AN117,0,-1),Параметры!AN$30/360),1))</f>
        <v>1.004867550565343</v>
      </c>
      <c r="AO121" s="191">
        <f ca="1">IF(AO$2=1,1,IF(Prj_Inflation=1,POWER(1+OFFSET(AO117,0,-1),Параметры!AO$30/360),1))</f>
        <v>1.004867550565343</v>
      </c>
      <c r="AP121" s="191">
        <f ca="1">IF(AP$2=1,1,IF(Prj_Inflation=1,POWER(1+OFFSET(AP117,0,-1),Параметры!AP$30/360),1))</f>
        <v>1.004867550565343</v>
      </c>
      <c r="AQ121" s="191">
        <f ca="1">IF(AQ$2=1,1,IF(Prj_Inflation=1,POWER(1+OFFSET(AQ117,0,-1),Параметры!AQ$30/360),1))</f>
        <v>1.004867550565343</v>
      </c>
      <c r="AR121" s="191">
        <f ca="1">IF(AR$2=1,1,IF(Prj_Inflation=1,POWER(1+OFFSET(AR117,0,-1),Параметры!AR$30/360),1))</f>
        <v>1.004867550565343</v>
      </c>
      <c r="AS121" s="191">
        <f ca="1">IF(AS$2=1,1,IF(Prj_Inflation=1,POWER(1+OFFSET(AS117,0,-1),Параметры!AS$30/360),1))</f>
        <v>1.004867550565343</v>
      </c>
      <c r="AT121" s="191">
        <f ca="1">IF(AT$2=1,1,IF(Prj_Inflation=1,POWER(1+OFFSET(AT117,0,-1),Параметры!AT$30/360),1))</f>
        <v>1.004867550565343</v>
      </c>
      <c r="AU121" s="191">
        <f ca="1">IF(AU$2=1,1,IF(Prj_Inflation=1,POWER(1+OFFSET(AU117,0,-1),Параметры!AU$30/360),1))</f>
        <v>1.004867550565343</v>
      </c>
      <c r="AV121" s="191">
        <f ca="1">IF(AV$2=1,1,IF(Prj_Inflation=1,POWER(1+OFFSET(AV117,0,-1),Параметры!AV$30/360),1))</f>
        <v>1.004867550565343</v>
      </c>
      <c r="AW121" s="191">
        <f ca="1">IF(AW$2=1,1,IF(Prj_Inflation=1,POWER(1+OFFSET(AW117,0,-1),Параметры!AW$30/360),1))</f>
        <v>1.004867550565343</v>
      </c>
      <c r="AX121" s="191">
        <f ca="1">IF(AX$2=1,1,IF(Prj_Inflation=1,POWER(1+OFFSET(AX117,0,-1),Параметры!AX$30/360),1))</f>
        <v>1.004867550565343</v>
      </c>
      <c r="AY121" s="191">
        <f ca="1">IF(AY$2=1,1,IF(Prj_Inflation=1,POWER(1+OFFSET(AY117,0,-1),Параметры!AY$30/360),1))</f>
        <v>1.004867550565343</v>
      </c>
      <c r="AZ121" s="191">
        <f ca="1">IF(AZ$2=1,1,IF(Prj_Inflation=1,POWER(1+OFFSET(AZ117,0,-1),Параметры!AZ$30/360),1))</f>
        <v>1.004867550565343</v>
      </c>
      <c r="BA121" s="191">
        <f ca="1">IF(BA$2=1,1,IF(Prj_Inflation=1,POWER(1+OFFSET(BA117,0,-1),Параметры!BA$30/360),1))</f>
        <v>1.004867550565343</v>
      </c>
      <c r="BB121" s="191">
        <f ca="1">IF(BB$2=1,1,IF(Prj_Inflation=1,POWER(1+OFFSET(BB117,0,-1),Параметры!BB$30/360),1))</f>
        <v>1.004867550565343</v>
      </c>
      <c r="BC121" s="191"/>
      <c r="BD121" s="186"/>
    </row>
    <row r="122" spans="1:56" hidden="1" outlineLevel="1" x14ac:dyDescent="0.3">
      <c r="A122" s="184" t="str">
        <f ca="1">Language!A$1486</f>
        <v>индексировать в начале года</v>
      </c>
      <c r="B122" s="291">
        <v>0</v>
      </c>
      <c r="C122" s="163" t="str">
        <f ca="1">IF(B122=1,Language!$A$1475,Language!$A$1476)</f>
        <v>Нет</v>
      </c>
      <c r="D122" s="174"/>
      <c r="F122" s="170" t="s">
        <v>3408</v>
      </c>
      <c r="G122" s="192" t="str">
        <f ca="1">IF(Prj_Inflation=1,IF($B122=1,IF(G$2=1,1,IF(Параметры!G$29=1,1+OFFSET(G117,0,-1),1)),"-"),1)</f>
        <v>-</v>
      </c>
      <c r="H122" s="192" t="str">
        <f ca="1">IF(Prj_Inflation=1,IF($B122=1,IF(H$2=1,1,IF(Параметры!H$29=1,1+OFFSET(H117,0,-1),1)),"-"),1)</f>
        <v>-</v>
      </c>
      <c r="I122" s="192" t="str">
        <f ca="1">IF(Prj_Inflation=1,IF($B122=1,IF(I$2=1,1,IF(Параметры!I$29=1,1+OFFSET(I117,0,-1),1)),"-"),1)</f>
        <v>-</v>
      </c>
      <c r="J122" s="192" t="str">
        <f ca="1">IF(Prj_Inflation=1,IF($B122=1,IF(J$2=1,1,IF(Параметры!J$29=1,1+OFFSET(J117,0,-1),1)),"-"),1)</f>
        <v>-</v>
      </c>
      <c r="K122" s="192" t="str">
        <f ca="1">IF(Prj_Inflation=1,IF($B122=1,IF(K$2=1,1,IF(Параметры!K$29=1,1+OFFSET(K117,0,-1),1)),"-"),1)</f>
        <v>-</v>
      </c>
      <c r="L122" s="192" t="str">
        <f ca="1">IF(Prj_Inflation=1,IF($B122=1,IF(L$2=1,1,IF(Параметры!L$29=1,1+OFFSET(L117,0,-1),1)),"-"),1)</f>
        <v>-</v>
      </c>
      <c r="M122" s="192" t="str">
        <f ca="1">IF(Prj_Inflation=1,IF($B122=1,IF(M$2=1,1,IF(Параметры!M$29=1,1+OFFSET(M117,0,-1),1)),"-"),1)</f>
        <v>-</v>
      </c>
      <c r="N122" s="192" t="str">
        <f ca="1">IF(Prj_Inflation=1,IF($B122=1,IF(N$2=1,1,IF(Параметры!N$29=1,1+OFFSET(N117,0,-1),1)),"-"),1)</f>
        <v>-</v>
      </c>
      <c r="O122" s="192" t="str">
        <f ca="1">IF(Prj_Inflation=1,IF($B122=1,IF(O$2=1,1,IF(Параметры!O$29=1,1+OFFSET(O117,0,-1),1)),"-"),1)</f>
        <v>-</v>
      </c>
      <c r="P122" s="192" t="str">
        <f ca="1">IF(Prj_Inflation=1,IF($B122=1,IF(P$2=1,1,IF(Параметры!P$29=1,1+OFFSET(P117,0,-1),1)),"-"),1)</f>
        <v>-</v>
      </c>
      <c r="Q122" s="192" t="str">
        <f ca="1">IF(Prj_Inflation=1,IF($B122=1,IF(Q$2=1,1,IF(Параметры!Q$29=1,1+OFFSET(Q117,0,-1),1)),"-"),1)</f>
        <v>-</v>
      </c>
      <c r="R122" s="192" t="str">
        <f ca="1">IF(Prj_Inflation=1,IF($B122=1,IF(R$2=1,1,IF(Параметры!R$29=1,1+OFFSET(R117,0,-1),1)),"-"),1)</f>
        <v>-</v>
      </c>
      <c r="S122" s="192" t="str">
        <f ca="1">IF(Prj_Inflation=1,IF($B122=1,IF(S$2=1,1,IF(Параметры!S$29=1,1+OFFSET(S117,0,-1),1)),"-"),1)</f>
        <v>-</v>
      </c>
      <c r="T122" s="192" t="str">
        <f ca="1">IF(Prj_Inflation=1,IF($B122=1,IF(T$2=1,1,IF(Параметры!T$29=1,1+OFFSET(T117,0,-1),1)),"-"),1)</f>
        <v>-</v>
      </c>
      <c r="U122" s="192" t="str">
        <f ca="1">IF(Prj_Inflation=1,IF($B122=1,IF(U$2=1,1,IF(Параметры!U$29=1,1+OFFSET(U117,0,-1),1)),"-"),1)</f>
        <v>-</v>
      </c>
      <c r="V122" s="192" t="str">
        <f ca="1">IF(Prj_Inflation=1,IF($B122=1,IF(V$2=1,1,IF(Параметры!V$29=1,1+OFFSET(V117,0,-1),1)),"-"),1)</f>
        <v>-</v>
      </c>
      <c r="W122" s="192" t="str">
        <f ca="1">IF(Prj_Inflation=1,IF($B122=1,IF(W$2=1,1,IF(Параметры!W$29=1,1+OFFSET(W117,0,-1),1)),"-"),1)</f>
        <v>-</v>
      </c>
      <c r="X122" s="192" t="str">
        <f ca="1">IF(Prj_Inflation=1,IF($B122=1,IF(X$2=1,1,IF(Параметры!X$29=1,1+OFFSET(X117,0,-1),1)),"-"),1)</f>
        <v>-</v>
      </c>
      <c r="Y122" s="192" t="str">
        <f ca="1">IF(Prj_Inflation=1,IF($B122=1,IF(Y$2=1,1,IF(Параметры!Y$29=1,1+OFFSET(Y117,0,-1),1)),"-"),1)</f>
        <v>-</v>
      </c>
      <c r="Z122" s="192" t="str">
        <f ca="1">IF(Prj_Inflation=1,IF($B122=1,IF(Z$2=1,1,IF(Параметры!Z$29=1,1+OFFSET(Z117,0,-1),1)),"-"),1)</f>
        <v>-</v>
      </c>
      <c r="AA122" s="192" t="str">
        <f ca="1">IF(Prj_Inflation=1,IF($B122=1,IF(AA$2=1,1,IF(Параметры!AA$29=1,1+OFFSET(AA117,0,-1),1)),"-"),1)</f>
        <v>-</v>
      </c>
      <c r="AB122" s="192" t="str">
        <f ca="1">IF(Prj_Inflation=1,IF($B122=1,IF(AB$2=1,1,IF(Параметры!AB$29=1,1+OFFSET(AB117,0,-1),1)),"-"),1)</f>
        <v>-</v>
      </c>
      <c r="AC122" s="192" t="str">
        <f ca="1">IF(Prj_Inflation=1,IF($B122=1,IF(AC$2=1,1,IF(Параметры!AC$29=1,1+OFFSET(AC117,0,-1),1)),"-"),1)</f>
        <v>-</v>
      </c>
      <c r="AD122" s="192" t="str">
        <f ca="1">IF(Prj_Inflation=1,IF($B122=1,IF(AD$2=1,1,IF(Параметры!AD$29=1,1+OFFSET(AD117,0,-1),1)),"-"),1)</f>
        <v>-</v>
      </c>
      <c r="AE122" s="192" t="str">
        <f ca="1">IF(Prj_Inflation=1,IF($B122=1,IF(AE$2=1,1,IF(Параметры!AE$29=1,1+OFFSET(AE117,0,-1),1)),"-"),1)</f>
        <v>-</v>
      </c>
      <c r="AF122" s="192" t="str">
        <f ca="1">IF(Prj_Inflation=1,IF($B122=1,IF(AF$2=1,1,IF(Параметры!AF$29=1,1+OFFSET(AF117,0,-1),1)),"-"),1)</f>
        <v>-</v>
      </c>
      <c r="AG122" s="192" t="str">
        <f ca="1">IF(Prj_Inflation=1,IF($B122=1,IF(AG$2=1,1,IF(Параметры!AG$29=1,1+OFFSET(AG117,0,-1),1)),"-"),1)</f>
        <v>-</v>
      </c>
      <c r="AH122" s="192" t="str">
        <f ca="1">IF(Prj_Inflation=1,IF($B122=1,IF(AH$2=1,1,IF(Параметры!AH$29=1,1+OFFSET(AH117,0,-1),1)),"-"),1)</f>
        <v>-</v>
      </c>
      <c r="AI122" s="192" t="str">
        <f ca="1">IF(Prj_Inflation=1,IF($B122=1,IF(AI$2=1,1,IF(Параметры!AI$29=1,1+OFFSET(AI117,0,-1),1)),"-"),1)</f>
        <v>-</v>
      </c>
      <c r="AJ122" s="192" t="str">
        <f ca="1">IF(Prj_Inflation=1,IF($B122=1,IF(AJ$2=1,1,IF(Параметры!AJ$29=1,1+OFFSET(AJ117,0,-1),1)),"-"),1)</f>
        <v>-</v>
      </c>
      <c r="AK122" s="192" t="str">
        <f ca="1">IF(Prj_Inflation=1,IF($B122=1,IF(AK$2=1,1,IF(Параметры!AK$29=1,1+OFFSET(AK117,0,-1),1)),"-"),1)</f>
        <v>-</v>
      </c>
      <c r="AL122" s="192" t="str">
        <f ca="1">IF(Prj_Inflation=1,IF($B122=1,IF(AL$2=1,1,IF(Параметры!AL$29=1,1+OFFSET(AL117,0,-1),1)),"-"),1)</f>
        <v>-</v>
      </c>
      <c r="AM122" s="192" t="str">
        <f ca="1">IF(Prj_Inflation=1,IF($B122=1,IF(AM$2=1,1,IF(Параметры!AM$29=1,1+OFFSET(AM117,0,-1),1)),"-"),1)</f>
        <v>-</v>
      </c>
      <c r="AN122" s="192" t="str">
        <f ca="1">IF(Prj_Inflation=1,IF($B122=1,IF(AN$2=1,1,IF(Параметры!AN$29=1,1+OFFSET(AN117,0,-1),1)),"-"),1)</f>
        <v>-</v>
      </c>
      <c r="AO122" s="192" t="str">
        <f ca="1">IF(Prj_Inflation=1,IF($B122=1,IF(AO$2=1,1,IF(Параметры!AO$29=1,1+OFFSET(AO117,0,-1),1)),"-"),1)</f>
        <v>-</v>
      </c>
      <c r="AP122" s="192" t="str">
        <f ca="1">IF(Prj_Inflation=1,IF($B122=1,IF(AP$2=1,1,IF(Параметры!AP$29=1,1+OFFSET(AP117,0,-1),1)),"-"),1)</f>
        <v>-</v>
      </c>
      <c r="AQ122" s="192" t="str">
        <f ca="1">IF(Prj_Inflation=1,IF($B122=1,IF(AQ$2=1,1,IF(Параметры!AQ$29=1,1+OFFSET(AQ117,0,-1),1)),"-"),1)</f>
        <v>-</v>
      </c>
      <c r="AR122" s="192" t="str">
        <f ca="1">IF(Prj_Inflation=1,IF($B122=1,IF(AR$2=1,1,IF(Параметры!AR$29=1,1+OFFSET(AR117,0,-1),1)),"-"),1)</f>
        <v>-</v>
      </c>
      <c r="AS122" s="192" t="str">
        <f ca="1">IF(Prj_Inflation=1,IF($B122=1,IF(AS$2=1,1,IF(Параметры!AS$29=1,1+OFFSET(AS117,0,-1),1)),"-"),1)</f>
        <v>-</v>
      </c>
      <c r="AT122" s="192" t="str">
        <f ca="1">IF(Prj_Inflation=1,IF($B122=1,IF(AT$2=1,1,IF(Параметры!AT$29=1,1+OFFSET(AT117,0,-1),1)),"-"),1)</f>
        <v>-</v>
      </c>
      <c r="AU122" s="192" t="str">
        <f ca="1">IF(Prj_Inflation=1,IF($B122=1,IF(AU$2=1,1,IF(Параметры!AU$29=1,1+OFFSET(AU117,0,-1),1)),"-"),1)</f>
        <v>-</v>
      </c>
      <c r="AV122" s="192" t="str">
        <f ca="1">IF(Prj_Inflation=1,IF($B122=1,IF(AV$2=1,1,IF(Параметры!AV$29=1,1+OFFSET(AV117,0,-1),1)),"-"),1)</f>
        <v>-</v>
      </c>
      <c r="AW122" s="192" t="str">
        <f ca="1">IF(Prj_Inflation=1,IF($B122=1,IF(AW$2=1,1,IF(Параметры!AW$29=1,1+OFFSET(AW117,0,-1),1)),"-"),1)</f>
        <v>-</v>
      </c>
      <c r="AX122" s="192" t="str">
        <f ca="1">IF(Prj_Inflation=1,IF($B122=1,IF(AX$2=1,1,IF(Параметры!AX$29=1,1+OFFSET(AX117,0,-1),1)),"-"),1)</f>
        <v>-</v>
      </c>
      <c r="AY122" s="192" t="str">
        <f ca="1">IF(Prj_Inflation=1,IF($B122=1,IF(AY$2=1,1,IF(Параметры!AY$29=1,1+OFFSET(AY117,0,-1),1)),"-"),1)</f>
        <v>-</v>
      </c>
      <c r="AZ122" s="192" t="str">
        <f ca="1">IF(Prj_Inflation=1,IF($B122=1,IF(AZ$2=1,1,IF(Параметры!AZ$29=1,1+OFFSET(AZ117,0,-1),1)),"-"),1)</f>
        <v>-</v>
      </c>
      <c r="BA122" s="192" t="str">
        <f ca="1">IF(Prj_Inflation=1,IF($B122=1,IF(BA$2=1,1,IF(Параметры!BA$29=1,1+OFFSET(BA117,0,-1),1)),"-"),1)</f>
        <v>-</v>
      </c>
      <c r="BB122" s="192" t="str">
        <f ca="1">IF(Prj_Inflation=1,IF($B122=1,IF(BB$2=1,1,IF(Параметры!BB$29=1,1+OFFSET(BB117,0,-1),1)),"-"),1)</f>
        <v>-</v>
      </c>
      <c r="BC122" s="191"/>
      <c r="BD122" s="186"/>
    </row>
    <row r="123" spans="1:56" hidden="1" outlineLevel="1" x14ac:dyDescent="0.3">
      <c r="A123" s="184" t="str">
        <f ca="1">Language!A$619</f>
        <v>акцизы начисленные</v>
      </c>
      <c r="B123" s="174"/>
      <c r="C123" s="163" t="str">
        <f ca="1">CHOOSE(D123,CurName1,CurName2,CurName3)</f>
        <v>руб.</v>
      </c>
      <c r="D123" s="174">
        <f>D106</f>
        <v>1</v>
      </c>
      <c r="E123" s="170" t="s">
        <v>996</v>
      </c>
      <c r="F123" s="170" t="s">
        <v>740</v>
      </c>
      <c r="G123" s="185">
        <f t="shared" ref="G123:BB123" ca="1" si="797">G110*G120+G107*G119</f>
        <v>0</v>
      </c>
      <c r="H123" s="185">
        <f t="shared" ca="1" si="797"/>
        <v>0</v>
      </c>
      <c r="I123" s="185">
        <f t="shared" ca="1" si="797"/>
        <v>0</v>
      </c>
      <c r="J123" s="185">
        <f t="shared" ca="1" si="797"/>
        <v>0</v>
      </c>
      <c r="K123" s="185">
        <f t="shared" ca="1" si="797"/>
        <v>0</v>
      </c>
      <c r="L123" s="185">
        <f t="shared" ca="1" si="797"/>
        <v>0</v>
      </c>
      <c r="M123" s="185">
        <f t="shared" ca="1" si="797"/>
        <v>0</v>
      </c>
      <c r="N123" s="185">
        <f t="shared" ca="1" si="797"/>
        <v>0</v>
      </c>
      <c r="O123" s="185">
        <f t="shared" ca="1" si="797"/>
        <v>0</v>
      </c>
      <c r="P123" s="185">
        <f t="shared" ca="1" si="797"/>
        <v>0</v>
      </c>
      <c r="Q123" s="185">
        <f t="shared" ca="1" si="797"/>
        <v>0</v>
      </c>
      <c r="R123" s="185">
        <f t="shared" ca="1" si="797"/>
        <v>0</v>
      </c>
      <c r="S123" s="185">
        <f t="shared" ca="1" si="797"/>
        <v>0</v>
      </c>
      <c r="T123" s="185">
        <f t="shared" ca="1" si="797"/>
        <v>0</v>
      </c>
      <c r="U123" s="185">
        <f t="shared" ca="1" si="797"/>
        <v>0</v>
      </c>
      <c r="V123" s="185">
        <f t="shared" ca="1" si="797"/>
        <v>0</v>
      </c>
      <c r="W123" s="185">
        <f t="shared" ca="1" si="797"/>
        <v>0</v>
      </c>
      <c r="X123" s="185">
        <f t="shared" ca="1" si="797"/>
        <v>0</v>
      </c>
      <c r="Y123" s="185">
        <f t="shared" ca="1" si="797"/>
        <v>0</v>
      </c>
      <c r="Z123" s="185">
        <f t="shared" ca="1" si="797"/>
        <v>0</v>
      </c>
      <c r="AA123" s="185">
        <f t="shared" ca="1" si="797"/>
        <v>0</v>
      </c>
      <c r="AB123" s="185">
        <f t="shared" ca="1" si="797"/>
        <v>0</v>
      </c>
      <c r="AC123" s="185">
        <f t="shared" ca="1" si="797"/>
        <v>0</v>
      </c>
      <c r="AD123" s="185">
        <f t="shared" ca="1" si="797"/>
        <v>0</v>
      </c>
      <c r="AE123" s="185">
        <f t="shared" ca="1" si="797"/>
        <v>0</v>
      </c>
      <c r="AF123" s="185">
        <f t="shared" ca="1" si="797"/>
        <v>0</v>
      </c>
      <c r="AG123" s="185">
        <f t="shared" ca="1" si="797"/>
        <v>0</v>
      </c>
      <c r="AH123" s="185">
        <f t="shared" ca="1" si="797"/>
        <v>0</v>
      </c>
      <c r="AI123" s="185">
        <f t="shared" ca="1" si="797"/>
        <v>0</v>
      </c>
      <c r="AJ123" s="185">
        <f t="shared" ca="1" si="797"/>
        <v>0</v>
      </c>
      <c r="AK123" s="185">
        <f t="shared" ca="1" si="797"/>
        <v>0</v>
      </c>
      <c r="AL123" s="185">
        <f t="shared" ca="1" si="797"/>
        <v>0</v>
      </c>
      <c r="AM123" s="185">
        <f t="shared" ca="1" si="797"/>
        <v>0</v>
      </c>
      <c r="AN123" s="185">
        <f t="shared" ca="1" si="797"/>
        <v>0</v>
      </c>
      <c r="AO123" s="185">
        <f t="shared" ca="1" si="797"/>
        <v>0</v>
      </c>
      <c r="AP123" s="185">
        <f t="shared" ca="1" si="797"/>
        <v>0</v>
      </c>
      <c r="AQ123" s="185">
        <f t="shared" ca="1" si="797"/>
        <v>0</v>
      </c>
      <c r="AR123" s="185">
        <f t="shared" ca="1" si="797"/>
        <v>0</v>
      </c>
      <c r="AS123" s="185">
        <f t="shared" ca="1" si="797"/>
        <v>0</v>
      </c>
      <c r="AT123" s="185">
        <f t="shared" ca="1" si="797"/>
        <v>0</v>
      </c>
      <c r="AU123" s="185">
        <f t="shared" ca="1" si="797"/>
        <v>0</v>
      </c>
      <c r="AV123" s="185">
        <f t="shared" ca="1" si="797"/>
        <v>0</v>
      </c>
      <c r="AW123" s="185">
        <f t="shared" ca="1" si="797"/>
        <v>0</v>
      </c>
      <c r="AX123" s="185">
        <f t="shared" ca="1" si="797"/>
        <v>0</v>
      </c>
      <c r="AY123" s="185">
        <f t="shared" ca="1" si="797"/>
        <v>0</v>
      </c>
      <c r="AZ123" s="185">
        <f t="shared" ca="1" si="797"/>
        <v>0</v>
      </c>
      <c r="BA123" s="185">
        <f t="shared" ca="1" si="797"/>
        <v>0</v>
      </c>
      <c r="BB123" s="185">
        <f t="shared" ca="1" si="797"/>
        <v>0</v>
      </c>
      <c r="BC123" s="185"/>
      <c r="BD123" s="193">
        <f ca="1">SUM(G123:BC123)</f>
        <v>0</v>
      </c>
    </row>
    <row r="124" spans="1:56" hidden="1" outlineLevel="1" x14ac:dyDescent="0.3">
      <c r="A124" s="184" t="str">
        <f ca="1">Language!A$620</f>
        <v>НДС начисленный</v>
      </c>
      <c r="B124" s="174"/>
      <c r="C124" s="163" t="str">
        <f ca="1">CHOOSE(D124,CurName1,CurName2,CurName3)</f>
        <v>руб.</v>
      </c>
      <c r="D124" s="174">
        <f>D106</f>
        <v>1</v>
      </c>
      <c r="E124" s="170" t="s">
        <v>785</v>
      </c>
      <c r="F124" s="170" t="s">
        <v>740</v>
      </c>
      <c r="G124" s="185">
        <f t="shared" ref="G124:BB124" ca="1" si="798">(G110+G123)*G118</f>
        <v>0</v>
      </c>
      <c r="H124" s="185">
        <f t="shared" ca="1" si="798"/>
        <v>0</v>
      </c>
      <c r="I124" s="185">
        <f t="shared" ca="1" si="798"/>
        <v>0</v>
      </c>
      <c r="J124" s="185">
        <f t="shared" ca="1" si="798"/>
        <v>0</v>
      </c>
      <c r="K124" s="185">
        <f t="shared" ca="1" si="798"/>
        <v>0</v>
      </c>
      <c r="L124" s="185">
        <f t="shared" ca="1" si="798"/>
        <v>0</v>
      </c>
      <c r="M124" s="185">
        <f t="shared" ca="1" si="798"/>
        <v>0</v>
      </c>
      <c r="N124" s="185">
        <f t="shared" ca="1" si="798"/>
        <v>0</v>
      </c>
      <c r="O124" s="185">
        <f t="shared" ca="1" si="798"/>
        <v>0</v>
      </c>
      <c r="P124" s="185">
        <f t="shared" ca="1" si="798"/>
        <v>0</v>
      </c>
      <c r="Q124" s="185">
        <f t="shared" ca="1" si="798"/>
        <v>0</v>
      </c>
      <c r="R124" s="185">
        <f t="shared" ca="1" si="798"/>
        <v>0</v>
      </c>
      <c r="S124" s="185">
        <f t="shared" ca="1" si="798"/>
        <v>0</v>
      </c>
      <c r="T124" s="185">
        <f t="shared" ca="1" si="798"/>
        <v>0</v>
      </c>
      <c r="U124" s="185">
        <f t="shared" ca="1" si="798"/>
        <v>0</v>
      </c>
      <c r="V124" s="185">
        <f t="shared" ca="1" si="798"/>
        <v>0</v>
      </c>
      <c r="W124" s="185">
        <f t="shared" ca="1" si="798"/>
        <v>0</v>
      </c>
      <c r="X124" s="185">
        <f t="shared" ca="1" si="798"/>
        <v>0</v>
      </c>
      <c r="Y124" s="185">
        <f t="shared" ca="1" si="798"/>
        <v>0</v>
      </c>
      <c r="Z124" s="185">
        <f t="shared" ca="1" si="798"/>
        <v>0</v>
      </c>
      <c r="AA124" s="185">
        <f t="shared" ca="1" si="798"/>
        <v>0</v>
      </c>
      <c r="AB124" s="185">
        <f t="shared" ca="1" si="798"/>
        <v>0</v>
      </c>
      <c r="AC124" s="185">
        <f t="shared" ca="1" si="798"/>
        <v>0</v>
      </c>
      <c r="AD124" s="185">
        <f t="shared" ca="1" si="798"/>
        <v>0</v>
      </c>
      <c r="AE124" s="185">
        <f t="shared" ca="1" si="798"/>
        <v>0</v>
      </c>
      <c r="AF124" s="185">
        <f t="shared" ca="1" si="798"/>
        <v>0</v>
      </c>
      <c r="AG124" s="185">
        <f t="shared" ca="1" si="798"/>
        <v>0</v>
      </c>
      <c r="AH124" s="185">
        <f t="shared" ca="1" si="798"/>
        <v>0</v>
      </c>
      <c r="AI124" s="185">
        <f t="shared" ca="1" si="798"/>
        <v>0</v>
      </c>
      <c r="AJ124" s="185">
        <f t="shared" ca="1" si="798"/>
        <v>0</v>
      </c>
      <c r="AK124" s="185">
        <f t="shared" ca="1" si="798"/>
        <v>0</v>
      </c>
      <c r="AL124" s="185">
        <f t="shared" ca="1" si="798"/>
        <v>0</v>
      </c>
      <c r="AM124" s="185">
        <f t="shared" ca="1" si="798"/>
        <v>0</v>
      </c>
      <c r="AN124" s="185">
        <f t="shared" ca="1" si="798"/>
        <v>0</v>
      </c>
      <c r="AO124" s="185">
        <f t="shared" ca="1" si="798"/>
        <v>0</v>
      </c>
      <c r="AP124" s="185">
        <f t="shared" ca="1" si="798"/>
        <v>0</v>
      </c>
      <c r="AQ124" s="185">
        <f t="shared" ca="1" si="798"/>
        <v>0</v>
      </c>
      <c r="AR124" s="185">
        <f t="shared" ca="1" si="798"/>
        <v>0</v>
      </c>
      <c r="AS124" s="185">
        <f t="shared" ca="1" si="798"/>
        <v>0</v>
      </c>
      <c r="AT124" s="185">
        <f t="shared" ca="1" si="798"/>
        <v>0</v>
      </c>
      <c r="AU124" s="185">
        <f t="shared" ca="1" si="798"/>
        <v>0</v>
      </c>
      <c r="AV124" s="185">
        <f t="shared" ca="1" si="798"/>
        <v>0</v>
      </c>
      <c r="AW124" s="185">
        <f t="shared" ca="1" si="798"/>
        <v>0</v>
      </c>
      <c r="AX124" s="185">
        <f t="shared" ca="1" si="798"/>
        <v>0</v>
      </c>
      <c r="AY124" s="185">
        <f t="shared" ca="1" si="798"/>
        <v>0</v>
      </c>
      <c r="AZ124" s="185">
        <f t="shared" ca="1" si="798"/>
        <v>0</v>
      </c>
      <c r="BA124" s="185">
        <f t="shared" ca="1" si="798"/>
        <v>0</v>
      </c>
      <c r="BB124" s="185">
        <f t="shared" ca="1" si="798"/>
        <v>0</v>
      </c>
      <c r="BC124" s="185"/>
      <c r="BD124" s="193">
        <f ca="1">SUM(G124:BC124)</f>
        <v>0</v>
      </c>
    </row>
    <row r="125" spans="1:56" hidden="1" outlineLevel="1" x14ac:dyDescent="0.3">
      <c r="A125" s="184" t="str">
        <f ca="1">Language!A$621</f>
        <v>НДС полученный с авансов</v>
      </c>
      <c r="B125" s="174"/>
      <c r="C125" s="163" t="str">
        <f ca="1">CHOOSE(D125,CurName1,CurName2,CurName3)</f>
        <v>руб.</v>
      </c>
      <c r="D125" s="174">
        <f>D106</f>
        <v>1</v>
      </c>
      <c r="E125" s="170" t="s">
        <v>1457</v>
      </c>
      <c r="F125" s="170" t="s">
        <v>740</v>
      </c>
      <c r="G125" s="185">
        <f ca="1">G114*G118/(1+G118)</f>
        <v>0</v>
      </c>
      <c r="H125" s="185">
        <f t="shared" ref="H125:BB125" ca="1" si="799">H114*H118/(1+H118)</f>
        <v>0</v>
      </c>
      <c r="I125" s="185">
        <f t="shared" ca="1" si="799"/>
        <v>0</v>
      </c>
      <c r="J125" s="185">
        <f t="shared" ca="1" si="799"/>
        <v>0</v>
      </c>
      <c r="K125" s="185">
        <f t="shared" ca="1" si="799"/>
        <v>0</v>
      </c>
      <c r="L125" s="185">
        <f t="shared" ca="1" si="799"/>
        <v>0</v>
      </c>
      <c r="M125" s="185">
        <f t="shared" ca="1" si="799"/>
        <v>0</v>
      </c>
      <c r="N125" s="185">
        <f t="shared" ca="1" si="799"/>
        <v>0</v>
      </c>
      <c r="O125" s="185">
        <f t="shared" ca="1" si="799"/>
        <v>0</v>
      </c>
      <c r="P125" s="185">
        <f t="shared" ca="1" si="799"/>
        <v>0</v>
      </c>
      <c r="Q125" s="185">
        <f t="shared" ca="1" si="799"/>
        <v>0</v>
      </c>
      <c r="R125" s="185">
        <f t="shared" ca="1" si="799"/>
        <v>0</v>
      </c>
      <c r="S125" s="185">
        <f t="shared" ca="1" si="799"/>
        <v>0</v>
      </c>
      <c r="T125" s="185">
        <f t="shared" ca="1" si="799"/>
        <v>0</v>
      </c>
      <c r="U125" s="185">
        <f t="shared" ca="1" si="799"/>
        <v>0</v>
      </c>
      <c r="V125" s="185">
        <f t="shared" ca="1" si="799"/>
        <v>0</v>
      </c>
      <c r="W125" s="185">
        <f t="shared" ca="1" si="799"/>
        <v>0</v>
      </c>
      <c r="X125" s="185">
        <f t="shared" ca="1" si="799"/>
        <v>0</v>
      </c>
      <c r="Y125" s="185">
        <f t="shared" ca="1" si="799"/>
        <v>0</v>
      </c>
      <c r="Z125" s="185">
        <f t="shared" ca="1" si="799"/>
        <v>0</v>
      </c>
      <c r="AA125" s="185">
        <f t="shared" ca="1" si="799"/>
        <v>0</v>
      </c>
      <c r="AB125" s="185">
        <f t="shared" ca="1" si="799"/>
        <v>0</v>
      </c>
      <c r="AC125" s="185">
        <f t="shared" ca="1" si="799"/>
        <v>0</v>
      </c>
      <c r="AD125" s="185">
        <f t="shared" ca="1" si="799"/>
        <v>0</v>
      </c>
      <c r="AE125" s="185">
        <f t="shared" ca="1" si="799"/>
        <v>0</v>
      </c>
      <c r="AF125" s="185">
        <f t="shared" ca="1" si="799"/>
        <v>0</v>
      </c>
      <c r="AG125" s="185">
        <f t="shared" ca="1" si="799"/>
        <v>0</v>
      </c>
      <c r="AH125" s="185">
        <f t="shared" ca="1" si="799"/>
        <v>0</v>
      </c>
      <c r="AI125" s="185">
        <f t="shared" ca="1" si="799"/>
        <v>0</v>
      </c>
      <c r="AJ125" s="185">
        <f t="shared" ca="1" si="799"/>
        <v>0</v>
      </c>
      <c r="AK125" s="185">
        <f t="shared" ca="1" si="799"/>
        <v>0</v>
      </c>
      <c r="AL125" s="185">
        <f t="shared" ca="1" si="799"/>
        <v>0</v>
      </c>
      <c r="AM125" s="185">
        <f t="shared" ca="1" si="799"/>
        <v>0</v>
      </c>
      <c r="AN125" s="185">
        <f t="shared" ca="1" si="799"/>
        <v>0</v>
      </c>
      <c r="AO125" s="185">
        <f t="shared" ca="1" si="799"/>
        <v>0</v>
      </c>
      <c r="AP125" s="185">
        <f t="shared" ca="1" si="799"/>
        <v>0</v>
      </c>
      <c r="AQ125" s="185">
        <f t="shared" ca="1" si="799"/>
        <v>0</v>
      </c>
      <c r="AR125" s="185">
        <f t="shared" ca="1" si="799"/>
        <v>0</v>
      </c>
      <c r="AS125" s="185">
        <f t="shared" ca="1" si="799"/>
        <v>0</v>
      </c>
      <c r="AT125" s="185">
        <f t="shared" ca="1" si="799"/>
        <v>0</v>
      </c>
      <c r="AU125" s="185">
        <f t="shared" ca="1" si="799"/>
        <v>0</v>
      </c>
      <c r="AV125" s="185">
        <f t="shared" ca="1" si="799"/>
        <v>0</v>
      </c>
      <c r="AW125" s="185">
        <f t="shared" ca="1" si="799"/>
        <v>0</v>
      </c>
      <c r="AX125" s="185">
        <f t="shared" ca="1" si="799"/>
        <v>0</v>
      </c>
      <c r="AY125" s="185">
        <f t="shared" ca="1" si="799"/>
        <v>0</v>
      </c>
      <c r="AZ125" s="185">
        <f t="shared" ca="1" si="799"/>
        <v>0</v>
      </c>
      <c r="BA125" s="185">
        <f t="shared" ca="1" si="799"/>
        <v>0</v>
      </c>
      <c r="BB125" s="185">
        <f t="shared" ca="1" si="799"/>
        <v>0</v>
      </c>
      <c r="BC125" s="185"/>
      <c r="BD125" s="193">
        <f ca="1">SUM(G125:BC125)</f>
        <v>0</v>
      </c>
    </row>
    <row r="127" spans="1:56" x14ac:dyDescent="0.3">
      <c r="A127" s="169" t="str">
        <f ca="1">Language!A$622</f>
        <v>Итого:</v>
      </c>
      <c r="E127" s="170" t="s">
        <v>712</v>
      </c>
    </row>
    <row r="128" spans="1:56" s="195" customFormat="1" collapsed="1" x14ac:dyDescent="0.3">
      <c r="A128" s="175" t="str">
        <f ca="1">Language!A$623</f>
        <v>Выручка в отчете о прибылях и убытках, без НДС</v>
      </c>
      <c r="B128" s="169"/>
      <c r="C128" s="194" t="str">
        <f t="shared" ref="C128:C136" ca="1" si="800">CurName1</f>
        <v>руб.</v>
      </c>
      <c r="D128" s="170"/>
      <c r="E128" s="170"/>
      <c r="F128" s="170" t="s">
        <v>1097</v>
      </c>
      <c r="G128" s="177">
        <f t="shared" ref="G128:BB128" ca="1" si="801">SUM(G$50,G$70,G$90,G$110)</f>
        <v>0</v>
      </c>
      <c r="H128" s="177">
        <f t="shared" ca="1" si="801"/>
        <v>0</v>
      </c>
      <c r="I128" s="177">
        <f t="shared" ca="1" si="801"/>
        <v>0</v>
      </c>
      <c r="J128" s="177">
        <f t="shared" ca="1" si="801"/>
        <v>0</v>
      </c>
      <c r="K128" s="177">
        <f t="shared" ca="1" si="801"/>
        <v>0</v>
      </c>
      <c r="L128" s="177">
        <f t="shared" ca="1" si="801"/>
        <v>0</v>
      </c>
      <c r="M128" s="177">
        <f t="shared" ca="1" si="801"/>
        <v>7486982.2385257483</v>
      </c>
      <c r="N128" s="177">
        <f t="shared" ca="1" si="801"/>
        <v>10031234.004204797</v>
      </c>
      <c r="O128" s="177">
        <f t="shared" ca="1" si="801"/>
        <v>12600076.928691318</v>
      </c>
      <c r="P128" s="177">
        <f t="shared" ca="1" si="801"/>
        <v>15193690.128322721</v>
      </c>
      <c r="Q128" s="177">
        <f t="shared" ca="1" si="801"/>
        <v>15267646.183296487</v>
      </c>
      <c r="R128" s="177">
        <f t="shared" ca="1" si="801"/>
        <v>15341962.223107448</v>
      </c>
      <c r="S128" s="177">
        <f t="shared" ca="1" si="801"/>
        <v>20555520.000000011</v>
      </c>
      <c r="T128" s="177">
        <f t="shared" ca="1" si="801"/>
        <v>18073628.153872319</v>
      </c>
      <c r="U128" s="177">
        <f t="shared" ca="1" si="801"/>
        <v>15567087.816694712</v>
      </c>
      <c r="V128" s="177">
        <f t="shared" ca="1" si="801"/>
        <v>15642861.403797608</v>
      </c>
      <c r="W128" s="177">
        <f t="shared" ca="1" si="801"/>
        <v>13099169.852222705</v>
      </c>
      <c r="X128" s="177">
        <f t="shared" ca="1" si="801"/>
        <v>21060689.158147868</v>
      </c>
      <c r="Y128" s="177">
        <f t="shared" ca="1" si="801"/>
        <v>26454003.909457654</v>
      </c>
      <c r="Z128" s="177">
        <f t="shared" ca="1" si="801"/>
        <v>26582770.111142725</v>
      </c>
      <c r="AA128" s="177">
        <f t="shared" ca="1" si="801"/>
        <v>18698514.162177924</v>
      </c>
      <c r="AB128" s="177">
        <f t="shared" ca="1" si="801"/>
        <v>13421092.946685074</v>
      </c>
      <c r="AC128" s="177">
        <f t="shared" ca="1" si="801"/>
        <v>13486420.795245234</v>
      </c>
      <c r="AD128" s="177">
        <f t="shared" ca="1" si="801"/>
        <v>16262479.956493899</v>
      </c>
      <c r="AE128" s="177">
        <f t="shared" ca="1" si="801"/>
        <v>21788851.200000018</v>
      </c>
      <c r="AF128" s="177">
        <f t="shared" ca="1" si="801"/>
        <v>19158045.843104653</v>
      </c>
      <c r="AG128" s="177">
        <f t="shared" ca="1" si="801"/>
        <v>16501113.085696394</v>
      </c>
      <c r="AH128" s="177">
        <f t="shared" ca="1" si="801"/>
        <v>16581433.088025467</v>
      </c>
      <c r="AI128" s="177">
        <f t="shared" ca="1" si="801"/>
        <v>13885120.043356068</v>
      </c>
      <c r="AJ128" s="177">
        <f t="shared" ca="1" si="801"/>
        <v>22324330.507636741</v>
      </c>
      <c r="AK128" s="177">
        <f t="shared" ca="1" si="801"/>
        <v>28041244.144025121</v>
      </c>
      <c r="AL128" s="177">
        <f t="shared" ca="1" si="801"/>
        <v>28177736.317811292</v>
      </c>
      <c r="AM128" s="177">
        <f t="shared" ca="1" si="801"/>
        <v>19820425.011908598</v>
      </c>
      <c r="AN128" s="177">
        <f t="shared" ca="1" si="801"/>
        <v>14226358.52348618</v>
      </c>
      <c r="AO128" s="177">
        <f t="shared" ca="1" si="801"/>
        <v>14295606.042959951</v>
      </c>
      <c r="AP128" s="177">
        <f t="shared" ca="1" si="801"/>
        <v>17238228.753883537</v>
      </c>
      <c r="AQ128" s="177">
        <f t="shared" ca="1" si="801"/>
        <v>23096182.272000026</v>
      </c>
      <c r="AR128" s="177">
        <f t="shared" ca="1" si="801"/>
        <v>20307528.593690943</v>
      </c>
      <c r="AS128" s="177">
        <f t="shared" ca="1" si="801"/>
        <v>17491179.870838184</v>
      </c>
      <c r="AT128" s="177">
        <f t="shared" ca="1" si="801"/>
        <v>17576319.073307</v>
      </c>
      <c r="AU128" s="177">
        <f t="shared" ca="1" si="801"/>
        <v>14718227.245957442</v>
      </c>
      <c r="AV128" s="177">
        <f t="shared" ca="1" si="801"/>
        <v>23663790.338094961</v>
      </c>
      <c r="AW128" s="177">
        <f t="shared" ca="1" si="801"/>
        <v>29723718.792666636</v>
      </c>
      <c r="AX128" s="177">
        <f t="shared" ca="1" si="801"/>
        <v>29868400.496879984</v>
      </c>
      <c r="AY128" s="177">
        <f t="shared" ca="1" si="801"/>
        <v>21009650.51262312</v>
      </c>
      <c r="AZ128" s="177">
        <f t="shared" ca="1" si="801"/>
        <v>15079940.034895359</v>
      </c>
      <c r="BA128" s="177">
        <f t="shared" ca="1" si="801"/>
        <v>15153342.405537553</v>
      </c>
      <c r="BB128" s="177">
        <f t="shared" ca="1" si="801"/>
        <v>18272522.479116555</v>
      </c>
      <c r="BC128" s="177"/>
      <c r="BD128" s="183">
        <f ca="1">SUM(G128:BC128)</f>
        <v>772825124.64958811</v>
      </c>
    </row>
    <row r="129" spans="1:56" s="195" customFormat="1" hidden="1" outlineLevel="1" x14ac:dyDescent="0.3">
      <c r="A129" s="175" t="str">
        <f ca="1">Language!A$624</f>
        <v>НДС начисленный</v>
      </c>
      <c r="B129" s="169"/>
      <c r="C129" s="194" t="str">
        <f t="shared" ca="1" si="800"/>
        <v>руб.</v>
      </c>
      <c r="D129" s="170"/>
      <c r="E129" s="170"/>
      <c r="F129" s="170" t="s">
        <v>1120</v>
      </c>
      <c r="G129" s="177">
        <f t="shared" ref="G129:BB129" ca="1" si="802">SUM(G$64,G$84,G$104,G$124)</f>
        <v>0</v>
      </c>
      <c r="H129" s="177">
        <f t="shared" ca="1" si="802"/>
        <v>0</v>
      </c>
      <c r="I129" s="177">
        <f t="shared" ca="1" si="802"/>
        <v>0</v>
      </c>
      <c r="J129" s="177">
        <f t="shared" ca="1" si="802"/>
        <v>0</v>
      </c>
      <c r="K129" s="177">
        <f t="shared" ca="1" si="802"/>
        <v>0</v>
      </c>
      <c r="L129" s="177">
        <f t="shared" ca="1" si="802"/>
        <v>0</v>
      </c>
      <c r="M129" s="177">
        <f t="shared" ca="1" si="802"/>
        <v>0</v>
      </c>
      <c r="N129" s="177">
        <f t="shared" ca="1" si="802"/>
        <v>0</v>
      </c>
      <c r="O129" s="177">
        <f t="shared" ca="1" si="802"/>
        <v>0</v>
      </c>
      <c r="P129" s="177">
        <f t="shared" ca="1" si="802"/>
        <v>0</v>
      </c>
      <c r="Q129" s="177">
        <f t="shared" ca="1" si="802"/>
        <v>0</v>
      </c>
      <c r="R129" s="177">
        <f t="shared" ca="1" si="802"/>
        <v>0</v>
      </c>
      <c r="S129" s="177">
        <f t="shared" ca="1" si="802"/>
        <v>0</v>
      </c>
      <c r="T129" s="177">
        <f t="shared" ca="1" si="802"/>
        <v>0</v>
      </c>
      <c r="U129" s="177">
        <f t="shared" ca="1" si="802"/>
        <v>0</v>
      </c>
      <c r="V129" s="177">
        <f t="shared" ca="1" si="802"/>
        <v>0</v>
      </c>
      <c r="W129" s="177">
        <f t="shared" ca="1" si="802"/>
        <v>0</v>
      </c>
      <c r="X129" s="177">
        <f t="shared" ca="1" si="802"/>
        <v>0</v>
      </c>
      <c r="Y129" s="177">
        <f t="shared" ca="1" si="802"/>
        <v>0</v>
      </c>
      <c r="Z129" s="177">
        <f t="shared" ca="1" si="802"/>
        <v>0</v>
      </c>
      <c r="AA129" s="177">
        <f t="shared" ca="1" si="802"/>
        <v>0</v>
      </c>
      <c r="AB129" s="177">
        <f t="shared" ca="1" si="802"/>
        <v>0</v>
      </c>
      <c r="AC129" s="177">
        <f t="shared" ca="1" si="802"/>
        <v>0</v>
      </c>
      <c r="AD129" s="177">
        <f t="shared" ca="1" si="802"/>
        <v>0</v>
      </c>
      <c r="AE129" s="177">
        <f t="shared" ca="1" si="802"/>
        <v>0</v>
      </c>
      <c r="AF129" s="177">
        <f t="shared" ca="1" si="802"/>
        <v>0</v>
      </c>
      <c r="AG129" s="177">
        <f t="shared" ca="1" si="802"/>
        <v>0</v>
      </c>
      <c r="AH129" s="177">
        <f t="shared" ca="1" si="802"/>
        <v>0</v>
      </c>
      <c r="AI129" s="177">
        <f t="shared" ca="1" si="802"/>
        <v>0</v>
      </c>
      <c r="AJ129" s="177">
        <f t="shared" ca="1" si="802"/>
        <v>0</v>
      </c>
      <c r="AK129" s="177">
        <f t="shared" ca="1" si="802"/>
        <v>0</v>
      </c>
      <c r="AL129" s="177">
        <f t="shared" ca="1" si="802"/>
        <v>0</v>
      </c>
      <c r="AM129" s="177">
        <f t="shared" ca="1" si="802"/>
        <v>0</v>
      </c>
      <c r="AN129" s="177">
        <f t="shared" ca="1" si="802"/>
        <v>0</v>
      </c>
      <c r="AO129" s="177">
        <f t="shared" ca="1" si="802"/>
        <v>0</v>
      </c>
      <c r="AP129" s="177">
        <f t="shared" ca="1" si="802"/>
        <v>0</v>
      </c>
      <c r="AQ129" s="177">
        <f t="shared" ca="1" si="802"/>
        <v>0</v>
      </c>
      <c r="AR129" s="177">
        <f t="shared" ca="1" si="802"/>
        <v>0</v>
      </c>
      <c r="AS129" s="177">
        <f t="shared" ca="1" si="802"/>
        <v>0</v>
      </c>
      <c r="AT129" s="177">
        <f t="shared" ca="1" si="802"/>
        <v>0</v>
      </c>
      <c r="AU129" s="177">
        <f t="shared" ca="1" si="802"/>
        <v>0</v>
      </c>
      <c r="AV129" s="177">
        <f t="shared" ca="1" si="802"/>
        <v>0</v>
      </c>
      <c r="AW129" s="177">
        <f t="shared" ca="1" si="802"/>
        <v>0</v>
      </c>
      <c r="AX129" s="177">
        <f t="shared" ca="1" si="802"/>
        <v>0</v>
      </c>
      <c r="AY129" s="177">
        <f t="shared" ca="1" si="802"/>
        <v>0</v>
      </c>
      <c r="AZ129" s="177">
        <f t="shared" ca="1" si="802"/>
        <v>0</v>
      </c>
      <c r="BA129" s="177">
        <f t="shared" ca="1" si="802"/>
        <v>0</v>
      </c>
      <c r="BB129" s="177">
        <f t="shared" ca="1" si="802"/>
        <v>0</v>
      </c>
      <c r="BC129" s="177"/>
      <c r="BD129" s="183">
        <f ca="1">SUM(G129:BC129)</f>
        <v>0</v>
      </c>
    </row>
    <row r="130" spans="1:56" s="195" customFormat="1" hidden="1" outlineLevel="1" x14ac:dyDescent="0.3">
      <c r="A130" s="175" t="str">
        <f ca="1">Language!A$629</f>
        <v>Акцизы начисленные</v>
      </c>
      <c r="B130" s="169"/>
      <c r="C130" s="194" t="str">
        <f t="shared" ca="1" si="800"/>
        <v>руб.</v>
      </c>
      <c r="D130" s="170"/>
      <c r="E130" s="170"/>
      <c r="F130" s="170" t="s">
        <v>1101</v>
      </c>
      <c r="G130" s="177">
        <f t="shared" ref="G130:BB130" ca="1" si="803">SUM(G$63,G$83,G$103,G$123)</f>
        <v>0</v>
      </c>
      <c r="H130" s="177">
        <f t="shared" ca="1" si="803"/>
        <v>0</v>
      </c>
      <c r="I130" s="177">
        <f t="shared" ca="1" si="803"/>
        <v>0</v>
      </c>
      <c r="J130" s="177">
        <f t="shared" ca="1" si="803"/>
        <v>0</v>
      </c>
      <c r="K130" s="177">
        <f t="shared" ca="1" si="803"/>
        <v>0</v>
      </c>
      <c r="L130" s="177">
        <f t="shared" ca="1" si="803"/>
        <v>0</v>
      </c>
      <c r="M130" s="177">
        <f t="shared" ca="1" si="803"/>
        <v>0</v>
      </c>
      <c r="N130" s="177">
        <f t="shared" ca="1" si="803"/>
        <v>0</v>
      </c>
      <c r="O130" s="177">
        <f t="shared" ca="1" si="803"/>
        <v>0</v>
      </c>
      <c r="P130" s="177">
        <f t="shared" ca="1" si="803"/>
        <v>0</v>
      </c>
      <c r="Q130" s="177">
        <f t="shared" ca="1" si="803"/>
        <v>0</v>
      </c>
      <c r="R130" s="177">
        <f t="shared" ca="1" si="803"/>
        <v>0</v>
      </c>
      <c r="S130" s="177">
        <f t="shared" ca="1" si="803"/>
        <v>0</v>
      </c>
      <c r="T130" s="177">
        <f t="shared" ca="1" si="803"/>
        <v>0</v>
      </c>
      <c r="U130" s="177">
        <f t="shared" ca="1" si="803"/>
        <v>0</v>
      </c>
      <c r="V130" s="177">
        <f t="shared" ca="1" si="803"/>
        <v>0</v>
      </c>
      <c r="W130" s="177">
        <f t="shared" ca="1" si="803"/>
        <v>0</v>
      </c>
      <c r="X130" s="177">
        <f t="shared" ca="1" si="803"/>
        <v>0</v>
      </c>
      <c r="Y130" s="177">
        <f t="shared" ca="1" si="803"/>
        <v>0</v>
      </c>
      <c r="Z130" s="177">
        <f t="shared" ca="1" si="803"/>
        <v>0</v>
      </c>
      <c r="AA130" s="177">
        <f t="shared" ca="1" si="803"/>
        <v>0</v>
      </c>
      <c r="AB130" s="177">
        <f t="shared" ca="1" si="803"/>
        <v>0</v>
      </c>
      <c r="AC130" s="177">
        <f t="shared" ca="1" si="803"/>
        <v>0</v>
      </c>
      <c r="AD130" s="177">
        <f t="shared" ca="1" si="803"/>
        <v>0</v>
      </c>
      <c r="AE130" s="177">
        <f t="shared" ca="1" si="803"/>
        <v>0</v>
      </c>
      <c r="AF130" s="177">
        <f t="shared" ca="1" si="803"/>
        <v>0</v>
      </c>
      <c r="AG130" s="177">
        <f t="shared" ca="1" si="803"/>
        <v>0</v>
      </c>
      <c r="AH130" s="177">
        <f t="shared" ca="1" si="803"/>
        <v>0</v>
      </c>
      <c r="AI130" s="177">
        <f t="shared" ca="1" si="803"/>
        <v>0</v>
      </c>
      <c r="AJ130" s="177">
        <f t="shared" ca="1" si="803"/>
        <v>0</v>
      </c>
      <c r="AK130" s="177">
        <f t="shared" ca="1" si="803"/>
        <v>0</v>
      </c>
      <c r="AL130" s="177">
        <f t="shared" ca="1" si="803"/>
        <v>0</v>
      </c>
      <c r="AM130" s="177">
        <f t="shared" ca="1" si="803"/>
        <v>0</v>
      </c>
      <c r="AN130" s="177">
        <f t="shared" ca="1" si="803"/>
        <v>0</v>
      </c>
      <c r="AO130" s="177">
        <f t="shared" ca="1" si="803"/>
        <v>0</v>
      </c>
      <c r="AP130" s="177">
        <f t="shared" ca="1" si="803"/>
        <v>0</v>
      </c>
      <c r="AQ130" s="177">
        <f t="shared" ca="1" si="803"/>
        <v>0</v>
      </c>
      <c r="AR130" s="177">
        <f t="shared" ca="1" si="803"/>
        <v>0</v>
      </c>
      <c r="AS130" s="177">
        <f t="shared" ca="1" si="803"/>
        <v>0</v>
      </c>
      <c r="AT130" s="177">
        <f t="shared" ca="1" si="803"/>
        <v>0</v>
      </c>
      <c r="AU130" s="177">
        <f t="shared" ca="1" si="803"/>
        <v>0</v>
      </c>
      <c r="AV130" s="177">
        <f t="shared" ca="1" si="803"/>
        <v>0</v>
      </c>
      <c r="AW130" s="177">
        <f t="shared" ca="1" si="803"/>
        <v>0</v>
      </c>
      <c r="AX130" s="177">
        <f t="shared" ca="1" si="803"/>
        <v>0</v>
      </c>
      <c r="AY130" s="177">
        <f t="shared" ca="1" si="803"/>
        <v>0</v>
      </c>
      <c r="AZ130" s="177">
        <f t="shared" ca="1" si="803"/>
        <v>0</v>
      </c>
      <c r="BA130" s="177">
        <f t="shared" ca="1" si="803"/>
        <v>0</v>
      </c>
      <c r="BB130" s="177">
        <f t="shared" ca="1" si="803"/>
        <v>0</v>
      </c>
      <c r="BC130" s="177"/>
      <c r="BD130" s="183">
        <f ca="1">SUM(G130:BC130)</f>
        <v>0</v>
      </c>
    </row>
    <row r="131" spans="1:56" s="195" customFormat="1" hidden="1" outlineLevel="1" x14ac:dyDescent="0.3">
      <c r="A131" s="175" t="str">
        <f ca="1">Language!A591</f>
        <v>Выручка от реализации, с НДС</v>
      </c>
      <c r="B131" s="169"/>
      <c r="C131" s="194" t="str">
        <f t="shared" ca="1" si="800"/>
        <v>руб.</v>
      </c>
      <c r="D131" s="170"/>
      <c r="E131" s="170"/>
      <c r="F131" s="170" t="s">
        <v>740</v>
      </c>
      <c r="G131" s="177">
        <f t="shared" ref="G131:M131" ca="1" si="804">G128+G129+G130</f>
        <v>0</v>
      </c>
      <c r="H131" s="177">
        <f t="shared" ca="1" si="804"/>
        <v>0</v>
      </c>
      <c r="I131" s="177">
        <f t="shared" ca="1" si="804"/>
        <v>0</v>
      </c>
      <c r="J131" s="177">
        <f t="shared" ca="1" si="804"/>
        <v>0</v>
      </c>
      <c r="K131" s="177">
        <f t="shared" ca="1" si="804"/>
        <v>0</v>
      </c>
      <c r="L131" s="177">
        <f t="shared" ca="1" si="804"/>
        <v>0</v>
      </c>
      <c r="M131" s="177">
        <f t="shared" ca="1" si="804"/>
        <v>7486982.2385257483</v>
      </c>
      <c r="N131" s="177">
        <f t="shared" ref="N131:O131" ca="1" si="805">N128+N129+N130</f>
        <v>10031234.004204797</v>
      </c>
      <c r="O131" s="177">
        <f t="shared" ca="1" si="805"/>
        <v>12600076.928691318</v>
      </c>
      <c r="P131" s="177">
        <f t="shared" ref="P131:Q131" ca="1" si="806">P128+P129+P130</f>
        <v>15193690.128322721</v>
      </c>
      <c r="Q131" s="177">
        <f t="shared" ca="1" si="806"/>
        <v>15267646.183296487</v>
      </c>
      <c r="R131" s="177">
        <f t="shared" ref="R131:S131" ca="1" si="807">R128+R129+R130</f>
        <v>15341962.223107448</v>
      </c>
      <c r="S131" s="177">
        <f t="shared" ca="1" si="807"/>
        <v>20555520.000000011</v>
      </c>
      <c r="T131" s="177">
        <f t="shared" ref="T131:U131" ca="1" si="808">T128+T129+T130</f>
        <v>18073628.153872319</v>
      </c>
      <c r="U131" s="177">
        <f t="shared" ca="1" si="808"/>
        <v>15567087.816694712</v>
      </c>
      <c r="V131" s="177">
        <f t="shared" ref="V131:W131" ca="1" si="809">V128+V129+V130</f>
        <v>15642861.403797608</v>
      </c>
      <c r="W131" s="177">
        <f t="shared" ca="1" si="809"/>
        <v>13099169.852222705</v>
      </c>
      <c r="X131" s="177">
        <f t="shared" ref="X131:Y131" ca="1" si="810">X128+X129+X130</f>
        <v>21060689.158147868</v>
      </c>
      <c r="Y131" s="177">
        <f t="shared" ca="1" si="810"/>
        <v>26454003.909457654</v>
      </c>
      <c r="Z131" s="177">
        <f t="shared" ref="Z131:AA131" ca="1" si="811">Z128+Z129+Z130</f>
        <v>26582770.111142725</v>
      </c>
      <c r="AA131" s="177">
        <f t="shared" ca="1" si="811"/>
        <v>18698514.162177924</v>
      </c>
      <c r="AB131" s="177">
        <f t="shared" ref="AB131:AC131" ca="1" si="812">AB128+AB129+AB130</f>
        <v>13421092.946685074</v>
      </c>
      <c r="AC131" s="177">
        <f t="shared" ca="1" si="812"/>
        <v>13486420.795245234</v>
      </c>
      <c r="AD131" s="177">
        <f t="shared" ref="AD131:AE131" ca="1" si="813">AD128+AD129+AD130</f>
        <v>16262479.956493899</v>
      </c>
      <c r="AE131" s="177">
        <f t="shared" ca="1" si="813"/>
        <v>21788851.200000018</v>
      </c>
      <c r="AF131" s="177">
        <f t="shared" ref="AF131:AG131" ca="1" si="814">AF128+AF129+AF130</f>
        <v>19158045.843104653</v>
      </c>
      <c r="AG131" s="177">
        <f t="shared" ca="1" si="814"/>
        <v>16501113.085696394</v>
      </c>
      <c r="AH131" s="177">
        <f t="shared" ref="AH131:AI131" ca="1" si="815">AH128+AH129+AH130</f>
        <v>16581433.088025467</v>
      </c>
      <c r="AI131" s="177">
        <f t="shared" ca="1" si="815"/>
        <v>13885120.043356068</v>
      </c>
      <c r="AJ131" s="177">
        <f t="shared" ref="AJ131:AK131" ca="1" si="816">AJ128+AJ129+AJ130</f>
        <v>22324330.507636741</v>
      </c>
      <c r="AK131" s="177">
        <f t="shared" ca="1" si="816"/>
        <v>28041244.144025121</v>
      </c>
      <c r="AL131" s="177">
        <f t="shared" ref="AL131:AM131" ca="1" si="817">AL128+AL129+AL130</f>
        <v>28177736.317811292</v>
      </c>
      <c r="AM131" s="177">
        <f t="shared" ca="1" si="817"/>
        <v>19820425.011908598</v>
      </c>
      <c r="AN131" s="177">
        <f t="shared" ref="AN131:AO131" ca="1" si="818">AN128+AN129+AN130</f>
        <v>14226358.52348618</v>
      </c>
      <c r="AO131" s="177">
        <f t="shared" ca="1" si="818"/>
        <v>14295606.042959951</v>
      </c>
      <c r="AP131" s="177">
        <f t="shared" ref="AP131:AQ131" ca="1" si="819">AP128+AP129+AP130</f>
        <v>17238228.753883537</v>
      </c>
      <c r="AQ131" s="177">
        <f t="shared" ca="1" si="819"/>
        <v>23096182.272000026</v>
      </c>
      <c r="AR131" s="177">
        <f t="shared" ref="AR131:AS131" ca="1" si="820">AR128+AR129+AR130</f>
        <v>20307528.593690943</v>
      </c>
      <c r="AS131" s="177">
        <f t="shared" ca="1" si="820"/>
        <v>17491179.870838184</v>
      </c>
      <c r="AT131" s="177">
        <f t="shared" ref="AT131:AU131" ca="1" si="821">AT128+AT129+AT130</f>
        <v>17576319.073307</v>
      </c>
      <c r="AU131" s="177">
        <f t="shared" ca="1" si="821"/>
        <v>14718227.245957442</v>
      </c>
      <c r="AV131" s="177">
        <f t="shared" ref="AV131:AW131" ca="1" si="822">AV128+AV129+AV130</f>
        <v>23663790.338094961</v>
      </c>
      <c r="AW131" s="177">
        <f t="shared" ca="1" si="822"/>
        <v>29723718.792666636</v>
      </c>
      <c r="AX131" s="177">
        <f t="shared" ref="AX131:AY131" ca="1" si="823">AX128+AX129+AX130</f>
        <v>29868400.496879984</v>
      </c>
      <c r="AY131" s="177">
        <f t="shared" ca="1" si="823"/>
        <v>21009650.51262312</v>
      </c>
      <c r="AZ131" s="177">
        <f t="shared" ref="AZ131:BA131" ca="1" si="824">AZ128+AZ129+AZ130</f>
        <v>15079940.034895359</v>
      </c>
      <c r="BA131" s="177">
        <f t="shared" ca="1" si="824"/>
        <v>15153342.405537553</v>
      </c>
      <c r="BB131" s="177">
        <f t="shared" ref="BB131" ca="1" si="825">BB128+BB129+BB130</f>
        <v>18272522.479116555</v>
      </c>
      <c r="BC131" s="177"/>
      <c r="BD131" s="183">
        <f ca="1">SUM(G131:BC131)</f>
        <v>772825124.64958811</v>
      </c>
    </row>
    <row r="132" spans="1:56" s="195" customFormat="1" hidden="1" outlineLevel="1" x14ac:dyDescent="0.3">
      <c r="A132" s="175" t="str">
        <f ca="1">Language!A$625</f>
        <v>Поступления от продаж, с НДС</v>
      </c>
      <c r="B132" s="169"/>
      <c r="C132" s="194" t="str">
        <f t="shared" ca="1" si="800"/>
        <v>руб.</v>
      </c>
      <c r="D132" s="170"/>
      <c r="E132" s="170"/>
      <c r="F132" s="170" t="s">
        <v>1098</v>
      </c>
      <c r="G132" s="177">
        <f t="shared" ref="G132:BB132" ca="1" si="826">SUM(G$56,G$76,G$96,G$116)</f>
        <v>0</v>
      </c>
      <c r="H132" s="177">
        <f t="shared" ca="1" si="826"/>
        <v>0</v>
      </c>
      <c r="I132" s="177">
        <f t="shared" ca="1" si="826"/>
        <v>0</v>
      </c>
      <c r="J132" s="177">
        <f t="shared" ca="1" si="826"/>
        <v>0</v>
      </c>
      <c r="K132" s="177">
        <f t="shared" ca="1" si="826"/>
        <v>0</v>
      </c>
      <c r="L132" s="177">
        <f t="shared" ca="1" si="826"/>
        <v>0</v>
      </c>
      <c r="M132" s="177">
        <f t="shared" ca="1" si="826"/>
        <v>4991321.4923504991</v>
      </c>
      <c r="N132" s="177">
        <f t="shared" ca="1" si="826"/>
        <v>9183150.0823117811</v>
      </c>
      <c r="O132" s="177">
        <f t="shared" ca="1" si="826"/>
        <v>11743795.953862477</v>
      </c>
      <c r="P132" s="177">
        <f t="shared" ca="1" si="826"/>
        <v>14329152.395112252</v>
      </c>
      <c r="Q132" s="177">
        <f t="shared" ca="1" si="826"/>
        <v>15242994.164971899</v>
      </c>
      <c r="R132" s="177">
        <f t="shared" ca="1" si="826"/>
        <v>15317190.209837129</v>
      </c>
      <c r="S132" s="177">
        <f t="shared" ca="1" si="826"/>
        <v>18817667.407702491</v>
      </c>
      <c r="T132" s="177">
        <f t="shared" ca="1" si="826"/>
        <v>18900925.435914882</v>
      </c>
      <c r="U132" s="177">
        <f t="shared" ca="1" si="826"/>
        <v>16402601.262420578</v>
      </c>
      <c r="V132" s="177">
        <f t="shared" ca="1" si="826"/>
        <v>15617603.541429976</v>
      </c>
      <c r="W132" s="177">
        <f t="shared" ca="1" si="826"/>
        <v>13947067.036081007</v>
      </c>
      <c r="X132" s="177">
        <f t="shared" ca="1" si="826"/>
        <v>18406849.389506146</v>
      </c>
      <c r="Y132" s="177">
        <f t="shared" ca="1" si="826"/>
        <v>24656232.325687729</v>
      </c>
      <c r="Z132" s="177">
        <f t="shared" ca="1" si="826"/>
        <v>26539848.043914367</v>
      </c>
      <c r="AA132" s="177">
        <f t="shared" ca="1" si="826"/>
        <v>21326599.478499524</v>
      </c>
      <c r="AB132" s="177">
        <f t="shared" ca="1" si="826"/>
        <v>15180233.351849357</v>
      </c>
      <c r="AC132" s="177">
        <f t="shared" ca="1" si="826"/>
        <v>13464644.845725181</v>
      </c>
      <c r="AD132" s="177">
        <f t="shared" ca="1" si="826"/>
        <v>15337126.902744345</v>
      </c>
      <c r="AE132" s="177">
        <f t="shared" ca="1" si="826"/>
        <v>19946727.452164643</v>
      </c>
      <c r="AF132" s="177">
        <f t="shared" ca="1" si="826"/>
        <v>20034980.962069772</v>
      </c>
      <c r="AG132" s="177">
        <f t="shared" ca="1" si="826"/>
        <v>17386757.338165816</v>
      </c>
      <c r="AH132" s="177">
        <f t="shared" ca="1" si="826"/>
        <v>16554659.753915776</v>
      </c>
      <c r="AI132" s="177">
        <f t="shared" ca="1" si="826"/>
        <v>14783891.058245869</v>
      </c>
      <c r="AJ132" s="177">
        <f t="shared" ca="1" si="826"/>
        <v>19511260.352876518</v>
      </c>
      <c r="AK132" s="177">
        <f t="shared" ca="1" si="826"/>
        <v>26135606.265228994</v>
      </c>
      <c r="AL132" s="177">
        <f t="shared" ca="1" si="826"/>
        <v>28132238.92654923</v>
      </c>
      <c r="AM132" s="177">
        <f t="shared" ca="1" si="826"/>
        <v>22606195.447209492</v>
      </c>
      <c r="AN132" s="177">
        <f t="shared" ca="1" si="826"/>
        <v>16091047.35296032</v>
      </c>
      <c r="AO132" s="177">
        <f t="shared" ca="1" si="826"/>
        <v>14272523.536468692</v>
      </c>
      <c r="AP132" s="177">
        <f t="shared" ca="1" si="826"/>
        <v>16257354.516909011</v>
      </c>
      <c r="AQ132" s="177">
        <f t="shared" ca="1" si="826"/>
        <v>21143531.099294528</v>
      </c>
      <c r="AR132" s="177">
        <f t="shared" ca="1" si="826"/>
        <v>21237079.819793969</v>
      </c>
      <c r="AS132" s="177">
        <f t="shared" ca="1" si="826"/>
        <v>18429962.778455772</v>
      </c>
      <c r="AT132" s="177">
        <f t="shared" ca="1" si="826"/>
        <v>17547939.339150731</v>
      </c>
      <c r="AU132" s="177">
        <f t="shared" ca="1" si="826"/>
        <v>15670924.521740628</v>
      </c>
      <c r="AV132" s="177">
        <f t="shared" ca="1" si="826"/>
        <v>20681935.974049117</v>
      </c>
      <c r="AW132" s="177">
        <f t="shared" ca="1" si="826"/>
        <v>27703742.641142741</v>
      </c>
      <c r="AX132" s="177">
        <f t="shared" ca="1" si="826"/>
        <v>29820173.262142196</v>
      </c>
      <c r="AY132" s="177">
        <f t="shared" ca="1" si="826"/>
        <v>23962567.174042072</v>
      </c>
      <c r="AZ132" s="177">
        <f t="shared" ca="1" si="826"/>
        <v>17056510.194137946</v>
      </c>
      <c r="BA132" s="177">
        <f t="shared" ca="1" si="826"/>
        <v>15128874.94865682</v>
      </c>
      <c r="BB132" s="177">
        <f t="shared" ca="1" si="826"/>
        <v>17232795.787923556</v>
      </c>
      <c r="BC132" s="177"/>
      <c r="BD132" s="183">
        <f ca="1">SUM(G132:BC132)</f>
        <v>766734283.82321596</v>
      </c>
    </row>
    <row r="133" spans="1:56" s="195" customFormat="1" hidden="1" outlineLevel="1" x14ac:dyDescent="0.3">
      <c r="A133" s="175" t="str">
        <f ca="1">Language!A$626</f>
        <v>Дебиторская задолженность</v>
      </c>
      <c r="B133" s="169"/>
      <c r="C133" s="194" t="str">
        <f t="shared" ca="1" si="800"/>
        <v>руб.</v>
      </c>
      <c r="D133" s="170"/>
      <c r="E133" s="170"/>
      <c r="F133" s="170" t="s">
        <v>1099</v>
      </c>
      <c r="G133" s="177">
        <f t="shared" ref="G133:BB133" ca="1" si="827">SUM(G$52,G$72,G$92,G$112)</f>
        <v>0</v>
      </c>
      <c r="H133" s="177">
        <f t="shared" ca="1" si="827"/>
        <v>0</v>
      </c>
      <c r="I133" s="177">
        <f t="shared" ca="1" si="827"/>
        <v>0</v>
      </c>
      <c r="J133" s="177">
        <f t="shared" ca="1" si="827"/>
        <v>0</v>
      </c>
      <c r="K133" s="177">
        <f t="shared" ca="1" si="827"/>
        <v>0</v>
      </c>
      <c r="L133" s="177">
        <f t="shared" ca="1" si="827"/>
        <v>0</v>
      </c>
      <c r="M133" s="177">
        <f t="shared" ca="1" si="827"/>
        <v>2495660.7461752496</v>
      </c>
      <c r="N133" s="177">
        <f t="shared" ca="1" si="827"/>
        <v>3343744.6680682655</v>
      </c>
      <c r="O133" s="177">
        <f t="shared" ca="1" si="827"/>
        <v>4200025.6428971058</v>
      </c>
      <c r="P133" s="177">
        <f t="shared" ca="1" si="827"/>
        <v>5064563.3761075735</v>
      </c>
      <c r="Q133" s="177">
        <f t="shared" ca="1" si="827"/>
        <v>5089215.3944321619</v>
      </c>
      <c r="R133" s="177">
        <f t="shared" ca="1" si="827"/>
        <v>5113987.4077024832</v>
      </c>
      <c r="S133" s="177">
        <f t="shared" ca="1" si="827"/>
        <v>6851840.0000000037</v>
      </c>
      <c r="T133" s="177">
        <f t="shared" ca="1" si="827"/>
        <v>6024542.717957438</v>
      </c>
      <c r="U133" s="177">
        <f t="shared" ca="1" si="827"/>
        <v>5189029.2722315704</v>
      </c>
      <c r="V133" s="177">
        <f t="shared" ca="1" si="827"/>
        <v>5214287.1345992023</v>
      </c>
      <c r="W133" s="177">
        <f t="shared" ca="1" si="827"/>
        <v>4366389.9507409018</v>
      </c>
      <c r="X133" s="177">
        <f t="shared" ca="1" si="827"/>
        <v>7020229.7193826223</v>
      </c>
      <c r="Y133" s="177">
        <f t="shared" ca="1" si="827"/>
        <v>8818001.3031525519</v>
      </c>
      <c r="Z133" s="177">
        <f t="shared" ca="1" si="827"/>
        <v>8860923.3703809083</v>
      </c>
      <c r="AA133" s="177">
        <f t="shared" ca="1" si="827"/>
        <v>6232838.0540593062</v>
      </c>
      <c r="AB133" s="177">
        <f t="shared" ca="1" si="827"/>
        <v>4473697.6488950253</v>
      </c>
      <c r="AC133" s="177">
        <f t="shared" ca="1" si="827"/>
        <v>4495473.5984150777</v>
      </c>
      <c r="AD133" s="177">
        <f t="shared" ca="1" si="827"/>
        <v>5420826.6521646334</v>
      </c>
      <c r="AE133" s="177">
        <f t="shared" ca="1" si="827"/>
        <v>7262950.400000005</v>
      </c>
      <c r="AF133" s="177">
        <f t="shared" ca="1" si="827"/>
        <v>6386015.2810348859</v>
      </c>
      <c r="AG133" s="177">
        <f t="shared" ca="1" si="827"/>
        <v>5500371.0285654655</v>
      </c>
      <c r="AH133" s="177">
        <f t="shared" ca="1" si="827"/>
        <v>5527144.3626751555</v>
      </c>
      <c r="AI133" s="177">
        <f t="shared" ca="1" si="827"/>
        <v>4628373.3477853565</v>
      </c>
      <c r="AJ133" s="177">
        <f t="shared" ca="1" si="827"/>
        <v>7441443.5025455812</v>
      </c>
      <c r="AK133" s="177">
        <f t="shared" ca="1" si="827"/>
        <v>9347081.3813417051</v>
      </c>
      <c r="AL133" s="177">
        <f t="shared" ca="1" si="827"/>
        <v>9392578.7726037633</v>
      </c>
      <c r="AM133" s="177">
        <f t="shared" ca="1" si="827"/>
        <v>6606808.3373028673</v>
      </c>
      <c r="AN133" s="177">
        <f t="shared" ca="1" si="827"/>
        <v>4742119.5078287264</v>
      </c>
      <c r="AO133" s="177">
        <f t="shared" ca="1" si="827"/>
        <v>4765202.0143199842</v>
      </c>
      <c r="AP133" s="177">
        <f t="shared" ca="1" si="827"/>
        <v>5746076.2512945123</v>
      </c>
      <c r="AQ133" s="177">
        <f t="shared" ca="1" si="827"/>
        <v>7698727.4240000062</v>
      </c>
      <c r="AR133" s="177">
        <f t="shared" ca="1" si="827"/>
        <v>6769176.1978969807</v>
      </c>
      <c r="AS133" s="177">
        <f t="shared" ca="1" si="827"/>
        <v>5830393.2902793959</v>
      </c>
      <c r="AT133" s="177">
        <f t="shared" ca="1" si="827"/>
        <v>5858773.0244356673</v>
      </c>
      <c r="AU133" s="177">
        <f t="shared" ca="1" si="827"/>
        <v>4906075.7486524805</v>
      </c>
      <c r="AV133" s="177">
        <f t="shared" ca="1" si="827"/>
        <v>7887930.1126983203</v>
      </c>
      <c r="AW133" s="177">
        <f t="shared" ca="1" si="827"/>
        <v>9907906.2642222121</v>
      </c>
      <c r="AX133" s="177">
        <f t="shared" ca="1" si="827"/>
        <v>9956133.4989599939</v>
      </c>
      <c r="AY133" s="177">
        <f t="shared" ca="1" si="827"/>
        <v>7003216.8375410419</v>
      </c>
      <c r="AZ133" s="177">
        <f t="shared" ca="1" si="827"/>
        <v>5026646.6782984529</v>
      </c>
      <c r="BA133" s="177">
        <f t="shared" ca="1" si="827"/>
        <v>5051114.1351791844</v>
      </c>
      <c r="BB133" s="177">
        <f t="shared" ca="1" si="827"/>
        <v>6090840.8263721857</v>
      </c>
      <c r="BC133" s="177"/>
      <c r="BD133" s="183"/>
    </row>
    <row r="134" spans="1:56" s="195" customFormat="1" hidden="1" outlineLevel="1" x14ac:dyDescent="0.3">
      <c r="A134" s="175" t="str">
        <f ca="1">Language!A$627</f>
        <v>Авансы полученные</v>
      </c>
      <c r="B134" s="169"/>
      <c r="C134" s="194" t="str">
        <f t="shared" ca="1" si="800"/>
        <v>руб.</v>
      </c>
      <c r="D134" s="170"/>
      <c r="E134" s="170"/>
      <c r="F134" s="170" t="s">
        <v>1100</v>
      </c>
      <c r="G134" s="177">
        <f t="shared" ref="G134:BB134" ca="1" si="828">SUM(G$54,G$74,G$94,G$114)</f>
        <v>0</v>
      </c>
      <c r="H134" s="177">
        <f t="shared" ca="1" si="828"/>
        <v>0</v>
      </c>
      <c r="I134" s="177">
        <f t="shared" ca="1" si="828"/>
        <v>0</v>
      </c>
      <c r="J134" s="177">
        <f t="shared" ca="1" si="828"/>
        <v>0</v>
      </c>
      <c r="K134" s="177">
        <f t="shared" ca="1" si="828"/>
        <v>0</v>
      </c>
      <c r="L134" s="177">
        <f t="shared" ca="1" si="828"/>
        <v>0</v>
      </c>
      <c r="M134" s="177">
        <f t="shared" ca="1" si="828"/>
        <v>0</v>
      </c>
      <c r="N134" s="177">
        <f t="shared" ca="1" si="828"/>
        <v>0</v>
      </c>
      <c r="O134" s="177">
        <f t="shared" ca="1" si="828"/>
        <v>0</v>
      </c>
      <c r="P134" s="177">
        <f t="shared" ca="1" si="828"/>
        <v>0</v>
      </c>
      <c r="Q134" s="177">
        <f t="shared" ca="1" si="828"/>
        <v>0</v>
      </c>
      <c r="R134" s="177">
        <f t="shared" ca="1" si="828"/>
        <v>0</v>
      </c>
      <c r="S134" s="177">
        <f t="shared" ca="1" si="828"/>
        <v>0</v>
      </c>
      <c r="T134" s="177">
        <f t="shared" ca="1" si="828"/>
        <v>0</v>
      </c>
      <c r="U134" s="177">
        <f t="shared" ca="1" si="828"/>
        <v>0</v>
      </c>
      <c r="V134" s="177">
        <f t="shared" ca="1" si="828"/>
        <v>0</v>
      </c>
      <c r="W134" s="177">
        <f t="shared" ca="1" si="828"/>
        <v>0</v>
      </c>
      <c r="X134" s="177">
        <f t="shared" ca="1" si="828"/>
        <v>0</v>
      </c>
      <c r="Y134" s="177">
        <f t="shared" ca="1" si="828"/>
        <v>0</v>
      </c>
      <c r="Z134" s="177">
        <f t="shared" ca="1" si="828"/>
        <v>0</v>
      </c>
      <c r="AA134" s="177">
        <f t="shared" ca="1" si="828"/>
        <v>0</v>
      </c>
      <c r="AB134" s="177">
        <f t="shared" ca="1" si="828"/>
        <v>0</v>
      </c>
      <c r="AC134" s="177">
        <f t="shared" ca="1" si="828"/>
        <v>0</v>
      </c>
      <c r="AD134" s="177">
        <f t="shared" ca="1" si="828"/>
        <v>0</v>
      </c>
      <c r="AE134" s="177">
        <f t="shared" ca="1" si="828"/>
        <v>0</v>
      </c>
      <c r="AF134" s="177">
        <f t="shared" ca="1" si="828"/>
        <v>0</v>
      </c>
      <c r="AG134" s="177">
        <f t="shared" ca="1" si="828"/>
        <v>0</v>
      </c>
      <c r="AH134" s="177">
        <f t="shared" ca="1" si="828"/>
        <v>0</v>
      </c>
      <c r="AI134" s="177">
        <f t="shared" ca="1" si="828"/>
        <v>0</v>
      </c>
      <c r="AJ134" s="177">
        <f t="shared" ca="1" si="828"/>
        <v>0</v>
      </c>
      <c r="AK134" s="177">
        <f t="shared" ca="1" si="828"/>
        <v>0</v>
      </c>
      <c r="AL134" s="177">
        <f t="shared" ca="1" si="828"/>
        <v>0</v>
      </c>
      <c r="AM134" s="177">
        <f t="shared" ca="1" si="828"/>
        <v>0</v>
      </c>
      <c r="AN134" s="177">
        <f t="shared" ca="1" si="828"/>
        <v>0</v>
      </c>
      <c r="AO134" s="177">
        <f t="shared" ca="1" si="828"/>
        <v>0</v>
      </c>
      <c r="AP134" s="177">
        <f t="shared" ca="1" si="828"/>
        <v>0</v>
      </c>
      <c r="AQ134" s="177">
        <f t="shared" ca="1" si="828"/>
        <v>0</v>
      </c>
      <c r="AR134" s="177">
        <f t="shared" ca="1" si="828"/>
        <v>0</v>
      </c>
      <c r="AS134" s="177">
        <f t="shared" ca="1" si="828"/>
        <v>0</v>
      </c>
      <c r="AT134" s="177">
        <f t="shared" ca="1" si="828"/>
        <v>0</v>
      </c>
      <c r="AU134" s="177">
        <f t="shared" ca="1" si="828"/>
        <v>0</v>
      </c>
      <c r="AV134" s="177">
        <f t="shared" ca="1" si="828"/>
        <v>0</v>
      </c>
      <c r="AW134" s="177">
        <f t="shared" ca="1" si="828"/>
        <v>0</v>
      </c>
      <c r="AX134" s="177">
        <f t="shared" ca="1" si="828"/>
        <v>0</v>
      </c>
      <c r="AY134" s="177">
        <f t="shared" ca="1" si="828"/>
        <v>0</v>
      </c>
      <c r="AZ134" s="177">
        <f t="shared" ca="1" si="828"/>
        <v>0</v>
      </c>
      <c r="BA134" s="177">
        <f t="shared" ca="1" si="828"/>
        <v>0</v>
      </c>
      <c r="BB134" s="177">
        <f t="shared" ca="1" si="828"/>
        <v>0</v>
      </c>
      <c r="BC134" s="177"/>
      <c r="BD134" s="183"/>
    </row>
    <row r="135" spans="1:56" s="195" customFormat="1" hidden="1" outlineLevel="1" x14ac:dyDescent="0.3">
      <c r="A135" s="175" t="str">
        <f ca="1">Language!A$628</f>
        <v>НДС полученный с авансов</v>
      </c>
      <c r="B135" s="169"/>
      <c r="C135" s="194" t="str">
        <f t="shared" ca="1" si="800"/>
        <v>руб.</v>
      </c>
      <c r="D135" s="170"/>
      <c r="E135" s="170"/>
      <c r="F135" s="170" t="s">
        <v>1458</v>
      </c>
      <c r="G135" s="177">
        <f t="shared" ref="G135:BB135" ca="1" si="829">SUM(G$65,G$85,G$105,G$125)</f>
        <v>0</v>
      </c>
      <c r="H135" s="177">
        <f t="shared" ca="1" si="829"/>
        <v>0</v>
      </c>
      <c r="I135" s="177">
        <f t="shared" ca="1" si="829"/>
        <v>0</v>
      </c>
      <c r="J135" s="177">
        <f t="shared" ca="1" si="829"/>
        <v>0</v>
      </c>
      <c r="K135" s="177">
        <f t="shared" ca="1" si="829"/>
        <v>0</v>
      </c>
      <c r="L135" s="177">
        <f t="shared" ca="1" si="829"/>
        <v>0</v>
      </c>
      <c r="M135" s="177">
        <f t="shared" ca="1" si="829"/>
        <v>0</v>
      </c>
      <c r="N135" s="177">
        <f t="shared" ca="1" si="829"/>
        <v>0</v>
      </c>
      <c r="O135" s="177">
        <f t="shared" ca="1" si="829"/>
        <v>0</v>
      </c>
      <c r="P135" s="177">
        <f t="shared" ca="1" si="829"/>
        <v>0</v>
      </c>
      <c r="Q135" s="177">
        <f t="shared" ca="1" si="829"/>
        <v>0</v>
      </c>
      <c r="R135" s="177">
        <f t="shared" ca="1" si="829"/>
        <v>0</v>
      </c>
      <c r="S135" s="177">
        <f t="shared" ca="1" si="829"/>
        <v>0</v>
      </c>
      <c r="T135" s="177">
        <f t="shared" ca="1" si="829"/>
        <v>0</v>
      </c>
      <c r="U135" s="177">
        <f t="shared" ca="1" si="829"/>
        <v>0</v>
      </c>
      <c r="V135" s="177">
        <f t="shared" ca="1" si="829"/>
        <v>0</v>
      </c>
      <c r="W135" s="177">
        <f t="shared" ca="1" si="829"/>
        <v>0</v>
      </c>
      <c r="X135" s="177">
        <f t="shared" ca="1" si="829"/>
        <v>0</v>
      </c>
      <c r="Y135" s="177">
        <f t="shared" ca="1" si="829"/>
        <v>0</v>
      </c>
      <c r="Z135" s="177">
        <f t="shared" ca="1" si="829"/>
        <v>0</v>
      </c>
      <c r="AA135" s="177">
        <f t="shared" ca="1" si="829"/>
        <v>0</v>
      </c>
      <c r="AB135" s="177">
        <f t="shared" ca="1" si="829"/>
        <v>0</v>
      </c>
      <c r="AC135" s="177">
        <f t="shared" ca="1" si="829"/>
        <v>0</v>
      </c>
      <c r="AD135" s="177">
        <f t="shared" ca="1" si="829"/>
        <v>0</v>
      </c>
      <c r="AE135" s="177">
        <f t="shared" ca="1" si="829"/>
        <v>0</v>
      </c>
      <c r="AF135" s="177">
        <f t="shared" ca="1" si="829"/>
        <v>0</v>
      </c>
      <c r="AG135" s="177">
        <f t="shared" ca="1" si="829"/>
        <v>0</v>
      </c>
      <c r="AH135" s="177">
        <f t="shared" ca="1" si="829"/>
        <v>0</v>
      </c>
      <c r="AI135" s="177">
        <f t="shared" ca="1" si="829"/>
        <v>0</v>
      </c>
      <c r="AJ135" s="177">
        <f t="shared" ca="1" si="829"/>
        <v>0</v>
      </c>
      <c r="AK135" s="177">
        <f t="shared" ca="1" si="829"/>
        <v>0</v>
      </c>
      <c r="AL135" s="177">
        <f t="shared" ca="1" si="829"/>
        <v>0</v>
      </c>
      <c r="AM135" s="177">
        <f t="shared" ca="1" si="829"/>
        <v>0</v>
      </c>
      <c r="AN135" s="177">
        <f t="shared" ca="1" si="829"/>
        <v>0</v>
      </c>
      <c r="AO135" s="177">
        <f t="shared" ca="1" si="829"/>
        <v>0</v>
      </c>
      <c r="AP135" s="177">
        <f t="shared" ca="1" si="829"/>
        <v>0</v>
      </c>
      <c r="AQ135" s="177">
        <f t="shared" ca="1" si="829"/>
        <v>0</v>
      </c>
      <c r="AR135" s="177">
        <f t="shared" ca="1" si="829"/>
        <v>0</v>
      </c>
      <c r="AS135" s="177">
        <f t="shared" ca="1" si="829"/>
        <v>0</v>
      </c>
      <c r="AT135" s="177">
        <f t="shared" ca="1" si="829"/>
        <v>0</v>
      </c>
      <c r="AU135" s="177">
        <f t="shared" ca="1" si="829"/>
        <v>0</v>
      </c>
      <c r="AV135" s="177">
        <f t="shared" ca="1" si="829"/>
        <v>0</v>
      </c>
      <c r="AW135" s="177">
        <f t="shared" ca="1" si="829"/>
        <v>0</v>
      </c>
      <c r="AX135" s="177">
        <f t="shared" ca="1" si="829"/>
        <v>0</v>
      </c>
      <c r="AY135" s="177">
        <f t="shared" ca="1" si="829"/>
        <v>0</v>
      </c>
      <c r="AZ135" s="177">
        <f t="shared" ca="1" si="829"/>
        <v>0</v>
      </c>
      <c r="BA135" s="177">
        <f t="shared" ca="1" si="829"/>
        <v>0</v>
      </c>
      <c r="BB135" s="177">
        <f t="shared" ca="1" si="829"/>
        <v>0</v>
      </c>
      <c r="BC135" s="177"/>
      <c r="BD135" s="183">
        <f ca="1">SUM(G135:BC135)</f>
        <v>0</v>
      </c>
    </row>
    <row r="136" spans="1:56" s="195" customFormat="1" hidden="1" outlineLevel="1" x14ac:dyDescent="0.3">
      <c r="A136" s="175" t="str">
        <f ca="1">Language!A$630</f>
        <v>Курсовые разницы</v>
      </c>
      <c r="B136" s="169"/>
      <c r="C136" s="194" t="str">
        <f t="shared" ca="1" si="800"/>
        <v>руб.</v>
      </c>
      <c r="D136" s="170"/>
      <c r="E136" s="170"/>
      <c r="F136" s="170" t="s">
        <v>740</v>
      </c>
      <c r="G136" s="177">
        <f>-IF(G$2=1,0,SUM($F128:G128)+SUM($F129:G129)+SUM($F130:G130)-SUM($F132:G132)-G133+G134-(SUM($F128:F128)+SUM($F129:F129)+SUM($F130:F130)-+SUM($F132:F132)-F133+F134))</f>
        <v>0</v>
      </c>
      <c r="H136" s="177">
        <f ca="1">-IF(H$2=1,0,SUM($F128:H128)+SUM($F129:H129)+SUM($F130:H130)-SUM($F132:H132)-H133+H134-(SUM($F128:G128)+SUM($F129:G129)+SUM($F130:G130)-+SUM($F132:G132)-G133+G134))</f>
        <v>0</v>
      </c>
      <c r="I136" s="177">
        <f ca="1">-IF(I$2=1,0,SUM($F128:I128)+SUM($F129:I129)+SUM($F130:I130)-SUM($F132:I132)-I133+I134-(SUM($F128:H128)+SUM($F129:H129)+SUM($F130:H130)-+SUM($F132:H132)-H133+H134))</f>
        <v>0</v>
      </c>
      <c r="J136" s="177">
        <f ca="1">-IF(J$2=1,0,SUM($F128:J128)+SUM($F129:J129)+SUM($F130:J130)-SUM($F132:J132)-J133+J134-(SUM($F128:I128)+SUM($F129:I129)+SUM($F130:I130)-+SUM($F132:I132)-I133+I134))</f>
        <v>0</v>
      </c>
      <c r="K136" s="177">
        <f ca="1">-IF(K$2=1,0,SUM($F128:K128)+SUM($F129:K129)+SUM($F130:K130)-SUM($F132:K132)-K133+K134-(SUM($F128:J128)+SUM($F129:J129)+SUM($F130:J130)-+SUM($F132:J132)-J133+J134))</f>
        <v>0</v>
      </c>
      <c r="L136" s="177">
        <f ca="1">-IF(L$2=1,0,SUM($F128:L128)+SUM($F129:L129)+SUM($F130:L130)-SUM($F132:L132)-L133+L134-(SUM($F128:K128)+SUM($F129:K129)+SUM($F130:K130)-+SUM($F132:K132)-K133+K134))</f>
        <v>0</v>
      </c>
      <c r="M136" s="177">
        <f ca="1">-IF(M$2=1,0,SUM($F128:M128)+SUM($F129:M129)+SUM($F130:M130)-SUM($F132:M132)-M133+M134-(SUM($F128:L128)+SUM($F129:L129)+SUM($F130:L130)-+SUM($F132:L132)-L133+L134))</f>
        <v>4.6566128730773926E-10</v>
      </c>
      <c r="N136" s="177">
        <f ca="1">-IF(N$2=1,0,SUM($F128:N128)+SUM($F129:N129)+SUM($F130:N130)-SUM($F132:N132)-N133+N134-(SUM($F128:M128)+SUM($F129:M129)+SUM($F130:M130)-+SUM($F132:M132)-M133+M134))</f>
        <v>1.3969838619232178E-9</v>
      </c>
      <c r="O136" s="177">
        <f ca="1">-IF(O$2=1,0,SUM($F128:O128)+SUM($F129:O129)+SUM($F130:O130)-SUM($F132:O132)-O133+O134-(SUM($F128:N128)+SUM($F129:N129)+SUM($F130:N130)-+SUM($F132:N132)-N133+N134))</f>
        <v>-2.7939677238464355E-9</v>
      </c>
      <c r="P136" s="177">
        <f ca="1">-IF(P$2=1,0,SUM($F128:P128)+SUM($F129:P129)+SUM($F130:P130)-SUM($F132:P132)-P133+P134-(SUM($F128:O128)+SUM($F129:O129)+SUM($F130:O130)-+SUM($F132:O132)-O133+O134))</f>
        <v>9.3132257461547852E-10</v>
      </c>
      <c r="Q136" s="177">
        <f ca="1">-IF(Q$2=1,0,SUM($F128:Q128)+SUM($F129:Q129)+SUM($F130:Q130)-SUM($F132:Q132)-Q133+Q134-(SUM($F128:P128)+SUM($F129:P129)+SUM($F130:P130)-+SUM($F132:P132)-P133+P134))</f>
        <v>-2.7939677238464355E-9</v>
      </c>
      <c r="R136" s="177">
        <f ca="1">-IF(R$2=1,0,SUM($F128:R128)+SUM($F129:R129)+SUM($F130:R130)-SUM($F132:R132)-R133+R134-(SUM($F128:Q128)+SUM($F129:Q129)+SUM($F130:Q130)-+SUM($F132:Q132)-Q133+Q134))</f>
        <v>-4.6566128730773926E-9</v>
      </c>
      <c r="S136" s="177">
        <f ca="1">-IF(S$2=1,0,SUM($F128:S128)+SUM($F129:S129)+SUM($F130:S130)-SUM($F132:S132)-S133+S134-(SUM($F128:R128)+SUM($F129:R129)+SUM($F130:R130)-+SUM($F132:R132)-R133+R134))</f>
        <v>-3.7252902984619141E-9</v>
      </c>
      <c r="T136" s="177">
        <f ca="1">-IF(T$2=1,0,SUM($F128:T128)+SUM($F129:T129)+SUM($F130:T130)-SUM($F132:T132)-T133+T134-(SUM($F128:S128)+SUM($F129:S129)+SUM($F130:S130)-+SUM($F132:S132)-S133+S134))</f>
        <v>1.2107193470001221E-8</v>
      </c>
      <c r="U136" s="177">
        <f ca="1">-IF(U$2=1,0,SUM($F128:U128)+SUM($F129:U129)+SUM($F130:U130)-SUM($F132:U132)-U133+U134-(SUM($F128:T128)+SUM($F129:T129)+SUM($F130:T130)-+SUM($F132:T132)-T133+T134))</f>
        <v>5.5879354476928711E-9</v>
      </c>
      <c r="V136" s="177">
        <f ca="1">-IF(V$2=1,0,SUM($F128:V128)+SUM($F129:V129)+SUM($F130:V130)-SUM($F132:V132)-V133+V134-(SUM($F128:U128)+SUM($F129:U129)+SUM($F130:U130)-+SUM($F132:U132)-U133+U134))</f>
        <v>1.6763806343078613E-8</v>
      </c>
      <c r="W136" s="177">
        <f ca="1">-IF(W$2=1,0,SUM($F128:W128)+SUM($F129:W129)+SUM($F130:W130)-SUM($F132:W132)-W133+W134-(SUM($F128:V128)+SUM($F129:V129)+SUM($F130:V130)-+SUM($F132:V132)-V133+V134))</f>
        <v>4.6566128730773926E-9</v>
      </c>
      <c r="X136" s="177">
        <f ca="1">-IF(X$2=1,0,SUM($F128:X128)+SUM($F129:X129)+SUM($F130:X130)-SUM($F132:X132)-X133+X134-(SUM($F128:W128)+SUM($F129:W129)+SUM($F130:W130)-+SUM($F132:W132)-W133+W134))</f>
        <v>1.0244548320770264E-8</v>
      </c>
      <c r="Y136" s="177">
        <f ca="1">-IF(Y$2=1,0,SUM($F128:Y128)+SUM($F129:Y129)+SUM($F130:Y130)-SUM($F132:Y132)-Y133+Y134-(SUM($F128:X128)+SUM($F129:X129)+SUM($F130:X130)-+SUM($F132:X132)-X133+X134))</f>
        <v>1.2107193470001221E-8</v>
      </c>
      <c r="Z136" s="177">
        <f ca="1">-IF(Z$2=1,0,SUM($F128:Z128)+SUM($F129:Z129)+SUM($F130:Z130)-SUM($F132:Z132)-Z133+Z134-(SUM($F128:Y128)+SUM($F129:Y129)+SUM($F130:Y130)-+SUM($F132:Y132)-Y133+Y134))</f>
        <v>9.3132257461547852E-9</v>
      </c>
      <c r="AA136" s="177">
        <f ca="1">-IF(AA$2=1,0,SUM($F128:AA128)+SUM($F129:AA129)+SUM($F130:AA130)-SUM($F132:AA132)-AA133+AA134-(SUM($F128:Z128)+SUM($F129:Z129)+SUM($F130:Z130)-+SUM($F132:Z132)-Z133+Z134))</f>
        <v>9.3132257461547852E-9</v>
      </c>
      <c r="AB136" s="177">
        <f ca="1">-IF(AB$2=1,0,SUM($F128:AB128)+SUM($F129:AB129)+SUM($F130:AB130)-SUM($F132:AB132)-AB133+AB134-(SUM($F128:AA128)+SUM($F129:AA129)+SUM($F130:AA130)-+SUM($F132:AA132)-AA133+AA134))</f>
        <v>-9.3132257461547852E-9</v>
      </c>
      <c r="AC136" s="177">
        <f ca="1">-IF(AC$2=1,0,SUM($F128:AC128)+SUM($F129:AC129)+SUM($F130:AC130)-SUM($F132:AC132)-AC133+AC134-(SUM($F128:AB128)+SUM($F129:AB129)+SUM($F130:AB130)-+SUM($F132:AB132)-AB133+AB134))</f>
        <v>9.3132257461547852E-10</v>
      </c>
      <c r="AD136" s="177">
        <f ca="1">-IF(AD$2=1,0,SUM($F128:AD128)+SUM($F129:AD129)+SUM($F130:AD130)-SUM($F132:AD132)-AD133+AD134-(SUM($F128:AC128)+SUM($F129:AC129)+SUM($F130:AC130)-+SUM($F132:AC132)-AC133+AC134))</f>
        <v>-5.5879354476928711E-9</v>
      </c>
      <c r="AE136" s="177">
        <f ca="1">-IF(AE$2=1,0,SUM($F128:AE128)+SUM($F129:AE129)+SUM($F130:AE130)-SUM($F132:AE132)-AE133+AE134-(SUM($F128:AD128)+SUM($F129:AD129)+SUM($F130:AD130)-+SUM($F132:AD132)-AD133+AD134))</f>
        <v>3.3527612686157227E-8</v>
      </c>
      <c r="AF136" s="177">
        <f ca="1">-IF(AF$2=1,0,SUM($F128:AF128)+SUM($F129:AF129)+SUM($F130:AF130)-SUM($F132:AF132)-AF133+AF134-(SUM($F128:AE128)+SUM($F129:AE129)+SUM($F130:AE130)-+SUM($F132:AE132)-AE133+AE134))</f>
        <v>-2.9802322387695313E-8</v>
      </c>
      <c r="AG136" s="177">
        <f ca="1">-IF(AG$2=1,0,SUM($F128:AG128)+SUM($F129:AG129)+SUM($F130:AG130)-SUM($F132:AG132)-AG133+AG134-(SUM($F128:AF128)+SUM($F129:AF129)+SUM($F130:AF130)-+SUM($F132:AF132)-AF133+AF134))</f>
        <v>0</v>
      </c>
      <c r="AH136" s="177">
        <f ca="1">-IF(AH$2=1,0,SUM($F128:AH128)+SUM($F129:AH129)+SUM($F130:AH130)-SUM($F132:AH132)-AH133+AH134-(SUM($F128:AG128)+SUM($F129:AG129)+SUM($F130:AG130)-+SUM($F132:AG132)-AG133+AG134))</f>
        <v>2.6077032089233398E-8</v>
      </c>
      <c r="AI136" s="177">
        <f ca="1">-IF(AI$2=1,0,SUM($F128:AI128)+SUM($F129:AI129)+SUM($F130:AI130)-SUM($F132:AI132)-AI133+AI134-(SUM($F128:AH128)+SUM($F129:AH129)+SUM($F130:AH130)-+SUM($F132:AH132)-AH133+AH134))</f>
        <v>3.7252902984619141E-8</v>
      </c>
      <c r="AJ136" s="177">
        <f ca="1">-IF(AJ$2=1,0,SUM($F128:AJ128)+SUM($F129:AJ129)+SUM($F130:AJ130)-SUM($F132:AJ132)-AJ133+AJ134-(SUM($F128:AI128)+SUM($F129:AI129)+SUM($F130:AI130)-+SUM($F132:AI132)-AI133+AI134))</f>
        <v>4.2840838432312012E-8</v>
      </c>
      <c r="AK136" s="177">
        <f ca="1">-IF(AK$2=1,0,SUM($F128:AK128)+SUM($F129:AK129)+SUM($F130:AK130)-SUM($F132:AK132)-AK133+AK134-(SUM($F128:AJ128)+SUM($F129:AJ129)+SUM($F130:AJ130)-+SUM($F132:AJ132)-AJ133+AJ134))</f>
        <v>-3.6321580410003662E-8</v>
      </c>
      <c r="AL136" s="177">
        <f ca="1">-IF(AL$2=1,0,SUM($F128:AL128)+SUM($F129:AL129)+SUM($F130:AL130)-SUM($F132:AL132)-AL133+AL134-(SUM($F128:AK128)+SUM($F129:AK129)+SUM($F130:AK130)-+SUM($F132:AK132)-AK133+AK134))</f>
        <v>3.7252902984619141E-9</v>
      </c>
      <c r="AM136" s="177">
        <f ca="1">-IF(AM$2=1,0,SUM($F128:AM128)+SUM($F129:AM129)+SUM($F130:AM130)-SUM($F132:AM132)-AM133+AM134-(SUM($F128:AL128)+SUM($F129:AL129)+SUM($F130:AL130)-+SUM($F132:AL132)-AL133+AL134))</f>
        <v>-9.3132257461547852E-9</v>
      </c>
      <c r="AN136" s="177">
        <f ca="1">-IF(AN$2=1,0,SUM($F128:AN128)+SUM($F129:AN129)+SUM($F130:AN130)-SUM($F132:AN132)-AN133+AN134-(SUM($F128:AM128)+SUM($F129:AM129)+SUM($F130:AM130)-+SUM($F132:AM132)-AM133+AM134))</f>
        <v>1.0244548320770264E-8</v>
      </c>
      <c r="AO136" s="177">
        <f ca="1">-IF(AO$2=1,0,SUM($F128:AO128)+SUM($F129:AO129)+SUM($F130:AO130)-SUM($F132:AO132)-AO133+AO134-(SUM($F128:AN128)+SUM($F129:AN129)+SUM($F130:AN130)-+SUM($F132:AN132)-AN133+AN134))</f>
        <v>1.3969838619232178E-8</v>
      </c>
      <c r="AP136" s="177">
        <f ca="1">-IF(AP$2=1,0,SUM($F128:AP128)+SUM($F129:AP129)+SUM($F130:AP130)-SUM($F132:AP132)-AP133+AP134-(SUM($F128:AO128)+SUM($F129:AO129)+SUM($F130:AO130)-+SUM($F132:AO132)-AO133+AO134))</f>
        <v>-9.3132257461547852E-9</v>
      </c>
      <c r="AQ136" s="177">
        <f ca="1">-IF(AQ$2=1,0,SUM($F128:AQ128)+SUM($F129:AQ129)+SUM($F130:AQ130)-SUM($F132:AQ132)-AQ133+AQ134-(SUM($F128:AP128)+SUM($F129:AP129)+SUM($F130:AP130)-+SUM($F132:AP132)-AP133+AP134))</f>
        <v>-3.7252902984619141E-8</v>
      </c>
      <c r="AR136" s="177">
        <f ca="1">-IF(AR$2=1,0,SUM($F128:AR128)+SUM($F129:AR129)+SUM($F130:AR130)-SUM($F132:AR132)-AR133+AR134-(SUM($F128:AQ128)+SUM($F129:AQ129)+SUM($F130:AQ130)-+SUM($F132:AQ132)-AQ133+AQ134))</f>
        <v>-7.7299773693084717E-8</v>
      </c>
      <c r="AS136" s="177">
        <f ca="1">-IF(AS$2=1,0,SUM($F128:AS128)+SUM($F129:AS129)+SUM($F130:AS130)-SUM($F132:AS132)-AS133+AS134-(SUM($F128:AR128)+SUM($F129:AR129)+SUM($F130:AR130)-+SUM($F132:AR132)-AR133+AR134))</f>
        <v>-1.5832483768463135E-8</v>
      </c>
      <c r="AT136" s="177">
        <f ca="1">-IF(AT$2=1,0,SUM($F128:AT128)+SUM($F129:AT129)+SUM($F130:AT130)-SUM($F132:AT132)-AT133+AT134-(SUM($F128:AS128)+SUM($F129:AS129)+SUM($F130:AS130)-+SUM($F132:AS132)-AS133+AS134))</f>
        <v>2.0489096641540527E-8</v>
      </c>
      <c r="AU136" s="177">
        <f ca="1">-IF(AU$2=1,0,SUM($F128:AU128)+SUM($F129:AU129)+SUM($F130:AU130)-SUM($F132:AU132)-AU133+AU134-(SUM($F128:AT128)+SUM($F129:AT129)+SUM($F130:AT130)-+SUM($F132:AT132)-AT133+AT134))</f>
        <v>-5.5879354476928711E-9</v>
      </c>
      <c r="AV136" s="177">
        <f ca="1">-IF(AV$2=1,0,SUM($F128:AV128)+SUM($F129:AV129)+SUM($F130:AV130)-SUM($F132:AV132)-AV133+AV134-(SUM($F128:AU128)+SUM($F129:AU129)+SUM($F130:AU130)-+SUM($F132:AU132)-AU133+AU134))</f>
        <v>-1.862645149230957E-8</v>
      </c>
      <c r="AW136" s="177">
        <f ca="1">-IF(AW$2=1,0,SUM($F128:AW128)+SUM($F129:AW129)+SUM($F130:AW130)-SUM($F132:AW132)-AW133+AW134-(SUM($F128:AV128)+SUM($F129:AV129)+SUM($F130:AV130)-+SUM($F132:AV132)-AV133+AV134))</f>
        <v>-5.5879354476928711E-8</v>
      </c>
      <c r="AX136" s="177">
        <f ca="1">-IF(AX$2=1,0,SUM($F128:AX128)+SUM($F129:AX129)+SUM($F130:AX130)-SUM($F132:AX132)-AX133+AX134-(SUM($F128:AW128)+SUM($F129:AW129)+SUM($F130:AW130)-+SUM($F132:AW132)-AW133+AW134))</f>
        <v>2.7939677238464355E-8</v>
      </c>
      <c r="AY136" s="177">
        <f ca="1">-IF(AY$2=1,0,SUM($F128:AY128)+SUM($F129:AY129)+SUM($F130:AY130)-SUM($F132:AY132)-AY133+AY134-(SUM($F128:AX128)+SUM($F129:AX129)+SUM($F130:AX130)-+SUM($F132:AX132)-AX133+AX134))</f>
        <v>8.1956386566162109E-8</v>
      </c>
      <c r="AZ136" s="177">
        <f ca="1">-IF(AZ$2=1,0,SUM($F128:AZ128)+SUM($F129:AZ129)+SUM($F130:AZ130)-SUM($F132:AZ132)-AZ133+AZ134-(SUM($F128:AY128)+SUM($F129:AY129)+SUM($F130:AY130)-+SUM($F132:AY132)-AY133+AY134))</f>
        <v>4.0978193283081055E-8</v>
      </c>
      <c r="BA136" s="177">
        <f ca="1">-IF(BA$2=1,0,SUM($F128:BA128)+SUM($F129:BA129)+SUM($F130:BA130)-SUM($F132:BA132)-BA133+BA134-(SUM($F128:AZ128)+SUM($F129:AZ129)+SUM($F130:AZ130)-+SUM($F132:AZ132)-AZ133+AZ134))</f>
        <v>-7.6368451118469238E-8</v>
      </c>
      <c r="BB136" s="177">
        <f ca="1">-IF(BB$2=1,0,SUM($F128:BB128)+SUM($F129:BB129)+SUM($F130:BB130)-SUM($F132:BB132)-BB133+BB134-(SUM($F128:BA128)+SUM($F129:BA129)+SUM($F130:BA130)-+SUM($F132:BA132)-BA133+BA134))</f>
        <v>1.6763806343078613E-8</v>
      </c>
      <c r="BC136" s="177"/>
      <c r="BD136" s="183">
        <f ca="1">SUM(G136:BC136)</f>
        <v>3.9115548133850098E-8</v>
      </c>
    </row>
    <row r="137" spans="1:56" x14ac:dyDescent="0.3">
      <c r="A137" s="196"/>
      <c r="B137" s="196"/>
      <c r="C137" s="196"/>
      <c r="D137" s="197"/>
      <c r="E137" s="197" t="s">
        <v>845</v>
      </c>
      <c r="F137" s="197"/>
      <c r="G137" s="196"/>
      <c r="H137" s="196"/>
      <c r="I137" s="196"/>
      <c r="J137" s="196"/>
      <c r="K137" s="196"/>
      <c r="L137" s="196"/>
      <c r="M137" s="196"/>
      <c r="N137" s="196"/>
      <c r="O137" s="196"/>
      <c r="P137" s="196"/>
      <c r="Q137" s="196"/>
      <c r="R137" s="196"/>
      <c r="S137" s="196"/>
      <c r="T137" s="196"/>
      <c r="U137" s="196"/>
      <c r="V137" s="196"/>
      <c r="W137" s="196"/>
      <c r="X137" s="196"/>
      <c r="Y137" s="196"/>
      <c r="Z137" s="196"/>
      <c r="AA137" s="196"/>
      <c r="AB137" s="196"/>
      <c r="AC137" s="196"/>
      <c r="AD137" s="196"/>
      <c r="AE137" s="196"/>
      <c r="AF137" s="196"/>
      <c r="AG137" s="196"/>
      <c r="AH137" s="196"/>
      <c r="AI137" s="196"/>
      <c r="AJ137" s="196"/>
      <c r="AK137" s="196"/>
      <c r="AL137" s="196"/>
      <c r="AM137" s="196"/>
      <c r="AN137" s="196"/>
      <c r="AO137" s="196"/>
      <c r="AP137" s="196"/>
      <c r="AQ137" s="196"/>
      <c r="AR137" s="196"/>
      <c r="AS137" s="196"/>
      <c r="AT137" s="196"/>
      <c r="AU137" s="196"/>
      <c r="AV137" s="196"/>
      <c r="AW137" s="196"/>
      <c r="AX137" s="196"/>
      <c r="AY137" s="196"/>
      <c r="AZ137" s="196"/>
      <c r="BA137" s="196"/>
      <c r="BB137" s="196"/>
      <c r="BC137" s="196"/>
      <c r="BD137" s="198"/>
    </row>
    <row r="140" spans="1:56" s="168" customFormat="1" ht="25.5" customHeight="1" thickBot="1" x14ac:dyDescent="0.35">
      <c r="A140" s="330" t="str">
        <f ca="1">Language!A$631</f>
        <v>СЫРЬЕ И МАТЕРИАЛЬНЫЕ ЗАТРАТЫ</v>
      </c>
      <c r="B140" s="331"/>
      <c r="C140" s="332"/>
      <c r="D140" s="333"/>
      <c r="E140" s="333" t="s">
        <v>889</v>
      </c>
      <c r="F140" s="333"/>
      <c r="G140" s="334" t="str">
        <f ca="1">Параметры!G$34</f>
        <v>янв.25</v>
      </c>
      <c r="H140" s="334" t="str">
        <f ca="1">Параметры!H$34</f>
        <v>фев.25</v>
      </c>
      <c r="I140" s="334" t="str">
        <f ca="1">Параметры!I$34</f>
        <v>мар.25</v>
      </c>
      <c r="J140" s="334" t="str">
        <f ca="1">Параметры!J$34</f>
        <v>апр.25</v>
      </c>
      <c r="K140" s="334" t="str">
        <f ca="1">Параметры!K$34</f>
        <v>май.25</v>
      </c>
      <c r="L140" s="334" t="str">
        <f ca="1">Параметры!L$34</f>
        <v>июн.25</v>
      </c>
      <c r="M140" s="335" t="str">
        <f ca="1">Параметры!M$34</f>
        <v>июл.25</v>
      </c>
      <c r="N140" s="335" t="str">
        <f ca="1">Параметры!N$34</f>
        <v>авг.25</v>
      </c>
      <c r="O140" s="335" t="str">
        <f ca="1">Параметры!O$34</f>
        <v>сен.25</v>
      </c>
      <c r="P140" s="335" t="str">
        <f ca="1">Параметры!P$34</f>
        <v>окт.25</v>
      </c>
      <c r="Q140" s="335" t="str">
        <f ca="1">Параметры!Q$34</f>
        <v>ноя.25</v>
      </c>
      <c r="R140" s="335" t="str">
        <f ca="1">Параметры!R$34</f>
        <v>дек.25</v>
      </c>
      <c r="S140" s="335" t="str">
        <f ca="1">Параметры!S$34</f>
        <v>янв.26</v>
      </c>
      <c r="T140" s="335" t="str">
        <f ca="1">Параметры!T$34</f>
        <v>фев.26</v>
      </c>
      <c r="U140" s="335" t="str">
        <f ca="1">Параметры!U$34</f>
        <v>мар.26</v>
      </c>
      <c r="V140" s="335" t="str">
        <f ca="1">Параметры!V$34</f>
        <v>апр.26</v>
      </c>
      <c r="W140" s="335" t="str">
        <f ca="1">Параметры!W$34</f>
        <v>май.26</v>
      </c>
      <c r="X140" s="335" t="str">
        <f ca="1">Параметры!X$34</f>
        <v>июн.26</v>
      </c>
      <c r="Y140" s="335" t="str">
        <f ca="1">Параметры!Y$34</f>
        <v>июл.26</v>
      </c>
      <c r="Z140" s="335" t="str">
        <f ca="1">Параметры!Z$34</f>
        <v>авг.26</v>
      </c>
      <c r="AA140" s="335" t="str">
        <f ca="1">Параметры!AA$34</f>
        <v>сен.26</v>
      </c>
      <c r="AB140" s="335" t="str">
        <f ca="1">Параметры!AB$34</f>
        <v>окт.26</v>
      </c>
      <c r="AC140" s="335" t="str">
        <f ca="1">Параметры!AC$34</f>
        <v>ноя.26</v>
      </c>
      <c r="AD140" s="335" t="str">
        <f ca="1">Параметры!AD$34</f>
        <v>дек.26</v>
      </c>
      <c r="AE140" s="335" t="str">
        <f ca="1">Параметры!AE$34</f>
        <v>янв.27</v>
      </c>
      <c r="AF140" s="335" t="str">
        <f ca="1">Параметры!AF$34</f>
        <v>фев.27</v>
      </c>
      <c r="AG140" s="335" t="str">
        <f ca="1">Параметры!AG$34</f>
        <v>мар.27</v>
      </c>
      <c r="AH140" s="335" t="str">
        <f ca="1">Параметры!AH$34</f>
        <v>апр.27</v>
      </c>
      <c r="AI140" s="335" t="str">
        <f ca="1">Параметры!AI$34</f>
        <v>май.27</v>
      </c>
      <c r="AJ140" s="335" t="str">
        <f ca="1">Параметры!AJ$34</f>
        <v>июн.27</v>
      </c>
      <c r="AK140" s="335" t="str">
        <f ca="1">Параметры!AK$34</f>
        <v>июл.27</v>
      </c>
      <c r="AL140" s="335" t="str">
        <f ca="1">Параметры!AL$34</f>
        <v>авг.27</v>
      </c>
      <c r="AM140" s="335" t="str">
        <f ca="1">Параметры!AM$34</f>
        <v>сен.27</v>
      </c>
      <c r="AN140" s="335" t="str">
        <f ca="1">Параметры!AN$34</f>
        <v>окт.27</v>
      </c>
      <c r="AO140" s="335" t="str">
        <f ca="1">Параметры!AO$34</f>
        <v>ноя.27</v>
      </c>
      <c r="AP140" s="335" t="str">
        <f ca="1">Параметры!AP$34</f>
        <v>дек.27</v>
      </c>
      <c r="AQ140" s="335" t="str">
        <f ca="1">Параметры!AQ$34</f>
        <v>янв.28</v>
      </c>
      <c r="AR140" s="335" t="str">
        <f ca="1">Параметры!AR$34</f>
        <v>фев.28</v>
      </c>
      <c r="AS140" s="335" t="str">
        <f ca="1">Параметры!AS$34</f>
        <v>мар.28</v>
      </c>
      <c r="AT140" s="335" t="str">
        <f ca="1">Параметры!AT$34</f>
        <v>апр.28</v>
      </c>
      <c r="AU140" s="335" t="str">
        <f ca="1">Параметры!AU$34</f>
        <v>май.28</v>
      </c>
      <c r="AV140" s="335" t="str">
        <f ca="1">Параметры!AV$34</f>
        <v>июн.28</v>
      </c>
      <c r="AW140" s="335" t="str">
        <f ca="1">Параметры!AW$34</f>
        <v>июл.28</v>
      </c>
      <c r="AX140" s="335" t="str">
        <f ca="1">Параметры!AX$34</f>
        <v>авг.28</v>
      </c>
      <c r="AY140" s="335" t="str">
        <f ca="1">Параметры!AY$34</f>
        <v>сен.28</v>
      </c>
      <c r="AZ140" s="335" t="str">
        <f ca="1">Параметры!AZ$34</f>
        <v>окт.28</v>
      </c>
      <c r="BA140" s="335" t="str">
        <f ca="1">Параметры!BA$34</f>
        <v>ноя.28</v>
      </c>
      <c r="BB140" s="335" t="str">
        <f ca="1">Параметры!BB$34</f>
        <v>дек.28</v>
      </c>
      <c r="BC140" s="335"/>
      <c r="BD140" s="336" t="str">
        <f ca="1">Language!$A$1473</f>
        <v>ИТОГО</v>
      </c>
    </row>
    <row r="141" spans="1:56" ht="14.4" hidden="1" thickTop="1" x14ac:dyDescent="0.3">
      <c r="E141" s="170" t="s">
        <v>642</v>
      </c>
      <c r="F141" s="170" t="s">
        <v>643</v>
      </c>
    </row>
    <row r="142" spans="1:56" ht="14.4" hidden="1" thickTop="1" x14ac:dyDescent="0.3">
      <c r="A142" s="283" t="str">
        <f ca="1">Language!A$632</f>
        <v>Шаблон материала без единиц</v>
      </c>
      <c r="B142" s="199"/>
      <c r="C142" s="176"/>
      <c r="D142" s="174">
        <v>1</v>
      </c>
      <c r="F142" s="170" t="s">
        <v>2306</v>
      </c>
      <c r="G142" s="177"/>
      <c r="H142" s="177"/>
      <c r="I142" s="177"/>
      <c r="J142" s="177"/>
      <c r="K142" s="177"/>
      <c r="L142" s="177"/>
      <c r="M142" s="177"/>
      <c r="N142" s="177"/>
      <c r="O142" s="177"/>
      <c r="P142" s="177"/>
      <c r="Q142" s="177"/>
      <c r="R142" s="177"/>
      <c r="S142" s="177"/>
      <c r="T142" s="177"/>
      <c r="U142" s="177"/>
      <c r="V142" s="177"/>
      <c r="W142" s="177"/>
      <c r="X142" s="177"/>
      <c r="Y142" s="177"/>
      <c r="Z142" s="177"/>
      <c r="AA142" s="177"/>
      <c r="AB142" s="177"/>
      <c r="AC142" s="177"/>
      <c r="AD142" s="177"/>
      <c r="AE142" s="177"/>
      <c r="AF142" s="177"/>
      <c r="AG142" s="177"/>
      <c r="AH142" s="177"/>
      <c r="AI142" s="177"/>
      <c r="AJ142" s="177"/>
      <c r="AK142" s="177"/>
      <c r="AL142" s="177"/>
      <c r="AM142" s="177"/>
      <c r="AN142" s="177"/>
      <c r="AO142" s="177"/>
      <c r="AP142" s="177"/>
      <c r="AQ142" s="177"/>
      <c r="AR142" s="177"/>
      <c r="AS142" s="177"/>
      <c r="AT142" s="177"/>
      <c r="AU142" s="177"/>
      <c r="AV142" s="177"/>
      <c r="AW142" s="177"/>
      <c r="AX142" s="177"/>
      <c r="AY142" s="177"/>
      <c r="AZ142" s="177"/>
      <c r="BA142" s="177"/>
      <c r="BB142" s="177"/>
      <c r="BC142" s="177"/>
      <c r="BD142" s="178"/>
    </row>
    <row r="143" spans="1:56" ht="14.4" hidden="1" thickTop="1" x14ac:dyDescent="0.3">
      <c r="A143" s="175" t="str">
        <f ca="1">Language!A$633</f>
        <v>расход за период, без учета инфляции, без НДС</v>
      </c>
      <c r="B143" s="284">
        <v>0</v>
      </c>
      <c r="C143" s="176" t="str">
        <f ca="1">CHOOSE(D143,CurName1,CurName2,CurName3)</f>
        <v>руб.</v>
      </c>
      <c r="D143" s="174">
        <f>D142</f>
        <v>1</v>
      </c>
      <c r="F143" s="170" t="s">
        <v>2341</v>
      </c>
      <c r="G143" s="285">
        <f>IF(G$2=1,$B143,F143)</f>
        <v>0</v>
      </c>
      <c r="H143" s="285">
        <f t="shared" ref="H143:BB143" si="830">IF(H$2=1,$B143,G143)</f>
        <v>0</v>
      </c>
      <c r="I143" s="285">
        <f t="shared" si="830"/>
        <v>0</v>
      </c>
      <c r="J143" s="285">
        <f t="shared" si="830"/>
        <v>0</v>
      </c>
      <c r="K143" s="285">
        <f t="shared" si="830"/>
        <v>0</v>
      </c>
      <c r="L143" s="285">
        <f t="shared" si="830"/>
        <v>0</v>
      </c>
      <c r="M143" s="285">
        <f t="shared" si="830"/>
        <v>0</v>
      </c>
      <c r="N143" s="285">
        <f t="shared" si="830"/>
        <v>0</v>
      </c>
      <c r="O143" s="285">
        <f t="shared" si="830"/>
        <v>0</v>
      </c>
      <c r="P143" s="285">
        <f t="shared" si="830"/>
        <v>0</v>
      </c>
      <c r="Q143" s="285">
        <f t="shared" si="830"/>
        <v>0</v>
      </c>
      <c r="R143" s="285">
        <f t="shared" si="830"/>
        <v>0</v>
      </c>
      <c r="S143" s="285">
        <f t="shared" si="830"/>
        <v>0</v>
      </c>
      <c r="T143" s="285">
        <f t="shared" si="830"/>
        <v>0</v>
      </c>
      <c r="U143" s="285">
        <f t="shared" si="830"/>
        <v>0</v>
      </c>
      <c r="V143" s="285">
        <f t="shared" si="830"/>
        <v>0</v>
      </c>
      <c r="W143" s="285">
        <f t="shared" si="830"/>
        <v>0</v>
      </c>
      <c r="X143" s="285">
        <f t="shared" si="830"/>
        <v>0</v>
      </c>
      <c r="Y143" s="285">
        <f t="shared" si="830"/>
        <v>0</v>
      </c>
      <c r="Z143" s="285">
        <f t="shared" si="830"/>
        <v>0</v>
      </c>
      <c r="AA143" s="285">
        <f t="shared" si="830"/>
        <v>0</v>
      </c>
      <c r="AB143" s="285">
        <f t="shared" si="830"/>
        <v>0</v>
      </c>
      <c r="AC143" s="285">
        <f t="shared" si="830"/>
        <v>0</v>
      </c>
      <c r="AD143" s="285">
        <f t="shared" si="830"/>
        <v>0</v>
      </c>
      <c r="AE143" s="285">
        <f t="shared" si="830"/>
        <v>0</v>
      </c>
      <c r="AF143" s="285">
        <f t="shared" si="830"/>
        <v>0</v>
      </c>
      <c r="AG143" s="285">
        <f t="shared" si="830"/>
        <v>0</v>
      </c>
      <c r="AH143" s="285">
        <f t="shared" si="830"/>
        <v>0</v>
      </c>
      <c r="AI143" s="285">
        <f t="shared" si="830"/>
        <v>0</v>
      </c>
      <c r="AJ143" s="285">
        <f t="shared" si="830"/>
        <v>0</v>
      </c>
      <c r="AK143" s="285">
        <f t="shared" si="830"/>
        <v>0</v>
      </c>
      <c r="AL143" s="285">
        <f t="shared" si="830"/>
        <v>0</v>
      </c>
      <c r="AM143" s="285">
        <f t="shared" si="830"/>
        <v>0</v>
      </c>
      <c r="AN143" s="285">
        <f t="shared" si="830"/>
        <v>0</v>
      </c>
      <c r="AO143" s="285">
        <f t="shared" si="830"/>
        <v>0</v>
      </c>
      <c r="AP143" s="285">
        <f t="shared" si="830"/>
        <v>0</v>
      </c>
      <c r="AQ143" s="285">
        <f t="shared" si="830"/>
        <v>0</v>
      </c>
      <c r="AR143" s="285">
        <f t="shared" si="830"/>
        <v>0</v>
      </c>
      <c r="AS143" s="285">
        <f t="shared" si="830"/>
        <v>0</v>
      </c>
      <c r="AT143" s="285">
        <f t="shared" si="830"/>
        <v>0</v>
      </c>
      <c r="AU143" s="285">
        <f t="shared" si="830"/>
        <v>0</v>
      </c>
      <c r="AV143" s="285">
        <f t="shared" si="830"/>
        <v>0</v>
      </c>
      <c r="AW143" s="285">
        <f t="shared" si="830"/>
        <v>0</v>
      </c>
      <c r="AX143" s="285">
        <f t="shared" si="830"/>
        <v>0</v>
      </c>
      <c r="AY143" s="285">
        <f t="shared" si="830"/>
        <v>0</v>
      </c>
      <c r="AZ143" s="285">
        <f t="shared" si="830"/>
        <v>0</v>
      </c>
      <c r="BA143" s="285">
        <f t="shared" si="830"/>
        <v>0</v>
      </c>
      <c r="BB143" s="285">
        <f t="shared" si="830"/>
        <v>0</v>
      </c>
      <c r="BC143" s="177"/>
      <c r="BD143" s="178">
        <f>SUM(G143:BC143)</f>
        <v>0</v>
      </c>
    </row>
    <row r="144" spans="1:56" ht="14.4" hidden="1" thickTop="1" x14ac:dyDescent="0.3">
      <c r="A144" s="175" t="str">
        <f ca="1">Language!A$695</f>
        <v>коэффициент расходов</v>
      </c>
      <c r="B144" s="199"/>
      <c r="C144" s="176" t="s">
        <v>1</v>
      </c>
      <c r="F144" s="170" t="s">
        <v>749</v>
      </c>
      <c r="G144" s="286">
        <f t="shared" ref="G144:BB144" si="831">IF(G$2&gt;Prj_Invest,1,0)</f>
        <v>0</v>
      </c>
      <c r="H144" s="286">
        <f t="shared" si="831"/>
        <v>0</v>
      </c>
      <c r="I144" s="286">
        <f t="shared" si="831"/>
        <v>0</v>
      </c>
      <c r="J144" s="286">
        <f t="shared" si="831"/>
        <v>0</v>
      </c>
      <c r="K144" s="286">
        <f t="shared" si="831"/>
        <v>0</v>
      </c>
      <c r="L144" s="286">
        <f t="shared" si="831"/>
        <v>0</v>
      </c>
      <c r="M144" s="286">
        <f t="shared" si="831"/>
        <v>1</v>
      </c>
      <c r="N144" s="286">
        <f t="shared" si="831"/>
        <v>1</v>
      </c>
      <c r="O144" s="286">
        <f t="shared" si="831"/>
        <v>1</v>
      </c>
      <c r="P144" s="286">
        <f t="shared" si="831"/>
        <v>1</v>
      </c>
      <c r="Q144" s="286">
        <f t="shared" si="831"/>
        <v>1</v>
      </c>
      <c r="R144" s="286">
        <f t="shared" si="831"/>
        <v>1</v>
      </c>
      <c r="S144" s="286">
        <f t="shared" si="831"/>
        <v>1</v>
      </c>
      <c r="T144" s="286">
        <f t="shared" si="831"/>
        <v>1</v>
      </c>
      <c r="U144" s="286">
        <f t="shared" si="831"/>
        <v>1</v>
      </c>
      <c r="V144" s="286">
        <f t="shared" si="831"/>
        <v>1</v>
      </c>
      <c r="W144" s="286">
        <f t="shared" si="831"/>
        <v>1</v>
      </c>
      <c r="X144" s="286">
        <f t="shared" si="831"/>
        <v>1</v>
      </c>
      <c r="Y144" s="286">
        <f t="shared" si="831"/>
        <v>1</v>
      </c>
      <c r="Z144" s="286">
        <f t="shared" si="831"/>
        <v>1</v>
      </c>
      <c r="AA144" s="286">
        <f t="shared" si="831"/>
        <v>1</v>
      </c>
      <c r="AB144" s="286">
        <f t="shared" si="831"/>
        <v>1</v>
      </c>
      <c r="AC144" s="286">
        <f t="shared" si="831"/>
        <v>1</v>
      </c>
      <c r="AD144" s="286">
        <f t="shared" si="831"/>
        <v>1</v>
      </c>
      <c r="AE144" s="286">
        <f t="shared" si="831"/>
        <v>1</v>
      </c>
      <c r="AF144" s="286">
        <f t="shared" si="831"/>
        <v>1</v>
      </c>
      <c r="AG144" s="286">
        <f t="shared" si="831"/>
        <v>1</v>
      </c>
      <c r="AH144" s="286">
        <f t="shared" si="831"/>
        <v>1</v>
      </c>
      <c r="AI144" s="286">
        <f t="shared" si="831"/>
        <v>1</v>
      </c>
      <c r="AJ144" s="286">
        <f t="shared" si="831"/>
        <v>1</v>
      </c>
      <c r="AK144" s="286">
        <f t="shared" si="831"/>
        <v>1</v>
      </c>
      <c r="AL144" s="286">
        <f t="shared" si="831"/>
        <v>1</v>
      </c>
      <c r="AM144" s="286">
        <f t="shared" si="831"/>
        <v>1</v>
      </c>
      <c r="AN144" s="286">
        <f t="shared" si="831"/>
        <v>1</v>
      </c>
      <c r="AO144" s="286">
        <f t="shared" si="831"/>
        <v>1</v>
      </c>
      <c r="AP144" s="286">
        <f t="shared" si="831"/>
        <v>1</v>
      </c>
      <c r="AQ144" s="286">
        <f t="shared" si="831"/>
        <v>1</v>
      </c>
      <c r="AR144" s="286">
        <f t="shared" si="831"/>
        <v>1</v>
      </c>
      <c r="AS144" s="286">
        <f t="shared" si="831"/>
        <v>1</v>
      </c>
      <c r="AT144" s="286">
        <f t="shared" si="831"/>
        <v>1</v>
      </c>
      <c r="AU144" s="286">
        <f t="shared" si="831"/>
        <v>1</v>
      </c>
      <c r="AV144" s="286">
        <f t="shared" si="831"/>
        <v>1</v>
      </c>
      <c r="AW144" s="286">
        <f t="shared" si="831"/>
        <v>1</v>
      </c>
      <c r="AX144" s="286">
        <f t="shared" si="831"/>
        <v>1</v>
      </c>
      <c r="AY144" s="286">
        <f t="shared" si="831"/>
        <v>1</v>
      </c>
      <c r="AZ144" s="286">
        <f t="shared" si="831"/>
        <v>1</v>
      </c>
      <c r="BA144" s="286">
        <f t="shared" si="831"/>
        <v>1</v>
      </c>
      <c r="BB144" s="286">
        <f t="shared" si="831"/>
        <v>1</v>
      </c>
      <c r="BC144" s="177"/>
    </row>
    <row r="145" spans="1:56" ht="14.4" hidden="1" thickTop="1" x14ac:dyDescent="0.3">
      <c r="A145" s="175" t="str">
        <f ca="1">Language!A$634</f>
        <v>затраты на проданный товар, без НДС</v>
      </c>
      <c r="B145" s="200"/>
      <c r="C145" s="176" t="str">
        <f t="shared" ref="C145:C146" ca="1" si="832">CHOOSE(D145,CurName1,CurName2,CurName3)</f>
        <v>руб.</v>
      </c>
      <c r="D145" s="174">
        <f>D142</f>
        <v>1</v>
      </c>
      <c r="E145" s="170" t="s">
        <v>992</v>
      </c>
      <c r="F145" s="170" t="s">
        <v>742</v>
      </c>
      <c r="G145" s="177">
        <f ca="1">G143*G144*(1+G161)*IF($B163=1,PRODUCT($G163:G163),PRODUCT($G162:G162))</f>
        <v>0</v>
      </c>
      <c r="H145" s="177">
        <f ca="1">H143*H144*(1+H161)*IF($B163=1,PRODUCT($G163:H163),PRODUCT($G162:H162))</f>
        <v>0</v>
      </c>
      <c r="I145" s="177">
        <f ca="1">I143*I144*(1+I161)*IF($B163=1,PRODUCT($G163:I163),PRODUCT($G162:I162))</f>
        <v>0</v>
      </c>
      <c r="J145" s="177">
        <f ca="1">J143*J144*(1+J161)*IF($B163=1,PRODUCT($G163:J163),PRODUCT($G162:J162))</f>
        <v>0</v>
      </c>
      <c r="K145" s="177">
        <f ca="1">K143*K144*(1+K161)*IF($B163=1,PRODUCT($G163:K163),PRODUCT($G162:K162))</f>
        <v>0</v>
      </c>
      <c r="L145" s="177">
        <f ca="1">L143*L144*(1+L161)*IF($B163=1,PRODUCT($G163:L163),PRODUCT($G162:L162))</f>
        <v>0</v>
      </c>
      <c r="M145" s="177">
        <f ca="1">M143*M144*(1+M161)*IF($B163=1,PRODUCT($G163:M163),PRODUCT($G162:M162))</f>
        <v>0</v>
      </c>
      <c r="N145" s="177">
        <f ca="1">N143*N144*(1+N161)*IF($B163=1,PRODUCT($G163:N163),PRODUCT($G162:N162))</f>
        <v>0</v>
      </c>
      <c r="O145" s="177">
        <f ca="1">O143*O144*(1+O161)*IF($B163=1,PRODUCT($G163:O163),PRODUCT($G162:O162))</f>
        <v>0</v>
      </c>
      <c r="P145" s="177">
        <f ca="1">P143*P144*(1+P161)*IF($B163=1,PRODUCT($G163:P163),PRODUCT($G162:P162))</f>
        <v>0</v>
      </c>
      <c r="Q145" s="177">
        <f ca="1">Q143*Q144*(1+Q161)*IF($B163=1,PRODUCT($G163:Q163),PRODUCT($G162:Q162))</f>
        <v>0</v>
      </c>
      <c r="R145" s="177">
        <f ca="1">R143*R144*(1+R161)*IF($B163=1,PRODUCT($G163:R163),PRODUCT($G162:R162))</f>
        <v>0</v>
      </c>
      <c r="S145" s="177">
        <f ca="1">S143*S144*(1+S161)*IF($B163=1,PRODUCT($G163:S163),PRODUCT($G162:S162))</f>
        <v>0</v>
      </c>
      <c r="T145" s="177">
        <f ca="1">T143*T144*(1+T161)*IF($B163=1,PRODUCT($G163:T163),PRODUCT($G162:T162))</f>
        <v>0</v>
      </c>
      <c r="U145" s="177">
        <f ca="1">U143*U144*(1+U161)*IF($B163=1,PRODUCT($G163:U163),PRODUCT($G162:U162))</f>
        <v>0</v>
      </c>
      <c r="V145" s="177">
        <f ca="1">V143*V144*(1+V161)*IF($B163=1,PRODUCT($G163:V163),PRODUCT($G162:V162))</f>
        <v>0</v>
      </c>
      <c r="W145" s="177">
        <f ca="1">W143*W144*(1+W161)*IF($B163=1,PRODUCT($G163:W163),PRODUCT($G162:W162))</f>
        <v>0</v>
      </c>
      <c r="X145" s="177">
        <f ca="1">X143*X144*(1+X161)*IF($B163=1,PRODUCT($G163:X163),PRODUCT($G162:X162))</f>
        <v>0</v>
      </c>
      <c r="Y145" s="177">
        <f ca="1">Y143*Y144*(1+Y161)*IF($B163=1,PRODUCT($G163:Y163),PRODUCT($G162:Y162))</f>
        <v>0</v>
      </c>
      <c r="Z145" s="177">
        <f ca="1">Z143*Z144*(1+Z161)*IF($B163=1,PRODUCT($G163:Z163),PRODUCT($G162:Z162))</f>
        <v>0</v>
      </c>
      <c r="AA145" s="177">
        <f ca="1">AA143*AA144*(1+AA161)*IF($B163=1,PRODUCT($G163:AA163),PRODUCT($G162:AA162))</f>
        <v>0</v>
      </c>
      <c r="AB145" s="177">
        <f ca="1">AB143*AB144*(1+AB161)*IF($B163=1,PRODUCT($G163:AB163),PRODUCT($G162:AB162))</f>
        <v>0</v>
      </c>
      <c r="AC145" s="177">
        <f ca="1">AC143*AC144*(1+AC161)*IF($B163=1,PRODUCT($G163:AC163),PRODUCT($G162:AC162))</f>
        <v>0</v>
      </c>
      <c r="AD145" s="177">
        <f ca="1">AD143*AD144*(1+AD161)*IF($B163=1,PRODUCT($G163:AD163),PRODUCT($G162:AD162))</f>
        <v>0</v>
      </c>
      <c r="AE145" s="177">
        <f ca="1">AE143*AE144*(1+AE161)*IF($B163=1,PRODUCT($G163:AE163),PRODUCT($G162:AE162))</f>
        <v>0</v>
      </c>
      <c r="AF145" s="177">
        <f ca="1">AF143*AF144*(1+AF161)*IF($B163=1,PRODUCT($G163:AF163),PRODUCT($G162:AF162))</f>
        <v>0</v>
      </c>
      <c r="AG145" s="177">
        <f ca="1">AG143*AG144*(1+AG161)*IF($B163=1,PRODUCT($G163:AG163),PRODUCT($G162:AG162))</f>
        <v>0</v>
      </c>
      <c r="AH145" s="177">
        <f ca="1">AH143*AH144*(1+AH161)*IF($B163=1,PRODUCT($G163:AH163),PRODUCT($G162:AH162))</f>
        <v>0</v>
      </c>
      <c r="AI145" s="177">
        <f ca="1">AI143*AI144*(1+AI161)*IF($B163=1,PRODUCT($G163:AI163),PRODUCT($G162:AI162))</f>
        <v>0</v>
      </c>
      <c r="AJ145" s="177">
        <f ca="1">AJ143*AJ144*(1+AJ161)*IF($B163=1,PRODUCT($G163:AJ163),PRODUCT($G162:AJ162))</f>
        <v>0</v>
      </c>
      <c r="AK145" s="177">
        <f ca="1">AK143*AK144*(1+AK161)*IF($B163=1,PRODUCT($G163:AK163),PRODUCT($G162:AK162))</f>
        <v>0</v>
      </c>
      <c r="AL145" s="177">
        <f ca="1">AL143*AL144*(1+AL161)*IF($B163=1,PRODUCT($G163:AL163),PRODUCT($G162:AL162))</f>
        <v>0</v>
      </c>
      <c r="AM145" s="177">
        <f ca="1">AM143*AM144*(1+AM161)*IF($B163=1,PRODUCT($G163:AM163),PRODUCT($G162:AM162))</f>
        <v>0</v>
      </c>
      <c r="AN145" s="177">
        <f ca="1">AN143*AN144*(1+AN161)*IF($B163=1,PRODUCT($G163:AN163),PRODUCT($G162:AN162))</f>
        <v>0</v>
      </c>
      <c r="AO145" s="177">
        <f ca="1">AO143*AO144*(1+AO161)*IF($B163=1,PRODUCT($G163:AO163),PRODUCT($G162:AO162))</f>
        <v>0</v>
      </c>
      <c r="AP145" s="177">
        <f ca="1">AP143*AP144*(1+AP161)*IF($B163=1,PRODUCT($G163:AP163),PRODUCT($G162:AP162))</f>
        <v>0</v>
      </c>
      <c r="AQ145" s="177">
        <f ca="1">AQ143*AQ144*(1+AQ161)*IF($B163=1,PRODUCT($G163:AQ163),PRODUCT($G162:AQ162))</f>
        <v>0</v>
      </c>
      <c r="AR145" s="177">
        <f ca="1">AR143*AR144*(1+AR161)*IF($B163=1,PRODUCT($G163:AR163),PRODUCT($G162:AR162))</f>
        <v>0</v>
      </c>
      <c r="AS145" s="177">
        <f ca="1">AS143*AS144*(1+AS161)*IF($B163=1,PRODUCT($G163:AS163),PRODUCT($G162:AS162))</f>
        <v>0</v>
      </c>
      <c r="AT145" s="177">
        <f ca="1">AT143*AT144*(1+AT161)*IF($B163=1,PRODUCT($G163:AT163),PRODUCT($G162:AT162))</f>
        <v>0</v>
      </c>
      <c r="AU145" s="177">
        <f ca="1">AU143*AU144*(1+AU161)*IF($B163=1,PRODUCT($G163:AU163),PRODUCT($G162:AU162))</f>
        <v>0</v>
      </c>
      <c r="AV145" s="177">
        <f ca="1">AV143*AV144*(1+AV161)*IF($B163=1,PRODUCT($G163:AV163),PRODUCT($G162:AV162))</f>
        <v>0</v>
      </c>
      <c r="AW145" s="177">
        <f ca="1">AW143*AW144*(1+AW161)*IF($B163=1,PRODUCT($G163:AW163),PRODUCT($G162:AW162))</f>
        <v>0</v>
      </c>
      <c r="AX145" s="177">
        <f ca="1">AX143*AX144*(1+AX161)*IF($B163=1,PRODUCT($G163:AX163),PRODUCT($G162:AX162))</f>
        <v>0</v>
      </c>
      <c r="AY145" s="177">
        <f ca="1">AY143*AY144*(1+AY161)*IF($B163=1,PRODUCT($G163:AY163),PRODUCT($G162:AY162))</f>
        <v>0</v>
      </c>
      <c r="AZ145" s="177">
        <f ca="1">AZ143*AZ144*(1+AZ161)*IF($B163=1,PRODUCT($G163:AZ163),PRODUCT($G162:AZ162))</f>
        <v>0</v>
      </c>
      <c r="BA145" s="177">
        <f ca="1">BA143*BA144*(1+BA161)*IF($B163=1,PRODUCT($G163:BA163),PRODUCT($G162:BA162))</f>
        <v>0</v>
      </c>
      <c r="BB145" s="177">
        <f ca="1">BB143*BB144*(1+BB161)*IF($B163=1,PRODUCT($G163:BB163),PRODUCT($G162:BB162))</f>
        <v>0</v>
      </c>
      <c r="BC145" s="177"/>
      <c r="BD145" s="178">
        <f ca="1">SUM(G145:BC145)</f>
        <v>0</v>
      </c>
    </row>
    <row r="146" spans="1:56" ht="14.4" hidden="1" thickTop="1" x14ac:dyDescent="0.3">
      <c r="A146" s="184" t="str">
        <f ca="1">Language!A$635</f>
        <v>запасы сырья и материалов</v>
      </c>
      <c r="B146" s="200"/>
      <c r="C146" s="163" t="str">
        <f t="shared" ca="1" si="832"/>
        <v>руб.</v>
      </c>
      <c r="D146" s="174">
        <f>D142</f>
        <v>1</v>
      </c>
      <c r="E146" s="170" t="s">
        <v>1011</v>
      </c>
      <c r="F146" s="170" t="s">
        <v>2342</v>
      </c>
      <c r="G146" s="287">
        <f ca="1">IF(AND($B147=0,G$2&gt;1),F146,G145*$B147/Параметры!G$30)</f>
        <v>0</v>
      </c>
      <c r="H146" s="287">
        <f ca="1">IF(AND($B147=0,H$2&gt;1),G146,H145*$B147/Параметры!H$30)</f>
        <v>0</v>
      </c>
      <c r="I146" s="287">
        <f ca="1">IF(AND($B147=0,I$2&gt;1),H146,I145*$B147/Параметры!I$30)</f>
        <v>0</v>
      </c>
      <c r="J146" s="287">
        <f ca="1">IF(AND($B147=0,J$2&gt;1),I146,J145*$B147/Параметры!J$30)</f>
        <v>0</v>
      </c>
      <c r="K146" s="287">
        <f ca="1">IF(AND($B147=0,K$2&gt;1),J146,K145*$B147/Параметры!K$30)</f>
        <v>0</v>
      </c>
      <c r="L146" s="287">
        <f ca="1">IF(AND($B147=0,L$2&gt;1),K146,L145*$B147/Параметры!L$30)</f>
        <v>0</v>
      </c>
      <c r="M146" s="287">
        <f ca="1">IF(AND($B147=0,M$2&gt;1),L146,M145*$B147/Параметры!M$30)</f>
        <v>0</v>
      </c>
      <c r="N146" s="287">
        <f ca="1">IF(AND($B147=0,N$2&gt;1),M146,N145*$B147/Параметры!N$30)</f>
        <v>0</v>
      </c>
      <c r="O146" s="287">
        <f ca="1">IF(AND($B147=0,O$2&gt;1),N146,O145*$B147/Параметры!O$30)</f>
        <v>0</v>
      </c>
      <c r="P146" s="287">
        <f ca="1">IF(AND($B147=0,P$2&gt;1),O146,P145*$B147/Параметры!P$30)</f>
        <v>0</v>
      </c>
      <c r="Q146" s="287">
        <f ca="1">IF(AND($B147=0,Q$2&gt;1),P146,Q145*$B147/Параметры!Q$30)</f>
        <v>0</v>
      </c>
      <c r="R146" s="287">
        <f ca="1">IF(AND($B147=0,R$2&gt;1),Q146,R145*$B147/Параметры!R$30)</f>
        <v>0</v>
      </c>
      <c r="S146" s="287">
        <f ca="1">IF(AND($B147=0,S$2&gt;1),R146,S145*$B147/Параметры!S$30)</f>
        <v>0</v>
      </c>
      <c r="T146" s="287">
        <f ca="1">IF(AND($B147=0,T$2&gt;1),S146,T145*$B147/Параметры!T$30)</f>
        <v>0</v>
      </c>
      <c r="U146" s="287">
        <f ca="1">IF(AND($B147=0,U$2&gt;1),T146,U145*$B147/Параметры!U$30)</f>
        <v>0</v>
      </c>
      <c r="V146" s="287">
        <f ca="1">IF(AND($B147=0,V$2&gt;1),U146,V145*$B147/Параметры!V$30)</f>
        <v>0</v>
      </c>
      <c r="W146" s="287">
        <f ca="1">IF(AND($B147=0,W$2&gt;1),V146,W145*$B147/Параметры!W$30)</f>
        <v>0</v>
      </c>
      <c r="X146" s="287">
        <f ca="1">IF(AND($B147=0,X$2&gt;1),W146,X145*$B147/Параметры!X$30)</f>
        <v>0</v>
      </c>
      <c r="Y146" s="287">
        <f ca="1">IF(AND($B147=0,Y$2&gt;1),X146,Y145*$B147/Параметры!Y$30)</f>
        <v>0</v>
      </c>
      <c r="Z146" s="287">
        <f ca="1">IF(AND($B147=0,Z$2&gt;1),Y146,Z145*$B147/Параметры!Z$30)</f>
        <v>0</v>
      </c>
      <c r="AA146" s="287">
        <f ca="1">IF(AND($B147=0,AA$2&gt;1),Z146,AA145*$B147/Параметры!AA$30)</f>
        <v>0</v>
      </c>
      <c r="AB146" s="287">
        <f ca="1">IF(AND($B147=0,AB$2&gt;1),AA146,AB145*$B147/Параметры!AB$30)</f>
        <v>0</v>
      </c>
      <c r="AC146" s="287">
        <f ca="1">IF(AND($B147=0,AC$2&gt;1),AB146,AC145*$B147/Параметры!AC$30)</f>
        <v>0</v>
      </c>
      <c r="AD146" s="287">
        <f ca="1">IF(AND($B147=0,AD$2&gt;1),AC146,AD145*$B147/Параметры!AD$30)</f>
        <v>0</v>
      </c>
      <c r="AE146" s="287">
        <f ca="1">IF(AND($B147=0,AE$2&gt;1),AD146,AE145*$B147/Параметры!AE$30)</f>
        <v>0</v>
      </c>
      <c r="AF146" s="287">
        <f ca="1">IF(AND($B147=0,AF$2&gt;1),AE146,AF145*$B147/Параметры!AF$30)</f>
        <v>0</v>
      </c>
      <c r="AG146" s="287">
        <f ca="1">IF(AND($B147=0,AG$2&gt;1),AF146,AG145*$B147/Параметры!AG$30)</f>
        <v>0</v>
      </c>
      <c r="AH146" s="287">
        <f ca="1">IF(AND($B147=0,AH$2&gt;1),AG146,AH145*$B147/Параметры!AH$30)</f>
        <v>0</v>
      </c>
      <c r="AI146" s="287">
        <f ca="1">IF(AND($B147=0,AI$2&gt;1),AH146,AI145*$B147/Параметры!AI$30)</f>
        <v>0</v>
      </c>
      <c r="AJ146" s="287">
        <f ca="1">IF(AND($B147=0,AJ$2&gt;1),AI146,AJ145*$B147/Параметры!AJ$30)</f>
        <v>0</v>
      </c>
      <c r="AK146" s="287">
        <f ca="1">IF(AND($B147=0,AK$2&gt;1),AJ146,AK145*$B147/Параметры!AK$30)</f>
        <v>0</v>
      </c>
      <c r="AL146" s="287">
        <f ca="1">IF(AND($B147=0,AL$2&gt;1),AK146,AL145*$B147/Параметры!AL$30)</f>
        <v>0</v>
      </c>
      <c r="AM146" s="287">
        <f ca="1">IF(AND($B147=0,AM$2&gt;1),AL146,AM145*$B147/Параметры!AM$30)</f>
        <v>0</v>
      </c>
      <c r="AN146" s="287">
        <f ca="1">IF(AND($B147=0,AN$2&gt;1),AM146,AN145*$B147/Параметры!AN$30)</f>
        <v>0</v>
      </c>
      <c r="AO146" s="287">
        <f ca="1">IF(AND($B147=0,AO$2&gt;1),AN146,AO145*$B147/Параметры!AO$30)</f>
        <v>0</v>
      </c>
      <c r="AP146" s="287">
        <f ca="1">IF(AND($B147=0,AP$2&gt;1),AO146,AP145*$B147/Параметры!AP$30)</f>
        <v>0</v>
      </c>
      <c r="AQ146" s="287">
        <f ca="1">IF(AND($B147=0,AQ$2&gt;1),AP146,AQ145*$B147/Параметры!AQ$30)</f>
        <v>0</v>
      </c>
      <c r="AR146" s="287">
        <f ca="1">IF(AND($B147=0,AR$2&gt;1),AQ146,AR145*$B147/Параметры!AR$30)</f>
        <v>0</v>
      </c>
      <c r="AS146" s="287">
        <f ca="1">IF(AND($B147=0,AS$2&gt;1),AR146,AS145*$B147/Параметры!AS$30)</f>
        <v>0</v>
      </c>
      <c r="AT146" s="287">
        <f ca="1">IF(AND($B147=0,AT$2&gt;1),AS146,AT145*$B147/Параметры!AT$30)</f>
        <v>0</v>
      </c>
      <c r="AU146" s="287">
        <f ca="1">IF(AND($B147=0,AU$2&gt;1),AT146,AU145*$B147/Параметры!AU$30)</f>
        <v>0</v>
      </c>
      <c r="AV146" s="287">
        <f ca="1">IF(AND($B147=0,AV$2&gt;1),AU146,AV145*$B147/Параметры!AV$30)</f>
        <v>0</v>
      </c>
      <c r="AW146" s="287">
        <f ca="1">IF(AND($B147=0,AW$2&gt;1),AV146,AW145*$B147/Параметры!AW$30)</f>
        <v>0</v>
      </c>
      <c r="AX146" s="287">
        <f ca="1">IF(AND($B147=0,AX$2&gt;1),AW146,AX145*$B147/Параметры!AX$30)</f>
        <v>0</v>
      </c>
      <c r="AY146" s="287">
        <f ca="1">IF(AND($B147=0,AY$2&gt;1),AX146,AY145*$B147/Параметры!AY$30)</f>
        <v>0</v>
      </c>
      <c r="AZ146" s="287">
        <f ca="1">IF(AND($B147=0,AZ$2&gt;1),AY146,AZ145*$B147/Параметры!AZ$30)</f>
        <v>0</v>
      </c>
      <c r="BA146" s="287">
        <f ca="1">IF(AND($B147=0,BA$2&gt;1),AZ146,BA145*$B147/Параметры!BA$30)</f>
        <v>0</v>
      </c>
      <c r="BB146" s="287">
        <f ca="1">IF(AND($B147=0,BB$2&gt;1),BA146,BB145*$B147/Параметры!BB$30)</f>
        <v>0</v>
      </c>
      <c r="BC146" s="201"/>
      <c r="BD146" s="178"/>
    </row>
    <row r="147" spans="1:56" s="170" customFormat="1" ht="14.4" hidden="1" thickTop="1" x14ac:dyDescent="0.3">
      <c r="A147" s="187" t="str">
        <f ca="1">Language!A$636</f>
        <v>средняя оборачиваемость запасов</v>
      </c>
      <c r="B147" s="288">
        <f>$B$585</f>
        <v>15</v>
      </c>
      <c r="C147" s="163" t="str">
        <f ca="1">Language!$A$1474</f>
        <v>дней</v>
      </c>
      <c r="D147" s="174"/>
      <c r="F147" s="170" t="s">
        <v>2343</v>
      </c>
      <c r="G147" s="185"/>
      <c r="H147" s="185"/>
      <c r="I147" s="185"/>
      <c r="J147" s="185"/>
      <c r="K147" s="185"/>
      <c r="L147" s="185"/>
      <c r="M147" s="185"/>
      <c r="N147" s="185"/>
      <c r="O147" s="185"/>
      <c r="P147" s="185"/>
      <c r="Q147" s="185"/>
      <c r="R147" s="185"/>
      <c r="S147" s="185"/>
      <c r="T147" s="185"/>
      <c r="U147" s="185"/>
      <c r="V147" s="185"/>
      <c r="W147" s="185"/>
      <c r="X147" s="185"/>
      <c r="Y147" s="185"/>
      <c r="Z147" s="185"/>
      <c r="AA147" s="185"/>
      <c r="AB147" s="185"/>
      <c r="AC147" s="185"/>
      <c r="AD147" s="185"/>
      <c r="AE147" s="185"/>
      <c r="AF147" s="185"/>
      <c r="AG147" s="185"/>
      <c r="AH147" s="185"/>
      <c r="AI147" s="185"/>
      <c r="AJ147" s="185"/>
      <c r="AK147" s="185"/>
      <c r="AL147" s="185"/>
      <c r="AM147" s="185"/>
      <c r="AN147" s="185"/>
      <c r="AO147" s="185"/>
      <c r="AP147" s="185"/>
      <c r="AQ147" s="185"/>
      <c r="AR147" s="185"/>
      <c r="AS147" s="185"/>
      <c r="AT147" s="185"/>
      <c r="AU147" s="185"/>
      <c r="AV147" s="185"/>
      <c r="AW147" s="185"/>
      <c r="AX147" s="185"/>
      <c r="AY147" s="185"/>
      <c r="AZ147" s="185"/>
      <c r="BA147" s="185"/>
      <c r="BB147" s="185"/>
      <c r="BC147" s="185"/>
      <c r="BD147" s="193"/>
    </row>
    <row r="148" spans="1:56" ht="14.4" hidden="1" thickTop="1" x14ac:dyDescent="0.3">
      <c r="A148" s="184" t="str">
        <f ca="1">Language!A$637</f>
        <v>затраты в запасах готовой продукции</v>
      </c>
      <c r="B148" s="174"/>
      <c r="C148" s="163" t="str">
        <f t="shared" ref="C148" ca="1" si="833">CHOOSE(D148,CurName1,CurName2,CurName3)</f>
        <v>руб.</v>
      </c>
      <c r="D148" s="174">
        <f>D142</f>
        <v>1</v>
      </c>
      <c r="E148" s="170" t="s">
        <v>1012</v>
      </c>
      <c r="F148" s="170" t="s">
        <v>2342</v>
      </c>
      <c r="G148" s="287">
        <f ca="1">IF(AND($B149=0,G$2&gt;1),F148,G145*$B149/Параметры!G$30)</f>
        <v>0</v>
      </c>
      <c r="H148" s="287">
        <f ca="1">IF(AND($B149=0,H$2&gt;1),G148,H145*$B149/Параметры!H$30)</f>
        <v>0</v>
      </c>
      <c r="I148" s="287">
        <f ca="1">IF(AND($B149=0,I$2&gt;1),H148,I145*$B149/Параметры!I$30)</f>
        <v>0</v>
      </c>
      <c r="J148" s="287">
        <f ca="1">IF(AND($B149=0,J$2&gt;1),I148,J145*$B149/Параметры!J$30)</f>
        <v>0</v>
      </c>
      <c r="K148" s="287">
        <f ca="1">IF(AND($B149=0,K$2&gt;1),J148,K145*$B149/Параметры!K$30)</f>
        <v>0</v>
      </c>
      <c r="L148" s="287">
        <f ca="1">IF(AND($B149=0,L$2&gt;1),K148,L145*$B149/Параметры!L$30)</f>
        <v>0</v>
      </c>
      <c r="M148" s="287">
        <f ca="1">IF(AND($B149=0,M$2&gt;1),L148,M145*$B149/Параметры!M$30)</f>
        <v>0</v>
      </c>
      <c r="N148" s="287">
        <f ca="1">IF(AND($B149=0,N$2&gt;1),M148,N145*$B149/Параметры!N$30)</f>
        <v>0</v>
      </c>
      <c r="O148" s="287">
        <f ca="1">IF(AND($B149=0,O$2&gt;1),N148,O145*$B149/Параметры!O$30)</f>
        <v>0</v>
      </c>
      <c r="P148" s="287">
        <f ca="1">IF(AND($B149=0,P$2&gt;1),O148,P145*$B149/Параметры!P$30)</f>
        <v>0</v>
      </c>
      <c r="Q148" s="287">
        <f ca="1">IF(AND($B149=0,Q$2&gt;1),P148,Q145*$B149/Параметры!Q$30)</f>
        <v>0</v>
      </c>
      <c r="R148" s="287">
        <f ca="1">IF(AND($B149=0,R$2&gt;1),Q148,R145*$B149/Параметры!R$30)</f>
        <v>0</v>
      </c>
      <c r="S148" s="287">
        <f ca="1">IF(AND($B149=0,S$2&gt;1),R148,S145*$B149/Параметры!S$30)</f>
        <v>0</v>
      </c>
      <c r="T148" s="287">
        <f ca="1">IF(AND($B149=0,T$2&gt;1),S148,T145*$B149/Параметры!T$30)</f>
        <v>0</v>
      </c>
      <c r="U148" s="287">
        <f ca="1">IF(AND($B149=0,U$2&gt;1),T148,U145*$B149/Параметры!U$30)</f>
        <v>0</v>
      </c>
      <c r="V148" s="287">
        <f ca="1">IF(AND($B149=0,V$2&gt;1),U148,V145*$B149/Параметры!V$30)</f>
        <v>0</v>
      </c>
      <c r="W148" s="287">
        <f ca="1">IF(AND($B149=0,W$2&gt;1),V148,W145*$B149/Параметры!W$30)</f>
        <v>0</v>
      </c>
      <c r="X148" s="287">
        <f ca="1">IF(AND($B149=0,X$2&gt;1),W148,X145*$B149/Параметры!X$30)</f>
        <v>0</v>
      </c>
      <c r="Y148" s="287">
        <f ca="1">IF(AND($B149=0,Y$2&gt;1),X148,Y145*$B149/Параметры!Y$30)</f>
        <v>0</v>
      </c>
      <c r="Z148" s="287">
        <f ca="1">IF(AND($B149=0,Z$2&gt;1),Y148,Z145*$B149/Параметры!Z$30)</f>
        <v>0</v>
      </c>
      <c r="AA148" s="287">
        <f ca="1">IF(AND($B149=0,AA$2&gt;1),Z148,AA145*$B149/Параметры!AA$30)</f>
        <v>0</v>
      </c>
      <c r="AB148" s="287">
        <f ca="1">IF(AND($B149=0,AB$2&gt;1),AA148,AB145*$B149/Параметры!AB$30)</f>
        <v>0</v>
      </c>
      <c r="AC148" s="287">
        <f ca="1">IF(AND($B149=0,AC$2&gt;1),AB148,AC145*$B149/Параметры!AC$30)</f>
        <v>0</v>
      </c>
      <c r="AD148" s="287">
        <f ca="1">IF(AND($B149=0,AD$2&gt;1),AC148,AD145*$B149/Параметры!AD$30)</f>
        <v>0</v>
      </c>
      <c r="AE148" s="287">
        <f ca="1">IF(AND($B149=0,AE$2&gt;1),AD148,AE145*$B149/Параметры!AE$30)</f>
        <v>0</v>
      </c>
      <c r="AF148" s="287">
        <f ca="1">IF(AND($B149=0,AF$2&gt;1),AE148,AF145*$B149/Параметры!AF$30)</f>
        <v>0</v>
      </c>
      <c r="AG148" s="287">
        <f ca="1">IF(AND($B149=0,AG$2&gt;1),AF148,AG145*$B149/Параметры!AG$30)</f>
        <v>0</v>
      </c>
      <c r="AH148" s="287">
        <f ca="1">IF(AND($B149=0,AH$2&gt;1),AG148,AH145*$B149/Параметры!AH$30)</f>
        <v>0</v>
      </c>
      <c r="AI148" s="287">
        <f ca="1">IF(AND($B149=0,AI$2&gt;1),AH148,AI145*$B149/Параметры!AI$30)</f>
        <v>0</v>
      </c>
      <c r="AJ148" s="287">
        <f ca="1">IF(AND($B149=0,AJ$2&gt;1),AI148,AJ145*$B149/Параметры!AJ$30)</f>
        <v>0</v>
      </c>
      <c r="AK148" s="287">
        <f ca="1">IF(AND($B149=0,AK$2&gt;1),AJ148,AK145*$B149/Параметры!AK$30)</f>
        <v>0</v>
      </c>
      <c r="AL148" s="287">
        <f ca="1">IF(AND($B149=0,AL$2&gt;1),AK148,AL145*$B149/Параметры!AL$30)</f>
        <v>0</v>
      </c>
      <c r="AM148" s="287">
        <f ca="1">IF(AND($B149=0,AM$2&gt;1),AL148,AM145*$B149/Параметры!AM$30)</f>
        <v>0</v>
      </c>
      <c r="AN148" s="287">
        <f ca="1">IF(AND($B149=0,AN$2&gt;1),AM148,AN145*$B149/Параметры!AN$30)</f>
        <v>0</v>
      </c>
      <c r="AO148" s="287">
        <f ca="1">IF(AND($B149=0,AO$2&gt;1),AN148,AO145*$B149/Параметры!AO$30)</f>
        <v>0</v>
      </c>
      <c r="AP148" s="287">
        <f ca="1">IF(AND($B149=0,AP$2&gt;1),AO148,AP145*$B149/Параметры!AP$30)</f>
        <v>0</v>
      </c>
      <c r="AQ148" s="287">
        <f ca="1">IF(AND($B149=0,AQ$2&gt;1),AP148,AQ145*$B149/Параметры!AQ$30)</f>
        <v>0</v>
      </c>
      <c r="AR148" s="287">
        <f ca="1">IF(AND($B149=0,AR$2&gt;1),AQ148,AR145*$B149/Параметры!AR$30)</f>
        <v>0</v>
      </c>
      <c r="AS148" s="287">
        <f ca="1">IF(AND($B149=0,AS$2&gt;1),AR148,AS145*$B149/Параметры!AS$30)</f>
        <v>0</v>
      </c>
      <c r="AT148" s="287">
        <f ca="1">IF(AND($B149=0,AT$2&gt;1),AS148,AT145*$B149/Параметры!AT$30)</f>
        <v>0</v>
      </c>
      <c r="AU148" s="287">
        <f ca="1">IF(AND($B149=0,AU$2&gt;1),AT148,AU145*$B149/Параметры!AU$30)</f>
        <v>0</v>
      </c>
      <c r="AV148" s="287">
        <f ca="1">IF(AND($B149=0,AV$2&gt;1),AU148,AV145*$B149/Параметры!AV$30)</f>
        <v>0</v>
      </c>
      <c r="AW148" s="287">
        <f ca="1">IF(AND($B149=0,AW$2&gt;1),AV148,AW145*$B149/Параметры!AW$30)</f>
        <v>0</v>
      </c>
      <c r="AX148" s="287">
        <f ca="1">IF(AND($B149=0,AX$2&gt;1),AW148,AX145*$B149/Параметры!AX$30)</f>
        <v>0</v>
      </c>
      <c r="AY148" s="287">
        <f ca="1">IF(AND($B149=0,AY$2&gt;1),AX148,AY145*$B149/Параметры!AY$30)</f>
        <v>0</v>
      </c>
      <c r="AZ148" s="287">
        <f ca="1">IF(AND($B149=0,AZ$2&gt;1),AY148,AZ145*$B149/Параметры!AZ$30)</f>
        <v>0</v>
      </c>
      <c r="BA148" s="287">
        <f ca="1">IF(AND($B149=0,BA$2&gt;1),AZ148,BA145*$B149/Параметры!BA$30)</f>
        <v>0</v>
      </c>
      <c r="BB148" s="287">
        <f ca="1">IF(AND($B149=0,BB$2&gt;1),BA148,BB145*$B149/Параметры!BB$30)</f>
        <v>0</v>
      </c>
      <c r="BC148" s="185"/>
      <c r="BD148" s="193"/>
    </row>
    <row r="149" spans="1:56" s="170" customFormat="1" ht="14.4" hidden="1" thickTop="1" x14ac:dyDescent="0.3">
      <c r="A149" s="187" t="str">
        <f ca="1">Language!A$638</f>
        <v>средняя оборачиваемость готовой продукции</v>
      </c>
      <c r="B149" s="288">
        <f>$B$597</f>
        <v>15</v>
      </c>
      <c r="C149" s="163" t="str">
        <f ca="1">Language!$A$1474</f>
        <v>дней</v>
      </c>
      <c r="D149" s="174"/>
      <c r="F149" s="170" t="s">
        <v>2343</v>
      </c>
      <c r="G149" s="185"/>
      <c r="H149" s="185"/>
      <c r="I149" s="185"/>
      <c r="J149" s="185"/>
      <c r="K149" s="185"/>
      <c r="L149" s="185"/>
      <c r="M149" s="185"/>
      <c r="N149" s="185"/>
      <c r="O149" s="185"/>
      <c r="P149" s="185"/>
      <c r="Q149" s="185"/>
      <c r="R149" s="185"/>
      <c r="S149" s="185"/>
      <c r="T149" s="185"/>
      <c r="U149" s="185"/>
      <c r="V149" s="185"/>
      <c r="W149" s="185"/>
      <c r="X149" s="185"/>
      <c r="Y149" s="185"/>
      <c r="Z149" s="185"/>
      <c r="AA149" s="185"/>
      <c r="AB149" s="185"/>
      <c r="AC149" s="185"/>
      <c r="AD149" s="185"/>
      <c r="AE149" s="185"/>
      <c r="AF149" s="185"/>
      <c r="AG149" s="185"/>
      <c r="AH149" s="185"/>
      <c r="AI149" s="185"/>
      <c r="AJ149" s="185"/>
      <c r="AK149" s="185"/>
      <c r="AL149" s="185"/>
      <c r="AM149" s="185"/>
      <c r="AN149" s="185"/>
      <c r="AO149" s="185"/>
      <c r="AP149" s="185"/>
      <c r="AQ149" s="185"/>
      <c r="AR149" s="185"/>
      <c r="AS149" s="185"/>
      <c r="AT149" s="185"/>
      <c r="AU149" s="185"/>
      <c r="AV149" s="185"/>
      <c r="AW149" s="185"/>
      <c r="AX149" s="185"/>
      <c r="AY149" s="185"/>
      <c r="AZ149" s="185"/>
      <c r="BA149" s="185"/>
      <c r="BB149" s="185"/>
      <c r="BC149" s="185"/>
      <c r="BD149" s="193"/>
    </row>
    <row r="150" spans="1:56" ht="14.4" hidden="1" thickTop="1" x14ac:dyDescent="0.3">
      <c r="A150" s="184" t="str">
        <f ca="1">Language!A$639</f>
        <v>затраты в незавершенном производстве</v>
      </c>
      <c r="B150" s="174"/>
      <c r="C150" s="163" t="str">
        <f t="shared" ref="C150" ca="1" si="834">CHOOSE(D150,CurName1,CurName2,CurName3)</f>
        <v>руб.</v>
      </c>
      <c r="D150" s="174">
        <f>D142</f>
        <v>1</v>
      </c>
      <c r="E150" s="170" t="s">
        <v>754</v>
      </c>
      <c r="F150" s="170" t="s">
        <v>2342</v>
      </c>
      <c r="G150" s="287">
        <f ca="1">IF(AND($B151=0,G$2&gt;1),F150,G145*$B151/Параметры!G$30)</f>
        <v>0</v>
      </c>
      <c r="H150" s="287">
        <f ca="1">IF(AND($B151=0,H$2&gt;1),G150,H145*$B151/Параметры!H$30)</f>
        <v>0</v>
      </c>
      <c r="I150" s="287">
        <f ca="1">IF(AND($B151=0,I$2&gt;1),H150,I145*$B151/Параметры!I$30)</f>
        <v>0</v>
      </c>
      <c r="J150" s="287">
        <f ca="1">IF(AND($B151=0,J$2&gt;1),I150,J145*$B151/Параметры!J$30)</f>
        <v>0</v>
      </c>
      <c r="K150" s="287">
        <f ca="1">IF(AND($B151=0,K$2&gt;1),J150,K145*$B151/Параметры!K$30)</f>
        <v>0</v>
      </c>
      <c r="L150" s="287">
        <f ca="1">IF(AND($B151=0,L$2&gt;1),K150,L145*$B151/Параметры!L$30)</f>
        <v>0</v>
      </c>
      <c r="M150" s="287">
        <f ca="1">IF(AND($B151=0,M$2&gt;1),L150,M145*$B151/Параметры!M$30)</f>
        <v>0</v>
      </c>
      <c r="N150" s="287">
        <f ca="1">IF(AND($B151=0,N$2&gt;1),M150,N145*$B151/Параметры!N$30)</f>
        <v>0</v>
      </c>
      <c r="O150" s="287">
        <f ca="1">IF(AND($B151=0,O$2&gt;1),N150,O145*$B151/Параметры!O$30)</f>
        <v>0</v>
      </c>
      <c r="P150" s="287">
        <f ca="1">IF(AND($B151=0,P$2&gt;1),O150,P145*$B151/Параметры!P$30)</f>
        <v>0</v>
      </c>
      <c r="Q150" s="287">
        <f ca="1">IF(AND($B151=0,Q$2&gt;1),P150,Q145*$B151/Параметры!Q$30)</f>
        <v>0</v>
      </c>
      <c r="R150" s="287">
        <f ca="1">IF(AND($B151=0,R$2&gt;1),Q150,R145*$B151/Параметры!R$30)</f>
        <v>0</v>
      </c>
      <c r="S150" s="287">
        <f ca="1">IF(AND($B151=0,S$2&gt;1),R150,S145*$B151/Параметры!S$30)</f>
        <v>0</v>
      </c>
      <c r="T150" s="287">
        <f ca="1">IF(AND($B151=0,T$2&gt;1),S150,T145*$B151/Параметры!T$30)</f>
        <v>0</v>
      </c>
      <c r="U150" s="287">
        <f ca="1">IF(AND($B151=0,U$2&gt;1),T150,U145*$B151/Параметры!U$30)</f>
        <v>0</v>
      </c>
      <c r="V150" s="287">
        <f ca="1">IF(AND($B151=0,V$2&gt;1),U150,V145*$B151/Параметры!V$30)</f>
        <v>0</v>
      </c>
      <c r="W150" s="287">
        <f ca="1">IF(AND($B151=0,W$2&gt;1),V150,W145*$B151/Параметры!W$30)</f>
        <v>0</v>
      </c>
      <c r="X150" s="287">
        <f ca="1">IF(AND($B151=0,X$2&gt;1),W150,X145*$B151/Параметры!X$30)</f>
        <v>0</v>
      </c>
      <c r="Y150" s="287">
        <f ca="1">IF(AND($B151=0,Y$2&gt;1),X150,Y145*$B151/Параметры!Y$30)</f>
        <v>0</v>
      </c>
      <c r="Z150" s="287">
        <f ca="1">IF(AND($B151=0,Z$2&gt;1),Y150,Z145*$B151/Параметры!Z$30)</f>
        <v>0</v>
      </c>
      <c r="AA150" s="287">
        <f ca="1">IF(AND($B151=0,AA$2&gt;1),Z150,AA145*$B151/Параметры!AA$30)</f>
        <v>0</v>
      </c>
      <c r="AB150" s="287">
        <f ca="1">IF(AND($B151=0,AB$2&gt;1),AA150,AB145*$B151/Параметры!AB$30)</f>
        <v>0</v>
      </c>
      <c r="AC150" s="287">
        <f ca="1">IF(AND($B151=0,AC$2&gt;1),AB150,AC145*$B151/Параметры!AC$30)</f>
        <v>0</v>
      </c>
      <c r="AD150" s="287">
        <f ca="1">IF(AND($B151=0,AD$2&gt;1),AC150,AD145*$B151/Параметры!AD$30)</f>
        <v>0</v>
      </c>
      <c r="AE150" s="287">
        <f ca="1">IF(AND($B151=0,AE$2&gt;1),AD150,AE145*$B151/Параметры!AE$30)</f>
        <v>0</v>
      </c>
      <c r="AF150" s="287">
        <f ca="1">IF(AND($B151=0,AF$2&gt;1),AE150,AF145*$B151/Параметры!AF$30)</f>
        <v>0</v>
      </c>
      <c r="AG150" s="287">
        <f ca="1">IF(AND($B151=0,AG$2&gt;1),AF150,AG145*$B151/Параметры!AG$30)</f>
        <v>0</v>
      </c>
      <c r="AH150" s="287">
        <f ca="1">IF(AND($B151=0,AH$2&gt;1),AG150,AH145*$B151/Параметры!AH$30)</f>
        <v>0</v>
      </c>
      <c r="AI150" s="287">
        <f ca="1">IF(AND($B151=0,AI$2&gt;1),AH150,AI145*$B151/Параметры!AI$30)</f>
        <v>0</v>
      </c>
      <c r="AJ150" s="287">
        <f ca="1">IF(AND($B151=0,AJ$2&gt;1),AI150,AJ145*$B151/Параметры!AJ$30)</f>
        <v>0</v>
      </c>
      <c r="AK150" s="287">
        <f ca="1">IF(AND($B151=0,AK$2&gt;1),AJ150,AK145*$B151/Параметры!AK$30)</f>
        <v>0</v>
      </c>
      <c r="AL150" s="287">
        <f ca="1">IF(AND($B151=0,AL$2&gt;1),AK150,AL145*$B151/Параметры!AL$30)</f>
        <v>0</v>
      </c>
      <c r="AM150" s="287">
        <f ca="1">IF(AND($B151=0,AM$2&gt;1),AL150,AM145*$B151/Параметры!AM$30)</f>
        <v>0</v>
      </c>
      <c r="AN150" s="287">
        <f ca="1">IF(AND($B151=0,AN$2&gt;1),AM150,AN145*$B151/Параметры!AN$30)</f>
        <v>0</v>
      </c>
      <c r="AO150" s="287">
        <f ca="1">IF(AND($B151=0,AO$2&gt;1),AN150,AO145*$B151/Параметры!AO$30)</f>
        <v>0</v>
      </c>
      <c r="AP150" s="287">
        <f ca="1">IF(AND($B151=0,AP$2&gt;1),AO150,AP145*$B151/Параметры!AP$30)</f>
        <v>0</v>
      </c>
      <c r="AQ150" s="287">
        <f ca="1">IF(AND($B151=0,AQ$2&gt;1),AP150,AQ145*$B151/Параметры!AQ$30)</f>
        <v>0</v>
      </c>
      <c r="AR150" s="287">
        <f ca="1">IF(AND($B151=0,AR$2&gt;1),AQ150,AR145*$B151/Параметры!AR$30)</f>
        <v>0</v>
      </c>
      <c r="AS150" s="287">
        <f ca="1">IF(AND($B151=0,AS$2&gt;1),AR150,AS145*$B151/Параметры!AS$30)</f>
        <v>0</v>
      </c>
      <c r="AT150" s="287">
        <f ca="1">IF(AND($B151=0,AT$2&gt;1),AS150,AT145*$B151/Параметры!AT$30)</f>
        <v>0</v>
      </c>
      <c r="AU150" s="287">
        <f ca="1">IF(AND($B151=0,AU$2&gt;1),AT150,AU145*$B151/Параметры!AU$30)</f>
        <v>0</v>
      </c>
      <c r="AV150" s="287">
        <f ca="1">IF(AND($B151=0,AV$2&gt;1),AU150,AV145*$B151/Параметры!AV$30)</f>
        <v>0</v>
      </c>
      <c r="AW150" s="287">
        <f ca="1">IF(AND($B151=0,AW$2&gt;1),AV150,AW145*$B151/Параметры!AW$30)</f>
        <v>0</v>
      </c>
      <c r="AX150" s="287">
        <f ca="1">IF(AND($B151=0,AX$2&gt;1),AW150,AX145*$B151/Параметры!AX$30)</f>
        <v>0</v>
      </c>
      <c r="AY150" s="287">
        <f ca="1">IF(AND($B151=0,AY$2&gt;1),AX150,AY145*$B151/Параметры!AY$30)</f>
        <v>0</v>
      </c>
      <c r="AZ150" s="287">
        <f ca="1">IF(AND($B151=0,AZ$2&gt;1),AY150,AZ145*$B151/Параметры!AZ$30)</f>
        <v>0</v>
      </c>
      <c r="BA150" s="287">
        <f ca="1">IF(AND($B151=0,BA$2&gt;1),AZ150,BA145*$B151/Параметры!BA$30)</f>
        <v>0</v>
      </c>
      <c r="BB150" s="287">
        <f ca="1">IF(AND($B151=0,BB$2&gt;1),BA150,BB145*$B151/Параметры!BB$30)</f>
        <v>0</v>
      </c>
      <c r="BC150" s="185"/>
      <c r="BD150" s="193"/>
    </row>
    <row r="151" spans="1:56" s="170" customFormat="1" ht="14.4" hidden="1" thickTop="1" x14ac:dyDescent="0.3">
      <c r="A151" s="187" t="str">
        <f ca="1">Language!A$640</f>
        <v>длительность производственного цикла</v>
      </c>
      <c r="B151" s="288">
        <f>$B$591</f>
        <v>0</v>
      </c>
      <c r="C151" s="163" t="str">
        <f ca="1">Language!$A$1474</f>
        <v>дней</v>
      </c>
      <c r="D151" s="174"/>
      <c r="F151" s="170" t="s">
        <v>2343</v>
      </c>
      <c r="G151" s="185"/>
      <c r="H151" s="185"/>
      <c r="I151" s="185"/>
      <c r="J151" s="185"/>
      <c r="K151" s="185"/>
      <c r="L151" s="185"/>
      <c r="M151" s="185"/>
      <c r="N151" s="185"/>
      <c r="O151" s="185"/>
      <c r="P151" s="185"/>
      <c r="Q151" s="185"/>
      <c r="R151" s="185"/>
      <c r="S151" s="185"/>
      <c r="T151" s="185"/>
      <c r="U151" s="185"/>
      <c r="V151" s="185"/>
      <c r="W151" s="185"/>
      <c r="X151" s="185"/>
      <c r="Y151" s="185"/>
      <c r="Z151" s="185"/>
      <c r="AA151" s="185"/>
      <c r="AB151" s="185"/>
      <c r="AC151" s="185"/>
      <c r="AD151" s="185"/>
      <c r="AE151" s="185"/>
      <c r="AF151" s="185"/>
      <c r="AG151" s="185"/>
      <c r="AH151" s="185"/>
      <c r="AI151" s="185"/>
      <c r="AJ151" s="185"/>
      <c r="AK151" s="185"/>
      <c r="AL151" s="185"/>
      <c r="AM151" s="185"/>
      <c r="AN151" s="185"/>
      <c r="AO151" s="185"/>
      <c r="AP151" s="185"/>
      <c r="AQ151" s="185"/>
      <c r="AR151" s="185"/>
      <c r="AS151" s="185"/>
      <c r="AT151" s="185"/>
      <c r="AU151" s="185"/>
      <c r="AV151" s="185"/>
      <c r="AW151" s="185"/>
      <c r="AX151" s="185"/>
      <c r="AY151" s="185"/>
      <c r="AZ151" s="185"/>
      <c r="BA151" s="185"/>
      <c r="BB151" s="185"/>
      <c r="BC151" s="185"/>
      <c r="BD151" s="193"/>
    </row>
    <row r="152" spans="1:56" s="173" customFormat="1" ht="14.4" hidden="1" thickTop="1" x14ac:dyDescent="0.3">
      <c r="A152" s="181" t="str">
        <f ca="1">Language!A$641</f>
        <v>общий расход за период, без НДС</v>
      </c>
      <c r="B152" s="200"/>
      <c r="C152" s="176" t="str">
        <f t="shared" ref="C152:C153" ca="1" si="835">CHOOSE(D152,CurName1,CurName2,CurName3)</f>
        <v>руб.</v>
      </c>
      <c r="D152" s="174">
        <f>D142</f>
        <v>1</v>
      </c>
      <c r="E152" s="170" t="s">
        <v>2312</v>
      </c>
      <c r="F152" s="170" t="s">
        <v>743</v>
      </c>
      <c r="G152" s="202">
        <f t="shared" ref="G152:BB152" ca="1" si="836">G145+IF(G$2=1,G146+G148+G150,G146+G148+G150-F146-F148-F150)</f>
        <v>0</v>
      </c>
      <c r="H152" s="202">
        <f t="shared" ca="1" si="836"/>
        <v>0</v>
      </c>
      <c r="I152" s="202">
        <f t="shared" ca="1" si="836"/>
        <v>0</v>
      </c>
      <c r="J152" s="202">
        <f t="shared" ca="1" si="836"/>
        <v>0</v>
      </c>
      <c r="K152" s="202">
        <f t="shared" ca="1" si="836"/>
        <v>0</v>
      </c>
      <c r="L152" s="202">
        <f t="shared" ca="1" si="836"/>
        <v>0</v>
      </c>
      <c r="M152" s="202">
        <f t="shared" ca="1" si="836"/>
        <v>0</v>
      </c>
      <c r="N152" s="202">
        <f t="shared" ca="1" si="836"/>
        <v>0</v>
      </c>
      <c r="O152" s="202">
        <f t="shared" ca="1" si="836"/>
        <v>0</v>
      </c>
      <c r="P152" s="202">
        <f t="shared" ca="1" si="836"/>
        <v>0</v>
      </c>
      <c r="Q152" s="202">
        <f t="shared" ca="1" si="836"/>
        <v>0</v>
      </c>
      <c r="R152" s="202">
        <f t="shared" ca="1" si="836"/>
        <v>0</v>
      </c>
      <c r="S152" s="202">
        <f t="shared" ca="1" si="836"/>
        <v>0</v>
      </c>
      <c r="T152" s="202">
        <f t="shared" ca="1" si="836"/>
        <v>0</v>
      </c>
      <c r="U152" s="202">
        <f t="shared" ca="1" si="836"/>
        <v>0</v>
      </c>
      <c r="V152" s="202">
        <f t="shared" ca="1" si="836"/>
        <v>0</v>
      </c>
      <c r="W152" s="202">
        <f t="shared" ca="1" si="836"/>
        <v>0</v>
      </c>
      <c r="X152" s="202">
        <f t="shared" ca="1" si="836"/>
        <v>0</v>
      </c>
      <c r="Y152" s="202">
        <f t="shared" ca="1" si="836"/>
        <v>0</v>
      </c>
      <c r="Z152" s="202">
        <f t="shared" ca="1" si="836"/>
        <v>0</v>
      </c>
      <c r="AA152" s="202">
        <f t="shared" ca="1" si="836"/>
        <v>0</v>
      </c>
      <c r="AB152" s="202">
        <f t="shared" ca="1" si="836"/>
        <v>0</v>
      </c>
      <c r="AC152" s="202">
        <f t="shared" ca="1" si="836"/>
        <v>0</v>
      </c>
      <c r="AD152" s="202">
        <f t="shared" ca="1" si="836"/>
        <v>0</v>
      </c>
      <c r="AE152" s="202">
        <f t="shared" ca="1" si="836"/>
        <v>0</v>
      </c>
      <c r="AF152" s="202">
        <f t="shared" ca="1" si="836"/>
        <v>0</v>
      </c>
      <c r="AG152" s="202">
        <f t="shared" ca="1" si="836"/>
        <v>0</v>
      </c>
      <c r="AH152" s="202">
        <f t="shared" ca="1" si="836"/>
        <v>0</v>
      </c>
      <c r="AI152" s="202">
        <f t="shared" ca="1" si="836"/>
        <v>0</v>
      </c>
      <c r="AJ152" s="202">
        <f t="shared" ca="1" si="836"/>
        <v>0</v>
      </c>
      <c r="AK152" s="202">
        <f t="shared" ca="1" si="836"/>
        <v>0</v>
      </c>
      <c r="AL152" s="202">
        <f t="shared" ca="1" si="836"/>
        <v>0</v>
      </c>
      <c r="AM152" s="202">
        <f t="shared" ca="1" si="836"/>
        <v>0</v>
      </c>
      <c r="AN152" s="202">
        <f t="shared" ca="1" si="836"/>
        <v>0</v>
      </c>
      <c r="AO152" s="202">
        <f t="shared" ca="1" si="836"/>
        <v>0</v>
      </c>
      <c r="AP152" s="202">
        <f t="shared" ca="1" si="836"/>
        <v>0</v>
      </c>
      <c r="AQ152" s="202">
        <f t="shared" ca="1" si="836"/>
        <v>0</v>
      </c>
      <c r="AR152" s="202">
        <f t="shared" ca="1" si="836"/>
        <v>0</v>
      </c>
      <c r="AS152" s="202">
        <f t="shared" ca="1" si="836"/>
        <v>0</v>
      </c>
      <c r="AT152" s="202">
        <f t="shared" ca="1" si="836"/>
        <v>0</v>
      </c>
      <c r="AU152" s="202">
        <f t="shared" ca="1" si="836"/>
        <v>0</v>
      </c>
      <c r="AV152" s="202">
        <f t="shared" ca="1" si="836"/>
        <v>0</v>
      </c>
      <c r="AW152" s="202">
        <f t="shared" ca="1" si="836"/>
        <v>0</v>
      </c>
      <c r="AX152" s="202">
        <f t="shared" ca="1" si="836"/>
        <v>0</v>
      </c>
      <c r="AY152" s="202">
        <f t="shared" ca="1" si="836"/>
        <v>0</v>
      </c>
      <c r="AZ152" s="202">
        <f t="shared" ca="1" si="836"/>
        <v>0</v>
      </c>
      <c r="BA152" s="202">
        <f t="shared" ca="1" si="836"/>
        <v>0</v>
      </c>
      <c r="BB152" s="202">
        <f t="shared" ca="1" si="836"/>
        <v>0</v>
      </c>
      <c r="BC152" s="202"/>
      <c r="BD152" s="183">
        <f ca="1">SUM(G152:BC152)</f>
        <v>0</v>
      </c>
    </row>
    <row r="153" spans="1:56" s="173" customFormat="1" ht="14.4" hidden="1" thickTop="1" x14ac:dyDescent="0.3">
      <c r="A153" s="181" t="str">
        <f ca="1">Language!A$643</f>
        <v>общий расход за период, с НДС</v>
      </c>
      <c r="B153" s="200"/>
      <c r="C153" s="176" t="str">
        <f t="shared" ca="1" si="835"/>
        <v>руб.</v>
      </c>
      <c r="D153" s="174">
        <f>D142</f>
        <v>1</v>
      </c>
      <c r="E153" s="170" t="s">
        <v>2318</v>
      </c>
      <c r="F153" s="170" t="s">
        <v>743</v>
      </c>
      <c r="G153" s="202">
        <f ca="1">G152+G165</f>
        <v>0</v>
      </c>
      <c r="H153" s="202">
        <f t="shared" ref="H153:K153" ca="1" si="837">H152+H165</f>
        <v>0</v>
      </c>
      <c r="I153" s="202">
        <f t="shared" ca="1" si="837"/>
        <v>0</v>
      </c>
      <c r="J153" s="202">
        <f t="shared" ca="1" si="837"/>
        <v>0</v>
      </c>
      <c r="K153" s="202">
        <f t="shared" ca="1" si="837"/>
        <v>0</v>
      </c>
      <c r="L153" s="202">
        <f t="shared" ref="L153:M153" ca="1" si="838">L152+L165</f>
        <v>0</v>
      </c>
      <c r="M153" s="202">
        <f t="shared" ca="1" si="838"/>
        <v>0</v>
      </c>
      <c r="N153" s="202">
        <f t="shared" ref="N153:O153" ca="1" si="839">N152+N165</f>
        <v>0</v>
      </c>
      <c r="O153" s="202">
        <f t="shared" ca="1" si="839"/>
        <v>0</v>
      </c>
      <c r="P153" s="202">
        <f t="shared" ref="P153:Q153" ca="1" si="840">P152+P165</f>
        <v>0</v>
      </c>
      <c r="Q153" s="202">
        <f t="shared" ca="1" si="840"/>
        <v>0</v>
      </c>
      <c r="R153" s="202">
        <f t="shared" ref="R153:S153" ca="1" si="841">R152+R165</f>
        <v>0</v>
      </c>
      <c r="S153" s="202">
        <f t="shared" ca="1" si="841"/>
        <v>0</v>
      </c>
      <c r="T153" s="202">
        <f t="shared" ref="T153:U153" ca="1" si="842">T152+T165</f>
        <v>0</v>
      </c>
      <c r="U153" s="202">
        <f t="shared" ca="1" si="842"/>
        <v>0</v>
      </c>
      <c r="V153" s="202">
        <f t="shared" ref="V153:W153" ca="1" si="843">V152+V165</f>
        <v>0</v>
      </c>
      <c r="W153" s="202">
        <f t="shared" ca="1" si="843"/>
        <v>0</v>
      </c>
      <c r="X153" s="202">
        <f t="shared" ref="X153:Y153" ca="1" si="844">X152+X165</f>
        <v>0</v>
      </c>
      <c r="Y153" s="202">
        <f t="shared" ca="1" si="844"/>
        <v>0</v>
      </c>
      <c r="Z153" s="202">
        <f t="shared" ref="Z153:AA153" ca="1" si="845">Z152+Z165</f>
        <v>0</v>
      </c>
      <c r="AA153" s="202">
        <f t="shared" ca="1" si="845"/>
        <v>0</v>
      </c>
      <c r="AB153" s="202">
        <f t="shared" ref="AB153:AC153" ca="1" si="846">AB152+AB165</f>
        <v>0</v>
      </c>
      <c r="AC153" s="202">
        <f t="shared" ca="1" si="846"/>
        <v>0</v>
      </c>
      <c r="AD153" s="202">
        <f t="shared" ref="AD153:AE153" ca="1" si="847">AD152+AD165</f>
        <v>0</v>
      </c>
      <c r="AE153" s="202">
        <f t="shared" ca="1" si="847"/>
        <v>0</v>
      </c>
      <c r="AF153" s="202">
        <f t="shared" ref="AF153:AG153" ca="1" si="848">AF152+AF165</f>
        <v>0</v>
      </c>
      <c r="AG153" s="202">
        <f t="shared" ca="1" si="848"/>
        <v>0</v>
      </c>
      <c r="AH153" s="202">
        <f t="shared" ref="AH153:AI153" ca="1" si="849">AH152+AH165</f>
        <v>0</v>
      </c>
      <c r="AI153" s="202">
        <f t="shared" ca="1" si="849"/>
        <v>0</v>
      </c>
      <c r="AJ153" s="202">
        <f t="shared" ref="AJ153:AK153" ca="1" si="850">AJ152+AJ165</f>
        <v>0</v>
      </c>
      <c r="AK153" s="202">
        <f t="shared" ca="1" si="850"/>
        <v>0</v>
      </c>
      <c r="AL153" s="202">
        <f t="shared" ref="AL153:AM153" ca="1" si="851">AL152+AL165</f>
        <v>0</v>
      </c>
      <c r="AM153" s="202">
        <f t="shared" ca="1" si="851"/>
        <v>0</v>
      </c>
      <c r="AN153" s="202">
        <f t="shared" ref="AN153:AO153" ca="1" si="852">AN152+AN165</f>
        <v>0</v>
      </c>
      <c r="AO153" s="202">
        <f t="shared" ca="1" si="852"/>
        <v>0</v>
      </c>
      <c r="AP153" s="202">
        <f t="shared" ref="AP153:AQ153" ca="1" si="853">AP152+AP165</f>
        <v>0</v>
      </c>
      <c r="AQ153" s="202">
        <f t="shared" ca="1" si="853"/>
        <v>0</v>
      </c>
      <c r="AR153" s="202">
        <f t="shared" ref="AR153:AS153" ca="1" si="854">AR152+AR165</f>
        <v>0</v>
      </c>
      <c r="AS153" s="202">
        <f t="shared" ca="1" si="854"/>
        <v>0</v>
      </c>
      <c r="AT153" s="202">
        <f t="shared" ref="AT153:AU153" ca="1" si="855">AT152+AT165</f>
        <v>0</v>
      </c>
      <c r="AU153" s="202">
        <f t="shared" ca="1" si="855"/>
        <v>0</v>
      </c>
      <c r="AV153" s="202">
        <f t="shared" ref="AV153:AW153" ca="1" si="856">AV152+AV165</f>
        <v>0</v>
      </c>
      <c r="AW153" s="202">
        <f t="shared" ca="1" si="856"/>
        <v>0</v>
      </c>
      <c r="AX153" s="202">
        <f t="shared" ref="AX153:AY153" ca="1" si="857">AX152+AX165</f>
        <v>0</v>
      </c>
      <c r="AY153" s="202">
        <f t="shared" ca="1" si="857"/>
        <v>0</v>
      </c>
      <c r="AZ153" s="202">
        <f t="shared" ref="AZ153:BA153" ca="1" si="858">AZ152+AZ165</f>
        <v>0</v>
      </c>
      <c r="BA153" s="202">
        <f t="shared" ca="1" si="858"/>
        <v>0</v>
      </c>
      <c r="BB153" s="202">
        <f t="shared" ref="BB153" ca="1" si="859">BB152+BB165</f>
        <v>0</v>
      </c>
      <c r="BC153" s="202"/>
      <c r="BD153" s="183">
        <f ca="1">SUM(G153:BC153)</f>
        <v>0</v>
      </c>
    </row>
    <row r="154" spans="1:56" ht="14.4" hidden="1" thickTop="1" x14ac:dyDescent="0.3">
      <c r="A154" s="184" t="str">
        <f ca="1">Language!A$645</f>
        <v>кредиторская задолженность</v>
      </c>
      <c r="B154" s="174"/>
      <c r="C154" s="163" t="str">
        <f ca="1">CHOOSE(D154,CurName1,CurName2,CurName3)</f>
        <v>руб.</v>
      </c>
      <c r="D154" s="174">
        <f>D142</f>
        <v>1</v>
      </c>
      <c r="E154" s="170" t="s">
        <v>1013</v>
      </c>
      <c r="F154" s="170" t="s">
        <v>2342</v>
      </c>
      <c r="G154" s="289">
        <f ca="1">IF(AND($B155=0,G$2&gt;1),F154,(IF(Старт!$B$9+Старт!$B$10+Старт!$B$11=0,G152,G145)+G165)*$B155/Параметры!G$30)</f>
        <v>0</v>
      </c>
      <c r="H154" s="289">
        <f ca="1">IF(AND($B155=0,H$2&gt;1),G154,(IF(Старт!$B$9+Старт!$B$10+Старт!$B$11=0,H152,H145)+H165)*$B155/Параметры!H$30)</f>
        <v>0</v>
      </c>
      <c r="I154" s="289">
        <f ca="1">IF(AND($B155=0,I$2&gt;1),H154,(IF(Старт!$B$9+Старт!$B$10+Старт!$B$11=0,I152,I145)+I165)*$B155/Параметры!I$30)</f>
        <v>0</v>
      </c>
      <c r="J154" s="289">
        <f ca="1">IF(AND($B155=0,J$2&gt;1),I154,(IF(Старт!$B$9+Старт!$B$10+Старт!$B$11=0,J152,J145)+J165)*$B155/Параметры!J$30)</f>
        <v>0</v>
      </c>
      <c r="K154" s="289">
        <f ca="1">IF(AND($B155=0,K$2&gt;1),J154,(IF(Старт!$B$9+Старт!$B$10+Старт!$B$11=0,K152,K145)+K165)*$B155/Параметры!K$30)</f>
        <v>0</v>
      </c>
      <c r="L154" s="289">
        <f ca="1">IF(AND($B155=0,L$2&gt;1),K154,(IF(Старт!$B$9+Старт!$B$10+Старт!$B$11=0,L152,L145)+L165)*$B155/Параметры!L$30)</f>
        <v>0</v>
      </c>
      <c r="M154" s="289">
        <f ca="1">IF(AND($B155=0,M$2&gt;1),L154,(IF(Старт!$B$9+Старт!$B$10+Старт!$B$11=0,M152,M145)+M165)*$B155/Параметры!M$30)</f>
        <v>0</v>
      </c>
      <c r="N154" s="289">
        <f ca="1">IF(AND($B155=0,N$2&gt;1),M154,(IF(Старт!$B$9+Старт!$B$10+Старт!$B$11=0,N152,N145)+N165)*$B155/Параметры!N$30)</f>
        <v>0</v>
      </c>
      <c r="O154" s="289">
        <f ca="1">IF(AND($B155=0,O$2&gt;1),N154,(IF(Старт!$B$9+Старт!$B$10+Старт!$B$11=0,O152,O145)+O165)*$B155/Параметры!O$30)</f>
        <v>0</v>
      </c>
      <c r="P154" s="289">
        <f ca="1">IF(AND($B155=0,P$2&gt;1),O154,(IF(Старт!$B$9+Старт!$B$10+Старт!$B$11=0,P152,P145)+P165)*$B155/Параметры!P$30)</f>
        <v>0</v>
      </c>
      <c r="Q154" s="289">
        <f ca="1">IF(AND($B155=0,Q$2&gt;1),P154,(IF(Старт!$B$9+Старт!$B$10+Старт!$B$11=0,Q152,Q145)+Q165)*$B155/Параметры!Q$30)</f>
        <v>0</v>
      </c>
      <c r="R154" s="289">
        <f ca="1">IF(AND($B155=0,R$2&gt;1),Q154,(IF(Старт!$B$9+Старт!$B$10+Старт!$B$11=0,R152,R145)+R165)*$B155/Параметры!R$30)</f>
        <v>0</v>
      </c>
      <c r="S154" s="289">
        <f ca="1">IF(AND($B155=0,S$2&gt;1),R154,(IF(Старт!$B$9+Старт!$B$10+Старт!$B$11=0,S152,S145)+S165)*$B155/Параметры!S$30)</f>
        <v>0</v>
      </c>
      <c r="T154" s="289">
        <f ca="1">IF(AND($B155=0,T$2&gt;1),S154,(IF(Старт!$B$9+Старт!$B$10+Старт!$B$11=0,T152,T145)+T165)*$B155/Параметры!T$30)</f>
        <v>0</v>
      </c>
      <c r="U154" s="289">
        <f ca="1">IF(AND($B155=0,U$2&gt;1),T154,(IF(Старт!$B$9+Старт!$B$10+Старт!$B$11=0,U152,U145)+U165)*$B155/Параметры!U$30)</f>
        <v>0</v>
      </c>
      <c r="V154" s="289">
        <f ca="1">IF(AND($B155=0,V$2&gt;1),U154,(IF(Старт!$B$9+Старт!$B$10+Старт!$B$11=0,V152,V145)+V165)*$B155/Параметры!V$30)</f>
        <v>0</v>
      </c>
      <c r="W154" s="289">
        <f ca="1">IF(AND($B155=0,W$2&gt;1),V154,(IF(Старт!$B$9+Старт!$B$10+Старт!$B$11=0,W152,W145)+W165)*$B155/Параметры!W$30)</f>
        <v>0</v>
      </c>
      <c r="X154" s="289">
        <f ca="1">IF(AND($B155=0,X$2&gt;1),W154,(IF(Старт!$B$9+Старт!$B$10+Старт!$B$11=0,X152,X145)+X165)*$B155/Параметры!X$30)</f>
        <v>0</v>
      </c>
      <c r="Y154" s="289">
        <f ca="1">IF(AND($B155=0,Y$2&gt;1),X154,(IF(Старт!$B$9+Старт!$B$10+Старт!$B$11=0,Y152,Y145)+Y165)*$B155/Параметры!Y$30)</f>
        <v>0</v>
      </c>
      <c r="Z154" s="289">
        <f ca="1">IF(AND($B155=0,Z$2&gt;1),Y154,(IF(Старт!$B$9+Старт!$B$10+Старт!$B$11=0,Z152,Z145)+Z165)*$B155/Параметры!Z$30)</f>
        <v>0</v>
      </c>
      <c r="AA154" s="289">
        <f ca="1">IF(AND($B155=0,AA$2&gt;1),Z154,(IF(Старт!$B$9+Старт!$B$10+Старт!$B$11=0,AA152,AA145)+AA165)*$B155/Параметры!AA$30)</f>
        <v>0</v>
      </c>
      <c r="AB154" s="289">
        <f ca="1">IF(AND($B155=0,AB$2&gt;1),AA154,(IF(Старт!$B$9+Старт!$B$10+Старт!$B$11=0,AB152,AB145)+AB165)*$B155/Параметры!AB$30)</f>
        <v>0</v>
      </c>
      <c r="AC154" s="289">
        <f ca="1">IF(AND($B155=0,AC$2&gt;1),AB154,(IF(Старт!$B$9+Старт!$B$10+Старт!$B$11=0,AC152,AC145)+AC165)*$B155/Параметры!AC$30)</f>
        <v>0</v>
      </c>
      <c r="AD154" s="289">
        <f ca="1">IF(AND($B155=0,AD$2&gt;1),AC154,(IF(Старт!$B$9+Старт!$B$10+Старт!$B$11=0,AD152,AD145)+AD165)*$B155/Параметры!AD$30)</f>
        <v>0</v>
      </c>
      <c r="AE154" s="289">
        <f ca="1">IF(AND($B155=0,AE$2&gt;1),AD154,(IF(Старт!$B$9+Старт!$B$10+Старт!$B$11=0,AE152,AE145)+AE165)*$B155/Параметры!AE$30)</f>
        <v>0</v>
      </c>
      <c r="AF154" s="289">
        <f ca="1">IF(AND($B155=0,AF$2&gt;1),AE154,(IF(Старт!$B$9+Старт!$B$10+Старт!$B$11=0,AF152,AF145)+AF165)*$B155/Параметры!AF$30)</f>
        <v>0</v>
      </c>
      <c r="AG154" s="289">
        <f ca="1">IF(AND($B155=0,AG$2&gt;1),AF154,(IF(Старт!$B$9+Старт!$B$10+Старт!$B$11=0,AG152,AG145)+AG165)*$B155/Параметры!AG$30)</f>
        <v>0</v>
      </c>
      <c r="AH154" s="289">
        <f ca="1">IF(AND($B155=0,AH$2&gt;1),AG154,(IF(Старт!$B$9+Старт!$B$10+Старт!$B$11=0,AH152,AH145)+AH165)*$B155/Параметры!AH$30)</f>
        <v>0</v>
      </c>
      <c r="AI154" s="289">
        <f ca="1">IF(AND($B155=0,AI$2&gt;1),AH154,(IF(Старт!$B$9+Старт!$B$10+Старт!$B$11=0,AI152,AI145)+AI165)*$B155/Параметры!AI$30)</f>
        <v>0</v>
      </c>
      <c r="AJ154" s="289">
        <f ca="1">IF(AND($B155=0,AJ$2&gt;1),AI154,(IF(Старт!$B$9+Старт!$B$10+Старт!$B$11=0,AJ152,AJ145)+AJ165)*$B155/Параметры!AJ$30)</f>
        <v>0</v>
      </c>
      <c r="AK154" s="289">
        <f ca="1">IF(AND($B155=0,AK$2&gt;1),AJ154,(IF(Старт!$B$9+Старт!$B$10+Старт!$B$11=0,AK152,AK145)+AK165)*$B155/Параметры!AK$30)</f>
        <v>0</v>
      </c>
      <c r="AL154" s="289">
        <f ca="1">IF(AND($B155=0,AL$2&gt;1),AK154,(IF(Старт!$B$9+Старт!$B$10+Старт!$B$11=0,AL152,AL145)+AL165)*$B155/Параметры!AL$30)</f>
        <v>0</v>
      </c>
      <c r="AM154" s="289">
        <f ca="1">IF(AND($B155=0,AM$2&gt;1),AL154,(IF(Старт!$B$9+Старт!$B$10+Старт!$B$11=0,AM152,AM145)+AM165)*$B155/Параметры!AM$30)</f>
        <v>0</v>
      </c>
      <c r="AN154" s="289">
        <f ca="1">IF(AND($B155=0,AN$2&gt;1),AM154,(IF(Старт!$B$9+Старт!$B$10+Старт!$B$11=0,AN152,AN145)+AN165)*$B155/Параметры!AN$30)</f>
        <v>0</v>
      </c>
      <c r="AO154" s="289">
        <f ca="1">IF(AND($B155=0,AO$2&gt;1),AN154,(IF(Старт!$B$9+Старт!$B$10+Старт!$B$11=0,AO152,AO145)+AO165)*$B155/Параметры!AO$30)</f>
        <v>0</v>
      </c>
      <c r="AP154" s="289">
        <f ca="1">IF(AND($B155=0,AP$2&gt;1),AO154,(IF(Старт!$B$9+Старт!$B$10+Старт!$B$11=0,AP152,AP145)+AP165)*$B155/Параметры!AP$30)</f>
        <v>0</v>
      </c>
      <c r="AQ154" s="289">
        <f ca="1">IF(AND($B155=0,AQ$2&gt;1),AP154,(IF(Старт!$B$9+Старт!$B$10+Старт!$B$11=0,AQ152,AQ145)+AQ165)*$B155/Параметры!AQ$30)</f>
        <v>0</v>
      </c>
      <c r="AR154" s="289">
        <f ca="1">IF(AND($B155=0,AR$2&gt;1),AQ154,(IF(Старт!$B$9+Старт!$B$10+Старт!$B$11=0,AR152,AR145)+AR165)*$B155/Параметры!AR$30)</f>
        <v>0</v>
      </c>
      <c r="AS154" s="289">
        <f ca="1">IF(AND($B155=0,AS$2&gt;1),AR154,(IF(Старт!$B$9+Старт!$B$10+Старт!$B$11=0,AS152,AS145)+AS165)*$B155/Параметры!AS$30)</f>
        <v>0</v>
      </c>
      <c r="AT154" s="289">
        <f ca="1">IF(AND($B155=0,AT$2&gt;1),AS154,(IF(Старт!$B$9+Старт!$B$10+Старт!$B$11=0,AT152,AT145)+AT165)*$B155/Параметры!AT$30)</f>
        <v>0</v>
      </c>
      <c r="AU154" s="289">
        <f ca="1">IF(AND($B155=0,AU$2&gt;1),AT154,(IF(Старт!$B$9+Старт!$B$10+Старт!$B$11=0,AU152,AU145)+AU165)*$B155/Параметры!AU$30)</f>
        <v>0</v>
      </c>
      <c r="AV154" s="289">
        <f ca="1">IF(AND($B155=0,AV$2&gt;1),AU154,(IF(Старт!$B$9+Старт!$B$10+Старт!$B$11=0,AV152,AV145)+AV165)*$B155/Параметры!AV$30)</f>
        <v>0</v>
      </c>
      <c r="AW154" s="289">
        <f ca="1">IF(AND($B155=0,AW$2&gt;1),AV154,(IF(Старт!$B$9+Старт!$B$10+Старт!$B$11=0,AW152,AW145)+AW165)*$B155/Параметры!AW$30)</f>
        <v>0</v>
      </c>
      <c r="AX154" s="289">
        <f ca="1">IF(AND($B155=0,AX$2&gt;1),AW154,(IF(Старт!$B$9+Старт!$B$10+Старт!$B$11=0,AX152,AX145)+AX165)*$B155/Параметры!AX$30)</f>
        <v>0</v>
      </c>
      <c r="AY154" s="289">
        <f ca="1">IF(AND($B155=0,AY$2&gt;1),AX154,(IF(Старт!$B$9+Старт!$B$10+Старт!$B$11=0,AY152,AY145)+AY165)*$B155/Параметры!AY$30)</f>
        <v>0</v>
      </c>
      <c r="AZ154" s="289">
        <f ca="1">IF(AND($B155=0,AZ$2&gt;1),AY154,(IF(Старт!$B$9+Старт!$B$10+Старт!$B$11=0,AZ152,AZ145)+AZ165)*$B155/Параметры!AZ$30)</f>
        <v>0</v>
      </c>
      <c r="BA154" s="289">
        <f ca="1">IF(AND($B155=0,BA$2&gt;1),AZ154,(IF(Старт!$B$9+Старт!$B$10+Старт!$B$11=0,BA152,BA145)+BA165)*$B155/Параметры!BA$30)</f>
        <v>0</v>
      </c>
      <c r="BB154" s="289">
        <f ca="1">IF(AND($B155=0,BB$2&gt;1),BA154,(IF(Старт!$B$9+Старт!$B$10+Старт!$B$11=0,BB152,BB145)+BB165)*$B155/Параметры!BB$30)</f>
        <v>0</v>
      </c>
      <c r="BC154" s="188"/>
      <c r="BD154" s="186"/>
    </row>
    <row r="155" spans="1:56" s="170" customFormat="1" ht="14.4" hidden="1" thickTop="1" x14ac:dyDescent="0.3">
      <c r="A155" s="187" t="str">
        <f ca="1">Language!A$646</f>
        <v>период отсрочки платежа</v>
      </c>
      <c r="B155" s="288">
        <f>$B$603</f>
        <v>10</v>
      </c>
      <c r="C155" s="163" t="str">
        <f ca="1">Language!$A$1474</f>
        <v>дней</v>
      </c>
      <c r="F155" s="170" t="s">
        <v>2343</v>
      </c>
      <c r="G155" s="185"/>
      <c r="H155" s="185"/>
      <c r="I155" s="185"/>
      <c r="J155" s="185"/>
      <c r="K155" s="185"/>
      <c r="L155" s="185"/>
      <c r="M155" s="185"/>
      <c r="N155" s="185"/>
      <c r="O155" s="185"/>
      <c r="P155" s="185"/>
      <c r="Q155" s="185"/>
      <c r="R155" s="185"/>
      <c r="S155" s="185"/>
      <c r="T155" s="185"/>
      <c r="U155" s="185"/>
      <c r="V155" s="185"/>
      <c r="W155" s="185"/>
      <c r="X155" s="185"/>
      <c r="Y155" s="185"/>
      <c r="Z155" s="185"/>
      <c r="AA155" s="185"/>
      <c r="AB155" s="185"/>
      <c r="AC155" s="185"/>
      <c r="AD155" s="185"/>
      <c r="AE155" s="185"/>
      <c r="AF155" s="185"/>
      <c r="AG155" s="185"/>
      <c r="AH155" s="185"/>
      <c r="AI155" s="185"/>
      <c r="AJ155" s="185"/>
      <c r="AK155" s="185"/>
      <c r="AL155" s="185"/>
      <c r="AM155" s="185"/>
      <c r="AN155" s="185"/>
      <c r="AO155" s="185"/>
      <c r="AP155" s="185"/>
      <c r="AQ155" s="185"/>
      <c r="AR155" s="185"/>
      <c r="AS155" s="185"/>
      <c r="AT155" s="185"/>
      <c r="AU155" s="185"/>
      <c r="AV155" s="185"/>
      <c r="AW155" s="185"/>
      <c r="AX155" s="185"/>
      <c r="AY155" s="185"/>
      <c r="AZ155" s="185"/>
      <c r="BA155" s="185"/>
      <c r="BB155" s="185"/>
      <c r="BC155" s="185"/>
      <c r="BD155" s="186"/>
    </row>
    <row r="156" spans="1:56" ht="14.4" hidden="1" thickTop="1" x14ac:dyDescent="0.3">
      <c r="A156" s="184" t="str">
        <f ca="1">Language!A$647</f>
        <v>авансы уплаченные</v>
      </c>
      <c r="B156" s="174"/>
      <c r="C156" s="163" t="str">
        <f ca="1">CHOOSE(D156,CurName1,CurName2,CurName3)</f>
        <v>руб.</v>
      </c>
      <c r="D156" s="174">
        <f>D142</f>
        <v>1</v>
      </c>
      <c r="E156" s="170" t="s">
        <v>995</v>
      </c>
      <c r="F156" s="170" t="s">
        <v>2342</v>
      </c>
      <c r="G156" s="289">
        <f ca="1">IF(OR(AND($B157=0,G$2&gt;1),G$2=Prj_Len),F156,(IF(Старт!$B$9+Старт!$B$10+Старт!$B$11=0,OFFSET(G152,0,1),OFFSET(G145,0,1))+OFFSET(G165,0,1))*$B157/Параметры!G$30)</f>
        <v>0</v>
      </c>
      <c r="H156" s="289">
        <f ca="1">IF(OR(AND($B157=0,H$2&gt;1),H$2=Prj_Len),G156,(IF(Старт!$B$9+Старт!$B$10+Старт!$B$11=0,OFFSET(H152,0,1),OFFSET(H145,0,1))+OFFSET(H165,0,1))*$B157/Параметры!H$30)</f>
        <v>0</v>
      </c>
      <c r="I156" s="289">
        <f ca="1">IF(OR(AND($B157=0,I$2&gt;1),I$2=Prj_Len),H156,(IF(Старт!$B$9+Старт!$B$10+Старт!$B$11=0,OFFSET(I152,0,1),OFFSET(I145,0,1))+OFFSET(I165,0,1))*$B157/Параметры!I$30)</f>
        <v>0</v>
      </c>
      <c r="J156" s="289">
        <f ca="1">IF(OR(AND($B157=0,J$2&gt;1),J$2=Prj_Len),I156,(IF(Старт!$B$9+Старт!$B$10+Старт!$B$11=0,OFFSET(J152,0,1),OFFSET(J145,0,1))+OFFSET(J165,0,1))*$B157/Параметры!J$30)</f>
        <v>0</v>
      </c>
      <c r="K156" s="289">
        <f ca="1">IF(OR(AND($B157=0,K$2&gt;1),K$2=Prj_Len),J156,(IF(Старт!$B$9+Старт!$B$10+Старт!$B$11=0,OFFSET(K152,0,1),OFFSET(K145,0,1))+OFFSET(K165,0,1))*$B157/Параметры!K$30)</f>
        <v>0</v>
      </c>
      <c r="L156" s="289">
        <f ca="1">IF(OR(AND($B157=0,L$2&gt;1),L$2=Prj_Len),K156,(IF(Старт!$B$9+Старт!$B$10+Старт!$B$11=0,OFFSET(L152,0,1),OFFSET(L145,0,1))+OFFSET(L165,0,1))*$B157/Параметры!L$30)</f>
        <v>0</v>
      </c>
      <c r="M156" s="289">
        <f ca="1">IF(OR(AND($B157=0,M$2&gt;1),M$2=Prj_Len),L156,(IF(Старт!$B$9+Старт!$B$10+Старт!$B$11=0,OFFSET(M152,0,1),OFFSET(M145,0,1))+OFFSET(M165,0,1))*$B157/Параметры!M$30)</f>
        <v>0</v>
      </c>
      <c r="N156" s="289">
        <f ca="1">IF(OR(AND($B157=0,N$2&gt;1),N$2=Prj_Len),M156,(IF(Старт!$B$9+Старт!$B$10+Старт!$B$11=0,OFFSET(N152,0,1),OFFSET(N145,0,1))+OFFSET(N165,0,1))*$B157/Параметры!N$30)</f>
        <v>0</v>
      </c>
      <c r="O156" s="289">
        <f ca="1">IF(OR(AND($B157=0,O$2&gt;1),O$2=Prj_Len),N156,(IF(Старт!$B$9+Старт!$B$10+Старт!$B$11=0,OFFSET(O152,0,1),OFFSET(O145,0,1))+OFFSET(O165,0,1))*$B157/Параметры!O$30)</f>
        <v>0</v>
      </c>
      <c r="P156" s="289">
        <f ca="1">IF(OR(AND($B157=0,P$2&gt;1),P$2=Prj_Len),O156,(IF(Старт!$B$9+Старт!$B$10+Старт!$B$11=0,OFFSET(P152,0,1),OFFSET(P145,0,1))+OFFSET(P165,0,1))*$B157/Параметры!P$30)</f>
        <v>0</v>
      </c>
      <c r="Q156" s="289">
        <f ca="1">IF(OR(AND($B157=0,Q$2&gt;1),Q$2=Prj_Len),P156,(IF(Старт!$B$9+Старт!$B$10+Старт!$B$11=0,OFFSET(Q152,0,1),OFFSET(Q145,0,1))+OFFSET(Q165,0,1))*$B157/Параметры!Q$30)</f>
        <v>0</v>
      </c>
      <c r="R156" s="289">
        <f ca="1">IF(OR(AND($B157=0,R$2&gt;1),R$2=Prj_Len),Q156,(IF(Старт!$B$9+Старт!$B$10+Старт!$B$11=0,OFFSET(R152,0,1),OFFSET(R145,0,1))+OFFSET(R165,0,1))*$B157/Параметры!R$30)</f>
        <v>0</v>
      </c>
      <c r="S156" s="289">
        <f ca="1">IF(OR(AND($B157=0,S$2&gt;1),S$2=Prj_Len),R156,(IF(Старт!$B$9+Старт!$B$10+Старт!$B$11=0,OFFSET(S152,0,1),OFFSET(S145,0,1))+OFFSET(S165,0,1))*$B157/Параметры!S$30)</f>
        <v>0</v>
      </c>
      <c r="T156" s="289">
        <f ca="1">IF(OR(AND($B157=0,T$2&gt;1),T$2=Prj_Len),S156,(IF(Старт!$B$9+Старт!$B$10+Старт!$B$11=0,OFFSET(T152,0,1),OFFSET(T145,0,1))+OFFSET(T165,0,1))*$B157/Параметры!T$30)</f>
        <v>0</v>
      </c>
      <c r="U156" s="289">
        <f ca="1">IF(OR(AND($B157=0,U$2&gt;1),U$2=Prj_Len),T156,(IF(Старт!$B$9+Старт!$B$10+Старт!$B$11=0,OFFSET(U152,0,1),OFFSET(U145,0,1))+OFFSET(U165,0,1))*$B157/Параметры!U$30)</f>
        <v>0</v>
      </c>
      <c r="V156" s="289">
        <f ca="1">IF(OR(AND($B157=0,V$2&gt;1),V$2=Prj_Len),U156,(IF(Старт!$B$9+Старт!$B$10+Старт!$B$11=0,OFFSET(V152,0,1),OFFSET(V145,0,1))+OFFSET(V165,0,1))*$B157/Параметры!V$30)</f>
        <v>0</v>
      </c>
      <c r="W156" s="289">
        <f ca="1">IF(OR(AND($B157=0,W$2&gt;1),W$2=Prj_Len),V156,(IF(Старт!$B$9+Старт!$B$10+Старт!$B$11=0,OFFSET(W152,0,1),OFFSET(W145,0,1))+OFFSET(W165,0,1))*$B157/Параметры!W$30)</f>
        <v>0</v>
      </c>
      <c r="X156" s="289">
        <f ca="1">IF(OR(AND($B157=0,X$2&gt;1),X$2=Prj_Len),W156,(IF(Старт!$B$9+Старт!$B$10+Старт!$B$11=0,OFFSET(X152,0,1),OFFSET(X145,0,1))+OFFSET(X165,0,1))*$B157/Параметры!X$30)</f>
        <v>0</v>
      </c>
      <c r="Y156" s="289">
        <f ca="1">IF(OR(AND($B157=0,Y$2&gt;1),Y$2=Prj_Len),X156,(IF(Старт!$B$9+Старт!$B$10+Старт!$B$11=0,OFFSET(Y152,0,1),OFFSET(Y145,0,1))+OFFSET(Y165,0,1))*$B157/Параметры!Y$30)</f>
        <v>0</v>
      </c>
      <c r="Z156" s="289">
        <f ca="1">IF(OR(AND($B157=0,Z$2&gt;1),Z$2=Prj_Len),Y156,(IF(Старт!$B$9+Старт!$B$10+Старт!$B$11=0,OFFSET(Z152,0,1),OFFSET(Z145,0,1))+OFFSET(Z165,0,1))*$B157/Параметры!Z$30)</f>
        <v>0</v>
      </c>
      <c r="AA156" s="289">
        <f ca="1">IF(OR(AND($B157=0,AA$2&gt;1),AA$2=Prj_Len),Z156,(IF(Старт!$B$9+Старт!$B$10+Старт!$B$11=0,OFFSET(AA152,0,1),OFFSET(AA145,0,1))+OFFSET(AA165,0,1))*$B157/Параметры!AA$30)</f>
        <v>0</v>
      </c>
      <c r="AB156" s="289">
        <f ca="1">IF(OR(AND($B157=0,AB$2&gt;1),AB$2=Prj_Len),AA156,(IF(Старт!$B$9+Старт!$B$10+Старт!$B$11=0,OFFSET(AB152,0,1),OFFSET(AB145,0,1))+OFFSET(AB165,0,1))*$B157/Параметры!AB$30)</f>
        <v>0</v>
      </c>
      <c r="AC156" s="289">
        <f ca="1">IF(OR(AND($B157=0,AC$2&gt;1),AC$2=Prj_Len),AB156,(IF(Старт!$B$9+Старт!$B$10+Старт!$B$11=0,OFFSET(AC152,0,1),OFFSET(AC145,0,1))+OFFSET(AC165,0,1))*$B157/Параметры!AC$30)</f>
        <v>0</v>
      </c>
      <c r="AD156" s="289">
        <f ca="1">IF(OR(AND($B157=0,AD$2&gt;1),AD$2=Prj_Len),AC156,(IF(Старт!$B$9+Старт!$B$10+Старт!$B$11=0,OFFSET(AD152,0,1),OFFSET(AD145,0,1))+OFFSET(AD165,0,1))*$B157/Параметры!AD$30)</f>
        <v>0</v>
      </c>
      <c r="AE156" s="289">
        <f ca="1">IF(OR(AND($B157=0,AE$2&gt;1),AE$2=Prj_Len),AD156,(IF(Старт!$B$9+Старт!$B$10+Старт!$B$11=0,OFFSET(AE152,0,1),OFFSET(AE145,0,1))+OFFSET(AE165,0,1))*$B157/Параметры!AE$30)</f>
        <v>0</v>
      </c>
      <c r="AF156" s="289">
        <f ca="1">IF(OR(AND($B157=0,AF$2&gt;1),AF$2=Prj_Len),AE156,(IF(Старт!$B$9+Старт!$B$10+Старт!$B$11=0,OFFSET(AF152,0,1),OFFSET(AF145,0,1))+OFFSET(AF165,0,1))*$B157/Параметры!AF$30)</f>
        <v>0</v>
      </c>
      <c r="AG156" s="289">
        <f ca="1">IF(OR(AND($B157=0,AG$2&gt;1),AG$2=Prj_Len),AF156,(IF(Старт!$B$9+Старт!$B$10+Старт!$B$11=0,OFFSET(AG152,0,1),OFFSET(AG145,0,1))+OFFSET(AG165,0,1))*$B157/Параметры!AG$30)</f>
        <v>0</v>
      </c>
      <c r="AH156" s="289">
        <f ca="1">IF(OR(AND($B157=0,AH$2&gt;1),AH$2=Prj_Len),AG156,(IF(Старт!$B$9+Старт!$B$10+Старт!$B$11=0,OFFSET(AH152,0,1),OFFSET(AH145,0,1))+OFFSET(AH165,0,1))*$B157/Параметры!AH$30)</f>
        <v>0</v>
      </c>
      <c r="AI156" s="289">
        <f ca="1">IF(OR(AND($B157=0,AI$2&gt;1),AI$2=Prj_Len),AH156,(IF(Старт!$B$9+Старт!$B$10+Старт!$B$11=0,OFFSET(AI152,0,1),OFFSET(AI145,0,1))+OFFSET(AI165,0,1))*$B157/Параметры!AI$30)</f>
        <v>0</v>
      </c>
      <c r="AJ156" s="289">
        <f ca="1">IF(OR(AND($B157=0,AJ$2&gt;1),AJ$2=Prj_Len),AI156,(IF(Старт!$B$9+Старт!$B$10+Старт!$B$11=0,OFFSET(AJ152,0,1),OFFSET(AJ145,0,1))+OFFSET(AJ165,0,1))*$B157/Параметры!AJ$30)</f>
        <v>0</v>
      </c>
      <c r="AK156" s="289">
        <f ca="1">IF(OR(AND($B157=0,AK$2&gt;1),AK$2=Prj_Len),AJ156,(IF(Старт!$B$9+Старт!$B$10+Старт!$B$11=0,OFFSET(AK152,0,1),OFFSET(AK145,0,1))+OFFSET(AK165,0,1))*$B157/Параметры!AK$30)</f>
        <v>0</v>
      </c>
      <c r="AL156" s="289">
        <f ca="1">IF(OR(AND($B157=0,AL$2&gt;1),AL$2=Prj_Len),AK156,(IF(Старт!$B$9+Старт!$B$10+Старт!$B$11=0,OFFSET(AL152,0,1),OFFSET(AL145,0,1))+OFFSET(AL165,0,1))*$B157/Параметры!AL$30)</f>
        <v>0</v>
      </c>
      <c r="AM156" s="289">
        <f ca="1">IF(OR(AND($B157=0,AM$2&gt;1),AM$2=Prj_Len),AL156,(IF(Старт!$B$9+Старт!$B$10+Старт!$B$11=0,OFFSET(AM152,0,1),OFFSET(AM145,0,1))+OFFSET(AM165,0,1))*$B157/Параметры!AM$30)</f>
        <v>0</v>
      </c>
      <c r="AN156" s="289">
        <f ca="1">IF(OR(AND($B157=0,AN$2&gt;1),AN$2=Prj_Len),AM156,(IF(Старт!$B$9+Старт!$B$10+Старт!$B$11=0,OFFSET(AN152,0,1),OFFSET(AN145,0,1))+OFFSET(AN165,0,1))*$B157/Параметры!AN$30)</f>
        <v>0</v>
      </c>
      <c r="AO156" s="289">
        <f ca="1">IF(OR(AND($B157=0,AO$2&gt;1),AO$2=Prj_Len),AN156,(IF(Старт!$B$9+Старт!$B$10+Старт!$B$11=0,OFFSET(AO152,0,1),OFFSET(AO145,0,1))+OFFSET(AO165,0,1))*$B157/Параметры!AO$30)</f>
        <v>0</v>
      </c>
      <c r="AP156" s="289">
        <f ca="1">IF(OR(AND($B157=0,AP$2&gt;1),AP$2=Prj_Len),AO156,(IF(Старт!$B$9+Старт!$B$10+Старт!$B$11=0,OFFSET(AP152,0,1),OFFSET(AP145,0,1))+OFFSET(AP165,0,1))*$B157/Параметры!AP$30)</f>
        <v>0</v>
      </c>
      <c r="AQ156" s="289">
        <f ca="1">IF(OR(AND($B157=0,AQ$2&gt;1),AQ$2=Prj_Len),AP156,(IF(Старт!$B$9+Старт!$B$10+Старт!$B$11=0,OFFSET(AQ152,0,1),OFFSET(AQ145,0,1))+OFFSET(AQ165,0,1))*$B157/Параметры!AQ$30)</f>
        <v>0</v>
      </c>
      <c r="AR156" s="289">
        <f ca="1">IF(OR(AND($B157=0,AR$2&gt;1),AR$2=Prj_Len),AQ156,(IF(Старт!$B$9+Старт!$B$10+Старт!$B$11=0,OFFSET(AR152,0,1),OFFSET(AR145,0,1))+OFFSET(AR165,0,1))*$B157/Параметры!AR$30)</f>
        <v>0</v>
      </c>
      <c r="AS156" s="289">
        <f ca="1">IF(OR(AND($B157=0,AS$2&gt;1),AS$2=Prj_Len),AR156,(IF(Старт!$B$9+Старт!$B$10+Старт!$B$11=0,OFFSET(AS152,0,1),OFFSET(AS145,0,1))+OFFSET(AS165,0,1))*$B157/Параметры!AS$30)</f>
        <v>0</v>
      </c>
      <c r="AT156" s="289">
        <f ca="1">IF(OR(AND($B157=0,AT$2&gt;1),AT$2=Prj_Len),AS156,(IF(Старт!$B$9+Старт!$B$10+Старт!$B$11=0,OFFSET(AT152,0,1),OFFSET(AT145,0,1))+OFFSET(AT165,0,1))*$B157/Параметры!AT$30)</f>
        <v>0</v>
      </c>
      <c r="AU156" s="289">
        <f ca="1">IF(OR(AND($B157=0,AU$2&gt;1),AU$2=Prj_Len),AT156,(IF(Старт!$B$9+Старт!$B$10+Старт!$B$11=0,OFFSET(AU152,0,1),OFFSET(AU145,0,1))+OFFSET(AU165,0,1))*$B157/Параметры!AU$30)</f>
        <v>0</v>
      </c>
      <c r="AV156" s="289">
        <f ca="1">IF(OR(AND($B157=0,AV$2&gt;1),AV$2=Prj_Len),AU156,(IF(Старт!$B$9+Старт!$B$10+Старт!$B$11=0,OFFSET(AV152,0,1),OFFSET(AV145,0,1))+OFFSET(AV165,0,1))*$B157/Параметры!AV$30)</f>
        <v>0</v>
      </c>
      <c r="AW156" s="289">
        <f ca="1">IF(OR(AND($B157=0,AW$2&gt;1),AW$2=Prj_Len),AV156,(IF(Старт!$B$9+Старт!$B$10+Старт!$B$11=0,OFFSET(AW152,0,1),OFFSET(AW145,0,1))+OFFSET(AW165,0,1))*$B157/Параметры!AW$30)</f>
        <v>0</v>
      </c>
      <c r="AX156" s="289">
        <f ca="1">IF(OR(AND($B157=0,AX$2&gt;1),AX$2=Prj_Len),AW156,(IF(Старт!$B$9+Старт!$B$10+Старт!$B$11=0,OFFSET(AX152,0,1),OFFSET(AX145,0,1))+OFFSET(AX165,0,1))*$B157/Параметры!AX$30)</f>
        <v>0</v>
      </c>
      <c r="AY156" s="289">
        <f ca="1">IF(OR(AND($B157=0,AY$2&gt;1),AY$2=Prj_Len),AX156,(IF(Старт!$B$9+Старт!$B$10+Старт!$B$11=0,OFFSET(AY152,0,1),OFFSET(AY145,0,1))+OFFSET(AY165,0,1))*$B157/Параметры!AY$30)</f>
        <v>0</v>
      </c>
      <c r="AZ156" s="289">
        <f ca="1">IF(OR(AND($B157=0,AZ$2&gt;1),AZ$2=Prj_Len),AY156,(IF(Старт!$B$9+Старт!$B$10+Старт!$B$11=0,OFFSET(AZ152,0,1),OFFSET(AZ145,0,1))+OFFSET(AZ165,0,1))*$B157/Параметры!AZ$30)</f>
        <v>0</v>
      </c>
      <c r="BA156" s="289">
        <f ca="1">IF(OR(AND($B157=0,BA$2&gt;1),BA$2=Prj_Len),AZ156,(IF(Старт!$B$9+Старт!$B$10+Старт!$B$11=0,OFFSET(BA152,0,1),OFFSET(BA145,0,1))+OFFSET(BA165,0,1))*$B157/Параметры!BA$30)</f>
        <v>0</v>
      </c>
      <c r="BB156" s="289">
        <f ca="1">IF(OR(AND($B157=0,BB$2&gt;1),BB$2=Prj_Len),BA156,(IF(Старт!$B$9+Старт!$B$10+Старт!$B$11=0,OFFSET(BB152,0,1),OFFSET(BB145,0,1))+OFFSET(BB165,0,1))*$B157/Параметры!BB$30)</f>
        <v>0</v>
      </c>
      <c r="BC156" s="188"/>
      <c r="BD156" s="186"/>
    </row>
    <row r="157" spans="1:56" s="170" customFormat="1" ht="14.4" hidden="1" thickTop="1" x14ac:dyDescent="0.3">
      <c r="A157" s="187" t="str">
        <f ca="1">Language!A$648</f>
        <v>период предоплаты</v>
      </c>
      <c r="B157" s="288">
        <f>$B$610</f>
        <v>10</v>
      </c>
      <c r="C157" s="163" t="str">
        <f ca="1">Language!$A$1474</f>
        <v>дней</v>
      </c>
      <c r="F157" s="170" t="s">
        <v>2343</v>
      </c>
      <c r="G157" s="185"/>
      <c r="H157" s="185"/>
      <c r="I157" s="185"/>
      <c r="J157" s="185"/>
      <c r="K157" s="185"/>
      <c r="L157" s="185"/>
      <c r="M157" s="185"/>
      <c r="N157" s="185"/>
      <c r="O157" s="185"/>
      <c r="P157" s="185"/>
      <c r="Q157" s="185"/>
      <c r="R157" s="185"/>
      <c r="S157" s="185"/>
      <c r="T157" s="185"/>
      <c r="U157" s="185"/>
      <c r="V157" s="185"/>
      <c r="W157" s="185"/>
      <c r="X157" s="185"/>
      <c r="Y157" s="185"/>
      <c r="Z157" s="185"/>
      <c r="AA157" s="185"/>
      <c r="AB157" s="185"/>
      <c r="AC157" s="185"/>
      <c r="AD157" s="185"/>
      <c r="AE157" s="185"/>
      <c r="AF157" s="185"/>
      <c r="AG157" s="185"/>
      <c r="AH157" s="185"/>
      <c r="AI157" s="185"/>
      <c r="AJ157" s="185"/>
      <c r="AK157" s="185"/>
      <c r="AL157" s="185"/>
      <c r="AM157" s="185"/>
      <c r="AN157" s="185"/>
      <c r="AO157" s="185"/>
      <c r="AP157" s="185"/>
      <c r="AQ157" s="185"/>
      <c r="AR157" s="185"/>
      <c r="AS157" s="185"/>
      <c r="AT157" s="185"/>
      <c r="AU157" s="185"/>
      <c r="AV157" s="185"/>
      <c r="AW157" s="185"/>
      <c r="AX157" s="185"/>
      <c r="AY157" s="185"/>
      <c r="AZ157" s="185"/>
      <c r="BA157" s="185"/>
      <c r="BB157" s="185"/>
      <c r="BC157" s="185"/>
      <c r="BD157" s="186"/>
    </row>
    <row r="158" spans="1:56" s="173" customFormat="1" ht="14.4" hidden="1" thickTop="1" x14ac:dyDescent="0.3">
      <c r="A158" s="181" t="str">
        <f ca="1">Language!A$649</f>
        <v>оплата расходов, c НДС</v>
      </c>
      <c r="C158" s="176" t="str">
        <f t="shared" ref="C158" ca="1" si="860">CHOOSE(D158,CurName1,CurName2,CurName3)</f>
        <v>руб.</v>
      </c>
      <c r="D158" s="174">
        <f>D142</f>
        <v>1</v>
      </c>
      <c r="E158" s="170" t="s">
        <v>993</v>
      </c>
      <c r="F158" s="170" t="s">
        <v>743</v>
      </c>
      <c r="G158" s="182">
        <f ca="1">G152+G165-IF(G$2=1,G154,G154-F154)+IF(G$2=1,G156,G156-F156)</f>
        <v>0</v>
      </c>
      <c r="H158" s="182">
        <f t="shared" ref="H158:BB158" ca="1" si="861">H152+H165-IF(H$2=1,H154,H154-G154)+IF(H$2=1,H156,H156-G156)</f>
        <v>0</v>
      </c>
      <c r="I158" s="182">
        <f t="shared" ca="1" si="861"/>
        <v>0</v>
      </c>
      <c r="J158" s="182">
        <f t="shared" ca="1" si="861"/>
        <v>0</v>
      </c>
      <c r="K158" s="182">
        <f t="shared" ca="1" si="861"/>
        <v>0</v>
      </c>
      <c r="L158" s="182">
        <f t="shared" ca="1" si="861"/>
        <v>0</v>
      </c>
      <c r="M158" s="182">
        <f t="shared" ca="1" si="861"/>
        <v>0</v>
      </c>
      <c r="N158" s="182">
        <f t="shared" ca="1" si="861"/>
        <v>0</v>
      </c>
      <c r="O158" s="182">
        <f t="shared" ca="1" si="861"/>
        <v>0</v>
      </c>
      <c r="P158" s="182">
        <f t="shared" ca="1" si="861"/>
        <v>0</v>
      </c>
      <c r="Q158" s="182">
        <f t="shared" ca="1" si="861"/>
        <v>0</v>
      </c>
      <c r="R158" s="182">
        <f t="shared" ca="1" si="861"/>
        <v>0</v>
      </c>
      <c r="S158" s="182">
        <f t="shared" ca="1" si="861"/>
        <v>0</v>
      </c>
      <c r="T158" s="182">
        <f t="shared" ca="1" si="861"/>
        <v>0</v>
      </c>
      <c r="U158" s="182">
        <f t="shared" ca="1" si="861"/>
        <v>0</v>
      </c>
      <c r="V158" s="182">
        <f t="shared" ca="1" si="861"/>
        <v>0</v>
      </c>
      <c r="W158" s="182">
        <f t="shared" ca="1" si="861"/>
        <v>0</v>
      </c>
      <c r="X158" s="182">
        <f t="shared" ca="1" si="861"/>
        <v>0</v>
      </c>
      <c r="Y158" s="182">
        <f t="shared" ca="1" si="861"/>
        <v>0</v>
      </c>
      <c r="Z158" s="182">
        <f t="shared" ca="1" si="861"/>
        <v>0</v>
      </c>
      <c r="AA158" s="182">
        <f t="shared" ca="1" si="861"/>
        <v>0</v>
      </c>
      <c r="AB158" s="182">
        <f t="shared" ca="1" si="861"/>
        <v>0</v>
      </c>
      <c r="AC158" s="182">
        <f t="shared" ca="1" si="861"/>
        <v>0</v>
      </c>
      <c r="AD158" s="182">
        <f t="shared" ca="1" si="861"/>
        <v>0</v>
      </c>
      <c r="AE158" s="182">
        <f t="shared" ca="1" si="861"/>
        <v>0</v>
      </c>
      <c r="AF158" s="182">
        <f t="shared" ca="1" si="861"/>
        <v>0</v>
      </c>
      <c r="AG158" s="182">
        <f t="shared" ca="1" si="861"/>
        <v>0</v>
      </c>
      <c r="AH158" s="182">
        <f t="shared" ca="1" si="861"/>
        <v>0</v>
      </c>
      <c r="AI158" s="182">
        <f t="shared" ca="1" si="861"/>
        <v>0</v>
      </c>
      <c r="AJ158" s="182">
        <f t="shared" ca="1" si="861"/>
        <v>0</v>
      </c>
      <c r="AK158" s="182">
        <f t="shared" ca="1" si="861"/>
        <v>0</v>
      </c>
      <c r="AL158" s="182">
        <f t="shared" ca="1" si="861"/>
        <v>0</v>
      </c>
      <c r="AM158" s="182">
        <f t="shared" ca="1" si="861"/>
        <v>0</v>
      </c>
      <c r="AN158" s="182">
        <f t="shared" ca="1" si="861"/>
        <v>0</v>
      </c>
      <c r="AO158" s="182">
        <f t="shared" ca="1" si="861"/>
        <v>0</v>
      </c>
      <c r="AP158" s="182">
        <f t="shared" ca="1" si="861"/>
        <v>0</v>
      </c>
      <c r="AQ158" s="182">
        <f t="shared" ca="1" si="861"/>
        <v>0</v>
      </c>
      <c r="AR158" s="182">
        <f t="shared" ca="1" si="861"/>
        <v>0</v>
      </c>
      <c r="AS158" s="182">
        <f t="shared" ca="1" si="861"/>
        <v>0</v>
      </c>
      <c r="AT158" s="182">
        <f t="shared" ca="1" si="861"/>
        <v>0</v>
      </c>
      <c r="AU158" s="182">
        <f t="shared" ca="1" si="861"/>
        <v>0</v>
      </c>
      <c r="AV158" s="182">
        <f t="shared" ca="1" si="861"/>
        <v>0</v>
      </c>
      <c r="AW158" s="182">
        <f t="shared" ca="1" si="861"/>
        <v>0</v>
      </c>
      <c r="AX158" s="182">
        <f t="shared" ca="1" si="861"/>
        <v>0</v>
      </c>
      <c r="AY158" s="182">
        <f t="shared" ca="1" si="861"/>
        <v>0</v>
      </c>
      <c r="AZ158" s="182">
        <f t="shared" ca="1" si="861"/>
        <v>0</v>
      </c>
      <c r="BA158" s="182">
        <f t="shared" ca="1" si="861"/>
        <v>0</v>
      </c>
      <c r="BB158" s="182">
        <f t="shared" ca="1" si="861"/>
        <v>0</v>
      </c>
      <c r="BC158" s="182"/>
      <c r="BD158" s="183">
        <f ca="1">SUM(G158:BC158)</f>
        <v>0</v>
      </c>
    </row>
    <row r="159" spans="1:56" ht="14.4" hidden="1" thickTop="1" x14ac:dyDescent="0.3">
      <c r="A159" s="184" t="str">
        <f ca="1">Language!A$650</f>
        <v>темп изменения цен</v>
      </c>
      <c r="B159" s="203"/>
      <c r="C159" s="163" t="str">
        <f ca="1">Language!$A$480</f>
        <v>% в год</v>
      </c>
      <c r="D159" s="174"/>
      <c r="F159" s="170" t="s">
        <v>2344</v>
      </c>
      <c r="G159" s="290">
        <f>CHOOSE($D142,Параметры!G$48,Параметры!G$56,Параметры!G$62)</f>
        <v>0.06</v>
      </c>
      <c r="H159" s="290">
        <f>CHOOSE($D142,Параметры!H$48,Параметры!H$56,Параметры!H$62)</f>
        <v>0.06</v>
      </c>
      <c r="I159" s="290">
        <f>CHOOSE($D142,Параметры!I$48,Параметры!I$56,Параметры!I$62)</f>
        <v>0.06</v>
      </c>
      <c r="J159" s="290">
        <f>CHOOSE($D142,Параметры!J$48,Параметры!J$56,Параметры!J$62)</f>
        <v>0.06</v>
      </c>
      <c r="K159" s="290">
        <f>CHOOSE($D142,Параметры!K$48,Параметры!K$56,Параметры!K$62)</f>
        <v>0.06</v>
      </c>
      <c r="L159" s="290">
        <f>CHOOSE($D142,Параметры!L$48,Параметры!L$56,Параметры!L$62)</f>
        <v>0.06</v>
      </c>
      <c r="M159" s="290">
        <f>CHOOSE($D142,Параметры!M$48,Параметры!M$56,Параметры!M$62)</f>
        <v>0.06</v>
      </c>
      <c r="N159" s="290">
        <f>CHOOSE($D142,Параметры!N$48,Параметры!N$56,Параметры!N$62)</f>
        <v>0.06</v>
      </c>
      <c r="O159" s="290">
        <f>CHOOSE($D142,Параметры!O$48,Параметры!O$56,Параметры!O$62)</f>
        <v>0.06</v>
      </c>
      <c r="P159" s="290">
        <f>CHOOSE($D142,Параметры!P$48,Параметры!P$56,Параметры!P$62)</f>
        <v>0.06</v>
      </c>
      <c r="Q159" s="290">
        <f>CHOOSE($D142,Параметры!Q$48,Параметры!Q$56,Параметры!Q$62)</f>
        <v>0.06</v>
      </c>
      <c r="R159" s="290">
        <f>CHOOSE($D142,Параметры!R$48,Параметры!R$56,Параметры!R$62)</f>
        <v>0.06</v>
      </c>
      <c r="S159" s="290">
        <f>CHOOSE($D142,Параметры!S$48,Параметры!S$56,Параметры!S$62)</f>
        <v>0.06</v>
      </c>
      <c r="T159" s="290">
        <f>CHOOSE($D142,Параметры!T$48,Параметры!T$56,Параметры!T$62)</f>
        <v>0.06</v>
      </c>
      <c r="U159" s="290">
        <f>CHOOSE($D142,Параметры!U$48,Параметры!U$56,Параметры!U$62)</f>
        <v>0.06</v>
      </c>
      <c r="V159" s="290">
        <f>CHOOSE($D142,Параметры!V$48,Параметры!V$56,Параметры!V$62)</f>
        <v>0.06</v>
      </c>
      <c r="W159" s="290">
        <f>CHOOSE($D142,Параметры!W$48,Параметры!W$56,Параметры!W$62)</f>
        <v>0.06</v>
      </c>
      <c r="X159" s="290">
        <f>CHOOSE($D142,Параметры!X$48,Параметры!X$56,Параметры!X$62)</f>
        <v>0.06</v>
      </c>
      <c r="Y159" s="290">
        <f>CHOOSE($D142,Параметры!Y$48,Параметры!Y$56,Параметры!Y$62)</f>
        <v>0.06</v>
      </c>
      <c r="Z159" s="290">
        <f>CHOOSE($D142,Параметры!Z$48,Параметры!Z$56,Параметры!Z$62)</f>
        <v>0.06</v>
      </c>
      <c r="AA159" s="290">
        <f>CHOOSE($D142,Параметры!AA$48,Параметры!AA$56,Параметры!AA$62)</f>
        <v>0.06</v>
      </c>
      <c r="AB159" s="290">
        <f>CHOOSE($D142,Параметры!AB$48,Параметры!AB$56,Параметры!AB$62)</f>
        <v>0.06</v>
      </c>
      <c r="AC159" s="290">
        <f>CHOOSE($D142,Параметры!AC$48,Параметры!AC$56,Параметры!AC$62)</f>
        <v>0.06</v>
      </c>
      <c r="AD159" s="290">
        <f>CHOOSE($D142,Параметры!AD$48,Параметры!AD$56,Параметры!AD$62)</f>
        <v>0.06</v>
      </c>
      <c r="AE159" s="290">
        <f>CHOOSE($D142,Параметры!AE$48,Параметры!AE$56,Параметры!AE$62)</f>
        <v>0.06</v>
      </c>
      <c r="AF159" s="290">
        <f>CHOOSE($D142,Параметры!AF$48,Параметры!AF$56,Параметры!AF$62)</f>
        <v>0.06</v>
      </c>
      <c r="AG159" s="290">
        <f>CHOOSE($D142,Параметры!AG$48,Параметры!AG$56,Параметры!AG$62)</f>
        <v>0.06</v>
      </c>
      <c r="AH159" s="290">
        <f>CHOOSE($D142,Параметры!AH$48,Параметры!AH$56,Параметры!AH$62)</f>
        <v>0.06</v>
      </c>
      <c r="AI159" s="290">
        <f>CHOOSE($D142,Параметры!AI$48,Параметры!AI$56,Параметры!AI$62)</f>
        <v>0.06</v>
      </c>
      <c r="AJ159" s="290">
        <f>CHOOSE($D142,Параметры!AJ$48,Параметры!AJ$56,Параметры!AJ$62)</f>
        <v>0.06</v>
      </c>
      <c r="AK159" s="290">
        <f>CHOOSE($D142,Параметры!AK$48,Параметры!AK$56,Параметры!AK$62)</f>
        <v>0.06</v>
      </c>
      <c r="AL159" s="290">
        <f>CHOOSE($D142,Параметры!AL$48,Параметры!AL$56,Параметры!AL$62)</f>
        <v>0.06</v>
      </c>
      <c r="AM159" s="290">
        <f>CHOOSE($D142,Параметры!AM$48,Параметры!AM$56,Параметры!AM$62)</f>
        <v>0.06</v>
      </c>
      <c r="AN159" s="290">
        <f>CHOOSE($D142,Параметры!AN$48,Параметры!AN$56,Параметры!AN$62)</f>
        <v>0.06</v>
      </c>
      <c r="AO159" s="290">
        <f>CHOOSE($D142,Параметры!AO$48,Параметры!AO$56,Параметры!AO$62)</f>
        <v>0.06</v>
      </c>
      <c r="AP159" s="290">
        <f>CHOOSE($D142,Параметры!AP$48,Параметры!AP$56,Параметры!AP$62)</f>
        <v>0.06</v>
      </c>
      <c r="AQ159" s="290">
        <f>CHOOSE($D142,Параметры!AQ$48,Параметры!AQ$56,Параметры!AQ$62)</f>
        <v>0.06</v>
      </c>
      <c r="AR159" s="290">
        <f>CHOOSE($D142,Параметры!AR$48,Параметры!AR$56,Параметры!AR$62)</f>
        <v>0.06</v>
      </c>
      <c r="AS159" s="290">
        <f>CHOOSE($D142,Параметры!AS$48,Параметры!AS$56,Параметры!AS$62)</f>
        <v>0.06</v>
      </c>
      <c r="AT159" s="290">
        <f>CHOOSE($D142,Параметры!AT$48,Параметры!AT$56,Параметры!AT$62)</f>
        <v>0.06</v>
      </c>
      <c r="AU159" s="290">
        <f>CHOOSE($D142,Параметры!AU$48,Параметры!AU$56,Параметры!AU$62)</f>
        <v>0.06</v>
      </c>
      <c r="AV159" s="290">
        <f>CHOOSE($D142,Параметры!AV$48,Параметры!AV$56,Параметры!AV$62)</f>
        <v>0.06</v>
      </c>
      <c r="AW159" s="290">
        <f>CHOOSE($D142,Параметры!AW$48,Параметры!AW$56,Параметры!AW$62)</f>
        <v>0.06</v>
      </c>
      <c r="AX159" s="290">
        <f>CHOOSE($D142,Параметры!AX$48,Параметры!AX$56,Параметры!AX$62)</f>
        <v>0.06</v>
      </c>
      <c r="AY159" s="290">
        <f>CHOOSE($D142,Параметры!AY$48,Параметры!AY$56,Параметры!AY$62)</f>
        <v>0.06</v>
      </c>
      <c r="AZ159" s="290">
        <f>CHOOSE($D142,Параметры!AZ$48,Параметры!AZ$56,Параметры!AZ$62)</f>
        <v>0.06</v>
      </c>
      <c r="BA159" s="290">
        <f>CHOOSE($D142,Параметры!BA$48,Параметры!BA$56,Параметры!BA$62)</f>
        <v>0.06</v>
      </c>
      <c r="BB159" s="290">
        <f>CHOOSE($D142,Параметры!BB$48,Параметры!BB$56,Параметры!BB$62)</f>
        <v>0.06</v>
      </c>
      <c r="BC159" s="190"/>
      <c r="BD159" s="186"/>
    </row>
    <row r="160" spans="1:56" ht="14.4" hidden="1" thickTop="1" x14ac:dyDescent="0.3">
      <c r="A160" s="184" t="str">
        <f ca="1">Language!A$651</f>
        <v>ставка НДС</v>
      </c>
      <c r="B160" s="203"/>
      <c r="C160" s="163" t="s">
        <v>1</v>
      </c>
      <c r="D160" s="174"/>
      <c r="F160" s="170" t="s">
        <v>2344</v>
      </c>
      <c r="G160" s="290">
        <f>IF(G$2=1,Параметры!G$72,IF(F160=Параметры!F$72,Параметры!F$72,F160))</f>
        <v>0</v>
      </c>
      <c r="H160" s="290">
        <f>IF(H$2=1,Параметры!H$72,IF(G160=Параметры!G$72,Параметры!G$72,G160))</f>
        <v>0</v>
      </c>
      <c r="I160" s="290">
        <f>IF(I$2=1,Параметры!I$72,IF(H160=Параметры!H$72,Параметры!H$72,H160))</f>
        <v>0</v>
      </c>
      <c r="J160" s="290">
        <f>IF(J$2=1,Параметры!J$72,IF(I160=Параметры!I$72,Параметры!I$72,I160))</f>
        <v>0</v>
      </c>
      <c r="K160" s="290">
        <f>IF(K$2=1,Параметры!K$72,IF(J160=Параметры!J$72,Параметры!J$72,J160))</f>
        <v>0</v>
      </c>
      <c r="L160" s="290">
        <f>IF(L$2=1,Параметры!L$72,IF(K160=Параметры!K$72,Параметры!K$72,K160))</f>
        <v>0</v>
      </c>
      <c r="M160" s="290">
        <f>IF(M$2=1,Параметры!M$72,IF(L160=Параметры!L$72,Параметры!L$72,L160))</f>
        <v>0</v>
      </c>
      <c r="N160" s="290">
        <f>IF(N$2=1,Параметры!N$72,IF(M160=Параметры!M$72,Параметры!M$72,M160))</f>
        <v>0</v>
      </c>
      <c r="O160" s="290">
        <f>IF(O$2=1,Параметры!O$72,IF(N160=Параметры!N$72,Параметры!N$72,N160))</f>
        <v>0</v>
      </c>
      <c r="P160" s="290">
        <f>IF(P$2=1,Параметры!P$72,IF(O160=Параметры!O$72,Параметры!O$72,O160))</f>
        <v>0</v>
      </c>
      <c r="Q160" s="290">
        <f>IF(Q$2=1,Параметры!Q$72,IF(P160=Параметры!P$72,Параметры!P$72,P160))</f>
        <v>0</v>
      </c>
      <c r="R160" s="290">
        <f>IF(R$2=1,Параметры!R$72,IF(Q160=Параметры!Q$72,Параметры!Q$72,Q160))</f>
        <v>0</v>
      </c>
      <c r="S160" s="290">
        <f>IF(S$2=1,Параметры!S$72,IF(R160=Параметры!R$72,Параметры!R$72,R160))</f>
        <v>0</v>
      </c>
      <c r="T160" s="290">
        <f>IF(T$2=1,Параметры!T$72,IF(S160=Параметры!S$72,Параметры!S$72,S160))</f>
        <v>0</v>
      </c>
      <c r="U160" s="290">
        <f>IF(U$2=1,Параметры!U$72,IF(T160=Параметры!T$72,Параметры!T$72,T160))</f>
        <v>0</v>
      </c>
      <c r="V160" s="290">
        <f>IF(V$2=1,Параметры!V$72,IF(U160=Параметры!U$72,Параметры!U$72,U160))</f>
        <v>0</v>
      </c>
      <c r="W160" s="290">
        <f>IF(W$2=1,Параметры!W$72,IF(V160=Параметры!V$72,Параметры!V$72,V160))</f>
        <v>0</v>
      </c>
      <c r="X160" s="290">
        <f>IF(X$2=1,Параметры!X$72,IF(W160=Параметры!W$72,Параметры!W$72,W160))</f>
        <v>0</v>
      </c>
      <c r="Y160" s="290">
        <f>IF(Y$2=1,Параметры!Y$72,IF(X160=Параметры!X$72,Параметры!X$72,X160))</f>
        <v>0</v>
      </c>
      <c r="Z160" s="290">
        <f>IF(Z$2=1,Параметры!Z$72,IF(Y160=Параметры!Y$72,Параметры!Y$72,Y160))</f>
        <v>0</v>
      </c>
      <c r="AA160" s="290">
        <f>IF(AA$2=1,Параметры!AA$72,IF(Z160=Параметры!Z$72,Параметры!Z$72,Z160))</f>
        <v>0</v>
      </c>
      <c r="AB160" s="290">
        <f>IF(AB$2=1,Параметры!AB$72,IF(AA160=Параметры!AA$72,Параметры!AA$72,AA160))</f>
        <v>0</v>
      </c>
      <c r="AC160" s="290">
        <f>IF(AC$2=1,Параметры!AC$72,IF(AB160=Параметры!AB$72,Параметры!AB$72,AB160))</f>
        <v>0</v>
      </c>
      <c r="AD160" s="290">
        <f>IF(AD$2=1,Параметры!AD$72,IF(AC160=Параметры!AC$72,Параметры!AC$72,AC160))</f>
        <v>0</v>
      </c>
      <c r="AE160" s="290">
        <f>IF(AE$2=1,Параметры!AE$72,IF(AD160=Параметры!AD$72,Параметры!AD$72,AD160))</f>
        <v>0</v>
      </c>
      <c r="AF160" s="290">
        <f>IF(AF$2=1,Параметры!AF$72,IF(AE160=Параметры!AE$72,Параметры!AE$72,AE160))</f>
        <v>0</v>
      </c>
      <c r="AG160" s="290">
        <f>IF(AG$2=1,Параметры!AG$72,IF(AF160=Параметры!AF$72,Параметры!AF$72,AF160))</f>
        <v>0</v>
      </c>
      <c r="AH160" s="290">
        <f>IF(AH$2=1,Параметры!AH$72,IF(AG160=Параметры!AG$72,Параметры!AG$72,AG160))</f>
        <v>0</v>
      </c>
      <c r="AI160" s="290">
        <f>IF(AI$2=1,Параметры!AI$72,IF(AH160=Параметры!AH$72,Параметры!AH$72,AH160))</f>
        <v>0</v>
      </c>
      <c r="AJ160" s="290">
        <f>IF(AJ$2=1,Параметры!AJ$72,IF(AI160=Параметры!AI$72,Параметры!AI$72,AI160))</f>
        <v>0</v>
      </c>
      <c r="AK160" s="290">
        <f>IF(AK$2=1,Параметры!AK$72,IF(AJ160=Параметры!AJ$72,Параметры!AJ$72,AJ160))</f>
        <v>0</v>
      </c>
      <c r="AL160" s="290">
        <f>IF(AL$2=1,Параметры!AL$72,IF(AK160=Параметры!AK$72,Параметры!AK$72,AK160))</f>
        <v>0</v>
      </c>
      <c r="AM160" s="290">
        <f>IF(AM$2=1,Параметры!AM$72,IF(AL160=Параметры!AL$72,Параметры!AL$72,AL160))</f>
        <v>0</v>
      </c>
      <c r="AN160" s="290">
        <f>IF(AN$2=1,Параметры!AN$72,IF(AM160=Параметры!AM$72,Параметры!AM$72,AM160))</f>
        <v>0</v>
      </c>
      <c r="AO160" s="290">
        <f>IF(AO$2=1,Параметры!AO$72,IF(AN160=Параметры!AN$72,Параметры!AN$72,AN160))</f>
        <v>0</v>
      </c>
      <c r="AP160" s="290">
        <f>IF(AP$2=1,Параметры!AP$72,IF(AO160=Параметры!AO$72,Параметры!AO$72,AO160))</f>
        <v>0</v>
      </c>
      <c r="AQ160" s="290">
        <f>IF(AQ$2=1,Параметры!AQ$72,IF(AP160=Параметры!AP$72,Параметры!AP$72,AP160))</f>
        <v>0</v>
      </c>
      <c r="AR160" s="290">
        <f>IF(AR$2=1,Параметры!AR$72,IF(AQ160=Параметры!AQ$72,Параметры!AQ$72,AQ160))</f>
        <v>0</v>
      </c>
      <c r="AS160" s="290">
        <f>IF(AS$2=1,Параметры!AS$72,IF(AR160=Параметры!AR$72,Параметры!AR$72,AR160))</f>
        <v>0</v>
      </c>
      <c r="AT160" s="290">
        <f>IF(AT$2=1,Параметры!AT$72,IF(AS160=Параметры!AS$72,Параметры!AS$72,AS160))</f>
        <v>0</v>
      </c>
      <c r="AU160" s="290">
        <f>IF(AU$2=1,Параметры!AU$72,IF(AT160=Параметры!AT$72,Параметры!AT$72,AT160))</f>
        <v>0</v>
      </c>
      <c r="AV160" s="290">
        <f>IF(AV$2=1,Параметры!AV$72,IF(AU160=Параметры!AU$72,Параметры!AU$72,AU160))</f>
        <v>0</v>
      </c>
      <c r="AW160" s="290">
        <f>IF(AW$2=1,Параметры!AW$72,IF(AV160=Параметры!AV$72,Параметры!AV$72,AV160))</f>
        <v>0</v>
      </c>
      <c r="AX160" s="290">
        <f>IF(AX$2=1,Параметры!AX$72,IF(AW160=Параметры!AW$72,Параметры!AW$72,AW160))</f>
        <v>0</v>
      </c>
      <c r="AY160" s="290">
        <f>IF(AY$2=1,Параметры!AY$72,IF(AX160=Параметры!AX$72,Параметры!AX$72,AX160))</f>
        <v>0</v>
      </c>
      <c r="AZ160" s="290">
        <f>IF(AZ$2=1,Параметры!AZ$72,IF(AY160=Параметры!AY$72,Параметры!AY$72,AY160))</f>
        <v>0</v>
      </c>
      <c r="BA160" s="290">
        <f>IF(BA$2=1,Параметры!BA$72,IF(AZ160=Параметры!AZ$72,Параметры!AZ$72,AZ160))</f>
        <v>0</v>
      </c>
      <c r="BB160" s="290">
        <f>IF(BB$2=1,Параметры!BB$72,IF(BA160=Параметры!BA$72,Параметры!BA$72,BA160))</f>
        <v>0</v>
      </c>
      <c r="BC160" s="190"/>
      <c r="BD160" s="186"/>
    </row>
    <row r="161" spans="1:56" ht="14.4" hidden="1" thickTop="1" x14ac:dyDescent="0.3">
      <c r="A161" s="184" t="str">
        <f ca="1">Language!A$652</f>
        <v>ставка импортной пошлины</v>
      </c>
      <c r="B161" s="203"/>
      <c r="C161" s="163" t="s">
        <v>1</v>
      </c>
      <c r="D161" s="174"/>
      <c r="F161" s="170" t="s">
        <v>2344</v>
      </c>
      <c r="G161" s="290">
        <v>0</v>
      </c>
      <c r="H161" s="290">
        <f t="shared" ref="H161:BB161" si="862">G161</f>
        <v>0</v>
      </c>
      <c r="I161" s="290">
        <f t="shared" si="862"/>
        <v>0</v>
      </c>
      <c r="J161" s="290">
        <f t="shared" si="862"/>
        <v>0</v>
      </c>
      <c r="K161" s="290">
        <f t="shared" si="862"/>
        <v>0</v>
      </c>
      <c r="L161" s="290">
        <f t="shared" si="862"/>
        <v>0</v>
      </c>
      <c r="M161" s="290">
        <f t="shared" si="862"/>
        <v>0</v>
      </c>
      <c r="N161" s="290">
        <f t="shared" si="862"/>
        <v>0</v>
      </c>
      <c r="O161" s="290">
        <f t="shared" si="862"/>
        <v>0</v>
      </c>
      <c r="P161" s="290">
        <f t="shared" si="862"/>
        <v>0</v>
      </c>
      <c r="Q161" s="290">
        <f t="shared" si="862"/>
        <v>0</v>
      </c>
      <c r="R161" s="290">
        <f t="shared" si="862"/>
        <v>0</v>
      </c>
      <c r="S161" s="290">
        <f t="shared" si="862"/>
        <v>0</v>
      </c>
      <c r="T161" s="290">
        <f t="shared" si="862"/>
        <v>0</v>
      </c>
      <c r="U161" s="290">
        <f t="shared" si="862"/>
        <v>0</v>
      </c>
      <c r="V161" s="290">
        <f t="shared" si="862"/>
        <v>0</v>
      </c>
      <c r="W161" s="290">
        <f t="shared" si="862"/>
        <v>0</v>
      </c>
      <c r="X161" s="290">
        <f t="shared" si="862"/>
        <v>0</v>
      </c>
      <c r="Y161" s="290">
        <f t="shared" si="862"/>
        <v>0</v>
      </c>
      <c r="Z161" s="290">
        <f t="shared" si="862"/>
        <v>0</v>
      </c>
      <c r="AA161" s="290">
        <f t="shared" si="862"/>
        <v>0</v>
      </c>
      <c r="AB161" s="290">
        <f t="shared" si="862"/>
        <v>0</v>
      </c>
      <c r="AC161" s="290">
        <f t="shared" si="862"/>
        <v>0</v>
      </c>
      <c r="AD161" s="290">
        <f t="shared" si="862"/>
        <v>0</v>
      </c>
      <c r="AE161" s="290">
        <f t="shared" si="862"/>
        <v>0</v>
      </c>
      <c r="AF161" s="290">
        <f t="shared" si="862"/>
        <v>0</v>
      </c>
      <c r="AG161" s="290">
        <f t="shared" si="862"/>
        <v>0</v>
      </c>
      <c r="AH161" s="290">
        <f t="shared" si="862"/>
        <v>0</v>
      </c>
      <c r="AI161" s="290">
        <f t="shared" si="862"/>
        <v>0</v>
      </c>
      <c r="AJ161" s="290">
        <f t="shared" si="862"/>
        <v>0</v>
      </c>
      <c r="AK161" s="290">
        <f t="shared" si="862"/>
        <v>0</v>
      </c>
      <c r="AL161" s="290">
        <f t="shared" si="862"/>
        <v>0</v>
      </c>
      <c r="AM161" s="290">
        <f t="shared" si="862"/>
        <v>0</v>
      </c>
      <c r="AN161" s="290">
        <f t="shared" si="862"/>
        <v>0</v>
      </c>
      <c r="AO161" s="290">
        <f t="shared" si="862"/>
        <v>0</v>
      </c>
      <c r="AP161" s="290">
        <f t="shared" si="862"/>
        <v>0</v>
      </c>
      <c r="AQ161" s="290">
        <f t="shared" si="862"/>
        <v>0</v>
      </c>
      <c r="AR161" s="290">
        <f t="shared" si="862"/>
        <v>0</v>
      </c>
      <c r="AS161" s="290">
        <f t="shared" si="862"/>
        <v>0</v>
      </c>
      <c r="AT161" s="290">
        <f t="shared" si="862"/>
        <v>0</v>
      </c>
      <c r="AU161" s="290">
        <f t="shared" si="862"/>
        <v>0</v>
      </c>
      <c r="AV161" s="290">
        <f t="shared" si="862"/>
        <v>0</v>
      </c>
      <c r="AW161" s="290">
        <f t="shared" si="862"/>
        <v>0</v>
      </c>
      <c r="AX161" s="290">
        <f t="shared" si="862"/>
        <v>0</v>
      </c>
      <c r="AY161" s="290">
        <f t="shared" si="862"/>
        <v>0</v>
      </c>
      <c r="AZ161" s="290">
        <f t="shared" si="862"/>
        <v>0</v>
      </c>
      <c r="BA161" s="290">
        <f t="shared" si="862"/>
        <v>0</v>
      </c>
      <c r="BB161" s="290">
        <f t="shared" si="862"/>
        <v>0</v>
      </c>
      <c r="BC161" s="190"/>
      <c r="BD161" s="186"/>
    </row>
    <row r="162" spans="1:56" ht="14.4" hidden="1" thickTop="1" x14ac:dyDescent="0.3">
      <c r="A162" s="184" t="str">
        <f ca="1">Language!A$675</f>
        <v>коэффициент прироста цен к предыдущему периоду</v>
      </c>
      <c r="B162" s="203"/>
      <c r="C162" s="163" t="str">
        <f ca="1">Language!$A$1477</f>
        <v>раз</v>
      </c>
      <c r="D162" s="174"/>
      <c r="F162" s="170" t="s">
        <v>747</v>
      </c>
      <c r="G162" s="191">
        <f ca="1">IF(G$2=1,1,IF(Prj_Inflation=1,POWER(1+OFFSET(G159,0,-1),Параметры!G$30/360),1))</f>
        <v>1</v>
      </c>
      <c r="H162" s="191">
        <f ca="1">IF(H$2=1,1,IF(Prj_Inflation=1,POWER(1+OFFSET(H159,0,-1),Параметры!H$30/360),1))</f>
        <v>1.004867550565343</v>
      </c>
      <c r="I162" s="191">
        <f ca="1">IF(I$2=1,1,IF(Prj_Inflation=1,POWER(1+OFFSET(I159,0,-1),Параметры!I$30/360),1))</f>
        <v>1.004867550565343</v>
      </c>
      <c r="J162" s="191">
        <f ca="1">IF(J$2=1,1,IF(Prj_Inflation=1,POWER(1+OFFSET(J159,0,-1),Параметры!J$30/360),1))</f>
        <v>1.004867550565343</v>
      </c>
      <c r="K162" s="191">
        <f ca="1">IF(K$2=1,1,IF(Prj_Inflation=1,POWER(1+OFFSET(K159,0,-1),Параметры!K$30/360),1))</f>
        <v>1.004867550565343</v>
      </c>
      <c r="L162" s="191">
        <f ca="1">IF(L$2=1,1,IF(Prj_Inflation=1,POWER(1+OFFSET(L159,0,-1),Параметры!L$30/360),1))</f>
        <v>1.004867550565343</v>
      </c>
      <c r="M162" s="191">
        <f ca="1">IF(M$2=1,1,IF(Prj_Inflation=1,POWER(1+OFFSET(M159,0,-1),Параметры!M$30/360),1))</f>
        <v>1.004867550565343</v>
      </c>
      <c r="N162" s="191">
        <f ca="1">IF(N$2=1,1,IF(Prj_Inflation=1,POWER(1+OFFSET(N159,0,-1),Параметры!N$30/360),1))</f>
        <v>1.004867550565343</v>
      </c>
      <c r="O162" s="191">
        <f ca="1">IF(O$2=1,1,IF(Prj_Inflation=1,POWER(1+OFFSET(O159,0,-1),Параметры!O$30/360),1))</f>
        <v>1.004867550565343</v>
      </c>
      <c r="P162" s="191">
        <f ca="1">IF(P$2=1,1,IF(Prj_Inflation=1,POWER(1+OFFSET(P159,0,-1),Параметры!P$30/360),1))</f>
        <v>1.004867550565343</v>
      </c>
      <c r="Q162" s="191">
        <f ca="1">IF(Q$2=1,1,IF(Prj_Inflation=1,POWER(1+OFFSET(Q159,0,-1),Параметры!Q$30/360),1))</f>
        <v>1.004867550565343</v>
      </c>
      <c r="R162" s="191">
        <f ca="1">IF(R$2=1,1,IF(Prj_Inflation=1,POWER(1+OFFSET(R159,0,-1),Параметры!R$30/360),1))</f>
        <v>1.004867550565343</v>
      </c>
      <c r="S162" s="191">
        <f ca="1">IF(S$2=1,1,IF(Prj_Inflation=1,POWER(1+OFFSET(S159,0,-1),Параметры!S$30/360),1))</f>
        <v>1.004867550565343</v>
      </c>
      <c r="T162" s="191">
        <f ca="1">IF(T$2=1,1,IF(Prj_Inflation=1,POWER(1+OFFSET(T159,0,-1),Параметры!T$30/360),1))</f>
        <v>1.004867550565343</v>
      </c>
      <c r="U162" s="191">
        <f ca="1">IF(U$2=1,1,IF(Prj_Inflation=1,POWER(1+OFFSET(U159,0,-1),Параметры!U$30/360),1))</f>
        <v>1.004867550565343</v>
      </c>
      <c r="V162" s="191">
        <f ca="1">IF(V$2=1,1,IF(Prj_Inflation=1,POWER(1+OFFSET(V159,0,-1),Параметры!V$30/360),1))</f>
        <v>1.004867550565343</v>
      </c>
      <c r="W162" s="191">
        <f ca="1">IF(W$2=1,1,IF(Prj_Inflation=1,POWER(1+OFFSET(W159,0,-1),Параметры!W$30/360),1))</f>
        <v>1.004867550565343</v>
      </c>
      <c r="X162" s="191">
        <f ca="1">IF(X$2=1,1,IF(Prj_Inflation=1,POWER(1+OFFSET(X159,0,-1),Параметры!X$30/360),1))</f>
        <v>1.004867550565343</v>
      </c>
      <c r="Y162" s="191">
        <f ca="1">IF(Y$2=1,1,IF(Prj_Inflation=1,POWER(1+OFFSET(Y159,0,-1),Параметры!Y$30/360),1))</f>
        <v>1.004867550565343</v>
      </c>
      <c r="Z162" s="191">
        <f ca="1">IF(Z$2=1,1,IF(Prj_Inflation=1,POWER(1+OFFSET(Z159,0,-1),Параметры!Z$30/360),1))</f>
        <v>1.004867550565343</v>
      </c>
      <c r="AA162" s="191">
        <f ca="1">IF(AA$2=1,1,IF(Prj_Inflation=1,POWER(1+OFFSET(AA159,0,-1),Параметры!AA$30/360),1))</f>
        <v>1.004867550565343</v>
      </c>
      <c r="AB162" s="191">
        <f ca="1">IF(AB$2=1,1,IF(Prj_Inflation=1,POWER(1+OFFSET(AB159,0,-1),Параметры!AB$30/360),1))</f>
        <v>1.004867550565343</v>
      </c>
      <c r="AC162" s="191">
        <f ca="1">IF(AC$2=1,1,IF(Prj_Inflation=1,POWER(1+OFFSET(AC159,0,-1),Параметры!AC$30/360),1))</f>
        <v>1.004867550565343</v>
      </c>
      <c r="AD162" s="191">
        <f ca="1">IF(AD$2=1,1,IF(Prj_Inflation=1,POWER(1+OFFSET(AD159,0,-1),Параметры!AD$30/360),1))</f>
        <v>1.004867550565343</v>
      </c>
      <c r="AE162" s="191">
        <f ca="1">IF(AE$2=1,1,IF(Prj_Inflation=1,POWER(1+OFFSET(AE159,0,-1),Параметры!AE$30/360),1))</f>
        <v>1.004867550565343</v>
      </c>
      <c r="AF162" s="191">
        <f ca="1">IF(AF$2=1,1,IF(Prj_Inflation=1,POWER(1+OFFSET(AF159,0,-1),Параметры!AF$30/360),1))</f>
        <v>1.004867550565343</v>
      </c>
      <c r="AG162" s="191">
        <f ca="1">IF(AG$2=1,1,IF(Prj_Inflation=1,POWER(1+OFFSET(AG159,0,-1),Параметры!AG$30/360),1))</f>
        <v>1.004867550565343</v>
      </c>
      <c r="AH162" s="191">
        <f ca="1">IF(AH$2=1,1,IF(Prj_Inflation=1,POWER(1+OFFSET(AH159,0,-1),Параметры!AH$30/360),1))</f>
        <v>1.004867550565343</v>
      </c>
      <c r="AI162" s="191">
        <f ca="1">IF(AI$2=1,1,IF(Prj_Inflation=1,POWER(1+OFFSET(AI159,0,-1),Параметры!AI$30/360),1))</f>
        <v>1.004867550565343</v>
      </c>
      <c r="AJ162" s="191">
        <f ca="1">IF(AJ$2=1,1,IF(Prj_Inflation=1,POWER(1+OFFSET(AJ159,0,-1),Параметры!AJ$30/360),1))</f>
        <v>1.004867550565343</v>
      </c>
      <c r="AK162" s="191">
        <f ca="1">IF(AK$2=1,1,IF(Prj_Inflation=1,POWER(1+OFFSET(AK159,0,-1),Параметры!AK$30/360),1))</f>
        <v>1.004867550565343</v>
      </c>
      <c r="AL162" s="191">
        <f ca="1">IF(AL$2=1,1,IF(Prj_Inflation=1,POWER(1+OFFSET(AL159,0,-1),Параметры!AL$30/360),1))</f>
        <v>1.004867550565343</v>
      </c>
      <c r="AM162" s="191">
        <f ca="1">IF(AM$2=1,1,IF(Prj_Inflation=1,POWER(1+OFFSET(AM159,0,-1),Параметры!AM$30/360),1))</f>
        <v>1.004867550565343</v>
      </c>
      <c r="AN162" s="191">
        <f ca="1">IF(AN$2=1,1,IF(Prj_Inflation=1,POWER(1+OFFSET(AN159,0,-1),Параметры!AN$30/360),1))</f>
        <v>1.004867550565343</v>
      </c>
      <c r="AO162" s="191">
        <f ca="1">IF(AO$2=1,1,IF(Prj_Inflation=1,POWER(1+OFFSET(AO159,0,-1),Параметры!AO$30/360),1))</f>
        <v>1.004867550565343</v>
      </c>
      <c r="AP162" s="191">
        <f ca="1">IF(AP$2=1,1,IF(Prj_Inflation=1,POWER(1+OFFSET(AP159,0,-1),Параметры!AP$30/360),1))</f>
        <v>1.004867550565343</v>
      </c>
      <c r="AQ162" s="191">
        <f ca="1">IF(AQ$2=1,1,IF(Prj_Inflation=1,POWER(1+OFFSET(AQ159,0,-1),Параметры!AQ$30/360),1))</f>
        <v>1.004867550565343</v>
      </c>
      <c r="AR162" s="191">
        <f ca="1">IF(AR$2=1,1,IF(Prj_Inflation=1,POWER(1+OFFSET(AR159,0,-1),Параметры!AR$30/360),1))</f>
        <v>1.004867550565343</v>
      </c>
      <c r="AS162" s="191">
        <f ca="1">IF(AS$2=1,1,IF(Prj_Inflation=1,POWER(1+OFFSET(AS159,0,-1),Параметры!AS$30/360),1))</f>
        <v>1.004867550565343</v>
      </c>
      <c r="AT162" s="191">
        <f ca="1">IF(AT$2=1,1,IF(Prj_Inflation=1,POWER(1+OFFSET(AT159,0,-1),Параметры!AT$30/360),1))</f>
        <v>1.004867550565343</v>
      </c>
      <c r="AU162" s="191">
        <f ca="1">IF(AU$2=1,1,IF(Prj_Inflation=1,POWER(1+OFFSET(AU159,0,-1),Параметры!AU$30/360),1))</f>
        <v>1.004867550565343</v>
      </c>
      <c r="AV162" s="191">
        <f ca="1">IF(AV$2=1,1,IF(Prj_Inflation=1,POWER(1+OFFSET(AV159,0,-1),Параметры!AV$30/360),1))</f>
        <v>1.004867550565343</v>
      </c>
      <c r="AW162" s="191">
        <f ca="1">IF(AW$2=1,1,IF(Prj_Inflation=1,POWER(1+OFFSET(AW159,0,-1),Параметры!AW$30/360),1))</f>
        <v>1.004867550565343</v>
      </c>
      <c r="AX162" s="191">
        <f ca="1">IF(AX$2=1,1,IF(Prj_Inflation=1,POWER(1+OFFSET(AX159,0,-1),Параметры!AX$30/360),1))</f>
        <v>1.004867550565343</v>
      </c>
      <c r="AY162" s="191">
        <f ca="1">IF(AY$2=1,1,IF(Prj_Inflation=1,POWER(1+OFFSET(AY159,0,-1),Параметры!AY$30/360),1))</f>
        <v>1.004867550565343</v>
      </c>
      <c r="AZ162" s="191">
        <f ca="1">IF(AZ$2=1,1,IF(Prj_Inflation=1,POWER(1+OFFSET(AZ159,0,-1),Параметры!AZ$30/360),1))</f>
        <v>1.004867550565343</v>
      </c>
      <c r="BA162" s="191">
        <f ca="1">IF(BA$2=1,1,IF(Prj_Inflation=1,POWER(1+OFFSET(BA159,0,-1),Параметры!BA$30/360),1))</f>
        <v>1.004867550565343</v>
      </c>
      <c r="BB162" s="191">
        <f ca="1">IF(BB$2=1,1,IF(Prj_Inflation=1,POWER(1+OFFSET(BB159,0,-1),Параметры!BB$30/360),1))</f>
        <v>1.004867550565343</v>
      </c>
      <c r="BC162" s="191"/>
      <c r="BD162" s="186"/>
    </row>
    <row r="163" spans="1:56" ht="14.4" hidden="1" thickTop="1" x14ac:dyDescent="0.3">
      <c r="A163" s="184" t="str">
        <f ca="1">Language!A$1486</f>
        <v>индексировать в начале года</v>
      </c>
      <c r="B163" s="291">
        <v>0</v>
      </c>
      <c r="C163" s="163" t="str">
        <f ca="1">IF(B163=1,Language!$A$1475,Language!$A$1476)</f>
        <v>Нет</v>
      </c>
      <c r="D163" s="174"/>
      <c r="F163" s="170" t="s">
        <v>2345</v>
      </c>
      <c r="G163" s="192" t="str">
        <f ca="1">IF(Prj_Inflation=1,IF($B163=1,IF(G$2=1,1,IF(Параметры!G$29=1,1+OFFSET(G159,0,-1),1)),"-"),1)</f>
        <v>-</v>
      </c>
      <c r="H163" s="192" t="str">
        <f ca="1">IF(Prj_Inflation=1,IF($B163=1,IF(H$2=1,1,IF(Параметры!H$29=1,1+OFFSET(H159,0,-1),1)),"-"),1)</f>
        <v>-</v>
      </c>
      <c r="I163" s="192" t="str">
        <f ca="1">IF(Prj_Inflation=1,IF($B163=1,IF(I$2=1,1,IF(Параметры!I$29=1,1+OFFSET(I159,0,-1),1)),"-"),1)</f>
        <v>-</v>
      </c>
      <c r="J163" s="192" t="str">
        <f ca="1">IF(Prj_Inflation=1,IF($B163=1,IF(J$2=1,1,IF(Параметры!J$29=1,1+OFFSET(J159,0,-1),1)),"-"),1)</f>
        <v>-</v>
      </c>
      <c r="K163" s="192" t="str">
        <f ca="1">IF(Prj_Inflation=1,IF($B163=1,IF(K$2=1,1,IF(Параметры!K$29=1,1+OFFSET(K159,0,-1),1)),"-"),1)</f>
        <v>-</v>
      </c>
      <c r="L163" s="192" t="str">
        <f ca="1">IF(Prj_Inflation=1,IF($B163=1,IF(L$2=1,1,IF(Параметры!L$29=1,1+OFFSET(L159,0,-1),1)),"-"),1)</f>
        <v>-</v>
      </c>
      <c r="M163" s="192" t="str">
        <f ca="1">IF(Prj_Inflation=1,IF($B163=1,IF(M$2=1,1,IF(Параметры!M$29=1,1+OFFSET(M159,0,-1),1)),"-"),1)</f>
        <v>-</v>
      </c>
      <c r="N163" s="192" t="str">
        <f ca="1">IF(Prj_Inflation=1,IF($B163=1,IF(N$2=1,1,IF(Параметры!N$29=1,1+OFFSET(N159,0,-1),1)),"-"),1)</f>
        <v>-</v>
      </c>
      <c r="O163" s="192" t="str">
        <f ca="1">IF(Prj_Inflation=1,IF($B163=1,IF(O$2=1,1,IF(Параметры!O$29=1,1+OFFSET(O159,0,-1),1)),"-"),1)</f>
        <v>-</v>
      </c>
      <c r="P163" s="192" t="str">
        <f ca="1">IF(Prj_Inflation=1,IF($B163=1,IF(P$2=1,1,IF(Параметры!P$29=1,1+OFFSET(P159,0,-1),1)),"-"),1)</f>
        <v>-</v>
      </c>
      <c r="Q163" s="192" t="str">
        <f ca="1">IF(Prj_Inflation=1,IF($B163=1,IF(Q$2=1,1,IF(Параметры!Q$29=1,1+OFFSET(Q159,0,-1),1)),"-"),1)</f>
        <v>-</v>
      </c>
      <c r="R163" s="192" t="str">
        <f ca="1">IF(Prj_Inflation=1,IF($B163=1,IF(R$2=1,1,IF(Параметры!R$29=1,1+OFFSET(R159,0,-1),1)),"-"),1)</f>
        <v>-</v>
      </c>
      <c r="S163" s="192" t="str">
        <f ca="1">IF(Prj_Inflation=1,IF($B163=1,IF(S$2=1,1,IF(Параметры!S$29=1,1+OFFSET(S159,0,-1),1)),"-"),1)</f>
        <v>-</v>
      </c>
      <c r="T163" s="192" t="str">
        <f ca="1">IF(Prj_Inflation=1,IF($B163=1,IF(T$2=1,1,IF(Параметры!T$29=1,1+OFFSET(T159,0,-1),1)),"-"),1)</f>
        <v>-</v>
      </c>
      <c r="U163" s="192" t="str">
        <f ca="1">IF(Prj_Inflation=1,IF($B163=1,IF(U$2=1,1,IF(Параметры!U$29=1,1+OFFSET(U159,0,-1),1)),"-"),1)</f>
        <v>-</v>
      </c>
      <c r="V163" s="192" t="str">
        <f ca="1">IF(Prj_Inflation=1,IF($B163=1,IF(V$2=1,1,IF(Параметры!V$29=1,1+OFFSET(V159,0,-1),1)),"-"),1)</f>
        <v>-</v>
      </c>
      <c r="W163" s="192" t="str">
        <f ca="1">IF(Prj_Inflation=1,IF($B163=1,IF(W$2=1,1,IF(Параметры!W$29=1,1+OFFSET(W159,0,-1),1)),"-"),1)</f>
        <v>-</v>
      </c>
      <c r="X163" s="192" t="str">
        <f ca="1">IF(Prj_Inflation=1,IF($B163=1,IF(X$2=1,1,IF(Параметры!X$29=1,1+OFFSET(X159,0,-1),1)),"-"),1)</f>
        <v>-</v>
      </c>
      <c r="Y163" s="192" t="str">
        <f ca="1">IF(Prj_Inflation=1,IF($B163=1,IF(Y$2=1,1,IF(Параметры!Y$29=1,1+OFFSET(Y159,0,-1),1)),"-"),1)</f>
        <v>-</v>
      </c>
      <c r="Z163" s="192" t="str">
        <f ca="1">IF(Prj_Inflation=1,IF($B163=1,IF(Z$2=1,1,IF(Параметры!Z$29=1,1+OFFSET(Z159,0,-1),1)),"-"),1)</f>
        <v>-</v>
      </c>
      <c r="AA163" s="192" t="str">
        <f ca="1">IF(Prj_Inflation=1,IF($B163=1,IF(AA$2=1,1,IF(Параметры!AA$29=1,1+OFFSET(AA159,0,-1),1)),"-"),1)</f>
        <v>-</v>
      </c>
      <c r="AB163" s="192" t="str">
        <f ca="1">IF(Prj_Inflation=1,IF($B163=1,IF(AB$2=1,1,IF(Параметры!AB$29=1,1+OFFSET(AB159,0,-1),1)),"-"),1)</f>
        <v>-</v>
      </c>
      <c r="AC163" s="192" t="str">
        <f ca="1">IF(Prj_Inflation=1,IF($B163=1,IF(AC$2=1,1,IF(Параметры!AC$29=1,1+OFFSET(AC159,0,-1),1)),"-"),1)</f>
        <v>-</v>
      </c>
      <c r="AD163" s="192" t="str">
        <f ca="1">IF(Prj_Inflation=1,IF($B163=1,IF(AD$2=1,1,IF(Параметры!AD$29=1,1+OFFSET(AD159,0,-1),1)),"-"),1)</f>
        <v>-</v>
      </c>
      <c r="AE163" s="192" t="str">
        <f ca="1">IF(Prj_Inflation=1,IF($B163=1,IF(AE$2=1,1,IF(Параметры!AE$29=1,1+OFFSET(AE159,0,-1),1)),"-"),1)</f>
        <v>-</v>
      </c>
      <c r="AF163" s="192" t="str">
        <f ca="1">IF(Prj_Inflation=1,IF($B163=1,IF(AF$2=1,1,IF(Параметры!AF$29=1,1+OFFSET(AF159,0,-1),1)),"-"),1)</f>
        <v>-</v>
      </c>
      <c r="AG163" s="192" t="str">
        <f ca="1">IF(Prj_Inflation=1,IF($B163=1,IF(AG$2=1,1,IF(Параметры!AG$29=1,1+OFFSET(AG159,0,-1),1)),"-"),1)</f>
        <v>-</v>
      </c>
      <c r="AH163" s="192" t="str">
        <f ca="1">IF(Prj_Inflation=1,IF($B163=1,IF(AH$2=1,1,IF(Параметры!AH$29=1,1+OFFSET(AH159,0,-1),1)),"-"),1)</f>
        <v>-</v>
      </c>
      <c r="AI163" s="192" t="str">
        <f ca="1">IF(Prj_Inflation=1,IF($B163=1,IF(AI$2=1,1,IF(Параметры!AI$29=1,1+OFFSET(AI159,0,-1),1)),"-"),1)</f>
        <v>-</v>
      </c>
      <c r="AJ163" s="192" t="str">
        <f ca="1">IF(Prj_Inflation=1,IF($B163=1,IF(AJ$2=1,1,IF(Параметры!AJ$29=1,1+OFFSET(AJ159,0,-1),1)),"-"),1)</f>
        <v>-</v>
      </c>
      <c r="AK163" s="192" t="str">
        <f ca="1">IF(Prj_Inflation=1,IF($B163=1,IF(AK$2=1,1,IF(Параметры!AK$29=1,1+OFFSET(AK159,0,-1),1)),"-"),1)</f>
        <v>-</v>
      </c>
      <c r="AL163" s="192" t="str">
        <f ca="1">IF(Prj_Inflation=1,IF($B163=1,IF(AL$2=1,1,IF(Параметры!AL$29=1,1+OFFSET(AL159,0,-1),1)),"-"),1)</f>
        <v>-</v>
      </c>
      <c r="AM163" s="192" t="str">
        <f ca="1">IF(Prj_Inflation=1,IF($B163=1,IF(AM$2=1,1,IF(Параметры!AM$29=1,1+OFFSET(AM159,0,-1),1)),"-"),1)</f>
        <v>-</v>
      </c>
      <c r="AN163" s="192" t="str">
        <f ca="1">IF(Prj_Inflation=1,IF($B163=1,IF(AN$2=1,1,IF(Параметры!AN$29=1,1+OFFSET(AN159,0,-1),1)),"-"),1)</f>
        <v>-</v>
      </c>
      <c r="AO163" s="192" t="str">
        <f ca="1">IF(Prj_Inflation=1,IF($B163=1,IF(AO$2=1,1,IF(Параметры!AO$29=1,1+OFFSET(AO159,0,-1),1)),"-"),1)</f>
        <v>-</v>
      </c>
      <c r="AP163" s="192" t="str">
        <f ca="1">IF(Prj_Inflation=1,IF($B163=1,IF(AP$2=1,1,IF(Параметры!AP$29=1,1+OFFSET(AP159,0,-1),1)),"-"),1)</f>
        <v>-</v>
      </c>
      <c r="AQ163" s="192" t="str">
        <f ca="1">IF(Prj_Inflation=1,IF($B163=1,IF(AQ$2=1,1,IF(Параметры!AQ$29=1,1+OFFSET(AQ159,0,-1),1)),"-"),1)</f>
        <v>-</v>
      </c>
      <c r="AR163" s="192" t="str">
        <f ca="1">IF(Prj_Inflation=1,IF($B163=1,IF(AR$2=1,1,IF(Параметры!AR$29=1,1+OFFSET(AR159,0,-1),1)),"-"),1)</f>
        <v>-</v>
      </c>
      <c r="AS163" s="192" t="str">
        <f ca="1">IF(Prj_Inflation=1,IF($B163=1,IF(AS$2=1,1,IF(Параметры!AS$29=1,1+OFFSET(AS159,0,-1),1)),"-"),1)</f>
        <v>-</v>
      </c>
      <c r="AT163" s="192" t="str">
        <f ca="1">IF(Prj_Inflation=1,IF($B163=1,IF(AT$2=1,1,IF(Параметры!AT$29=1,1+OFFSET(AT159,0,-1),1)),"-"),1)</f>
        <v>-</v>
      </c>
      <c r="AU163" s="192" t="str">
        <f ca="1">IF(Prj_Inflation=1,IF($B163=1,IF(AU$2=1,1,IF(Параметры!AU$29=1,1+OFFSET(AU159,0,-1),1)),"-"),1)</f>
        <v>-</v>
      </c>
      <c r="AV163" s="192" t="str">
        <f ca="1">IF(Prj_Inflation=1,IF($B163=1,IF(AV$2=1,1,IF(Параметры!AV$29=1,1+OFFSET(AV159,0,-1),1)),"-"),1)</f>
        <v>-</v>
      </c>
      <c r="AW163" s="192" t="str">
        <f ca="1">IF(Prj_Inflation=1,IF($B163=1,IF(AW$2=1,1,IF(Параметры!AW$29=1,1+OFFSET(AW159,0,-1),1)),"-"),1)</f>
        <v>-</v>
      </c>
      <c r="AX163" s="192" t="str">
        <f ca="1">IF(Prj_Inflation=1,IF($B163=1,IF(AX$2=1,1,IF(Параметры!AX$29=1,1+OFFSET(AX159,0,-1),1)),"-"),1)</f>
        <v>-</v>
      </c>
      <c r="AY163" s="192" t="str">
        <f ca="1">IF(Prj_Inflation=1,IF($B163=1,IF(AY$2=1,1,IF(Параметры!AY$29=1,1+OFFSET(AY159,0,-1),1)),"-"),1)</f>
        <v>-</v>
      </c>
      <c r="AZ163" s="192" t="str">
        <f ca="1">IF(Prj_Inflation=1,IF($B163=1,IF(AZ$2=1,1,IF(Параметры!AZ$29=1,1+OFFSET(AZ159,0,-1),1)),"-"),1)</f>
        <v>-</v>
      </c>
      <c r="BA163" s="192" t="str">
        <f ca="1">IF(Prj_Inflation=1,IF($B163=1,IF(BA$2=1,1,IF(Параметры!BA$29=1,1+OFFSET(BA159,0,-1),1)),"-"),1)</f>
        <v>-</v>
      </c>
      <c r="BB163" s="192" t="str">
        <f ca="1">IF(Prj_Inflation=1,IF($B163=1,IF(BB$2=1,1,IF(Параметры!BB$29=1,1+OFFSET(BB159,0,-1),1)),"-"),1)</f>
        <v>-</v>
      </c>
      <c r="BC163" s="191"/>
      <c r="BD163" s="186"/>
    </row>
    <row r="164" spans="1:56" ht="14.4" hidden="1" thickTop="1" x14ac:dyDescent="0.3">
      <c r="A164" s="184" t="str">
        <f ca="1">Language!A$654</f>
        <v>пошлины начисленные</v>
      </c>
      <c r="B164" s="174"/>
      <c r="C164" s="163" t="str">
        <f ca="1">CHOOSE(D164,CurName1,CurName2,CurName3)</f>
        <v>руб.</v>
      </c>
      <c r="D164" s="174">
        <f>D142</f>
        <v>1</v>
      </c>
      <c r="E164" s="170" t="s">
        <v>1010</v>
      </c>
      <c r="F164" s="170" t="s">
        <v>743</v>
      </c>
      <c r="G164" s="185">
        <f ca="1">G152*G161</f>
        <v>0</v>
      </c>
      <c r="H164" s="185">
        <f t="shared" ref="H164:K164" ca="1" si="863">H152*H161</f>
        <v>0</v>
      </c>
      <c r="I164" s="185">
        <f t="shared" ca="1" si="863"/>
        <v>0</v>
      </c>
      <c r="J164" s="185">
        <f t="shared" ca="1" si="863"/>
        <v>0</v>
      </c>
      <c r="K164" s="185">
        <f t="shared" ca="1" si="863"/>
        <v>0</v>
      </c>
      <c r="L164" s="185">
        <f t="shared" ref="L164:M164" ca="1" si="864">L152*L161</f>
        <v>0</v>
      </c>
      <c r="M164" s="185">
        <f t="shared" ca="1" si="864"/>
        <v>0</v>
      </c>
      <c r="N164" s="185">
        <f t="shared" ref="N164:O164" ca="1" si="865">N152*N161</f>
        <v>0</v>
      </c>
      <c r="O164" s="185">
        <f t="shared" ca="1" si="865"/>
        <v>0</v>
      </c>
      <c r="P164" s="185">
        <f t="shared" ref="P164:Q164" ca="1" si="866">P152*P161</f>
        <v>0</v>
      </c>
      <c r="Q164" s="185">
        <f t="shared" ca="1" si="866"/>
        <v>0</v>
      </c>
      <c r="R164" s="185">
        <f t="shared" ref="R164:S164" ca="1" si="867">R152*R161</f>
        <v>0</v>
      </c>
      <c r="S164" s="185">
        <f t="shared" ca="1" si="867"/>
        <v>0</v>
      </c>
      <c r="T164" s="185">
        <f t="shared" ref="T164:U164" ca="1" si="868">T152*T161</f>
        <v>0</v>
      </c>
      <c r="U164" s="185">
        <f t="shared" ca="1" si="868"/>
        <v>0</v>
      </c>
      <c r="V164" s="185">
        <f t="shared" ref="V164:W164" ca="1" si="869">V152*V161</f>
        <v>0</v>
      </c>
      <c r="W164" s="185">
        <f t="shared" ca="1" si="869"/>
        <v>0</v>
      </c>
      <c r="X164" s="185">
        <f t="shared" ref="X164:Y164" ca="1" si="870">X152*X161</f>
        <v>0</v>
      </c>
      <c r="Y164" s="185">
        <f t="shared" ca="1" si="870"/>
        <v>0</v>
      </c>
      <c r="Z164" s="185">
        <f t="shared" ref="Z164:AA164" ca="1" si="871">Z152*Z161</f>
        <v>0</v>
      </c>
      <c r="AA164" s="185">
        <f t="shared" ca="1" si="871"/>
        <v>0</v>
      </c>
      <c r="AB164" s="185">
        <f t="shared" ref="AB164:AC164" ca="1" si="872">AB152*AB161</f>
        <v>0</v>
      </c>
      <c r="AC164" s="185">
        <f t="shared" ca="1" si="872"/>
        <v>0</v>
      </c>
      <c r="AD164" s="185">
        <f t="shared" ref="AD164:AE164" ca="1" si="873">AD152*AD161</f>
        <v>0</v>
      </c>
      <c r="AE164" s="185">
        <f t="shared" ca="1" si="873"/>
        <v>0</v>
      </c>
      <c r="AF164" s="185">
        <f t="shared" ref="AF164:AG164" ca="1" si="874">AF152*AF161</f>
        <v>0</v>
      </c>
      <c r="AG164" s="185">
        <f t="shared" ca="1" si="874"/>
        <v>0</v>
      </c>
      <c r="AH164" s="185">
        <f t="shared" ref="AH164:AI164" ca="1" si="875">AH152*AH161</f>
        <v>0</v>
      </c>
      <c r="AI164" s="185">
        <f t="shared" ca="1" si="875"/>
        <v>0</v>
      </c>
      <c r="AJ164" s="185">
        <f t="shared" ref="AJ164:AK164" ca="1" si="876">AJ152*AJ161</f>
        <v>0</v>
      </c>
      <c r="AK164" s="185">
        <f t="shared" ca="1" si="876"/>
        <v>0</v>
      </c>
      <c r="AL164" s="185">
        <f t="shared" ref="AL164:AM164" ca="1" si="877">AL152*AL161</f>
        <v>0</v>
      </c>
      <c r="AM164" s="185">
        <f t="shared" ca="1" si="877"/>
        <v>0</v>
      </c>
      <c r="AN164" s="185">
        <f t="shared" ref="AN164:AO164" ca="1" si="878">AN152*AN161</f>
        <v>0</v>
      </c>
      <c r="AO164" s="185">
        <f t="shared" ca="1" si="878"/>
        <v>0</v>
      </c>
      <c r="AP164" s="185">
        <f t="shared" ref="AP164:AQ164" ca="1" si="879">AP152*AP161</f>
        <v>0</v>
      </c>
      <c r="AQ164" s="185">
        <f t="shared" ca="1" si="879"/>
        <v>0</v>
      </c>
      <c r="AR164" s="185">
        <f t="shared" ref="AR164:AS164" ca="1" si="880">AR152*AR161</f>
        <v>0</v>
      </c>
      <c r="AS164" s="185">
        <f t="shared" ca="1" si="880"/>
        <v>0</v>
      </c>
      <c r="AT164" s="185">
        <f t="shared" ref="AT164:AU164" ca="1" si="881">AT152*AT161</f>
        <v>0</v>
      </c>
      <c r="AU164" s="185">
        <f t="shared" ca="1" si="881"/>
        <v>0</v>
      </c>
      <c r="AV164" s="185">
        <f t="shared" ref="AV164:AW164" ca="1" si="882">AV152*AV161</f>
        <v>0</v>
      </c>
      <c r="AW164" s="185">
        <f t="shared" ca="1" si="882"/>
        <v>0</v>
      </c>
      <c r="AX164" s="185">
        <f t="shared" ref="AX164:AY164" ca="1" si="883">AX152*AX161</f>
        <v>0</v>
      </c>
      <c r="AY164" s="185">
        <f t="shared" ca="1" si="883"/>
        <v>0</v>
      </c>
      <c r="AZ164" s="185">
        <f t="shared" ref="AZ164:BA164" ca="1" si="884">AZ152*AZ161</f>
        <v>0</v>
      </c>
      <c r="BA164" s="185">
        <f t="shared" ca="1" si="884"/>
        <v>0</v>
      </c>
      <c r="BB164" s="185">
        <f t="shared" ref="BB164" ca="1" si="885">BB152*BB161</f>
        <v>0</v>
      </c>
      <c r="BC164" s="185"/>
      <c r="BD164" s="193">
        <f ca="1">SUM(G164:BC164)</f>
        <v>0</v>
      </c>
    </row>
    <row r="165" spans="1:56" ht="14.4" hidden="1" thickTop="1" x14ac:dyDescent="0.3">
      <c r="A165" s="184" t="str">
        <f ca="1">Language!A$655</f>
        <v>НДС начисленный</v>
      </c>
      <c r="B165" s="174"/>
      <c r="C165" s="163" t="str">
        <f ca="1">CHOOSE(D165,CurName1,CurName2,CurName3)</f>
        <v>руб.</v>
      </c>
      <c r="D165" s="174">
        <f>D142</f>
        <v>1</v>
      </c>
      <c r="E165" s="170" t="s">
        <v>785</v>
      </c>
      <c r="F165" s="170" t="s">
        <v>743</v>
      </c>
      <c r="G165" s="185">
        <f ca="1">IF(Старт!$B$9+Старт!$B$10+Старт!$B$11=0,G152,G145)*G160</f>
        <v>0</v>
      </c>
      <c r="H165" s="185">
        <f ca="1">IF(Старт!$B$9+Старт!$B$10+Старт!$B$11=0,H152,H145)*H160</f>
        <v>0</v>
      </c>
      <c r="I165" s="185">
        <f ca="1">IF(Старт!$B$9+Старт!$B$10+Старт!$B$11=0,I152,I145)*I160</f>
        <v>0</v>
      </c>
      <c r="J165" s="185">
        <f ca="1">IF(Старт!$B$9+Старт!$B$10+Старт!$B$11=0,J152,J145)*J160</f>
        <v>0</v>
      </c>
      <c r="K165" s="185">
        <f ca="1">IF(Старт!$B$9+Старт!$B$10+Старт!$B$11=0,K152,K145)*K160</f>
        <v>0</v>
      </c>
      <c r="L165" s="185">
        <f ca="1">IF(Старт!$B$9+Старт!$B$10+Старт!$B$11=0,L152,L145)*L160</f>
        <v>0</v>
      </c>
      <c r="M165" s="185">
        <f ca="1">IF(Старт!$B$9+Старт!$B$10+Старт!$B$11=0,M152,M145)*M160</f>
        <v>0</v>
      </c>
      <c r="N165" s="185">
        <f ca="1">IF(Старт!$B$9+Старт!$B$10+Старт!$B$11=0,N152,N145)*N160</f>
        <v>0</v>
      </c>
      <c r="O165" s="185">
        <f ca="1">IF(Старт!$B$9+Старт!$B$10+Старт!$B$11=0,O152,O145)*O160</f>
        <v>0</v>
      </c>
      <c r="P165" s="185">
        <f ca="1">IF(Старт!$B$9+Старт!$B$10+Старт!$B$11=0,P152,P145)*P160</f>
        <v>0</v>
      </c>
      <c r="Q165" s="185">
        <f ca="1">IF(Старт!$B$9+Старт!$B$10+Старт!$B$11=0,Q152,Q145)*Q160</f>
        <v>0</v>
      </c>
      <c r="R165" s="185">
        <f ca="1">IF(Старт!$B$9+Старт!$B$10+Старт!$B$11=0,R152,R145)*R160</f>
        <v>0</v>
      </c>
      <c r="S165" s="185">
        <f ca="1">IF(Старт!$B$9+Старт!$B$10+Старт!$B$11=0,S152,S145)*S160</f>
        <v>0</v>
      </c>
      <c r="T165" s="185">
        <f ca="1">IF(Старт!$B$9+Старт!$B$10+Старт!$B$11=0,T152,T145)*T160</f>
        <v>0</v>
      </c>
      <c r="U165" s="185">
        <f ca="1">IF(Старт!$B$9+Старт!$B$10+Старт!$B$11=0,U152,U145)*U160</f>
        <v>0</v>
      </c>
      <c r="V165" s="185">
        <f ca="1">IF(Старт!$B$9+Старт!$B$10+Старт!$B$11=0,V152,V145)*V160</f>
        <v>0</v>
      </c>
      <c r="W165" s="185">
        <f ca="1">IF(Старт!$B$9+Старт!$B$10+Старт!$B$11=0,W152,W145)*W160</f>
        <v>0</v>
      </c>
      <c r="X165" s="185">
        <f ca="1">IF(Старт!$B$9+Старт!$B$10+Старт!$B$11=0,X152,X145)*X160</f>
        <v>0</v>
      </c>
      <c r="Y165" s="185">
        <f ca="1">IF(Старт!$B$9+Старт!$B$10+Старт!$B$11=0,Y152,Y145)*Y160</f>
        <v>0</v>
      </c>
      <c r="Z165" s="185">
        <f ca="1">IF(Старт!$B$9+Старт!$B$10+Старт!$B$11=0,Z152,Z145)*Z160</f>
        <v>0</v>
      </c>
      <c r="AA165" s="185">
        <f ca="1">IF(Старт!$B$9+Старт!$B$10+Старт!$B$11=0,AA152,AA145)*AA160</f>
        <v>0</v>
      </c>
      <c r="AB165" s="185">
        <f ca="1">IF(Старт!$B$9+Старт!$B$10+Старт!$B$11=0,AB152,AB145)*AB160</f>
        <v>0</v>
      </c>
      <c r="AC165" s="185">
        <f ca="1">IF(Старт!$B$9+Старт!$B$10+Старт!$B$11=0,AC152,AC145)*AC160</f>
        <v>0</v>
      </c>
      <c r="AD165" s="185">
        <f ca="1">IF(Старт!$B$9+Старт!$B$10+Старт!$B$11=0,AD152,AD145)*AD160</f>
        <v>0</v>
      </c>
      <c r="AE165" s="185">
        <f ca="1">IF(Старт!$B$9+Старт!$B$10+Старт!$B$11=0,AE152,AE145)*AE160</f>
        <v>0</v>
      </c>
      <c r="AF165" s="185">
        <f ca="1">IF(Старт!$B$9+Старт!$B$10+Старт!$B$11=0,AF152,AF145)*AF160</f>
        <v>0</v>
      </c>
      <c r="AG165" s="185">
        <f ca="1">IF(Старт!$B$9+Старт!$B$10+Старт!$B$11=0,AG152,AG145)*AG160</f>
        <v>0</v>
      </c>
      <c r="AH165" s="185">
        <f ca="1">IF(Старт!$B$9+Старт!$B$10+Старт!$B$11=0,AH152,AH145)*AH160</f>
        <v>0</v>
      </c>
      <c r="AI165" s="185">
        <f ca="1">IF(Старт!$B$9+Старт!$B$10+Старт!$B$11=0,AI152,AI145)*AI160</f>
        <v>0</v>
      </c>
      <c r="AJ165" s="185">
        <f ca="1">IF(Старт!$B$9+Старт!$B$10+Старт!$B$11=0,AJ152,AJ145)*AJ160</f>
        <v>0</v>
      </c>
      <c r="AK165" s="185">
        <f ca="1">IF(Старт!$B$9+Старт!$B$10+Старт!$B$11=0,AK152,AK145)*AK160</f>
        <v>0</v>
      </c>
      <c r="AL165" s="185">
        <f ca="1">IF(Старт!$B$9+Старт!$B$10+Старт!$B$11=0,AL152,AL145)*AL160</f>
        <v>0</v>
      </c>
      <c r="AM165" s="185">
        <f ca="1">IF(Старт!$B$9+Старт!$B$10+Старт!$B$11=0,AM152,AM145)*AM160</f>
        <v>0</v>
      </c>
      <c r="AN165" s="185">
        <f ca="1">IF(Старт!$B$9+Старт!$B$10+Старт!$B$11=0,AN152,AN145)*AN160</f>
        <v>0</v>
      </c>
      <c r="AO165" s="185">
        <f ca="1">IF(Старт!$B$9+Старт!$B$10+Старт!$B$11=0,AO152,AO145)*AO160</f>
        <v>0</v>
      </c>
      <c r="AP165" s="185">
        <f ca="1">IF(Старт!$B$9+Старт!$B$10+Старт!$B$11=0,AP152,AP145)*AP160</f>
        <v>0</v>
      </c>
      <c r="AQ165" s="185">
        <f ca="1">IF(Старт!$B$9+Старт!$B$10+Старт!$B$11=0,AQ152,AQ145)*AQ160</f>
        <v>0</v>
      </c>
      <c r="AR165" s="185">
        <f ca="1">IF(Старт!$B$9+Старт!$B$10+Старт!$B$11=0,AR152,AR145)*AR160</f>
        <v>0</v>
      </c>
      <c r="AS165" s="185">
        <f ca="1">IF(Старт!$B$9+Старт!$B$10+Старт!$B$11=0,AS152,AS145)*AS160</f>
        <v>0</v>
      </c>
      <c r="AT165" s="185">
        <f ca="1">IF(Старт!$B$9+Старт!$B$10+Старт!$B$11=0,AT152,AT145)*AT160</f>
        <v>0</v>
      </c>
      <c r="AU165" s="185">
        <f ca="1">IF(Старт!$B$9+Старт!$B$10+Старт!$B$11=0,AU152,AU145)*AU160</f>
        <v>0</v>
      </c>
      <c r="AV165" s="185">
        <f ca="1">IF(Старт!$B$9+Старт!$B$10+Старт!$B$11=0,AV152,AV145)*AV160</f>
        <v>0</v>
      </c>
      <c r="AW165" s="185">
        <f ca="1">IF(Старт!$B$9+Старт!$B$10+Старт!$B$11=0,AW152,AW145)*AW160</f>
        <v>0</v>
      </c>
      <c r="AX165" s="185">
        <f ca="1">IF(Старт!$B$9+Старт!$B$10+Старт!$B$11=0,AX152,AX145)*AX160</f>
        <v>0</v>
      </c>
      <c r="AY165" s="185">
        <f ca="1">IF(Старт!$B$9+Старт!$B$10+Старт!$B$11=0,AY152,AY145)*AY160</f>
        <v>0</v>
      </c>
      <c r="AZ165" s="185">
        <f ca="1">IF(Старт!$B$9+Старт!$B$10+Старт!$B$11=0,AZ152,AZ145)*AZ160</f>
        <v>0</v>
      </c>
      <c r="BA165" s="185">
        <f ca="1">IF(Старт!$B$9+Старт!$B$10+Старт!$B$11=0,BA152,BA145)*BA160</f>
        <v>0</v>
      </c>
      <c r="BB165" s="185">
        <f ca="1">IF(Старт!$B$9+Старт!$B$10+Старт!$B$11=0,BB152,BB145)*BB160</f>
        <v>0</v>
      </c>
      <c r="BC165" s="185"/>
      <c r="BD165" s="193">
        <f ca="1">SUM(G165:BC165)</f>
        <v>0</v>
      </c>
    </row>
    <row r="166" spans="1:56" ht="14.4" hidden="1" thickTop="1" x14ac:dyDescent="0.3">
      <c r="A166" s="283" t="str">
        <f ca="1">Language!A$656</f>
        <v>Шаблон материала с единицами</v>
      </c>
      <c r="B166" s="199"/>
      <c r="C166" s="176"/>
      <c r="D166" s="174">
        <v>1</v>
      </c>
      <c r="F166" s="170" t="s">
        <v>2309</v>
      </c>
      <c r="G166" s="177"/>
      <c r="H166" s="177"/>
      <c r="I166" s="177"/>
      <c r="J166" s="177"/>
      <c r="K166" s="177"/>
      <c r="L166" s="177"/>
      <c r="M166" s="177"/>
      <c r="N166" s="177"/>
      <c r="O166" s="177"/>
      <c r="P166" s="177"/>
      <c r="Q166" s="177"/>
      <c r="R166" s="177"/>
      <c r="S166" s="177"/>
      <c r="T166" s="177"/>
      <c r="U166" s="177"/>
      <c r="V166" s="177"/>
      <c r="W166" s="177"/>
      <c r="X166" s="177"/>
      <c r="Y166" s="177"/>
      <c r="Z166" s="177"/>
      <c r="AA166" s="177"/>
      <c r="AB166" s="177"/>
      <c r="AC166" s="177"/>
      <c r="AD166" s="177"/>
      <c r="AE166" s="177"/>
      <c r="AF166" s="177"/>
      <c r="AG166" s="177"/>
      <c r="AH166" s="177"/>
      <c r="AI166" s="177"/>
      <c r="AJ166" s="177"/>
      <c r="AK166" s="177"/>
      <c r="AL166" s="177"/>
      <c r="AM166" s="177"/>
      <c r="AN166" s="177"/>
      <c r="AO166" s="177"/>
      <c r="AP166" s="177"/>
      <c r="AQ166" s="177"/>
      <c r="AR166" s="177"/>
      <c r="AS166" s="177"/>
      <c r="AT166" s="177"/>
      <c r="AU166" s="177"/>
      <c r="AV166" s="177"/>
      <c r="AW166" s="177"/>
      <c r="AX166" s="177"/>
      <c r="AY166" s="177"/>
      <c r="AZ166" s="177"/>
      <c r="BA166" s="177"/>
      <c r="BB166" s="177"/>
      <c r="BC166" s="177"/>
      <c r="BD166" s="178"/>
    </row>
    <row r="167" spans="1:56" ht="14.4" hidden="1" thickTop="1" x14ac:dyDescent="0.3">
      <c r="A167" s="175" t="str">
        <f ca="1">Language!A$657</f>
        <v>физический расход на проданные товары за период</v>
      </c>
      <c r="B167" s="293">
        <v>0</v>
      </c>
      <c r="C167" s="292" t="str">
        <f ca="1">Language!$A$258</f>
        <v>ед.</v>
      </c>
      <c r="E167" s="170" t="s">
        <v>945</v>
      </c>
      <c r="F167" s="170" t="s">
        <v>2341</v>
      </c>
      <c r="G167" s="285">
        <f>$B167*G168</f>
        <v>0</v>
      </c>
      <c r="H167" s="285">
        <f t="shared" ref="H167:BB167" si="886">$B167*H168</f>
        <v>0</v>
      </c>
      <c r="I167" s="285">
        <f t="shared" si="886"/>
        <v>0</v>
      </c>
      <c r="J167" s="285">
        <f t="shared" si="886"/>
        <v>0</v>
      </c>
      <c r="K167" s="285">
        <f t="shared" si="886"/>
        <v>0</v>
      </c>
      <c r="L167" s="285">
        <f t="shared" si="886"/>
        <v>0</v>
      </c>
      <c r="M167" s="285">
        <f t="shared" si="886"/>
        <v>0</v>
      </c>
      <c r="N167" s="285">
        <f t="shared" si="886"/>
        <v>0</v>
      </c>
      <c r="O167" s="285">
        <f t="shared" si="886"/>
        <v>0</v>
      </c>
      <c r="P167" s="285">
        <f t="shared" si="886"/>
        <v>0</v>
      </c>
      <c r="Q167" s="285">
        <f t="shared" si="886"/>
        <v>0</v>
      </c>
      <c r="R167" s="285">
        <f t="shared" si="886"/>
        <v>0</v>
      </c>
      <c r="S167" s="285">
        <f t="shared" si="886"/>
        <v>0</v>
      </c>
      <c r="T167" s="285">
        <f t="shared" si="886"/>
        <v>0</v>
      </c>
      <c r="U167" s="285">
        <f t="shared" si="886"/>
        <v>0</v>
      </c>
      <c r="V167" s="285">
        <f t="shared" si="886"/>
        <v>0</v>
      </c>
      <c r="W167" s="285">
        <f t="shared" si="886"/>
        <v>0</v>
      </c>
      <c r="X167" s="285">
        <f t="shared" si="886"/>
        <v>0</v>
      </c>
      <c r="Y167" s="285">
        <f t="shared" si="886"/>
        <v>0</v>
      </c>
      <c r="Z167" s="285">
        <f t="shared" si="886"/>
        <v>0</v>
      </c>
      <c r="AA167" s="285">
        <f t="shared" si="886"/>
        <v>0</v>
      </c>
      <c r="AB167" s="285">
        <f t="shared" si="886"/>
        <v>0</v>
      </c>
      <c r="AC167" s="285">
        <f t="shared" si="886"/>
        <v>0</v>
      </c>
      <c r="AD167" s="285">
        <f t="shared" si="886"/>
        <v>0</v>
      </c>
      <c r="AE167" s="285">
        <f t="shared" si="886"/>
        <v>0</v>
      </c>
      <c r="AF167" s="285">
        <f t="shared" si="886"/>
        <v>0</v>
      </c>
      <c r="AG167" s="285">
        <f t="shared" si="886"/>
        <v>0</v>
      </c>
      <c r="AH167" s="285">
        <f t="shared" si="886"/>
        <v>0</v>
      </c>
      <c r="AI167" s="285">
        <f t="shared" si="886"/>
        <v>0</v>
      </c>
      <c r="AJ167" s="285">
        <f t="shared" si="886"/>
        <v>0</v>
      </c>
      <c r="AK167" s="285">
        <f t="shared" si="886"/>
        <v>0</v>
      </c>
      <c r="AL167" s="285">
        <f t="shared" si="886"/>
        <v>0</v>
      </c>
      <c r="AM167" s="285">
        <f t="shared" si="886"/>
        <v>0</v>
      </c>
      <c r="AN167" s="285">
        <f t="shared" si="886"/>
        <v>0</v>
      </c>
      <c r="AO167" s="285">
        <f t="shared" si="886"/>
        <v>0</v>
      </c>
      <c r="AP167" s="285">
        <f t="shared" si="886"/>
        <v>0</v>
      </c>
      <c r="AQ167" s="285">
        <f t="shared" si="886"/>
        <v>0</v>
      </c>
      <c r="AR167" s="285">
        <f t="shared" si="886"/>
        <v>0</v>
      </c>
      <c r="AS167" s="285">
        <f t="shared" si="886"/>
        <v>0</v>
      </c>
      <c r="AT167" s="285">
        <f t="shared" si="886"/>
        <v>0</v>
      </c>
      <c r="AU167" s="285">
        <f t="shared" si="886"/>
        <v>0</v>
      </c>
      <c r="AV167" s="285">
        <f t="shared" si="886"/>
        <v>0</v>
      </c>
      <c r="AW167" s="285">
        <f t="shared" si="886"/>
        <v>0</v>
      </c>
      <c r="AX167" s="285">
        <f t="shared" si="886"/>
        <v>0</v>
      </c>
      <c r="AY167" s="285">
        <f t="shared" si="886"/>
        <v>0</v>
      </c>
      <c r="AZ167" s="285">
        <f t="shared" si="886"/>
        <v>0</v>
      </c>
      <c r="BA167" s="285">
        <f t="shared" si="886"/>
        <v>0</v>
      </c>
      <c r="BB167" s="285">
        <f t="shared" si="886"/>
        <v>0</v>
      </c>
      <c r="BC167" s="177"/>
      <c r="BD167" s="178">
        <f>SUM(G167:BC167)</f>
        <v>0</v>
      </c>
    </row>
    <row r="168" spans="1:56" ht="14.4" hidden="1" thickTop="1" x14ac:dyDescent="0.3">
      <c r="A168" s="175" t="str">
        <f ca="1">Language!A$695</f>
        <v>коэффициент расходов</v>
      </c>
      <c r="B168" s="199"/>
      <c r="C168" s="176" t="s">
        <v>1</v>
      </c>
      <c r="F168" s="170" t="s">
        <v>749</v>
      </c>
      <c r="G168" s="286">
        <f t="shared" ref="G168:BB168" si="887">IF(G$2&gt;Prj_Invest,1,0)</f>
        <v>0</v>
      </c>
      <c r="H168" s="286">
        <f t="shared" si="887"/>
        <v>0</v>
      </c>
      <c r="I168" s="286">
        <f t="shared" si="887"/>
        <v>0</v>
      </c>
      <c r="J168" s="286">
        <f t="shared" si="887"/>
        <v>0</v>
      </c>
      <c r="K168" s="286">
        <f t="shared" si="887"/>
        <v>0</v>
      </c>
      <c r="L168" s="286">
        <f t="shared" si="887"/>
        <v>0</v>
      </c>
      <c r="M168" s="286">
        <f t="shared" si="887"/>
        <v>1</v>
      </c>
      <c r="N168" s="286">
        <f t="shared" si="887"/>
        <v>1</v>
      </c>
      <c r="O168" s="286">
        <f t="shared" si="887"/>
        <v>1</v>
      </c>
      <c r="P168" s="286">
        <f t="shared" si="887"/>
        <v>1</v>
      </c>
      <c r="Q168" s="286">
        <f t="shared" si="887"/>
        <v>1</v>
      </c>
      <c r="R168" s="286">
        <f t="shared" si="887"/>
        <v>1</v>
      </c>
      <c r="S168" s="286">
        <f t="shared" si="887"/>
        <v>1</v>
      </c>
      <c r="T168" s="286">
        <f t="shared" si="887"/>
        <v>1</v>
      </c>
      <c r="U168" s="286">
        <f t="shared" si="887"/>
        <v>1</v>
      </c>
      <c r="V168" s="286">
        <f t="shared" si="887"/>
        <v>1</v>
      </c>
      <c r="W168" s="286">
        <f t="shared" si="887"/>
        <v>1</v>
      </c>
      <c r="X168" s="286">
        <f t="shared" si="887"/>
        <v>1</v>
      </c>
      <c r="Y168" s="286">
        <f t="shared" si="887"/>
        <v>1</v>
      </c>
      <c r="Z168" s="286">
        <f t="shared" si="887"/>
        <v>1</v>
      </c>
      <c r="AA168" s="286">
        <f t="shared" si="887"/>
        <v>1</v>
      </c>
      <c r="AB168" s="286">
        <f t="shared" si="887"/>
        <v>1</v>
      </c>
      <c r="AC168" s="286">
        <f t="shared" si="887"/>
        <v>1</v>
      </c>
      <c r="AD168" s="286">
        <f t="shared" si="887"/>
        <v>1</v>
      </c>
      <c r="AE168" s="286">
        <f t="shared" si="887"/>
        <v>1</v>
      </c>
      <c r="AF168" s="286">
        <f t="shared" si="887"/>
        <v>1</v>
      </c>
      <c r="AG168" s="286">
        <f t="shared" si="887"/>
        <v>1</v>
      </c>
      <c r="AH168" s="286">
        <f t="shared" si="887"/>
        <v>1</v>
      </c>
      <c r="AI168" s="286">
        <f t="shared" si="887"/>
        <v>1</v>
      </c>
      <c r="AJ168" s="286">
        <f t="shared" si="887"/>
        <v>1</v>
      </c>
      <c r="AK168" s="286">
        <f t="shared" si="887"/>
        <v>1</v>
      </c>
      <c r="AL168" s="286">
        <f t="shared" si="887"/>
        <v>1</v>
      </c>
      <c r="AM168" s="286">
        <f t="shared" si="887"/>
        <v>1</v>
      </c>
      <c r="AN168" s="286">
        <f t="shared" si="887"/>
        <v>1</v>
      </c>
      <c r="AO168" s="286">
        <f t="shared" si="887"/>
        <v>1</v>
      </c>
      <c r="AP168" s="286">
        <f t="shared" si="887"/>
        <v>1</v>
      </c>
      <c r="AQ168" s="286">
        <f t="shared" si="887"/>
        <v>1</v>
      </c>
      <c r="AR168" s="286">
        <f t="shared" si="887"/>
        <v>1</v>
      </c>
      <c r="AS168" s="286">
        <f t="shared" si="887"/>
        <v>1</v>
      </c>
      <c r="AT168" s="286">
        <f t="shared" si="887"/>
        <v>1</v>
      </c>
      <c r="AU168" s="286">
        <f t="shared" si="887"/>
        <v>1</v>
      </c>
      <c r="AV168" s="286">
        <f t="shared" si="887"/>
        <v>1</v>
      </c>
      <c r="AW168" s="286">
        <f t="shared" si="887"/>
        <v>1</v>
      </c>
      <c r="AX168" s="286">
        <f t="shared" si="887"/>
        <v>1</v>
      </c>
      <c r="AY168" s="286">
        <f t="shared" si="887"/>
        <v>1</v>
      </c>
      <c r="AZ168" s="286">
        <f t="shared" si="887"/>
        <v>1</v>
      </c>
      <c r="BA168" s="286">
        <f t="shared" si="887"/>
        <v>1</v>
      </c>
      <c r="BB168" s="286">
        <f t="shared" si="887"/>
        <v>1</v>
      </c>
      <c r="BC168" s="177"/>
    </row>
    <row r="169" spans="1:56" ht="14.4" hidden="1" thickTop="1" x14ac:dyDescent="0.3">
      <c r="A169" s="175" t="str">
        <f ca="1">Language!A$658 &amp; C167 &amp; Language!A$1485</f>
        <v>цена за единицу (ед.), без НДС</v>
      </c>
      <c r="B169" s="293">
        <v>0</v>
      </c>
      <c r="C169" s="176" t="str">
        <f t="shared" ref="C169:C171" ca="1" si="888">CHOOSE(D169,CurName1,CurName2,CurName3)</f>
        <v>руб.</v>
      </c>
      <c r="D169" s="174">
        <f>D166</f>
        <v>1</v>
      </c>
      <c r="E169" s="170" t="s">
        <v>842</v>
      </c>
      <c r="F169" s="170" t="s">
        <v>2349</v>
      </c>
      <c r="G169" s="294">
        <f ca="1">IF(G$2=1,$B169,F169)*IF($B188=1,G188,G187)</f>
        <v>0</v>
      </c>
      <c r="H169" s="294">
        <f t="shared" ref="H169:BB169" ca="1" si="889">IF(H$2=1,$B169,G169)*IF($B188=1,H188,H187)</f>
        <v>0</v>
      </c>
      <c r="I169" s="294">
        <f t="shared" ca="1" si="889"/>
        <v>0</v>
      </c>
      <c r="J169" s="294">
        <f t="shared" ca="1" si="889"/>
        <v>0</v>
      </c>
      <c r="K169" s="294">
        <f t="shared" ca="1" si="889"/>
        <v>0</v>
      </c>
      <c r="L169" s="294">
        <f t="shared" ca="1" si="889"/>
        <v>0</v>
      </c>
      <c r="M169" s="294">
        <f t="shared" ca="1" si="889"/>
        <v>0</v>
      </c>
      <c r="N169" s="294">
        <f t="shared" ca="1" si="889"/>
        <v>0</v>
      </c>
      <c r="O169" s="294">
        <f t="shared" ca="1" si="889"/>
        <v>0</v>
      </c>
      <c r="P169" s="294">
        <f t="shared" ca="1" si="889"/>
        <v>0</v>
      </c>
      <c r="Q169" s="294">
        <f t="shared" ca="1" si="889"/>
        <v>0</v>
      </c>
      <c r="R169" s="294">
        <f t="shared" ca="1" si="889"/>
        <v>0</v>
      </c>
      <c r="S169" s="294">
        <f t="shared" ca="1" si="889"/>
        <v>0</v>
      </c>
      <c r="T169" s="294">
        <f t="shared" ca="1" si="889"/>
        <v>0</v>
      </c>
      <c r="U169" s="294">
        <f t="shared" ca="1" si="889"/>
        <v>0</v>
      </c>
      <c r="V169" s="294">
        <f t="shared" ca="1" si="889"/>
        <v>0</v>
      </c>
      <c r="W169" s="294">
        <f t="shared" ca="1" si="889"/>
        <v>0</v>
      </c>
      <c r="X169" s="294">
        <f t="shared" ca="1" si="889"/>
        <v>0</v>
      </c>
      <c r="Y169" s="294">
        <f t="shared" ca="1" si="889"/>
        <v>0</v>
      </c>
      <c r="Z169" s="294">
        <f t="shared" ca="1" si="889"/>
        <v>0</v>
      </c>
      <c r="AA169" s="294">
        <f t="shared" ca="1" si="889"/>
        <v>0</v>
      </c>
      <c r="AB169" s="294">
        <f t="shared" ca="1" si="889"/>
        <v>0</v>
      </c>
      <c r="AC169" s="294">
        <f t="shared" ca="1" si="889"/>
        <v>0</v>
      </c>
      <c r="AD169" s="294">
        <f t="shared" ca="1" si="889"/>
        <v>0</v>
      </c>
      <c r="AE169" s="294">
        <f t="shared" ca="1" si="889"/>
        <v>0</v>
      </c>
      <c r="AF169" s="294">
        <f t="shared" ca="1" si="889"/>
        <v>0</v>
      </c>
      <c r="AG169" s="294">
        <f t="shared" ca="1" si="889"/>
        <v>0</v>
      </c>
      <c r="AH169" s="294">
        <f t="shared" ca="1" si="889"/>
        <v>0</v>
      </c>
      <c r="AI169" s="294">
        <f t="shared" ca="1" si="889"/>
        <v>0</v>
      </c>
      <c r="AJ169" s="294">
        <f t="shared" ca="1" si="889"/>
        <v>0</v>
      </c>
      <c r="AK169" s="294">
        <f t="shared" ca="1" si="889"/>
        <v>0</v>
      </c>
      <c r="AL169" s="294">
        <f t="shared" ca="1" si="889"/>
        <v>0</v>
      </c>
      <c r="AM169" s="294">
        <f t="shared" ca="1" si="889"/>
        <v>0</v>
      </c>
      <c r="AN169" s="294">
        <f t="shared" ca="1" si="889"/>
        <v>0</v>
      </c>
      <c r="AO169" s="294">
        <f t="shared" ca="1" si="889"/>
        <v>0</v>
      </c>
      <c r="AP169" s="294">
        <f t="shared" ca="1" si="889"/>
        <v>0</v>
      </c>
      <c r="AQ169" s="294">
        <f t="shared" ca="1" si="889"/>
        <v>0</v>
      </c>
      <c r="AR169" s="294">
        <f t="shared" ca="1" si="889"/>
        <v>0</v>
      </c>
      <c r="AS169" s="294">
        <f t="shared" ca="1" si="889"/>
        <v>0</v>
      </c>
      <c r="AT169" s="294">
        <f t="shared" ca="1" si="889"/>
        <v>0</v>
      </c>
      <c r="AU169" s="294">
        <f t="shared" ca="1" si="889"/>
        <v>0</v>
      </c>
      <c r="AV169" s="294">
        <f t="shared" ca="1" si="889"/>
        <v>0</v>
      </c>
      <c r="AW169" s="294">
        <f t="shared" ca="1" si="889"/>
        <v>0</v>
      </c>
      <c r="AX169" s="294">
        <f t="shared" ca="1" si="889"/>
        <v>0</v>
      </c>
      <c r="AY169" s="294">
        <f t="shared" ca="1" si="889"/>
        <v>0</v>
      </c>
      <c r="AZ169" s="294">
        <f t="shared" ca="1" si="889"/>
        <v>0</v>
      </c>
      <c r="BA169" s="294">
        <f t="shared" ca="1" si="889"/>
        <v>0</v>
      </c>
      <c r="BB169" s="294">
        <f t="shared" ca="1" si="889"/>
        <v>0</v>
      </c>
      <c r="BC169" s="177"/>
      <c r="BD169" s="178"/>
    </row>
    <row r="170" spans="1:56" ht="14.4" hidden="1" thickTop="1" x14ac:dyDescent="0.3">
      <c r="A170" s="175" t="str">
        <f ca="1">Language!A$659</f>
        <v>затраты на проданный товар, без НДС</v>
      </c>
      <c r="B170" s="200"/>
      <c r="C170" s="176" t="str">
        <f t="shared" ca="1" si="888"/>
        <v>руб.</v>
      </c>
      <c r="D170" s="174">
        <f>D166</f>
        <v>1</v>
      </c>
      <c r="E170" s="170" t="s">
        <v>992</v>
      </c>
      <c r="F170" s="170" t="s">
        <v>742</v>
      </c>
      <c r="G170" s="177">
        <f ca="1">G167*G169*(1+G186)</f>
        <v>0</v>
      </c>
      <c r="H170" s="177">
        <f t="shared" ref="H170:K170" ca="1" si="890">H167*H169*(1+H186)</f>
        <v>0</v>
      </c>
      <c r="I170" s="177">
        <f t="shared" ca="1" si="890"/>
        <v>0</v>
      </c>
      <c r="J170" s="177">
        <f t="shared" ca="1" si="890"/>
        <v>0</v>
      </c>
      <c r="K170" s="177">
        <f t="shared" ca="1" si="890"/>
        <v>0</v>
      </c>
      <c r="L170" s="177">
        <f t="shared" ref="L170:M170" ca="1" si="891">L167*L169*(1+L186)</f>
        <v>0</v>
      </c>
      <c r="M170" s="177">
        <f t="shared" ca="1" si="891"/>
        <v>0</v>
      </c>
      <c r="N170" s="177">
        <f t="shared" ref="N170:O170" ca="1" si="892">N167*N169*(1+N186)</f>
        <v>0</v>
      </c>
      <c r="O170" s="177">
        <f t="shared" ca="1" si="892"/>
        <v>0</v>
      </c>
      <c r="P170" s="177">
        <f t="shared" ref="P170:Q170" ca="1" si="893">P167*P169*(1+P186)</f>
        <v>0</v>
      </c>
      <c r="Q170" s="177">
        <f t="shared" ca="1" si="893"/>
        <v>0</v>
      </c>
      <c r="R170" s="177">
        <f t="shared" ref="R170:S170" ca="1" si="894">R167*R169*(1+R186)</f>
        <v>0</v>
      </c>
      <c r="S170" s="177">
        <f t="shared" ca="1" si="894"/>
        <v>0</v>
      </c>
      <c r="T170" s="177">
        <f t="shared" ref="T170:U170" ca="1" si="895">T167*T169*(1+T186)</f>
        <v>0</v>
      </c>
      <c r="U170" s="177">
        <f t="shared" ca="1" si="895"/>
        <v>0</v>
      </c>
      <c r="V170" s="177">
        <f t="shared" ref="V170:W170" ca="1" si="896">V167*V169*(1+V186)</f>
        <v>0</v>
      </c>
      <c r="W170" s="177">
        <f t="shared" ca="1" si="896"/>
        <v>0</v>
      </c>
      <c r="X170" s="177">
        <f t="shared" ref="X170:Y170" ca="1" si="897">X167*X169*(1+X186)</f>
        <v>0</v>
      </c>
      <c r="Y170" s="177">
        <f t="shared" ca="1" si="897"/>
        <v>0</v>
      </c>
      <c r="Z170" s="177">
        <f t="shared" ref="Z170:AA170" ca="1" si="898">Z167*Z169*(1+Z186)</f>
        <v>0</v>
      </c>
      <c r="AA170" s="177">
        <f t="shared" ca="1" si="898"/>
        <v>0</v>
      </c>
      <c r="AB170" s="177">
        <f t="shared" ref="AB170:AC170" ca="1" si="899">AB167*AB169*(1+AB186)</f>
        <v>0</v>
      </c>
      <c r="AC170" s="177">
        <f t="shared" ca="1" si="899"/>
        <v>0</v>
      </c>
      <c r="AD170" s="177">
        <f t="shared" ref="AD170:AE170" ca="1" si="900">AD167*AD169*(1+AD186)</f>
        <v>0</v>
      </c>
      <c r="AE170" s="177">
        <f t="shared" ca="1" si="900"/>
        <v>0</v>
      </c>
      <c r="AF170" s="177">
        <f t="shared" ref="AF170:AG170" ca="1" si="901">AF167*AF169*(1+AF186)</f>
        <v>0</v>
      </c>
      <c r="AG170" s="177">
        <f t="shared" ca="1" si="901"/>
        <v>0</v>
      </c>
      <c r="AH170" s="177">
        <f t="shared" ref="AH170:AI170" ca="1" si="902">AH167*AH169*(1+AH186)</f>
        <v>0</v>
      </c>
      <c r="AI170" s="177">
        <f t="shared" ca="1" si="902"/>
        <v>0</v>
      </c>
      <c r="AJ170" s="177">
        <f t="shared" ref="AJ170:AK170" ca="1" si="903">AJ167*AJ169*(1+AJ186)</f>
        <v>0</v>
      </c>
      <c r="AK170" s="177">
        <f t="shared" ca="1" si="903"/>
        <v>0</v>
      </c>
      <c r="AL170" s="177">
        <f t="shared" ref="AL170:AM170" ca="1" si="904">AL167*AL169*(1+AL186)</f>
        <v>0</v>
      </c>
      <c r="AM170" s="177">
        <f t="shared" ca="1" si="904"/>
        <v>0</v>
      </c>
      <c r="AN170" s="177">
        <f t="shared" ref="AN170:AO170" ca="1" si="905">AN167*AN169*(1+AN186)</f>
        <v>0</v>
      </c>
      <c r="AO170" s="177">
        <f t="shared" ca="1" si="905"/>
        <v>0</v>
      </c>
      <c r="AP170" s="177">
        <f t="shared" ref="AP170:AQ170" ca="1" si="906">AP167*AP169*(1+AP186)</f>
        <v>0</v>
      </c>
      <c r="AQ170" s="177">
        <f t="shared" ca="1" si="906"/>
        <v>0</v>
      </c>
      <c r="AR170" s="177">
        <f t="shared" ref="AR170:AS170" ca="1" si="907">AR167*AR169*(1+AR186)</f>
        <v>0</v>
      </c>
      <c r="AS170" s="177">
        <f t="shared" ca="1" si="907"/>
        <v>0</v>
      </c>
      <c r="AT170" s="177">
        <f t="shared" ref="AT170:AU170" ca="1" si="908">AT167*AT169*(1+AT186)</f>
        <v>0</v>
      </c>
      <c r="AU170" s="177">
        <f t="shared" ca="1" si="908"/>
        <v>0</v>
      </c>
      <c r="AV170" s="177">
        <f t="shared" ref="AV170:AW170" ca="1" si="909">AV167*AV169*(1+AV186)</f>
        <v>0</v>
      </c>
      <c r="AW170" s="177">
        <f t="shared" ca="1" si="909"/>
        <v>0</v>
      </c>
      <c r="AX170" s="177">
        <f t="shared" ref="AX170:AY170" ca="1" si="910">AX167*AX169*(1+AX186)</f>
        <v>0</v>
      </c>
      <c r="AY170" s="177">
        <f t="shared" ca="1" si="910"/>
        <v>0</v>
      </c>
      <c r="AZ170" s="177">
        <f t="shared" ref="AZ170:BA170" ca="1" si="911">AZ167*AZ169*(1+AZ186)</f>
        <v>0</v>
      </c>
      <c r="BA170" s="177">
        <f t="shared" ca="1" si="911"/>
        <v>0</v>
      </c>
      <c r="BB170" s="177">
        <f t="shared" ref="BB170" ca="1" si="912">BB167*BB169*(1+BB186)</f>
        <v>0</v>
      </c>
      <c r="BC170" s="177"/>
      <c r="BD170" s="178">
        <f ca="1">SUM(G170:BC170)</f>
        <v>0</v>
      </c>
    </row>
    <row r="171" spans="1:56" ht="14.4" hidden="1" thickTop="1" x14ac:dyDescent="0.3">
      <c r="A171" s="184" t="str">
        <f ca="1">Language!A$660</f>
        <v>запасы сырья и материалов</v>
      </c>
      <c r="B171" s="200"/>
      <c r="C171" s="163" t="str">
        <f t="shared" ca="1" si="888"/>
        <v>руб.</v>
      </c>
      <c r="D171" s="174">
        <f>D166</f>
        <v>1</v>
      </c>
      <c r="E171" s="170" t="s">
        <v>1011</v>
      </c>
      <c r="F171" s="170" t="s">
        <v>2342</v>
      </c>
      <c r="G171" s="287">
        <f ca="1">IF(AND($B172=0,G$2&gt;1),F171,G170*$B172/Параметры!G$30)</f>
        <v>0</v>
      </c>
      <c r="H171" s="287">
        <f ca="1">IF(AND($B172=0,H$2&gt;1),G171,H170*$B172/Параметры!H$30)</f>
        <v>0</v>
      </c>
      <c r="I171" s="287">
        <f ca="1">IF(AND($B172=0,I$2&gt;1),H171,I170*$B172/Параметры!I$30)</f>
        <v>0</v>
      </c>
      <c r="J171" s="287">
        <f ca="1">IF(AND($B172=0,J$2&gt;1),I171,J170*$B172/Параметры!J$30)</f>
        <v>0</v>
      </c>
      <c r="K171" s="287">
        <f ca="1">IF(AND($B172=0,K$2&gt;1),J171,K170*$B172/Параметры!K$30)</f>
        <v>0</v>
      </c>
      <c r="L171" s="287">
        <f ca="1">IF(AND($B172=0,L$2&gt;1),K171,L170*$B172/Параметры!L$30)</f>
        <v>0</v>
      </c>
      <c r="M171" s="287">
        <f ca="1">IF(AND($B172=0,M$2&gt;1),L171,M170*$B172/Параметры!M$30)</f>
        <v>0</v>
      </c>
      <c r="N171" s="287">
        <f ca="1">IF(AND($B172=0,N$2&gt;1),M171,N170*$B172/Параметры!N$30)</f>
        <v>0</v>
      </c>
      <c r="O171" s="287">
        <f ca="1">IF(AND($B172=0,O$2&gt;1),N171,O170*$B172/Параметры!O$30)</f>
        <v>0</v>
      </c>
      <c r="P171" s="287">
        <f ca="1">IF(AND($B172=0,P$2&gt;1),O171,P170*$B172/Параметры!P$30)</f>
        <v>0</v>
      </c>
      <c r="Q171" s="287">
        <f ca="1">IF(AND($B172=0,Q$2&gt;1),P171,Q170*$B172/Параметры!Q$30)</f>
        <v>0</v>
      </c>
      <c r="R171" s="287">
        <f ca="1">IF(AND($B172=0,R$2&gt;1),Q171,R170*$B172/Параметры!R$30)</f>
        <v>0</v>
      </c>
      <c r="S171" s="287">
        <f ca="1">IF(AND($B172=0,S$2&gt;1),R171,S170*$B172/Параметры!S$30)</f>
        <v>0</v>
      </c>
      <c r="T171" s="287">
        <f ca="1">IF(AND($B172=0,T$2&gt;1),S171,T170*$B172/Параметры!T$30)</f>
        <v>0</v>
      </c>
      <c r="U171" s="287">
        <f ca="1">IF(AND($B172=0,U$2&gt;1),T171,U170*$B172/Параметры!U$30)</f>
        <v>0</v>
      </c>
      <c r="V171" s="287">
        <f ca="1">IF(AND($B172=0,V$2&gt;1),U171,V170*$B172/Параметры!V$30)</f>
        <v>0</v>
      </c>
      <c r="W171" s="287">
        <f ca="1">IF(AND($B172=0,W$2&gt;1),V171,W170*$B172/Параметры!W$30)</f>
        <v>0</v>
      </c>
      <c r="X171" s="287">
        <f ca="1">IF(AND($B172=0,X$2&gt;1),W171,X170*$B172/Параметры!X$30)</f>
        <v>0</v>
      </c>
      <c r="Y171" s="287">
        <f ca="1">IF(AND($B172=0,Y$2&gt;1),X171,Y170*$B172/Параметры!Y$30)</f>
        <v>0</v>
      </c>
      <c r="Z171" s="287">
        <f ca="1">IF(AND($B172=0,Z$2&gt;1),Y171,Z170*$B172/Параметры!Z$30)</f>
        <v>0</v>
      </c>
      <c r="AA171" s="287">
        <f ca="1">IF(AND($B172=0,AA$2&gt;1),Z171,AA170*$B172/Параметры!AA$30)</f>
        <v>0</v>
      </c>
      <c r="AB171" s="287">
        <f ca="1">IF(AND($B172=0,AB$2&gt;1),AA171,AB170*$B172/Параметры!AB$30)</f>
        <v>0</v>
      </c>
      <c r="AC171" s="287">
        <f ca="1">IF(AND($B172=0,AC$2&gt;1),AB171,AC170*$B172/Параметры!AC$30)</f>
        <v>0</v>
      </c>
      <c r="AD171" s="287">
        <f ca="1">IF(AND($B172=0,AD$2&gt;1),AC171,AD170*$B172/Параметры!AD$30)</f>
        <v>0</v>
      </c>
      <c r="AE171" s="287">
        <f ca="1">IF(AND($B172=0,AE$2&gt;1),AD171,AE170*$B172/Параметры!AE$30)</f>
        <v>0</v>
      </c>
      <c r="AF171" s="287">
        <f ca="1">IF(AND($B172=0,AF$2&gt;1),AE171,AF170*$B172/Параметры!AF$30)</f>
        <v>0</v>
      </c>
      <c r="AG171" s="287">
        <f ca="1">IF(AND($B172=0,AG$2&gt;1),AF171,AG170*$B172/Параметры!AG$30)</f>
        <v>0</v>
      </c>
      <c r="AH171" s="287">
        <f ca="1">IF(AND($B172=0,AH$2&gt;1),AG171,AH170*$B172/Параметры!AH$30)</f>
        <v>0</v>
      </c>
      <c r="AI171" s="287">
        <f ca="1">IF(AND($B172=0,AI$2&gt;1),AH171,AI170*$B172/Параметры!AI$30)</f>
        <v>0</v>
      </c>
      <c r="AJ171" s="287">
        <f ca="1">IF(AND($B172=0,AJ$2&gt;1),AI171,AJ170*$B172/Параметры!AJ$30)</f>
        <v>0</v>
      </c>
      <c r="AK171" s="287">
        <f ca="1">IF(AND($B172=0,AK$2&gt;1),AJ171,AK170*$B172/Параметры!AK$30)</f>
        <v>0</v>
      </c>
      <c r="AL171" s="287">
        <f ca="1">IF(AND($B172=0,AL$2&gt;1),AK171,AL170*$B172/Параметры!AL$30)</f>
        <v>0</v>
      </c>
      <c r="AM171" s="287">
        <f ca="1">IF(AND($B172=0,AM$2&gt;1),AL171,AM170*$B172/Параметры!AM$30)</f>
        <v>0</v>
      </c>
      <c r="AN171" s="287">
        <f ca="1">IF(AND($B172=0,AN$2&gt;1),AM171,AN170*$B172/Параметры!AN$30)</f>
        <v>0</v>
      </c>
      <c r="AO171" s="287">
        <f ca="1">IF(AND($B172=0,AO$2&gt;1),AN171,AO170*$B172/Параметры!AO$30)</f>
        <v>0</v>
      </c>
      <c r="AP171" s="287">
        <f ca="1">IF(AND($B172=0,AP$2&gt;1),AO171,AP170*$B172/Параметры!AP$30)</f>
        <v>0</v>
      </c>
      <c r="AQ171" s="287">
        <f ca="1">IF(AND($B172=0,AQ$2&gt;1),AP171,AQ170*$B172/Параметры!AQ$30)</f>
        <v>0</v>
      </c>
      <c r="AR171" s="287">
        <f ca="1">IF(AND($B172=0,AR$2&gt;1),AQ171,AR170*$B172/Параметры!AR$30)</f>
        <v>0</v>
      </c>
      <c r="AS171" s="287">
        <f ca="1">IF(AND($B172=0,AS$2&gt;1),AR171,AS170*$B172/Параметры!AS$30)</f>
        <v>0</v>
      </c>
      <c r="AT171" s="287">
        <f ca="1">IF(AND($B172=0,AT$2&gt;1),AS171,AT170*$B172/Параметры!AT$30)</f>
        <v>0</v>
      </c>
      <c r="AU171" s="287">
        <f ca="1">IF(AND($B172=0,AU$2&gt;1),AT171,AU170*$B172/Параметры!AU$30)</f>
        <v>0</v>
      </c>
      <c r="AV171" s="287">
        <f ca="1">IF(AND($B172=0,AV$2&gt;1),AU171,AV170*$B172/Параметры!AV$30)</f>
        <v>0</v>
      </c>
      <c r="AW171" s="287">
        <f ca="1">IF(AND($B172=0,AW$2&gt;1),AV171,AW170*$B172/Параметры!AW$30)</f>
        <v>0</v>
      </c>
      <c r="AX171" s="287">
        <f ca="1">IF(AND($B172=0,AX$2&gt;1),AW171,AX170*$B172/Параметры!AX$30)</f>
        <v>0</v>
      </c>
      <c r="AY171" s="287">
        <f ca="1">IF(AND($B172=0,AY$2&gt;1),AX171,AY170*$B172/Параметры!AY$30)</f>
        <v>0</v>
      </c>
      <c r="AZ171" s="287">
        <f ca="1">IF(AND($B172=0,AZ$2&gt;1),AY171,AZ170*$B172/Параметры!AZ$30)</f>
        <v>0</v>
      </c>
      <c r="BA171" s="287">
        <f ca="1">IF(AND($B172=0,BA$2&gt;1),AZ171,BA170*$B172/Параметры!BA$30)</f>
        <v>0</v>
      </c>
      <c r="BB171" s="287">
        <f ca="1">IF(AND($B172=0,BB$2&gt;1),BA171,BB170*$B172/Параметры!BB$30)</f>
        <v>0</v>
      </c>
      <c r="BC171" s="201"/>
      <c r="BD171" s="178"/>
    </row>
    <row r="172" spans="1:56" s="170" customFormat="1" ht="14.4" hidden="1" thickTop="1" x14ac:dyDescent="0.3">
      <c r="A172" s="187" t="str">
        <f ca="1">Language!A$661</f>
        <v>средняя оборачиваемость запасов</v>
      </c>
      <c r="B172" s="288">
        <f>$B$585</f>
        <v>15</v>
      </c>
      <c r="C172" s="163" t="str">
        <f ca="1">Language!$A$1474</f>
        <v>дней</v>
      </c>
      <c r="D172" s="174"/>
      <c r="F172" s="170" t="s">
        <v>2343</v>
      </c>
      <c r="G172" s="185"/>
      <c r="H172" s="185"/>
      <c r="I172" s="185"/>
      <c r="J172" s="185"/>
      <c r="K172" s="185"/>
      <c r="L172" s="185"/>
      <c r="M172" s="185"/>
      <c r="N172" s="185"/>
      <c r="O172" s="185"/>
      <c r="P172" s="185"/>
      <c r="Q172" s="185"/>
      <c r="R172" s="185"/>
      <c r="S172" s="185"/>
      <c r="T172" s="185"/>
      <c r="U172" s="185"/>
      <c r="V172" s="185"/>
      <c r="W172" s="185"/>
      <c r="X172" s="185"/>
      <c r="Y172" s="185"/>
      <c r="Z172" s="185"/>
      <c r="AA172" s="185"/>
      <c r="AB172" s="185"/>
      <c r="AC172" s="185"/>
      <c r="AD172" s="185"/>
      <c r="AE172" s="185"/>
      <c r="AF172" s="185"/>
      <c r="AG172" s="185"/>
      <c r="AH172" s="185"/>
      <c r="AI172" s="185"/>
      <c r="AJ172" s="185"/>
      <c r="AK172" s="185"/>
      <c r="AL172" s="185"/>
      <c r="AM172" s="185"/>
      <c r="AN172" s="185"/>
      <c r="AO172" s="185"/>
      <c r="AP172" s="185"/>
      <c r="AQ172" s="185"/>
      <c r="AR172" s="185"/>
      <c r="AS172" s="185"/>
      <c r="AT172" s="185"/>
      <c r="AU172" s="185"/>
      <c r="AV172" s="185"/>
      <c r="AW172" s="185"/>
      <c r="AX172" s="185"/>
      <c r="AY172" s="185"/>
      <c r="AZ172" s="185"/>
      <c r="BA172" s="185"/>
      <c r="BB172" s="185"/>
      <c r="BC172" s="185"/>
      <c r="BD172" s="193"/>
    </row>
    <row r="173" spans="1:56" ht="14.4" hidden="1" thickTop="1" x14ac:dyDescent="0.3">
      <c r="A173" s="184" t="str">
        <f ca="1">Language!A$662</f>
        <v>затраты в запасах готовой продукции</v>
      </c>
      <c r="B173" s="174"/>
      <c r="C173" s="163" t="str">
        <f t="shared" ref="C173" ca="1" si="913">CHOOSE(D173,CurName1,CurName2,CurName3)</f>
        <v>руб.</v>
      </c>
      <c r="D173" s="174">
        <f>D166</f>
        <v>1</v>
      </c>
      <c r="E173" s="170" t="s">
        <v>1012</v>
      </c>
      <c r="F173" s="170" t="s">
        <v>2342</v>
      </c>
      <c r="G173" s="287">
        <f ca="1">IF(AND($B174=0,G$2&gt;1),F173,G170*$B174/Параметры!G$30)</f>
        <v>0</v>
      </c>
      <c r="H173" s="287">
        <f ca="1">IF(AND($B174=0,H$2&gt;1),G173,H170*$B174/Параметры!H$30)</f>
        <v>0</v>
      </c>
      <c r="I173" s="287">
        <f ca="1">IF(AND($B174=0,I$2&gt;1),H173,I170*$B174/Параметры!I$30)</f>
        <v>0</v>
      </c>
      <c r="J173" s="287">
        <f ca="1">IF(AND($B174=0,J$2&gt;1),I173,J170*$B174/Параметры!J$30)</f>
        <v>0</v>
      </c>
      <c r="K173" s="287">
        <f ca="1">IF(AND($B174=0,K$2&gt;1),J173,K170*$B174/Параметры!K$30)</f>
        <v>0</v>
      </c>
      <c r="L173" s="287">
        <f ca="1">IF(AND($B174=0,L$2&gt;1),K173,L170*$B174/Параметры!L$30)</f>
        <v>0</v>
      </c>
      <c r="M173" s="287">
        <f ca="1">IF(AND($B174=0,M$2&gt;1),L173,M170*$B174/Параметры!M$30)</f>
        <v>0</v>
      </c>
      <c r="N173" s="287">
        <f ca="1">IF(AND($B174=0,N$2&gt;1),M173,N170*$B174/Параметры!N$30)</f>
        <v>0</v>
      </c>
      <c r="O173" s="287">
        <f ca="1">IF(AND($B174=0,O$2&gt;1),N173,O170*$B174/Параметры!O$30)</f>
        <v>0</v>
      </c>
      <c r="P173" s="287">
        <f ca="1">IF(AND($B174=0,P$2&gt;1),O173,P170*$B174/Параметры!P$30)</f>
        <v>0</v>
      </c>
      <c r="Q173" s="287">
        <f ca="1">IF(AND($B174=0,Q$2&gt;1),P173,Q170*$B174/Параметры!Q$30)</f>
        <v>0</v>
      </c>
      <c r="R173" s="287">
        <f ca="1">IF(AND($B174=0,R$2&gt;1),Q173,R170*$B174/Параметры!R$30)</f>
        <v>0</v>
      </c>
      <c r="S173" s="287">
        <f ca="1">IF(AND($B174=0,S$2&gt;1),R173,S170*$B174/Параметры!S$30)</f>
        <v>0</v>
      </c>
      <c r="T173" s="287">
        <f ca="1">IF(AND($B174=0,T$2&gt;1),S173,T170*$B174/Параметры!T$30)</f>
        <v>0</v>
      </c>
      <c r="U173" s="287">
        <f ca="1">IF(AND($B174=0,U$2&gt;1),T173,U170*$B174/Параметры!U$30)</f>
        <v>0</v>
      </c>
      <c r="V173" s="287">
        <f ca="1">IF(AND($B174=0,V$2&gt;1),U173,V170*$B174/Параметры!V$30)</f>
        <v>0</v>
      </c>
      <c r="W173" s="287">
        <f ca="1">IF(AND($B174=0,W$2&gt;1),V173,W170*$B174/Параметры!W$30)</f>
        <v>0</v>
      </c>
      <c r="X173" s="287">
        <f ca="1">IF(AND($B174=0,X$2&gt;1),W173,X170*$B174/Параметры!X$30)</f>
        <v>0</v>
      </c>
      <c r="Y173" s="287">
        <f ca="1">IF(AND($B174=0,Y$2&gt;1),X173,Y170*$B174/Параметры!Y$30)</f>
        <v>0</v>
      </c>
      <c r="Z173" s="287">
        <f ca="1">IF(AND($B174=0,Z$2&gt;1),Y173,Z170*$B174/Параметры!Z$30)</f>
        <v>0</v>
      </c>
      <c r="AA173" s="287">
        <f ca="1">IF(AND($B174=0,AA$2&gt;1),Z173,AA170*$B174/Параметры!AA$30)</f>
        <v>0</v>
      </c>
      <c r="AB173" s="287">
        <f ca="1">IF(AND($B174=0,AB$2&gt;1),AA173,AB170*$B174/Параметры!AB$30)</f>
        <v>0</v>
      </c>
      <c r="AC173" s="287">
        <f ca="1">IF(AND($B174=0,AC$2&gt;1),AB173,AC170*$B174/Параметры!AC$30)</f>
        <v>0</v>
      </c>
      <c r="AD173" s="287">
        <f ca="1">IF(AND($B174=0,AD$2&gt;1),AC173,AD170*$B174/Параметры!AD$30)</f>
        <v>0</v>
      </c>
      <c r="AE173" s="287">
        <f ca="1">IF(AND($B174=0,AE$2&gt;1),AD173,AE170*$B174/Параметры!AE$30)</f>
        <v>0</v>
      </c>
      <c r="AF173" s="287">
        <f ca="1">IF(AND($B174=0,AF$2&gt;1),AE173,AF170*$B174/Параметры!AF$30)</f>
        <v>0</v>
      </c>
      <c r="AG173" s="287">
        <f ca="1">IF(AND($B174=0,AG$2&gt;1),AF173,AG170*$B174/Параметры!AG$30)</f>
        <v>0</v>
      </c>
      <c r="AH173" s="287">
        <f ca="1">IF(AND($B174=0,AH$2&gt;1),AG173,AH170*$B174/Параметры!AH$30)</f>
        <v>0</v>
      </c>
      <c r="AI173" s="287">
        <f ca="1">IF(AND($B174=0,AI$2&gt;1),AH173,AI170*$B174/Параметры!AI$30)</f>
        <v>0</v>
      </c>
      <c r="AJ173" s="287">
        <f ca="1">IF(AND($B174=0,AJ$2&gt;1),AI173,AJ170*$B174/Параметры!AJ$30)</f>
        <v>0</v>
      </c>
      <c r="AK173" s="287">
        <f ca="1">IF(AND($B174=0,AK$2&gt;1),AJ173,AK170*$B174/Параметры!AK$30)</f>
        <v>0</v>
      </c>
      <c r="AL173" s="287">
        <f ca="1">IF(AND($B174=0,AL$2&gt;1),AK173,AL170*$B174/Параметры!AL$30)</f>
        <v>0</v>
      </c>
      <c r="AM173" s="287">
        <f ca="1">IF(AND($B174=0,AM$2&gt;1),AL173,AM170*$B174/Параметры!AM$30)</f>
        <v>0</v>
      </c>
      <c r="AN173" s="287">
        <f ca="1">IF(AND($B174=0,AN$2&gt;1),AM173,AN170*$B174/Параметры!AN$30)</f>
        <v>0</v>
      </c>
      <c r="AO173" s="287">
        <f ca="1">IF(AND($B174=0,AO$2&gt;1),AN173,AO170*$B174/Параметры!AO$30)</f>
        <v>0</v>
      </c>
      <c r="AP173" s="287">
        <f ca="1">IF(AND($B174=0,AP$2&gt;1),AO173,AP170*$B174/Параметры!AP$30)</f>
        <v>0</v>
      </c>
      <c r="AQ173" s="287">
        <f ca="1">IF(AND($B174=0,AQ$2&gt;1),AP173,AQ170*$B174/Параметры!AQ$30)</f>
        <v>0</v>
      </c>
      <c r="AR173" s="287">
        <f ca="1">IF(AND($B174=0,AR$2&gt;1),AQ173,AR170*$B174/Параметры!AR$30)</f>
        <v>0</v>
      </c>
      <c r="AS173" s="287">
        <f ca="1">IF(AND($B174=0,AS$2&gt;1),AR173,AS170*$B174/Параметры!AS$30)</f>
        <v>0</v>
      </c>
      <c r="AT173" s="287">
        <f ca="1">IF(AND($B174=0,AT$2&gt;1),AS173,AT170*$B174/Параметры!AT$30)</f>
        <v>0</v>
      </c>
      <c r="AU173" s="287">
        <f ca="1">IF(AND($B174=0,AU$2&gt;1),AT173,AU170*$B174/Параметры!AU$30)</f>
        <v>0</v>
      </c>
      <c r="AV173" s="287">
        <f ca="1">IF(AND($B174=0,AV$2&gt;1),AU173,AV170*$B174/Параметры!AV$30)</f>
        <v>0</v>
      </c>
      <c r="AW173" s="287">
        <f ca="1">IF(AND($B174=0,AW$2&gt;1),AV173,AW170*$B174/Параметры!AW$30)</f>
        <v>0</v>
      </c>
      <c r="AX173" s="287">
        <f ca="1">IF(AND($B174=0,AX$2&gt;1),AW173,AX170*$B174/Параметры!AX$30)</f>
        <v>0</v>
      </c>
      <c r="AY173" s="287">
        <f ca="1">IF(AND($B174=0,AY$2&gt;1),AX173,AY170*$B174/Параметры!AY$30)</f>
        <v>0</v>
      </c>
      <c r="AZ173" s="287">
        <f ca="1">IF(AND($B174=0,AZ$2&gt;1),AY173,AZ170*$B174/Параметры!AZ$30)</f>
        <v>0</v>
      </c>
      <c r="BA173" s="287">
        <f ca="1">IF(AND($B174=0,BA$2&gt;1),AZ173,BA170*$B174/Параметры!BA$30)</f>
        <v>0</v>
      </c>
      <c r="BB173" s="287">
        <f ca="1">IF(AND($B174=0,BB$2&gt;1),BA173,BB170*$B174/Параметры!BB$30)</f>
        <v>0</v>
      </c>
      <c r="BC173" s="185"/>
      <c r="BD173" s="193"/>
    </row>
    <row r="174" spans="1:56" s="170" customFormat="1" ht="14.4" hidden="1" thickTop="1" x14ac:dyDescent="0.3">
      <c r="A174" s="187" t="str">
        <f ca="1">Language!A$663</f>
        <v>средняя оборачиваемость готовой продукции</v>
      </c>
      <c r="B174" s="288">
        <f>$B$597</f>
        <v>15</v>
      </c>
      <c r="C174" s="163" t="str">
        <f ca="1">Language!$A$1474</f>
        <v>дней</v>
      </c>
      <c r="D174" s="174"/>
      <c r="F174" s="170" t="s">
        <v>2343</v>
      </c>
      <c r="G174" s="185"/>
      <c r="H174" s="185"/>
      <c r="I174" s="185"/>
      <c r="J174" s="185"/>
      <c r="K174" s="185"/>
      <c r="L174" s="185"/>
      <c r="M174" s="185"/>
      <c r="N174" s="185"/>
      <c r="O174" s="185"/>
      <c r="P174" s="185"/>
      <c r="Q174" s="185"/>
      <c r="R174" s="185"/>
      <c r="S174" s="185"/>
      <c r="T174" s="185"/>
      <c r="U174" s="185"/>
      <c r="V174" s="185"/>
      <c r="W174" s="185"/>
      <c r="X174" s="185"/>
      <c r="Y174" s="185"/>
      <c r="Z174" s="185"/>
      <c r="AA174" s="185"/>
      <c r="AB174" s="185"/>
      <c r="AC174" s="185"/>
      <c r="AD174" s="185"/>
      <c r="AE174" s="185"/>
      <c r="AF174" s="185"/>
      <c r="AG174" s="185"/>
      <c r="AH174" s="185"/>
      <c r="AI174" s="185"/>
      <c r="AJ174" s="185"/>
      <c r="AK174" s="185"/>
      <c r="AL174" s="185"/>
      <c r="AM174" s="185"/>
      <c r="AN174" s="185"/>
      <c r="AO174" s="185"/>
      <c r="AP174" s="185"/>
      <c r="AQ174" s="185"/>
      <c r="AR174" s="185"/>
      <c r="AS174" s="185"/>
      <c r="AT174" s="185"/>
      <c r="AU174" s="185"/>
      <c r="AV174" s="185"/>
      <c r="AW174" s="185"/>
      <c r="AX174" s="185"/>
      <c r="AY174" s="185"/>
      <c r="AZ174" s="185"/>
      <c r="BA174" s="185"/>
      <c r="BB174" s="185"/>
      <c r="BC174" s="185"/>
      <c r="BD174" s="193"/>
    </row>
    <row r="175" spans="1:56" ht="14.4" hidden="1" thickTop="1" x14ac:dyDescent="0.3">
      <c r="A175" s="184" t="str">
        <f ca="1">Language!A$664</f>
        <v>затраты в незавершенном производстве</v>
      </c>
      <c r="B175" s="174"/>
      <c r="C175" s="163" t="str">
        <f t="shared" ref="C175" ca="1" si="914">CHOOSE(D175,CurName1,CurName2,CurName3)</f>
        <v>руб.</v>
      </c>
      <c r="D175" s="174">
        <f>D166</f>
        <v>1</v>
      </c>
      <c r="E175" s="170" t="s">
        <v>754</v>
      </c>
      <c r="F175" s="170" t="s">
        <v>2342</v>
      </c>
      <c r="G175" s="287">
        <f ca="1">IF(AND($B176=0,G$2&gt;1),F175,G170*$B176/Параметры!G$30)</f>
        <v>0</v>
      </c>
      <c r="H175" s="287">
        <f ca="1">IF(AND($B176=0,H$2&gt;1),G175,H170*$B176/Параметры!H$30)</f>
        <v>0</v>
      </c>
      <c r="I175" s="287">
        <f ca="1">IF(AND($B176=0,I$2&gt;1),H175,I170*$B176/Параметры!I$30)</f>
        <v>0</v>
      </c>
      <c r="J175" s="287">
        <f ca="1">IF(AND($B176=0,J$2&gt;1),I175,J170*$B176/Параметры!J$30)</f>
        <v>0</v>
      </c>
      <c r="K175" s="287">
        <f ca="1">IF(AND($B176=0,K$2&gt;1),J175,K170*$B176/Параметры!K$30)</f>
        <v>0</v>
      </c>
      <c r="L175" s="287">
        <f ca="1">IF(AND($B176=0,L$2&gt;1),K175,L170*$B176/Параметры!L$30)</f>
        <v>0</v>
      </c>
      <c r="M175" s="287">
        <f ca="1">IF(AND($B176=0,M$2&gt;1),L175,M170*$B176/Параметры!M$30)</f>
        <v>0</v>
      </c>
      <c r="N175" s="287">
        <f ca="1">IF(AND($B176=0,N$2&gt;1),M175,N170*$B176/Параметры!N$30)</f>
        <v>0</v>
      </c>
      <c r="O175" s="287">
        <f ca="1">IF(AND($B176=0,O$2&gt;1),N175,O170*$B176/Параметры!O$30)</f>
        <v>0</v>
      </c>
      <c r="P175" s="287">
        <f ca="1">IF(AND($B176=0,P$2&gt;1),O175,P170*$B176/Параметры!P$30)</f>
        <v>0</v>
      </c>
      <c r="Q175" s="287">
        <f ca="1">IF(AND($B176=0,Q$2&gt;1),P175,Q170*$B176/Параметры!Q$30)</f>
        <v>0</v>
      </c>
      <c r="R175" s="287">
        <f ca="1">IF(AND($B176=0,R$2&gt;1),Q175,R170*$B176/Параметры!R$30)</f>
        <v>0</v>
      </c>
      <c r="S175" s="287">
        <f ca="1">IF(AND($B176=0,S$2&gt;1),R175,S170*$B176/Параметры!S$30)</f>
        <v>0</v>
      </c>
      <c r="T175" s="287">
        <f ca="1">IF(AND($B176=0,T$2&gt;1),S175,T170*$B176/Параметры!T$30)</f>
        <v>0</v>
      </c>
      <c r="U175" s="287">
        <f ca="1">IF(AND($B176=0,U$2&gt;1),T175,U170*$B176/Параметры!U$30)</f>
        <v>0</v>
      </c>
      <c r="V175" s="287">
        <f ca="1">IF(AND($B176=0,V$2&gt;1),U175,V170*$B176/Параметры!V$30)</f>
        <v>0</v>
      </c>
      <c r="W175" s="287">
        <f ca="1">IF(AND($B176=0,W$2&gt;1),V175,W170*$B176/Параметры!W$30)</f>
        <v>0</v>
      </c>
      <c r="X175" s="287">
        <f ca="1">IF(AND($B176=0,X$2&gt;1),W175,X170*$B176/Параметры!X$30)</f>
        <v>0</v>
      </c>
      <c r="Y175" s="287">
        <f ca="1">IF(AND($B176=0,Y$2&gt;1),X175,Y170*$B176/Параметры!Y$30)</f>
        <v>0</v>
      </c>
      <c r="Z175" s="287">
        <f ca="1">IF(AND($B176=0,Z$2&gt;1),Y175,Z170*$B176/Параметры!Z$30)</f>
        <v>0</v>
      </c>
      <c r="AA175" s="287">
        <f ca="1">IF(AND($B176=0,AA$2&gt;1),Z175,AA170*$B176/Параметры!AA$30)</f>
        <v>0</v>
      </c>
      <c r="AB175" s="287">
        <f ca="1">IF(AND($B176=0,AB$2&gt;1),AA175,AB170*$B176/Параметры!AB$30)</f>
        <v>0</v>
      </c>
      <c r="AC175" s="287">
        <f ca="1">IF(AND($B176=0,AC$2&gt;1),AB175,AC170*$B176/Параметры!AC$30)</f>
        <v>0</v>
      </c>
      <c r="AD175" s="287">
        <f ca="1">IF(AND($B176=0,AD$2&gt;1),AC175,AD170*$B176/Параметры!AD$30)</f>
        <v>0</v>
      </c>
      <c r="AE175" s="287">
        <f ca="1">IF(AND($B176=0,AE$2&gt;1),AD175,AE170*$B176/Параметры!AE$30)</f>
        <v>0</v>
      </c>
      <c r="AF175" s="287">
        <f ca="1">IF(AND($B176=0,AF$2&gt;1),AE175,AF170*$B176/Параметры!AF$30)</f>
        <v>0</v>
      </c>
      <c r="AG175" s="287">
        <f ca="1">IF(AND($B176=0,AG$2&gt;1),AF175,AG170*$B176/Параметры!AG$30)</f>
        <v>0</v>
      </c>
      <c r="AH175" s="287">
        <f ca="1">IF(AND($B176=0,AH$2&gt;1),AG175,AH170*$B176/Параметры!AH$30)</f>
        <v>0</v>
      </c>
      <c r="AI175" s="287">
        <f ca="1">IF(AND($B176=0,AI$2&gt;1),AH175,AI170*$B176/Параметры!AI$30)</f>
        <v>0</v>
      </c>
      <c r="AJ175" s="287">
        <f ca="1">IF(AND($B176=0,AJ$2&gt;1),AI175,AJ170*$B176/Параметры!AJ$30)</f>
        <v>0</v>
      </c>
      <c r="AK175" s="287">
        <f ca="1">IF(AND($B176=0,AK$2&gt;1),AJ175,AK170*$B176/Параметры!AK$30)</f>
        <v>0</v>
      </c>
      <c r="AL175" s="287">
        <f ca="1">IF(AND($B176=0,AL$2&gt;1),AK175,AL170*$B176/Параметры!AL$30)</f>
        <v>0</v>
      </c>
      <c r="AM175" s="287">
        <f ca="1">IF(AND($B176=0,AM$2&gt;1),AL175,AM170*$B176/Параметры!AM$30)</f>
        <v>0</v>
      </c>
      <c r="AN175" s="287">
        <f ca="1">IF(AND($B176=0,AN$2&gt;1),AM175,AN170*$B176/Параметры!AN$30)</f>
        <v>0</v>
      </c>
      <c r="AO175" s="287">
        <f ca="1">IF(AND($B176=0,AO$2&gt;1),AN175,AO170*$B176/Параметры!AO$30)</f>
        <v>0</v>
      </c>
      <c r="AP175" s="287">
        <f ca="1">IF(AND($B176=0,AP$2&gt;1),AO175,AP170*$B176/Параметры!AP$30)</f>
        <v>0</v>
      </c>
      <c r="AQ175" s="287">
        <f ca="1">IF(AND($B176=0,AQ$2&gt;1),AP175,AQ170*$B176/Параметры!AQ$30)</f>
        <v>0</v>
      </c>
      <c r="AR175" s="287">
        <f ca="1">IF(AND($B176=0,AR$2&gt;1),AQ175,AR170*$B176/Параметры!AR$30)</f>
        <v>0</v>
      </c>
      <c r="AS175" s="287">
        <f ca="1">IF(AND($B176=0,AS$2&gt;1),AR175,AS170*$B176/Параметры!AS$30)</f>
        <v>0</v>
      </c>
      <c r="AT175" s="287">
        <f ca="1">IF(AND($B176=0,AT$2&gt;1),AS175,AT170*$B176/Параметры!AT$30)</f>
        <v>0</v>
      </c>
      <c r="AU175" s="287">
        <f ca="1">IF(AND($B176=0,AU$2&gt;1),AT175,AU170*$B176/Параметры!AU$30)</f>
        <v>0</v>
      </c>
      <c r="AV175" s="287">
        <f ca="1">IF(AND($B176=0,AV$2&gt;1),AU175,AV170*$B176/Параметры!AV$30)</f>
        <v>0</v>
      </c>
      <c r="AW175" s="287">
        <f ca="1">IF(AND($B176=0,AW$2&gt;1),AV175,AW170*$B176/Параметры!AW$30)</f>
        <v>0</v>
      </c>
      <c r="AX175" s="287">
        <f ca="1">IF(AND($B176=0,AX$2&gt;1),AW175,AX170*$B176/Параметры!AX$30)</f>
        <v>0</v>
      </c>
      <c r="AY175" s="287">
        <f ca="1">IF(AND($B176=0,AY$2&gt;1),AX175,AY170*$B176/Параметры!AY$30)</f>
        <v>0</v>
      </c>
      <c r="AZ175" s="287">
        <f ca="1">IF(AND($B176=0,AZ$2&gt;1),AY175,AZ170*$B176/Параметры!AZ$30)</f>
        <v>0</v>
      </c>
      <c r="BA175" s="287">
        <f ca="1">IF(AND($B176=0,BA$2&gt;1),AZ175,BA170*$B176/Параметры!BA$30)</f>
        <v>0</v>
      </c>
      <c r="BB175" s="287">
        <f ca="1">IF(AND($B176=0,BB$2&gt;1),BA175,BB170*$B176/Параметры!BB$30)</f>
        <v>0</v>
      </c>
      <c r="BC175" s="185"/>
      <c r="BD175" s="193"/>
    </row>
    <row r="176" spans="1:56" s="170" customFormat="1" ht="14.4" hidden="1" thickTop="1" x14ac:dyDescent="0.3">
      <c r="A176" s="187" t="str">
        <f ca="1">Language!A$665</f>
        <v>длительность производственного цикла</v>
      </c>
      <c r="B176" s="288">
        <f>$B$591</f>
        <v>0</v>
      </c>
      <c r="C176" s="163" t="str">
        <f ca="1">Language!$A$1474</f>
        <v>дней</v>
      </c>
      <c r="D176" s="174"/>
      <c r="F176" s="170" t="s">
        <v>2343</v>
      </c>
      <c r="G176" s="185"/>
      <c r="H176" s="185"/>
      <c r="I176" s="185"/>
      <c r="J176" s="185"/>
      <c r="K176" s="185"/>
      <c r="L176" s="185"/>
      <c r="M176" s="185"/>
      <c r="N176" s="185"/>
      <c r="O176" s="185"/>
      <c r="P176" s="185"/>
      <c r="Q176" s="185"/>
      <c r="R176" s="185"/>
      <c r="S176" s="185"/>
      <c r="T176" s="185"/>
      <c r="U176" s="185"/>
      <c r="V176" s="185"/>
      <c r="W176" s="185"/>
      <c r="X176" s="185"/>
      <c r="Y176" s="185"/>
      <c r="Z176" s="185"/>
      <c r="AA176" s="185"/>
      <c r="AB176" s="185"/>
      <c r="AC176" s="185"/>
      <c r="AD176" s="185"/>
      <c r="AE176" s="185"/>
      <c r="AF176" s="185"/>
      <c r="AG176" s="185"/>
      <c r="AH176" s="185"/>
      <c r="AI176" s="185"/>
      <c r="AJ176" s="185"/>
      <c r="AK176" s="185"/>
      <c r="AL176" s="185"/>
      <c r="AM176" s="185"/>
      <c r="AN176" s="185"/>
      <c r="AO176" s="185"/>
      <c r="AP176" s="185"/>
      <c r="AQ176" s="185"/>
      <c r="AR176" s="185"/>
      <c r="AS176" s="185"/>
      <c r="AT176" s="185"/>
      <c r="AU176" s="185"/>
      <c r="AV176" s="185"/>
      <c r="AW176" s="185"/>
      <c r="AX176" s="185"/>
      <c r="AY176" s="185"/>
      <c r="AZ176" s="185"/>
      <c r="BA176" s="185"/>
      <c r="BB176" s="185"/>
      <c r="BC176" s="185"/>
      <c r="BD176" s="193"/>
    </row>
    <row r="177" spans="1:56" s="173" customFormat="1" ht="14.4" hidden="1" thickTop="1" x14ac:dyDescent="0.3">
      <c r="A177" s="181" t="str">
        <f ca="1">Language!A$666</f>
        <v>общий расход за период, без НДС</v>
      </c>
      <c r="B177" s="200"/>
      <c r="C177" s="176" t="str">
        <f t="shared" ref="C177:C178" ca="1" si="915">CHOOSE(D177,CurName1,CurName2,CurName3)</f>
        <v>руб.</v>
      </c>
      <c r="D177" s="174">
        <f>D166</f>
        <v>1</v>
      </c>
      <c r="E177" s="170" t="s">
        <v>2312</v>
      </c>
      <c r="F177" s="170" t="s">
        <v>743</v>
      </c>
      <c r="G177" s="202">
        <f ca="1">G170+IF(G$2=1,G171+G173+G175,G171+G173+G175-F171-F173-F175)</f>
        <v>0</v>
      </c>
      <c r="H177" s="202">
        <f t="shared" ref="H177:BB177" ca="1" si="916">H170+IF(H$2=1,H171+H173+H175,H171+H173+H175-G171-G173-G175)</f>
        <v>0</v>
      </c>
      <c r="I177" s="202">
        <f t="shared" ca="1" si="916"/>
        <v>0</v>
      </c>
      <c r="J177" s="202">
        <f t="shared" ca="1" si="916"/>
        <v>0</v>
      </c>
      <c r="K177" s="202">
        <f t="shared" ca="1" si="916"/>
        <v>0</v>
      </c>
      <c r="L177" s="202">
        <f t="shared" ca="1" si="916"/>
        <v>0</v>
      </c>
      <c r="M177" s="202">
        <f t="shared" ca="1" si="916"/>
        <v>0</v>
      </c>
      <c r="N177" s="202">
        <f t="shared" ca="1" si="916"/>
        <v>0</v>
      </c>
      <c r="O177" s="202">
        <f t="shared" ca="1" si="916"/>
        <v>0</v>
      </c>
      <c r="P177" s="202">
        <f t="shared" ca="1" si="916"/>
        <v>0</v>
      </c>
      <c r="Q177" s="202">
        <f t="shared" ca="1" si="916"/>
        <v>0</v>
      </c>
      <c r="R177" s="202">
        <f t="shared" ca="1" si="916"/>
        <v>0</v>
      </c>
      <c r="S177" s="202">
        <f t="shared" ca="1" si="916"/>
        <v>0</v>
      </c>
      <c r="T177" s="202">
        <f t="shared" ca="1" si="916"/>
        <v>0</v>
      </c>
      <c r="U177" s="202">
        <f t="shared" ca="1" si="916"/>
        <v>0</v>
      </c>
      <c r="V177" s="202">
        <f t="shared" ca="1" si="916"/>
        <v>0</v>
      </c>
      <c r="W177" s="202">
        <f t="shared" ca="1" si="916"/>
        <v>0</v>
      </c>
      <c r="X177" s="202">
        <f t="shared" ca="1" si="916"/>
        <v>0</v>
      </c>
      <c r="Y177" s="202">
        <f t="shared" ca="1" si="916"/>
        <v>0</v>
      </c>
      <c r="Z177" s="202">
        <f t="shared" ca="1" si="916"/>
        <v>0</v>
      </c>
      <c r="AA177" s="202">
        <f t="shared" ca="1" si="916"/>
        <v>0</v>
      </c>
      <c r="AB177" s="202">
        <f t="shared" ca="1" si="916"/>
        <v>0</v>
      </c>
      <c r="AC177" s="202">
        <f t="shared" ca="1" si="916"/>
        <v>0</v>
      </c>
      <c r="AD177" s="202">
        <f t="shared" ca="1" si="916"/>
        <v>0</v>
      </c>
      <c r="AE177" s="202">
        <f t="shared" ca="1" si="916"/>
        <v>0</v>
      </c>
      <c r="AF177" s="202">
        <f t="shared" ca="1" si="916"/>
        <v>0</v>
      </c>
      <c r="AG177" s="202">
        <f t="shared" ca="1" si="916"/>
        <v>0</v>
      </c>
      <c r="AH177" s="202">
        <f t="shared" ca="1" si="916"/>
        <v>0</v>
      </c>
      <c r="AI177" s="202">
        <f t="shared" ca="1" si="916"/>
        <v>0</v>
      </c>
      <c r="AJ177" s="202">
        <f t="shared" ca="1" si="916"/>
        <v>0</v>
      </c>
      <c r="AK177" s="202">
        <f t="shared" ca="1" si="916"/>
        <v>0</v>
      </c>
      <c r="AL177" s="202">
        <f t="shared" ca="1" si="916"/>
        <v>0</v>
      </c>
      <c r="AM177" s="202">
        <f t="shared" ca="1" si="916"/>
        <v>0</v>
      </c>
      <c r="AN177" s="202">
        <f t="shared" ca="1" si="916"/>
        <v>0</v>
      </c>
      <c r="AO177" s="202">
        <f t="shared" ca="1" si="916"/>
        <v>0</v>
      </c>
      <c r="AP177" s="202">
        <f t="shared" ca="1" si="916"/>
        <v>0</v>
      </c>
      <c r="AQ177" s="202">
        <f t="shared" ca="1" si="916"/>
        <v>0</v>
      </c>
      <c r="AR177" s="202">
        <f t="shared" ca="1" si="916"/>
        <v>0</v>
      </c>
      <c r="AS177" s="202">
        <f t="shared" ca="1" si="916"/>
        <v>0</v>
      </c>
      <c r="AT177" s="202">
        <f t="shared" ca="1" si="916"/>
        <v>0</v>
      </c>
      <c r="AU177" s="202">
        <f t="shared" ca="1" si="916"/>
        <v>0</v>
      </c>
      <c r="AV177" s="202">
        <f t="shared" ca="1" si="916"/>
        <v>0</v>
      </c>
      <c r="AW177" s="202">
        <f t="shared" ca="1" si="916"/>
        <v>0</v>
      </c>
      <c r="AX177" s="202">
        <f t="shared" ca="1" si="916"/>
        <v>0</v>
      </c>
      <c r="AY177" s="202">
        <f t="shared" ca="1" si="916"/>
        <v>0</v>
      </c>
      <c r="AZ177" s="202">
        <f t="shared" ca="1" si="916"/>
        <v>0</v>
      </c>
      <c r="BA177" s="202">
        <f t="shared" ca="1" si="916"/>
        <v>0</v>
      </c>
      <c r="BB177" s="202">
        <f t="shared" ca="1" si="916"/>
        <v>0</v>
      </c>
      <c r="BC177" s="202"/>
      <c r="BD177" s="183">
        <f ca="1">SUM(G177:BC177)</f>
        <v>0</v>
      </c>
    </row>
    <row r="178" spans="1:56" s="173" customFormat="1" ht="14.4" hidden="1" thickTop="1" x14ac:dyDescent="0.3">
      <c r="A178" s="181" t="str">
        <f ca="1">Language!A$643</f>
        <v>общий расход за период, с НДС</v>
      </c>
      <c r="B178" s="200"/>
      <c r="C178" s="176" t="str">
        <f t="shared" ca="1" si="915"/>
        <v>руб.</v>
      </c>
      <c r="D178" s="174">
        <f>D166</f>
        <v>1</v>
      </c>
      <c r="E178" s="170" t="s">
        <v>2318</v>
      </c>
      <c r="F178" s="170" t="s">
        <v>743</v>
      </c>
      <c r="G178" s="202">
        <f ca="1">G177+G190</f>
        <v>0</v>
      </c>
      <c r="H178" s="202">
        <f t="shared" ref="H178:K178" ca="1" si="917">H177+H190</f>
        <v>0</v>
      </c>
      <c r="I178" s="202">
        <f t="shared" ca="1" si="917"/>
        <v>0</v>
      </c>
      <c r="J178" s="202">
        <f t="shared" ca="1" si="917"/>
        <v>0</v>
      </c>
      <c r="K178" s="202">
        <f t="shared" ca="1" si="917"/>
        <v>0</v>
      </c>
      <c r="L178" s="202">
        <f t="shared" ref="L178:M178" ca="1" si="918">L177+L190</f>
        <v>0</v>
      </c>
      <c r="M178" s="202">
        <f t="shared" ca="1" si="918"/>
        <v>0</v>
      </c>
      <c r="N178" s="202">
        <f t="shared" ref="N178:O178" ca="1" si="919">N177+N190</f>
        <v>0</v>
      </c>
      <c r="O178" s="202">
        <f t="shared" ca="1" si="919"/>
        <v>0</v>
      </c>
      <c r="P178" s="202">
        <f t="shared" ref="P178:Q178" ca="1" si="920">P177+P190</f>
        <v>0</v>
      </c>
      <c r="Q178" s="202">
        <f t="shared" ca="1" si="920"/>
        <v>0</v>
      </c>
      <c r="R178" s="202">
        <f t="shared" ref="R178:S178" ca="1" si="921">R177+R190</f>
        <v>0</v>
      </c>
      <c r="S178" s="202">
        <f t="shared" ca="1" si="921"/>
        <v>0</v>
      </c>
      <c r="T178" s="202">
        <f t="shared" ref="T178:U178" ca="1" si="922">T177+T190</f>
        <v>0</v>
      </c>
      <c r="U178" s="202">
        <f t="shared" ca="1" si="922"/>
        <v>0</v>
      </c>
      <c r="V178" s="202">
        <f t="shared" ref="V178:W178" ca="1" si="923">V177+V190</f>
        <v>0</v>
      </c>
      <c r="W178" s="202">
        <f t="shared" ca="1" si="923"/>
        <v>0</v>
      </c>
      <c r="X178" s="202">
        <f t="shared" ref="X178:Y178" ca="1" si="924">X177+X190</f>
        <v>0</v>
      </c>
      <c r="Y178" s="202">
        <f t="shared" ca="1" si="924"/>
        <v>0</v>
      </c>
      <c r="Z178" s="202">
        <f t="shared" ref="Z178:AA178" ca="1" si="925">Z177+Z190</f>
        <v>0</v>
      </c>
      <c r="AA178" s="202">
        <f t="shared" ca="1" si="925"/>
        <v>0</v>
      </c>
      <c r="AB178" s="202">
        <f t="shared" ref="AB178:AC178" ca="1" si="926">AB177+AB190</f>
        <v>0</v>
      </c>
      <c r="AC178" s="202">
        <f t="shared" ca="1" si="926"/>
        <v>0</v>
      </c>
      <c r="AD178" s="202">
        <f t="shared" ref="AD178:AE178" ca="1" si="927">AD177+AD190</f>
        <v>0</v>
      </c>
      <c r="AE178" s="202">
        <f t="shared" ca="1" si="927"/>
        <v>0</v>
      </c>
      <c r="AF178" s="202">
        <f t="shared" ref="AF178:AG178" ca="1" si="928">AF177+AF190</f>
        <v>0</v>
      </c>
      <c r="AG178" s="202">
        <f t="shared" ca="1" si="928"/>
        <v>0</v>
      </c>
      <c r="AH178" s="202">
        <f t="shared" ref="AH178:AI178" ca="1" si="929">AH177+AH190</f>
        <v>0</v>
      </c>
      <c r="AI178" s="202">
        <f t="shared" ca="1" si="929"/>
        <v>0</v>
      </c>
      <c r="AJ178" s="202">
        <f t="shared" ref="AJ178:AK178" ca="1" si="930">AJ177+AJ190</f>
        <v>0</v>
      </c>
      <c r="AK178" s="202">
        <f t="shared" ca="1" si="930"/>
        <v>0</v>
      </c>
      <c r="AL178" s="202">
        <f t="shared" ref="AL178:AM178" ca="1" si="931">AL177+AL190</f>
        <v>0</v>
      </c>
      <c r="AM178" s="202">
        <f t="shared" ca="1" si="931"/>
        <v>0</v>
      </c>
      <c r="AN178" s="202">
        <f t="shared" ref="AN178:AO178" ca="1" si="932">AN177+AN190</f>
        <v>0</v>
      </c>
      <c r="AO178" s="202">
        <f t="shared" ca="1" si="932"/>
        <v>0</v>
      </c>
      <c r="AP178" s="202">
        <f t="shared" ref="AP178:AQ178" ca="1" si="933">AP177+AP190</f>
        <v>0</v>
      </c>
      <c r="AQ178" s="202">
        <f t="shared" ca="1" si="933"/>
        <v>0</v>
      </c>
      <c r="AR178" s="202">
        <f t="shared" ref="AR178:AS178" ca="1" si="934">AR177+AR190</f>
        <v>0</v>
      </c>
      <c r="AS178" s="202">
        <f t="shared" ca="1" si="934"/>
        <v>0</v>
      </c>
      <c r="AT178" s="202">
        <f t="shared" ref="AT178:AU178" ca="1" si="935">AT177+AT190</f>
        <v>0</v>
      </c>
      <c r="AU178" s="202">
        <f t="shared" ca="1" si="935"/>
        <v>0</v>
      </c>
      <c r="AV178" s="202">
        <f t="shared" ref="AV178:AW178" ca="1" si="936">AV177+AV190</f>
        <v>0</v>
      </c>
      <c r="AW178" s="202">
        <f t="shared" ca="1" si="936"/>
        <v>0</v>
      </c>
      <c r="AX178" s="202">
        <f t="shared" ref="AX178:AY178" ca="1" si="937">AX177+AX190</f>
        <v>0</v>
      </c>
      <c r="AY178" s="202">
        <f t="shared" ca="1" si="937"/>
        <v>0</v>
      </c>
      <c r="AZ178" s="202">
        <f t="shared" ref="AZ178:BA178" ca="1" si="938">AZ177+AZ190</f>
        <v>0</v>
      </c>
      <c r="BA178" s="202">
        <f t="shared" ca="1" si="938"/>
        <v>0</v>
      </c>
      <c r="BB178" s="202">
        <f t="shared" ref="BB178" ca="1" si="939">BB177+BB190</f>
        <v>0</v>
      </c>
      <c r="BC178" s="202"/>
      <c r="BD178" s="183">
        <f ca="1">SUM(G178:BC178)</f>
        <v>0</v>
      </c>
    </row>
    <row r="179" spans="1:56" ht="14.4" hidden="1" thickTop="1" x14ac:dyDescent="0.3">
      <c r="A179" s="184" t="str">
        <f ca="1">Language!A$667</f>
        <v>кредиторская задолженность</v>
      </c>
      <c r="B179" s="174"/>
      <c r="C179" s="163" t="str">
        <f ca="1">CHOOSE(D179,CurName1,CurName2,CurName3)</f>
        <v>руб.</v>
      </c>
      <c r="D179" s="174">
        <f>D166</f>
        <v>1</v>
      </c>
      <c r="E179" s="170" t="s">
        <v>1013</v>
      </c>
      <c r="F179" s="170" t="s">
        <v>2342</v>
      </c>
      <c r="G179" s="289">
        <f ca="1">IF(AND($B180=0,G$2&gt;1),F179,(IF(Старт!$B$9+Старт!$B$10+Старт!$B$11=0,G177,G170)+G190)*$B180/Параметры!G$30)</f>
        <v>0</v>
      </c>
      <c r="H179" s="289">
        <f ca="1">IF(AND($B180=0,H$2&gt;1),G179,(IF(Старт!$B$9+Старт!$B$10+Старт!$B$11=0,H177,H170)+H190)*$B180/Параметры!H$30)</f>
        <v>0</v>
      </c>
      <c r="I179" s="289">
        <f ca="1">IF(AND($B180=0,I$2&gt;1),H179,(IF(Старт!$B$9+Старт!$B$10+Старт!$B$11=0,I177,I170)+I190)*$B180/Параметры!I$30)</f>
        <v>0</v>
      </c>
      <c r="J179" s="289">
        <f ca="1">IF(AND($B180=0,J$2&gt;1),I179,(IF(Старт!$B$9+Старт!$B$10+Старт!$B$11=0,J177,J170)+J190)*$B180/Параметры!J$30)</f>
        <v>0</v>
      </c>
      <c r="K179" s="289">
        <f ca="1">IF(AND($B180=0,K$2&gt;1),J179,(IF(Старт!$B$9+Старт!$B$10+Старт!$B$11=0,K177,K170)+K190)*$B180/Параметры!K$30)</f>
        <v>0</v>
      </c>
      <c r="L179" s="289">
        <f ca="1">IF(AND($B180=0,L$2&gt;1),K179,(IF(Старт!$B$9+Старт!$B$10+Старт!$B$11=0,L177,L170)+L190)*$B180/Параметры!L$30)</f>
        <v>0</v>
      </c>
      <c r="M179" s="289">
        <f ca="1">IF(AND($B180=0,M$2&gt;1),L179,(IF(Старт!$B$9+Старт!$B$10+Старт!$B$11=0,M177,M170)+M190)*$B180/Параметры!M$30)</f>
        <v>0</v>
      </c>
      <c r="N179" s="289">
        <f ca="1">IF(AND($B180=0,N$2&gt;1),M179,(IF(Старт!$B$9+Старт!$B$10+Старт!$B$11=0,N177,N170)+N190)*$B180/Параметры!N$30)</f>
        <v>0</v>
      </c>
      <c r="O179" s="289">
        <f ca="1">IF(AND($B180=0,O$2&gt;1),N179,(IF(Старт!$B$9+Старт!$B$10+Старт!$B$11=0,O177,O170)+O190)*$B180/Параметры!O$30)</f>
        <v>0</v>
      </c>
      <c r="P179" s="289">
        <f ca="1">IF(AND($B180=0,P$2&gt;1),O179,(IF(Старт!$B$9+Старт!$B$10+Старт!$B$11=0,P177,P170)+P190)*$B180/Параметры!P$30)</f>
        <v>0</v>
      </c>
      <c r="Q179" s="289">
        <f ca="1">IF(AND($B180=0,Q$2&gt;1),P179,(IF(Старт!$B$9+Старт!$B$10+Старт!$B$11=0,Q177,Q170)+Q190)*$B180/Параметры!Q$30)</f>
        <v>0</v>
      </c>
      <c r="R179" s="289">
        <f ca="1">IF(AND($B180=0,R$2&gt;1),Q179,(IF(Старт!$B$9+Старт!$B$10+Старт!$B$11=0,R177,R170)+R190)*$B180/Параметры!R$30)</f>
        <v>0</v>
      </c>
      <c r="S179" s="289">
        <f ca="1">IF(AND($B180=0,S$2&gt;1),R179,(IF(Старт!$B$9+Старт!$B$10+Старт!$B$11=0,S177,S170)+S190)*$B180/Параметры!S$30)</f>
        <v>0</v>
      </c>
      <c r="T179" s="289">
        <f ca="1">IF(AND($B180=0,T$2&gt;1),S179,(IF(Старт!$B$9+Старт!$B$10+Старт!$B$11=0,T177,T170)+T190)*$B180/Параметры!T$30)</f>
        <v>0</v>
      </c>
      <c r="U179" s="289">
        <f ca="1">IF(AND($B180=0,U$2&gt;1),T179,(IF(Старт!$B$9+Старт!$B$10+Старт!$B$11=0,U177,U170)+U190)*$B180/Параметры!U$30)</f>
        <v>0</v>
      </c>
      <c r="V179" s="289">
        <f ca="1">IF(AND($B180=0,V$2&gt;1),U179,(IF(Старт!$B$9+Старт!$B$10+Старт!$B$11=0,V177,V170)+V190)*$B180/Параметры!V$30)</f>
        <v>0</v>
      </c>
      <c r="W179" s="289">
        <f ca="1">IF(AND($B180=0,W$2&gt;1),V179,(IF(Старт!$B$9+Старт!$B$10+Старт!$B$11=0,W177,W170)+W190)*$B180/Параметры!W$30)</f>
        <v>0</v>
      </c>
      <c r="X179" s="289">
        <f ca="1">IF(AND($B180=0,X$2&gt;1),W179,(IF(Старт!$B$9+Старт!$B$10+Старт!$B$11=0,X177,X170)+X190)*$B180/Параметры!X$30)</f>
        <v>0</v>
      </c>
      <c r="Y179" s="289">
        <f ca="1">IF(AND($B180=0,Y$2&gt;1),X179,(IF(Старт!$B$9+Старт!$B$10+Старт!$B$11=0,Y177,Y170)+Y190)*$B180/Параметры!Y$30)</f>
        <v>0</v>
      </c>
      <c r="Z179" s="289">
        <f ca="1">IF(AND($B180=0,Z$2&gt;1),Y179,(IF(Старт!$B$9+Старт!$B$10+Старт!$B$11=0,Z177,Z170)+Z190)*$B180/Параметры!Z$30)</f>
        <v>0</v>
      </c>
      <c r="AA179" s="289">
        <f ca="1">IF(AND($B180=0,AA$2&gt;1),Z179,(IF(Старт!$B$9+Старт!$B$10+Старт!$B$11=0,AA177,AA170)+AA190)*$B180/Параметры!AA$30)</f>
        <v>0</v>
      </c>
      <c r="AB179" s="289">
        <f ca="1">IF(AND($B180=0,AB$2&gt;1),AA179,(IF(Старт!$B$9+Старт!$B$10+Старт!$B$11=0,AB177,AB170)+AB190)*$B180/Параметры!AB$30)</f>
        <v>0</v>
      </c>
      <c r="AC179" s="289">
        <f ca="1">IF(AND($B180=0,AC$2&gt;1),AB179,(IF(Старт!$B$9+Старт!$B$10+Старт!$B$11=0,AC177,AC170)+AC190)*$B180/Параметры!AC$30)</f>
        <v>0</v>
      </c>
      <c r="AD179" s="289">
        <f ca="1">IF(AND($B180=0,AD$2&gt;1),AC179,(IF(Старт!$B$9+Старт!$B$10+Старт!$B$11=0,AD177,AD170)+AD190)*$B180/Параметры!AD$30)</f>
        <v>0</v>
      </c>
      <c r="AE179" s="289">
        <f ca="1">IF(AND($B180=0,AE$2&gt;1),AD179,(IF(Старт!$B$9+Старт!$B$10+Старт!$B$11=0,AE177,AE170)+AE190)*$B180/Параметры!AE$30)</f>
        <v>0</v>
      </c>
      <c r="AF179" s="289">
        <f ca="1">IF(AND($B180=0,AF$2&gt;1),AE179,(IF(Старт!$B$9+Старт!$B$10+Старт!$B$11=0,AF177,AF170)+AF190)*$B180/Параметры!AF$30)</f>
        <v>0</v>
      </c>
      <c r="AG179" s="289">
        <f ca="1">IF(AND($B180=0,AG$2&gt;1),AF179,(IF(Старт!$B$9+Старт!$B$10+Старт!$B$11=0,AG177,AG170)+AG190)*$B180/Параметры!AG$30)</f>
        <v>0</v>
      </c>
      <c r="AH179" s="289">
        <f ca="1">IF(AND($B180=0,AH$2&gt;1),AG179,(IF(Старт!$B$9+Старт!$B$10+Старт!$B$11=0,AH177,AH170)+AH190)*$B180/Параметры!AH$30)</f>
        <v>0</v>
      </c>
      <c r="AI179" s="289">
        <f ca="1">IF(AND($B180=0,AI$2&gt;1),AH179,(IF(Старт!$B$9+Старт!$B$10+Старт!$B$11=0,AI177,AI170)+AI190)*$B180/Параметры!AI$30)</f>
        <v>0</v>
      </c>
      <c r="AJ179" s="289">
        <f ca="1">IF(AND($B180=0,AJ$2&gt;1),AI179,(IF(Старт!$B$9+Старт!$B$10+Старт!$B$11=0,AJ177,AJ170)+AJ190)*$B180/Параметры!AJ$30)</f>
        <v>0</v>
      </c>
      <c r="AK179" s="289">
        <f ca="1">IF(AND($B180=0,AK$2&gt;1),AJ179,(IF(Старт!$B$9+Старт!$B$10+Старт!$B$11=0,AK177,AK170)+AK190)*$B180/Параметры!AK$30)</f>
        <v>0</v>
      </c>
      <c r="AL179" s="289">
        <f ca="1">IF(AND($B180=0,AL$2&gt;1),AK179,(IF(Старт!$B$9+Старт!$B$10+Старт!$B$11=0,AL177,AL170)+AL190)*$B180/Параметры!AL$30)</f>
        <v>0</v>
      </c>
      <c r="AM179" s="289">
        <f ca="1">IF(AND($B180=0,AM$2&gt;1),AL179,(IF(Старт!$B$9+Старт!$B$10+Старт!$B$11=0,AM177,AM170)+AM190)*$B180/Параметры!AM$30)</f>
        <v>0</v>
      </c>
      <c r="AN179" s="289">
        <f ca="1">IF(AND($B180=0,AN$2&gt;1),AM179,(IF(Старт!$B$9+Старт!$B$10+Старт!$B$11=0,AN177,AN170)+AN190)*$B180/Параметры!AN$30)</f>
        <v>0</v>
      </c>
      <c r="AO179" s="289">
        <f ca="1">IF(AND($B180=0,AO$2&gt;1),AN179,(IF(Старт!$B$9+Старт!$B$10+Старт!$B$11=0,AO177,AO170)+AO190)*$B180/Параметры!AO$30)</f>
        <v>0</v>
      </c>
      <c r="AP179" s="289">
        <f ca="1">IF(AND($B180=0,AP$2&gt;1),AO179,(IF(Старт!$B$9+Старт!$B$10+Старт!$B$11=0,AP177,AP170)+AP190)*$B180/Параметры!AP$30)</f>
        <v>0</v>
      </c>
      <c r="AQ179" s="289">
        <f ca="1">IF(AND($B180=0,AQ$2&gt;1),AP179,(IF(Старт!$B$9+Старт!$B$10+Старт!$B$11=0,AQ177,AQ170)+AQ190)*$B180/Параметры!AQ$30)</f>
        <v>0</v>
      </c>
      <c r="AR179" s="289">
        <f ca="1">IF(AND($B180=0,AR$2&gt;1),AQ179,(IF(Старт!$B$9+Старт!$B$10+Старт!$B$11=0,AR177,AR170)+AR190)*$B180/Параметры!AR$30)</f>
        <v>0</v>
      </c>
      <c r="AS179" s="289">
        <f ca="1">IF(AND($B180=0,AS$2&gt;1),AR179,(IF(Старт!$B$9+Старт!$B$10+Старт!$B$11=0,AS177,AS170)+AS190)*$B180/Параметры!AS$30)</f>
        <v>0</v>
      </c>
      <c r="AT179" s="289">
        <f ca="1">IF(AND($B180=0,AT$2&gt;1),AS179,(IF(Старт!$B$9+Старт!$B$10+Старт!$B$11=0,AT177,AT170)+AT190)*$B180/Параметры!AT$30)</f>
        <v>0</v>
      </c>
      <c r="AU179" s="289">
        <f ca="1">IF(AND($B180=0,AU$2&gt;1),AT179,(IF(Старт!$B$9+Старт!$B$10+Старт!$B$11=0,AU177,AU170)+AU190)*$B180/Параметры!AU$30)</f>
        <v>0</v>
      </c>
      <c r="AV179" s="289">
        <f ca="1">IF(AND($B180=0,AV$2&gt;1),AU179,(IF(Старт!$B$9+Старт!$B$10+Старт!$B$11=0,AV177,AV170)+AV190)*$B180/Параметры!AV$30)</f>
        <v>0</v>
      </c>
      <c r="AW179" s="289">
        <f ca="1">IF(AND($B180=0,AW$2&gt;1),AV179,(IF(Старт!$B$9+Старт!$B$10+Старт!$B$11=0,AW177,AW170)+AW190)*$B180/Параметры!AW$30)</f>
        <v>0</v>
      </c>
      <c r="AX179" s="289">
        <f ca="1">IF(AND($B180=0,AX$2&gt;1),AW179,(IF(Старт!$B$9+Старт!$B$10+Старт!$B$11=0,AX177,AX170)+AX190)*$B180/Параметры!AX$30)</f>
        <v>0</v>
      </c>
      <c r="AY179" s="289">
        <f ca="1">IF(AND($B180=0,AY$2&gt;1),AX179,(IF(Старт!$B$9+Старт!$B$10+Старт!$B$11=0,AY177,AY170)+AY190)*$B180/Параметры!AY$30)</f>
        <v>0</v>
      </c>
      <c r="AZ179" s="289">
        <f ca="1">IF(AND($B180=0,AZ$2&gt;1),AY179,(IF(Старт!$B$9+Старт!$B$10+Старт!$B$11=0,AZ177,AZ170)+AZ190)*$B180/Параметры!AZ$30)</f>
        <v>0</v>
      </c>
      <c r="BA179" s="289">
        <f ca="1">IF(AND($B180=0,BA$2&gt;1),AZ179,(IF(Старт!$B$9+Старт!$B$10+Старт!$B$11=0,BA177,BA170)+BA190)*$B180/Параметры!BA$30)</f>
        <v>0</v>
      </c>
      <c r="BB179" s="289">
        <f ca="1">IF(AND($B180=0,BB$2&gt;1),BA179,(IF(Старт!$B$9+Старт!$B$10+Старт!$B$11=0,BB177,BB170)+BB190)*$B180/Параметры!BB$30)</f>
        <v>0</v>
      </c>
      <c r="BC179" s="188"/>
      <c r="BD179" s="186"/>
    </row>
    <row r="180" spans="1:56" s="170" customFormat="1" ht="14.4" hidden="1" thickTop="1" x14ac:dyDescent="0.3">
      <c r="A180" s="187" t="str">
        <f ca="1">Language!A$668</f>
        <v>период отсрочки платежа</v>
      </c>
      <c r="B180" s="288">
        <f>$B$603</f>
        <v>10</v>
      </c>
      <c r="C180" s="163" t="str">
        <f ca="1">Language!$A$1474</f>
        <v>дней</v>
      </c>
      <c r="F180" s="170" t="s">
        <v>2343</v>
      </c>
      <c r="G180" s="185"/>
      <c r="H180" s="185"/>
      <c r="I180" s="185"/>
      <c r="J180" s="185"/>
      <c r="K180" s="185"/>
      <c r="L180" s="185"/>
      <c r="M180" s="185"/>
      <c r="N180" s="185"/>
      <c r="O180" s="185"/>
      <c r="P180" s="185"/>
      <c r="Q180" s="185"/>
      <c r="R180" s="185"/>
      <c r="S180" s="185"/>
      <c r="T180" s="185"/>
      <c r="U180" s="185"/>
      <c r="V180" s="185"/>
      <c r="W180" s="185"/>
      <c r="X180" s="185"/>
      <c r="Y180" s="185"/>
      <c r="Z180" s="185"/>
      <c r="AA180" s="185"/>
      <c r="AB180" s="185"/>
      <c r="AC180" s="185"/>
      <c r="AD180" s="185"/>
      <c r="AE180" s="185"/>
      <c r="AF180" s="185"/>
      <c r="AG180" s="185"/>
      <c r="AH180" s="185"/>
      <c r="AI180" s="185"/>
      <c r="AJ180" s="185"/>
      <c r="AK180" s="185"/>
      <c r="AL180" s="185"/>
      <c r="AM180" s="185"/>
      <c r="AN180" s="185"/>
      <c r="AO180" s="185"/>
      <c r="AP180" s="185"/>
      <c r="AQ180" s="185"/>
      <c r="AR180" s="185"/>
      <c r="AS180" s="185"/>
      <c r="AT180" s="185"/>
      <c r="AU180" s="185"/>
      <c r="AV180" s="185"/>
      <c r="AW180" s="185"/>
      <c r="AX180" s="185"/>
      <c r="AY180" s="185"/>
      <c r="AZ180" s="185"/>
      <c r="BA180" s="185"/>
      <c r="BB180" s="185"/>
      <c r="BC180" s="185"/>
      <c r="BD180" s="186"/>
    </row>
    <row r="181" spans="1:56" ht="14.4" hidden="1" thickTop="1" x14ac:dyDescent="0.3">
      <c r="A181" s="184" t="str">
        <f ca="1">Language!A$669</f>
        <v>авансы уплаченные</v>
      </c>
      <c r="B181" s="174"/>
      <c r="C181" s="163" t="str">
        <f ca="1">CHOOSE(D181,CurName1,CurName2,CurName3)</f>
        <v>руб.</v>
      </c>
      <c r="D181" s="174">
        <f>D166</f>
        <v>1</v>
      </c>
      <c r="E181" s="170" t="s">
        <v>995</v>
      </c>
      <c r="F181" s="170" t="s">
        <v>2342</v>
      </c>
      <c r="G181" s="289">
        <f ca="1">IF(OR(AND($B182=0,G$2&gt;1),G$2=Prj_Len),F181,(IF(Старт!$B$9+Старт!$B$10+Старт!$B$11=0,OFFSET(G177,0,1),OFFSET(G170,0,1))+OFFSET(G190,0,1))*$B182/Параметры!G$30)</f>
        <v>0</v>
      </c>
      <c r="H181" s="289">
        <f ca="1">IF(OR(AND($B182=0,H$2&gt;1),H$2=Prj_Len),G181,(IF(Старт!$B$9+Старт!$B$10+Старт!$B$11=0,OFFSET(H177,0,1),OFFSET(H170,0,1))+OFFSET(H190,0,1))*$B182/Параметры!H$30)</f>
        <v>0</v>
      </c>
      <c r="I181" s="289">
        <f ca="1">IF(OR(AND($B182=0,I$2&gt;1),I$2=Prj_Len),H181,(IF(Старт!$B$9+Старт!$B$10+Старт!$B$11=0,OFFSET(I177,0,1),OFFSET(I170,0,1))+OFFSET(I190,0,1))*$B182/Параметры!I$30)</f>
        <v>0</v>
      </c>
      <c r="J181" s="289">
        <f ca="1">IF(OR(AND($B182=0,J$2&gt;1),J$2=Prj_Len),I181,(IF(Старт!$B$9+Старт!$B$10+Старт!$B$11=0,OFFSET(J177,0,1),OFFSET(J170,0,1))+OFFSET(J190,0,1))*$B182/Параметры!J$30)</f>
        <v>0</v>
      </c>
      <c r="K181" s="289">
        <f ca="1">IF(OR(AND($B182=0,K$2&gt;1),K$2=Prj_Len),J181,(IF(Старт!$B$9+Старт!$B$10+Старт!$B$11=0,OFFSET(K177,0,1),OFFSET(K170,0,1))+OFFSET(K190,0,1))*$B182/Параметры!K$30)</f>
        <v>0</v>
      </c>
      <c r="L181" s="289">
        <f ca="1">IF(OR(AND($B182=0,L$2&gt;1),L$2=Prj_Len),K181,(IF(Старт!$B$9+Старт!$B$10+Старт!$B$11=0,OFFSET(L177,0,1),OFFSET(L170,0,1))+OFFSET(L190,0,1))*$B182/Параметры!L$30)</f>
        <v>0</v>
      </c>
      <c r="M181" s="289">
        <f ca="1">IF(OR(AND($B182=0,M$2&gt;1),M$2=Prj_Len),L181,(IF(Старт!$B$9+Старт!$B$10+Старт!$B$11=0,OFFSET(M177,0,1),OFFSET(M170,0,1))+OFFSET(M190,0,1))*$B182/Параметры!M$30)</f>
        <v>0</v>
      </c>
      <c r="N181" s="289">
        <f ca="1">IF(OR(AND($B182=0,N$2&gt;1),N$2=Prj_Len),M181,(IF(Старт!$B$9+Старт!$B$10+Старт!$B$11=0,OFFSET(N177,0,1),OFFSET(N170,0,1))+OFFSET(N190,0,1))*$B182/Параметры!N$30)</f>
        <v>0</v>
      </c>
      <c r="O181" s="289">
        <f ca="1">IF(OR(AND($B182=0,O$2&gt;1),O$2=Prj_Len),N181,(IF(Старт!$B$9+Старт!$B$10+Старт!$B$11=0,OFFSET(O177,0,1),OFFSET(O170,0,1))+OFFSET(O190,0,1))*$B182/Параметры!O$30)</f>
        <v>0</v>
      </c>
      <c r="P181" s="289">
        <f ca="1">IF(OR(AND($B182=0,P$2&gt;1),P$2=Prj_Len),O181,(IF(Старт!$B$9+Старт!$B$10+Старт!$B$11=0,OFFSET(P177,0,1),OFFSET(P170,0,1))+OFFSET(P190,0,1))*$B182/Параметры!P$30)</f>
        <v>0</v>
      </c>
      <c r="Q181" s="289">
        <f ca="1">IF(OR(AND($B182=0,Q$2&gt;1),Q$2=Prj_Len),P181,(IF(Старт!$B$9+Старт!$B$10+Старт!$B$11=0,OFFSET(Q177,0,1),OFFSET(Q170,0,1))+OFFSET(Q190,0,1))*$B182/Параметры!Q$30)</f>
        <v>0</v>
      </c>
      <c r="R181" s="289">
        <f ca="1">IF(OR(AND($B182=0,R$2&gt;1),R$2=Prj_Len),Q181,(IF(Старт!$B$9+Старт!$B$10+Старт!$B$11=0,OFFSET(R177,0,1),OFFSET(R170,0,1))+OFFSET(R190,0,1))*$B182/Параметры!R$30)</f>
        <v>0</v>
      </c>
      <c r="S181" s="289">
        <f ca="1">IF(OR(AND($B182=0,S$2&gt;1),S$2=Prj_Len),R181,(IF(Старт!$B$9+Старт!$B$10+Старт!$B$11=0,OFFSET(S177,0,1),OFFSET(S170,0,1))+OFFSET(S190,0,1))*$B182/Параметры!S$30)</f>
        <v>0</v>
      </c>
      <c r="T181" s="289">
        <f ca="1">IF(OR(AND($B182=0,T$2&gt;1),T$2=Prj_Len),S181,(IF(Старт!$B$9+Старт!$B$10+Старт!$B$11=0,OFFSET(T177,0,1),OFFSET(T170,0,1))+OFFSET(T190,0,1))*$B182/Параметры!T$30)</f>
        <v>0</v>
      </c>
      <c r="U181" s="289">
        <f ca="1">IF(OR(AND($B182=0,U$2&gt;1),U$2=Prj_Len),T181,(IF(Старт!$B$9+Старт!$B$10+Старт!$B$11=0,OFFSET(U177,0,1),OFFSET(U170,0,1))+OFFSET(U190,0,1))*$B182/Параметры!U$30)</f>
        <v>0</v>
      </c>
      <c r="V181" s="289">
        <f ca="1">IF(OR(AND($B182=0,V$2&gt;1),V$2=Prj_Len),U181,(IF(Старт!$B$9+Старт!$B$10+Старт!$B$11=0,OFFSET(V177,0,1),OFFSET(V170,0,1))+OFFSET(V190,0,1))*$B182/Параметры!V$30)</f>
        <v>0</v>
      </c>
      <c r="W181" s="289">
        <f ca="1">IF(OR(AND($B182=0,W$2&gt;1),W$2=Prj_Len),V181,(IF(Старт!$B$9+Старт!$B$10+Старт!$B$11=0,OFFSET(W177,0,1),OFFSET(W170,0,1))+OFFSET(W190,0,1))*$B182/Параметры!W$30)</f>
        <v>0</v>
      </c>
      <c r="X181" s="289">
        <f ca="1">IF(OR(AND($B182=0,X$2&gt;1),X$2=Prj_Len),W181,(IF(Старт!$B$9+Старт!$B$10+Старт!$B$11=0,OFFSET(X177,0,1),OFFSET(X170,0,1))+OFFSET(X190,0,1))*$B182/Параметры!X$30)</f>
        <v>0</v>
      </c>
      <c r="Y181" s="289">
        <f ca="1">IF(OR(AND($B182=0,Y$2&gt;1),Y$2=Prj_Len),X181,(IF(Старт!$B$9+Старт!$B$10+Старт!$B$11=0,OFFSET(Y177,0,1),OFFSET(Y170,0,1))+OFFSET(Y190,0,1))*$B182/Параметры!Y$30)</f>
        <v>0</v>
      </c>
      <c r="Z181" s="289">
        <f ca="1">IF(OR(AND($B182=0,Z$2&gt;1),Z$2=Prj_Len),Y181,(IF(Старт!$B$9+Старт!$B$10+Старт!$B$11=0,OFFSET(Z177,0,1),OFFSET(Z170,0,1))+OFFSET(Z190,0,1))*$B182/Параметры!Z$30)</f>
        <v>0</v>
      </c>
      <c r="AA181" s="289">
        <f ca="1">IF(OR(AND($B182=0,AA$2&gt;1),AA$2=Prj_Len),Z181,(IF(Старт!$B$9+Старт!$B$10+Старт!$B$11=0,OFFSET(AA177,0,1),OFFSET(AA170,0,1))+OFFSET(AA190,0,1))*$B182/Параметры!AA$30)</f>
        <v>0</v>
      </c>
      <c r="AB181" s="289">
        <f ca="1">IF(OR(AND($B182=0,AB$2&gt;1),AB$2=Prj_Len),AA181,(IF(Старт!$B$9+Старт!$B$10+Старт!$B$11=0,OFFSET(AB177,0,1),OFFSET(AB170,0,1))+OFFSET(AB190,0,1))*$B182/Параметры!AB$30)</f>
        <v>0</v>
      </c>
      <c r="AC181" s="289">
        <f ca="1">IF(OR(AND($B182=0,AC$2&gt;1),AC$2=Prj_Len),AB181,(IF(Старт!$B$9+Старт!$B$10+Старт!$B$11=0,OFFSET(AC177,0,1),OFFSET(AC170,0,1))+OFFSET(AC190,0,1))*$B182/Параметры!AC$30)</f>
        <v>0</v>
      </c>
      <c r="AD181" s="289">
        <f ca="1">IF(OR(AND($B182=0,AD$2&gt;1),AD$2=Prj_Len),AC181,(IF(Старт!$B$9+Старт!$B$10+Старт!$B$11=0,OFFSET(AD177,0,1),OFFSET(AD170,0,1))+OFFSET(AD190,0,1))*$B182/Параметры!AD$30)</f>
        <v>0</v>
      </c>
      <c r="AE181" s="289">
        <f ca="1">IF(OR(AND($B182=0,AE$2&gt;1),AE$2=Prj_Len),AD181,(IF(Старт!$B$9+Старт!$B$10+Старт!$B$11=0,OFFSET(AE177,0,1),OFFSET(AE170,0,1))+OFFSET(AE190,0,1))*$B182/Параметры!AE$30)</f>
        <v>0</v>
      </c>
      <c r="AF181" s="289">
        <f ca="1">IF(OR(AND($B182=0,AF$2&gt;1),AF$2=Prj_Len),AE181,(IF(Старт!$B$9+Старт!$B$10+Старт!$B$11=0,OFFSET(AF177,0,1),OFFSET(AF170,0,1))+OFFSET(AF190,0,1))*$B182/Параметры!AF$30)</f>
        <v>0</v>
      </c>
      <c r="AG181" s="289">
        <f ca="1">IF(OR(AND($B182=0,AG$2&gt;1),AG$2=Prj_Len),AF181,(IF(Старт!$B$9+Старт!$B$10+Старт!$B$11=0,OFFSET(AG177,0,1),OFFSET(AG170,0,1))+OFFSET(AG190,0,1))*$B182/Параметры!AG$30)</f>
        <v>0</v>
      </c>
      <c r="AH181" s="289">
        <f ca="1">IF(OR(AND($B182=0,AH$2&gt;1),AH$2=Prj_Len),AG181,(IF(Старт!$B$9+Старт!$B$10+Старт!$B$11=0,OFFSET(AH177,0,1),OFFSET(AH170,0,1))+OFFSET(AH190,0,1))*$B182/Параметры!AH$30)</f>
        <v>0</v>
      </c>
      <c r="AI181" s="289">
        <f ca="1">IF(OR(AND($B182=0,AI$2&gt;1),AI$2=Prj_Len),AH181,(IF(Старт!$B$9+Старт!$B$10+Старт!$B$11=0,OFFSET(AI177,0,1),OFFSET(AI170,0,1))+OFFSET(AI190,0,1))*$B182/Параметры!AI$30)</f>
        <v>0</v>
      </c>
      <c r="AJ181" s="289">
        <f ca="1">IF(OR(AND($B182=0,AJ$2&gt;1),AJ$2=Prj_Len),AI181,(IF(Старт!$B$9+Старт!$B$10+Старт!$B$11=0,OFFSET(AJ177,0,1),OFFSET(AJ170,0,1))+OFFSET(AJ190,0,1))*$B182/Параметры!AJ$30)</f>
        <v>0</v>
      </c>
      <c r="AK181" s="289">
        <f ca="1">IF(OR(AND($B182=0,AK$2&gt;1),AK$2=Prj_Len),AJ181,(IF(Старт!$B$9+Старт!$B$10+Старт!$B$11=0,OFFSET(AK177,0,1),OFFSET(AK170,0,1))+OFFSET(AK190,0,1))*$B182/Параметры!AK$30)</f>
        <v>0</v>
      </c>
      <c r="AL181" s="289">
        <f ca="1">IF(OR(AND($B182=0,AL$2&gt;1),AL$2=Prj_Len),AK181,(IF(Старт!$B$9+Старт!$B$10+Старт!$B$11=0,OFFSET(AL177,0,1),OFFSET(AL170,0,1))+OFFSET(AL190,0,1))*$B182/Параметры!AL$30)</f>
        <v>0</v>
      </c>
      <c r="AM181" s="289">
        <f ca="1">IF(OR(AND($B182=0,AM$2&gt;1),AM$2=Prj_Len),AL181,(IF(Старт!$B$9+Старт!$B$10+Старт!$B$11=0,OFFSET(AM177,0,1),OFFSET(AM170,0,1))+OFFSET(AM190,0,1))*$B182/Параметры!AM$30)</f>
        <v>0</v>
      </c>
      <c r="AN181" s="289">
        <f ca="1">IF(OR(AND($B182=0,AN$2&gt;1),AN$2=Prj_Len),AM181,(IF(Старт!$B$9+Старт!$B$10+Старт!$B$11=0,OFFSET(AN177,0,1),OFFSET(AN170,0,1))+OFFSET(AN190,0,1))*$B182/Параметры!AN$30)</f>
        <v>0</v>
      </c>
      <c r="AO181" s="289">
        <f ca="1">IF(OR(AND($B182=0,AO$2&gt;1),AO$2=Prj_Len),AN181,(IF(Старт!$B$9+Старт!$B$10+Старт!$B$11=0,OFFSET(AO177,0,1),OFFSET(AO170,0,1))+OFFSET(AO190,0,1))*$B182/Параметры!AO$30)</f>
        <v>0</v>
      </c>
      <c r="AP181" s="289">
        <f ca="1">IF(OR(AND($B182=0,AP$2&gt;1),AP$2=Prj_Len),AO181,(IF(Старт!$B$9+Старт!$B$10+Старт!$B$11=0,OFFSET(AP177,0,1),OFFSET(AP170,0,1))+OFFSET(AP190,0,1))*$B182/Параметры!AP$30)</f>
        <v>0</v>
      </c>
      <c r="AQ181" s="289">
        <f ca="1">IF(OR(AND($B182=0,AQ$2&gt;1),AQ$2=Prj_Len),AP181,(IF(Старт!$B$9+Старт!$B$10+Старт!$B$11=0,OFFSET(AQ177,0,1),OFFSET(AQ170,0,1))+OFFSET(AQ190,0,1))*$B182/Параметры!AQ$30)</f>
        <v>0</v>
      </c>
      <c r="AR181" s="289">
        <f ca="1">IF(OR(AND($B182=0,AR$2&gt;1),AR$2=Prj_Len),AQ181,(IF(Старт!$B$9+Старт!$B$10+Старт!$B$11=0,OFFSET(AR177,0,1),OFFSET(AR170,0,1))+OFFSET(AR190,0,1))*$B182/Параметры!AR$30)</f>
        <v>0</v>
      </c>
      <c r="AS181" s="289">
        <f ca="1">IF(OR(AND($B182=0,AS$2&gt;1),AS$2=Prj_Len),AR181,(IF(Старт!$B$9+Старт!$B$10+Старт!$B$11=0,OFFSET(AS177,0,1),OFFSET(AS170,0,1))+OFFSET(AS190,0,1))*$B182/Параметры!AS$30)</f>
        <v>0</v>
      </c>
      <c r="AT181" s="289">
        <f ca="1">IF(OR(AND($B182=0,AT$2&gt;1),AT$2=Prj_Len),AS181,(IF(Старт!$B$9+Старт!$B$10+Старт!$B$11=0,OFFSET(AT177,0,1),OFFSET(AT170,0,1))+OFFSET(AT190,0,1))*$B182/Параметры!AT$30)</f>
        <v>0</v>
      </c>
      <c r="AU181" s="289">
        <f ca="1">IF(OR(AND($B182=0,AU$2&gt;1),AU$2=Prj_Len),AT181,(IF(Старт!$B$9+Старт!$B$10+Старт!$B$11=0,OFFSET(AU177,0,1),OFFSET(AU170,0,1))+OFFSET(AU190,0,1))*$B182/Параметры!AU$30)</f>
        <v>0</v>
      </c>
      <c r="AV181" s="289">
        <f ca="1">IF(OR(AND($B182=0,AV$2&gt;1),AV$2=Prj_Len),AU181,(IF(Старт!$B$9+Старт!$B$10+Старт!$B$11=0,OFFSET(AV177,0,1),OFFSET(AV170,0,1))+OFFSET(AV190,0,1))*$B182/Параметры!AV$30)</f>
        <v>0</v>
      </c>
      <c r="AW181" s="289">
        <f ca="1">IF(OR(AND($B182=0,AW$2&gt;1),AW$2=Prj_Len),AV181,(IF(Старт!$B$9+Старт!$B$10+Старт!$B$11=0,OFFSET(AW177,0,1),OFFSET(AW170,0,1))+OFFSET(AW190,0,1))*$B182/Параметры!AW$30)</f>
        <v>0</v>
      </c>
      <c r="AX181" s="289">
        <f ca="1">IF(OR(AND($B182=0,AX$2&gt;1),AX$2=Prj_Len),AW181,(IF(Старт!$B$9+Старт!$B$10+Старт!$B$11=0,OFFSET(AX177,0,1),OFFSET(AX170,0,1))+OFFSET(AX190,0,1))*$B182/Параметры!AX$30)</f>
        <v>0</v>
      </c>
      <c r="AY181" s="289">
        <f ca="1">IF(OR(AND($B182=0,AY$2&gt;1),AY$2=Prj_Len),AX181,(IF(Старт!$B$9+Старт!$B$10+Старт!$B$11=0,OFFSET(AY177,0,1),OFFSET(AY170,0,1))+OFFSET(AY190,0,1))*$B182/Параметры!AY$30)</f>
        <v>0</v>
      </c>
      <c r="AZ181" s="289">
        <f ca="1">IF(OR(AND($B182=0,AZ$2&gt;1),AZ$2=Prj_Len),AY181,(IF(Старт!$B$9+Старт!$B$10+Старт!$B$11=0,OFFSET(AZ177,0,1),OFFSET(AZ170,0,1))+OFFSET(AZ190,0,1))*$B182/Параметры!AZ$30)</f>
        <v>0</v>
      </c>
      <c r="BA181" s="289">
        <f ca="1">IF(OR(AND($B182=0,BA$2&gt;1),BA$2=Prj_Len),AZ181,(IF(Старт!$B$9+Старт!$B$10+Старт!$B$11=0,OFFSET(BA177,0,1),OFFSET(BA170,0,1))+OFFSET(BA190,0,1))*$B182/Параметры!BA$30)</f>
        <v>0</v>
      </c>
      <c r="BB181" s="289">
        <f ca="1">IF(OR(AND($B182=0,BB$2&gt;1),BB$2=Prj_Len),BA181,(IF(Старт!$B$9+Старт!$B$10+Старт!$B$11=0,OFFSET(BB177,0,1),OFFSET(BB170,0,1))+OFFSET(BB190,0,1))*$B182/Параметры!BB$30)</f>
        <v>0</v>
      </c>
      <c r="BC181" s="188"/>
      <c r="BD181" s="186"/>
    </row>
    <row r="182" spans="1:56" s="170" customFormat="1" ht="14.4" hidden="1" thickTop="1" x14ac:dyDescent="0.3">
      <c r="A182" s="187" t="str">
        <f ca="1">Language!A$670</f>
        <v>период предоплаты</v>
      </c>
      <c r="B182" s="288">
        <f>$B$610</f>
        <v>10</v>
      </c>
      <c r="C182" s="163" t="str">
        <f ca="1">Language!$A$1474</f>
        <v>дней</v>
      </c>
      <c r="F182" s="170" t="s">
        <v>2343</v>
      </c>
      <c r="G182" s="185"/>
      <c r="H182" s="185"/>
      <c r="I182" s="185"/>
      <c r="J182" s="185"/>
      <c r="K182" s="185"/>
      <c r="L182" s="185"/>
      <c r="M182" s="185"/>
      <c r="N182" s="185"/>
      <c r="O182" s="185"/>
      <c r="P182" s="185"/>
      <c r="Q182" s="185"/>
      <c r="R182" s="185"/>
      <c r="S182" s="185"/>
      <c r="T182" s="185"/>
      <c r="U182" s="185"/>
      <c r="V182" s="185"/>
      <c r="W182" s="185"/>
      <c r="X182" s="185"/>
      <c r="Y182" s="185"/>
      <c r="Z182" s="185"/>
      <c r="AA182" s="185"/>
      <c r="AB182" s="185"/>
      <c r="AC182" s="185"/>
      <c r="AD182" s="185"/>
      <c r="AE182" s="185"/>
      <c r="AF182" s="185"/>
      <c r="AG182" s="185"/>
      <c r="AH182" s="185"/>
      <c r="AI182" s="185"/>
      <c r="AJ182" s="185"/>
      <c r="AK182" s="185"/>
      <c r="AL182" s="185"/>
      <c r="AM182" s="185"/>
      <c r="AN182" s="185"/>
      <c r="AO182" s="185"/>
      <c r="AP182" s="185"/>
      <c r="AQ182" s="185"/>
      <c r="AR182" s="185"/>
      <c r="AS182" s="185"/>
      <c r="AT182" s="185"/>
      <c r="AU182" s="185"/>
      <c r="AV182" s="185"/>
      <c r="AW182" s="185"/>
      <c r="AX182" s="185"/>
      <c r="AY182" s="185"/>
      <c r="AZ182" s="185"/>
      <c r="BA182" s="185"/>
      <c r="BB182" s="185"/>
      <c r="BC182" s="185"/>
      <c r="BD182" s="186"/>
    </row>
    <row r="183" spans="1:56" s="173" customFormat="1" ht="14.4" hidden="1" thickTop="1" x14ac:dyDescent="0.3">
      <c r="A183" s="181" t="str">
        <f ca="1">Language!A$671</f>
        <v>оплата расходов, c НДС</v>
      </c>
      <c r="C183" s="176" t="str">
        <f t="shared" ref="C183" ca="1" si="940">CHOOSE(D183,CurName1,CurName2,CurName3)</f>
        <v>руб.</v>
      </c>
      <c r="D183" s="174">
        <f>D166</f>
        <v>1</v>
      </c>
      <c r="E183" s="170" t="s">
        <v>993</v>
      </c>
      <c r="F183" s="170" t="s">
        <v>743</v>
      </c>
      <c r="G183" s="182">
        <f ca="1">G177+G190-IF(G$2=1,G179,G179-F179)+IF(G$2=1,G181,G181-F181)</f>
        <v>0</v>
      </c>
      <c r="H183" s="182">
        <f t="shared" ref="H183:BB183" ca="1" si="941">H177+H190-IF(H$2=1,H179,H179-G179)+IF(H$2=1,H181,H181-G181)</f>
        <v>0</v>
      </c>
      <c r="I183" s="182">
        <f t="shared" ca="1" si="941"/>
        <v>0</v>
      </c>
      <c r="J183" s="182">
        <f t="shared" ca="1" si="941"/>
        <v>0</v>
      </c>
      <c r="K183" s="182">
        <f t="shared" ca="1" si="941"/>
        <v>0</v>
      </c>
      <c r="L183" s="182">
        <f t="shared" ca="1" si="941"/>
        <v>0</v>
      </c>
      <c r="M183" s="182">
        <f t="shared" ca="1" si="941"/>
        <v>0</v>
      </c>
      <c r="N183" s="182">
        <f t="shared" ca="1" si="941"/>
        <v>0</v>
      </c>
      <c r="O183" s="182">
        <f t="shared" ca="1" si="941"/>
        <v>0</v>
      </c>
      <c r="P183" s="182">
        <f t="shared" ca="1" si="941"/>
        <v>0</v>
      </c>
      <c r="Q183" s="182">
        <f t="shared" ca="1" si="941"/>
        <v>0</v>
      </c>
      <c r="R183" s="182">
        <f t="shared" ca="1" si="941"/>
        <v>0</v>
      </c>
      <c r="S183" s="182">
        <f t="shared" ca="1" si="941"/>
        <v>0</v>
      </c>
      <c r="T183" s="182">
        <f t="shared" ca="1" si="941"/>
        <v>0</v>
      </c>
      <c r="U183" s="182">
        <f t="shared" ca="1" si="941"/>
        <v>0</v>
      </c>
      <c r="V183" s="182">
        <f t="shared" ca="1" si="941"/>
        <v>0</v>
      </c>
      <c r="W183" s="182">
        <f t="shared" ca="1" si="941"/>
        <v>0</v>
      </c>
      <c r="X183" s="182">
        <f t="shared" ca="1" si="941"/>
        <v>0</v>
      </c>
      <c r="Y183" s="182">
        <f t="shared" ca="1" si="941"/>
        <v>0</v>
      </c>
      <c r="Z183" s="182">
        <f t="shared" ca="1" si="941"/>
        <v>0</v>
      </c>
      <c r="AA183" s="182">
        <f t="shared" ca="1" si="941"/>
        <v>0</v>
      </c>
      <c r="AB183" s="182">
        <f t="shared" ca="1" si="941"/>
        <v>0</v>
      </c>
      <c r="AC183" s="182">
        <f t="shared" ca="1" si="941"/>
        <v>0</v>
      </c>
      <c r="AD183" s="182">
        <f t="shared" ca="1" si="941"/>
        <v>0</v>
      </c>
      <c r="AE183" s="182">
        <f t="shared" ca="1" si="941"/>
        <v>0</v>
      </c>
      <c r="AF183" s="182">
        <f t="shared" ca="1" si="941"/>
        <v>0</v>
      </c>
      <c r="AG183" s="182">
        <f t="shared" ca="1" si="941"/>
        <v>0</v>
      </c>
      <c r="AH183" s="182">
        <f t="shared" ca="1" si="941"/>
        <v>0</v>
      </c>
      <c r="AI183" s="182">
        <f t="shared" ca="1" si="941"/>
        <v>0</v>
      </c>
      <c r="AJ183" s="182">
        <f t="shared" ca="1" si="941"/>
        <v>0</v>
      </c>
      <c r="AK183" s="182">
        <f t="shared" ca="1" si="941"/>
        <v>0</v>
      </c>
      <c r="AL183" s="182">
        <f t="shared" ca="1" si="941"/>
        <v>0</v>
      </c>
      <c r="AM183" s="182">
        <f t="shared" ca="1" si="941"/>
        <v>0</v>
      </c>
      <c r="AN183" s="182">
        <f t="shared" ca="1" si="941"/>
        <v>0</v>
      </c>
      <c r="AO183" s="182">
        <f t="shared" ca="1" si="941"/>
        <v>0</v>
      </c>
      <c r="AP183" s="182">
        <f t="shared" ca="1" si="941"/>
        <v>0</v>
      </c>
      <c r="AQ183" s="182">
        <f t="shared" ca="1" si="941"/>
        <v>0</v>
      </c>
      <c r="AR183" s="182">
        <f t="shared" ca="1" si="941"/>
        <v>0</v>
      </c>
      <c r="AS183" s="182">
        <f t="shared" ca="1" si="941"/>
        <v>0</v>
      </c>
      <c r="AT183" s="182">
        <f t="shared" ca="1" si="941"/>
        <v>0</v>
      </c>
      <c r="AU183" s="182">
        <f t="shared" ca="1" si="941"/>
        <v>0</v>
      </c>
      <c r="AV183" s="182">
        <f t="shared" ca="1" si="941"/>
        <v>0</v>
      </c>
      <c r="AW183" s="182">
        <f t="shared" ca="1" si="941"/>
        <v>0</v>
      </c>
      <c r="AX183" s="182">
        <f t="shared" ca="1" si="941"/>
        <v>0</v>
      </c>
      <c r="AY183" s="182">
        <f t="shared" ca="1" si="941"/>
        <v>0</v>
      </c>
      <c r="AZ183" s="182">
        <f t="shared" ca="1" si="941"/>
        <v>0</v>
      </c>
      <c r="BA183" s="182">
        <f t="shared" ca="1" si="941"/>
        <v>0</v>
      </c>
      <c r="BB183" s="182">
        <f t="shared" ca="1" si="941"/>
        <v>0</v>
      </c>
      <c r="BC183" s="182"/>
      <c r="BD183" s="183">
        <f ca="1">SUM(G183:BC183)</f>
        <v>0</v>
      </c>
    </row>
    <row r="184" spans="1:56" ht="14.4" hidden="1" thickTop="1" x14ac:dyDescent="0.3">
      <c r="A184" s="184" t="str">
        <f ca="1">Language!A$672</f>
        <v>темп изменения цен</v>
      </c>
      <c r="B184" s="203"/>
      <c r="C184" s="163" t="str">
        <f ca="1">Language!$A$480</f>
        <v>% в год</v>
      </c>
      <c r="D184" s="174"/>
      <c r="F184" s="170" t="s">
        <v>2344</v>
      </c>
      <c r="G184" s="290">
        <f>CHOOSE($D166,Параметры!G$48,Параметры!G$56,Параметры!G$62)</f>
        <v>0.06</v>
      </c>
      <c r="H184" s="290">
        <f>CHOOSE($D166,Параметры!H$48,Параметры!H$56,Параметры!H$62)</f>
        <v>0.06</v>
      </c>
      <c r="I184" s="290">
        <f>CHOOSE($D166,Параметры!I$48,Параметры!I$56,Параметры!I$62)</f>
        <v>0.06</v>
      </c>
      <c r="J184" s="290">
        <f>CHOOSE($D166,Параметры!J$48,Параметры!J$56,Параметры!J$62)</f>
        <v>0.06</v>
      </c>
      <c r="K184" s="290">
        <f>CHOOSE($D166,Параметры!K$48,Параметры!K$56,Параметры!K$62)</f>
        <v>0.06</v>
      </c>
      <c r="L184" s="290">
        <f>CHOOSE($D166,Параметры!L$48,Параметры!L$56,Параметры!L$62)</f>
        <v>0.06</v>
      </c>
      <c r="M184" s="290">
        <f>CHOOSE($D166,Параметры!M$48,Параметры!M$56,Параметры!M$62)</f>
        <v>0.06</v>
      </c>
      <c r="N184" s="290">
        <f>CHOOSE($D166,Параметры!N$48,Параметры!N$56,Параметры!N$62)</f>
        <v>0.06</v>
      </c>
      <c r="O184" s="290">
        <f>CHOOSE($D166,Параметры!O$48,Параметры!O$56,Параметры!O$62)</f>
        <v>0.06</v>
      </c>
      <c r="P184" s="290">
        <f>CHOOSE($D166,Параметры!P$48,Параметры!P$56,Параметры!P$62)</f>
        <v>0.06</v>
      </c>
      <c r="Q184" s="290">
        <f>CHOOSE($D166,Параметры!Q$48,Параметры!Q$56,Параметры!Q$62)</f>
        <v>0.06</v>
      </c>
      <c r="R184" s="290">
        <f>CHOOSE($D166,Параметры!R$48,Параметры!R$56,Параметры!R$62)</f>
        <v>0.06</v>
      </c>
      <c r="S184" s="290">
        <f>CHOOSE($D166,Параметры!S$48,Параметры!S$56,Параметры!S$62)</f>
        <v>0.06</v>
      </c>
      <c r="T184" s="290">
        <f>CHOOSE($D166,Параметры!T$48,Параметры!T$56,Параметры!T$62)</f>
        <v>0.06</v>
      </c>
      <c r="U184" s="290">
        <f>CHOOSE($D166,Параметры!U$48,Параметры!U$56,Параметры!U$62)</f>
        <v>0.06</v>
      </c>
      <c r="V184" s="290">
        <f>CHOOSE($D166,Параметры!V$48,Параметры!V$56,Параметры!V$62)</f>
        <v>0.06</v>
      </c>
      <c r="W184" s="290">
        <f>CHOOSE($D166,Параметры!W$48,Параметры!W$56,Параметры!W$62)</f>
        <v>0.06</v>
      </c>
      <c r="X184" s="290">
        <f>CHOOSE($D166,Параметры!X$48,Параметры!X$56,Параметры!X$62)</f>
        <v>0.06</v>
      </c>
      <c r="Y184" s="290">
        <f>CHOOSE($D166,Параметры!Y$48,Параметры!Y$56,Параметры!Y$62)</f>
        <v>0.06</v>
      </c>
      <c r="Z184" s="290">
        <f>CHOOSE($D166,Параметры!Z$48,Параметры!Z$56,Параметры!Z$62)</f>
        <v>0.06</v>
      </c>
      <c r="AA184" s="290">
        <f>CHOOSE($D166,Параметры!AA$48,Параметры!AA$56,Параметры!AA$62)</f>
        <v>0.06</v>
      </c>
      <c r="AB184" s="290">
        <f>CHOOSE($D166,Параметры!AB$48,Параметры!AB$56,Параметры!AB$62)</f>
        <v>0.06</v>
      </c>
      <c r="AC184" s="290">
        <f>CHOOSE($D166,Параметры!AC$48,Параметры!AC$56,Параметры!AC$62)</f>
        <v>0.06</v>
      </c>
      <c r="AD184" s="290">
        <f>CHOOSE($D166,Параметры!AD$48,Параметры!AD$56,Параметры!AD$62)</f>
        <v>0.06</v>
      </c>
      <c r="AE184" s="290">
        <f>CHOOSE($D166,Параметры!AE$48,Параметры!AE$56,Параметры!AE$62)</f>
        <v>0.06</v>
      </c>
      <c r="AF184" s="290">
        <f>CHOOSE($D166,Параметры!AF$48,Параметры!AF$56,Параметры!AF$62)</f>
        <v>0.06</v>
      </c>
      <c r="AG184" s="290">
        <f>CHOOSE($D166,Параметры!AG$48,Параметры!AG$56,Параметры!AG$62)</f>
        <v>0.06</v>
      </c>
      <c r="AH184" s="290">
        <f>CHOOSE($D166,Параметры!AH$48,Параметры!AH$56,Параметры!AH$62)</f>
        <v>0.06</v>
      </c>
      <c r="AI184" s="290">
        <f>CHOOSE($D166,Параметры!AI$48,Параметры!AI$56,Параметры!AI$62)</f>
        <v>0.06</v>
      </c>
      <c r="AJ184" s="290">
        <f>CHOOSE($D166,Параметры!AJ$48,Параметры!AJ$56,Параметры!AJ$62)</f>
        <v>0.06</v>
      </c>
      <c r="AK184" s="290">
        <f>CHOOSE($D166,Параметры!AK$48,Параметры!AK$56,Параметры!AK$62)</f>
        <v>0.06</v>
      </c>
      <c r="AL184" s="290">
        <f>CHOOSE($D166,Параметры!AL$48,Параметры!AL$56,Параметры!AL$62)</f>
        <v>0.06</v>
      </c>
      <c r="AM184" s="290">
        <f>CHOOSE($D166,Параметры!AM$48,Параметры!AM$56,Параметры!AM$62)</f>
        <v>0.06</v>
      </c>
      <c r="AN184" s="290">
        <f>CHOOSE($D166,Параметры!AN$48,Параметры!AN$56,Параметры!AN$62)</f>
        <v>0.06</v>
      </c>
      <c r="AO184" s="290">
        <f>CHOOSE($D166,Параметры!AO$48,Параметры!AO$56,Параметры!AO$62)</f>
        <v>0.06</v>
      </c>
      <c r="AP184" s="290">
        <f>CHOOSE($D166,Параметры!AP$48,Параметры!AP$56,Параметры!AP$62)</f>
        <v>0.06</v>
      </c>
      <c r="AQ184" s="290">
        <f>CHOOSE($D166,Параметры!AQ$48,Параметры!AQ$56,Параметры!AQ$62)</f>
        <v>0.06</v>
      </c>
      <c r="AR184" s="290">
        <f>CHOOSE($D166,Параметры!AR$48,Параметры!AR$56,Параметры!AR$62)</f>
        <v>0.06</v>
      </c>
      <c r="AS184" s="290">
        <f>CHOOSE($D166,Параметры!AS$48,Параметры!AS$56,Параметры!AS$62)</f>
        <v>0.06</v>
      </c>
      <c r="AT184" s="290">
        <f>CHOOSE($D166,Параметры!AT$48,Параметры!AT$56,Параметры!AT$62)</f>
        <v>0.06</v>
      </c>
      <c r="AU184" s="290">
        <f>CHOOSE($D166,Параметры!AU$48,Параметры!AU$56,Параметры!AU$62)</f>
        <v>0.06</v>
      </c>
      <c r="AV184" s="290">
        <f>CHOOSE($D166,Параметры!AV$48,Параметры!AV$56,Параметры!AV$62)</f>
        <v>0.06</v>
      </c>
      <c r="AW184" s="290">
        <f>CHOOSE($D166,Параметры!AW$48,Параметры!AW$56,Параметры!AW$62)</f>
        <v>0.06</v>
      </c>
      <c r="AX184" s="290">
        <f>CHOOSE($D166,Параметры!AX$48,Параметры!AX$56,Параметры!AX$62)</f>
        <v>0.06</v>
      </c>
      <c r="AY184" s="290">
        <f>CHOOSE($D166,Параметры!AY$48,Параметры!AY$56,Параметры!AY$62)</f>
        <v>0.06</v>
      </c>
      <c r="AZ184" s="290">
        <f>CHOOSE($D166,Параметры!AZ$48,Параметры!AZ$56,Параметры!AZ$62)</f>
        <v>0.06</v>
      </c>
      <c r="BA184" s="290">
        <f>CHOOSE($D166,Параметры!BA$48,Параметры!BA$56,Параметры!BA$62)</f>
        <v>0.06</v>
      </c>
      <c r="BB184" s="290">
        <f>CHOOSE($D166,Параметры!BB$48,Параметры!BB$56,Параметры!BB$62)</f>
        <v>0.06</v>
      </c>
      <c r="BC184" s="190"/>
      <c r="BD184" s="186"/>
    </row>
    <row r="185" spans="1:56" ht="14.4" hidden="1" thickTop="1" x14ac:dyDescent="0.3">
      <c r="A185" s="184" t="str">
        <f ca="1">Language!A$673</f>
        <v>ставка НДС</v>
      </c>
      <c r="B185" s="203"/>
      <c r="C185" s="163" t="s">
        <v>1</v>
      </c>
      <c r="D185" s="174"/>
      <c r="F185" s="170" t="s">
        <v>2344</v>
      </c>
      <c r="G185" s="290">
        <f>IF(G$2=1,Параметры!G$72,IF(F185=Параметры!F$72,Параметры!F$72,F185))</f>
        <v>0</v>
      </c>
      <c r="H185" s="290">
        <f>IF(H$2=1,Параметры!H$72,IF(G185=Параметры!G$72,Параметры!G$72,G185))</f>
        <v>0</v>
      </c>
      <c r="I185" s="290">
        <f>IF(I$2=1,Параметры!I$72,IF(H185=Параметры!H$72,Параметры!H$72,H185))</f>
        <v>0</v>
      </c>
      <c r="J185" s="290">
        <f>IF(J$2=1,Параметры!J$72,IF(I185=Параметры!I$72,Параметры!I$72,I185))</f>
        <v>0</v>
      </c>
      <c r="K185" s="290">
        <f>IF(K$2=1,Параметры!K$72,IF(J185=Параметры!J$72,Параметры!J$72,J185))</f>
        <v>0</v>
      </c>
      <c r="L185" s="290">
        <f>IF(L$2=1,Параметры!L$72,IF(K185=Параметры!K$72,Параметры!K$72,K185))</f>
        <v>0</v>
      </c>
      <c r="M185" s="290">
        <f>IF(M$2=1,Параметры!M$72,IF(L185=Параметры!L$72,Параметры!L$72,L185))</f>
        <v>0</v>
      </c>
      <c r="N185" s="290">
        <f>IF(N$2=1,Параметры!N$72,IF(M185=Параметры!M$72,Параметры!M$72,M185))</f>
        <v>0</v>
      </c>
      <c r="O185" s="290">
        <f>IF(O$2=1,Параметры!O$72,IF(N185=Параметры!N$72,Параметры!N$72,N185))</f>
        <v>0</v>
      </c>
      <c r="P185" s="290">
        <f>IF(P$2=1,Параметры!P$72,IF(O185=Параметры!O$72,Параметры!O$72,O185))</f>
        <v>0</v>
      </c>
      <c r="Q185" s="290">
        <f>IF(Q$2=1,Параметры!Q$72,IF(P185=Параметры!P$72,Параметры!P$72,P185))</f>
        <v>0</v>
      </c>
      <c r="R185" s="290">
        <f>IF(R$2=1,Параметры!R$72,IF(Q185=Параметры!Q$72,Параметры!Q$72,Q185))</f>
        <v>0</v>
      </c>
      <c r="S185" s="290">
        <f>IF(S$2=1,Параметры!S$72,IF(R185=Параметры!R$72,Параметры!R$72,R185))</f>
        <v>0</v>
      </c>
      <c r="T185" s="290">
        <f>IF(T$2=1,Параметры!T$72,IF(S185=Параметры!S$72,Параметры!S$72,S185))</f>
        <v>0</v>
      </c>
      <c r="U185" s="290">
        <f>IF(U$2=1,Параметры!U$72,IF(T185=Параметры!T$72,Параметры!T$72,T185))</f>
        <v>0</v>
      </c>
      <c r="V185" s="290">
        <f>IF(V$2=1,Параметры!V$72,IF(U185=Параметры!U$72,Параметры!U$72,U185))</f>
        <v>0</v>
      </c>
      <c r="W185" s="290">
        <f>IF(W$2=1,Параметры!W$72,IF(V185=Параметры!V$72,Параметры!V$72,V185))</f>
        <v>0</v>
      </c>
      <c r="X185" s="290">
        <f>IF(X$2=1,Параметры!X$72,IF(W185=Параметры!W$72,Параметры!W$72,W185))</f>
        <v>0</v>
      </c>
      <c r="Y185" s="290">
        <f>IF(Y$2=1,Параметры!Y$72,IF(X185=Параметры!X$72,Параметры!X$72,X185))</f>
        <v>0</v>
      </c>
      <c r="Z185" s="290">
        <f>IF(Z$2=1,Параметры!Z$72,IF(Y185=Параметры!Y$72,Параметры!Y$72,Y185))</f>
        <v>0</v>
      </c>
      <c r="AA185" s="290">
        <f>IF(AA$2=1,Параметры!AA$72,IF(Z185=Параметры!Z$72,Параметры!Z$72,Z185))</f>
        <v>0</v>
      </c>
      <c r="AB185" s="290">
        <f>IF(AB$2=1,Параметры!AB$72,IF(AA185=Параметры!AA$72,Параметры!AA$72,AA185))</f>
        <v>0</v>
      </c>
      <c r="AC185" s="290">
        <f>IF(AC$2=1,Параметры!AC$72,IF(AB185=Параметры!AB$72,Параметры!AB$72,AB185))</f>
        <v>0</v>
      </c>
      <c r="AD185" s="290">
        <f>IF(AD$2=1,Параметры!AD$72,IF(AC185=Параметры!AC$72,Параметры!AC$72,AC185))</f>
        <v>0</v>
      </c>
      <c r="AE185" s="290">
        <f>IF(AE$2=1,Параметры!AE$72,IF(AD185=Параметры!AD$72,Параметры!AD$72,AD185))</f>
        <v>0</v>
      </c>
      <c r="AF185" s="290">
        <f>IF(AF$2=1,Параметры!AF$72,IF(AE185=Параметры!AE$72,Параметры!AE$72,AE185))</f>
        <v>0</v>
      </c>
      <c r="AG185" s="290">
        <f>IF(AG$2=1,Параметры!AG$72,IF(AF185=Параметры!AF$72,Параметры!AF$72,AF185))</f>
        <v>0</v>
      </c>
      <c r="AH185" s="290">
        <f>IF(AH$2=1,Параметры!AH$72,IF(AG185=Параметры!AG$72,Параметры!AG$72,AG185))</f>
        <v>0</v>
      </c>
      <c r="AI185" s="290">
        <f>IF(AI$2=1,Параметры!AI$72,IF(AH185=Параметры!AH$72,Параметры!AH$72,AH185))</f>
        <v>0</v>
      </c>
      <c r="AJ185" s="290">
        <f>IF(AJ$2=1,Параметры!AJ$72,IF(AI185=Параметры!AI$72,Параметры!AI$72,AI185))</f>
        <v>0</v>
      </c>
      <c r="AK185" s="290">
        <f>IF(AK$2=1,Параметры!AK$72,IF(AJ185=Параметры!AJ$72,Параметры!AJ$72,AJ185))</f>
        <v>0</v>
      </c>
      <c r="AL185" s="290">
        <f>IF(AL$2=1,Параметры!AL$72,IF(AK185=Параметры!AK$72,Параметры!AK$72,AK185))</f>
        <v>0</v>
      </c>
      <c r="AM185" s="290">
        <f>IF(AM$2=1,Параметры!AM$72,IF(AL185=Параметры!AL$72,Параметры!AL$72,AL185))</f>
        <v>0</v>
      </c>
      <c r="AN185" s="290">
        <f>IF(AN$2=1,Параметры!AN$72,IF(AM185=Параметры!AM$72,Параметры!AM$72,AM185))</f>
        <v>0</v>
      </c>
      <c r="AO185" s="290">
        <f>IF(AO$2=1,Параметры!AO$72,IF(AN185=Параметры!AN$72,Параметры!AN$72,AN185))</f>
        <v>0</v>
      </c>
      <c r="AP185" s="290">
        <f>IF(AP$2=1,Параметры!AP$72,IF(AO185=Параметры!AO$72,Параметры!AO$72,AO185))</f>
        <v>0</v>
      </c>
      <c r="AQ185" s="290">
        <f>IF(AQ$2=1,Параметры!AQ$72,IF(AP185=Параметры!AP$72,Параметры!AP$72,AP185))</f>
        <v>0</v>
      </c>
      <c r="AR185" s="290">
        <f>IF(AR$2=1,Параметры!AR$72,IF(AQ185=Параметры!AQ$72,Параметры!AQ$72,AQ185))</f>
        <v>0</v>
      </c>
      <c r="AS185" s="290">
        <f>IF(AS$2=1,Параметры!AS$72,IF(AR185=Параметры!AR$72,Параметры!AR$72,AR185))</f>
        <v>0</v>
      </c>
      <c r="AT185" s="290">
        <f>IF(AT$2=1,Параметры!AT$72,IF(AS185=Параметры!AS$72,Параметры!AS$72,AS185))</f>
        <v>0</v>
      </c>
      <c r="AU185" s="290">
        <f>IF(AU$2=1,Параметры!AU$72,IF(AT185=Параметры!AT$72,Параметры!AT$72,AT185))</f>
        <v>0</v>
      </c>
      <c r="AV185" s="290">
        <f>IF(AV$2=1,Параметры!AV$72,IF(AU185=Параметры!AU$72,Параметры!AU$72,AU185))</f>
        <v>0</v>
      </c>
      <c r="AW185" s="290">
        <f>IF(AW$2=1,Параметры!AW$72,IF(AV185=Параметры!AV$72,Параметры!AV$72,AV185))</f>
        <v>0</v>
      </c>
      <c r="AX185" s="290">
        <f>IF(AX$2=1,Параметры!AX$72,IF(AW185=Параметры!AW$72,Параметры!AW$72,AW185))</f>
        <v>0</v>
      </c>
      <c r="AY185" s="290">
        <f>IF(AY$2=1,Параметры!AY$72,IF(AX185=Параметры!AX$72,Параметры!AX$72,AX185))</f>
        <v>0</v>
      </c>
      <c r="AZ185" s="290">
        <f>IF(AZ$2=1,Параметры!AZ$72,IF(AY185=Параметры!AY$72,Параметры!AY$72,AY185))</f>
        <v>0</v>
      </c>
      <c r="BA185" s="290">
        <f>IF(BA$2=1,Параметры!BA$72,IF(AZ185=Параметры!AZ$72,Параметры!AZ$72,AZ185))</f>
        <v>0</v>
      </c>
      <c r="BB185" s="290">
        <f>IF(BB$2=1,Параметры!BB$72,IF(BA185=Параметры!BA$72,Параметры!BA$72,BA185))</f>
        <v>0</v>
      </c>
      <c r="BC185" s="190"/>
      <c r="BD185" s="186"/>
    </row>
    <row r="186" spans="1:56" ht="14.4" hidden="1" thickTop="1" x14ac:dyDescent="0.3">
      <c r="A186" s="184" t="str">
        <f ca="1">Language!A$674</f>
        <v>ставка импортной пошлины</v>
      </c>
      <c r="B186" s="203"/>
      <c r="C186" s="163" t="s">
        <v>1</v>
      </c>
      <c r="D186" s="174"/>
      <c r="F186" s="170" t="s">
        <v>2344</v>
      </c>
      <c r="G186" s="290">
        <v>0</v>
      </c>
      <c r="H186" s="290">
        <f t="shared" ref="H186:BB186" si="942">G186</f>
        <v>0</v>
      </c>
      <c r="I186" s="290">
        <f t="shared" si="942"/>
        <v>0</v>
      </c>
      <c r="J186" s="290">
        <f t="shared" si="942"/>
        <v>0</v>
      </c>
      <c r="K186" s="290">
        <f t="shared" si="942"/>
        <v>0</v>
      </c>
      <c r="L186" s="290">
        <f t="shared" si="942"/>
        <v>0</v>
      </c>
      <c r="M186" s="290">
        <f t="shared" si="942"/>
        <v>0</v>
      </c>
      <c r="N186" s="290">
        <f t="shared" si="942"/>
        <v>0</v>
      </c>
      <c r="O186" s="290">
        <f t="shared" si="942"/>
        <v>0</v>
      </c>
      <c r="P186" s="290">
        <f t="shared" si="942"/>
        <v>0</v>
      </c>
      <c r="Q186" s="290">
        <f t="shared" si="942"/>
        <v>0</v>
      </c>
      <c r="R186" s="290">
        <f t="shared" si="942"/>
        <v>0</v>
      </c>
      <c r="S186" s="290">
        <f t="shared" si="942"/>
        <v>0</v>
      </c>
      <c r="T186" s="290">
        <f t="shared" si="942"/>
        <v>0</v>
      </c>
      <c r="U186" s="290">
        <f t="shared" si="942"/>
        <v>0</v>
      </c>
      <c r="V186" s="290">
        <f t="shared" si="942"/>
        <v>0</v>
      </c>
      <c r="W186" s="290">
        <f t="shared" si="942"/>
        <v>0</v>
      </c>
      <c r="X186" s="290">
        <f t="shared" si="942"/>
        <v>0</v>
      </c>
      <c r="Y186" s="290">
        <f t="shared" si="942"/>
        <v>0</v>
      </c>
      <c r="Z186" s="290">
        <f t="shared" si="942"/>
        <v>0</v>
      </c>
      <c r="AA186" s="290">
        <f t="shared" si="942"/>
        <v>0</v>
      </c>
      <c r="AB186" s="290">
        <f t="shared" si="942"/>
        <v>0</v>
      </c>
      <c r="AC186" s="290">
        <f t="shared" si="942"/>
        <v>0</v>
      </c>
      <c r="AD186" s="290">
        <f t="shared" si="942"/>
        <v>0</v>
      </c>
      <c r="AE186" s="290">
        <f t="shared" si="942"/>
        <v>0</v>
      </c>
      <c r="AF186" s="290">
        <f t="shared" si="942"/>
        <v>0</v>
      </c>
      <c r="AG186" s="290">
        <f t="shared" si="942"/>
        <v>0</v>
      </c>
      <c r="AH186" s="290">
        <f t="shared" si="942"/>
        <v>0</v>
      </c>
      <c r="AI186" s="290">
        <f t="shared" si="942"/>
        <v>0</v>
      </c>
      <c r="AJ186" s="290">
        <f t="shared" si="942"/>
        <v>0</v>
      </c>
      <c r="AK186" s="290">
        <f t="shared" si="942"/>
        <v>0</v>
      </c>
      <c r="AL186" s="290">
        <f t="shared" si="942"/>
        <v>0</v>
      </c>
      <c r="AM186" s="290">
        <f t="shared" si="942"/>
        <v>0</v>
      </c>
      <c r="AN186" s="290">
        <f t="shared" si="942"/>
        <v>0</v>
      </c>
      <c r="AO186" s="290">
        <f t="shared" si="942"/>
        <v>0</v>
      </c>
      <c r="AP186" s="290">
        <f t="shared" si="942"/>
        <v>0</v>
      </c>
      <c r="AQ186" s="290">
        <f t="shared" si="942"/>
        <v>0</v>
      </c>
      <c r="AR186" s="290">
        <f t="shared" si="942"/>
        <v>0</v>
      </c>
      <c r="AS186" s="290">
        <f t="shared" si="942"/>
        <v>0</v>
      </c>
      <c r="AT186" s="290">
        <f t="shared" si="942"/>
        <v>0</v>
      </c>
      <c r="AU186" s="290">
        <f t="shared" si="942"/>
        <v>0</v>
      </c>
      <c r="AV186" s="290">
        <f t="shared" si="942"/>
        <v>0</v>
      </c>
      <c r="AW186" s="290">
        <f t="shared" si="942"/>
        <v>0</v>
      </c>
      <c r="AX186" s="290">
        <f t="shared" si="942"/>
        <v>0</v>
      </c>
      <c r="AY186" s="290">
        <f t="shared" si="942"/>
        <v>0</v>
      </c>
      <c r="AZ186" s="290">
        <f t="shared" si="942"/>
        <v>0</v>
      </c>
      <c r="BA186" s="290">
        <f t="shared" si="942"/>
        <v>0</v>
      </c>
      <c r="BB186" s="290">
        <f t="shared" si="942"/>
        <v>0</v>
      </c>
      <c r="BC186" s="190"/>
      <c r="BD186" s="186"/>
    </row>
    <row r="187" spans="1:56" ht="14.4" hidden="1" thickTop="1" x14ac:dyDescent="0.3">
      <c r="A187" s="184" t="str">
        <f ca="1">Language!A$675</f>
        <v>коэффициент прироста цен к предыдущему периоду</v>
      </c>
      <c r="B187" s="203"/>
      <c r="C187" s="163" t="str">
        <f ca="1">Language!$A$1477</f>
        <v>раз</v>
      </c>
      <c r="D187" s="174"/>
      <c r="F187" s="170" t="s">
        <v>747</v>
      </c>
      <c r="G187" s="191">
        <f ca="1">IF(G$2=1,1,IF(Prj_Inflation=1,POWER(1+OFFSET(G184,0,-1),Параметры!G$30/360),1))</f>
        <v>1</v>
      </c>
      <c r="H187" s="191">
        <f ca="1">IF(H$2=1,1,IF(Prj_Inflation=1,POWER(1+OFFSET(H184,0,-1),Параметры!H$30/360),1))</f>
        <v>1.004867550565343</v>
      </c>
      <c r="I187" s="191">
        <f ca="1">IF(I$2=1,1,IF(Prj_Inflation=1,POWER(1+OFFSET(I184,0,-1),Параметры!I$30/360),1))</f>
        <v>1.004867550565343</v>
      </c>
      <c r="J187" s="191">
        <f ca="1">IF(J$2=1,1,IF(Prj_Inflation=1,POWER(1+OFFSET(J184,0,-1),Параметры!J$30/360),1))</f>
        <v>1.004867550565343</v>
      </c>
      <c r="K187" s="191">
        <f ca="1">IF(K$2=1,1,IF(Prj_Inflation=1,POWER(1+OFFSET(K184,0,-1),Параметры!K$30/360),1))</f>
        <v>1.004867550565343</v>
      </c>
      <c r="L187" s="191">
        <f ca="1">IF(L$2=1,1,IF(Prj_Inflation=1,POWER(1+OFFSET(L184,0,-1),Параметры!L$30/360),1))</f>
        <v>1.004867550565343</v>
      </c>
      <c r="M187" s="191">
        <f ca="1">IF(M$2=1,1,IF(Prj_Inflation=1,POWER(1+OFFSET(M184,0,-1),Параметры!M$30/360),1))</f>
        <v>1.004867550565343</v>
      </c>
      <c r="N187" s="191">
        <f ca="1">IF(N$2=1,1,IF(Prj_Inflation=1,POWER(1+OFFSET(N184,0,-1),Параметры!N$30/360),1))</f>
        <v>1.004867550565343</v>
      </c>
      <c r="O187" s="191">
        <f ca="1">IF(O$2=1,1,IF(Prj_Inflation=1,POWER(1+OFFSET(O184,0,-1),Параметры!O$30/360),1))</f>
        <v>1.004867550565343</v>
      </c>
      <c r="P187" s="191">
        <f ca="1">IF(P$2=1,1,IF(Prj_Inflation=1,POWER(1+OFFSET(P184,0,-1),Параметры!P$30/360),1))</f>
        <v>1.004867550565343</v>
      </c>
      <c r="Q187" s="191">
        <f ca="1">IF(Q$2=1,1,IF(Prj_Inflation=1,POWER(1+OFFSET(Q184,0,-1),Параметры!Q$30/360),1))</f>
        <v>1.004867550565343</v>
      </c>
      <c r="R187" s="191">
        <f ca="1">IF(R$2=1,1,IF(Prj_Inflation=1,POWER(1+OFFSET(R184,0,-1),Параметры!R$30/360),1))</f>
        <v>1.004867550565343</v>
      </c>
      <c r="S187" s="191">
        <f ca="1">IF(S$2=1,1,IF(Prj_Inflation=1,POWER(1+OFFSET(S184,0,-1),Параметры!S$30/360),1))</f>
        <v>1.004867550565343</v>
      </c>
      <c r="T187" s="191">
        <f ca="1">IF(T$2=1,1,IF(Prj_Inflation=1,POWER(1+OFFSET(T184,0,-1),Параметры!T$30/360),1))</f>
        <v>1.004867550565343</v>
      </c>
      <c r="U187" s="191">
        <f ca="1">IF(U$2=1,1,IF(Prj_Inflation=1,POWER(1+OFFSET(U184,0,-1),Параметры!U$30/360),1))</f>
        <v>1.004867550565343</v>
      </c>
      <c r="V187" s="191">
        <f ca="1">IF(V$2=1,1,IF(Prj_Inflation=1,POWER(1+OFFSET(V184,0,-1),Параметры!V$30/360),1))</f>
        <v>1.004867550565343</v>
      </c>
      <c r="W187" s="191">
        <f ca="1">IF(W$2=1,1,IF(Prj_Inflation=1,POWER(1+OFFSET(W184,0,-1),Параметры!W$30/360),1))</f>
        <v>1.004867550565343</v>
      </c>
      <c r="X187" s="191">
        <f ca="1">IF(X$2=1,1,IF(Prj_Inflation=1,POWER(1+OFFSET(X184,0,-1),Параметры!X$30/360),1))</f>
        <v>1.004867550565343</v>
      </c>
      <c r="Y187" s="191">
        <f ca="1">IF(Y$2=1,1,IF(Prj_Inflation=1,POWER(1+OFFSET(Y184,0,-1),Параметры!Y$30/360),1))</f>
        <v>1.004867550565343</v>
      </c>
      <c r="Z187" s="191">
        <f ca="1">IF(Z$2=1,1,IF(Prj_Inflation=1,POWER(1+OFFSET(Z184,0,-1),Параметры!Z$30/360),1))</f>
        <v>1.004867550565343</v>
      </c>
      <c r="AA187" s="191">
        <f ca="1">IF(AA$2=1,1,IF(Prj_Inflation=1,POWER(1+OFFSET(AA184,0,-1),Параметры!AA$30/360),1))</f>
        <v>1.004867550565343</v>
      </c>
      <c r="AB187" s="191">
        <f ca="1">IF(AB$2=1,1,IF(Prj_Inflation=1,POWER(1+OFFSET(AB184,0,-1),Параметры!AB$30/360),1))</f>
        <v>1.004867550565343</v>
      </c>
      <c r="AC187" s="191">
        <f ca="1">IF(AC$2=1,1,IF(Prj_Inflation=1,POWER(1+OFFSET(AC184,0,-1),Параметры!AC$30/360),1))</f>
        <v>1.004867550565343</v>
      </c>
      <c r="AD187" s="191">
        <f ca="1">IF(AD$2=1,1,IF(Prj_Inflation=1,POWER(1+OFFSET(AD184,0,-1),Параметры!AD$30/360),1))</f>
        <v>1.004867550565343</v>
      </c>
      <c r="AE187" s="191">
        <f ca="1">IF(AE$2=1,1,IF(Prj_Inflation=1,POWER(1+OFFSET(AE184,0,-1),Параметры!AE$30/360),1))</f>
        <v>1.004867550565343</v>
      </c>
      <c r="AF187" s="191">
        <f ca="1">IF(AF$2=1,1,IF(Prj_Inflation=1,POWER(1+OFFSET(AF184,0,-1),Параметры!AF$30/360),1))</f>
        <v>1.004867550565343</v>
      </c>
      <c r="AG187" s="191">
        <f ca="1">IF(AG$2=1,1,IF(Prj_Inflation=1,POWER(1+OFFSET(AG184,0,-1),Параметры!AG$30/360),1))</f>
        <v>1.004867550565343</v>
      </c>
      <c r="AH187" s="191">
        <f ca="1">IF(AH$2=1,1,IF(Prj_Inflation=1,POWER(1+OFFSET(AH184,0,-1),Параметры!AH$30/360),1))</f>
        <v>1.004867550565343</v>
      </c>
      <c r="AI187" s="191">
        <f ca="1">IF(AI$2=1,1,IF(Prj_Inflation=1,POWER(1+OFFSET(AI184,0,-1),Параметры!AI$30/360),1))</f>
        <v>1.004867550565343</v>
      </c>
      <c r="AJ187" s="191">
        <f ca="1">IF(AJ$2=1,1,IF(Prj_Inflation=1,POWER(1+OFFSET(AJ184,0,-1),Параметры!AJ$30/360),1))</f>
        <v>1.004867550565343</v>
      </c>
      <c r="AK187" s="191">
        <f ca="1">IF(AK$2=1,1,IF(Prj_Inflation=1,POWER(1+OFFSET(AK184,0,-1),Параметры!AK$30/360),1))</f>
        <v>1.004867550565343</v>
      </c>
      <c r="AL187" s="191">
        <f ca="1">IF(AL$2=1,1,IF(Prj_Inflation=1,POWER(1+OFFSET(AL184,0,-1),Параметры!AL$30/360),1))</f>
        <v>1.004867550565343</v>
      </c>
      <c r="AM187" s="191">
        <f ca="1">IF(AM$2=1,1,IF(Prj_Inflation=1,POWER(1+OFFSET(AM184,0,-1),Параметры!AM$30/360),1))</f>
        <v>1.004867550565343</v>
      </c>
      <c r="AN187" s="191">
        <f ca="1">IF(AN$2=1,1,IF(Prj_Inflation=1,POWER(1+OFFSET(AN184,0,-1),Параметры!AN$30/360),1))</f>
        <v>1.004867550565343</v>
      </c>
      <c r="AO187" s="191">
        <f ca="1">IF(AO$2=1,1,IF(Prj_Inflation=1,POWER(1+OFFSET(AO184,0,-1),Параметры!AO$30/360),1))</f>
        <v>1.004867550565343</v>
      </c>
      <c r="AP187" s="191">
        <f ca="1">IF(AP$2=1,1,IF(Prj_Inflation=1,POWER(1+OFFSET(AP184,0,-1),Параметры!AP$30/360),1))</f>
        <v>1.004867550565343</v>
      </c>
      <c r="AQ187" s="191">
        <f ca="1">IF(AQ$2=1,1,IF(Prj_Inflation=1,POWER(1+OFFSET(AQ184,0,-1),Параметры!AQ$30/360),1))</f>
        <v>1.004867550565343</v>
      </c>
      <c r="AR187" s="191">
        <f ca="1">IF(AR$2=1,1,IF(Prj_Inflation=1,POWER(1+OFFSET(AR184,0,-1),Параметры!AR$30/360),1))</f>
        <v>1.004867550565343</v>
      </c>
      <c r="AS187" s="191">
        <f ca="1">IF(AS$2=1,1,IF(Prj_Inflation=1,POWER(1+OFFSET(AS184,0,-1),Параметры!AS$30/360),1))</f>
        <v>1.004867550565343</v>
      </c>
      <c r="AT187" s="191">
        <f ca="1">IF(AT$2=1,1,IF(Prj_Inflation=1,POWER(1+OFFSET(AT184,0,-1),Параметры!AT$30/360),1))</f>
        <v>1.004867550565343</v>
      </c>
      <c r="AU187" s="191">
        <f ca="1">IF(AU$2=1,1,IF(Prj_Inflation=1,POWER(1+OFFSET(AU184,0,-1),Параметры!AU$30/360),1))</f>
        <v>1.004867550565343</v>
      </c>
      <c r="AV187" s="191">
        <f ca="1">IF(AV$2=1,1,IF(Prj_Inflation=1,POWER(1+OFFSET(AV184,0,-1),Параметры!AV$30/360),1))</f>
        <v>1.004867550565343</v>
      </c>
      <c r="AW187" s="191">
        <f ca="1">IF(AW$2=1,1,IF(Prj_Inflation=1,POWER(1+OFFSET(AW184,0,-1),Параметры!AW$30/360),1))</f>
        <v>1.004867550565343</v>
      </c>
      <c r="AX187" s="191">
        <f ca="1">IF(AX$2=1,1,IF(Prj_Inflation=1,POWER(1+OFFSET(AX184,0,-1),Параметры!AX$30/360),1))</f>
        <v>1.004867550565343</v>
      </c>
      <c r="AY187" s="191">
        <f ca="1">IF(AY$2=1,1,IF(Prj_Inflation=1,POWER(1+OFFSET(AY184,0,-1),Параметры!AY$30/360),1))</f>
        <v>1.004867550565343</v>
      </c>
      <c r="AZ187" s="191">
        <f ca="1">IF(AZ$2=1,1,IF(Prj_Inflation=1,POWER(1+OFFSET(AZ184,0,-1),Параметры!AZ$30/360),1))</f>
        <v>1.004867550565343</v>
      </c>
      <c r="BA187" s="191">
        <f ca="1">IF(BA$2=1,1,IF(Prj_Inflation=1,POWER(1+OFFSET(BA184,0,-1),Параметры!BA$30/360),1))</f>
        <v>1.004867550565343</v>
      </c>
      <c r="BB187" s="191">
        <f ca="1">IF(BB$2=1,1,IF(Prj_Inflation=1,POWER(1+OFFSET(BB184,0,-1),Параметры!BB$30/360),1))</f>
        <v>1.004867550565343</v>
      </c>
      <c r="BC187" s="191"/>
      <c r="BD187" s="186"/>
    </row>
    <row r="188" spans="1:56" ht="14.4" hidden="1" thickTop="1" x14ac:dyDescent="0.3">
      <c r="A188" s="184" t="str">
        <f ca="1">Language!A$1486</f>
        <v>индексировать в начале года</v>
      </c>
      <c r="B188" s="291">
        <v>0</v>
      </c>
      <c r="C188" s="163" t="str">
        <f ca="1">IF(B188=1,Language!$A$1475,Language!$A$1476)</f>
        <v>Нет</v>
      </c>
      <c r="D188" s="174"/>
      <c r="F188" s="170" t="s">
        <v>2345</v>
      </c>
      <c r="G188" s="192" t="str">
        <f ca="1">IF(Prj_Inflation=1,IF($B188=1,IF(G$2=1,1,IF(Параметры!G$29=1,1+OFFSET(G184,0,-1),1)),"-"),1)</f>
        <v>-</v>
      </c>
      <c r="H188" s="192" t="str">
        <f ca="1">IF(Prj_Inflation=1,IF($B188=1,IF(H$2=1,1,IF(Параметры!H$29=1,1+OFFSET(H184,0,-1),1)),"-"),1)</f>
        <v>-</v>
      </c>
      <c r="I188" s="192" t="str">
        <f ca="1">IF(Prj_Inflation=1,IF($B188=1,IF(I$2=1,1,IF(Параметры!I$29=1,1+OFFSET(I184,0,-1),1)),"-"),1)</f>
        <v>-</v>
      </c>
      <c r="J188" s="192" t="str">
        <f ca="1">IF(Prj_Inflation=1,IF($B188=1,IF(J$2=1,1,IF(Параметры!J$29=1,1+OFFSET(J184,0,-1),1)),"-"),1)</f>
        <v>-</v>
      </c>
      <c r="K188" s="192" t="str">
        <f ca="1">IF(Prj_Inflation=1,IF($B188=1,IF(K$2=1,1,IF(Параметры!K$29=1,1+OFFSET(K184,0,-1),1)),"-"),1)</f>
        <v>-</v>
      </c>
      <c r="L188" s="192" t="str">
        <f ca="1">IF(Prj_Inflation=1,IF($B188=1,IF(L$2=1,1,IF(Параметры!L$29=1,1+OFFSET(L184,0,-1),1)),"-"),1)</f>
        <v>-</v>
      </c>
      <c r="M188" s="192" t="str">
        <f ca="1">IF(Prj_Inflation=1,IF($B188=1,IF(M$2=1,1,IF(Параметры!M$29=1,1+OFFSET(M184,0,-1),1)),"-"),1)</f>
        <v>-</v>
      </c>
      <c r="N188" s="192" t="str">
        <f ca="1">IF(Prj_Inflation=1,IF($B188=1,IF(N$2=1,1,IF(Параметры!N$29=1,1+OFFSET(N184,0,-1),1)),"-"),1)</f>
        <v>-</v>
      </c>
      <c r="O188" s="192" t="str">
        <f ca="1">IF(Prj_Inflation=1,IF($B188=1,IF(O$2=1,1,IF(Параметры!O$29=1,1+OFFSET(O184,0,-1),1)),"-"),1)</f>
        <v>-</v>
      </c>
      <c r="P188" s="192" t="str">
        <f ca="1">IF(Prj_Inflation=1,IF($B188=1,IF(P$2=1,1,IF(Параметры!P$29=1,1+OFFSET(P184,0,-1),1)),"-"),1)</f>
        <v>-</v>
      </c>
      <c r="Q188" s="192" t="str">
        <f ca="1">IF(Prj_Inflation=1,IF($B188=1,IF(Q$2=1,1,IF(Параметры!Q$29=1,1+OFFSET(Q184,0,-1),1)),"-"),1)</f>
        <v>-</v>
      </c>
      <c r="R188" s="192" t="str">
        <f ca="1">IF(Prj_Inflation=1,IF($B188=1,IF(R$2=1,1,IF(Параметры!R$29=1,1+OFFSET(R184,0,-1),1)),"-"),1)</f>
        <v>-</v>
      </c>
      <c r="S188" s="192" t="str">
        <f ca="1">IF(Prj_Inflation=1,IF($B188=1,IF(S$2=1,1,IF(Параметры!S$29=1,1+OFFSET(S184,0,-1),1)),"-"),1)</f>
        <v>-</v>
      </c>
      <c r="T188" s="192" t="str">
        <f ca="1">IF(Prj_Inflation=1,IF($B188=1,IF(T$2=1,1,IF(Параметры!T$29=1,1+OFFSET(T184,0,-1),1)),"-"),1)</f>
        <v>-</v>
      </c>
      <c r="U188" s="192" t="str">
        <f ca="1">IF(Prj_Inflation=1,IF($B188=1,IF(U$2=1,1,IF(Параметры!U$29=1,1+OFFSET(U184,0,-1),1)),"-"),1)</f>
        <v>-</v>
      </c>
      <c r="V188" s="192" t="str">
        <f ca="1">IF(Prj_Inflation=1,IF($B188=1,IF(V$2=1,1,IF(Параметры!V$29=1,1+OFFSET(V184,0,-1),1)),"-"),1)</f>
        <v>-</v>
      </c>
      <c r="W188" s="192" t="str">
        <f ca="1">IF(Prj_Inflation=1,IF($B188=1,IF(W$2=1,1,IF(Параметры!W$29=1,1+OFFSET(W184,0,-1),1)),"-"),1)</f>
        <v>-</v>
      </c>
      <c r="X188" s="192" t="str">
        <f ca="1">IF(Prj_Inflation=1,IF($B188=1,IF(X$2=1,1,IF(Параметры!X$29=1,1+OFFSET(X184,0,-1),1)),"-"),1)</f>
        <v>-</v>
      </c>
      <c r="Y188" s="192" t="str">
        <f ca="1">IF(Prj_Inflation=1,IF($B188=1,IF(Y$2=1,1,IF(Параметры!Y$29=1,1+OFFSET(Y184,0,-1),1)),"-"),1)</f>
        <v>-</v>
      </c>
      <c r="Z188" s="192" t="str">
        <f ca="1">IF(Prj_Inflation=1,IF($B188=1,IF(Z$2=1,1,IF(Параметры!Z$29=1,1+OFFSET(Z184,0,-1),1)),"-"),1)</f>
        <v>-</v>
      </c>
      <c r="AA188" s="192" t="str">
        <f ca="1">IF(Prj_Inflation=1,IF($B188=1,IF(AA$2=1,1,IF(Параметры!AA$29=1,1+OFFSET(AA184,0,-1),1)),"-"),1)</f>
        <v>-</v>
      </c>
      <c r="AB188" s="192" t="str">
        <f ca="1">IF(Prj_Inflation=1,IF($B188=1,IF(AB$2=1,1,IF(Параметры!AB$29=1,1+OFFSET(AB184,0,-1),1)),"-"),1)</f>
        <v>-</v>
      </c>
      <c r="AC188" s="192" t="str">
        <f ca="1">IF(Prj_Inflation=1,IF($B188=1,IF(AC$2=1,1,IF(Параметры!AC$29=1,1+OFFSET(AC184,0,-1),1)),"-"),1)</f>
        <v>-</v>
      </c>
      <c r="AD188" s="192" t="str">
        <f ca="1">IF(Prj_Inflation=1,IF($B188=1,IF(AD$2=1,1,IF(Параметры!AD$29=1,1+OFFSET(AD184,0,-1),1)),"-"),1)</f>
        <v>-</v>
      </c>
      <c r="AE188" s="192" t="str">
        <f ca="1">IF(Prj_Inflation=1,IF($B188=1,IF(AE$2=1,1,IF(Параметры!AE$29=1,1+OFFSET(AE184,0,-1),1)),"-"),1)</f>
        <v>-</v>
      </c>
      <c r="AF188" s="192" t="str">
        <f ca="1">IF(Prj_Inflation=1,IF($B188=1,IF(AF$2=1,1,IF(Параметры!AF$29=1,1+OFFSET(AF184,0,-1),1)),"-"),1)</f>
        <v>-</v>
      </c>
      <c r="AG188" s="192" t="str">
        <f ca="1">IF(Prj_Inflation=1,IF($B188=1,IF(AG$2=1,1,IF(Параметры!AG$29=1,1+OFFSET(AG184,0,-1),1)),"-"),1)</f>
        <v>-</v>
      </c>
      <c r="AH188" s="192" t="str">
        <f ca="1">IF(Prj_Inflation=1,IF($B188=1,IF(AH$2=1,1,IF(Параметры!AH$29=1,1+OFFSET(AH184,0,-1),1)),"-"),1)</f>
        <v>-</v>
      </c>
      <c r="AI188" s="192" t="str">
        <f ca="1">IF(Prj_Inflation=1,IF($B188=1,IF(AI$2=1,1,IF(Параметры!AI$29=1,1+OFFSET(AI184,0,-1),1)),"-"),1)</f>
        <v>-</v>
      </c>
      <c r="AJ188" s="192" t="str">
        <f ca="1">IF(Prj_Inflation=1,IF($B188=1,IF(AJ$2=1,1,IF(Параметры!AJ$29=1,1+OFFSET(AJ184,0,-1),1)),"-"),1)</f>
        <v>-</v>
      </c>
      <c r="AK188" s="192" t="str">
        <f ca="1">IF(Prj_Inflation=1,IF($B188=1,IF(AK$2=1,1,IF(Параметры!AK$29=1,1+OFFSET(AK184,0,-1),1)),"-"),1)</f>
        <v>-</v>
      </c>
      <c r="AL188" s="192" t="str">
        <f ca="1">IF(Prj_Inflation=1,IF($B188=1,IF(AL$2=1,1,IF(Параметры!AL$29=1,1+OFFSET(AL184,0,-1),1)),"-"),1)</f>
        <v>-</v>
      </c>
      <c r="AM188" s="192" t="str">
        <f ca="1">IF(Prj_Inflation=1,IF($B188=1,IF(AM$2=1,1,IF(Параметры!AM$29=1,1+OFFSET(AM184,0,-1),1)),"-"),1)</f>
        <v>-</v>
      </c>
      <c r="AN188" s="192" t="str">
        <f ca="1">IF(Prj_Inflation=1,IF($B188=1,IF(AN$2=1,1,IF(Параметры!AN$29=1,1+OFFSET(AN184,0,-1),1)),"-"),1)</f>
        <v>-</v>
      </c>
      <c r="AO188" s="192" t="str">
        <f ca="1">IF(Prj_Inflation=1,IF($B188=1,IF(AO$2=1,1,IF(Параметры!AO$29=1,1+OFFSET(AO184,0,-1),1)),"-"),1)</f>
        <v>-</v>
      </c>
      <c r="AP188" s="192" t="str">
        <f ca="1">IF(Prj_Inflation=1,IF($B188=1,IF(AP$2=1,1,IF(Параметры!AP$29=1,1+OFFSET(AP184,0,-1),1)),"-"),1)</f>
        <v>-</v>
      </c>
      <c r="AQ188" s="192" t="str">
        <f ca="1">IF(Prj_Inflation=1,IF($B188=1,IF(AQ$2=1,1,IF(Параметры!AQ$29=1,1+OFFSET(AQ184,0,-1),1)),"-"),1)</f>
        <v>-</v>
      </c>
      <c r="AR188" s="192" t="str">
        <f ca="1">IF(Prj_Inflation=1,IF($B188=1,IF(AR$2=1,1,IF(Параметры!AR$29=1,1+OFFSET(AR184,0,-1),1)),"-"),1)</f>
        <v>-</v>
      </c>
      <c r="AS188" s="192" t="str">
        <f ca="1">IF(Prj_Inflation=1,IF($B188=1,IF(AS$2=1,1,IF(Параметры!AS$29=1,1+OFFSET(AS184,0,-1),1)),"-"),1)</f>
        <v>-</v>
      </c>
      <c r="AT188" s="192" t="str">
        <f ca="1">IF(Prj_Inflation=1,IF($B188=1,IF(AT$2=1,1,IF(Параметры!AT$29=1,1+OFFSET(AT184,0,-1),1)),"-"),1)</f>
        <v>-</v>
      </c>
      <c r="AU188" s="192" t="str">
        <f ca="1">IF(Prj_Inflation=1,IF($B188=1,IF(AU$2=1,1,IF(Параметры!AU$29=1,1+OFFSET(AU184,0,-1),1)),"-"),1)</f>
        <v>-</v>
      </c>
      <c r="AV188" s="192" t="str">
        <f ca="1">IF(Prj_Inflation=1,IF($B188=1,IF(AV$2=1,1,IF(Параметры!AV$29=1,1+OFFSET(AV184,0,-1),1)),"-"),1)</f>
        <v>-</v>
      </c>
      <c r="AW188" s="192" t="str">
        <f ca="1">IF(Prj_Inflation=1,IF($B188=1,IF(AW$2=1,1,IF(Параметры!AW$29=1,1+OFFSET(AW184,0,-1),1)),"-"),1)</f>
        <v>-</v>
      </c>
      <c r="AX188" s="192" t="str">
        <f ca="1">IF(Prj_Inflation=1,IF($B188=1,IF(AX$2=1,1,IF(Параметры!AX$29=1,1+OFFSET(AX184,0,-1),1)),"-"),1)</f>
        <v>-</v>
      </c>
      <c r="AY188" s="192" t="str">
        <f ca="1">IF(Prj_Inflation=1,IF($B188=1,IF(AY$2=1,1,IF(Параметры!AY$29=1,1+OFFSET(AY184,0,-1),1)),"-"),1)</f>
        <v>-</v>
      </c>
      <c r="AZ188" s="192" t="str">
        <f ca="1">IF(Prj_Inflation=1,IF($B188=1,IF(AZ$2=1,1,IF(Параметры!AZ$29=1,1+OFFSET(AZ184,0,-1),1)),"-"),1)</f>
        <v>-</v>
      </c>
      <c r="BA188" s="192" t="str">
        <f ca="1">IF(Prj_Inflation=1,IF($B188=1,IF(BA$2=1,1,IF(Параметры!BA$29=1,1+OFFSET(BA184,0,-1),1)),"-"),1)</f>
        <v>-</v>
      </c>
      <c r="BB188" s="192" t="str">
        <f ca="1">IF(Prj_Inflation=1,IF($B188=1,IF(BB$2=1,1,IF(Параметры!BB$29=1,1+OFFSET(BB184,0,-1),1)),"-"),1)</f>
        <v>-</v>
      </c>
      <c r="BC188" s="191"/>
      <c r="BD188" s="186"/>
    </row>
    <row r="189" spans="1:56" ht="14.4" hidden="1" thickTop="1" x14ac:dyDescent="0.3">
      <c r="A189" s="184" t="str">
        <f ca="1">Language!A$676</f>
        <v>пошлины начисленные</v>
      </c>
      <c r="B189" s="174"/>
      <c r="C189" s="163" t="str">
        <f ca="1">CHOOSE(D189,CurName1,CurName2,CurName3)</f>
        <v>руб.</v>
      </c>
      <c r="D189" s="174">
        <f>D166</f>
        <v>1</v>
      </c>
      <c r="E189" s="170" t="s">
        <v>1010</v>
      </c>
      <c r="F189" s="170" t="s">
        <v>743</v>
      </c>
      <c r="G189" s="185">
        <f ca="1">G177*G186</f>
        <v>0</v>
      </c>
      <c r="H189" s="185">
        <f t="shared" ref="H189:K189" ca="1" si="943">H177*H186</f>
        <v>0</v>
      </c>
      <c r="I189" s="185">
        <f t="shared" ca="1" si="943"/>
        <v>0</v>
      </c>
      <c r="J189" s="185">
        <f t="shared" ca="1" si="943"/>
        <v>0</v>
      </c>
      <c r="K189" s="185">
        <f t="shared" ca="1" si="943"/>
        <v>0</v>
      </c>
      <c r="L189" s="185">
        <f t="shared" ref="L189:M189" ca="1" si="944">L177*L186</f>
        <v>0</v>
      </c>
      <c r="M189" s="185">
        <f t="shared" ca="1" si="944"/>
        <v>0</v>
      </c>
      <c r="N189" s="185">
        <f t="shared" ref="N189:O189" ca="1" si="945">N177*N186</f>
        <v>0</v>
      </c>
      <c r="O189" s="185">
        <f t="shared" ca="1" si="945"/>
        <v>0</v>
      </c>
      <c r="P189" s="185">
        <f t="shared" ref="P189:Q189" ca="1" si="946">P177*P186</f>
        <v>0</v>
      </c>
      <c r="Q189" s="185">
        <f t="shared" ca="1" si="946"/>
        <v>0</v>
      </c>
      <c r="R189" s="185">
        <f t="shared" ref="R189:S189" ca="1" si="947">R177*R186</f>
        <v>0</v>
      </c>
      <c r="S189" s="185">
        <f t="shared" ca="1" si="947"/>
        <v>0</v>
      </c>
      <c r="T189" s="185">
        <f t="shared" ref="T189:U189" ca="1" si="948">T177*T186</f>
        <v>0</v>
      </c>
      <c r="U189" s="185">
        <f t="shared" ca="1" si="948"/>
        <v>0</v>
      </c>
      <c r="V189" s="185">
        <f t="shared" ref="V189:W189" ca="1" si="949">V177*V186</f>
        <v>0</v>
      </c>
      <c r="W189" s="185">
        <f t="shared" ca="1" si="949"/>
        <v>0</v>
      </c>
      <c r="X189" s="185">
        <f t="shared" ref="X189:Y189" ca="1" si="950">X177*X186</f>
        <v>0</v>
      </c>
      <c r="Y189" s="185">
        <f t="shared" ca="1" si="950"/>
        <v>0</v>
      </c>
      <c r="Z189" s="185">
        <f t="shared" ref="Z189:AA189" ca="1" si="951">Z177*Z186</f>
        <v>0</v>
      </c>
      <c r="AA189" s="185">
        <f t="shared" ca="1" si="951"/>
        <v>0</v>
      </c>
      <c r="AB189" s="185">
        <f t="shared" ref="AB189:AC189" ca="1" si="952">AB177*AB186</f>
        <v>0</v>
      </c>
      <c r="AC189" s="185">
        <f t="shared" ca="1" si="952"/>
        <v>0</v>
      </c>
      <c r="AD189" s="185">
        <f t="shared" ref="AD189:AE189" ca="1" si="953">AD177*AD186</f>
        <v>0</v>
      </c>
      <c r="AE189" s="185">
        <f t="shared" ca="1" si="953"/>
        <v>0</v>
      </c>
      <c r="AF189" s="185">
        <f t="shared" ref="AF189:AG189" ca="1" si="954">AF177*AF186</f>
        <v>0</v>
      </c>
      <c r="AG189" s="185">
        <f t="shared" ca="1" si="954"/>
        <v>0</v>
      </c>
      <c r="AH189" s="185">
        <f t="shared" ref="AH189:AI189" ca="1" si="955">AH177*AH186</f>
        <v>0</v>
      </c>
      <c r="AI189" s="185">
        <f t="shared" ca="1" si="955"/>
        <v>0</v>
      </c>
      <c r="AJ189" s="185">
        <f t="shared" ref="AJ189:AK189" ca="1" si="956">AJ177*AJ186</f>
        <v>0</v>
      </c>
      <c r="AK189" s="185">
        <f t="shared" ca="1" si="956"/>
        <v>0</v>
      </c>
      <c r="AL189" s="185">
        <f t="shared" ref="AL189:AM189" ca="1" si="957">AL177*AL186</f>
        <v>0</v>
      </c>
      <c r="AM189" s="185">
        <f t="shared" ca="1" si="957"/>
        <v>0</v>
      </c>
      <c r="AN189" s="185">
        <f t="shared" ref="AN189:AO189" ca="1" si="958">AN177*AN186</f>
        <v>0</v>
      </c>
      <c r="AO189" s="185">
        <f t="shared" ca="1" si="958"/>
        <v>0</v>
      </c>
      <c r="AP189" s="185">
        <f t="shared" ref="AP189:AQ189" ca="1" si="959">AP177*AP186</f>
        <v>0</v>
      </c>
      <c r="AQ189" s="185">
        <f t="shared" ca="1" si="959"/>
        <v>0</v>
      </c>
      <c r="AR189" s="185">
        <f t="shared" ref="AR189:AS189" ca="1" si="960">AR177*AR186</f>
        <v>0</v>
      </c>
      <c r="AS189" s="185">
        <f t="shared" ca="1" si="960"/>
        <v>0</v>
      </c>
      <c r="AT189" s="185">
        <f t="shared" ref="AT189:AU189" ca="1" si="961">AT177*AT186</f>
        <v>0</v>
      </c>
      <c r="AU189" s="185">
        <f t="shared" ca="1" si="961"/>
        <v>0</v>
      </c>
      <c r="AV189" s="185">
        <f t="shared" ref="AV189:AW189" ca="1" si="962">AV177*AV186</f>
        <v>0</v>
      </c>
      <c r="AW189" s="185">
        <f t="shared" ca="1" si="962"/>
        <v>0</v>
      </c>
      <c r="AX189" s="185">
        <f t="shared" ref="AX189:AY189" ca="1" si="963">AX177*AX186</f>
        <v>0</v>
      </c>
      <c r="AY189" s="185">
        <f t="shared" ca="1" si="963"/>
        <v>0</v>
      </c>
      <c r="AZ189" s="185">
        <f t="shared" ref="AZ189:BA189" ca="1" si="964">AZ177*AZ186</f>
        <v>0</v>
      </c>
      <c r="BA189" s="185">
        <f t="shared" ca="1" si="964"/>
        <v>0</v>
      </c>
      <c r="BB189" s="185">
        <f t="shared" ref="BB189" ca="1" si="965">BB177*BB186</f>
        <v>0</v>
      </c>
      <c r="BC189" s="185"/>
      <c r="BD189" s="193">
        <f ca="1">SUM(G189:BC189)</f>
        <v>0</v>
      </c>
    </row>
    <row r="190" spans="1:56" ht="14.4" hidden="1" thickTop="1" x14ac:dyDescent="0.3">
      <c r="A190" s="184" t="str">
        <f ca="1">Language!A$677</f>
        <v>НДС начисленный</v>
      </c>
      <c r="B190" s="174"/>
      <c r="C190" s="163" t="str">
        <f ca="1">CHOOSE(D190,CurName1,CurName2,CurName3)</f>
        <v>руб.</v>
      </c>
      <c r="D190" s="174">
        <f>D166</f>
        <v>1</v>
      </c>
      <c r="E190" s="170" t="s">
        <v>785</v>
      </c>
      <c r="F190" s="170" t="s">
        <v>743</v>
      </c>
      <c r="G190" s="185">
        <f ca="1">IF(Старт!$B$9+Старт!$B$10+Старт!$B$11=0,G177,G170)*G185</f>
        <v>0</v>
      </c>
      <c r="H190" s="185">
        <f ca="1">IF(Старт!$B$9+Старт!$B$10+Старт!$B$11=0,H177,H170)*H185</f>
        <v>0</v>
      </c>
      <c r="I190" s="185">
        <f ca="1">IF(Старт!$B$9+Старт!$B$10+Старт!$B$11=0,I177,I170)*I185</f>
        <v>0</v>
      </c>
      <c r="J190" s="185">
        <f ca="1">IF(Старт!$B$9+Старт!$B$10+Старт!$B$11=0,J177,J170)*J185</f>
        <v>0</v>
      </c>
      <c r="K190" s="185">
        <f ca="1">IF(Старт!$B$9+Старт!$B$10+Старт!$B$11=0,K177,K170)*K185</f>
        <v>0</v>
      </c>
      <c r="L190" s="185">
        <f ca="1">IF(Старт!$B$9+Старт!$B$10+Старт!$B$11=0,L177,L170)*L185</f>
        <v>0</v>
      </c>
      <c r="M190" s="185">
        <f ca="1">IF(Старт!$B$9+Старт!$B$10+Старт!$B$11=0,M177,M170)*M185</f>
        <v>0</v>
      </c>
      <c r="N190" s="185">
        <f ca="1">IF(Старт!$B$9+Старт!$B$10+Старт!$B$11=0,N177,N170)*N185</f>
        <v>0</v>
      </c>
      <c r="O190" s="185">
        <f ca="1">IF(Старт!$B$9+Старт!$B$10+Старт!$B$11=0,O177,O170)*O185</f>
        <v>0</v>
      </c>
      <c r="P190" s="185">
        <f ca="1">IF(Старт!$B$9+Старт!$B$10+Старт!$B$11=0,P177,P170)*P185</f>
        <v>0</v>
      </c>
      <c r="Q190" s="185">
        <f ca="1">IF(Старт!$B$9+Старт!$B$10+Старт!$B$11=0,Q177,Q170)*Q185</f>
        <v>0</v>
      </c>
      <c r="R190" s="185">
        <f ca="1">IF(Старт!$B$9+Старт!$B$10+Старт!$B$11=0,R177,R170)*R185</f>
        <v>0</v>
      </c>
      <c r="S190" s="185">
        <f ca="1">IF(Старт!$B$9+Старт!$B$10+Старт!$B$11=0,S177,S170)*S185</f>
        <v>0</v>
      </c>
      <c r="T190" s="185">
        <f ca="1">IF(Старт!$B$9+Старт!$B$10+Старт!$B$11=0,T177,T170)*T185</f>
        <v>0</v>
      </c>
      <c r="U190" s="185">
        <f ca="1">IF(Старт!$B$9+Старт!$B$10+Старт!$B$11=0,U177,U170)*U185</f>
        <v>0</v>
      </c>
      <c r="V190" s="185">
        <f ca="1">IF(Старт!$B$9+Старт!$B$10+Старт!$B$11=0,V177,V170)*V185</f>
        <v>0</v>
      </c>
      <c r="W190" s="185">
        <f ca="1">IF(Старт!$B$9+Старт!$B$10+Старт!$B$11=0,W177,W170)*W185</f>
        <v>0</v>
      </c>
      <c r="X190" s="185">
        <f ca="1">IF(Старт!$B$9+Старт!$B$10+Старт!$B$11=0,X177,X170)*X185</f>
        <v>0</v>
      </c>
      <c r="Y190" s="185">
        <f ca="1">IF(Старт!$B$9+Старт!$B$10+Старт!$B$11=0,Y177,Y170)*Y185</f>
        <v>0</v>
      </c>
      <c r="Z190" s="185">
        <f ca="1">IF(Старт!$B$9+Старт!$B$10+Старт!$B$11=0,Z177,Z170)*Z185</f>
        <v>0</v>
      </c>
      <c r="AA190" s="185">
        <f ca="1">IF(Старт!$B$9+Старт!$B$10+Старт!$B$11=0,AA177,AA170)*AA185</f>
        <v>0</v>
      </c>
      <c r="AB190" s="185">
        <f ca="1">IF(Старт!$B$9+Старт!$B$10+Старт!$B$11=0,AB177,AB170)*AB185</f>
        <v>0</v>
      </c>
      <c r="AC190" s="185">
        <f ca="1">IF(Старт!$B$9+Старт!$B$10+Старт!$B$11=0,AC177,AC170)*AC185</f>
        <v>0</v>
      </c>
      <c r="AD190" s="185">
        <f ca="1">IF(Старт!$B$9+Старт!$B$10+Старт!$B$11=0,AD177,AD170)*AD185</f>
        <v>0</v>
      </c>
      <c r="AE190" s="185">
        <f ca="1">IF(Старт!$B$9+Старт!$B$10+Старт!$B$11=0,AE177,AE170)*AE185</f>
        <v>0</v>
      </c>
      <c r="AF190" s="185">
        <f ca="1">IF(Старт!$B$9+Старт!$B$10+Старт!$B$11=0,AF177,AF170)*AF185</f>
        <v>0</v>
      </c>
      <c r="AG190" s="185">
        <f ca="1">IF(Старт!$B$9+Старт!$B$10+Старт!$B$11=0,AG177,AG170)*AG185</f>
        <v>0</v>
      </c>
      <c r="AH190" s="185">
        <f ca="1">IF(Старт!$B$9+Старт!$B$10+Старт!$B$11=0,AH177,AH170)*AH185</f>
        <v>0</v>
      </c>
      <c r="AI190" s="185">
        <f ca="1">IF(Старт!$B$9+Старт!$B$10+Старт!$B$11=0,AI177,AI170)*AI185</f>
        <v>0</v>
      </c>
      <c r="AJ190" s="185">
        <f ca="1">IF(Старт!$B$9+Старт!$B$10+Старт!$B$11=0,AJ177,AJ170)*AJ185</f>
        <v>0</v>
      </c>
      <c r="AK190" s="185">
        <f ca="1">IF(Старт!$B$9+Старт!$B$10+Старт!$B$11=0,AK177,AK170)*AK185</f>
        <v>0</v>
      </c>
      <c r="AL190" s="185">
        <f ca="1">IF(Старт!$B$9+Старт!$B$10+Старт!$B$11=0,AL177,AL170)*AL185</f>
        <v>0</v>
      </c>
      <c r="AM190" s="185">
        <f ca="1">IF(Старт!$B$9+Старт!$B$10+Старт!$B$11=0,AM177,AM170)*AM185</f>
        <v>0</v>
      </c>
      <c r="AN190" s="185">
        <f ca="1">IF(Старт!$B$9+Старт!$B$10+Старт!$B$11=0,AN177,AN170)*AN185</f>
        <v>0</v>
      </c>
      <c r="AO190" s="185">
        <f ca="1">IF(Старт!$B$9+Старт!$B$10+Старт!$B$11=0,AO177,AO170)*AO185</f>
        <v>0</v>
      </c>
      <c r="AP190" s="185">
        <f ca="1">IF(Старт!$B$9+Старт!$B$10+Старт!$B$11=0,AP177,AP170)*AP185</f>
        <v>0</v>
      </c>
      <c r="AQ190" s="185">
        <f ca="1">IF(Старт!$B$9+Старт!$B$10+Старт!$B$11=0,AQ177,AQ170)*AQ185</f>
        <v>0</v>
      </c>
      <c r="AR190" s="185">
        <f ca="1">IF(Старт!$B$9+Старт!$B$10+Старт!$B$11=0,AR177,AR170)*AR185</f>
        <v>0</v>
      </c>
      <c r="AS190" s="185">
        <f ca="1">IF(Старт!$B$9+Старт!$B$10+Старт!$B$11=0,AS177,AS170)*AS185</f>
        <v>0</v>
      </c>
      <c r="AT190" s="185">
        <f ca="1">IF(Старт!$B$9+Старт!$B$10+Старт!$B$11=0,AT177,AT170)*AT185</f>
        <v>0</v>
      </c>
      <c r="AU190" s="185">
        <f ca="1">IF(Старт!$B$9+Старт!$B$10+Старт!$B$11=0,AU177,AU170)*AU185</f>
        <v>0</v>
      </c>
      <c r="AV190" s="185">
        <f ca="1">IF(Старт!$B$9+Старт!$B$10+Старт!$B$11=0,AV177,AV170)*AV185</f>
        <v>0</v>
      </c>
      <c r="AW190" s="185">
        <f ca="1">IF(Старт!$B$9+Старт!$B$10+Старт!$B$11=0,AW177,AW170)*AW185</f>
        <v>0</v>
      </c>
      <c r="AX190" s="185">
        <f ca="1">IF(Старт!$B$9+Старт!$B$10+Старт!$B$11=0,AX177,AX170)*AX185</f>
        <v>0</v>
      </c>
      <c r="AY190" s="185">
        <f ca="1">IF(Старт!$B$9+Старт!$B$10+Старт!$B$11=0,AY177,AY170)*AY185</f>
        <v>0</v>
      </c>
      <c r="AZ190" s="185">
        <f ca="1">IF(Старт!$B$9+Старт!$B$10+Старт!$B$11=0,AZ177,AZ170)*AZ185</f>
        <v>0</v>
      </c>
      <c r="BA190" s="185">
        <f ca="1">IF(Старт!$B$9+Старт!$B$10+Старт!$B$11=0,BA177,BA170)*BA185</f>
        <v>0</v>
      </c>
      <c r="BB190" s="185">
        <f ca="1">IF(Старт!$B$9+Старт!$B$10+Старт!$B$11=0,BB177,BB170)*BB185</f>
        <v>0</v>
      </c>
      <c r="BC190" s="185"/>
      <c r="BD190" s="193">
        <f ca="1">SUM(G190:BC190)</f>
        <v>0</v>
      </c>
    </row>
    <row r="191" spans="1:56" s="195" customFormat="1" ht="14.4" thickTop="1" x14ac:dyDescent="0.3">
      <c r="A191" s="244"/>
      <c r="B191" s="169"/>
      <c r="C191" s="194"/>
      <c r="D191" s="170"/>
      <c r="E191" s="170"/>
      <c r="F191" s="170"/>
      <c r="G191" s="169"/>
      <c r="H191" s="169"/>
      <c r="I191" s="169"/>
      <c r="J191" s="169"/>
      <c r="K191" s="169"/>
      <c r="L191" s="169"/>
      <c r="M191" s="169"/>
      <c r="N191" s="169"/>
      <c r="O191" s="169"/>
      <c r="P191" s="169"/>
      <c r="Q191" s="169"/>
      <c r="R191" s="169"/>
      <c r="S191" s="169"/>
      <c r="T191" s="169"/>
      <c r="U191" s="169"/>
      <c r="V191" s="169"/>
      <c r="W191" s="169"/>
      <c r="X191" s="169"/>
      <c r="Y191" s="169"/>
      <c r="Z191" s="169"/>
      <c r="AA191" s="169"/>
      <c r="AB191" s="169"/>
      <c r="AC191" s="169"/>
      <c r="AD191" s="169"/>
      <c r="AE191" s="169"/>
      <c r="AF191" s="169"/>
      <c r="AG191" s="169"/>
      <c r="AH191" s="169"/>
      <c r="AI191" s="169"/>
      <c r="AJ191" s="169"/>
      <c r="AK191" s="169"/>
      <c r="AL191" s="169"/>
      <c r="AM191" s="169"/>
      <c r="AN191" s="169"/>
      <c r="AO191" s="169"/>
      <c r="AP191" s="169"/>
      <c r="AQ191" s="169"/>
      <c r="AR191" s="169"/>
      <c r="AS191" s="169"/>
      <c r="AT191" s="169"/>
      <c r="AU191" s="169"/>
      <c r="AV191" s="169"/>
      <c r="AW191" s="169"/>
      <c r="AX191" s="169"/>
      <c r="AY191" s="169"/>
      <c r="AZ191" s="169"/>
      <c r="BA191" s="169"/>
      <c r="BB191" s="169"/>
      <c r="BC191" s="169"/>
      <c r="BD191" s="178"/>
    </row>
    <row r="192" spans="1:56" hidden="1" x14ac:dyDescent="0.3">
      <c r="E192" s="170" t="s">
        <v>717</v>
      </c>
      <c r="F192" s="170" t="s">
        <v>3430</v>
      </c>
    </row>
    <row r="193" spans="1:56" x14ac:dyDescent="0.3">
      <c r="A193" s="300" t="s">
        <v>3427</v>
      </c>
      <c r="B193" s="199"/>
      <c r="C193" s="176"/>
      <c r="D193" s="174">
        <v>1</v>
      </c>
      <c r="F193" s="170" t="s">
        <v>3423</v>
      </c>
      <c r="G193" s="177"/>
      <c r="H193" s="177"/>
      <c r="I193" s="177"/>
      <c r="J193" s="177"/>
      <c r="K193" s="177"/>
      <c r="L193" s="177"/>
      <c r="M193" s="177"/>
      <c r="N193" s="177"/>
      <c r="O193" s="177"/>
      <c r="P193" s="177"/>
      <c r="Q193" s="177"/>
      <c r="R193" s="177"/>
      <c r="S193" s="177"/>
      <c r="T193" s="177"/>
      <c r="U193" s="177"/>
      <c r="V193" s="177"/>
      <c r="W193" s="177"/>
      <c r="X193" s="177"/>
      <c r="Y193" s="177"/>
      <c r="Z193" s="177"/>
      <c r="AA193" s="177"/>
      <c r="AB193" s="177"/>
      <c r="AC193" s="177"/>
      <c r="AD193" s="177"/>
      <c r="AE193" s="177"/>
      <c r="AF193" s="177"/>
      <c r="AG193" s="177"/>
      <c r="AH193" s="177"/>
      <c r="AI193" s="177"/>
      <c r="AJ193" s="177"/>
      <c r="AK193" s="177"/>
      <c r="AL193" s="177"/>
      <c r="AM193" s="177"/>
      <c r="AN193" s="177"/>
      <c r="AO193" s="177"/>
      <c r="AP193" s="177"/>
      <c r="AQ193" s="177"/>
      <c r="AR193" s="177"/>
      <c r="AS193" s="177"/>
      <c r="AT193" s="177"/>
      <c r="AU193" s="177"/>
      <c r="AV193" s="177"/>
      <c r="AW193" s="177"/>
      <c r="AX193" s="177"/>
      <c r="AY193" s="177"/>
      <c r="AZ193" s="177"/>
      <c r="BA193" s="177"/>
      <c r="BB193" s="177"/>
      <c r="BC193" s="177"/>
      <c r="BD193" s="178"/>
    </row>
    <row r="194" spans="1:56" x14ac:dyDescent="0.3">
      <c r="A194" s="175" t="str">
        <f ca="1">Language!A$633</f>
        <v>расход за период, без учета инфляции, без НДС</v>
      </c>
      <c r="B194" s="179"/>
      <c r="C194" s="176" t="str">
        <f ca="1">CHOOSE(D194,CurName1,CurName2,CurName3)</f>
        <v>руб.</v>
      </c>
      <c r="D194" s="174">
        <f>D193</f>
        <v>1</v>
      </c>
      <c r="F194" s="170" t="s">
        <v>2353</v>
      </c>
      <c r="G194" s="177">
        <f t="shared" ref="G194:BB194" si="966">SUM(G195:G195)</f>
        <v>0</v>
      </c>
      <c r="H194" s="177">
        <f t="shared" si="966"/>
        <v>0</v>
      </c>
      <c r="I194" s="177">
        <f t="shared" si="966"/>
        <v>0</v>
      </c>
      <c r="J194" s="177">
        <f t="shared" si="966"/>
        <v>0</v>
      </c>
      <c r="K194" s="177">
        <f t="shared" si="966"/>
        <v>0</v>
      </c>
      <c r="L194" s="177">
        <f t="shared" si="966"/>
        <v>0</v>
      </c>
      <c r="M194" s="177">
        <f t="shared" si="966"/>
        <v>432000</v>
      </c>
      <c r="N194" s="177">
        <f t="shared" si="966"/>
        <v>576000</v>
      </c>
      <c r="O194" s="177">
        <f t="shared" si="966"/>
        <v>720000</v>
      </c>
      <c r="P194" s="177">
        <f t="shared" si="966"/>
        <v>864000</v>
      </c>
      <c r="Q194" s="177">
        <f t="shared" si="966"/>
        <v>864000</v>
      </c>
      <c r="R194" s="177">
        <f t="shared" si="966"/>
        <v>864000</v>
      </c>
      <c r="S194" s="177">
        <f t="shared" si="966"/>
        <v>1152000</v>
      </c>
      <c r="T194" s="177">
        <f t="shared" si="966"/>
        <v>1008000</v>
      </c>
      <c r="U194" s="177">
        <f t="shared" si="966"/>
        <v>864000</v>
      </c>
      <c r="V194" s="177">
        <f t="shared" si="966"/>
        <v>864000</v>
      </c>
      <c r="W194" s="177">
        <f t="shared" si="966"/>
        <v>720000</v>
      </c>
      <c r="X194" s="177">
        <f t="shared" si="966"/>
        <v>1152000</v>
      </c>
      <c r="Y194" s="177">
        <f t="shared" si="966"/>
        <v>1440000</v>
      </c>
      <c r="Z194" s="177">
        <f t="shared" si="966"/>
        <v>1440000</v>
      </c>
      <c r="AA194" s="177">
        <f t="shared" si="966"/>
        <v>1008000</v>
      </c>
      <c r="AB194" s="177">
        <f t="shared" si="966"/>
        <v>720000</v>
      </c>
      <c r="AC194" s="177">
        <f t="shared" si="966"/>
        <v>720000</v>
      </c>
      <c r="AD194" s="177">
        <f t="shared" si="966"/>
        <v>864000</v>
      </c>
      <c r="AE194" s="177">
        <f t="shared" si="966"/>
        <v>1152000</v>
      </c>
      <c r="AF194" s="177">
        <f t="shared" si="966"/>
        <v>1008000</v>
      </c>
      <c r="AG194" s="177">
        <f t="shared" si="966"/>
        <v>864000</v>
      </c>
      <c r="AH194" s="177">
        <f t="shared" si="966"/>
        <v>864000</v>
      </c>
      <c r="AI194" s="177">
        <f t="shared" si="966"/>
        <v>720000</v>
      </c>
      <c r="AJ194" s="177">
        <f t="shared" si="966"/>
        <v>1152000</v>
      </c>
      <c r="AK194" s="177">
        <f t="shared" si="966"/>
        <v>1440000</v>
      </c>
      <c r="AL194" s="177">
        <f t="shared" si="966"/>
        <v>1440000</v>
      </c>
      <c r="AM194" s="177">
        <f t="shared" si="966"/>
        <v>1008000</v>
      </c>
      <c r="AN194" s="177">
        <f t="shared" si="966"/>
        <v>720000</v>
      </c>
      <c r="AO194" s="177">
        <f t="shared" si="966"/>
        <v>720000</v>
      </c>
      <c r="AP194" s="177">
        <f t="shared" si="966"/>
        <v>864000</v>
      </c>
      <c r="AQ194" s="177">
        <f t="shared" si="966"/>
        <v>1152000</v>
      </c>
      <c r="AR194" s="177">
        <f t="shared" si="966"/>
        <v>1008000</v>
      </c>
      <c r="AS194" s="177">
        <f t="shared" si="966"/>
        <v>864000</v>
      </c>
      <c r="AT194" s="177">
        <f t="shared" si="966"/>
        <v>864000</v>
      </c>
      <c r="AU194" s="177">
        <f t="shared" si="966"/>
        <v>720000</v>
      </c>
      <c r="AV194" s="177">
        <f t="shared" si="966"/>
        <v>1152000</v>
      </c>
      <c r="AW194" s="177">
        <f t="shared" si="966"/>
        <v>1440000</v>
      </c>
      <c r="AX194" s="177">
        <f t="shared" si="966"/>
        <v>1440000</v>
      </c>
      <c r="AY194" s="177">
        <f t="shared" si="966"/>
        <v>1008000</v>
      </c>
      <c r="AZ194" s="177">
        <f t="shared" si="966"/>
        <v>720000</v>
      </c>
      <c r="BA194" s="177">
        <f t="shared" si="966"/>
        <v>720000</v>
      </c>
      <c r="BB194" s="177">
        <f t="shared" si="966"/>
        <v>864000</v>
      </c>
      <c r="BC194" s="177"/>
      <c r="BD194" s="178">
        <f>SUM(G194:BC194)</f>
        <v>40176000</v>
      </c>
    </row>
    <row r="195" spans="1:56" outlineLevel="1" x14ac:dyDescent="0.3">
      <c r="A195" s="246" t="str">
        <f>A$66</f>
        <v>Питание гостей</v>
      </c>
      <c r="B195" s="284">
        <v>600</v>
      </c>
      <c r="C195" s="176" t="str">
        <f ca="1">C$194</f>
        <v>руб.</v>
      </c>
      <c r="D195" s="174"/>
      <c r="F195" s="170" t="s">
        <v>3422</v>
      </c>
      <c r="G195" s="177">
        <f t="shared" ref="G195:BB195" si="967">G$67*$B195</f>
        <v>0</v>
      </c>
      <c r="H195" s="177">
        <f t="shared" si="967"/>
        <v>0</v>
      </c>
      <c r="I195" s="177">
        <f t="shared" si="967"/>
        <v>0</v>
      </c>
      <c r="J195" s="177">
        <f t="shared" si="967"/>
        <v>0</v>
      </c>
      <c r="K195" s="177">
        <f t="shared" si="967"/>
        <v>0</v>
      </c>
      <c r="L195" s="177">
        <f t="shared" si="967"/>
        <v>0</v>
      </c>
      <c r="M195" s="177">
        <f t="shared" si="967"/>
        <v>432000</v>
      </c>
      <c r="N195" s="177">
        <f t="shared" si="967"/>
        <v>576000</v>
      </c>
      <c r="O195" s="177">
        <f t="shared" si="967"/>
        <v>720000</v>
      </c>
      <c r="P195" s="177">
        <f t="shared" si="967"/>
        <v>864000</v>
      </c>
      <c r="Q195" s="177">
        <f t="shared" si="967"/>
        <v>864000</v>
      </c>
      <c r="R195" s="177">
        <f t="shared" si="967"/>
        <v>864000</v>
      </c>
      <c r="S195" s="177">
        <f t="shared" si="967"/>
        <v>1152000</v>
      </c>
      <c r="T195" s="177">
        <f t="shared" si="967"/>
        <v>1008000</v>
      </c>
      <c r="U195" s="177">
        <f t="shared" si="967"/>
        <v>864000</v>
      </c>
      <c r="V195" s="177">
        <f t="shared" si="967"/>
        <v>864000</v>
      </c>
      <c r="W195" s="177">
        <f t="shared" si="967"/>
        <v>720000</v>
      </c>
      <c r="X195" s="177">
        <f t="shared" si="967"/>
        <v>1152000</v>
      </c>
      <c r="Y195" s="177">
        <f t="shared" si="967"/>
        <v>1440000</v>
      </c>
      <c r="Z195" s="177">
        <f t="shared" si="967"/>
        <v>1440000</v>
      </c>
      <c r="AA195" s="177">
        <f t="shared" si="967"/>
        <v>1008000</v>
      </c>
      <c r="AB195" s="177">
        <f t="shared" si="967"/>
        <v>720000</v>
      </c>
      <c r="AC195" s="177">
        <f t="shared" si="967"/>
        <v>720000</v>
      </c>
      <c r="AD195" s="177">
        <f t="shared" si="967"/>
        <v>864000</v>
      </c>
      <c r="AE195" s="177">
        <f t="shared" si="967"/>
        <v>1152000</v>
      </c>
      <c r="AF195" s="177">
        <f t="shared" si="967"/>
        <v>1008000</v>
      </c>
      <c r="AG195" s="177">
        <f t="shared" si="967"/>
        <v>864000</v>
      </c>
      <c r="AH195" s="177">
        <f t="shared" si="967"/>
        <v>864000</v>
      </c>
      <c r="AI195" s="177">
        <f t="shared" si="967"/>
        <v>720000</v>
      </c>
      <c r="AJ195" s="177">
        <f t="shared" si="967"/>
        <v>1152000</v>
      </c>
      <c r="AK195" s="177">
        <f t="shared" si="967"/>
        <v>1440000</v>
      </c>
      <c r="AL195" s="177">
        <f t="shared" si="967"/>
        <v>1440000</v>
      </c>
      <c r="AM195" s="177">
        <f t="shared" si="967"/>
        <v>1008000</v>
      </c>
      <c r="AN195" s="177">
        <f t="shared" si="967"/>
        <v>720000</v>
      </c>
      <c r="AO195" s="177">
        <f t="shared" si="967"/>
        <v>720000</v>
      </c>
      <c r="AP195" s="177">
        <f t="shared" si="967"/>
        <v>864000</v>
      </c>
      <c r="AQ195" s="177">
        <f t="shared" si="967"/>
        <v>1152000</v>
      </c>
      <c r="AR195" s="177">
        <f t="shared" si="967"/>
        <v>1008000</v>
      </c>
      <c r="AS195" s="177">
        <f t="shared" si="967"/>
        <v>864000</v>
      </c>
      <c r="AT195" s="177">
        <f t="shared" si="967"/>
        <v>864000</v>
      </c>
      <c r="AU195" s="177">
        <f t="shared" si="967"/>
        <v>720000</v>
      </c>
      <c r="AV195" s="177">
        <f t="shared" si="967"/>
        <v>1152000</v>
      </c>
      <c r="AW195" s="177">
        <f t="shared" si="967"/>
        <v>1440000</v>
      </c>
      <c r="AX195" s="177">
        <f t="shared" si="967"/>
        <v>1440000</v>
      </c>
      <c r="AY195" s="177">
        <f t="shared" si="967"/>
        <v>1008000</v>
      </c>
      <c r="AZ195" s="177">
        <f t="shared" si="967"/>
        <v>720000</v>
      </c>
      <c r="BA195" s="177">
        <f t="shared" si="967"/>
        <v>720000</v>
      </c>
      <c r="BB195" s="177">
        <f t="shared" si="967"/>
        <v>864000</v>
      </c>
      <c r="BC195" s="177"/>
      <c r="BD195" s="178">
        <f>SUM(G195:BC195)</f>
        <v>40176000</v>
      </c>
    </row>
    <row r="196" spans="1:56" collapsed="1" x14ac:dyDescent="0.3">
      <c r="A196" s="175" t="str">
        <f ca="1">Language!A$634</f>
        <v>затраты на проданный товар, без НДС</v>
      </c>
      <c r="B196" s="200"/>
      <c r="C196" s="176" t="str">
        <f t="shared" ref="C196:C198" ca="1" si="968">CHOOSE(D196,CurName1,CurName2,CurName3)</f>
        <v>руб.</v>
      </c>
      <c r="D196" s="174">
        <f>D193</f>
        <v>1</v>
      </c>
      <c r="E196" s="170" t="s">
        <v>992</v>
      </c>
      <c r="F196" s="170" t="s">
        <v>740</v>
      </c>
      <c r="G196" s="177">
        <f t="shared" ref="G196:BB196" ca="1" si="969">SUM(G197:G197)</f>
        <v>0</v>
      </c>
      <c r="H196" s="177">
        <f t="shared" ca="1" si="969"/>
        <v>0</v>
      </c>
      <c r="I196" s="177">
        <f t="shared" ca="1" si="969"/>
        <v>0</v>
      </c>
      <c r="J196" s="177">
        <f t="shared" ca="1" si="969"/>
        <v>0</v>
      </c>
      <c r="K196" s="177">
        <f t="shared" ca="1" si="969"/>
        <v>0</v>
      </c>
      <c r="L196" s="177">
        <f t="shared" ca="1" si="969"/>
        <v>0</v>
      </c>
      <c r="M196" s="177">
        <f t="shared" ca="1" si="969"/>
        <v>444771.22209063842</v>
      </c>
      <c r="N196" s="177">
        <f t="shared" ca="1" si="969"/>
        <v>595914.89133889868</v>
      </c>
      <c r="O196" s="177">
        <f t="shared" ca="1" si="969"/>
        <v>748519.42150641454</v>
      </c>
      <c r="P196" s="177">
        <f t="shared" ca="1" si="969"/>
        <v>902595.45316768612</v>
      </c>
      <c r="Q196" s="177">
        <f t="shared" ca="1" si="969"/>
        <v>906988.88217602868</v>
      </c>
      <c r="R196" s="177">
        <f t="shared" ca="1" si="969"/>
        <v>911403.6964222244</v>
      </c>
      <c r="S196" s="177">
        <f t="shared" ca="1" si="969"/>
        <v>1221120.0000000002</v>
      </c>
      <c r="T196" s="177">
        <f t="shared" ca="1" si="969"/>
        <v>1073680.8804280581</v>
      </c>
      <c r="U196" s="177">
        <f t="shared" ca="1" si="969"/>
        <v>924777.49406107166</v>
      </c>
      <c r="V196" s="177">
        <f t="shared" ca="1" si="969"/>
        <v>929278.89527510514</v>
      </c>
      <c r="W196" s="177">
        <f t="shared" ca="1" si="969"/>
        <v>778168.50607263576</v>
      </c>
      <c r="X196" s="177">
        <f t="shared" ca="1" si="969"/>
        <v>1251130.0489988828</v>
      </c>
      <c r="Y196" s="177">
        <f t="shared" ca="1" si="969"/>
        <v>1571524.9847202559</v>
      </c>
      <c r="Z196" s="177">
        <f t="shared" ca="1" si="969"/>
        <v>1579174.4620480817</v>
      </c>
      <c r="AA196" s="177">
        <f t="shared" ca="1" si="969"/>
        <v>1110802.8215155194</v>
      </c>
      <c r="AB196" s="177">
        <f t="shared" ca="1" si="969"/>
        <v>797292.6502981229</v>
      </c>
      <c r="AC196" s="177">
        <f t="shared" ca="1" si="969"/>
        <v>801173.51258882543</v>
      </c>
      <c r="AD196" s="177">
        <f t="shared" ca="1" si="969"/>
        <v>966087.9182075581</v>
      </c>
      <c r="AE196" s="177">
        <f t="shared" ca="1" si="969"/>
        <v>1294387.2000000007</v>
      </c>
      <c r="AF196" s="177">
        <f t="shared" ca="1" si="969"/>
        <v>1138101.7332537419</v>
      </c>
      <c r="AG196" s="177">
        <f t="shared" ca="1" si="969"/>
        <v>980264.14370473637</v>
      </c>
      <c r="AH196" s="177">
        <f t="shared" ca="1" si="969"/>
        <v>985035.62899161188</v>
      </c>
      <c r="AI196" s="177">
        <f t="shared" ca="1" si="969"/>
        <v>824858.61643699417</v>
      </c>
      <c r="AJ196" s="177">
        <f t="shared" ca="1" si="969"/>
        <v>1326197.8519388163</v>
      </c>
      <c r="AK196" s="177">
        <f t="shared" ca="1" si="969"/>
        <v>1665816.4838034725</v>
      </c>
      <c r="AL196" s="177">
        <f t="shared" ca="1" si="969"/>
        <v>1673924.9297709677</v>
      </c>
      <c r="AM196" s="177">
        <f t="shared" ca="1" si="969"/>
        <v>1177450.9908064513</v>
      </c>
      <c r="AN196" s="177">
        <f t="shared" ca="1" si="969"/>
        <v>845130.2093160107</v>
      </c>
      <c r="AO196" s="177">
        <f t="shared" ca="1" si="969"/>
        <v>849243.92334415531</v>
      </c>
      <c r="AP196" s="177">
        <f t="shared" ca="1" si="969"/>
        <v>1024053.1933000119</v>
      </c>
      <c r="AQ196" s="177">
        <f t="shared" ca="1" si="969"/>
        <v>1372050.4320000012</v>
      </c>
      <c r="AR196" s="177">
        <f t="shared" ca="1" si="969"/>
        <v>1206387.8372489666</v>
      </c>
      <c r="AS196" s="177">
        <f t="shared" ca="1" si="969"/>
        <v>1039079.9923270207</v>
      </c>
      <c r="AT196" s="177">
        <f t="shared" ca="1" si="969"/>
        <v>1044137.7667311088</v>
      </c>
      <c r="AU196" s="177">
        <f t="shared" ca="1" si="969"/>
        <v>874350.13342321385</v>
      </c>
      <c r="AV196" s="177">
        <f t="shared" ca="1" si="969"/>
        <v>1405769.7230551455</v>
      </c>
      <c r="AW196" s="177">
        <f t="shared" ca="1" si="969"/>
        <v>1765765.4728316809</v>
      </c>
      <c r="AX196" s="177">
        <f t="shared" ca="1" si="969"/>
        <v>1774360.4255572259</v>
      </c>
      <c r="AY196" s="177">
        <f t="shared" ca="1" si="969"/>
        <v>1248098.0502548383</v>
      </c>
      <c r="AZ196" s="177">
        <f t="shared" ca="1" si="969"/>
        <v>895838.02187497134</v>
      </c>
      <c r="BA196" s="177">
        <f t="shared" ca="1" si="969"/>
        <v>900198.5587448047</v>
      </c>
      <c r="BB196" s="177">
        <f t="shared" ca="1" si="969"/>
        <v>1085496.3848980127</v>
      </c>
      <c r="BC196" s="177"/>
      <c r="BD196" s="178">
        <f ca="1">SUM(G196:BC196)</f>
        <v>45910403.444529973</v>
      </c>
    </row>
    <row r="197" spans="1:56" hidden="1" outlineLevel="1" x14ac:dyDescent="0.3">
      <c r="A197" s="246" t="str">
        <f>A$66</f>
        <v>Питание гостей</v>
      </c>
      <c r="B197" s="200"/>
      <c r="C197" s="176" t="str">
        <f ca="1">C$196</f>
        <v>руб.</v>
      </c>
      <c r="D197" s="174">
        <f>D$196</f>
        <v>1</v>
      </c>
      <c r="F197" s="170" t="s">
        <v>740</v>
      </c>
      <c r="G197" s="177">
        <f ca="1">G195*(1+G213)*IF($B215=1,PRODUCT($G215:G215),PRODUCT($G214:G214))</f>
        <v>0</v>
      </c>
      <c r="H197" s="177">
        <f ca="1">H195*(1+H213)*IF($B215=1,PRODUCT($G215:H215),PRODUCT($G214:H214))</f>
        <v>0</v>
      </c>
      <c r="I197" s="177">
        <f ca="1">I195*(1+I213)*IF($B215=1,PRODUCT($G215:I215),PRODUCT($G214:I214))</f>
        <v>0</v>
      </c>
      <c r="J197" s="177">
        <f ca="1">J195*(1+J213)*IF($B215=1,PRODUCT($G215:J215),PRODUCT($G214:J214))</f>
        <v>0</v>
      </c>
      <c r="K197" s="177">
        <f ca="1">K195*(1+K213)*IF($B215=1,PRODUCT($G215:K215),PRODUCT($G214:K214))</f>
        <v>0</v>
      </c>
      <c r="L197" s="177">
        <f ca="1">L195*(1+L213)*IF($B215=1,PRODUCT($G215:L215),PRODUCT($G214:L214))</f>
        <v>0</v>
      </c>
      <c r="M197" s="177">
        <f ca="1">M195*(1+M213)*IF($B215=1,PRODUCT($G215:M215),PRODUCT($G214:M214))</f>
        <v>444771.22209063842</v>
      </c>
      <c r="N197" s="177">
        <f ca="1">N195*(1+N213)*IF($B215=1,PRODUCT($G215:N215),PRODUCT($G214:N214))</f>
        <v>595914.89133889868</v>
      </c>
      <c r="O197" s="177">
        <f ca="1">O195*(1+O213)*IF($B215=1,PRODUCT($G215:O215),PRODUCT($G214:O214))</f>
        <v>748519.42150641454</v>
      </c>
      <c r="P197" s="177">
        <f ca="1">P195*(1+P213)*IF($B215=1,PRODUCT($G215:P215),PRODUCT($G214:P214))</f>
        <v>902595.45316768612</v>
      </c>
      <c r="Q197" s="177">
        <f ca="1">Q195*(1+Q213)*IF($B215=1,PRODUCT($G215:Q215),PRODUCT($G214:Q214))</f>
        <v>906988.88217602868</v>
      </c>
      <c r="R197" s="177">
        <f ca="1">R195*(1+R213)*IF($B215=1,PRODUCT($G215:R215),PRODUCT($G214:R214))</f>
        <v>911403.6964222244</v>
      </c>
      <c r="S197" s="177">
        <f ca="1">S195*(1+S213)*IF($B215=1,PRODUCT($G215:S215),PRODUCT($G214:S214))</f>
        <v>1221120.0000000002</v>
      </c>
      <c r="T197" s="177">
        <f ca="1">T195*(1+T213)*IF($B215=1,PRODUCT($G215:T215),PRODUCT($G214:T214))</f>
        <v>1073680.8804280581</v>
      </c>
      <c r="U197" s="177">
        <f ca="1">U195*(1+U213)*IF($B215=1,PRODUCT($G215:U215),PRODUCT($G214:U214))</f>
        <v>924777.49406107166</v>
      </c>
      <c r="V197" s="177">
        <f ca="1">V195*(1+V213)*IF($B215=1,PRODUCT($G215:V215),PRODUCT($G214:V214))</f>
        <v>929278.89527510514</v>
      </c>
      <c r="W197" s="177">
        <f ca="1">W195*(1+W213)*IF($B215=1,PRODUCT($G215:W215),PRODUCT($G214:W214))</f>
        <v>778168.50607263576</v>
      </c>
      <c r="X197" s="177">
        <f ca="1">X195*(1+X213)*IF($B215=1,PRODUCT($G215:X215),PRODUCT($G214:X214))</f>
        <v>1251130.0489988828</v>
      </c>
      <c r="Y197" s="177">
        <f ca="1">Y195*(1+Y213)*IF($B215=1,PRODUCT($G215:Y215),PRODUCT($G214:Y214))</f>
        <v>1571524.9847202559</v>
      </c>
      <c r="Z197" s="177">
        <f ca="1">Z195*(1+Z213)*IF($B215=1,PRODUCT($G215:Z215),PRODUCT($G214:Z214))</f>
        <v>1579174.4620480817</v>
      </c>
      <c r="AA197" s="177">
        <f ca="1">AA195*(1+AA213)*IF($B215=1,PRODUCT($G215:AA215),PRODUCT($G214:AA214))</f>
        <v>1110802.8215155194</v>
      </c>
      <c r="AB197" s="177">
        <f ca="1">AB195*(1+AB213)*IF($B215=1,PRODUCT($G215:AB215),PRODUCT($G214:AB214))</f>
        <v>797292.6502981229</v>
      </c>
      <c r="AC197" s="177">
        <f ca="1">AC195*(1+AC213)*IF($B215=1,PRODUCT($G215:AC215),PRODUCT($G214:AC214))</f>
        <v>801173.51258882543</v>
      </c>
      <c r="AD197" s="177">
        <f ca="1">AD195*(1+AD213)*IF($B215=1,PRODUCT($G215:AD215),PRODUCT($G214:AD214))</f>
        <v>966087.9182075581</v>
      </c>
      <c r="AE197" s="177">
        <f ca="1">AE195*(1+AE213)*IF($B215=1,PRODUCT($G215:AE215),PRODUCT($G214:AE214))</f>
        <v>1294387.2000000007</v>
      </c>
      <c r="AF197" s="177">
        <f ca="1">AF195*(1+AF213)*IF($B215=1,PRODUCT($G215:AF215),PRODUCT($G214:AF214))</f>
        <v>1138101.7332537419</v>
      </c>
      <c r="AG197" s="177">
        <f ca="1">AG195*(1+AG213)*IF($B215=1,PRODUCT($G215:AG215),PRODUCT($G214:AG214))</f>
        <v>980264.14370473637</v>
      </c>
      <c r="AH197" s="177">
        <f ca="1">AH195*(1+AH213)*IF($B215=1,PRODUCT($G215:AH215),PRODUCT($G214:AH214))</f>
        <v>985035.62899161188</v>
      </c>
      <c r="AI197" s="177">
        <f ca="1">AI195*(1+AI213)*IF($B215=1,PRODUCT($G215:AI215),PRODUCT($G214:AI214))</f>
        <v>824858.61643699417</v>
      </c>
      <c r="AJ197" s="177">
        <f ca="1">AJ195*(1+AJ213)*IF($B215=1,PRODUCT($G215:AJ215),PRODUCT($G214:AJ214))</f>
        <v>1326197.8519388163</v>
      </c>
      <c r="AK197" s="177">
        <f ca="1">AK195*(1+AK213)*IF($B215=1,PRODUCT($G215:AK215),PRODUCT($G214:AK214))</f>
        <v>1665816.4838034725</v>
      </c>
      <c r="AL197" s="177">
        <f ca="1">AL195*(1+AL213)*IF($B215=1,PRODUCT($G215:AL215),PRODUCT($G214:AL214))</f>
        <v>1673924.9297709677</v>
      </c>
      <c r="AM197" s="177">
        <f ca="1">AM195*(1+AM213)*IF($B215=1,PRODUCT($G215:AM215),PRODUCT($G214:AM214))</f>
        <v>1177450.9908064513</v>
      </c>
      <c r="AN197" s="177">
        <f ca="1">AN195*(1+AN213)*IF($B215=1,PRODUCT($G215:AN215),PRODUCT($G214:AN214))</f>
        <v>845130.2093160107</v>
      </c>
      <c r="AO197" s="177">
        <f ca="1">AO195*(1+AO213)*IF($B215=1,PRODUCT($G215:AO215),PRODUCT($G214:AO214))</f>
        <v>849243.92334415531</v>
      </c>
      <c r="AP197" s="177">
        <f ca="1">AP195*(1+AP213)*IF($B215=1,PRODUCT($G215:AP215),PRODUCT($G214:AP214))</f>
        <v>1024053.1933000119</v>
      </c>
      <c r="AQ197" s="177">
        <f ca="1">AQ195*(1+AQ213)*IF($B215=1,PRODUCT($G215:AQ215),PRODUCT($G214:AQ214))</f>
        <v>1372050.4320000012</v>
      </c>
      <c r="AR197" s="177">
        <f ca="1">AR195*(1+AR213)*IF($B215=1,PRODUCT($G215:AR215),PRODUCT($G214:AR214))</f>
        <v>1206387.8372489666</v>
      </c>
      <c r="AS197" s="177">
        <f ca="1">AS195*(1+AS213)*IF($B215=1,PRODUCT($G215:AS215),PRODUCT($G214:AS214))</f>
        <v>1039079.9923270207</v>
      </c>
      <c r="AT197" s="177">
        <f ca="1">AT195*(1+AT213)*IF($B215=1,PRODUCT($G215:AT215),PRODUCT($G214:AT214))</f>
        <v>1044137.7667311088</v>
      </c>
      <c r="AU197" s="177">
        <f ca="1">AU195*(1+AU213)*IF($B215=1,PRODUCT($G215:AU215),PRODUCT($G214:AU214))</f>
        <v>874350.13342321385</v>
      </c>
      <c r="AV197" s="177">
        <f ca="1">AV195*(1+AV213)*IF($B215=1,PRODUCT($G215:AV215),PRODUCT($G214:AV214))</f>
        <v>1405769.7230551455</v>
      </c>
      <c r="AW197" s="177">
        <f ca="1">AW195*(1+AW213)*IF($B215=1,PRODUCT($G215:AW215),PRODUCT($G214:AW214))</f>
        <v>1765765.4728316809</v>
      </c>
      <c r="AX197" s="177">
        <f ca="1">AX195*(1+AX213)*IF($B215=1,PRODUCT($G215:AX215),PRODUCT($G214:AX214))</f>
        <v>1774360.4255572259</v>
      </c>
      <c r="AY197" s="177">
        <f ca="1">AY195*(1+AY213)*IF($B215=1,PRODUCT($G215:AY215),PRODUCT($G214:AY214))</f>
        <v>1248098.0502548383</v>
      </c>
      <c r="AZ197" s="177">
        <f ca="1">AZ195*(1+AZ213)*IF($B215=1,PRODUCT($G215:AZ215),PRODUCT($G214:AZ214))</f>
        <v>895838.02187497134</v>
      </c>
      <c r="BA197" s="177">
        <f ca="1">BA195*(1+BA213)*IF($B215=1,PRODUCT($G215:BA215),PRODUCT($G214:BA214))</f>
        <v>900198.5587448047</v>
      </c>
      <c r="BB197" s="177">
        <f ca="1">BB195*(1+BB213)*IF($B215=1,PRODUCT($G215:BB215),PRODUCT($G214:BB214))</f>
        <v>1085496.3848980127</v>
      </c>
      <c r="BC197" s="177"/>
      <c r="BD197" s="178">
        <f ca="1">SUM(G197:BC197)</f>
        <v>45910403.444529973</v>
      </c>
    </row>
    <row r="198" spans="1:56" hidden="1" outlineLevel="1" x14ac:dyDescent="0.3">
      <c r="A198" s="184" t="str">
        <f ca="1">Language!A$635</f>
        <v>запасы сырья и материалов</v>
      </c>
      <c r="B198" s="200"/>
      <c r="C198" s="163" t="str">
        <f t="shared" ca="1" si="968"/>
        <v>руб.</v>
      </c>
      <c r="D198" s="174">
        <f>D193</f>
        <v>1</v>
      </c>
      <c r="E198" s="170" t="s">
        <v>1011</v>
      </c>
      <c r="F198" s="170" t="s">
        <v>2350</v>
      </c>
      <c r="G198" s="287">
        <f ca="1">IF(AND($B199=0,G$2&gt;1),F198,G196*$B199/Параметры!G$30)</f>
        <v>0</v>
      </c>
      <c r="H198" s="287">
        <f ca="1">IF(AND($B199=0,H$2&gt;1),G198,H196*$B199/Параметры!H$30)</f>
        <v>0</v>
      </c>
      <c r="I198" s="287">
        <f ca="1">IF(AND($B199=0,I$2&gt;1),H198,I196*$B199/Параметры!I$30)</f>
        <v>0</v>
      </c>
      <c r="J198" s="287">
        <f ca="1">IF(AND($B199=0,J$2&gt;1),I198,J196*$B199/Параметры!J$30)</f>
        <v>0</v>
      </c>
      <c r="K198" s="287">
        <f ca="1">IF(AND($B199=0,K$2&gt;1),J198,K196*$B199/Параметры!K$30)</f>
        <v>0</v>
      </c>
      <c r="L198" s="287">
        <f ca="1">IF(AND($B199=0,L$2&gt;1),K198,L196*$B199/Параметры!L$30)</f>
        <v>0</v>
      </c>
      <c r="M198" s="287">
        <f ca="1">IF(AND($B199=0,M$2&gt;1),L198,M196*$B199/Параметры!M$30)</f>
        <v>222385.61104531921</v>
      </c>
      <c r="N198" s="287">
        <f ca="1">IF(AND($B199=0,N$2&gt;1),M198,N196*$B199/Параметры!N$30)</f>
        <v>297957.44566944934</v>
      </c>
      <c r="O198" s="287">
        <f ca="1">IF(AND($B199=0,O$2&gt;1),N198,O196*$B199/Параметры!O$30)</f>
        <v>374259.71075320727</v>
      </c>
      <c r="P198" s="287">
        <f ca="1">IF(AND($B199=0,P$2&gt;1),O198,P196*$B199/Параметры!P$30)</f>
        <v>451297.72658384306</v>
      </c>
      <c r="Q198" s="287">
        <f ca="1">IF(AND($B199=0,Q$2&gt;1),P198,Q196*$B199/Параметры!Q$30)</f>
        <v>453494.44108801434</v>
      </c>
      <c r="R198" s="287">
        <f ca="1">IF(AND($B199=0,R$2&gt;1),Q198,R196*$B199/Параметры!R$30)</f>
        <v>455701.8482111122</v>
      </c>
      <c r="S198" s="287">
        <f ca="1">IF(AND($B199=0,S$2&gt;1),R198,S196*$B199/Параметры!S$30)</f>
        <v>610560.00000000012</v>
      </c>
      <c r="T198" s="287">
        <f ca="1">IF(AND($B199=0,T$2&gt;1),S198,T196*$B199/Параметры!T$30)</f>
        <v>536840.44021402905</v>
      </c>
      <c r="U198" s="287">
        <f ca="1">IF(AND($B199=0,U$2&gt;1),T198,U196*$B199/Параметры!U$30)</f>
        <v>462388.74703053583</v>
      </c>
      <c r="V198" s="287">
        <f ca="1">IF(AND($B199=0,V$2&gt;1),U198,V196*$B199/Параметры!V$30)</f>
        <v>464639.44763755257</v>
      </c>
      <c r="W198" s="287">
        <f ca="1">IF(AND($B199=0,W$2&gt;1),V198,W196*$B199/Параметры!W$30)</f>
        <v>389084.25303631782</v>
      </c>
      <c r="X198" s="287">
        <f ca="1">IF(AND($B199=0,X$2&gt;1),W198,X196*$B199/Параметры!X$30)</f>
        <v>625565.02449944138</v>
      </c>
      <c r="Y198" s="287">
        <f ca="1">IF(AND($B199=0,Y$2&gt;1),X198,Y196*$B199/Параметры!Y$30)</f>
        <v>785762.49236012797</v>
      </c>
      <c r="Z198" s="287">
        <f ca="1">IF(AND($B199=0,Z$2&gt;1),Y198,Z196*$B199/Параметры!Z$30)</f>
        <v>789587.23102404072</v>
      </c>
      <c r="AA198" s="287">
        <f ca="1">IF(AND($B199=0,AA$2&gt;1),Z198,AA196*$B199/Параметры!AA$30)</f>
        <v>555401.4107577597</v>
      </c>
      <c r="AB198" s="287">
        <f ca="1">IF(AND($B199=0,AB$2&gt;1),AA198,AB196*$B199/Параметры!AB$30)</f>
        <v>398646.32514906145</v>
      </c>
      <c r="AC198" s="287">
        <f ca="1">IF(AND($B199=0,AC$2&gt;1),AB198,AC196*$B199/Параметры!AC$30)</f>
        <v>400586.75629441271</v>
      </c>
      <c r="AD198" s="287">
        <f ca="1">IF(AND($B199=0,AD$2&gt;1),AC198,AD196*$B199/Параметры!AD$30)</f>
        <v>483043.95910377905</v>
      </c>
      <c r="AE198" s="287">
        <f ca="1">IF(AND($B199=0,AE$2&gt;1),AD198,AE196*$B199/Параметры!AE$30)</f>
        <v>647193.60000000033</v>
      </c>
      <c r="AF198" s="287">
        <f ca="1">IF(AND($B199=0,AF$2&gt;1),AE198,AF196*$B199/Параметры!AF$30)</f>
        <v>569050.86662687093</v>
      </c>
      <c r="AG198" s="287">
        <f ca="1">IF(AND($B199=0,AG$2&gt;1),AF198,AG196*$B199/Параметры!AG$30)</f>
        <v>490132.07185236819</v>
      </c>
      <c r="AH198" s="287">
        <f ca="1">IF(AND($B199=0,AH$2&gt;1),AG198,AH196*$B199/Параметры!AH$30)</f>
        <v>492517.81449580594</v>
      </c>
      <c r="AI198" s="287">
        <f ca="1">IF(AND($B199=0,AI$2&gt;1),AH198,AI196*$B199/Параметры!AI$30)</f>
        <v>412429.30821849708</v>
      </c>
      <c r="AJ198" s="287">
        <f ca="1">IF(AND($B199=0,AJ$2&gt;1),AI198,AJ196*$B199/Параметры!AJ$30)</f>
        <v>663098.92596940813</v>
      </c>
      <c r="AK198" s="287">
        <f ca="1">IF(AND($B199=0,AK$2&gt;1),AJ198,AK196*$B199/Параметры!AK$30)</f>
        <v>832908.24190173624</v>
      </c>
      <c r="AL198" s="287">
        <f ca="1">IF(AND($B199=0,AL$2&gt;1),AK198,AL196*$B199/Параметры!AL$30)</f>
        <v>836962.46488548385</v>
      </c>
      <c r="AM198" s="287">
        <f ca="1">IF(AND($B199=0,AM$2&gt;1),AL198,AM196*$B199/Параметры!AM$30)</f>
        <v>588725.49540322565</v>
      </c>
      <c r="AN198" s="287">
        <f ca="1">IF(AND($B199=0,AN$2&gt;1),AM198,AN196*$B199/Параметры!AN$30)</f>
        <v>422565.10465800535</v>
      </c>
      <c r="AO198" s="287">
        <f ca="1">IF(AND($B199=0,AO$2&gt;1),AN198,AO196*$B199/Параметры!AO$30)</f>
        <v>424621.96167207765</v>
      </c>
      <c r="AP198" s="287">
        <f ca="1">IF(AND($B199=0,AP$2&gt;1),AO198,AP196*$B199/Параметры!AP$30)</f>
        <v>512026.59665000596</v>
      </c>
      <c r="AQ198" s="287">
        <f ca="1">IF(AND($B199=0,AQ$2&gt;1),AP198,AQ196*$B199/Параметры!AQ$30)</f>
        <v>686025.2160000006</v>
      </c>
      <c r="AR198" s="287">
        <f ca="1">IF(AND($B199=0,AR$2&gt;1),AQ198,AR196*$B199/Параметры!AR$30)</f>
        <v>603193.91862448328</v>
      </c>
      <c r="AS198" s="287">
        <f ca="1">IF(AND($B199=0,AS$2&gt;1),AR198,AS196*$B199/Параметры!AS$30)</f>
        <v>519539.99616351037</v>
      </c>
      <c r="AT198" s="287">
        <f ca="1">IF(AND($B199=0,AT$2&gt;1),AS198,AT196*$B199/Параметры!AT$30)</f>
        <v>522068.88336555439</v>
      </c>
      <c r="AU198" s="287">
        <f ca="1">IF(AND($B199=0,AU$2&gt;1),AT198,AU196*$B199/Параметры!AU$30)</f>
        <v>437175.06671160698</v>
      </c>
      <c r="AV198" s="287">
        <f ca="1">IF(AND($B199=0,AV$2&gt;1),AU198,AV196*$B199/Параметры!AV$30)</f>
        <v>702884.86152757274</v>
      </c>
      <c r="AW198" s="287">
        <f ca="1">IF(AND($B199=0,AW$2&gt;1),AV198,AW196*$B199/Параметры!AW$30)</f>
        <v>882882.73641584045</v>
      </c>
      <c r="AX198" s="287">
        <f ca="1">IF(AND($B199=0,AX$2&gt;1),AW198,AX196*$B199/Параметры!AX$30)</f>
        <v>887180.21277861297</v>
      </c>
      <c r="AY198" s="287">
        <f ca="1">IF(AND($B199=0,AY$2&gt;1),AX198,AY196*$B199/Параметры!AY$30)</f>
        <v>624049.02512741915</v>
      </c>
      <c r="AZ198" s="287">
        <f ca="1">IF(AND($B199=0,AZ$2&gt;1),AY198,AZ196*$B199/Параметры!AZ$30)</f>
        <v>447919.01093748567</v>
      </c>
      <c r="BA198" s="287">
        <f ca="1">IF(AND($B199=0,BA$2&gt;1),AZ198,BA196*$B199/Параметры!BA$30)</f>
        <v>450099.27937240235</v>
      </c>
      <c r="BB198" s="287">
        <f ca="1">IF(AND($B199=0,BB$2&gt;1),BA198,BB196*$B199/Параметры!BB$30)</f>
        <v>542748.19244900637</v>
      </c>
      <c r="BC198" s="201"/>
      <c r="BD198" s="178"/>
    </row>
    <row r="199" spans="1:56" s="170" customFormat="1" hidden="1" outlineLevel="1" x14ac:dyDescent="0.3">
      <c r="A199" s="187" t="str">
        <f ca="1">Language!A$636</f>
        <v>средняя оборачиваемость запасов</v>
      </c>
      <c r="B199" s="288">
        <f>$B$585</f>
        <v>15</v>
      </c>
      <c r="C199" s="163" t="str">
        <f ca="1">Language!$A$1474</f>
        <v>дней</v>
      </c>
      <c r="D199" s="174"/>
      <c r="F199" s="170" t="s">
        <v>2347</v>
      </c>
      <c r="G199" s="185"/>
      <c r="H199" s="185"/>
      <c r="I199" s="185"/>
      <c r="J199" s="185"/>
      <c r="K199" s="185"/>
      <c r="L199" s="185"/>
      <c r="M199" s="185"/>
      <c r="N199" s="185"/>
      <c r="O199" s="185"/>
      <c r="P199" s="185"/>
      <c r="Q199" s="185"/>
      <c r="R199" s="185"/>
      <c r="S199" s="185"/>
      <c r="T199" s="185"/>
      <c r="U199" s="185"/>
      <c r="V199" s="185"/>
      <c r="W199" s="185"/>
      <c r="X199" s="185"/>
      <c r="Y199" s="185"/>
      <c r="Z199" s="185"/>
      <c r="AA199" s="185"/>
      <c r="AB199" s="185"/>
      <c r="AC199" s="185"/>
      <c r="AD199" s="185"/>
      <c r="AE199" s="185"/>
      <c r="AF199" s="185"/>
      <c r="AG199" s="185"/>
      <c r="AH199" s="185"/>
      <c r="AI199" s="185"/>
      <c r="AJ199" s="185"/>
      <c r="AK199" s="185"/>
      <c r="AL199" s="185"/>
      <c r="AM199" s="185"/>
      <c r="AN199" s="185"/>
      <c r="AO199" s="185"/>
      <c r="AP199" s="185"/>
      <c r="AQ199" s="185"/>
      <c r="AR199" s="185"/>
      <c r="AS199" s="185"/>
      <c r="AT199" s="185"/>
      <c r="AU199" s="185"/>
      <c r="AV199" s="185"/>
      <c r="AW199" s="185"/>
      <c r="AX199" s="185"/>
      <c r="AY199" s="185"/>
      <c r="AZ199" s="185"/>
      <c r="BA199" s="185"/>
      <c r="BB199" s="185"/>
      <c r="BC199" s="185"/>
      <c r="BD199" s="193"/>
    </row>
    <row r="200" spans="1:56" hidden="1" outlineLevel="1" x14ac:dyDescent="0.3">
      <c r="A200" s="184" t="str">
        <f ca="1">Language!A$637</f>
        <v>затраты в запасах готовой продукции</v>
      </c>
      <c r="B200" s="174"/>
      <c r="C200" s="163" t="str">
        <f t="shared" ref="C200" ca="1" si="970">CHOOSE(D200,CurName1,CurName2,CurName3)</f>
        <v>руб.</v>
      </c>
      <c r="D200" s="174">
        <f>D193</f>
        <v>1</v>
      </c>
      <c r="E200" s="170" t="s">
        <v>1012</v>
      </c>
      <c r="F200" s="170" t="s">
        <v>2350</v>
      </c>
      <c r="G200" s="287">
        <f ca="1">IF(AND($B201=0,G$2&gt;1),F200,G196*$B201/Параметры!G$30)</f>
        <v>0</v>
      </c>
      <c r="H200" s="287">
        <f ca="1">IF(AND($B201=0,H$2&gt;1),G200,H196*$B201/Параметры!H$30)</f>
        <v>0</v>
      </c>
      <c r="I200" s="287">
        <f ca="1">IF(AND($B201=0,I$2&gt;1),H200,I196*$B201/Параметры!I$30)</f>
        <v>0</v>
      </c>
      <c r="J200" s="287">
        <f ca="1">IF(AND($B201=0,J$2&gt;1),I200,J196*$B201/Параметры!J$30)</f>
        <v>0</v>
      </c>
      <c r="K200" s="287">
        <f ca="1">IF(AND($B201=0,K$2&gt;1),J200,K196*$B201/Параметры!K$30)</f>
        <v>0</v>
      </c>
      <c r="L200" s="287">
        <f ca="1">IF(AND($B201=0,L$2&gt;1),K200,L196*$B201/Параметры!L$30)</f>
        <v>0</v>
      </c>
      <c r="M200" s="287">
        <f ca="1">IF(AND($B201=0,M$2&gt;1),L200,M196*$B201/Параметры!M$30)</f>
        <v>222385.61104531921</v>
      </c>
      <c r="N200" s="287">
        <f ca="1">IF(AND($B201=0,N$2&gt;1),M200,N196*$B201/Параметры!N$30)</f>
        <v>297957.44566944934</v>
      </c>
      <c r="O200" s="287">
        <f ca="1">IF(AND($B201=0,O$2&gt;1),N200,O196*$B201/Параметры!O$30)</f>
        <v>374259.71075320727</v>
      </c>
      <c r="P200" s="287">
        <f ca="1">IF(AND($B201=0,P$2&gt;1),O200,P196*$B201/Параметры!P$30)</f>
        <v>451297.72658384306</v>
      </c>
      <c r="Q200" s="287">
        <f ca="1">IF(AND($B201=0,Q$2&gt;1),P200,Q196*$B201/Параметры!Q$30)</f>
        <v>453494.44108801434</v>
      </c>
      <c r="R200" s="287">
        <f ca="1">IF(AND($B201=0,R$2&gt;1),Q200,R196*$B201/Параметры!R$30)</f>
        <v>455701.8482111122</v>
      </c>
      <c r="S200" s="287">
        <f ca="1">IF(AND($B201=0,S$2&gt;1),R200,S196*$B201/Параметры!S$30)</f>
        <v>610560.00000000012</v>
      </c>
      <c r="T200" s="287">
        <f ca="1">IF(AND($B201=0,T$2&gt;1),S200,T196*$B201/Параметры!T$30)</f>
        <v>536840.44021402905</v>
      </c>
      <c r="U200" s="287">
        <f ca="1">IF(AND($B201=0,U$2&gt;1),T200,U196*$B201/Параметры!U$30)</f>
        <v>462388.74703053583</v>
      </c>
      <c r="V200" s="287">
        <f ca="1">IF(AND($B201=0,V$2&gt;1),U200,V196*$B201/Параметры!V$30)</f>
        <v>464639.44763755257</v>
      </c>
      <c r="W200" s="287">
        <f ca="1">IF(AND($B201=0,W$2&gt;1),V200,W196*$B201/Параметры!W$30)</f>
        <v>389084.25303631782</v>
      </c>
      <c r="X200" s="287">
        <f ca="1">IF(AND($B201=0,X$2&gt;1),W200,X196*$B201/Параметры!X$30)</f>
        <v>625565.02449944138</v>
      </c>
      <c r="Y200" s="287">
        <f ca="1">IF(AND($B201=0,Y$2&gt;1),X200,Y196*$B201/Параметры!Y$30)</f>
        <v>785762.49236012797</v>
      </c>
      <c r="Z200" s="287">
        <f ca="1">IF(AND($B201=0,Z$2&gt;1),Y200,Z196*$B201/Параметры!Z$30)</f>
        <v>789587.23102404072</v>
      </c>
      <c r="AA200" s="287">
        <f ca="1">IF(AND($B201=0,AA$2&gt;1),Z200,AA196*$B201/Параметры!AA$30)</f>
        <v>555401.4107577597</v>
      </c>
      <c r="AB200" s="287">
        <f ca="1">IF(AND($B201=0,AB$2&gt;1),AA200,AB196*$B201/Параметры!AB$30)</f>
        <v>398646.32514906145</v>
      </c>
      <c r="AC200" s="287">
        <f ca="1">IF(AND($B201=0,AC$2&gt;1),AB200,AC196*$B201/Параметры!AC$30)</f>
        <v>400586.75629441271</v>
      </c>
      <c r="AD200" s="287">
        <f ca="1">IF(AND($B201=0,AD$2&gt;1),AC200,AD196*$B201/Параметры!AD$30)</f>
        <v>483043.95910377905</v>
      </c>
      <c r="AE200" s="287">
        <f ca="1">IF(AND($B201=0,AE$2&gt;1),AD200,AE196*$B201/Параметры!AE$30)</f>
        <v>647193.60000000033</v>
      </c>
      <c r="AF200" s="287">
        <f ca="1">IF(AND($B201=0,AF$2&gt;1),AE200,AF196*$B201/Параметры!AF$30)</f>
        <v>569050.86662687093</v>
      </c>
      <c r="AG200" s="287">
        <f ca="1">IF(AND($B201=0,AG$2&gt;1),AF200,AG196*$B201/Параметры!AG$30)</f>
        <v>490132.07185236819</v>
      </c>
      <c r="AH200" s="287">
        <f ca="1">IF(AND($B201=0,AH$2&gt;1),AG200,AH196*$B201/Параметры!AH$30)</f>
        <v>492517.81449580594</v>
      </c>
      <c r="AI200" s="287">
        <f ca="1">IF(AND($B201=0,AI$2&gt;1),AH200,AI196*$B201/Параметры!AI$30)</f>
        <v>412429.30821849708</v>
      </c>
      <c r="AJ200" s="287">
        <f ca="1">IF(AND($B201=0,AJ$2&gt;1),AI200,AJ196*$B201/Параметры!AJ$30)</f>
        <v>663098.92596940813</v>
      </c>
      <c r="AK200" s="287">
        <f ca="1">IF(AND($B201=0,AK$2&gt;1),AJ200,AK196*$B201/Параметры!AK$30)</f>
        <v>832908.24190173624</v>
      </c>
      <c r="AL200" s="287">
        <f ca="1">IF(AND($B201=0,AL$2&gt;1),AK200,AL196*$B201/Параметры!AL$30)</f>
        <v>836962.46488548385</v>
      </c>
      <c r="AM200" s="287">
        <f ca="1">IF(AND($B201=0,AM$2&gt;1),AL200,AM196*$B201/Параметры!AM$30)</f>
        <v>588725.49540322565</v>
      </c>
      <c r="AN200" s="287">
        <f ca="1">IF(AND($B201=0,AN$2&gt;1),AM200,AN196*$B201/Параметры!AN$30)</f>
        <v>422565.10465800535</v>
      </c>
      <c r="AO200" s="287">
        <f ca="1">IF(AND($B201=0,AO$2&gt;1),AN200,AO196*$B201/Параметры!AO$30)</f>
        <v>424621.96167207765</v>
      </c>
      <c r="AP200" s="287">
        <f ca="1">IF(AND($B201=0,AP$2&gt;1),AO200,AP196*$B201/Параметры!AP$30)</f>
        <v>512026.59665000596</v>
      </c>
      <c r="AQ200" s="287">
        <f ca="1">IF(AND($B201=0,AQ$2&gt;1),AP200,AQ196*$B201/Параметры!AQ$30)</f>
        <v>686025.2160000006</v>
      </c>
      <c r="AR200" s="287">
        <f ca="1">IF(AND($B201=0,AR$2&gt;1),AQ200,AR196*$B201/Параметры!AR$30)</f>
        <v>603193.91862448328</v>
      </c>
      <c r="AS200" s="287">
        <f ca="1">IF(AND($B201=0,AS$2&gt;1),AR200,AS196*$B201/Параметры!AS$30)</f>
        <v>519539.99616351037</v>
      </c>
      <c r="AT200" s="287">
        <f ca="1">IF(AND($B201=0,AT$2&gt;1),AS200,AT196*$B201/Параметры!AT$30)</f>
        <v>522068.88336555439</v>
      </c>
      <c r="AU200" s="287">
        <f ca="1">IF(AND($B201=0,AU$2&gt;1),AT200,AU196*$B201/Параметры!AU$30)</f>
        <v>437175.06671160698</v>
      </c>
      <c r="AV200" s="287">
        <f ca="1">IF(AND($B201=0,AV$2&gt;1),AU200,AV196*$B201/Параметры!AV$30)</f>
        <v>702884.86152757274</v>
      </c>
      <c r="AW200" s="287">
        <f ca="1">IF(AND($B201=0,AW$2&gt;1),AV200,AW196*$B201/Параметры!AW$30)</f>
        <v>882882.73641584045</v>
      </c>
      <c r="AX200" s="287">
        <f ca="1">IF(AND($B201=0,AX$2&gt;1),AW200,AX196*$B201/Параметры!AX$30)</f>
        <v>887180.21277861297</v>
      </c>
      <c r="AY200" s="287">
        <f ca="1">IF(AND($B201=0,AY$2&gt;1),AX200,AY196*$B201/Параметры!AY$30)</f>
        <v>624049.02512741915</v>
      </c>
      <c r="AZ200" s="287">
        <f ca="1">IF(AND($B201=0,AZ$2&gt;1),AY200,AZ196*$B201/Параметры!AZ$30)</f>
        <v>447919.01093748567</v>
      </c>
      <c r="BA200" s="287">
        <f ca="1">IF(AND($B201=0,BA$2&gt;1),AZ200,BA196*$B201/Параметры!BA$30)</f>
        <v>450099.27937240235</v>
      </c>
      <c r="BB200" s="287">
        <f ca="1">IF(AND($B201=0,BB$2&gt;1),BA200,BB196*$B201/Параметры!BB$30)</f>
        <v>542748.19244900637</v>
      </c>
      <c r="BC200" s="185"/>
      <c r="BD200" s="193"/>
    </row>
    <row r="201" spans="1:56" s="170" customFormat="1" hidden="1" outlineLevel="1" x14ac:dyDescent="0.3">
      <c r="A201" s="187" t="str">
        <f ca="1">Language!A$638</f>
        <v>средняя оборачиваемость готовой продукции</v>
      </c>
      <c r="B201" s="288">
        <f>$B$597</f>
        <v>15</v>
      </c>
      <c r="C201" s="163" t="str">
        <f ca="1">Language!$A$1474</f>
        <v>дней</v>
      </c>
      <c r="D201" s="174"/>
      <c r="F201" s="170" t="s">
        <v>2347</v>
      </c>
      <c r="G201" s="185"/>
      <c r="H201" s="185"/>
      <c r="I201" s="185"/>
      <c r="J201" s="185"/>
      <c r="K201" s="185"/>
      <c r="L201" s="185"/>
      <c r="M201" s="185"/>
      <c r="N201" s="185"/>
      <c r="O201" s="185"/>
      <c r="P201" s="185"/>
      <c r="Q201" s="185"/>
      <c r="R201" s="185"/>
      <c r="S201" s="185"/>
      <c r="T201" s="185"/>
      <c r="U201" s="185"/>
      <c r="V201" s="185"/>
      <c r="W201" s="185"/>
      <c r="X201" s="185"/>
      <c r="Y201" s="185"/>
      <c r="Z201" s="185"/>
      <c r="AA201" s="185"/>
      <c r="AB201" s="185"/>
      <c r="AC201" s="185"/>
      <c r="AD201" s="185"/>
      <c r="AE201" s="185"/>
      <c r="AF201" s="185"/>
      <c r="AG201" s="185"/>
      <c r="AH201" s="185"/>
      <c r="AI201" s="185"/>
      <c r="AJ201" s="185"/>
      <c r="AK201" s="185"/>
      <c r="AL201" s="185"/>
      <c r="AM201" s="185"/>
      <c r="AN201" s="185"/>
      <c r="AO201" s="185"/>
      <c r="AP201" s="185"/>
      <c r="AQ201" s="185"/>
      <c r="AR201" s="185"/>
      <c r="AS201" s="185"/>
      <c r="AT201" s="185"/>
      <c r="AU201" s="185"/>
      <c r="AV201" s="185"/>
      <c r="AW201" s="185"/>
      <c r="AX201" s="185"/>
      <c r="AY201" s="185"/>
      <c r="AZ201" s="185"/>
      <c r="BA201" s="185"/>
      <c r="BB201" s="185"/>
      <c r="BC201" s="185"/>
      <c r="BD201" s="193"/>
    </row>
    <row r="202" spans="1:56" hidden="1" outlineLevel="1" x14ac:dyDescent="0.3">
      <c r="A202" s="184" t="str">
        <f ca="1">Language!A$639</f>
        <v>затраты в незавершенном производстве</v>
      </c>
      <c r="B202" s="174"/>
      <c r="C202" s="163" t="str">
        <f t="shared" ref="C202" ca="1" si="971">CHOOSE(D202,CurName1,CurName2,CurName3)</f>
        <v>руб.</v>
      </c>
      <c r="D202" s="174">
        <f>D193</f>
        <v>1</v>
      </c>
      <c r="E202" s="170" t="s">
        <v>754</v>
      </c>
      <c r="F202" s="170" t="s">
        <v>2350</v>
      </c>
      <c r="G202" s="287">
        <f ca="1">IF(AND($B203=0,G$2&gt;1),F202,G196*$B203/Параметры!G$30)</f>
        <v>0</v>
      </c>
      <c r="H202" s="287">
        <f ca="1">IF(AND($B203=0,H$2&gt;1),G202,H196*$B203/Параметры!H$30)</f>
        <v>0</v>
      </c>
      <c r="I202" s="287">
        <f ca="1">IF(AND($B203=0,I$2&gt;1),H202,I196*$B203/Параметры!I$30)</f>
        <v>0</v>
      </c>
      <c r="J202" s="287">
        <f ca="1">IF(AND($B203=0,J$2&gt;1),I202,J196*$B203/Параметры!J$30)</f>
        <v>0</v>
      </c>
      <c r="K202" s="287">
        <f ca="1">IF(AND($B203=0,K$2&gt;1),J202,K196*$B203/Параметры!K$30)</f>
        <v>0</v>
      </c>
      <c r="L202" s="287">
        <f ca="1">IF(AND($B203=0,L$2&gt;1),K202,L196*$B203/Параметры!L$30)</f>
        <v>0</v>
      </c>
      <c r="M202" s="287">
        <f ca="1">IF(AND($B203=0,M$2&gt;1),L202,M196*$B203/Параметры!M$30)</f>
        <v>0</v>
      </c>
      <c r="N202" s="287">
        <f ca="1">IF(AND($B203=0,N$2&gt;1),M202,N196*$B203/Параметры!N$30)</f>
        <v>0</v>
      </c>
      <c r="O202" s="287">
        <f ca="1">IF(AND($B203=0,O$2&gt;1),N202,O196*$B203/Параметры!O$30)</f>
        <v>0</v>
      </c>
      <c r="P202" s="287">
        <f ca="1">IF(AND($B203=0,P$2&gt;1),O202,P196*$B203/Параметры!P$30)</f>
        <v>0</v>
      </c>
      <c r="Q202" s="287">
        <f ca="1">IF(AND($B203=0,Q$2&gt;1),P202,Q196*$B203/Параметры!Q$30)</f>
        <v>0</v>
      </c>
      <c r="R202" s="287">
        <f ca="1">IF(AND($B203=0,R$2&gt;1),Q202,R196*$B203/Параметры!R$30)</f>
        <v>0</v>
      </c>
      <c r="S202" s="287">
        <f ca="1">IF(AND($B203=0,S$2&gt;1),R202,S196*$B203/Параметры!S$30)</f>
        <v>0</v>
      </c>
      <c r="T202" s="287">
        <f ca="1">IF(AND($B203=0,T$2&gt;1),S202,T196*$B203/Параметры!T$30)</f>
        <v>0</v>
      </c>
      <c r="U202" s="287">
        <f ca="1">IF(AND($B203=0,U$2&gt;1),T202,U196*$B203/Параметры!U$30)</f>
        <v>0</v>
      </c>
      <c r="V202" s="287">
        <f ca="1">IF(AND($B203=0,V$2&gt;1),U202,V196*$B203/Параметры!V$30)</f>
        <v>0</v>
      </c>
      <c r="W202" s="287">
        <f ca="1">IF(AND($B203=0,W$2&gt;1),V202,W196*$B203/Параметры!W$30)</f>
        <v>0</v>
      </c>
      <c r="X202" s="287">
        <f ca="1">IF(AND($B203=0,X$2&gt;1),W202,X196*$B203/Параметры!X$30)</f>
        <v>0</v>
      </c>
      <c r="Y202" s="287">
        <f ca="1">IF(AND($B203=0,Y$2&gt;1),X202,Y196*$B203/Параметры!Y$30)</f>
        <v>0</v>
      </c>
      <c r="Z202" s="287">
        <f ca="1">IF(AND($B203=0,Z$2&gt;1),Y202,Z196*$B203/Параметры!Z$30)</f>
        <v>0</v>
      </c>
      <c r="AA202" s="287">
        <f ca="1">IF(AND($B203=0,AA$2&gt;1),Z202,AA196*$B203/Параметры!AA$30)</f>
        <v>0</v>
      </c>
      <c r="AB202" s="287">
        <f ca="1">IF(AND($B203=0,AB$2&gt;1),AA202,AB196*$B203/Параметры!AB$30)</f>
        <v>0</v>
      </c>
      <c r="AC202" s="287">
        <f ca="1">IF(AND($B203=0,AC$2&gt;1),AB202,AC196*$B203/Параметры!AC$30)</f>
        <v>0</v>
      </c>
      <c r="AD202" s="287">
        <f ca="1">IF(AND($B203=0,AD$2&gt;1),AC202,AD196*$B203/Параметры!AD$30)</f>
        <v>0</v>
      </c>
      <c r="AE202" s="287">
        <f ca="1">IF(AND($B203=0,AE$2&gt;1),AD202,AE196*$B203/Параметры!AE$30)</f>
        <v>0</v>
      </c>
      <c r="AF202" s="287">
        <f ca="1">IF(AND($B203=0,AF$2&gt;1),AE202,AF196*$B203/Параметры!AF$30)</f>
        <v>0</v>
      </c>
      <c r="AG202" s="287">
        <f ca="1">IF(AND($B203=0,AG$2&gt;1),AF202,AG196*$B203/Параметры!AG$30)</f>
        <v>0</v>
      </c>
      <c r="AH202" s="287">
        <f ca="1">IF(AND($B203=0,AH$2&gt;1),AG202,AH196*$B203/Параметры!AH$30)</f>
        <v>0</v>
      </c>
      <c r="AI202" s="287">
        <f ca="1">IF(AND($B203=0,AI$2&gt;1),AH202,AI196*$B203/Параметры!AI$30)</f>
        <v>0</v>
      </c>
      <c r="AJ202" s="287">
        <f ca="1">IF(AND($B203=0,AJ$2&gt;1),AI202,AJ196*$B203/Параметры!AJ$30)</f>
        <v>0</v>
      </c>
      <c r="AK202" s="287">
        <f ca="1">IF(AND($B203=0,AK$2&gt;1),AJ202,AK196*$B203/Параметры!AK$30)</f>
        <v>0</v>
      </c>
      <c r="AL202" s="287">
        <f ca="1">IF(AND($B203=0,AL$2&gt;1),AK202,AL196*$B203/Параметры!AL$30)</f>
        <v>0</v>
      </c>
      <c r="AM202" s="287">
        <f ca="1">IF(AND($B203=0,AM$2&gt;1),AL202,AM196*$B203/Параметры!AM$30)</f>
        <v>0</v>
      </c>
      <c r="AN202" s="287">
        <f ca="1">IF(AND($B203=0,AN$2&gt;1),AM202,AN196*$B203/Параметры!AN$30)</f>
        <v>0</v>
      </c>
      <c r="AO202" s="287">
        <f ca="1">IF(AND($B203=0,AO$2&gt;1),AN202,AO196*$B203/Параметры!AO$30)</f>
        <v>0</v>
      </c>
      <c r="AP202" s="287">
        <f ca="1">IF(AND($B203=0,AP$2&gt;1),AO202,AP196*$B203/Параметры!AP$30)</f>
        <v>0</v>
      </c>
      <c r="AQ202" s="287">
        <f ca="1">IF(AND($B203=0,AQ$2&gt;1),AP202,AQ196*$B203/Параметры!AQ$30)</f>
        <v>0</v>
      </c>
      <c r="AR202" s="287">
        <f ca="1">IF(AND($B203=0,AR$2&gt;1),AQ202,AR196*$B203/Параметры!AR$30)</f>
        <v>0</v>
      </c>
      <c r="AS202" s="287">
        <f ca="1">IF(AND($B203=0,AS$2&gt;1),AR202,AS196*$B203/Параметры!AS$30)</f>
        <v>0</v>
      </c>
      <c r="AT202" s="287">
        <f ca="1">IF(AND($B203=0,AT$2&gt;1),AS202,AT196*$B203/Параметры!AT$30)</f>
        <v>0</v>
      </c>
      <c r="AU202" s="287">
        <f ca="1">IF(AND($B203=0,AU$2&gt;1),AT202,AU196*$B203/Параметры!AU$30)</f>
        <v>0</v>
      </c>
      <c r="AV202" s="287">
        <f ca="1">IF(AND($B203=0,AV$2&gt;1),AU202,AV196*$B203/Параметры!AV$30)</f>
        <v>0</v>
      </c>
      <c r="AW202" s="287">
        <f ca="1">IF(AND($B203=0,AW$2&gt;1),AV202,AW196*$B203/Параметры!AW$30)</f>
        <v>0</v>
      </c>
      <c r="AX202" s="287">
        <f ca="1">IF(AND($B203=0,AX$2&gt;1),AW202,AX196*$B203/Параметры!AX$30)</f>
        <v>0</v>
      </c>
      <c r="AY202" s="287">
        <f ca="1">IF(AND($B203=0,AY$2&gt;1),AX202,AY196*$B203/Параметры!AY$30)</f>
        <v>0</v>
      </c>
      <c r="AZ202" s="287">
        <f ca="1">IF(AND($B203=0,AZ$2&gt;1),AY202,AZ196*$B203/Параметры!AZ$30)</f>
        <v>0</v>
      </c>
      <c r="BA202" s="287">
        <f ca="1">IF(AND($B203=0,BA$2&gt;1),AZ202,BA196*$B203/Параметры!BA$30)</f>
        <v>0</v>
      </c>
      <c r="BB202" s="287">
        <f ca="1">IF(AND($B203=0,BB$2&gt;1),BA202,BB196*$B203/Параметры!BB$30)</f>
        <v>0</v>
      </c>
      <c r="BC202" s="185"/>
      <c r="BD202" s="193"/>
    </row>
    <row r="203" spans="1:56" s="170" customFormat="1" hidden="1" outlineLevel="1" x14ac:dyDescent="0.3">
      <c r="A203" s="187" t="str">
        <f ca="1">Language!A$640</f>
        <v>длительность производственного цикла</v>
      </c>
      <c r="B203" s="288">
        <f>$B$591</f>
        <v>0</v>
      </c>
      <c r="C203" s="163" t="str">
        <f ca="1">Language!$A$1474</f>
        <v>дней</v>
      </c>
      <c r="D203" s="174"/>
      <c r="F203" s="170" t="s">
        <v>2347</v>
      </c>
      <c r="G203" s="185"/>
      <c r="H203" s="185"/>
      <c r="I203" s="185"/>
      <c r="J203" s="185"/>
      <c r="K203" s="185"/>
      <c r="L203" s="185"/>
      <c r="M203" s="185"/>
      <c r="N203" s="185"/>
      <c r="O203" s="185"/>
      <c r="P203" s="185"/>
      <c r="Q203" s="185"/>
      <c r="R203" s="185"/>
      <c r="S203" s="185"/>
      <c r="T203" s="185"/>
      <c r="U203" s="185"/>
      <c r="V203" s="185"/>
      <c r="W203" s="185"/>
      <c r="X203" s="185"/>
      <c r="Y203" s="185"/>
      <c r="Z203" s="185"/>
      <c r="AA203" s="185"/>
      <c r="AB203" s="185"/>
      <c r="AC203" s="185"/>
      <c r="AD203" s="185"/>
      <c r="AE203" s="185"/>
      <c r="AF203" s="185"/>
      <c r="AG203" s="185"/>
      <c r="AH203" s="185"/>
      <c r="AI203" s="185"/>
      <c r="AJ203" s="185"/>
      <c r="AK203" s="185"/>
      <c r="AL203" s="185"/>
      <c r="AM203" s="185"/>
      <c r="AN203" s="185"/>
      <c r="AO203" s="185"/>
      <c r="AP203" s="185"/>
      <c r="AQ203" s="185"/>
      <c r="AR203" s="185"/>
      <c r="AS203" s="185"/>
      <c r="AT203" s="185"/>
      <c r="AU203" s="185"/>
      <c r="AV203" s="185"/>
      <c r="AW203" s="185"/>
      <c r="AX203" s="185"/>
      <c r="AY203" s="185"/>
      <c r="AZ203" s="185"/>
      <c r="BA203" s="185"/>
      <c r="BB203" s="185"/>
      <c r="BC203" s="185"/>
      <c r="BD203" s="193"/>
    </row>
    <row r="204" spans="1:56" s="173" customFormat="1" hidden="1" outlineLevel="1" x14ac:dyDescent="0.3">
      <c r="A204" s="181" t="str">
        <f ca="1">Language!A$641</f>
        <v>общий расход за период, без НДС</v>
      </c>
      <c r="B204" s="200"/>
      <c r="C204" s="176" t="str">
        <f t="shared" ref="C204:C205" ca="1" si="972">CHOOSE(D204,CurName1,CurName2,CurName3)</f>
        <v>руб.</v>
      </c>
      <c r="D204" s="174">
        <f>D193</f>
        <v>1</v>
      </c>
      <c r="E204" s="170" t="s">
        <v>2312</v>
      </c>
      <c r="F204" s="170" t="s">
        <v>740</v>
      </c>
      <c r="G204" s="202">
        <f t="shared" ref="G204" ca="1" si="973">G196+IF(G$2=1,G198+G200+G202,G198+G200+G202-F198-F200-F202)</f>
        <v>0</v>
      </c>
      <c r="H204" s="202">
        <f t="shared" ref="H204" ca="1" si="974">H196+IF(H$2=1,H198+H200+H202,H198+H200+H202-G198-G200-G202)</f>
        <v>0</v>
      </c>
      <c r="I204" s="202">
        <f t="shared" ref="I204" ca="1" si="975">I196+IF(I$2=1,I198+I200+I202,I198+I200+I202-H198-H200-H202)</f>
        <v>0</v>
      </c>
      <c r="J204" s="202">
        <f t="shared" ref="J204" ca="1" si="976">J196+IF(J$2=1,J198+J200+J202,J198+J200+J202-I198-I200-I202)</f>
        <v>0</v>
      </c>
      <c r="K204" s="202">
        <f t="shared" ref="K204" ca="1" si="977">K196+IF(K$2=1,K198+K200+K202,K198+K200+K202-J198-J200-J202)</f>
        <v>0</v>
      </c>
      <c r="L204" s="202">
        <f t="shared" ref="L204" ca="1" si="978">L196+IF(L$2=1,L198+L200+L202,L198+L200+L202-K198-K200-K202)</f>
        <v>0</v>
      </c>
      <c r="M204" s="202">
        <f t="shared" ref="M204:BB204" ca="1" si="979">M196+IF(M$2=1,M198+M200+M202,M198+M200+M202-L198-L200-L202)</f>
        <v>889542.44418127683</v>
      </c>
      <c r="N204" s="202">
        <f t="shared" ca="1" si="979"/>
        <v>747058.56058715889</v>
      </c>
      <c r="O204" s="202">
        <f t="shared" ca="1" si="979"/>
        <v>901123.95167393039</v>
      </c>
      <c r="P204" s="202">
        <f t="shared" ca="1" si="979"/>
        <v>1056671.4848289578</v>
      </c>
      <c r="Q204" s="202">
        <f t="shared" ca="1" si="979"/>
        <v>911382.31118437124</v>
      </c>
      <c r="R204" s="202">
        <f t="shared" ca="1" si="979"/>
        <v>915818.51066842012</v>
      </c>
      <c r="S204" s="202">
        <f t="shared" ca="1" si="979"/>
        <v>1530836.3035777761</v>
      </c>
      <c r="T204" s="202">
        <f t="shared" ca="1" si="979"/>
        <v>926241.76085611596</v>
      </c>
      <c r="U204" s="202">
        <f t="shared" ca="1" si="979"/>
        <v>775874.10769408522</v>
      </c>
      <c r="V204" s="202">
        <f t="shared" ca="1" si="979"/>
        <v>933780.29648913862</v>
      </c>
      <c r="W204" s="202">
        <f t="shared" ca="1" si="979"/>
        <v>627058.11687016627</v>
      </c>
      <c r="X204" s="202">
        <f t="shared" ca="1" si="979"/>
        <v>1724091.5919251298</v>
      </c>
      <c r="Y204" s="202">
        <f t="shared" ca="1" si="979"/>
        <v>1891919.9204416291</v>
      </c>
      <c r="Z204" s="202">
        <f t="shared" ca="1" si="979"/>
        <v>1586823.9393759072</v>
      </c>
      <c r="AA204" s="202">
        <f t="shared" ca="1" si="979"/>
        <v>642431.18098295736</v>
      </c>
      <c r="AB204" s="202">
        <f t="shared" ca="1" si="979"/>
        <v>483782.47908072639</v>
      </c>
      <c r="AC204" s="202">
        <f t="shared" ca="1" si="979"/>
        <v>805054.37487952795</v>
      </c>
      <c r="AD204" s="202">
        <f t="shared" ca="1" si="979"/>
        <v>1131002.3238262907</v>
      </c>
      <c r="AE204" s="202">
        <f t="shared" ca="1" si="979"/>
        <v>1622686.4817924432</v>
      </c>
      <c r="AF204" s="202">
        <f t="shared" ca="1" si="979"/>
        <v>981816.26650748309</v>
      </c>
      <c r="AG204" s="202">
        <f t="shared" ca="1" si="979"/>
        <v>822426.55415573088</v>
      </c>
      <c r="AH204" s="202">
        <f t="shared" ca="1" si="979"/>
        <v>989807.1142784874</v>
      </c>
      <c r="AI204" s="202">
        <f t="shared" ca="1" si="979"/>
        <v>664681.60388237645</v>
      </c>
      <c r="AJ204" s="202">
        <f t="shared" ca="1" si="979"/>
        <v>1827537.0874406383</v>
      </c>
      <c r="AK204" s="202">
        <f t="shared" ca="1" si="979"/>
        <v>2005435.1156681287</v>
      </c>
      <c r="AL204" s="202">
        <f t="shared" ca="1" si="979"/>
        <v>1682033.3757384629</v>
      </c>
      <c r="AM204" s="202">
        <f t="shared" ca="1" si="979"/>
        <v>680977.05184193491</v>
      </c>
      <c r="AN204" s="202">
        <f t="shared" ca="1" si="979"/>
        <v>512809.42782557011</v>
      </c>
      <c r="AO204" s="202">
        <f t="shared" ca="1" si="979"/>
        <v>853357.63737229991</v>
      </c>
      <c r="AP204" s="202">
        <f t="shared" ca="1" si="979"/>
        <v>1198862.4632558685</v>
      </c>
      <c r="AQ204" s="202">
        <f t="shared" ca="1" si="979"/>
        <v>1720047.6706999904</v>
      </c>
      <c r="AR204" s="202">
        <f t="shared" ca="1" si="979"/>
        <v>1040725.2424979319</v>
      </c>
      <c r="AS204" s="202">
        <f t="shared" ca="1" si="979"/>
        <v>871772.14740507491</v>
      </c>
      <c r="AT204" s="202">
        <f t="shared" ca="1" si="979"/>
        <v>1049195.5411351968</v>
      </c>
      <c r="AU204" s="202">
        <f t="shared" ca="1" si="979"/>
        <v>704562.50011531904</v>
      </c>
      <c r="AV204" s="202">
        <f t="shared" ca="1" si="979"/>
        <v>1937189.3126870771</v>
      </c>
      <c r="AW204" s="202">
        <f t="shared" ca="1" si="979"/>
        <v>2125761.2226082161</v>
      </c>
      <c r="AX204" s="202">
        <f t="shared" ca="1" si="979"/>
        <v>1782955.378282771</v>
      </c>
      <c r="AY204" s="202">
        <f t="shared" ca="1" si="979"/>
        <v>721835.67495245067</v>
      </c>
      <c r="AZ204" s="202">
        <f t="shared" ca="1" si="979"/>
        <v>543577.99349510437</v>
      </c>
      <c r="BA204" s="202">
        <f t="shared" ca="1" si="979"/>
        <v>904559.09561463806</v>
      </c>
      <c r="BB204" s="202">
        <f t="shared" ca="1" si="979"/>
        <v>1270794.2110512208</v>
      </c>
      <c r="BC204" s="202"/>
      <c r="BD204" s="183">
        <f ca="1">SUM(G204:BC204)</f>
        <v>46995899.829427972</v>
      </c>
    </row>
    <row r="205" spans="1:56" s="173" customFormat="1" hidden="1" outlineLevel="1" x14ac:dyDescent="0.3">
      <c r="A205" s="181" t="str">
        <f ca="1">Language!A$643</f>
        <v>общий расход за период, с НДС</v>
      </c>
      <c r="B205" s="200"/>
      <c r="C205" s="176" t="str">
        <f t="shared" ca="1" si="972"/>
        <v>руб.</v>
      </c>
      <c r="D205" s="174">
        <f>D193</f>
        <v>1</v>
      </c>
      <c r="E205" s="170" t="s">
        <v>2318</v>
      </c>
      <c r="F205" s="170" t="s">
        <v>740</v>
      </c>
      <c r="G205" s="202">
        <f ca="1">G204+G217</f>
        <v>0</v>
      </c>
      <c r="H205" s="202">
        <f t="shared" ref="H205:M205" ca="1" si="980">H204+H217</f>
        <v>0</v>
      </c>
      <c r="I205" s="202">
        <f t="shared" ca="1" si="980"/>
        <v>0</v>
      </c>
      <c r="J205" s="202">
        <f t="shared" ca="1" si="980"/>
        <v>0</v>
      </c>
      <c r="K205" s="202">
        <f t="shared" ca="1" si="980"/>
        <v>0</v>
      </c>
      <c r="L205" s="202">
        <f t="shared" ca="1" si="980"/>
        <v>0</v>
      </c>
      <c r="M205" s="202">
        <f t="shared" ca="1" si="980"/>
        <v>889542.44418127683</v>
      </c>
      <c r="N205" s="202">
        <f t="shared" ref="N205:O205" ca="1" si="981">N204+N217</f>
        <v>747058.56058715889</v>
      </c>
      <c r="O205" s="202">
        <f t="shared" ca="1" si="981"/>
        <v>901123.95167393039</v>
      </c>
      <c r="P205" s="202">
        <f t="shared" ref="P205:Q205" ca="1" si="982">P204+P217</f>
        <v>1056671.4848289578</v>
      </c>
      <c r="Q205" s="202">
        <f t="shared" ca="1" si="982"/>
        <v>911382.31118437124</v>
      </c>
      <c r="R205" s="202">
        <f t="shared" ref="R205:S205" ca="1" si="983">R204+R217</f>
        <v>915818.51066842012</v>
      </c>
      <c r="S205" s="202">
        <f t="shared" ca="1" si="983"/>
        <v>1530836.3035777761</v>
      </c>
      <c r="T205" s="202">
        <f t="shared" ref="T205:U205" ca="1" si="984">T204+T217</f>
        <v>926241.76085611596</v>
      </c>
      <c r="U205" s="202">
        <f t="shared" ca="1" si="984"/>
        <v>775874.10769408522</v>
      </c>
      <c r="V205" s="202">
        <f t="shared" ref="V205:W205" ca="1" si="985">V204+V217</f>
        <v>933780.29648913862</v>
      </c>
      <c r="W205" s="202">
        <f t="shared" ca="1" si="985"/>
        <v>627058.11687016627</v>
      </c>
      <c r="X205" s="202">
        <f t="shared" ref="X205:Y205" ca="1" si="986">X204+X217</f>
        <v>1724091.5919251298</v>
      </c>
      <c r="Y205" s="202">
        <f t="shared" ca="1" si="986"/>
        <v>1891919.9204416291</v>
      </c>
      <c r="Z205" s="202">
        <f t="shared" ref="Z205:AA205" ca="1" si="987">Z204+Z217</f>
        <v>1586823.9393759072</v>
      </c>
      <c r="AA205" s="202">
        <f t="shared" ca="1" si="987"/>
        <v>642431.18098295736</v>
      </c>
      <c r="AB205" s="202">
        <f t="shared" ref="AB205:AC205" ca="1" si="988">AB204+AB217</f>
        <v>483782.47908072639</v>
      </c>
      <c r="AC205" s="202">
        <f t="shared" ca="1" si="988"/>
        <v>805054.37487952795</v>
      </c>
      <c r="AD205" s="202">
        <f t="shared" ref="AD205:AE205" ca="1" si="989">AD204+AD217</f>
        <v>1131002.3238262907</v>
      </c>
      <c r="AE205" s="202">
        <f t="shared" ca="1" si="989"/>
        <v>1622686.4817924432</v>
      </c>
      <c r="AF205" s="202">
        <f t="shared" ref="AF205:AG205" ca="1" si="990">AF204+AF217</f>
        <v>981816.26650748309</v>
      </c>
      <c r="AG205" s="202">
        <f t="shared" ca="1" si="990"/>
        <v>822426.55415573088</v>
      </c>
      <c r="AH205" s="202">
        <f t="shared" ref="AH205:AI205" ca="1" si="991">AH204+AH217</f>
        <v>989807.1142784874</v>
      </c>
      <c r="AI205" s="202">
        <f t="shared" ca="1" si="991"/>
        <v>664681.60388237645</v>
      </c>
      <c r="AJ205" s="202">
        <f t="shared" ref="AJ205:AK205" ca="1" si="992">AJ204+AJ217</f>
        <v>1827537.0874406383</v>
      </c>
      <c r="AK205" s="202">
        <f t="shared" ca="1" si="992"/>
        <v>2005435.1156681287</v>
      </c>
      <c r="AL205" s="202">
        <f t="shared" ref="AL205:AM205" ca="1" si="993">AL204+AL217</f>
        <v>1682033.3757384629</v>
      </c>
      <c r="AM205" s="202">
        <f t="shared" ca="1" si="993"/>
        <v>680977.05184193491</v>
      </c>
      <c r="AN205" s="202">
        <f t="shared" ref="AN205:AO205" ca="1" si="994">AN204+AN217</f>
        <v>512809.42782557011</v>
      </c>
      <c r="AO205" s="202">
        <f t="shared" ca="1" si="994"/>
        <v>853357.63737229991</v>
      </c>
      <c r="AP205" s="202">
        <f t="shared" ref="AP205:AQ205" ca="1" si="995">AP204+AP217</f>
        <v>1198862.4632558685</v>
      </c>
      <c r="AQ205" s="202">
        <f t="shared" ca="1" si="995"/>
        <v>1720047.6706999904</v>
      </c>
      <c r="AR205" s="202">
        <f t="shared" ref="AR205:AS205" ca="1" si="996">AR204+AR217</f>
        <v>1040725.2424979319</v>
      </c>
      <c r="AS205" s="202">
        <f t="shared" ca="1" si="996"/>
        <v>871772.14740507491</v>
      </c>
      <c r="AT205" s="202">
        <f t="shared" ref="AT205:AU205" ca="1" si="997">AT204+AT217</f>
        <v>1049195.5411351968</v>
      </c>
      <c r="AU205" s="202">
        <f t="shared" ca="1" si="997"/>
        <v>704562.50011531904</v>
      </c>
      <c r="AV205" s="202">
        <f t="shared" ref="AV205:AW205" ca="1" si="998">AV204+AV217</f>
        <v>1937189.3126870771</v>
      </c>
      <c r="AW205" s="202">
        <f t="shared" ca="1" si="998"/>
        <v>2125761.2226082161</v>
      </c>
      <c r="AX205" s="202">
        <f t="shared" ref="AX205:AY205" ca="1" si="999">AX204+AX217</f>
        <v>1782955.378282771</v>
      </c>
      <c r="AY205" s="202">
        <f t="shared" ca="1" si="999"/>
        <v>721835.67495245067</v>
      </c>
      <c r="AZ205" s="202">
        <f t="shared" ref="AZ205:BA205" ca="1" si="1000">AZ204+AZ217</f>
        <v>543577.99349510437</v>
      </c>
      <c r="BA205" s="202">
        <f t="shared" ca="1" si="1000"/>
        <v>904559.09561463806</v>
      </c>
      <c r="BB205" s="202">
        <f t="shared" ref="BB205" ca="1" si="1001">BB204+BB217</f>
        <v>1270794.2110512208</v>
      </c>
      <c r="BC205" s="202"/>
      <c r="BD205" s="183">
        <f ca="1">SUM(G205:BC205)</f>
        <v>46995899.829427972</v>
      </c>
    </row>
    <row r="206" spans="1:56" hidden="1" outlineLevel="1" x14ac:dyDescent="0.3">
      <c r="A206" s="184" t="str">
        <f ca="1">Language!A$645</f>
        <v>кредиторская задолженность</v>
      </c>
      <c r="B206" s="174"/>
      <c r="C206" s="163" t="str">
        <f ca="1">CHOOSE(D206,CurName1,CurName2,CurName3)</f>
        <v>руб.</v>
      </c>
      <c r="D206" s="174">
        <f>D193</f>
        <v>1</v>
      </c>
      <c r="E206" s="170" t="s">
        <v>1013</v>
      </c>
      <c r="F206" s="170" t="s">
        <v>2350</v>
      </c>
      <c r="G206" s="289">
        <f ca="1">IF(AND($B207=0,G$2&gt;1),F206,(IF(Старт!$B$9+Старт!$B$10+Старт!$B$11=0,G204,G196)+G217)*$B207/Параметры!G$30)</f>
        <v>0</v>
      </c>
      <c r="H206" s="289">
        <f ca="1">IF(AND($B207=0,H$2&gt;1),G206,(IF(Старт!$B$9+Старт!$B$10+Старт!$B$11=0,H204,H196)+H217)*$B207/Параметры!H$30)</f>
        <v>0</v>
      </c>
      <c r="I206" s="289">
        <f ca="1">IF(AND($B207=0,I$2&gt;1),H206,(IF(Старт!$B$9+Старт!$B$10+Старт!$B$11=0,I204,I196)+I217)*$B207/Параметры!I$30)</f>
        <v>0</v>
      </c>
      <c r="J206" s="289">
        <f ca="1">IF(AND($B207=0,J$2&gt;1),I206,(IF(Старт!$B$9+Старт!$B$10+Старт!$B$11=0,J204,J196)+J217)*$B207/Параметры!J$30)</f>
        <v>0</v>
      </c>
      <c r="K206" s="289">
        <f ca="1">IF(AND($B207=0,K$2&gt;1),J206,(IF(Старт!$B$9+Старт!$B$10+Старт!$B$11=0,K204,K196)+K217)*$B207/Параметры!K$30)</f>
        <v>0</v>
      </c>
      <c r="L206" s="289">
        <f ca="1">IF(AND($B207=0,L$2&gt;1),K206,(IF(Старт!$B$9+Старт!$B$10+Старт!$B$11=0,L204,L196)+L217)*$B207/Параметры!L$30)</f>
        <v>0</v>
      </c>
      <c r="M206" s="289">
        <f ca="1">IF(AND($B207=0,M$2&gt;1),L206,(IF(Старт!$B$9+Старт!$B$10+Старт!$B$11=0,M204,M196)+M217)*$B207/Параметры!M$30)</f>
        <v>296514.14806042559</v>
      </c>
      <c r="N206" s="289">
        <f ca="1">IF(AND($B207=0,N$2&gt;1),M206,(IF(Старт!$B$9+Старт!$B$10+Старт!$B$11=0,N204,N196)+N217)*$B207/Параметры!N$30)</f>
        <v>249019.52019571964</v>
      </c>
      <c r="O206" s="289">
        <f ca="1">IF(AND($B207=0,O$2&gt;1),N206,(IF(Старт!$B$9+Старт!$B$10+Старт!$B$11=0,O204,O196)+O217)*$B207/Параметры!O$30)</f>
        <v>300374.6505579768</v>
      </c>
      <c r="P206" s="289">
        <f ca="1">IF(AND($B207=0,P$2&gt;1),O206,(IF(Старт!$B$9+Старт!$B$10+Старт!$B$11=0,P204,P196)+P217)*$B207/Параметры!P$30)</f>
        <v>352223.82827631931</v>
      </c>
      <c r="Q206" s="289">
        <f ca="1">IF(AND($B207=0,Q$2&gt;1),P206,(IF(Старт!$B$9+Старт!$B$10+Старт!$B$11=0,Q204,Q196)+Q217)*$B207/Параметры!Q$30)</f>
        <v>303794.10372812377</v>
      </c>
      <c r="R206" s="289">
        <f ca="1">IF(AND($B207=0,R$2&gt;1),Q206,(IF(Старт!$B$9+Старт!$B$10+Старт!$B$11=0,R204,R196)+R217)*$B207/Параметры!R$30)</f>
        <v>305272.83688947337</v>
      </c>
      <c r="S206" s="289">
        <f ca="1">IF(AND($B207=0,S$2&gt;1),R206,(IF(Старт!$B$9+Старт!$B$10+Старт!$B$11=0,S204,S196)+S217)*$B207/Параметры!S$30)</f>
        <v>510278.76785925869</v>
      </c>
      <c r="T206" s="289">
        <f ca="1">IF(AND($B207=0,T$2&gt;1),S206,(IF(Старт!$B$9+Старт!$B$10+Старт!$B$11=0,T204,T196)+T217)*$B207/Параметры!T$30)</f>
        <v>308747.25361870532</v>
      </c>
      <c r="U206" s="289">
        <f ca="1">IF(AND($B207=0,U$2&gt;1),T206,(IF(Старт!$B$9+Старт!$B$10+Старт!$B$11=0,U204,U196)+U217)*$B207/Параметры!U$30)</f>
        <v>258624.70256469506</v>
      </c>
      <c r="V206" s="289">
        <f ca="1">IF(AND($B207=0,V$2&gt;1),U206,(IF(Старт!$B$9+Старт!$B$10+Старт!$B$11=0,V204,V196)+V217)*$B207/Параметры!V$30)</f>
        <v>311260.09882971284</v>
      </c>
      <c r="W206" s="289">
        <f ca="1">IF(AND($B207=0,W$2&gt;1),V206,(IF(Старт!$B$9+Старт!$B$10+Старт!$B$11=0,W204,W196)+W217)*$B207/Параметры!W$30)</f>
        <v>209019.37229005541</v>
      </c>
      <c r="X206" s="289">
        <f ca="1">IF(AND($B207=0,X$2&gt;1),W206,(IF(Старт!$B$9+Старт!$B$10+Старт!$B$11=0,X204,X196)+X217)*$B207/Параметры!X$30)</f>
        <v>574697.19730837655</v>
      </c>
      <c r="Y206" s="289">
        <f ca="1">IF(AND($B207=0,Y$2&gt;1),X206,(IF(Старт!$B$9+Старт!$B$10+Старт!$B$11=0,Y204,Y196)+Y217)*$B207/Параметры!Y$30)</f>
        <v>630639.97348054301</v>
      </c>
      <c r="Z206" s="289">
        <f ca="1">IF(AND($B207=0,Z$2&gt;1),Y206,(IF(Старт!$B$9+Старт!$B$10+Старт!$B$11=0,Z204,Z196)+Z217)*$B207/Параметры!Z$30)</f>
        <v>528941.31312530243</v>
      </c>
      <c r="AA206" s="289">
        <f ca="1">IF(AND($B207=0,AA$2&gt;1),Z206,(IF(Старт!$B$9+Старт!$B$10+Старт!$B$11=0,AA204,AA196)+AA217)*$B207/Параметры!AA$30)</f>
        <v>214143.72699431915</v>
      </c>
      <c r="AB206" s="289">
        <f ca="1">IF(AND($B207=0,AB$2&gt;1),AA206,(IF(Старт!$B$9+Старт!$B$10+Старт!$B$11=0,AB204,AB196)+AB217)*$B207/Параметры!AB$30)</f>
        <v>161260.82636024212</v>
      </c>
      <c r="AC206" s="289">
        <f ca="1">IF(AND($B207=0,AC$2&gt;1),AB206,(IF(Старт!$B$9+Старт!$B$10+Старт!$B$11=0,AC204,AC196)+AC217)*$B207/Параметры!AC$30)</f>
        <v>268351.45829317597</v>
      </c>
      <c r="AD206" s="289">
        <f ca="1">IF(AND($B207=0,AD$2&gt;1),AC206,(IF(Старт!$B$9+Старт!$B$10+Старт!$B$11=0,AD204,AD196)+AD217)*$B207/Параметры!AD$30)</f>
        <v>377000.77460876358</v>
      </c>
      <c r="AE206" s="289">
        <f ca="1">IF(AND($B207=0,AE$2&gt;1),AD206,(IF(Старт!$B$9+Старт!$B$10+Старт!$B$11=0,AE204,AE196)+AE217)*$B207/Параметры!AE$30)</f>
        <v>540895.49393081444</v>
      </c>
      <c r="AF206" s="289">
        <f ca="1">IF(AND($B207=0,AF$2&gt;1),AE206,(IF(Старт!$B$9+Старт!$B$10+Старт!$B$11=0,AF204,AF196)+AF217)*$B207/Параметры!AF$30)</f>
        <v>327272.08883582772</v>
      </c>
      <c r="AG206" s="289">
        <f ca="1">IF(AND($B207=0,AG$2&gt;1),AF206,(IF(Старт!$B$9+Старт!$B$10+Старт!$B$11=0,AG204,AG196)+AG217)*$B207/Параметры!AG$30)</f>
        <v>274142.18471857696</v>
      </c>
      <c r="AH206" s="289">
        <f ca="1">IF(AND($B207=0,AH$2&gt;1),AG206,(IF(Старт!$B$9+Старт!$B$10+Старт!$B$11=0,AH204,AH196)+AH217)*$B207/Параметры!AH$30)</f>
        <v>329935.70475949586</v>
      </c>
      <c r="AI206" s="289">
        <f ca="1">IF(AND($B207=0,AI$2&gt;1),AH206,(IF(Старт!$B$9+Старт!$B$10+Старт!$B$11=0,AI204,AI196)+AI217)*$B207/Параметры!AI$30)</f>
        <v>221560.53462745884</v>
      </c>
      <c r="AJ206" s="289">
        <f ca="1">IF(AND($B207=0,AJ$2&gt;1),AI206,(IF(Старт!$B$9+Старт!$B$10+Старт!$B$11=0,AJ204,AJ196)+AJ217)*$B207/Параметры!AJ$30)</f>
        <v>609179.02914687945</v>
      </c>
      <c r="AK206" s="289">
        <f ca="1">IF(AND($B207=0,AK$2&gt;1),AJ206,(IF(Старт!$B$9+Старт!$B$10+Старт!$B$11=0,AK204,AK196)+AK217)*$B207/Параметры!AK$30)</f>
        <v>668478.37188937631</v>
      </c>
      <c r="AL206" s="289">
        <f ca="1">IF(AND($B207=0,AL$2&gt;1),AK206,(IF(Старт!$B$9+Старт!$B$10+Старт!$B$11=0,AL204,AL196)+AL217)*$B207/Параметры!AL$30)</f>
        <v>560677.79191282089</v>
      </c>
      <c r="AM206" s="289">
        <f ca="1">IF(AND($B207=0,AM$2&gt;1),AL206,(IF(Старт!$B$9+Старт!$B$10+Старт!$B$11=0,AM204,AM196)+AM217)*$B207/Параметры!AM$30)</f>
        <v>226992.35061397831</v>
      </c>
      <c r="AN206" s="289">
        <f ca="1">IF(AND($B207=0,AN$2&gt;1),AM206,(IF(Старт!$B$9+Старт!$B$10+Старт!$B$11=0,AN204,AN196)+AN217)*$B207/Параметры!AN$30)</f>
        <v>170936.47594185671</v>
      </c>
      <c r="AO206" s="289">
        <f ca="1">IF(AND($B207=0,AO$2&gt;1),AN206,(IF(Старт!$B$9+Старт!$B$10+Старт!$B$11=0,AO204,AO196)+AO217)*$B207/Параметры!AO$30)</f>
        <v>284452.5457907666</v>
      </c>
      <c r="AP206" s="289">
        <f ca="1">IF(AND($B207=0,AP$2&gt;1),AO206,(IF(Старт!$B$9+Старт!$B$10+Старт!$B$11=0,AP204,AP196)+AP217)*$B207/Параметры!AP$30)</f>
        <v>399620.82108528947</v>
      </c>
      <c r="AQ206" s="289">
        <f ca="1">IF(AND($B207=0,AQ$2&gt;1),AP206,(IF(Старт!$B$9+Старт!$B$10+Старт!$B$11=0,AQ204,AQ196)+AQ217)*$B207/Параметры!AQ$30)</f>
        <v>573349.22356666357</v>
      </c>
      <c r="AR206" s="289">
        <f ca="1">IF(AND($B207=0,AR$2&gt;1),AQ206,(IF(Старт!$B$9+Старт!$B$10+Старт!$B$11=0,AR204,AR196)+AR217)*$B207/Параметры!AR$30)</f>
        <v>346908.41416597733</v>
      </c>
      <c r="AS206" s="289">
        <f ca="1">IF(AND($B207=0,AS$2&gt;1),AR206,(IF(Старт!$B$9+Старт!$B$10+Старт!$B$11=0,AS204,AS196)+AS217)*$B207/Параметры!AS$30)</f>
        <v>290590.71580169164</v>
      </c>
      <c r="AT206" s="289">
        <f ca="1">IF(AND($B207=0,AT$2&gt;1),AS206,(IF(Старт!$B$9+Старт!$B$10+Старт!$B$11=0,AT204,AT196)+AT217)*$B207/Параметры!AT$30)</f>
        <v>349731.8470450656</v>
      </c>
      <c r="AU206" s="289">
        <f ca="1">IF(AND($B207=0,AU$2&gt;1),AT206,(IF(Старт!$B$9+Старт!$B$10+Старт!$B$11=0,AU204,AU196)+AU217)*$B207/Параметры!AU$30)</f>
        <v>234854.16670510636</v>
      </c>
      <c r="AV206" s="289">
        <f ca="1">IF(AND($B207=0,AV$2&gt;1),AU206,(IF(Старт!$B$9+Старт!$B$10+Старт!$B$11=0,AV204,AV196)+AV217)*$B207/Параметры!AV$30)</f>
        <v>645729.77089569229</v>
      </c>
      <c r="AW206" s="289">
        <f ca="1">IF(AND($B207=0,AW$2&gt;1),AV206,(IF(Старт!$B$9+Старт!$B$10+Старт!$B$11=0,AW204,AW196)+AW217)*$B207/Параметры!AW$30)</f>
        <v>708587.0742027387</v>
      </c>
      <c r="AX206" s="289">
        <f ca="1">IF(AND($B207=0,AX$2&gt;1),AW206,(IF(Старт!$B$9+Старт!$B$10+Старт!$B$11=0,AX204,AX196)+AX217)*$B207/Параметры!AX$30)</f>
        <v>594318.45942759025</v>
      </c>
      <c r="AY206" s="289">
        <f ca="1">IF(AND($B207=0,AY$2&gt;1),AX206,(IF(Старт!$B$9+Старт!$B$10+Старт!$B$11=0,AY204,AY196)+AY217)*$B207/Параметры!AY$30)</f>
        <v>240611.89165081689</v>
      </c>
      <c r="AZ206" s="289">
        <f ca="1">IF(AND($B207=0,AZ$2&gt;1),AY206,(IF(Старт!$B$9+Старт!$B$10+Старт!$B$11=0,AZ204,AZ196)+AZ217)*$B207/Параметры!AZ$30)</f>
        <v>181192.66449836813</v>
      </c>
      <c r="BA206" s="289">
        <f ca="1">IF(AND($B207=0,BA$2&gt;1),AZ206,(IF(Старт!$B$9+Старт!$B$10+Старт!$B$11=0,BA204,BA196)+BA217)*$B207/Параметры!BA$30)</f>
        <v>301519.69853821269</v>
      </c>
      <c r="BB206" s="289">
        <f ca="1">IF(AND($B207=0,BB$2&gt;1),BA206,(IF(Старт!$B$9+Старт!$B$10+Старт!$B$11=0,BB204,BB196)+BB217)*$B207/Параметры!BB$30)</f>
        <v>423598.07035040692</v>
      </c>
      <c r="BC206" s="188"/>
      <c r="BD206" s="186"/>
    </row>
    <row r="207" spans="1:56" s="170" customFormat="1" hidden="1" outlineLevel="1" x14ac:dyDescent="0.3">
      <c r="A207" s="187" t="str">
        <f ca="1">Language!A$646</f>
        <v>период отсрочки платежа</v>
      </c>
      <c r="B207" s="288">
        <f>$B$603</f>
        <v>10</v>
      </c>
      <c r="C207" s="163" t="str">
        <f ca="1">Language!$A$1474</f>
        <v>дней</v>
      </c>
      <c r="F207" s="170" t="s">
        <v>2347</v>
      </c>
      <c r="G207" s="185"/>
      <c r="H207" s="185"/>
      <c r="I207" s="185"/>
      <c r="J207" s="185"/>
      <c r="K207" s="185"/>
      <c r="L207" s="185"/>
      <c r="M207" s="185"/>
      <c r="N207" s="185"/>
      <c r="O207" s="185"/>
      <c r="P207" s="185"/>
      <c r="Q207" s="185"/>
      <c r="R207" s="185"/>
      <c r="S207" s="185"/>
      <c r="T207" s="185"/>
      <c r="U207" s="185"/>
      <c r="V207" s="185"/>
      <c r="W207" s="185"/>
      <c r="X207" s="185"/>
      <c r="Y207" s="185"/>
      <c r="Z207" s="185"/>
      <c r="AA207" s="185"/>
      <c r="AB207" s="185"/>
      <c r="AC207" s="185"/>
      <c r="AD207" s="185"/>
      <c r="AE207" s="185"/>
      <c r="AF207" s="185"/>
      <c r="AG207" s="185"/>
      <c r="AH207" s="185"/>
      <c r="AI207" s="185"/>
      <c r="AJ207" s="185"/>
      <c r="AK207" s="185"/>
      <c r="AL207" s="185"/>
      <c r="AM207" s="185"/>
      <c r="AN207" s="185"/>
      <c r="AO207" s="185"/>
      <c r="AP207" s="185"/>
      <c r="AQ207" s="185"/>
      <c r="AR207" s="185"/>
      <c r="AS207" s="185"/>
      <c r="AT207" s="185"/>
      <c r="AU207" s="185"/>
      <c r="AV207" s="185"/>
      <c r="AW207" s="185"/>
      <c r="AX207" s="185"/>
      <c r="AY207" s="185"/>
      <c r="AZ207" s="185"/>
      <c r="BA207" s="185"/>
      <c r="BB207" s="185"/>
      <c r="BC207" s="185"/>
      <c r="BD207" s="186"/>
    </row>
    <row r="208" spans="1:56" hidden="1" outlineLevel="1" x14ac:dyDescent="0.3">
      <c r="A208" s="184" t="str">
        <f ca="1">Language!A$647</f>
        <v>авансы уплаченные</v>
      </c>
      <c r="B208" s="174"/>
      <c r="C208" s="163" t="str">
        <f ca="1">CHOOSE(D208,CurName1,CurName2,CurName3)</f>
        <v>руб.</v>
      </c>
      <c r="D208" s="174">
        <f>D193</f>
        <v>1</v>
      </c>
      <c r="E208" s="170" t="s">
        <v>995</v>
      </c>
      <c r="F208" s="170" t="s">
        <v>2350</v>
      </c>
      <c r="G208" s="289">
        <f ca="1">IF(OR(AND($B209=0,G$2&gt;1),G$2=Prj_Len),F208,(IF(Старт!$B$9+Старт!$B$10+Старт!$B$11=0,OFFSET(G204,0,1),OFFSET(G196,0,1))+OFFSET(G217,0,1))*$B209/Параметры!G$30)</f>
        <v>0</v>
      </c>
      <c r="H208" s="289">
        <f ca="1">IF(OR(AND($B209=0,H$2&gt;1),H$2=Prj_Len),G208,(IF(Старт!$B$9+Старт!$B$10+Старт!$B$11=0,OFFSET(H204,0,1),OFFSET(H196,0,1))+OFFSET(H217,0,1))*$B209/Параметры!H$30)</f>
        <v>0</v>
      </c>
      <c r="I208" s="289">
        <f ca="1">IF(OR(AND($B209=0,I$2&gt;1),I$2=Prj_Len),H208,(IF(Старт!$B$9+Старт!$B$10+Старт!$B$11=0,OFFSET(I204,0,1),OFFSET(I196,0,1))+OFFSET(I217,0,1))*$B209/Параметры!I$30)</f>
        <v>0</v>
      </c>
      <c r="J208" s="289">
        <f ca="1">IF(OR(AND($B209=0,J$2&gt;1),J$2=Prj_Len),I208,(IF(Старт!$B$9+Старт!$B$10+Старт!$B$11=0,OFFSET(J204,0,1),OFFSET(J196,0,1))+OFFSET(J217,0,1))*$B209/Параметры!J$30)</f>
        <v>0</v>
      </c>
      <c r="K208" s="289">
        <f ca="1">IF(OR(AND($B209=0,K$2&gt;1),K$2=Prj_Len),J208,(IF(Старт!$B$9+Старт!$B$10+Старт!$B$11=0,OFFSET(K204,0,1),OFFSET(K196,0,1))+OFFSET(K217,0,1))*$B209/Параметры!K$30)</f>
        <v>0</v>
      </c>
      <c r="L208" s="289">
        <f ca="1">IF(OR(AND($B209=0,L$2&gt;1),L$2=Prj_Len),K208,(IF(Старт!$B$9+Старт!$B$10+Старт!$B$11=0,OFFSET(L204,0,1),OFFSET(L196,0,1))+OFFSET(L217,0,1))*$B209/Параметры!L$30)</f>
        <v>296514.14806042559</v>
      </c>
      <c r="M208" s="289">
        <f ca="1">IF(OR(AND($B209=0,M$2&gt;1),M$2=Prj_Len),L208,(IF(Старт!$B$9+Старт!$B$10+Старт!$B$11=0,OFFSET(M204,0,1),OFFSET(M196,0,1))+OFFSET(M217,0,1))*$B209/Параметры!M$30)</f>
        <v>249019.52019571964</v>
      </c>
      <c r="N208" s="289">
        <f ca="1">IF(OR(AND($B209=0,N$2&gt;1),N$2=Prj_Len),M208,(IF(Старт!$B$9+Старт!$B$10+Старт!$B$11=0,OFFSET(N204,0,1),OFFSET(N196,0,1))+OFFSET(N217,0,1))*$B209/Параметры!N$30)</f>
        <v>300374.6505579768</v>
      </c>
      <c r="O208" s="289">
        <f ca="1">IF(OR(AND($B209=0,O$2&gt;1),O$2=Prj_Len),N208,(IF(Старт!$B$9+Старт!$B$10+Старт!$B$11=0,OFFSET(O204,0,1),OFFSET(O196,0,1))+OFFSET(O217,0,1))*$B209/Параметры!O$30)</f>
        <v>352223.82827631931</v>
      </c>
      <c r="P208" s="289">
        <f ca="1">IF(OR(AND($B209=0,P$2&gt;1),P$2=Prj_Len),O208,(IF(Старт!$B$9+Старт!$B$10+Старт!$B$11=0,OFFSET(P204,0,1),OFFSET(P196,0,1))+OFFSET(P217,0,1))*$B209/Параметры!P$30)</f>
        <v>303794.10372812377</v>
      </c>
      <c r="Q208" s="289">
        <f ca="1">IF(OR(AND($B209=0,Q$2&gt;1),Q$2=Prj_Len),P208,(IF(Старт!$B$9+Старт!$B$10+Старт!$B$11=0,OFFSET(Q204,0,1),OFFSET(Q196,0,1))+OFFSET(Q217,0,1))*$B209/Параметры!Q$30)</f>
        <v>305272.83688947337</v>
      </c>
      <c r="R208" s="289">
        <f ca="1">IF(OR(AND($B209=0,R$2&gt;1),R$2=Prj_Len),Q208,(IF(Старт!$B$9+Старт!$B$10+Старт!$B$11=0,OFFSET(R204,0,1),OFFSET(R196,0,1))+OFFSET(R217,0,1))*$B209/Параметры!R$30)</f>
        <v>510278.76785925869</v>
      </c>
      <c r="S208" s="289">
        <f ca="1">IF(OR(AND($B209=0,S$2&gt;1),S$2=Prj_Len),R208,(IF(Старт!$B$9+Старт!$B$10+Старт!$B$11=0,OFFSET(S204,0,1),OFFSET(S196,0,1))+OFFSET(S217,0,1))*$B209/Параметры!S$30)</f>
        <v>308747.25361870532</v>
      </c>
      <c r="T208" s="289">
        <f ca="1">IF(OR(AND($B209=0,T$2&gt;1),T$2=Prj_Len),S208,(IF(Старт!$B$9+Старт!$B$10+Старт!$B$11=0,OFFSET(T204,0,1),OFFSET(T196,0,1))+OFFSET(T217,0,1))*$B209/Параметры!T$30)</f>
        <v>258624.70256469506</v>
      </c>
      <c r="U208" s="289">
        <f ca="1">IF(OR(AND($B209=0,U$2&gt;1),U$2=Prj_Len),T208,(IF(Старт!$B$9+Старт!$B$10+Старт!$B$11=0,OFFSET(U204,0,1),OFFSET(U196,0,1))+OFFSET(U217,0,1))*$B209/Параметры!U$30)</f>
        <v>311260.09882971284</v>
      </c>
      <c r="V208" s="289">
        <f ca="1">IF(OR(AND($B209=0,V$2&gt;1),V$2=Prj_Len),U208,(IF(Старт!$B$9+Старт!$B$10+Старт!$B$11=0,OFFSET(V204,0,1),OFFSET(V196,0,1))+OFFSET(V217,0,1))*$B209/Параметры!V$30)</f>
        <v>209019.37229005541</v>
      </c>
      <c r="W208" s="289">
        <f ca="1">IF(OR(AND($B209=0,W$2&gt;1),W$2=Prj_Len),V208,(IF(Старт!$B$9+Старт!$B$10+Старт!$B$11=0,OFFSET(W204,0,1),OFFSET(W196,0,1))+OFFSET(W217,0,1))*$B209/Параметры!W$30)</f>
        <v>574697.19730837655</v>
      </c>
      <c r="X208" s="289">
        <f ca="1">IF(OR(AND($B209=0,X$2&gt;1),X$2=Prj_Len),W208,(IF(Старт!$B$9+Старт!$B$10+Старт!$B$11=0,OFFSET(X204,0,1),OFFSET(X196,0,1))+OFFSET(X217,0,1))*$B209/Параметры!X$30)</f>
        <v>630639.97348054301</v>
      </c>
      <c r="Y208" s="289">
        <f ca="1">IF(OR(AND($B209=0,Y$2&gt;1),Y$2=Prj_Len),X208,(IF(Старт!$B$9+Старт!$B$10+Старт!$B$11=0,OFFSET(Y204,0,1),OFFSET(Y196,0,1))+OFFSET(Y217,0,1))*$B209/Параметры!Y$30)</f>
        <v>528941.31312530243</v>
      </c>
      <c r="Z208" s="289">
        <f ca="1">IF(OR(AND($B209=0,Z$2&gt;1),Z$2=Prj_Len),Y208,(IF(Старт!$B$9+Старт!$B$10+Старт!$B$11=0,OFFSET(Z204,0,1),OFFSET(Z196,0,1))+OFFSET(Z217,0,1))*$B209/Параметры!Z$30)</f>
        <v>214143.72699431915</v>
      </c>
      <c r="AA208" s="289">
        <f ca="1">IF(OR(AND($B209=0,AA$2&gt;1),AA$2=Prj_Len),Z208,(IF(Старт!$B$9+Старт!$B$10+Старт!$B$11=0,OFFSET(AA204,0,1),OFFSET(AA196,0,1))+OFFSET(AA217,0,1))*$B209/Параметры!AA$30)</f>
        <v>161260.82636024212</v>
      </c>
      <c r="AB208" s="289">
        <f ca="1">IF(OR(AND($B209=0,AB$2&gt;1),AB$2=Prj_Len),AA208,(IF(Старт!$B$9+Старт!$B$10+Старт!$B$11=0,OFFSET(AB204,0,1),OFFSET(AB196,0,1))+OFFSET(AB217,0,1))*$B209/Параметры!AB$30)</f>
        <v>268351.45829317597</v>
      </c>
      <c r="AC208" s="289">
        <f ca="1">IF(OR(AND($B209=0,AC$2&gt;1),AC$2=Prj_Len),AB208,(IF(Старт!$B$9+Старт!$B$10+Старт!$B$11=0,OFFSET(AC204,0,1),OFFSET(AC196,0,1))+OFFSET(AC217,0,1))*$B209/Параметры!AC$30)</f>
        <v>377000.77460876358</v>
      </c>
      <c r="AD208" s="289">
        <f ca="1">IF(OR(AND($B209=0,AD$2&gt;1),AD$2=Prj_Len),AC208,(IF(Старт!$B$9+Старт!$B$10+Старт!$B$11=0,OFFSET(AD204,0,1),OFFSET(AD196,0,1))+OFFSET(AD217,0,1))*$B209/Параметры!AD$30)</f>
        <v>540895.49393081444</v>
      </c>
      <c r="AE208" s="289">
        <f ca="1">IF(OR(AND($B209=0,AE$2&gt;1),AE$2=Prj_Len),AD208,(IF(Старт!$B$9+Старт!$B$10+Старт!$B$11=0,OFFSET(AE204,0,1),OFFSET(AE196,0,1))+OFFSET(AE217,0,1))*$B209/Параметры!AE$30)</f>
        <v>327272.08883582772</v>
      </c>
      <c r="AF208" s="289">
        <f ca="1">IF(OR(AND($B209=0,AF$2&gt;1),AF$2=Prj_Len),AE208,(IF(Старт!$B$9+Старт!$B$10+Старт!$B$11=0,OFFSET(AF204,0,1),OFFSET(AF196,0,1))+OFFSET(AF217,0,1))*$B209/Параметры!AF$30)</f>
        <v>274142.18471857696</v>
      </c>
      <c r="AG208" s="289">
        <f ca="1">IF(OR(AND($B209=0,AG$2&gt;1),AG$2=Prj_Len),AF208,(IF(Старт!$B$9+Старт!$B$10+Старт!$B$11=0,OFFSET(AG204,0,1),OFFSET(AG196,0,1))+OFFSET(AG217,0,1))*$B209/Параметры!AG$30)</f>
        <v>329935.70475949586</v>
      </c>
      <c r="AH208" s="289">
        <f ca="1">IF(OR(AND($B209=0,AH$2&gt;1),AH$2=Prj_Len),AG208,(IF(Старт!$B$9+Старт!$B$10+Старт!$B$11=0,OFFSET(AH204,0,1),OFFSET(AH196,0,1))+OFFSET(AH217,0,1))*$B209/Параметры!AH$30)</f>
        <v>221560.53462745884</v>
      </c>
      <c r="AI208" s="289">
        <f ca="1">IF(OR(AND($B209=0,AI$2&gt;1),AI$2=Prj_Len),AH208,(IF(Старт!$B$9+Старт!$B$10+Старт!$B$11=0,OFFSET(AI204,0,1),OFFSET(AI196,0,1))+OFFSET(AI217,0,1))*$B209/Параметры!AI$30)</f>
        <v>609179.02914687945</v>
      </c>
      <c r="AJ208" s="289">
        <f ca="1">IF(OR(AND($B209=0,AJ$2&gt;1),AJ$2=Prj_Len),AI208,(IF(Старт!$B$9+Старт!$B$10+Старт!$B$11=0,OFFSET(AJ204,0,1),OFFSET(AJ196,0,1))+OFFSET(AJ217,0,1))*$B209/Параметры!AJ$30)</f>
        <v>668478.37188937631</v>
      </c>
      <c r="AK208" s="289">
        <f ca="1">IF(OR(AND($B209=0,AK$2&gt;1),AK$2=Prj_Len),AJ208,(IF(Старт!$B$9+Старт!$B$10+Старт!$B$11=0,OFFSET(AK204,0,1),OFFSET(AK196,0,1))+OFFSET(AK217,0,1))*$B209/Параметры!AK$30)</f>
        <v>560677.79191282089</v>
      </c>
      <c r="AL208" s="289">
        <f ca="1">IF(OR(AND($B209=0,AL$2&gt;1),AL$2=Prj_Len),AK208,(IF(Старт!$B$9+Старт!$B$10+Старт!$B$11=0,OFFSET(AL204,0,1),OFFSET(AL196,0,1))+OFFSET(AL217,0,1))*$B209/Параметры!AL$30)</f>
        <v>226992.35061397831</v>
      </c>
      <c r="AM208" s="289">
        <f ca="1">IF(OR(AND($B209=0,AM$2&gt;1),AM$2=Prj_Len),AL208,(IF(Старт!$B$9+Старт!$B$10+Старт!$B$11=0,OFFSET(AM204,0,1),OFFSET(AM196,0,1))+OFFSET(AM217,0,1))*$B209/Параметры!AM$30)</f>
        <v>170936.47594185671</v>
      </c>
      <c r="AN208" s="289">
        <f ca="1">IF(OR(AND($B209=0,AN$2&gt;1),AN$2=Prj_Len),AM208,(IF(Старт!$B$9+Старт!$B$10+Старт!$B$11=0,OFFSET(AN204,0,1),OFFSET(AN196,0,1))+OFFSET(AN217,0,1))*$B209/Параметры!AN$30)</f>
        <v>284452.5457907666</v>
      </c>
      <c r="AO208" s="289">
        <f ca="1">IF(OR(AND($B209=0,AO$2&gt;1),AO$2=Prj_Len),AN208,(IF(Старт!$B$9+Старт!$B$10+Старт!$B$11=0,OFFSET(AO204,0,1),OFFSET(AO196,0,1))+OFFSET(AO217,0,1))*$B209/Параметры!AO$30)</f>
        <v>399620.82108528947</v>
      </c>
      <c r="AP208" s="289">
        <f ca="1">IF(OR(AND($B209=0,AP$2&gt;1),AP$2=Prj_Len),AO208,(IF(Старт!$B$9+Старт!$B$10+Старт!$B$11=0,OFFSET(AP204,0,1),OFFSET(AP196,0,1))+OFFSET(AP217,0,1))*$B209/Параметры!AP$30)</f>
        <v>573349.22356666357</v>
      </c>
      <c r="AQ208" s="289">
        <f ca="1">IF(OR(AND($B209=0,AQ$2&gt;1),AQ$2=Prj_Len),AP208,(IF(Старт!$B$9+Старт!$B$10+Старт!$B$11=0,OFFSET(AQ204,0,1),OFFSET(AQ196,0,1))+OFFSET(AQ217,0,1))*$B209/Параметры!AQ$30)</f>
        <v>346908.41416597733</v>
      </c>
      <c r="AR208" s="289">
        <f ca="1">IF(OR(AND($B209=0,AR$2&gt;1),AR$2=Prj_Len),AQ208,(IF(Старт!$B$9+Старт!$B$10+Старт!$B$11=0,OFFSET(AR204,0,1),OFFSET(AR196,0,1))+OFFSET(AR217,0,1))*$B209/Параметры!AR$30)</f>
        <v>290590.71580169164</v>
      </c>
      <c r="AS208" s="289">
        <f ca="1">IF(OR(AND($B209=0,AS$2&gt;1),AS$2=Prj_Len),AR208,(IF(Старт!$B$9+Старт!$B$10+Старт!$B$11=0,OFFSET(AS204,0,1),OFFSET(AS196,0,1))+OFFSET(AS217,0,1))*$B209/Параметры!AS$30)</f>
        <v>349731.8470450656</v>
      </c>
      <c r="AT208" s="289">
        <f ca="1">IF(OR(AND($B209=0,AT$2&gt;1),AT$2=Prj_Len),AS208,(IF(Старт!$B$9+Старт!$B$10+Старт!$B$11=0,OFFSET(AT204,0,1),OFFSET(AT196,0,1))+OFFSET(AT217,0,1))*$B209/Параметры!AT$30)</f>
        <v>234854.16670510636</v>
      </c>
      <c r="AU208" s="289">
        <f ca="1">IF(OR(AND($B209=0,AU$2&gt;1),AU$2=Prj_Len),AT208,(IF(Старт!$B$9+Старт!$B$10+Старт!$B$11=0,OFFSET(AU204,0,1),OFFSET(AU196,0,1))+OFFSET(AU217,0,1))*$B209/Параметры!AU$30)</f>
        <v>645729.77089569229</v>
      </c>
      <c r="AV208" s="289">
        <f ca="1">IF(OR(AND($B209=0,AV$2&gt;1),AV$2=Prj_Len),AU208,(IF(Старт!$B$9+Старт!$B$10+Старт!$B$11=0,OFFSET(AV204,0,1),OFFSET(AV196,0,1))+OFFSET(AV217,0,1))*$B209/Параметры!AV$30)</f>
        <v>708587.0742027387</v>
      </c>
      <c r="AW208" s="289">
        <f ca="1">IF(OR(AND($B209=0,AW$2&gt;1),AW$2=Prj_Len),AV208,(IF(Старт!$B$9+Старт!$B$10+Старт!$B$11=0,OFFSET(AW204,0,1),OFFSET(AW196,0,1))+OFFSET(AW217,0,1))*$B209/Параметры!AW$30)</f>
        <v>594318.45942759025</v>
      </c>
      <c r="AX208" s="289">
        <f ca="1">IF(OR(AND($B209=0,AX$2&gt;1),AX$2=Prj_Len),AW208,(IF(Старт!$B$9+Старт!$B$10+Старт!$B$11=0,OFFSET(AX204,0,1),OFFSET(AX196,0,1))+OFFSET(AX217,0,1))*$B209/Параметры!AX$30)</f>
        <v>240611.89165081689</v>
      </c>
      <c r="AY208" s="289">
        <f ca="1">IF(OR(AND($B209=0,AY$2&gt;1),AY$2=Prj_Len),AX208,(IF(Старт!$B$9+Старт!$B$10+Старт!$B$11=0,OFFSET(AY204,0,1),OFFSET(AY196,0,1))+OFFSET(AY217,0,1))*$B209/Параметры!AY$30)</f>
        <v>181192.66449836813</v>
      </c>
      <c r="AZ208" s="289">
        <f ca="1">IF(OR(AND($B209=0,AZ$2&gt;1),AZ$2=Prj_Len),AY208,(IF(Старт!$B$9+Старт!$B$10+Старт!$B$11=0,OFFSET(AZ204,0,1),OFFSET(AZ196,0,1))+OFFSET(AZ217,0,1))*$B209/Параметры!AZ$30)</f>
        <v>301519.69853821269</v>
      </c>
      <c r="BA208" s="289">
        <f ca="1">IF(OR(AND($B209=0,BA$2&gt;1),BA$2=Prj_Len),AZ208,(IF(Старт!$B$9+Старт!$B$10+Старт!$B$11=0,OFFSET(BA204,0,1),OFFSET(BA196,0,1))+OFFSET(BA217,0,1))*$B209/Параметры!BA$30)</f>
        <v>423598.07035040692</v>
      </c>
      <c r="BB208" s="289">
        <f ca="1">IF(OR(AND($B209=0,BB$2&gt;1),BB$2=Prj_Len),BA208,(IF(Старт!$B$9+Старт!$B$10+Старт!$B$11=0,OFFSET(BB204,0,1),OFFSET(BB196,0,1))+OFFSET(BB217,0,1))*$B209/Параметры!BB$30)</f>
        <v>423598.07035040692</v>
      </c>
      <c r="BC208" s="188"/>
      <c r="BD208" s="186"/>
    </row>
    <row r="209" spans="1:811" s="170" customFormat="1" hidden="1" outlineLevel="1" x14ac:dyDescent="0.3">
      <c r="A209" s="187" t="str">
        <f ca="1">Language!A$648</f>
        <v>период предоплаты</v>
      </c>
      <c r="B209" s="288">
        <f>$B$610</f>
        <v>10</v>
      </c>
      <c r="C209" s="163" t="str">
        <f ca="1">Language!$A$1474</f>
        <v>дней</v>
      </c>
      <c r="F209" s="170" t="s">
        <v>2347</v>
      </c>
      <c r="G209" s="185"/>
      <c r="H209" s="185"/>
      <c r="I209" s="185"/>
      <c r="J209" s="185"/>
      <c r="K209" s="185"/>
      <c r="L209" s="185"/>
      <c r="M209" s="185"/>
      <c r="N209" s="185"/>
      <c r="O209" s="185"/>
      <c r="P209" s="185"/>
      <c r="Q209" s="185"/>
      <c r="R209" s="185"/>
      <c r="S209" s="185"/>
      <c r="T209" s="185"/>
      <c r="U209" s="185"/>
      <c r="V209" s="185"/>
      <c r="W209" s="185"/>
      <c r="X209" s="185"/>
      <c r="Y209" s="185"/>
      <c r="Z209" s="185"/>
      <c r="AA209" s="185"/>
      <c r="AB209" s="185"/>
      <c r="AC209" s="185"/>
      <c r="AD209" s="185"/>
      <c r="AE209" s="185"/>
      <c r="AF209" s="185"/>
      <c r="AG209" s="185"/>
      <c r="AH209" s="185"/>
      <c r="AI209" s="185"/>
      <c r="AJ209" s="185"/>
      <c r="AK209" s="185"/>
      <c r="AL209" s="185"/>
      <c r="AM209" s="185"/>
      <c r="AN209" s="185"/>
      <c r="AO209" s="185"/>
      <c r="AP209" s="185"/>
      <c r="AQ209" s="185"/>
      <c r="AR209" s="185"/>
      <c r="AS209" s="185"/>
      <c r="AT209" s="185"/>
      <c r="AU209" s="185"/>
      <c r="AV209" s="185"/>
      <c r="AW209" s="185"/>
      <c r="AX209" s="185"/>
      <c r="AY209" s="185"/>
      <c r="AZ209" s="185"/>
      <c r="BA209" s="185"/>
      <c r="BB209" s="185"/>
      <c r="BC209" s="185"/>
      <c r="BD209" s="186"/>
    </row>
    <row r="210" spans="1:811" s="173" customFormat="1" hidden="1" outlineLevel="1" x14ac:dyDescent="0.3">
      <c r="A210" s="181" t="str">
        <f ca="1">Language!A$649</f>
        <v>оплата расходов, c НДС</v>
      </c>
      <c r="C210" s="176" t="str">
        <f t="shared" ref="C210" ca="1" si="1002">CHOOSE(D210,CurName1,CurName2,CurName3)</f>
        <v>руб.</v>
      </c>
      <c r="D210" s="174">
        <f>D193</f>
        <v>1</v>
      </c>
      <c r="E210" s="170" t="s">
        <v>993</v>
      </c>
      <c r="F210" s="170" t="s">
        <v>740</v>
      </c>
      <c r="G210" s="182">
        <f ca="1">G204+G217-IF(G$2=1,G206,G206-F206)+IF(G$2=1,G208,G208-F208)</f>
        <v>0</v>
      </c>
      <c r="H210" s="182">
        <f t="shared" ref="H210" ca="1" si="1003">H204+H217-IF(H$2=1,H206,H206-G206)+IF(H$2=1,H208,H208-G208)</f>
        <v>0</v>
      </c>
      <c r="I210" s="182">
        <f t="shared" ref="I210" ca="1" si="1004">I204+I217-IF(I$2=1,I206,I206-H206)+IF(I$2=1,I208,I208-H208)</f>
        <v>0</v>
      </c>
      <c r="J210" s="182">
        <f t="shared" ref="J210" ca="1" si="1005">J204+J217-IF(J$2=1,J206,J206-I206)+IF(J$2=1,J208,J208-I208)</f>
        <v>0</v>
      </c>
      <c r="K210" s="182">
        <f t="shared" ref="K210" ca="1" si="1006">K204+K217-IF(K$2=1,K206,K206-J206)+IF(K$2=1,K208,K208-J208)</f>
        <v>0</v>
      </c>
      <c r="L210" s="182">
        <f t="shared" ref="L210" ca="1" si="1007">L204+L217-IF(L$2=1,L206,L206-K206)+IF(L$2=1,L208,L208-K208)</f>
        <v>296514.14806042559</v>
      </c>
      <c r="M210" s="182">
        <f t="shared" ref="M210:BB210" ca="1" si="1008">M204+M217-IF(M$2=1,M206,M206-L206)+IF(M$2=1,M208,M208-L208)</f>
        <v>545533.66825614532</v>
      </c>
      <c r="N210" s="182">
        <f t="shared" ca="1" si="1008"/>
        <v>845908.318814122</v>
      </c>
      <c r="O210" s="182">
        <f t="shared" ca="1" si="1008"/>
        <v>901617.99903001578</v>
      </c>
      <c r="P210" s="182">
        <f t="shared" ca="1" si="1008"/>
        <v>956392.58256241982</v>
      </c>
      <c r="Q210" s="182">
        <f t="shared" ca="1" si="1008"/>
        <v>961290.76889391639</v>
      </c>
      <c r="R210" s="182">
        <f t="shared" ca="1" si="1008"/>
        <v>1119345.7084768559</v>
      </c>
      <c r="S210" s="182">
        <f t="shared" ca="1" si="1008"/>
        <v>1124298.8583674373</v>
      </c>
      <c r="T210" s="182">
        <f t="shared" ca="1" si="1008"/>
        <v>1077650.7240426592</v>
      </c>
      <c r="U210" s="182">
        <f t="shared" ca="1" si="1008"/>
        <v>878632.05501311331</v>
      </c>
      <c r="V210" s="182">
        <f t="shared" ca="1" si="1008"/>
        <v>778904.17368446337</v>
      </c>
      <c r="W210" s="182">
        <f t="shared" ca="1" si="1008"/>
        <v>1094976.6684281449</v>
      </c>
      <c r="X210" s="182">
        <f t="shared" ca="1" si="1008"/>
        <v>1414356.5430789751</v>
      </c>
      <c r="Y210" s="182">
        <f t="shared" ca="1" si="1008"/>
        <v>1734278.4839142221</v>
      </c>
      <c r="Z210" s="182">
        <f t="shared" ca="1" si="1008"/>
        <v>1373725.0136001646</v>
      </c>
      <c r="AA210" s="182">
        <f t="shared" ca="1" si="1008"/>
        <v>904345.86647986365</v>
      </c>
      <c r="AB210" s="182">
        <f t="shared" ca="1" si="1008"/>
        <v>643756.01164773724</v>
      </c>
      <c r="AC210" s="182">
        <f t="shared" ca="1" si="1008"/>
        <v>806613.05926218175</v>
      </c>
      <c r="AD210" s="182">
        <f t="shared" ca="1" si="1008"/>
        <v>1186247.726832754</v>
      </c>
      <c r="AE210" s="182">
        <f t="shared" ca="1" si="1008"/>
        <v>1245168.3573754055</v>
      </c>
      <c r="AF210" s="182">
        <f t="shared" ca="1" si="1008"/>
        <v>1142309.7674852191</v>
      </c>
      <c r="AG210" s="182">
        <f t="shared" ca="1" si="1008"/>
        <v>931349.97831390053</v>
      </c>
      <c r="AH210" s="182">
        <f t="shared" ca="1" si="1008"/>
        <v>825638.42410553154</v>
      </c>
      <c r="AI210" s="182">
        <f t="shared" ca="1" si="1008"/>
        <v>1160675.268533834</v>
      </c>
      <c r="AJ210" s="182">
        <f t="shared" ca="1" si="1008"/>
        <v>1499217.9356637145</v>
      </c>
      <c r="AK210" s="182">
        <f t="shared" ca="1" si="1008"/>
        <v>1838335.1929490764</v>
      </c>
      <c r="AL210" s="182">
        <f t="shared" ca="1" si="1008"/>
        <v>1456148.5144161759</v>
      </c>
      <c r="AM210" s="182">
        <f t="shared" ca="1" si="1008"/>
        <v>958606.61846865586</v>
      </c>
      <c r="AN210" s="182">
        <f t="shared" ca="1" si="1008"/>
        <v>682381.37234660157</v>
      </c>
      <c r="AO210" s="182">
        <f t="shared" ca="1" si="1008"/>
        <v>855009.84281791293</v>
      </c>
      <c r="AP210" s="182">
        <f t="shared" ca="1" si="1008"/>
        <v>1257422.5904427196</v>
      </c>
      <c r="AQ210" s="182">
        <f t="shared" ca="1" si="1008"/>
        <v>1319878.45881793</v>
      </c>
      <c r="AR210" s="182">
        <f t="shared" ca="1" si="1008"/>
        <v>1210848.3535343325</v>
      </c>
      <c r="AS210" s="182">
        <f t="shared" ca="1" si="1008"/>
        <v>987230.97701273463</v>
      </c>
      <c r="AT210" s="182">
        <f t="shared" ca="1" si="1008"/>
        <v>875176.72955186362</v>
      </c>
      <c r="AU210" s="182">
        <f t="shared" ca="1" si="1008"/>
        <v>1230315.7846458643</v>
      </c>
      <c r="AV210" s="182">
        <f t="shared" ca="1" si="1008"/>
        <v>1589171.0118035376</v>
      </c>
      <c r="AW210" s="182">
        <f t="shared" ca="1" si="1008"/>
        <v>1948635.3045260212</v>
      </c>
      <c r="AX210" s="182">
        <f t="shared" ca="1" si="1008"/>
        <v>1543517.4252811461</v>
      </c>
      <c r="AY210" s="182">
        <f t="shared" ca="1" si="1008"/>
        <v>1016123.0155767753</v>
      </c>
      <c r="AZ210" s="182">
        <f t="shared" ca="1" si="1008"/>
        <v>723324.25468739762</v>
      </c>
      <c r="BA210" s="182">
        <f t="shared" ca="1" si="1008"/>
        <v>906310.43338698777</v>
      </c>
      <c r="BB210" s="182">
        <f t="shared" ca="1" si="1008"/>
        <v>1148715.8392390264</v>
      </c>
      <c r="BC210" s="182"/>
      <c r="BD210" s="183">
        <f ca="1">SUM(G210:BC210)</f>
        <v>46995899.829427987</v>
      </c>
    </row>
    <row r="211" spans="1:811" hidden="1" outlineLevel="1" x14ac:dyDescent="0.3">
      <c r="A211" s="184" t="str">
        <f ca="1">Language!A$650</f>
        <v>темп изменения цен</v>
      </c>
      <c r="B211" s="203"/>
      <c r="C211" s="163" t="str">
        <f ca="1">Language!$A$480</f>
        <v>% в год</v>
      </c>
      <c r="D211" s="174"/>
      <c r="F211" s="170" t="s">
        <v>2346</v>
      </c>
      <c r="G211" s="290">
        <f>CHOOSE($D193,Параметры!G$48,Параметры!G$56,Параметры!G$62)</f>
        <v>0.06</v>
      </c>
      <c r="H211" s="290">
        <f>CHOOSE($D193,Параметры!H$48,Параметры!H$56,Параметры!H$62)</f>
        <v>0.06</v>
      </c>
      <c r="I211" s="290">
        <f>CHOOSE($D193,Параметры!I$48,Параметры!I$56,Параметры!I$62)</f>
        <v>0.06</v>
      </c>
      <c r="J211" s="290">
        <f>CHOOSE($D193,Параметры!J$48,Параметры!J$56,Параметры!J$62)</f>
        <v>0.06</v>
      </c>
      <c r="K211" s="290">
        <f>CHOOSE($D193,Параметры!K$48,Параметры!K$56,Параметры!K$62)</f>
        <v>0.06</v>
      </c>
      <c r="L211" s="290">
        <f>CHOOSE($D193,Параметры!L$48,Параметры!L$56,Параметры!L$62)</f>
        <v>0.06</v>
      </c>
      <c r="M211" s="290">
        <f>CHOOSE($D193,Параметры!M$48,Параметры!M$56,Параметры!M$62)</f>
        <v>0.06</v>
      </c>
      <c r="N211" s="290">
        <f>CHOOSE($D193,Параметры!N$48,Параметры!N$56,Параметры!N$62)</f>
        <v>0.06</v>
      </c>
      <c r="O211" s="290">
        <f>CHOOSE($D193,Параметры!O$48,Параметры!O$56,Параметры!O$62)</f>
        <v>0.06</v>
      </c>
      <c r="P211" s="290">
        <f>CHOOSE($D193,Параметры!P$48,Параметры!P$56,Параметры!P$62)</f>
        <v>0.06</v>
      </c>
      <c r="Q211" s="290">
        <f>CHOOSE($D193,Параметры!Q$48,Параметры!Q$56,Параметры!Q$62)</f>
        <v>0.06</v>
      </c>
      <c r="R211" s="290">
        <f>CHOOSE($D193,Параметры!R$48,Параметры!R$56,Параметры!R$62)</f>
        <v>0.06</v>
      </c>
      <c r="S211" s="290">
        <f>CHOOSE($D193,Параметры!S$48,Параметры!S$56,Параметры!S$62)</f>
        <v>0.06</v>
      </c>
      <c r="T211" s="290">
        <f>CHOOSE($D193,Параметры!T$48,Параметры!T$56,Параметры!T$62)</f>
        <v>0.06</v>
      </c>
      <c r="U211" s="290">
        <f>CHOOSE($D193,Параметры!U$48,Параметры!U$56,Параметры!U$62)</f>
        <v>0.06</v>
      </c>
      <c r="V211" s="290">
        <f>CHOOSE($D193,Параметры!V$48,Параметры!V$56,Параметры!V$62)</f>
        <v>0.06</v>
      </c>
      <c r="W211" s="290">
        <f>CHOOSE($D193,Параметры!W$48,Параметры!W$56,Параметры!W$62)</f>
        <v>0.06</v>
      </c>
      <c r="X211" s="290">
        <f>CHOOSE($D193,Параметры!X$48,Параметры!X$56,Параметры!X$62)</f>
        <v>0.06</v>
      </c>
      <c r="Y211" s="290">
        <f>CHOOSE($D193,Параметры!Y$48,Параметры!Y$56,Параметры!Y$62)</f>
        <v>0.06</v>
      </c>
      <c r="Z211" s="290">
        <f>CHOOSE($D193,Параметры!Z$48,Параметры!Z$56,Параметры!Z$62)</f>
        <v>0.06</v>
      </c>
      <c r="AA211" s="290">
        <f>CHOOSE($D193,Параметры!AA$48,Параметры!AA$56,Параметры!AA$62)</f>
        <v>0.06</v>
      </c>
      <c r="AB211" s="290">
        <f>CHOOSE($D193,Параметры!AB$48,Параметры!AB$56,Параметры!AB$62)</f>
        <v>0.06</v>
      </c>
      <c r="AC211" s="290">
        <f>CHOOSE($D193,Параметры!AC$48,Параметры!AC$56,Параметры!AC$62)</f>
        <v>0.06</v>
      </c>
      <c r="AD211" s="290">
        <f>CHOOSE($D193,Параметры!AD$48,Параметры!AD$56,Параметры!AD$62)</f>
        <v>0.06</v>
      </c>
      <c r="AE211" s="290">
        <f>CHOOSE($D193,Параметры!AE$48,Параметры!AE$56,Параметры!AE$62)</f>
        <v>0.06</v>
      </c>
      <c r="AF211" s="290">
        <f>CHOOSE($D193,Параметры!AF$48,Параметры!AF$56,Параметры!AF$62)</f>
        <v>0.06</v>
      </c>
      <c r="AG211" s="290">
        <f>CHOOSE($D193,Параметры!AG$48,Параметры!AG$56,Параметры!AG$62)</f>
        <v>0.06</v>
      </c>
      <c r="AH211" s="290">
        <f>CHOOSE($D193,Параметры!AH$48,Параметры!AH$56,Параметры!AH$62)</f>
        <v>0.06</v>
      </c>
      <c r="AI211" s="290">
        <f>CHOOSE($D193,Параметры!AI$48,Параметры!AI$56,Параметры!AI$62)</f>
        <v>0.06</v>
      </c>
      <c r="AJ211" s="290">
        <f>CHOOSE($D193,Параметры!AJ$48,Параметры!AJ$56,Параметры!AJ$62)</f>
        <v>0.06</v>
      </c>
      <c r="AK211" s="290">
        <f>CHOOSE($D193,Параметры!AK$48,Параметры!AK$56,Параметры!AK$62)</f>
        <v>0.06</v>
      </c>
      <c r="AL211" s="290">
        <f>CHOOSE($D193,Параметры!AL$48,Параметры!AL$56,Параметры!AL$62)</f>
        <v>0.06</v>
      </c>
      <c r="AM211" s="290">
        <f>CHOOSE($D193,Параметры!AM$48,Параметры!AM$56,Параметры!AM$62)</f>
        <v>0.06</v>
      </c>
      <c r="AN211" s="290">
        <f>CHOOSE($D193,Параметры!AN$48,Параметры!AN$56,Параметры!AN$62)</f>
        <v>0.06</v>
      </c>
      <c r="AO211" s="290">
        <f>CHOOSE($D193,Параметры!AO$48,Параметры!AO$56,Параметры!AO$62)</f>
        <v>0.06</v>
      </c>
      <c r="AP211" s="290">
        <f>CHOOSE($D193,Параметры!AP$48,Параметры!AP$56,Параметры!AP$62)</f>
        <v>0.06</v>
      </c>
      <c r="AQ211" s="290">
        <f>CHOOSE($D193,Параметры!AQ$48,Параметры!AQ$56,Параметры!AQ$62)</f>
        <v>0.06</v>
      </c>
      <c r="AR211" s="290">
        <f>CHOOSE($D193,Параметры!AR$48,Параметры!AR$56,Параметры!AR$62)</f>
        <v>0.06</v>
      </c>
      <c r="AS211" s="290">
        <f>CHOOSE($D193,Параметры!AS$48,Параметры!AS$56,Параметры!AS$62)</f>
        <v>0.06</v>
      </c>
      <c r="AT211" s="290">
        <f>CHOOSE($D193,Параметры!AT$48,Параметры!AT$56,Параметры!AT$62)</f>
        <v>0.06</v>
      </c>
      <c r="AU211" s="290">
        <f>CHOOSE($D193,Параметры!AU$48,Параметры!AU$56,Параметры!AU$62)</f>
        <v>0.06</v>
      </c>
      <c r="AV211" s="290">
        <f>CHOOSE($D193,Параметры!AV$48,Параметры!AV$56,Параметры!AV$62)</f>
        <v>0.06</v>
      </c>
      <c r="AW211" s="290">
        <f>CHOOSE($D193,Параметры!AW$48,Параметры!AW$56,Параметры!AW$62)</f>
        <v>0.06</v>
      </c>
      <c r="AX211" s="290">
        <f>CHOOSE($D193,Параметры!AX$48,Параметры!AX$56,Параметры!AX$62)</f>
        <v>0.06</v>
      </c>
      <c r="AY211" s="290">
        <f>CHOOSE($D193,Параметры!AY$48,Параметры!AY$56,Параметры!AY$62)</f>
        <v>0.06</v>
      </c>
      <c r="AZ211" s="290">
        <f>CHOOSE($D193,Параметры!AZ$48,Параметры!AZ$56,Параметры!AZ$62)</f>
        <v>0.06</v>
      </c>
      <c r="BA211" s="290">
        <f>CHOOSE($D193,Параметры!BA$48,Параметры!BA$56,Параметры!BA$62)</f>
        <v>0.06</v>
      </c>
      <c r="BB211" s="290">
        <f>CHOOSE($D193,Параметры!BB$48,Параметры!BB$56,Параметры!BB$62)</f>
        <v>0.06</v>
      </c>
      <c r="BC211" s="190"/>
      <c r="BD211" s="186"/>
    </row>
    <row r="212" spans="1:811" hidden="1" outlineLevel="1" x14ac:dyDescent="0.3">
      <c r="A212" s="184" t="str">
        <f ca="1">Language!A$651</f>
        <v>ставка НДС</v>
      </c>
      <c r="B212" s="203"/>
      <c r="C212" s="163" t="s">
        <v>1</v>
      </c>
      <c r="D212" s="174"/>
      <c r="F212" s="170" t="s">
        <v>2346</v>
      </c>
      <c r="G212" s="290">
        <f>IF(G$2=1,Параметры!G$72,IF(F212=Параметры!F$72,Параметры!F$72,F212))</f>
        <v>0</v>
      </c>
      <c r="H212" s="290">
        <f>IF(H$2=1,Параметры!H$72,IF(G212=Параметры!G$72,Параметры!G$72,G212))</f>
        <v>0</v>
      </c>
      <c r="I212" s="290">
        <f>IF(I$2=1,Параметры!I$72,IF(H212=Параметры!H$72,Параметры!H$72,H212))</f>
        <v>0</v>
      </c>
      <c r="J212" s="290">
        <f>IF(J$2=1,Параметры!J$72,IF(I212=Параметры!I$72,Параметры!I$72,I212))</f>
        <v>0</v>
      </c>
      <c r="K212" s="290">
        <f>IF(K$2=1,Параметры!K$72,IF(J212=Параметры!J$72,Параметры!J$72,J212))</f>
        <v>0</v>
      </c>
      <c r="L212" s="290">
        <f>IF(L$2=1,Параметры!L$72,IF(K212=Параметры!K$72,Параметры!K$72,K212))</f>
        <v>0</v>
      </c>
      <c r="M212" s="290">
        <f>IF(M$2=1,Параметры!M$72,IF(L212=Параметры!L$72,Параметры!L$72,L212))</f>
        <v>0</v>
      </c>
      <c r="N212" s="290">
        <f>IF(N$2=1,Параметры!N$72,IF(M212=Параметры!M$72,Параметры!M$72,M212))</f>
        <v>0</v>
      </c>
      <c r="O212" s="290">
        <f>IF(O$2=1,Параметры!O$72,IF(N212=Параметры!N$72,Параметры!N$72,N212))</f>
        <v>0</v>
      </c>
      <c r="P212" s="290">
        <f>IF(P$2=1,Параметры!P$72,IF(O212=Параметры!O$72,Параметры!O$72,O212))</f>
        <v>0</v>
      </c>
      <c r="Q212" s="290">
        <f>IF(Q$2=1,Параметры!Q$72,IF(P212=Параметры!P$72,Параметры!P$72,P212))</f>
        <v>0</v>
      </c>
      <c r="R212" s="290">
        <f>IF(R$2=1,Параметры!R$72,IF(Q212=Параметры!Q$72,Параметры!Q$72,Q212))</f>
        <v>0</v>
      </c>
      <c r="S212" s="290">
        <f>IF(S$2=1,Параметры!S$72,IF(R212=Параметры!R$72,Параметры!R$72,R212))</f>
        <v>0</v>
      </c>
      <c r="T212" s="290">
        <f>IF(T$2=1,Параметры!T$72,IF(S212=Параметры!S$72,Параметры!S$72,S212))</f>
        <v>0</v>
      </c>
      <c r="U212" s="290">
        <f>IF(U$2=1,Параметры!U$72,IF(T212=Параметры!T$72,Параметры!T$72,T212))</f>
        <v>0</v>
      </c>
      <c r="V212" s="290">
        <f>IF(V$2=1,Параметры!V$72,IF(U212=Параметры!U$72,Параметры!U$72,U212))</f>
        <v>0</v>
      </c>
      <c r="W212" s="290">
        <f>IF(W$2=1,Параметры!W$72,IF(V212=Параметры!V$72,Параметры!V$72,V212))</f>
        <v>0</v>
      </c>
      <c r="X212" s="290">
        <f>IF(X$2=1,Параметры!X$72,IF(W212=Параметры!W$72,Параметры!W$72,W212))</f>
        <v>0</v>
      </c>
      <c r="Y212" s="290">
        <f>IF(Y$2=1,Параметры!Y$72,IF(X212=Параметры!X$72,Параметры!X$72,X212))</f>
        <v>0</v>
      </c>
      <c r="Z212" s="290">
        <f>IF(Z$2=1,Параметры!Z$72,IF(Y212=Параметры!Y$72,Параметры!Y$72,Y212))</f>
        <v>0</v>
      </c>
      <c r="AA212" s="290">
        <f>IF(AA$2=1,Параметры!AA$72,IF(Z212=Параметры!Z$72,Параметры!Z$72,Z212))</f>
        <v>0</v>
      </c>
      <c r="AB212" s="290">
        <f>IF(AB$2=1,Параметры!AB$72,IF(AA212=Параметры!AA$72,Параметры!AA$72,AA212))</f>
        <v>0</v>
      </c>
      <c r="AC212" s="290">
        <f>IF(AC$2=1,Параметры!AC$72,IF(AB212=Параметры!AB$72,Параметры!AB$72,AB212))</f>
        <v>0</v>
      </c>
      <c r="AD212" s="290">
        <f>IF(AD$2=1,Параметры!AD$72,IF(AC212=Параметры!AC$72,Параметры!AC$72,AC212))</f>
        <v>0</v>
      </c>
      <c r="AE212" s="290">
        <f>IF(AE$2=1,Параметры!AE$72,IF(AD212=Параметры!AD$72,Параметры!AD$72,AD212))</f>
        <v>0</v>
      </c>
      <c r="AF212" s="290">
        <f>IF(AF$2=1,Параметры!AF$72,IF(AE212=Параметры!AE$72,Параметры!AE$72,AE212))</f>
        <v>0</v>
      </c>
      <c r="AG212" s="290">
        <f>IF(AG$2=1,Параметры!AG$72,IF(AF212=Параметры!AF$72,Параметры!AF$72,AF212))</f>
        <v>0</v>
      </c>
      <c r="AH212" s="290">
        <f>IF(AH$2=1,Параметры!AH$72,IF(AG212=Параметры!AG$72,Параметры!AG$72,AG212))</f>
        <v>0</v>
      </c>
      <c r="AI212" s="290">
        <f>IF(AI$2=1,Параметры!AI$72,IF(AH212=Параметры!AH$72,Параметры!AH$72,AH212))</f>
        <v>0</v>
      </c>
      <c r="AJ212" s="290">
        <f>IF(AJ$2=1,Параметры!AJ$72,IF(AI212=Параметры!AI$72,Параметры!AI$72,AI212))</f>
        <v>0</v>
      </c>
      <c r="AK212" s="290">
        <f>IF(AK$2=1,Параметры!AK$72,IF(AJ212=Параметры!AJ$72,Параметры!AJ$72,AJ212))</f>
        <v>0</v>
      </c>
      <c r="AL212" s="290">
        <f>IF(AL$2=1,Параметры!AL$72,IF(AK212=Параметры!AK$72,Параметры!AK$72,AK212))</f>
        <v>0</v>
      </c>
      <c r="AM212" s="290">
        <f>IF(AM$2=1,Параметры!AM$72,IF(AL212=Параметры!AL$72,Параметры!AL$72,AL212))</f>
        <v>0</v>
      </c>
      <c r="AN212" s="290">
        <f>IF(AN$2=1,Параметры!AN$72,IF(AM212=Параметры!AM$72,Параметры!AM$72,AM212))</f>
        <v>0</v>
      </c>
      <c r="AO212" s="290">
        <f>IF(AO$2=1,Параметры!AO$72,IF(AN212=Параметры!AN$72,Параметры!AN$72,AN212))</f>
        <v>0</v>
      </c>
      <c r="AP212" s="290">
        <f>IF(AP$2=1,Параметры!AP$72,IF(AO212=Параметры!AO$72,Параметры!AO$72,AO212))</f>
        <v>0</v>
      </c>
      <c r="AQ212" s="290">
        <f>IF(AQ$2=1,Параметры!AQ$72,IF(AP212=Параметры!AP$72,Параметры!AP$72,AP212))</f>
        <v>0</v>
      </c>
      <c r="AR212" s="290">
        <f>IF(AR$2=1,Параметры!AR$72,IF(AQ212=Параметры!AQ$72,Параметры!AQ$72,AQ212))</f>
        <v>0</v>
      </c>
      <c r="AS212" s="290">
        <f>IF(AS$2=1,Параметры!AS$72,IF(AR212=Параметры!AR$72,Параметры!AR$72,AR212))</f>
        <v>0</v>
      </c>
      <c r="AT212" s="290">
        <f>IF(AT$2=1,Параметры!AT$72,IF(AS212=Параметры!AS$72,Параметры!AS$72,AS212))</f>
        <v>0</v>
      </c>
      <c r="AU212" s="290">
        <f>IF(AU$2=1,Параметры!AU$72,IF(AT212=Параметры!AT$72,Параметры!AT$72,AT212))</f>
        <v>0</v>
      </c>
      <c r="AV212" s="290">
        <f>IF(AV$2=1,Параметры!AV$72,IF(AU212=Параметры!AU$72,Параметры!AU$72,AU212))</f>
        <v>0</v>
      </c>
      <c r="AW212" s="290">
        <f>IF(AW$2=1,Параметры!AW$72,IF(AV212=Параметры!AV$72,Параметры!AV$72,AV212))</f>
        <v>0</v>
      </c>
      <c r="AX212" s="290">
        <f>IF(AX$2=1,Параметры!AX$72,IF(AW212=Параметры!AW$72,Параметры!AW$72,AW212))</f>
        <v>0</v>
      </c>
      <c r="AY212" s="290">
        <f>IF(AY$2=1,Параметры!AY$72,IF(AX212=Параметры!AX$72,Параметры!AX$72,AX212))</f>
        <v>0</v>
      </c>
      <c r="AZ212" s="290">
        <f>IF(AZ$2=1,Параметры!AZ$72,IF(AY212=Параметры!AY$72,Параметры!AY$72,AY212))</f>
        <v>0</v>
      </c>
      <c r="BA212" s="290">
        <f>IF(BA$2=1,Параметры!BA$72,IF(AZ212=Параметры!AZ$72,Параметры!AZ$72,AZ212))</f>
        <v>0</v>
      </c>
      <c r="BB212" s="290">
        <f>IF(BB$2=1,Параметры!BB$72,IF(BA212=Параметры!BA$72,Параметры!BA$72,BA212))</f>
        <v>0</v>
      </c>
      <c r="BC212" s="190"/>
      <c r="BD212" s="186"/>
    </row>
    <row r="213" spans="1:811" hidden="1" outlineLevel="1" x14ac:dyDescent="0.3">
      <c r="A213" s="184" t="str">
        <f ca="1">Language!A$652</f>
        <v>ставка импортной пошлины</v>
      </c>
      <c r="B213" s="203"/>
      <c r="C213" s="163" t="s">
        <v>1</v>
      </c>
      <c r="D213" s="174"/>
      <c r="F213" s="170" t="s">
        <v>2346</v>
      </c>
      <c r="G213" s="290">
        <v>0</v>
      </c>
      <c r="H213" s="290">
        <f t="shared" ref="H213" si="1009">G213</f>
        <v>0</v>
      </c>
      <c r="I213" s="290">
        <f t="shared" ref="I213" si="1010">H213</f>
        <v>0</v>
      </c>
      <c r="J213" s="290">
        <f t="shared" ref="J213" si="1011">I213</f>
        <v>0</v>
      </c>
      <c r="K213" s="290">
        <f t="shared" ref="K213" si="1012">J213</f>
        <v>0</v>
      </c>
      <c r="L213" s="290">
        <f t="shared" ref="L213" si="1013">K213</f>
        <v>0</v>
      </c>
      <c r="M213" s="290">
        <f t="shared" ref="M213:BB213" si="1014">L213</f>
        <v>0</v>
      </c>
      <c r="N213" s="290">
        <f t="shared" si="1014"/>
        <v>0</v>
      </c>
      <c r="O213" s="290">
        <f t="shared" si="1014"/>
        <v>0</v>
      </c>
      <c r="P213" s="290">
        <f t="shared" si="1014"/>
        <v>0</v>
      </c>
      <c r="Q213" s="290">
        <f t="shared" si="1014"/>
        <v>0</v>
      </c>
      <c r="R213" s="290">
        <f t="shared" si="1014"/>
        <v>0</v>
      </c>
      <c r="S213" s="290">
        <f t="shared" si="1014"/>
        <v>0</v>
      </c>
      <c r="T213" s="290">
        <f t="shared" si="1014"/>
        <v>0</v>
      </c>
      <c r="U213" s="290">
        <f t="shared" si="1014"/>
        <v>0</v>
      </c>
      <c r="V213" s="290">
        <f t="shared" si="1014"/>
        <v>0</v>
      </c>
      <c r="W213" s="290">
        <f t="shared" si="1014"/>
        <v>0</v>
      </c>
      <c r="X213" s="290">
        <f t="shared" si="1014"/>
        <v>0</v>
      </c>
      <c r="Y213" s="290">
        <f t="shared" si="1014"/>
        <v>0</v>
      </c>
      <c r="Z213" s="290">
        <f t="shared" si="1014"/>
        <v>0</v>
      </c>
      <c r="AA213" s="290">
        <f t="shared" si="1014"/>
        <v>0</v>
      </c>
      <c r="AB213" s="290">
        <f t="shared" si="1014"/>
        <v>0</v>
      </c>
      <c r="AC213" s="290">
        <f t="shared" si="1014"/>
        <v>0</v>
      </c>
      <c r="AD213" s="290">
        <f t="shared" si="1014"/>
        <v>0</v>
      </c>
      <c r="AE213" s="290">
        <f t="shared" si="1014"/>
        <v>0</v>
      </c>
      <c r="AF213" s="290">
        <f t="shared" si="1014"/>
        <v>0</v>
      </c>
      <c r="AG213" s="290">
        <f t="shared" si="1014"/>
        <v>0</v>
      </c>
      <c r="AH213" s="290">
        <f t="shared" si="1014"/>
        <v>0</v>
      </c>
      <c r="AI213" s="290">
        <f t="shared" si="1014"/>
        <v>0</v>
      </c>
      <c r="AJ213" s="290">
        <f t="shared" si="1014"/>
        <v>0</v>
      </c>
      <c r="AK213" s="290">
        <f t="shared" si="1014"/>
        <v>0</v>
      </c>
      <c r="AL213" s="290">
        <f t="shared" si="1014"/>
        <v>0</v>
      </c>
      <c r="AM213" s="290">
        <f t="shared" si="1014"/>
        <v>0</v>
      </c>
      <c r="AN213" s="290">
        <f t="shared" si="1014"/>
        <v>0</v>
      </c>
      <c r="AO213" s="290">
        <f t="shared" si="1014"/>
        <v>0</v>
      </c>
      <c r="AP213" s="290">
        <f t="shared" si="1014"/>
        <v>0</v>
      </c>
      <c r="AQ213" s="290">
        <f t="shared" si="1014"/>
        <v>0</v>
      </c>
      <c r="AR213" s="290">
        <f t="shared" si="1014"/>
        <v>0</v>
      </c>
      <c r="AS213" s="290">
        <f t="shared" si="1014"/>
        <v>0</v>
      </c>
      <c r="AT213" s="290">
        <f t="shared" si="1014"/>
        <v>0</v>
      </c>
      <c r="AU213" s="290">
        <f t="shared" si="1014"/>
        <v>0</v>
      </c>
      <c r="AV213" s="290">
        <f t="shared" si="1014"/>
        <v>0</v>
      </c>
      <c r="AW213" s="290">
        <f t="shared" si="1014"/>
        <v>0</v>
      </c>
      <c r="AX213" s="290">
        <f t="shared" si="1014"/>
        <v>0</v>
      </c>
      <c r="AY213" s="290">
        <f t="shared" si="1014"/>
        <v>0</v>
      </c>
      <c r="AZ213" s="290">
        <f t="shared" si="1014"/>
        <v>0</v>
      </c>
      <c r="BA213" s="290">
        <f t="shared" si="1014"/>
        <v>0</v>
      </c>
      <c r="BB213" s="290">
        <f t="shared" si="1014"/>
        <v>0</v>
      </c>
      <c r="BC213" s="190"/>
      <c r="BD213" s="186"/>
    </row>
    <row r="214" spans="1:811" hidden="1" outlineLevel="1" x14ac:dyDescent="0.3">
      <c r="A214" s="184" t="str">
        <f ca="1">Language!A$675</f>
        <v>коэффициент прироста цен к предыдущему периоду</v>
      </c>
      <c r="B214" s="203"/>
      <c r="C214" s="163" t="str">
        <f ca="1">Language!$A$1477</f>
        <v>раз</v>
      </c>
      <c r="D214" s="174"/>
      <c r="F214" s="170" t="s">
        <v>741</v>
      </c>
      <c r="G214" s="191">
        <f ca="1">IF(G$2=1,1,IF(Prj_Inflation=1,POWER(1+OFFSET(G211,0,-1),Параметры!G$30/360),1))</f>
        <v>1</v>
      </c>
      <c r="H214" s="191">
        <f ca="1">IF(H$2=1,1,IF(Prj_Inflation=1,POWER(1+OFFSET(H211,0,-1),Параметры!H$30/360),1))</f>
        <v>1.004867550565343</v>
      </c>
      <c r="I214" s="191">
        <f ca="1">IF(I$2=1,1,IF(Prj_Inflation=1,POWER(1+OFFSET(I211,0,-1),Параметры!I$30/360),1))</f>
        <v>1.004867550565343</v>
      </c>
      <c r="J214" s="191">
        <f ca="1">IF(J$2=1,1,IF(Prj_Inflation=1,POWER(1+OFFSET(J211,0,-1),Параметры!J$30/360),1))</f>
        <v>1.004867550565343</v>
      </c>
      <c r="K214" s="191">
        <f ca="1">IF(K$2=1,1,IF(Prj_Inflation=1,POWER(1+OFFSET(K211,0,-1),Параметры!K$30/360),1))</f>
        <v>1.004867550565343</v>
      </c>
      <c r="L214" s="191">
        <f ca="1">IF(L$2=1,1,IF(Prj_Inflation=1,POWER(1+OFFSET(L211,0,-1),Параметры!L$30/360),1))</f>
        <v>1.004867550565343</v>
      </c>
      <c r="M214" s="191">
        <f ca="1">IF(M$2=1,1,IF(Prj_Inflation=1,POWER(1+OFFSET(M211,0,-1),Параметры!M$30/360),1))</f>
        <v>1.004867550565343</v>
      </c>
      <c r="N214" s="191">
        <f ca="1">IF(N$2=1,1,IF(Prj_Inflation=1,POWER(1+OFFSET(N211,0,-1),Параметры!N$30/360),1))</f>
        <v>1.004867550565343</v>
      </c>
      <c r="O214" s="191">
        <f ca="1">IF(O$2=1,1,IF(Prj_Inflation=1,POWER(1+OFFSET(O211,0,-1),Параметры!O$30/360),1))</f>
        <v>1.004867550565343</v>
      </c>
      <c r="P214" s="191">
        <f ca="1">IF(P$2=1,1,IF(Prj_Inflation=1,POWER(1+OFFSET(P211,0,-1),Параметры!P$30/360),1))</f>
        <v>1.004867550565343</v>
      </c>
      <c r="Q214" s="191">
        <f ca="1">IF(Q$2=1,1,IF(Prj_Inflation=1,POWER(1+OFFSET(Q211,0,-1),Параметры!Q$30/360),1))</f>
        <v>1.004867550565343</v>
      </c>
      <c r="R214" s="191">
        <f ca="1">IF(R$2=1,1,IF(Prj_Inflation=1,POWER(1+OFFSET(R211,0,-1),Параметры!R$30/360),1))</f>
        <v>1.004867550565343</v>
      </c>
      <c r="S214" s="191">
        <f ca="1">IF(S$2=1,1,IF(Prj_Inflation=1,POWER(1+OFFSET(S211,0,-1),Параметры!S$30/360),1))</f>
        <v>1.004867550565343</v>
      </c>
      <c r="T214" s="191">
        <f ca="1">IF(T$2=1,1,IF(Prj_Inflation=1,POWER(1+OFFSET(T211,0,-1),Параметры!T$30/360),1))</f>
        <v>1.004867550565343</v>
      </c>
      <c r="U214" s="191">
        <f ca="1">IF(U$2=1,1,IF(Prj_Inflation=1,POWER(1+OFFSET(U211,0,-1),Параметры!U$30/360),1))</f>
        <v>1.004867550565343</v>
      </c>
      <c r="V214" s="191">
        <f ca="1">IF(V$2=1,1,IF(Prj_Inflation=1,POWER(1+OFFSET(V211,0,-1),Параметры!V$30/360),1))</f>
        <v>1.004867550565343</v>
      </c>
      <c r="W214" s="191">
        <f ca="1">IF(W$2=1,1,IF(Prj_Inflation=1,POWER(1+OFFSET(W211,0,-1),Параметры!W$30/360),1))</f>
        <v>1.004867550565343</v>
      </c>
      <c r="X214" s="191">
        <f ca="1">IF(X$2=1,1,IF(Prj_Inflation=1,POWER(1+OFFSET(X211,0,-1),Параметры!X$30/360),1))</f>
        <v>1.004867550565343</v>
      </c>
      <c r="Y214" s="191">
        <f ca="1">IF(Y$2=1,1,IF(Prj_Inflation=1,POWER(1+OFFSET(Y211,0,-1),Параметры!Y$30/360),1))</f>
        <v>1.004867550565343</v>
      </c>
      <c r="Z214" s="191">
        <f ca="1">IF(Z$2=1,1,IF(Prj_Inflation=1,POWER(1+OFFSET(Z211,0,-1),Параметры!Z$30/360),1))</f>
        <v>1.004867550565343</v>
      </c>
      <c r="AA214" s="191">
        <f ca="1">IF(AA$2=1,1,IF(Prj_Inflation=1,POWER(1+OFFSET(AA211,0,-1),Параметры!AA$30/360),1))</f>
        <v>1.004867550565343</v>
      </c>
      <c r="AB214" s="191">
        <f ca="1">IF(AB$2=1,1,IF(Prj_Inflation=1,POWER(1+OFFSET(AB211,0,-1),Параметры!AB$30/360),1))</f>
        <v>1.004867550565343</v>
      </c>
      <c r="AC214" s="191">
        <f ca="1">IF(AC$2=1,1,IF(Prj_Inflation=1,POWER(1+OFFSET(AC211,0,-1),Параметры!AC$30/360),1))</f>
        <v>1.004867550565343</v>
      </c>
      <c r="AD214" s="191">
        <f ca="1">IF(AD$2=1,1,IF(Prj_Inflation=1,POWER(1+OFFSET(AD211,0,-1),Параметры!AD$30/360),1))</f>
        <v>1.004867550565343</v>
      </c>
      <c r="AE214" s="191">
        <f ca="1">IF(AE$2=1,1,IF(Prj_Inflation=1,POWER(1+OFFSET(AE211,0,-1),Параметры!AE$30/360),1))</f>
        <v>1.004867550565343</v>
      </c>
      <c r="AF214" s="191">
        <f ca="1">IF(AF$2=1,1,IF(Prj_Inflation=1,POWER(1+OFFSET(AF211,0,-1),Параметры!AF$30/360),1))</f>
        <v>1.004867550565343</v>
      </c>
      <c r="AG214" s="191">
        <f ca="1">IF(AG$2=1,1,IF(Prj_Inflation=1,POWER(1+OFFSET(AG211,0,-1),Параметры!AG$30/360),1))</f>
        <v>1.004867550565343</v>
      </c>
      <c r="AH214" s="191">
        <f ca="1">IF(AH$2=1,1,IF(Prj_Inflation=1,POWER(1+OFFSET(AH211,0,-1),Параметры!AH$30/360),1))</f>
        <v>1.004867550565343</v>
      </c>
      <c r="AI214" s="191">
        <f ca="1">IF(AI$2=1,1,IF(Prj_Inflation=1,POWER(1+OFFSET(AI211,0,-1),Параметры!AI$30/360),1))</f>
        <v>1.004867550565343</v>
      </c>
      <c r="AJ214" s="191">
        <f ca="1">IF(AJ$2=1,1,IF(Prj_Inflation=1,POWER(1+OFFSET(AJ211,0,-1),Параметры!AJ$30/360),1))</f>
        <v>1.004867550565343</v>
      </c>
      <c r="AK214" s="191">
        <f ca="1">IF(AK$2=1,1,IF(Prj_Inflation=1,POWER(1+OFFSET(AK211,0,-1),Параметры!AK$30/360),1))</f>
        <v>1.004867550565343</v>
      </c>
      <c r="AL214" s="191">
        <f ca="1">IF(AL$2=1,1,IF(Prj_Inflation=1,POWER(1+OFFSET(AL211,0,-1),Параметры!AL$30/360),1))</f>
        <v>1.004867550565343</v>
      </c>
      <c r="AM214" s="191">
        <f ca="1">IF(AM$2=1,1,IF(Prj_Inflation=1,POWER(1+OFFSET(AM211,0,-1),Параметры!AM$30/360),1))</f>
        <v>1.004867550565343</v>
      </c>
      <c r="AN214" s="191">
        <f ca="1">IF(AN$2=1,1,IF(Prj_Inflation=1,POWER(1+OFFSET(AN211,0,-1),Параметры!AN$30/360),1))</f>
        <v>1.004867550565343</v>
      </c>
      <c r="AO214" s="191">
        <f ca="1">IF(AO$2=1,1,IF(Prj_Inflation=1,POWER(1+OFFSET(AO211,0,-1),Параметры!AO$30/360),1))</f>
        <v>1.004867550565343</v>
      </c>
      <c r="AP214" s="191">
        <f ca="1">IF(AP$2=1,1,IF(Prj_Inflation=1,POWER(1+OFFSET(AP211,0,-1),Параметры!AP$30/360),1))</f>
        <v>1.004867550565343</v>
      </c>
      <c r="AQ214" s="191">
        <f ca="1">IF(AQ$2=1,1,IF(Prj_Inflation=1,POWER(1+OFFSET(AQ211,0,-1),Параметры!AQ$30/360),1))</f>
        <v>1.004867550565343</v>
      </c>
      <c r="AR214" s="191">
        <f ca="1">IF(AR$2=1,1,IF(Prj_Inflation=1,POWER(1+OFFSET(AR211,0,-1),Параметры!AR$30/360),1))</f>
        <v>1.004867550565343</v>
      </c>
      <c r="AS214" s="191">
        <f ca="1">IF(AS$2=1,1,IF(Prj_Inflation=1,POWER(1+OFFSET(AS211,0,-1),Параметры!AS$30/360),1))</f>
        <v>1.004867550565343</v>
      </c>
      <c r="AT214" s="191">
        <f ca="1">IF(AT$2=1,1,IF(Prj_Inflation=1,POWER(1+OFFSET(AT211,0,-1),Параметры!AT$30/360),1))</f>
        <v>1.004867550565343</v>
      </c>
      <c r="AU214" s="191">
        <f ca="1">IF(AU$2=1,1,IF(Prj_Inflation=1,POWER(1+OFFSET(AU211,0,-1),Параметры!AU$30/360),1))</f>
        <v>1.004867550565343</v>
      </c>
      <c r="AV214" s="191">
        <f ca="1">IF(AV$2=1,1,IF(Prj_Inflation=1,POWER(1+OFFSET(AV211,0,-1),Параметры!AV$30/360),1))</f>
        <v>1.004867550565343</v>
      </c>
      <c r="AW214" s="191">
        <f ca="1">IF(AW$2=1,1,IF(Prj_Inflation=1,POWER(1+OFFSET(AW211,0,-1),Параметры!AW$30/360),1))</f>
        <v>1.004867550565343</v>
      </c>
      <c r="AX214" s="191">
        <f ca="1">IF(AX$2=1,1,IF(Prj_Inflation=1,POWER(1+OFFSET(AX211,0,-1),Параметры!AX$30/360),1))</f>
        <v>1.004867550565343</v>
      </c>
      <c r="AY214" s="191">
        <f ca="1">IF(AY$2=1,1,IF(Prj_Inflation=1,POWER(1+OFFSET(AY211,0,-1),Параметры!AY$30/360),1))</f>
        <v>1.004867550565343</v>
      </c>
      <c r="AZ214" s="191">
        <f ca="1">IF(AZ$2=1,1,IF(Prj_Inflation=1,POWER(1+OFFSET(AZ211,0,-1),Параметры!AZ$30/360),1))</f>
        <v>1.004867550565343</v>
      </c>
      <c r="BA214" s="191">
        <f ca="1">IF(BA$2=1,1,IF(Prj_Inflation=1,POWER(1+OFFSET(BA211,0,-1),Параметры!BA$30/360),1))</f>
        <v>1.004867550565343</v>
      </c>
      <c r="BB214" s="191">
        <f ca="1">IF(BB$2=1,1,IF(Prj_Inflation=1,POWER(1+OFFSET(BB211,0,-1),Параметры!BB$30/360),1))</f>
        <v>1.004867550565343</v>
      </c>
      <c r="BC214" s="191"/>
      <c r="BD214" s="186"/>
    </row>
    <row r="215" spans="1:811" hidden="1" outlineLevel="1" x14ac:dyDescent="0.3">
      <c r="A215" s="184" t="str">
        <f ca="1">Language!A$1486</f>
        <v>индексировать в начале года</v>
      </c>
      <c r="B215" s="291">
        <v>0</v>
      </c>
      <c r="C215" s="163" t="str">
        <f ca="1">IF(B215=1,Language!$A$1475,Language!$A$1476)</f>
        <v>Нет</v>
      </c>
      <c r="D215" s="174"/>
      <c r="F215" s="170" t="s">
        <v>3408</v>
      </c>
      <c r="G215" s="192" t="str">
        <f ca="1">IF(Prj_Inflation=1,IF($B215=1,IF(G$2=1,1,IF(Параметры!G$29=1,1+OFFSET(G211,0,-1),1)),"-"),1)</f>
        <v>-</v>
      </c>
      <c r="H215" s="192" t="str">
        <f ca="1">IF(Prj_Inflation=1,IF($B215=1,IF(H$2=1,1,IF(Параметры!H$29=1,1+OFFSET(H211,0,-1),1)),"-"),1)</f>
        <v>-</v>
      </c>
      <c r="I215" s="192" t="str">
        <f ca="1">IF(Prj_Inflation=1,IF($B215=1,IF(I$2=1,1,IF(Параметры!I$29=1,1+OFFSET(I211,0,-1),1)),"-"),1)</f>
        <v>-</v>
      </c>
      <c r="J215" s="192" t="str">
        <f ca="1">IF(Prj_Inflation=1,IF($B215=1,IF(J$2=1,1,IF(Параметры!J$29=1,1+OFFSET(J211,0,-1),1)),"-"),1)</f>
        <v>-</v>
      </c>
      <c r="K215" s="192" t="str">
        <f ca="1">IF(Prj_Inflation=1,IF($B215=1,IF(K$2=1,1,IF(Параметры!K$29=1,1+OFFSET(K211,0,-1),1)),"-"),1)</f>
        <v>-</v>
      </c>
      <c r="L215" s="192" t="str">
        <f ca="1">IF(Prj_Inflation=1,IF($B215=1,IF(L$2=1,1,IF(Параметры!L$29=1,1+OFFSET(L211,0,-1),1)),"-"),1)</f>
        <v>-</v>
      </c>
      <c r="M215" s="192" t="str">
        <f ca="1">IF(Prj_Inflation=1,IF($B215=1,IF(M$2=1,1,IF(Параметры!M$29=1,1+OFFSET(M211,0,-1),1)),"-"),1)</f>
        <v>-</v>
      </c>
      <c r="N215" s="192" t="str">
        <f ca="1">IF(Prj_Inflation=1,IF($B215=1,IF(N$2=1,1,IF(Параметры!N$29=1,1+OFFSET(N211,0,-1),1)),"-"),1)</f>
        <v>-</v>
      </c>
      <c r="O215" s="192" t="str">
        <f ca="1">IF(Prj_Inflation=1,IF($B215=1,IF(O$2=1,1,IF(Параметры!O$29=1,1+OFFSET(O211,0,-1),1)),"-"),1)</f>
        <v>-</v>
      </c>
      <c r="P215" s="192" t="str">
        <f ca="1">IF(Prj_Inflation=1,IF($B215=1,IF(P$2=1,1,IF(Параметры!P$29=1,1+OFFSET(P211,0,-1),1)),"-"),1)</f>
        <v>-</v>
      </c>
      <c r="Q215" s="192" t="str">
        <f ca="1">IF(Prj_Inflation=1,IF($B215=1,IF(Q$2=1,1,IF(Параметры!Q$29=1,1+OFFSET(Q211,0,-1),1)),"-"),1)</f>
        <v>-</v>
      </c>
      <c r="R215" s="192" t="str">
        <f ca="1">IF(Prj_Inflation=1,IF($B215=1,IF(R$2=1,1,IF(Параметры!R$29=1,1+OFFSET(R211,0,-1),1)),"-"),1)</f>
        <v>-</v>
      </c>
      <c r="S215" s="192" t="str">
        <f ca="1">IF(Prj_Inflation=1,IF($B215=1,IF(S$2=1,1,IF(Параметры!S$29=1,1+OFFSET(S211,0,-1),1)),"-"),1)</f>
        <v>-</v>
      </c>
      <c r="T215" s="192" t="str">
        <f ca="1">IF(Prj_Inflation=1,IF($B215=1,IF(T$2=1,1,IF(Параметры!T$29=1,1+OFFSET(T211,0,-1),1)),"-"),1)</f>
        <v>-</v>
      </c>
      <c r="U215" s="192" t="str">
        <f ca="1">IF(Prj_Inflation=1,IF($B215=1,IF(U$2=1,1,IF(Параметры!U$29=1,1+OFFSET(U211,0,-1),1)),"-"),1)</f>
        <v>-</v>
      </c>
      <c r="V215" s="192" t="str">
        <f ca="1">IF(Prj_Inflation=1,IF($B215=1,IF(V$2=1,1,IF(Параметры!V$29=1,1+OFFSET(V211,0,-1),1)),"-"),1)</f>
        <v>-</v>
      </c>
      <c r="W215" s="192" t="str">
        <f ca="1">IF(Prj_Inflation=1,IF($B215=1,IF(W$2=1,1,IF(Параметры!W$29=1,1+OFFSET(W211,0,-1),1)),"-"),1)</f>
        <v>-</v>
      </c>
      <c r="X215" s="192" t="str">
        <f ca="1">IF(Prj_Inflation=1,IF($B215=1,IF(X$2=1,1,IF(Параметры!X$29=1,1+OFFSET(X211,0,-1),1)),"-"),1)</f>
        <v>-</v>
      </c>
      <c r="Y215" s="192" t="str">
        <f ca="1">IF(Prj_Inflation=1,IF($B215=1,IF(Y$2=1,1,IF(Параметры!Y$29=1,1+OFFSET(Y211,0,-1),1)),"-"),1)</f>
        <v>-</v>
      </c>
      <c r="Z215" s="192" t="str">
        <f ca="1">IF(Prj_Inflation=1,IF($B215=1,IF(Z$2=1,1,IF(Параметры!Z$29=1,1+OFFSET(Z211,0,-1),1)),"-"),1)</f>
        <v>-</v>
      </c>
      <c r="AA215" s="192" t="str">
        <f ca="1">IF(Prj_Inflation=1,IF($B215=1,IF(AA$2=1,1,IF(Параметры!AA$29=1,1+OFFSET(AA211,0,-1),1)),"-"),1)</f>
        <v>-</v>
      </c>
      <c r="AB215" s="192" t="str">
        <f ca="1">IF(Prj_Inflation=1,IF($B215=1,IF(AB$2=1,1,IF(Параметры!AB$29=1,1+OFFSET(AB211,0,-1),1)),"-"),1)</f>
        <v>-</v>
      </c>
      <c r="AC215" s="192" t="str">
        <f ca="1">IF(Prj_Inflation=1,IF($B215=1,IF(AC$2=1,1,IF(Параметры!AC$29=1,1+OFFSET(AC211,0,-1),1)),"-"),1)</f>
        <v>-</v>
      </c>
      <c r="AD215" s="192" t="str">
        <f ca="1">IF(Prj_Inflation=1,IF($B215=1,IF(AD$2=1,1,IF(Параметры!AD$29=1,1+OFFSET(AD211,0,-1),1)),"-"),1)</f>
        <v>-</v>
      </c>
      <c r="AE215" s="192" t="str">
        <f ca="1">IF(Prj_Inflation=1,IF($B215=1,IF(AE$2=1,1,IF(Параметры!AE$29=1,1+OFFSET(AE211,0,-1),1)),"-"),1)</f>
        <v>-</v>
      </c>
      <c r="AF215" s="192" t="str">
        <f ca="1">IF(Prj_Inflation=1,IF($B215=1,IF(AF$2=1,1,IF(Параметры!AF$29=1,1+OFFSET(AF211,0,-1),1)),"-"),1)</f>
        <v>-</v>
      </c>
      <c r="AG215" s="192" t="str">
        <f ca="1">IF(Prj_Inflation=1,IF($B215=1,IF(AG$2=1,1,IF(Параметры!AG$29=1,1+OFFSET(AG211,0,-1),1)),"-"),1)</f>
        <v>-</v>
      </c>
      <c r="AH215" s="192" t="str">
        <f ca="1">IF(Prj_Inflation=1,IF($B215=1,IF(AH$2=1,1,IF(Параметры!AH$29=1,1+OFFSET(AH211,0,-1),1)),"-"),1)</f>
        <v>-</v>
      </c>
      <c r="AI215" s="192" t="str">
        <f ca="1">IF(Prj_Inflation=1,IF($B215=1,IF(AI$2=1,1,IF(Параметры!AI$29=1,1+OFFSET(AI211,0,-1),1)),"-"),1)</f>
        <v>-</v>
      </c>
      <c r="AJ215" s="192" t="str">
        <f ca="1">IF(Prj_Inflation=1,IF($B215=1,IF(AJ$2=1,1,IF(Параметры!AJ$29=1,1+OFFSET(AJ211,0,-1),1)),"-"),1)</f>
        <v>-</v>
      </c>
      <c r="AK215" s="192" t="str">
        <f ca="1">IF(Prj_Inflation=1,IF($B215=1,IF(AK$2=1,1,IF(Параметры!AK$29=1,1+OFFSET(AK211,0,-1),1)),"-"),1)</f>
        <v>-</v>
      </c>
      <c r="AL215" s="192" t="str">
        <f ca="1">IF(Prj_Inflation=1,IF($B215=1,IF(AL$2=1,1,IF(Параметры!AL$29=1,1+OFFSET(AL211,0,-1),1)),"-"),1)</f>
        <v>-</v>
      </c>
      <c r="AM215" s="192" t="str">
        <f ca="1">IF(Prj_Inflation=1,IF($B215=1,IF(AM$2=1,1,IF(Параметры!AM$29=1,1+OFFSET(AM211,0,-1),1)),"-"),1)</f>
        <v>-</v>
      </c>
      <c r="AN215" s="192" t="str">
        <f ca="1">IF(Prj_Inflation=1,IF($B215=1,IF(AN$2=1,1,IF(Параметры!AN$29=1,1+OFFSET(AN211,0,-1),1)),"-"),1)</f>
        <v>-</v>
      </c>
      <c r="AO215" s="192" t="str">
        <f ca="1">IF(Prj_Inflation=1,IF($B215=1,IF(AO$2=1,1,IF(Параметры!AO$29=1,1+OFFSET(AO211,0,-1),1)),"-"),1)</f>
        <v>-</v>
      </c>
      <c r="AP215" s="192" t="str">
        <f ca="1">IF(Prj_Inflation=1,IF($B215=1,IF(AP$2=1,1,IF(Параметры!AP$29=1,1+OFFSET(AP211,0,-1),1)),"-"),1)</f>
        <v>-</v>
      </c>
      <c r="AQ215" s="192" t="str">
        <f ca="1">IF(Prj_Inflation=1,IF($B215=1,IF(AQ$2=1,1,IF(Параметры!AQ$29=1,1+OFFSET(AQ211,0,-1),1)),"-"),1)</f>
        <v>-</v>
      </c>
      <c r="AR215" s="192" t="str">
        <f ca="1">IF(Prj_Inflation=1,IF($B215=1,IF(AR$2=1,1,IF(Параметры!AR$29=1,1+OFFSET(AR211,0,-1),1)),"-"),1)</f>
        <v>-</v>
      </c>
      <c r="AS215" s="192" t="str">
        <f ca="1">IF(Prj_Inflation=1,IF($B215=1,IF(AS$2=1,1,IF(Параметры!AS$29=1,1+OFFSET(AS211,0,-1),1)),"-"),1)</f>
        <v>-</v>
      </c>
      <c r="AT215" s="192" t="str">
        <f ca="1">IF(Prj_Inflation=1,IF($B215=1,IF(AT$2=1,1,IF(Параметры!AT$29=1,1+OFFSET(AT211,0,-1),1)),"-"),1)</f>
        <v>-</v>
      </c>
      <c r="AU215" s="192" t="str">
        <f ca="1">IF(Prj_Inflation=1,IF($B215=1,IF(AU$2=1,1,IF(Параметры!AU$29=1,1+OFFSET(AU211,0,-1),1)),"-"),1)</f>
        <v>-</v>
      </c>
      <c r="AV215" s="192" t="str">
        <f ca="1">IF(Prj_Inflation=1,IF($B215=1,IF(AV$2=1,1,IF(Параметры!AV$29=1,1+OFFSET(AV211,0,-1),1)),"-"),1)</f>
        <v>-</v>
      </c>
      <c r="AW215" s="192" t="str">
        <f ca="1">IF(Prj_Inflation=1,IF($B215=1,IF(AW$2=1,1,IF(Параметры!AW$29=1,1+OFFSET(AW211,0,-1),1)),"-"),1)</f>
        <v>-</v>
      </c>
      <c r="AX215" s="192" t="str">
        <f ca="1">IF(Prj_Inflation=1,IF($B215=1,IF(AX$2=1,1,IF(Параметры!AX$29=1,1+OFFSET(AX211,0,-1),1)),"-"),1)</f>
        <v>-</v>
      </c>
      <c r="AY215" s="192" t="str">
        <f ca="1">IF(Prj_Inflation=1,IF($B215=1,IF(AY$2=1,1,IF(Параметры!AY$29=1,1+OFFSET(AY211,0,-1),1)),"-"),1)</f>
        <v>-</v>
      </c>
      <c r="AZ215" s="192" t="str">
        <f ca="1">IF(Prj_Inflation=1,IF($B215=1,IF(AZ$2=1,1,IF(Параметры!AZ$29=1,1+OFFSET(AZ211,0,-1),1)),"-"),1)</f>
        <v>-</v>
      </c>
      <c r="BA215" s="192" t="str">
        <f ca="1">IF(Prj_Inflation=1,IF($B215=1,IF(BA$2=1,1,IF(Параметры!BA$29=1,1+OFFSET(BA211,0,-1),1)),"-"),1)</f>
        <v>-</v>
      </c>
      <c r="BB215" s="192" t="str">
        <f ca="1">IF(Prj_Inflation=1,IF($B215=1,IF(BB$2=1,1,IF(Параметры!BB$29=1,1+OFFSET(BB211,0,-1),1)),"-"),1)</f>
        <v>-</v>
      </c>
      <c r="BC215" s="191"/>
      <c r="BD215" s="186"/>
    </row>
    <row r="216" spans="1:811" hidden="1" outlineLevel="1" x14ac:dyDescent="0.3">
      <c r="A216" s="184" t="str">
        <f ca="1">Language!A$654</f>
        <v>пошлины начисленные</v>
      </c>
      <c r="B216" s="174"/>
      <c r="C216" s="163" t="str">
        <f ca="1">CHOOSE(D216,CurName1,CurName2,CurName3)</f>
        <v>руб.</v>
      </c>
      <c r="D216" s="174">
        <f>D193</f>
        <v>1</v>
      </c>
      <c r="E216" s="170" t="s">
        <v>1010</v>
      </c>
      <c r="F216" s="170" t="s">
        <v>740</v>
      </c>
      <c r="G216" s="185">
        <f ca="1">G204*G213</f>
        <v>0</v>
      </c>
      <c r="H216" s="185">
        <f t="shared" ref="H216:M216" ca="1" si="1015">H204*H213</f>
        <v>0</v>
      </c>
      <c r="I216" s="185">
        <f t="shared" ca="1" si="1015"/>
        <v>0</v>
      </c>
      <c r="J216" s="185">
        <f t="shared" ca="1" si="1015"/>
        <v>0</v>
      </c>
      <c r="K216" s="185">
        <f t="shared" ca="1" si="1015"/>
        <v>0</v>
      </c>
      <c r="L216" s="185">
        <f t="shared" ca="1" si="1015"/>
        <v>0</v>
      </c>
      <c r="M216" s="185">
        <f t="shared" ca="1" si="1015"/>
        <v>0</v>
      </c>
      <c r="N216" s="185">
        <f t="shared" ref="N216:O216" ca="1" si="1016">N204*N213</f>
        <v>0</v>
      </c>
      <c r="O216" s="185">
        <f t="shared" ca="1" si="1016"/>
        <v>0</v>
      </c>
      <c r="P216" s="185">
        <f t="shared" ref="P216:Q216" ca="1" si="1017">P204*P213</f>
        <v>0</v>
      </c>
      <c r="Q216" s="185">
        <f t="shared" ca="1" si="1017"/>
        <v>0</v>
      </c>
      <c r="R216" s="185">
        <f t="shared" ref="R216:S216" ca="1" si="1018">R204*R213</f>
        <v>0</v>
      </c>
      <c r="S216" s="185">
        <f t="shared" ca="1" si="1018"/>
        <v>0</v>
      </c>
      <c r="T216" s="185">
        <f t="shared" ref="T216:U216" ca="1" si="1019">T204*T213</f>
        <v>0</v>
      </c>
      <c r="U216" s="185">
        <f t="shared" ca="1" si="1019"/>
        <v>0</v>
      </c>
      <c r="V216" s="185">
        <f t="shared" ref="V216:W216" ca="1" si="1020">V204*V213</f>
        <v>0</v>
      </c>
      <c r="W216" s="185">
        <f t="shared" ca="1" si="1020"/>
        <v>0</v>
      </c>
      <c r="X216" s="185">
        <f t="shared" ref="X216:Y216" ca="1" si="1021">X204*X213</f>
        <v>0</v>
      </c>
      <c r="Y216" s="185">
        <f t="shared" ca="1" si="1021"/>
        <v>0</v>
      </c>
      <c r="Z216" s="185">
        <f t="shared" ref="Z216:AA216" ca="1" si="1022">Z204*Z213</f>
        <v>0</v>
      </c>
      <c r="AA216" s="185">
        <f t="shared" ca="1" si="1022"/>
        <v>0</v>
      </c>
      <c r="AB216" s="185">
        <f t="shared" ref="AB216:AC216" ca="1" si="1023">AB204*AB213</f>
        <v>0</v>
      </c>
      <c r="AC216" s="185">
        <f t="shared" ca="1" si="1023"/>
        <v>0</v>
      </c>
      <c r="AD216" s="185">
        <f t="shared" ref="AD216:AE216" ca="1" si="1024">AD204*AD213</f>
        <v>0</v>
      </c>
      <c r="AE216" s="185">
        <f t="shared" ca="1" si="1024"/>
        <v>0</v>
      </c>
      <c r="AF216" s="185">
        <f t="shared" ref="AF216:AG216" ca="1" si="1025">AF204*AF213</f>
        <v>0</v>
      </c>
      <c r="AG216" s="185">
        <f t="shared" ca="1" si="1025"/>
        <v>0</v>
      </c>
      <c r="AH216" s="185">
        <f t="shared" ref="AH216:AI216" ca="1" si="1026">AH204*AH213</f>
        <v>0</v>
      </c>
      <c r="AI216" s="185">
        <f t="shared" ca="1" si="1026"/>
        <v>0</v>
      </c>
      <c r="AJ216" s="185">
        <f t="shared" ref="AJ216:AK216" ca="1" si="1027">AJ204*AJ213</f>
        <v>0</v>
      </c>
      <c r="AK216" s="185">
        <f t="shared" ca="1" si="1027"/>
        <v>0</v>
      </c>
      <c r="AL216" s="185">
        <f t="shared" ref="AL216:AM216" ca="1" si="1028">AL204*AL213</f>
        <v>0</v>
      </c>
      <c r="AM216" s="185">
        <f t="shared" ca="1" si="1028"/>
        <v>0</v>
      </c>
      <c r="AN216" s="185">
        <f t="shared" ref="AN216:AO216" ca="1" si="1029">AN204*AN213</f>
        <v>0</v>
      </c>
      <c r="AO216" s="185">
        <f t="shared" ca="1" si="1029"/>
        <v>0</v>
      </c>
      <c r="AP216" s="185">
        <f t="shared" ref="AP216:AQ216" ca="1" si="1030">AP204*AP213</f>
        <v>0</v>
      </c>
      <c r="AQ216" s="185">
        <f t="shared" ca="1" si="1030"/>
        <v>0</v>
      </c>
      <c r="AR216" s="185">
        <f t="shared" ref="AR216:AS216" ca="1" si="1031">AR204*AR213</f>
        <v>0</v>
      </c>
      <c r="AS216" s="185">
        <f t="shared" ca="1" si="1031"/>
        <v>0</v>
      </c>
      <c r="AT216" s="185">
        <f t="shared" ref="AT216:AU216" ca="1" si="1032">AT204*AT213</f>
        <v>0</v>
      </c>
      <c r="AU216" s="185">
        <f t="shared" ca="1" si="1032"/>
        <v>0</v>
      </c>
      <c r="AV216" s="185">
        <f t="shared" ref="AV216:AW216" ca="1" si="1033">AV204*AV213</f>
        <v>0</v>
      </c>
      <c r="AW216" s="185">
        <f t="shared" ca="1" si="1033"/>
        <v>0</v>
      </c>
      <c r="AX216" s="185">
        <f t="shared" ref="AX216:AY216" ca="1" si="1034">AX204*AX213</f>
        <v>0</v>
      </c>
      <c r="AY216" s="185">
        <f t="shared" ca="1" si="1034"/>
        <v>0</v>
      </c>
      <c r="AZ216" s="185">
        <f t="shared" ref="AZ216:BA216" ca="1" si="1035">AZ204*AZ213</f>
        <v>0</v>
      </c>
      <c r="BA216" s="185">
        <f t="shared" ca="1" si="1035"/>
        <v>0</v>
      </c>
      <c r="BB216" s="185">
        <f t="shared" ref="BB216" ca="1" si="1036">BB204*BB213</f>
        <v>0</v>
      </c>
      <c r="BC216" s="185"/>
      <c r="BD216" s="193">
        <f ca="1">SUM(G216:BC216)</f>
        <v>0</v>
      </c>
    </row>
    <row r="217" spans="1:811" hidden="1" outlineLevel="1" x14ac:dyDescent="0.3">
      <c r="A217" s="184" t="str">
        <f ca="1">Language!A$655</f>
        <v>НДС начисленный</v>
      </c>
      <c r="B217" s="174"/>
      <c r="C217" s="163" t="str">
        <f ca="1">CHOOSE(D217,CurName1,CurName2,CurName3)</f>
        <v>руб.</v>
      </c>
      <c r="D217" s="174">
        <f>D193</f>
        <v>1</v>
      </c>
      <c r="E217" s="170" t="s">
        <v>785</v>
      </c>
      <c r="F217" s="170" t="s">
        <v>740</v>
      </c>
      <c r="G217" s="185">
        <f ca="1">IF(Старт!$B$9+Старт!$B$10+Старт!$B$11=0,G204,G196)*G212</f>
        <v>0</v>
      </c>
      <c r="H217" s="185">
        <f ca="1">IF(Старт!$B$9+Старт!$B$10+Старт!$B$11=0,H204,H196)*H212</f>
        <v>0</v>
      </c>
      <c r="I217" s="185">
        <f ca="1">IF(Старт!$B$9+Старт!$B$10+Старт!$B$11=0,I204,I196)*I212</f>
        <v>0</v>
      </c>
      <c r="J217" s="185">
        <f ca="1">IF(Старт!$B$9+Старт!$B$10+Старт!$B$11=0,J204,J196)*J212</f>
        <v>0</v>
      </c>
      <c r="K217" s="185">
        <f ca="1">IF(Старт!$B$9+Старт!$B$10+Старт!$B$11=0,K204,K196)*K212</f>
        <v>0</v>
      </c>
      <c r="L217" s="185">
        <f ca="1">IF(Старт!$B$9+Старт!$B$10+Старт!$B$11=0,L204,L196)*L212</f>
        <v>0</v>
      </c>
      <c r="M217" s="185">
        <f ca="1">IF(Старт!$B$9+Старт!$B$10+Старт!$B$11=0,M204,M196)*M212</f>
        <v>0</v>
      </c>
      <c r="N217" s="185">
        <f ca="1">IF(Старт!$B$9+Старт!$B$10+Старт!$B$11=0,N204,N196)*N212</f>
        <v>0</v>
      </c>
      <c r="O217" s="185">
        <f ca="1">IF(Старт!$B$9+Старт!$B$10+Старт!$B$11=0,O204,O196)*O212</f>
        <v>0</v>
      </c>
      <c r="P217" s="185">
        <f ca="1">IF(Старт!$B$9+Старт!$B$10+Старт!$B$11=0,P204,P196)*P212</f>
        <v>0</v>
      </c>
      <c r="Q217" s="185">
        <f ca="1">IF(Старт!$B$9+Старт!$B$10+Старт!$B$11=0,Q204,Q196)*Q212</f>
        <v>0</v>
      </c>
      <c r="R217" s="185">
        <f ca="1">IF(Старт!$B$9+Старт!$B$10+Старт!$B$11=0,R204,R196)*R212</f>
        <v>0</v>
      </c>
      <c r="S217" s="185">
        <f ca="1">IF(Старт!$B$9+Старт!$B$10+Старт!$B$11=0,S204,S196)*S212</f>
        <v>0</v>
      </c>
      <c r="T217" s="185">
        <f ca="1">IF(Старт!$B$9+Старт!$B$10+Старт!$B$11=0,T204,T196)*T212</f>
        <v>0</v>
      </c>
      <c r="U217" s="185">
        <f ca="1">IF(Старт!$B$9+Старт!$B$10+Старт!$B$11=0,U204,U196)*U212</f>
        <v>0</v>
      </c>
      <c r="V217" s="185">
        <f ca="1">IF(Старт!$B$9+Старт!$B$10+Старт!$B$11=0,V204,V196)*V212</f>
        <v>0</v>
      </c>
      <c r="W217" s="185">
        <f ca="1">IF(Старт!$B$9+Старт!$B$10+Старт!$B$11=0,W204,W196)*W212</f>
        <v>0</v>
      </c>
      <c r="X217" s="185">
        <f ca="1">IF(Старт!$B$9+Старт!$B$10+Старт!$B$11=0,X204,X196)*X212</f>
        <v>0</v>
      </c>
      <c r="Y217" s="185">
        <f ca="1">IF(Старт!$B$9+Старт!$B$10+Старт!$B$11=0,Y204,Y196)*Y212</f>
        <v>0</v>
      </c>
      <c r="Z217" s="185">
        <f ca="1">IF(Старт!$B$9+Старт!$B$10+Старт!$B$11=0,Z204,Z196)*Z212</f>
        <v>0</v>
      </c>
      <c r="AA217" s="185">
        <f ca="1">IF(Старт!$B$9+Старт!$B$10+Старт!$B$11=0,AA204,AA196)*AA212</f>
        <v>0</v>
      </c>
      <c r="AB217" s="185">
        <f ca="1">IF(Старт!$B$9+Старт!$B$10+Старт!$B$11=0,AB204,AB196)*AB212</f>
        <v>0</v>
      </c>
      <c r="AC217" s="185">
        <f ca="1">IF(Старт!$B$9+Старт!$B$10+Старт!$B$11=0,AC204,AC196)*AC212</f>
        <v>0</v>
      </c>
      <c r="AD217" s="185">
        <f ca="1">IF(Старт!$B$9+Старт!$B$10+Старт!$B$11=0,AD204,AD196)*AD212</f>
        <v>0</v>
      </c>
      <c r="AE217" s="185">
        <f ca="1">IF(Старт!$B$9+Старт!$B$10+Старт!$B$11=0,AE204,AE196)*AE212</f>
        <v>0</v>
      </c>
      <c r="AF217" s="185">
        <f ca="1">IF(Старт!$B$9+Старт!$B$10+Старт!$B$11=0,AF204,AF196)*AF212</f>
        <v>0</v>
      </c>
      <c r="AG217" s="185">
        <f ca="1">IF(Старт!$B$9+Старт!$B$10+Старт!$B$11=0,AG204,AG196)*AG212</f>
        <v>0</v>
      </c>
      <c r="AH217" s="185">
        <f ca="1">IF(Старт!$B$9+Старт!$B$10+Старт!$B$11=0,AH204,AH196)*AH212</f>
        <v>0</v>
      </c>
      <c r="AI217" s="185">
        <f ca="1">IF(Старт!$B$9+Старт!$B$10+Старт!$B$11=0,AI204,AI196)*AI212</f>
        <v>0</v>
      </c>
      <c r="AJ217" s="185">
        <f ca="1">IF(Старт!$B$9+Старт!$B$10+Старт!$B$11=0,AJ204,AJ196)*AJ212</f>
        <v>0</v>
      </c>
      <c r="AK217" s="185">
        <f ca="1">IF(Старт!$B$9+Старт!$B$10+Старт!$B$11=0,AK204,AK196)*AK212</f>
        <v>0</v>
      </c>
      <c r="AL217" s="185">
        <f ca="1">IF(Старт!$B$9+Старт!$B$10+Старт!$B$11=0,AL204,AL196)*AL212</f>
        <v>0</v>
      </c>
      <c r="AM217" s="185">
        <f ca="1">IF(Старт!$B$9+Старт!$B$10+Старт!$B$11=0,AM204,AM196)*AM212</f>
        <v>0</v>
      </c>
      <c r="AN217" s="185">
        <f ca="1">IF(Старт!$B$9+Старт!$B$10+Старт!$B$11=0,AN204,AN196)*AN212</f>
        <v>0</v>
      </c>
      <c r="AO217" s="185">
        <f ca="1">IF(Старт!$B$9+Старт!$B$10+Старт!$B$11=0,AO204,AO196)*AO212</f>
        <v>0</v>
      </c>
      <c r="AP217" s="185">
        <f ca="1">IF(Старт!$B$9+Старт!$B$10+Старт!$B$11=0,AP204,AP196)*AP212</f>
        <v>0</v>
      </c>
      <c r="AQ217" s="185">
        <f ca="1">IF(Старт!$B$9+Старт!$B$10+Старт!$B$11=0,AQ204,AQ196)*AQ212</f>
        <v>0</v>
      </c>
      <c r="AR217" s="185">
        <f ca="1">IF(Старт!$B$9+Старт!$B$10+Старт!$B$11=0,AR204,AR196)*AR212</f>
        <v>0</v>
      </c>
      <c r="AS217" s="185">
        <f ca="1">IF(Старт!$B$9+Старт!$B$10+Старт!$B$11=0,AS204,AS196)*AS212</f>
        <v>0</v>
      </c>
      <c r="AT217" s="185">
        <f ca="1">IF(Старт!$B$9+Старт!$B$10+Старт!$B$11=0,AT204,AT196)*AT212</f>
        <v>0</v>
      </c>
      <c r="AU217" s="185">
        <f ca="1">IF(Старт!$B$9+Старт!$B$10+Старт!$B$11=0,AU204,AU196)*AU212</f>
        <v>0</v>
      </c>
      <c r="AV217" s="185">
        <f ca="1">IF(Старт!$B$9+Старт!$B$10+Старт!$B$11=0,AV204,AV196)*AV212</f>
        <v>0</v>
      </c>
      <c r="AW217" s="185">
        <f ca="1">IF(Старт!$B$9+Старт!$B$10+Старт!$B$11=0,AW204,AW196)*AW212</f>
        <v>0</v>
      </c>
      <c r="AX217" s="185">
        <f ca="1">IF(Старт!$B$9+Старт!$B$10+Старт!$B$11=0,AX204,AX196)*AX212</f>
        <v>0</v>
      </c>
      <c r="AY217" s="185">
        <f ca="1">IF(Старт!$B$9+Старт!$B$10+Старт!$B$11=0,AY204,AY196)*AY212</f>
        <v>0</v>
      </c>
      <c r="AZ217" s="185">
        <f ca="1">IF(Старт!$B$9+Старт!$B$10+Старт!$B$11=0,AZ204,AZ196)*AZ212</f>
        <v>0</v>
      </c>
      <c r="BA217" s="185">
        <f ca="1">IF(Старт!$B$9+Старт!$B$10+Старт!$B$11=0,BA204,BA196)*BA212</f>
        <v>0</v>
      </c>
      <c r="BB217" s="185">
        <f ca="1">IF(Старт!$B$9+Старт!$B$10+Старт!$B$11=0,BB204,BB196)*BB212</f>
        <v>0</v>
      </c>
      <c r="BC217" s="185"/>
      <c r="BD217" s="193">
        <f ca="1">SUM(G217:BC217)</f>
        <v>0</v>
      </c>
    </row>
    <row r="218" spans="1:811" x14ac:dyDescent="0.3">
      <c r="A218" s="300" t="s">
        <v>3469</v>
      </c>
      <c r="B218" s="199"/>
      <c r="C218" s="176"/>
      <c r="D218" s="174">
        <v>1</v>
      </c>
      <c r="F218" s="170" t="s">
        <v>3464</v>
      </c>
      <c r="G218" s="177"/>
      <c r="H218" s="177"/>
      <c r="I218" s="177"/>
      <c r="J218" s="177"/>
      <c r="K218" s="177"/>
      <c r="L218" s="177"/>
      <c r="M218" s="177"/>
      <c r="N218" s="177"/>
      <c r="O218" s="177"/>
      <c r="P218" s="177"/>
      <c r="Q218" s="177"/>
      <c r="R218" s="177"/>
      <c r="S218" s="177"/>
      <c r="T218" s="177"/>
      <c r="U218" s="177"/>
      <c r="V218" s="177"/>
      <c r="W218" s="177"/>
      <c r="X218" s="177"/>
      <c r="Y218" s="177"/>
      <c r="Z218" s="177"/>
      <c r="AA218" s="177"/>
      <c r="AB218" s="177"/>
      <c r="AC218" s="177"/>
      <c r="AD218" s="177"/>
      <c r="AE218" s="177"/>
      <c r="AF218" s="177"/>
      <c r="AG218" s="177"/>
      <c r="AH218" s="177"/>
      <c r="AI218" s="177"/>
      <c r="AJ218" s="177"/>
      <c r="AK218" s="177"/>
      <c r="AL218" s="177"/>
      <c r="AM218" s="177"/>
      <c r="AN218" s="177"/>
      <c r="AO218" s="177"/>
      <c r="AP218" s="177"/>
      <c r="AQ218" s="177"/>
      <c r="AR218" s="177"/>
      <c r="AS218" s="177"/>
      <c r="AT218" s="177"/>
      <c r="AU218" s="177"/>
      <c r="AV218" s="177"/>
      <c r="AW218" s="177"/>
      <c r="AX218" s="177"/>
      <c r="AY218" s="177"/>
      <c r="AZ218" s="177"/>
      <c r="BA218" s="177"/>
      <c r="BB218" s="177"/>
      <c r="BC218" s="177"/>
      <c r="BD218" s="178"/>
    </row>
    <row r="219" spans="1:811" x14ac:dyDescent="0.3">
      <c r="A219" s="175" t="str">
        <f ca="1">Language!A$633</f>
        <v>расход за период, без учета инфляции, без НДС</v>
      </c>
      <c r="B219" s="200"/>
      <c r="C219" s="176" t="str">
        <f ca="1">CHOOSE(D219,CurName1,CurName2,CurName3)</f>
        <v>руб.</v>
      </c>
      <c r="D219" s="174">
        <f>D218</f>
        <v>1</v>
      </c>
      <c r="F219" s="170" t="s">
        <v>2353</v>
      </c>
      <c r="G219" s="285">
        <f ca="1">2.5%*G128</f>
        <v>0</v>
      </c>
      <c r="H219" s="285">
        <f t="shared" ref="H219:BB219" ca="1" si="1037">2.5%*H128</f>
        <v>0</v>
      </c>
      <c r="I219" s="285">
        <f t="shared" ca="1" si="1037"/>
        <v>0</v>
      </c>
      <c r="J219" s="285">
        <f t="shared" ca="1" si="1037"/>
        <v>0</v>
      </c>
      <c r="K219" s="285">
        <f t="shared" ca="1" si="1037"/>
        <v>0</v>
      </c>
      <c r="L219" s="285">
        <f t="shared" ca="1" si="1037"/>
        <v>0</v>
      </c>
      <c r="M219" s="285">
        <f t="shared" ca="1" si="1037"/>
        <v>187174.55596314371</v>
      </c>
      <c r="N219" s="285">
        <f t="shared" ca="1" si="1037"/>
        <v>250780.85010511993</v>
      </c>
      <c r="O219" s="285">
        <f t="shared" ca="1" si="1037"/>
        <v>315001.92321728298</v>
      </c>
      <c r="P219" s="285">
        <f t="shared" ca="1" si="1037"/>
        <v>379842.25320806802</v>
      </c>
      <c r="Q219" s="285">
        <f t="shared" ca="1" si="1037"/>
        <v>381691.15458241221</v>
      </c>
      <c r="R219" s="285">
        <f t="shared" ca="1" si="1037"/>
        <v>383549.05557768623</v>
      </c>
      <c r="S219" s="285">
        <f t="shared" ca="1" si="1037"/>
        <v>513888.00000000029</v>
      </c>
      <c r="T219" s="285">
        <f t="shared" ca="1" si="1037"/>
        <v>451840.703846808</v>
      </c>
      <c r="U219" s="285">
        <f t="shared" ca="1" si="1037"/>
        <v>389177.19541736785</v>
      </c>
      <c r="V219" s="285">
        <f t="shared" ca="1" si="1037"/>
        <v>391071.53509494022</v>
      </c>
      <c r="W219" s="285">
        <f t="shared" ca="1" si="1037"/>
        <v>327479.24630556768</v>
      </c>
      <c r="X219" s="285">
        <f t="shared" ca="1" si="1037"/>
        <v>526517.22895369667</v>
      </c>
      <c r="Y219" s="285">
        <f t="shared" ca="1" si="1037"/>
        <v>661350.09773644141</v>
      </c>
      <c r="Z219" s="285">
        <f t="shared" ca="1" si="1037"/>
        <v>664569.25277856819</v>
      </c>
      <c r="AA219" s="285">
        <f t="shared" ca="1" si="1037"/>
        <v>467462.85405444814</v>
      </c>
      <c r="AB219" s="285">
        <f t="shared" ca="1" si="1037"/>
        <v>335527.32366712688</v>
      </c>
      <c r="AC219" s="285">
        <f t="shared" ca="1" si="1037"/>
        <v>337160.51988113089</v>
      </c>
      <c r="AD219" s="285">
        <f t="shared" ca="1" si="1037"/>
        <v>406561.99891234748</v>
      </c>
      <c r="AE219" s="285">
        <f t="shared" ca="1" si="1037"/>
        <v>544721.28000000049</v>
      </c>
      <c r="AF219" s="285">
        <f t="shared" ca="1" si="1037"/>
        <v>478951.14607761637</v>
      </c>
      <c r="AG219" s="285">
        <f t="shared" ca="1" si="1037"/>
        <v>412527.82714240986</v>
      </c>
      <c r="AH219" s="285">
        <f t="shared" ca="1" si="1037"/>
        <v>414535.82720063673</v>
      </c>
      <c r="AI219" s="285">
        <f t="shared" ca="1" si="1037"/>
        <v>347128.00108390173</v>
      </c>
      <c r="AJ219" s="285">
        <f t="shared" ca="1" si="1037"/>
        <v>558108.26269091852</v>
      </c>
      <c r="AK219" s="285">
        <f t="shared" ca="1" si="1037"/>
        <v>701031.10360062809</v>
      </c>
      <c r="AL219" s="285">
        <f t="shared" ca="1" si="1037"/>
        <v>704443.40794528229</v>
      </c>
      <c r="AM219" s="285">
        <f t="shared" ca="1" si="1037"/>
        <v>495510.62529771496</v>
      </c>
      <c r="AN219" s="285">
        <f t="shared" ca="1" si="1037"/>
        <v>355658.96308715455</v>
      </c>
      <c r="AO219" s="285">
        <f t="shared" ca="1" si="1037"/>
        <v>357390.15107399877</v>
      </c>
      <c r="AP219" s="285">
        <f t="shared" ca="1" si="1037"/>
        <v>430955.71884708846</v>
      </c>
      <c r="AQ219" s="285">
        <f t="shared" ca="1" si="1037"/>
        <v>577404.55680000072</v>
      </c>
      <c r="AR219" s="285">
        <f t="shared" ca="1" si="1037"/>
        <v>507688.21484227362</v>
      </c>
      <c r="AS219" s="285">
        <f t="shared" ca="1" si="1037"/>
        <v>437279.49677095463</v>
      </c>
      <c r="AT219" s="285">
        <f t="shared" ca="1" si="1037"/>
        <v>439407.97683267505</v>
      </c>
      <c r="AU219" s="285">
        <f t="shared" ca="1" si="1037"/>
        <v>367955.68114893604</v>
      </c>
      <c r="AV219" s="285">
        <f t="shared" ca="1" si="1037"/>
        <v>591594.75845237402</v>
      </c>
      <c r="AW219" s="285">
        <f t="shared" ca="1" si="1037"/>
        <v>743092.96981666598</v>
      </c>
      <c r="AX219" s="285">
        <f t="shared" ca="1" si="1037"/>
        <v>746710.01242199959</v>
      </c>
      <c r="AY219" s="285">
        <f t="shared" ca="1" si="1037"/>
        <v>525241.26281557803</v>
      </c>
      <c r="AZ219" s="285">
        <f t="shared" ca="1" si="1037"/>
        <v>376998.500872384</v>
      </c>
      <c r="BA219" s="285">
        <f t="shared" ca="1" si="1037"/>
        <v>378833.56013843883</v>
      </c>
      <c r="BB219" s="285">
        <f t="shared" ca="1" si="1037"/>
        <v>456813.06197791389</v>
      </c>
      <c r="BC219" s="285">
        <f t="shared" ref="BC219" si="1038">2.5%*BC128</f>
        <v>0</v>
      </c>
      <c r="BD219" s="178">
        <f ca="1">SUM(G219:BC219)</f>
        <v>19320628.116239704</v>
      </c>
      <c r="BE219" s="285"/>
      <c r="BF219" s="285"/>
      <c r="BG219" s="285"/>
      <c r="BH219" s="285"/>
      <c r="BI219" s="285"/>
      <c r="BJ219" s="285"/>
      <c r="BK219" s="285"/>
      <c r="BL219" s="285"/>
      <c r="BM219" s="285"/>
      <c r="BN219" s="285"/>
      <c r="BO219" s="285"/>
      <c r="BP219" s="285"/>
      <c r="BQ219" s="285"/>
      <c r="BR219" s="285"/>
      <c r="BS219" s="285"/>
      <c r="BT219" s="285"/>
      <c r="BU219" s="285"/>
      <c r="BV219" s="285"/>
      <c r="BW219" s="285"/>
      <c r="BX219" s="285"/>
      <c r="BY219" s="285"/>
      <c r="BZ219" s="285"/>
      <c r="CA219" s="285"/>
      <c r="CB219" s="285"/>
      <c r="CC219" s="285"/>
      <c r="CD219" s="285"/>
      <c r="CE219" s="285"/>
      <c r="CF219" s="285"/>
      <c r="CG219" s="285"/>
      <c r="CH219" s="285"/>
      <c r="CI219" s="285"/>
      <c r="CJ219" s="285"/>
      <c r="CK219" s="285"/>
      <c r="CL219" s="285"/>
      <c r="CM219" s="285"/>
      <c r="CN219" s="285"/>
      <c r="CO219" s="285"/>
      <c r="CP219" s="285"/>
      <c r="CQ219" s="285"/>
      <c r="CR219" s="285"/>
      <c r="CS219" s="285"/>
      <c r="CT219" s="285"/>
      <c r="CU219" s="285"/>
      <c r="CV219" s="285"/>
      <c r="CW219" s="285"/>
      <c r="CX219" s="285"/>
      <c r="CY219" s="285"/>
      <c r="CZ219" s="285"/>
      <c r="DA219" s="285"/>
      <c r="DB219" s="285"/>
      <c r="DC219" s="285"/>
      <c r="DD219" s="285"/>
      <c r="DE219" s="285"/>
      <c r="DF219" s="285"/>
      <c r="DG219" s="285"/>
      <c r="DH219" s="285"/>
      <c r="DI219" s="285"/>
      <c r="DJ219" s="285"/>
      <c r="DK219" s="285"/>
      <c r="DL219" s="285"/>
      <c r="DM219" s="285"/>
      <c r="DN219" s="285"/>
      <c r="DO219" s="285"/>
      <c r="DP219" s="285"/>
      <c r="DQ219" s="285"/>
      <c r="DR219" s="285"/>
      <c r="DS219" s="285"/>
      <c r="DT219" s="285"/>
      <c r="DU219" s="285"/>
      <c r="DV219" s="285"/>
      <c r="DW219" s="285"/>
      <c r="DX219" s="285"/>
      <c r="DY219" s="285"/>
      <c r="DZ219" s="285"/>
      <c r="EA219" s="285"/>
      <c r="EB219" s="285"/>
      <c r="EC219" s="285"/>
      <c r="ED219" s="285"/>
      <c r="EE219" s="285"/>
      <c r="EF219" s="285"/>
      <c r="EG219" s="285"/>
      <c r="EH219" s="285"/>
      <c r="EI219" s="285"/>
      <c r="EJ219" s="285"/>
      <c r="EK219" s="285"/>
      <c r="EL219" s="285"/>
      <c r="EM219" s="285"/>
      <c r="EN219" s="285"/>
      <c r="EO219" s="285"/>
      <c r="EP219" s="285"/>
      <c r="EQ219" s="285"/>
      <c r="ER219" s="285"/>
      <c r="ES219" s="285"/>
      <c r="ET219" s="285"/>
      <c r="EU219" s="285"/>
      <c r="EV219" s="285"/>
      <c r="EW219" s="285"/>
      <c r="EX219" s="285"/>
      <c r="EY219" s="285"/>
      <c r="EZ219" s="285"/>
      <c r="FA219" s="285"/>
      <c r="FB219" s="285"/>
      <c r="FC219" s="285"/>
      <c r="FD219" s="285"/>
      <c r="FE219" s="285"/>
      <c r="FF219" s="285"/>
      <c r="FG219" s="285"/>
      <c r="FH219" s="285"/>
      <c r="FI219" s="285"/>
      <c r="FJ219" s="285"/>
      <c r="FK219" s="285"/>
      <c r="FL219" s="285"/>
      <c r="FM219" s="285"/>
      <c r="FN219" s="285"/>
      <c r="FO219" s="285"/>
      <c r="FP219" s="285"/>
      <c r="FQ219" s="285"/>
      <c r="FR219" s="285"/>
      <c r="FS219" s="285"/>
      <c r="FT219" s="285"/>
      <c r="FU219" s="285"/>
      <c r="FV219" s="285"/>
      <c r="FW219" s="285"/>
      <c r="FX219" s="285"/>
      <c r="FY219" s="285"/>
      <c r="FZ219" s="285"/>
      <c r="GA219" s="285"/>
      <c r="GB219" s="285"/>
      <c r="GC219" s="285"/>
      <c r="GD219" s="285"/>
      <c r="GE219" s="285"/>
      <c r="GF219" s="285"/>
      <c r="GG219" s="285"/>
      <c r="GH219" s="285"/>
      <c r="GI219" s="285"/>
      <c r="GJ219" s="285"/>
      <c r="GK219" s="285"/>
      <c r="GL219" s="285"/>
      <c r="GM219" s="285"/>
      <c r="GN219" s="285"/>
      <c r="GO219" s="285"/>
      <c r="GP219" s="285"/>
      <c r="GQ219" s="285"/>
      <c r="GR219" s="285"/>
      <c r="GS219" s="285"/>
      <c r="GT219" s="285"/>
      <c r="GU219" s="285"/>
      <c r="GV219" s="285"/>
      <c r="GW219" s="285"/>
      <c r="GX219" s="285"/>
      <c r="GY219" s="285"/>
      <c r="GZ219" s="285"/>
      <c r="HA219" s="285"/>
      <c r="HB219" s="285"/>
      <c r="HC219" s="285"/>
      <c r="HD219" s="285"/>
      <c r="HE219" s="285"/>
      <c r="HF219" s="285"/>
      <c r="HG219" s="285"/>
      <c r="HH219" s="285"/>
      <c r="HI219" s="285"/>
      <c r="HJ219" s="285"/>
      <c r="HK219" s="285"/>
      <c r="HL219" s="285"/>
      <c r="HM219" s="285"/>
      <c r="HN219" s="285"/>
      <c r="HO219" s="285"/>
      <c r="HP219" s="285"/>
      <c r="HQ219" s="285"/>
      <c r="HR219" s="285"/>
      <c r="HS219" s="285"/>
      <c r="HT219" s="285"/>
      <c r="HU219" s="285"/>
      <c r="HV219" s="285"/>
      <c r="HW219" s="285"/>
      <c r="HX219" s="285"/>
      <c r="HY219" s="285"/>
      <c r="HZ219" s="285"/>
      <c r="IA219" s="285"/>
      <c r="IB219" s="285"/>
      <c r="IC219" s="285"/>
      <c r="ID219" s="285"/>
      <c r="IE219" s="285"/>
      <c r="IF219" s="285"/>
      <c r="IG219" s="285"/>
      <c r="IH219" s="285"/>
      <c r="II219" s="285"/>
      <c r="IJ219" s="285"/>
      <c r="IK219" s="285"/>
      <c r="IL219" s="285"/>
      <c r="IM219" s="285"/>
      <c r="IN219" s="285"/>
      <c r="IO219" s="285"/>
      <c r="IP219" s="285"/>
      <c r="IQ219" s="285"/>
      <c r="IR219" s="285"/>
      <c r="IS219" s="285"/>
      <c r="IT219" s="285"/>
      <c r="IU219" s="285"/>
      <c r="IV219" s="285"/>
      <c r="IW219" s="285"/>
      <c r="IX219" s="285"/>
      <c r="IY219" s="285"/>
      <c r="IZ219" s="285"/>
      <c r="JA219" s="285"/>
      <c r="JB219" s="285"/>
      <c r="JC219" s="285"/>
      <c r="JD219" s="285"/>
      <c r="JE219" s="285"/>
      <c r="JF219" s="285"/>
      <c r="JG219" s="285"/>
      <c r="JH219" s="285"/>
      <c r="JI219" s="285"/>
      <c r="JJ219" s="285"/>
      <c r="JK219" s="285"/>
      <c r="JL219" s="285"/>
      <c r="JM219" s="285"/>
      <c r="JN219" s="285"/>
      <c r="JO219" s="285"/>
      <c r="JP219" s="285"/>
      <c r="JQ219" s="285"/>
      <c r="JR219" s="285"/>
      <c r="JS219" s="285"/>
      <c r="JT219" s="285"/>
      <c r="JU219" s="285"/>
      <c r="JV219" s="285"/>
      <c r="JW219" s="285"/>
      <c r="JX219" s="285"/>
      <c r="JY219" s="285"/>
      <c r="JZ219" s="285"/>
      <c r="KA219" s="285"/>
      <c r="KB219" s="285"/>
      <c r="KC219" s="285"/>
      <c r="KD219" s="285"/>
      <c r="KE219" s="285"/>
      <c r="KF219" s="285"/>
      <c r="KG219" s="285"/>
      <c r="KH219" s="285"/>
      <c r="KI219" s="285"/>
      <c r="KJ219" s="285"/>
      <c r="KK219" s="285"/>
      <c r="KL219" s="285"/>
      <c r="KM219" s="285"/>
      <c r="KN219" s="285"/>
      <c r="KO219" s="285"/>
      <c r="KP219" s="285"/>
      <c r="KQ219" s="285"/>
      <c r="KR219" s="285"/>
      <c r="KS219" s="285"/>
      <c r="KT219" s="285"/>
      <c r="KU219" s="285"/>
      <c r="KV219" s="285"/>
      <c r="KW219" s="285"/>
      <c r="KX219" s="285"/>
      <c r="KY219" s="285"/>
      <c r="KZ219" s="285"/>
      <c r="LA219" s="285"/>
      <c r="LB219" s="285"/>
      <c r="LC219" s="285"/>
      <c r="LD219" s="285"/>
      <c r="LE219" s="285"/>
      <c r="LF219" s="285"/>
      <c r="LG219" s="285"/>
      <c r="LH219" s="285"/>
      <c r="LI219" s="285"/>
      <c r="LJ219" s="285"/>
      <c r="LK219" s="285"/>
      <c r="LL219" s="285"/>
      <c r="LM219" s="285"/>
      <c r="LN219" s="285"/>
      <c r="LO219" s="285"/>
      <c r="LP219" s="285"/>
      <c r="LQ219" s="285"/>
      <c r="LR219" s="285"/>
      <c r="LS219" s="285"/>
      <c r="LT219" s="285"/>
      <c r="LU219" s="285"/>
      <c r="LV219" s="285"/>
      <c r="LW219" s="285"/>
      <c r="LX219" s="285"/>
      <c r="LY219" s="285"/>
      <c r="LZ219" s="285"/>
      <c r="MA219" s="285"/>
      <c r="MB219" s="285"/>
      <c r="MC219" s="285"/>
      <c r="MD219" s="285"/>
      <c r="ME219" s="285"/>
      <c r="MF219" s="285"/>
      <c r="MG219" s="285"/>
      <c r="MH219" s="285"/>
      <c r="MI219" s="285"/>
      <c r="MJ219" s="285"/>
      <c r="MK219" s="285"/>
      <c r="ML219" s="285"/>
      <c r="MM219" s="285"/>
      <c r="MN219" s="285"/>
      <c r="MO219" s="285"/>
      <c r="MP219" s="285"/>
      <c r="MQ219" s="285"/>
      <c r="MR219" s="285"/>
      <c r="MS219" s="285"/>
      <c r="MT219" s="285"/>
      <c r="MU219" s="285"/>
      <c r="MV219" s="285"/>
      <c r="MW219" s="285"/>
      <c r="MX219" s="285"/>
      <c r="MY219" s="285"/>
      <c r="MZ219" s="285"/>
      <c r="NA219" s="285"/>
      <c r="NB219" s="285"/>
      <c r="NC219" s="285"/>
      <c r="ND219" s="285"/>
      <c r="NE219" s="285"/>
      <c r="NF219" s="285"/>
      <c r="NG219" s="285"/>
      <c r="NH219" s="285"/>
      <c r="NI219" s="285"/>
      <c r="NJ219" s="285"/>
      <c r="NK219" s="285"/>
      <c r="NL219" s="285"/>
      <c r="NM219" s="285"/>
      <c r="NN219" s="285"/>
      <c r="NO219" s="285"/>
      <c r="NP219" s="285"/>
      <c r="NQ219" s="285"/>
      <c r="NR219" s="285"/>
      <c r="NS219" s="285"/>
      <c r="NT219" s="285"/>
      <c r="NU219" s="285"/>
      <c r="NV219" s="285"/>
      <c r="NW219" s="285"/>
      <c r="NX219" s="285"/>
      <c r="NY219" s="285"/>
      <c r="NZ219" s="285"/>
      <c r="OA219" s="285"/>
      <c r="OB219" s="285"/>
      <c r="OC219" s="285"/>
      <c r="OD219" s="285"/>
      <c r="OE219" s="285"/>
      <c r="OF219" s="285"/>
      <c r="OG219" s="285"/>
      <c r="OH219" s="285"/>
      <c r="OI219" s="285"/>
      <c r="OJ219" s="285"/>
      <c r="OK219" s="285"/>
      <c r="OL219" s="285"/>
      <c r="OM219" s="285"/>
      <c r="ON219" s="285"/>
      <c r="OO219" s="285"/>
      <c r="OP219" s="285"/>
      <c r="OQ219" s="285"/>
      <c r="OR219" s="285"/>
      <c r="OS219" s="285"/>
      <c r="OT219" s="285"/>
      <c r="OU219" s="285"/>
      <c r="OV219" s="285"/>
      <c r="OW219" s="285"/>
      <c r="OX219" s="285"/>
      <c r="OY219" s="285"/>
      <c r="OZ219" s="285"/>
      <c r="PA219" s="285"/>
      <c r="PB219" s="285"/>
      <c r="PC219" s="285"/>
      <c r="PD219" s="285"/>
      <c r="PE219" s="285"/>
      <c r="PF219" s="285"/>
      <c r="PG219" s="285"/>
      <c r="PH219" s="285"/>
      <c r="PI219" s="285"/>
      <c r="PJ219" s="285"/>
      <c r="PK219" s="285"/>
      <c r="PL219" s="285"/>
      <c r="PM219" s="285"/>
      <c r="PN219" s="285"/>
      <c r="PO219" s="285"/>
      <c r="PP219" s="285"/>
      <c r="PQ219" s="285"/>
      <c r="PR219" s="285"/>
      <c r="PS219" s="285"/>
      <c r="PT219" s="285"/>
      <c r="PU219" s="285"/>
      <c r="PV219" s="285"/>
      <c r="PW219" s="285"/>
      <c r="PX219" s="285"/>
      <c r="PY219" s="285"/>
      <c r="PZ219" s="285"/>
      <c r="QA219" s="285"/>
      <c r="QB219" s="285"/>
      <c r="QC219" s="285"/>
      <c r="QD219" s="285"/>
      <c r="QE219" s="285"/>
      <c r="QF219" s="285"/>
      <c r="QG219" s="285"/>
      <c r="QH219" s="285"/>
      <c r="QI219" s="285"/>
      <c r="QJ219" s="285"/>
      <c r="QK219" s="285"/>
      <c r="QL219" s="285"/>
      <c r="QM219" s="285"/>
      <c r="QN219" s="285"/>
      <c r="QO219" s="285"/>
      <c r="QP219" s="285"/>
      <c r="QQ219" s="285"/>
      <c r="QR219" s="285"/>
      <c r="QS219" s="285"/>
      <c r="QT219" s="285"/>
      <c r="QU219" s="285"/>
      <c r="QV219" s="285"/>
      <c r="QW219" s="285"/>
      <c r="QX219" s="285"/>
      <c r="QY219" s="285"/>
      <c r="QZ219" s="285"/>
      <c r="RA219" s="285"/>
      <c r="RB219" s="285"/>
      <c r="RC219" s="285"/>
      <c r="RD219" s="285"/>
      <c r="RE219" s="285"/>
      <c r="RF219" s="285"/>
      <c r="RG219" s="285"/>
      <c r="RH219" s="285"/>
      <c r="RI219" s="285"/>
      <c r="RJ219" s="285"/>
      <c r="RK219" s="285"/>
      <c r="RL219" s="285"/>
      <c r="RM219" s="285"/>
      <c r="RN219" s="285"/>
      <c r="RO219" s="285"/>
      <c r="RP219" s="285"/>
      <c r="RQ219" s="285"/>
      <c r="RR219" s="285"/>
      <c r="RS219" s="285"/>
      <c r="RT219" s="285"/>
      <c r="RU219" s="285"/>
      <c r="RV219" s="285"/>
      <c r="RW219" s="285"/>
      <c r="RX219" s="285"/>
      <c r="RY219" s="285"/>
      <c r="RZ219" s="285"/>
      <c r="SA219" s="285"/>
      <c r="SB219" s="285"/>
      <c r="SC219" s="285"/>
      <c r="SD219" s="285"/>
      <c r="SE219" s="285"/>
      <c r="SF219" s="285"/>
      <c r="SG219" s="285"/>
      <c r="SH219" s="285"/>
      <c r="SI219" s="285"/>
      <c r="SJ219" s="285"/>
      <c r="SK219" s="285"/>
      <c r="SL219" s="285"/>
      <c r="SM219" s="285"/>
      <c r="SN219" s="285"/>
      <c r="SO219" s="285"/>
      <c r="SP219" s="285"/>
      <c r="SQ219" s="285"/>
      <c r="SR219" s="285"/>
      <c r="SS219" s="285"/>
      <c r="ST219" s="285"/>
      <c r="SU219" s="285"/>
      <c r="SV219" s="285"/>
      <c r="SW219" s="285"/>
      <c r="SX219" s="285"/>
      <c r="SY219" s="285"/>
      <c r="SZ219" s="285"/>
      <c r="TA219" s="285"/>
      <c r="TB219" s="285"/>
      <c r="TC219" s="285"/>
      <c r="TD219" s="285"/>
      <c r="TE219" s="285"/>
      <c r="TF219" s="285"/>
      <c r="TG219" s="285"/>
      <c r="TH219" s="285"/>
      <c r="TI219" s="285"/>
      <c r="TJ219" s="285"/>
      <c r="TK219" s="285"/>
      <c r="TL219" s="285"/>
      <c r="TM219" s="285"/>
      <c r="TN219" s="285"/>
      <c r="TO219" s="285"/>
      <c r="TP219" s="285"/>
      <c r="TQ219" s="285"/>
      <c r="TR219" s="285"/>
      <c r="TS219" s="285"/>
      <c r="TT219" s="285"/>
      <c r="TU219" s="285"/>
      <c r="TV219" s="285"/>
      <c r="TW219" s="285"/>
      <c r="TX219" s="285"/>
      <c r="TY219" s="285"/>
      <c r="TZ219" s="285"/>
      <c r="UA219" s="285"/>
      <c r="UB219" s="285"/>
      <c r="UC219" s="285"/>
      <c r="UD219" s="285"/>
      <c r="UE219" s="285"/>
      <c r="UF219" s="285"/>
      <c r="UG219" s="285"/>
      <c r="UH219" s="285"/>
      <c r="UI219" s="285"/>
      <c r="UJ219" s="285"/>
      <c r="UK219" s="285"/>
      <c r="UL219" s="285"/>
      <c r="UM219" s="285"/>
      <c r="UN219" s="285"/>
      <c r="UO219" s="285"/>
      <c r="UP219" s="285"/>
      <c r="UQ219" s="285"/>
      <c r="UR219" s="285"/>
      <c r="US219" s="285"/>
      <c r="UT219" s="285"/>
      <c r="UU219" s="285"/>
      <c r="UV219" s="285"/>
      <c r="UW219" s="285"/>
      <c r="UX219" s="285"/>
      <c r="UY219" s="285"/>
      <c r="UZ219" s="285"/>
      <c r="VA219" s="285"/>
      <c r="VB219" s="285"/>
      <c r="VC219" s="285"/>
      <c r="VD219" s="285"/>
      <c r="VE219" s="285"/>
      <c r="VF219" s="285"/>
      <c r="VG219" s="285"/>
      <c r="VH219" s="285"/>
      <c r="VI219" s="285"/>
      <c r="VJ219" s="285"/>
      <c r="VK219" s="285"/>
      <c r="VL219" s="285"/>
      <c r="VM219" s="285"/>
      <c r="VN219" s="285"/>
      <c r="VO219" s="285"/>
      <c r="VP219" s="285"/>
      <c r="VQ219" s="285"/>
      <c r="VR219" s="285"/>
      <c r="VS219" s="285"/>
      <c r="VT219" s="285"/>
      <c r="VU219" s="285"/>
      <c r="VV219" s="285"/>
      <c r="VW219" s="285"/>
      <c r="VX219" s="285"/>
      <c r="VY219" s="285"/>
      <c r="VZ219" s="285"/>
      <c r="WA219" s="285"/>
      <c r="WB219" s="285"/>
      <c r="WC219" s="285"/>
      <c r="WD219" s="285"/>
      <c r="WE219" s="285"/>
      <c r="WF219" s="285"/>
      <c r="WG219" s="285"/>
      <c r="WH219" s="285"/>
      <c r="WI219" s="285"/>
      <c r="WJ219" s="285"/>
      <c r="WK219" s="285"/>
      <c r="WL219" s="285"/>
      <c r="WM219" s="285"/>
      <c r="WN219" s="285"/>
      <c r="WO219" s="285"/>
      <c r="WP219" s="285"/>
      <c r="WQ219" s="285"/>
      <c r="WR219" s="285"/>
      <c r="WS219" s="285"/>
      <c r="WT219" s="285"/>
      <c r="WU219" s="285"/>
      <c r="WV219" s="285"/>
      <c r="WW219" s="285"/>
      <c r="WX219" s="285"/>
      <c r="WY219" s="285"/>
      <c r="WZ219" s="285"/>
      <c r="XA219" s="285"/>
      <c r="XB219" s="285"/>
      <c r="XC219" s="285"/>
      <c r="XD219" s="285"/>
      <c r="XE219" s="285"/>
      <c r="XF219" s="285"/>
      <c r="XG219" s="285"/>
      <c r="XH219" s="285"/>
      <c r="XI219" s="285"/>
      <c r="XJ219" s="285"/>
      <c r="XK219" s="285"/>
      <c r="XL219" s="285"/>
      <c r="XM219" s="285"/>
      <c r="XN219" s="285"/>
      <c r="XO219" s="285"/>
      <c r="XP219" s="285"/>
      <c r="XQ219" s="285"/>
      <c r="XR219" s="285"/>
      <c r="XS219" s="285"/>
      <c r="XT219" s="285"/>
      <c r="XU219" s="285"/>
      <c r="XV219" s="285"/>
      <c r="XW219" s="285"/>
      <c r="XX219" s="285"/>
      <c r="XY219" s="285"/>
      <c r="XZ219" s="285"/>
      <c r="YA219" s="285"/>
      <c r="YB219" s="285"/>
      <c r="YC219" s="285"/>
      <c r="YD219" s="285"/>
      <c r="YE219" s="285"/>
      <c r="YF219" s="285"/>
      <c r="YG219" s="285"/>
      <c r="YH219" s="285"/>
      <c r="YI219" s="285"/>
      <c r="YJ219" s="285"/>
      <c r="YK219" s="285"/>
      <c r="YL219" s="285"/>
      <c r="YM219" s="285"/>
      <c r="YN219" s="285"/>
      <c r="YO219" s="285"/>
      <c r="YP219" s="285"/>
      <c r="YQ219" s="285"/>
      <c r="YR219" s="285"/>
      <c r="YS219" s="285"/>
      <c r="YT219" s="285"/>
      <c r="YU219" s="285"/>
      <c r="YV219" s="285"/>
      <c r="YW219" s="285"/>
      <c r="YX219" s="285"/>
      <c r="YY219" s="285"/>
      <c r="YZ219" s="285"/>
      <c r="ZA219" s="285"/>
      <c r="ZB219" s="285"/>
      <c r="ZC219" s="285"/>
      <c r="ZD219" s="285"/>
      <c r="ZE219" s="285"/>
      <c r="ZF219" s="285"/>
      <c r="ZG219" s="285"/>
      <c r="ZH219" s="285"/>
      <c r="ZI219" s="285"/>
      <c r="ZJ219" s="285"/>
      <c r="ZK219" s="285"/>
      <c r="ZL219" s="285"/>
      <c r="ZM219" s="285"/>
      <c r="ZN219" s="285"/>
      <c r="ZO219" s="285"/>
      <c r="ZP219" s="285"/>
      <c r="ZQ219" s="285"/>
      <c r="ZR219" s="285"/>
      <c r="ZS219" s="285"/>
      <c r="ZT219" s="285"/>
      <c r="ZU219" s="285"/>
      <c r="ZV219" s="285"/>
      <c r="ZW219" s="285"/>
      <c r="ZX219" s="285"/>
      <c r="ZY219" s="285"/>
      <c r="ZZ219" s="285"/>
      <c r="AAA219" s="285"/>
      <c r="AAB219" s="285"/>
      <c r="AAC219" s="285"/>
      <c r="AAD219" s="285"/>
      <c r="AAE219" s="285"/>
      <c r="AAF219" s="285"/>
      <c r="AAG219" s="285"/>
      <c r="AAH219" s="285"/>
      <c r="AAI219" s="285"/>
      <c r="AAJ219" s="285"/>
      <c r="AAK219" s="285"/>
      <c r="AAL219" s="285"/>
      <c r="AAM219" s="285"/>
      <c r="AAN219" s="285"/>
      <c r="AAO219" s="285"/>
      <c r="AAP219" s="285"/>
      <c r="AAQ219" s="285"/>
      <c r="AAR219" s="285"/>
      <c r="AAS219" s="285"/>
      <c r="AAT219" s="285"/>
      <c r="AAU219" s="285"/>
      <c r="AAV219" s="285"/>
      <c r="AAW219" s="285"/>
      <c r="AAX219" s="285"/>
      <c r="AAY219" s="285"/>
      <c r="AAZ219" s="285"/>
      <c r="ABA219" s="285"/>
      <c r="ABB219" s="285"/>
      <c r="ABC219" s="285"/>
      <c r="ABD219" s="285"/>
      <c r="ABE219" s="285"/>
      <c r="ABF219" s="285"/>
      <c r="ABG219" s="285"/>
      <c r="ABH219" s="285"/>
      <c r="ABI219" s="285"/>
      <c r="ABJ219" s="285"/>
      <c r="ABK219" s="285"/>
      <c r="ABL219" s="285"/>
      <c r="ABM219" s="285"/>
      <c r="ABN219" s="285"/>
      <c r="ABO219" s="285"/>
      <c r="ABP219" s="285"/>
      <c r="ABQ219" s="285"/>
      <c r="ABR219" s="285"/>
      <c r="ABS219" s="285"/>
      <c r="ABT219" s="285"/>
      <c r="ABU219" s="285"/>
      <c r="ABV219" s="285"/>
      <c r="ABW219" s="285"/>
      <c r="ABX219" s="285"/>
      <c r="ABY219" s="285"/>
      <c r="ABZ219" s="285"/>
      <c r="ACA219" s="285"/>
      <c r="ACB219" s="285"/>
      <c r="ACC219" s="285"/>
      <c r="ACD219" s="285"/>
      <c r="ACE219" s="285"/>
      <c r="ACF219" s="285"/>
      <c r="ACG219" s="285"/>
      <c r="ACH219" s="285"/>
      <c r="ACI219" s="285"/>
      <c r="ACJ219" s="285"/>
      <c r="ACK219" s="285"/>
      <c r="ACL219" s="285"/>
      <c r="ACM219" s="285"/>
      <c r="ACN219" s="285"/>
      <c r="ACO219" s="285"/>
      <c r="ACP219" s="285"/>
      <c r="ACQ219" s="285"/>
      <c r="ACR219" s="285"/>
      <c r="ACS219" s="285"/>
      <c r="ACT219" s="285"/>
      <c r="ACU219" s="285"/>
      <c r="ACV219" s="285"/>
      <c r="ACW219" s="285"/>
      <c r="ACX219" s="285"/>
      <c r="ACY219" s="285"/>
      <c r="ACZ219" s="285"/>
      <c r="ADA219" s="285"/>
      <c r="ADB219" s="285"/>
      <c r="ADC219" s="285"/>
      <c r="ADD219" s="285"/>
      <c r="ADE219" s="285"/>
      <c r="ADF219" s="285"/>
      <c r="ADG219" s="285"/>
      <c r="ADH219" s="285"/>
      <c r="ADI219" s="285"/>
      <c r="ADJ219" s="285"/>
      <c r="ADK219" s="285"/>
      <c r="ADL219" s="285"/>
      <c r="ADM219" s="285"/>
      <c r="ADN219" s="285"/>
      <c r="ADO219" s="285"/>
      <c r="ADP219" s="285"/>
      <c r="ADQ219" s="285"/>
      <c r="ADR219" s="285"/>
      <c r="ADS219" s="285"/>
      <c r="ADT219" s="285"/>
      <c r="ADU219" s="285"/>
      <c r="ADV219" s="285"/>
      <c r="ADW219" s="285"/>
      <c r="ADX219" s="285"/>
      <c r="ADY219" s="285"/>
      <c r="ADZ219" s="285"/>
      <c r="AEA219" s="285"/>
      <c r="AEB219" s="285"/>
      <c r="AEC219" s="285"/>
      <c r="AED219" s="285"/>
      <c r="AEE219" s="285"/>
    </row>
    <row r="220" spans="1:811" x14ac:dyDescent="0.3">
      <c r="A220" s="175" t="str">
        <f ca="1">Language!A$695</f>
        <v>коэффициент расходов</v>
      </c>
      <c r="B220" s="199"/>
      <c r="C220" s="176" t="s">
        <v>1</v>
      </c>
      <c r="F220" s="170" t="s">
        <v>745</v>
      </c>
      <c r="G220" s="286">
        <f t="shared" ref="G220:BB220" si="1039">IF(G$2&gt;Prj_Invest,1,0)</f>
        <v>0</v>
      </c>
      <c r="H220" s="286">
        <f t="shared" si="1039"/>
        <v>0</v>
      </c>
      <c r="I220" s="286">
        <f t="shared" si="1039"/>
        <v>0</v>
      </c>
      <c r="J220" s="286">
        <f t="shared" si="1039"/>
        <v>0</v>
      </c>
      <c r="K220" s="286">
        <f t="shared" si="1039"/>
        <v>0</v>
      </c>
      <c r="L220" s="286">
        <f t="shared" si="1039"/>
        <v>0</v>
      </c>
      <c r="M220" s="286">
        <f t="shared" si="1039"/>
        <v>1</v>
      </c>
      <c r="N220" s="286">
        <f t="shared" si="1039"/>
        <v>1</v>
      </c>
      <c r="O220" s="286">
        <f t="shared" si="1039"/>
        <v>1</v>
      </c>
      <c r="P220" s="286">
        <f t="shared" si="1039"/>
        <v>1</v>
      </c>
      <c r="Q220" s="286">
        <f t="shared" si="1039"/>
        <v>1</v>
      </c>
      <c r="R220" s="286">
        <f t="shared" si="1039"/>
        <v>1</v>
      </c>
      <c r="S220" s="286">
        <f t="shared" si="1039"/>
        <v>1</v>
      </c>
      <c r="T220" s="286">
        <f t="shared" si="1039"/>
        <v>1</v>
      </c>
      <c r="U220" s="286">
        <f t="shared" si="1039"/>
        <v>1</v>
      </c>
      <c r="V220" s="286">
        <f t="shared" si="1039"/>
        <v>1</v>
      </c>
      <c r="W220" s="286">
        <f t="shared" si="1039"/>
        <v>1</v>
      </c>
      <c r="X220" s="286">
        <f t="shared" si="1039"/>
        <v>1</v>
      </c>
      <c r="Y220" s="286">
        <f t="shared" si="1039"/>
        <v>1</v>
      </c>
      <c r="Z220" s="286">
        <f t="shared" si="1039"/>
        <v>1</v>
      </c>
      <c r="AA220" s="286">
        <f t="shared" si="1039"/>
        <v>1</v>
      </c>
      <c r="AB220" s="286">
        <f t="shared" si="1039"/>
        <v>1</v>
      </c>
      <c r="AC220" s="286">
        <f t="shared" si="1039"/>
        <v>1</v>
      </c>
      <c r="AD220" s="286">
        <f t="shared" si="1039"/>
        <v>1</v>
      </c>
      <c r="AE220" s="286">
        <f t="shared" si="1039"/>
        <v>1</v>
      </c>
      <c r="AF220" s="286">
        <f t="shared" si="1039"/>
        <v>1</v>
      </c>
      <c r="AG220" s="286">
        <f t="shared" si="1039"/>
        <v>1</v>
      </c>
      <c r="AH220" s="286">
        <f t="shared" si="1039"/>
        <v>1</v>
      </c>
      <c r="AI220" s="286">
        <f t="shared" si="1039"/>
        <v>1</v>
      </c>
      <c r="AJ220" s="286">
        <f t="shared" si="1039"/>
        <v>1</v>
      </c>
      <c r="AK220" s="286">
        <f t="shared" si="1039"/>
        <v>1</v>
      </c>
      <c r="AL220" s="286">
        <f t="shared" si="1039"/>
        <v>1</v>
      </c>
      <c r="AM220" s="286">
        <f t="shared" si="1039"/>
        <v>1</v>
      </c>
      <c r="AN220" s="286">
        <f t="shared" si="1039"/>
        <v>1</v>
      </c>
      <c r="AO220" s="286">
        <f t="shared" si="1039"/>
        <v>1</v>
      </c>
      <c r="AP220" s="286">
        <f t="shared" si="1039"/>
        <v>1</v>
      </c>
      <c r="AQ220" s="286">
        <f t="shared" si="1039"/>
        <v>1</v>
      </c>
      <c r="AR220" s="286">
        <f t="shared" si="1039"/>
        <v>1</v>
      </c>
      <c r="AS220" s="286">
        <f t="shared" si="1039"/>
        <v>1</v>
      </c>
      <c r="AT220" s="286">
        <f t="shared" si="1039"/>
        <v>1</v>
      </c>
      <c r="AU220" s="286">
        <f t="shared" si="1039"/>
        <v>1</v>
      </c>
      <c r="AV220" s="286">
        <f t="shared" si="1039"/>
        <v>1</v>
      </c>
      <c r="AW220" s="286">
        <f t="shared" si="1039"/>
        <v>1</v>
      </c>
      <c r="AX220" s="286">
        <f t="shared" si="1039"/>
        <v>1</v>
      </c>
      <c r="AY220" s="286">
        <f t="shared" si="1039"/>
        <v>1</v>
      </c>
      <c r="AZ220" s="286">
        <f t="shared" si="1039"/>
        <v>1</v>
      </c>
      <c r="BA220" s="286">
        <f t="shared" si="1039"/>
        <v>1</v>
      </c>
      <c r="BB220" s="286">
        <f t="shared" si="1039"/>
        <v>1</v>
      </c>
      <c r="BC220" s="177"/>
    </row>
    <row r="221" spans="1:811" collapsed="1" x14ac:dyDescent="0.3">
      <c r="A221" s="175" t="str">
        <f ca="1">Language!A$634</f>
        <v>затраты на проданный товар, без НДС</v>
      </c>
      <c r="B221" s="200"/>
      <c r="C221" s="176" t="str">
        <f t="shared" ref="C221:C222" ca="1" si="1040">CHOOSE(D221,CurName1,CurName2,CurName3)</f>
        <v>руб.</v>
      </c>
      <c r="D221" s="174">
        <f>D218</f>
        <v>1</v>
      </c>
      <c r="E221" s="170" t="s">
        <v>992</v>
      </c>
      <c r="F221" s="170" t="s">
        <v>740</v>
      </c>
      <c r="G221" s="177">
        <f ca="1">G219*G220*(1+G237)*IF($B239=1,PRODUCT($G239:G239),PRODUCT($G238:G238))</f>
        <v>0</v>
      </c>
      <c r="H221" s="177">
        <f ca="1">H219*H220*(1+H237)*IF($B239=1,PRODUCT($G239:H239),PRODUCT($G238:H238))</f>
        <v>0</v>
      </c>
      <c r="I221" s="177">
        <f ca="1">I219*I220*(1+I237)*IF($B239=1,PRODUCT($G239:I239),PRODUCT($G238:I238))</f>
        <v>0</v>
      </c>
      <c r="J221" s="177">
        <f ca="1">J219*J220*(1+J237)*IF($B239=1,PRODUCT($G239:J239),PRODUCT($G238:J238))</f>
        <v>0</v>
      </c>
      <c r="K221" s="177">
        <f ca="1">K219*K220*(1+K237)*IF($B239=1,PRODUCT($G239:K239),PRODUCT($G238:K238))</f>
        <v>0</v>
      </c>
      <c r="L221" s="177">
        <f ca="1">L219*L220*(1+L237)*IF($B239=1,PRODUCT($G239:L239),PRODUCT($G238:L238))</f>
        <v>0</v>
      </c>
      <c r="M221" s="177">
        <f ca="1">M219*M220*(1+M237)*IF($B239=1,PRODUCT($G239:M239),PRODUCT($G238:M238))</f>
        <v>192708.00000000003</v>
      </c>
      <c r="N221" s="177">
        <f ca="1">N219*N220*(1+N237)*IF($B239=1,PRODUCT($G239:N239),PRODUCT($G238:N238))</f>
        <v>259451.46361157845</v>
      </c>
      <c r="O221" s="177">
        <f ca="1">O219*O220*(1+O237)*IF($B239=1,PRODUCT($G239:O239),PRODUCT($G238:O238))</f>
        <v>327479.24630556762</v>
      </c>
      <c r="P221" s="177">
        <f ca="1">P219*P220*(1+P237)*IF($B239=1,PRODUCT($G239:P239),PRODUCT($G238:P238))</f>
        <v>396810.05864186474</v>
      </c>
      <c r="Q221" s="177">
        <f ca="1">Q219*Q220*(1+Q237)*IF($B239=1,PRODUCT($G239:Q239),PRODUCT($G238:Q238))</f>
        <v>400682.44633238408</v>
      </c>
      <c r="R221" s="177">
        <f ca="1">R219*R220*(1+R237)*IF($B239=1,PRODUCT($G239:R239),PRODUCT($G238:R238))</f>
        <v>404592.62385735696</v>
      </c>
      <c r="S221" s="177">
        <f ca="1">S219*S220*(1+S237)*IF($B239=1,PRODUCT($G239:S239),PRODUCT($G238:S238))</f>
        <v>544721.28000000049</v>
      </c>
      <c r="T221" s="177">
        <f ca="1">T219*T220*(1+T237)*IF($B239=1,PRODUCT($G239:T239),PRODUCT($G238:T238))</f>
        <v>481282.46499947837</v>
      </c>
      <c r="U221" s="177">
        <f ca="1">U219*U220*(1+U237)*IF($B239=1,PRODUCT($G239:U239),PRODUCT($G238:U238))</f>
        <v>416553.60130068217</v>
      </c>
      <c r="V221" s="177">
        <f ca="1">V219*V220*(1+V237)*IF($B239=1,PRODUCT($G239:V239),PRODUCT($G238:V238))</f>
        <v>420618.66216037684</v>
      </c>
      <c r="W221" s="177">
        <f ca="1">W219*W220*(1+W237)*IF($B239=1,PRODUCT($G239:W239),PRODUCT($G238:W238))</f>
        <v>353936.16092693934</v>
      </c>
      <c r="X221" s="177">
        <f ca="1">X219*X220*(1+X237)*IF($B239=1,PRODUCT($G239:X239),PRODUCT($G238:X238))</f>
        <v>571824.24171839794</v>
      </c>
      <c r="Y221" s="177">
        <f ca="1">Y219*Y220*(1+Y237)*IF($B239=1,PRODUCT($G239:Y239),PRODUCT($G238:Y238))</f>
        <v>721755.69600000058</v>
      </c>
      <c r="Z221" s="177">
        <f ca="1">Z219*Z220*(1+Z237)*IF($B239=1,PRODUCT($G239:Z239),PRODUCT($G238:Z238))</f>
        <v>728799.16128492437</v>
      </c>
      <c r="AA221" s="177">
        <f ca="1">AA219*AA220*(1+AA237)*IF($B239=1,PRODUCT($G239:AA239),PRODUCT($G238:AA238))</f>
        <v>515137.95360851038</v>
      </c>
      <c r="AB221" s="177">
        <f ca="1">AB219*AB220*(1+AB237)*IF($B239=1,PRODUCT($G239:AB239),PRODUCT($G238:AB238))</f>
        <v>371546.48490833293</v>
      </c>
      <c r="AC221" s="177">
        <f ca="1">AC219*AC220*(1+AC237)*IF($B239=1,PRODUCT($G239:AC239),PRODUCT($G238:AC238))</f>
        <v>375172.33058255579</v>
      </c>
      <c r="AD221" s="177">
        <f ca="1">AD219*AD220*(1+AD237)*IF($B239=1,PRODUCT($G239:AD239),PRODUCT($G238:AD238))</f>
        <v>454600.27216612652</v>
      </c>
      <c r="AE221" s="177">
        <f ca="1">AE219*AE220*(1+AE237)*IF($B239=1,PRODUCT($G239:AE239),PRODUCT($G238:AE238))</f>
        <v>612048.83020800084</v>
      </c>
      <c r="AF221" s="177">
        <f ca="1">AF219*AF220*(1+AF237)*IF($B239=1,PRODUCT($G239:AF239),PRODUCT($G238:AF238))</f>
        <v>540768.97767341405</v>
      </c>
      <c r="AG221" s="177">
        <f ca="1">AG219*AG220*(1+AG237)*IF($B239=1,PRODUCT($G239:AG239),PRODUCT($G238:AG238))</f>
        <v>468039.62642144662</v>
      </c>
      <c r="AH221" s="177">
        <f ca="1">AH219*AH220*(1+AH237)*IF($B239=1,PRODUCT($G239:AH239),PRODUCT($G238:AH238))</f>
        <v>472607.12880339974</v>
      </c>
      <c r="AI221" s="177">
        <f ca="1">AI219*AI220*(1+AI237)*IF($B239=1,PRODUCT($G239:AI239),PRODUCT($G238:AI238))</f>
        <v>397682.67041750922</v>
      </c>
      <c r="AJ221" s="177">
        <f ca="1">AJ219*AJ220*(1+AJ237)*IF($B239=1,PRODUCT($G239:AJ239),PRODUCT($G238:AJ238))</f>
        <v>642501.71799479239</v>
      </c>
      <c r="AK221" s="177">
        <f ca="1">AK219*AK220*(1+AK237)*IF($B239=1,PRODUCT($G239:AK239),PRODUCT($G238:AK238))</f>
        <v>810964.70002560143</v>
      </c>
      <c r="AL221" s="177">
        <f ca="1">AL219*AL220*(1+AL237)*IF($B239=1,PRODUCT($G239:AL239),PRODUCT($G238:AL238))</f>
        <v>818878.73761974147</v>
      </c>
      <c r="AM221" s="177">
        <f ca="1">AM219*AM220*(1+AM237)*IF($B239=1,PRODUCT($G239:AM239),PRODUCT($G238:AM238))</f>
        <v>578809.00467452244</v>
      </c>
      <c r="AN221" s="177">
        <f ca="1">AN219*AN220*(1+AN237)*IF($B239=1,PRODUCT($G239:AN239),PRODUCT($G238:AN238))</f>
        <v>417469.63044300315</v>
      </c>
      <c r="AO221" s="177">
        <f ca="1">AO219*AO220*(1+AO237)*IF($B239=1,PRODUCT($G239:AO239),PRODUCT($G238:AO238))</f>
        <v>421543.63064255985</v>
      </c>
      <c r="AP221" s="177">
        <f ca="1">AP219*AP220*(1+AP237)*IF($B239=1,PRODUCT($G239:AP239),PRODUCT($G238:AP238))</f>
        <v>510788.86580586003</v>
      </c>
      <c r="AQ221" s="177">
        <f ca="1">AQ219*AQ220*(1+AQ237)*IF($B239=1,PRODUCT($G239:AQ239),PRODUCT($G238:AQ238))</f>
        <v>687698.06562171027</v>
      </c>
      <c r="AR221" s="177">
        <f ca="1">AR219*AR220*(1+AR237)*IF($B239=1,PRODUCT($G239:AR239),PRODUCT($G238:AR238))</f>
        <v>607608.02331384842</v>
      </c>
      <c r="AS221" s="177">
        <f ca="1">AS219*AS220*(1+AS237)*IF($B239=1,PRODUCT($G239:AS239),PRODUCT($G238:AS238))</f>
        <v>525889.32424713776</v>
      </c>
      <c r="AT221" s="177">
        <f ca="1">AT219*AT220*(1+AT237)*IF($B239=1,PRODUCT($G239:AT239),PRODUCT($G238:AT238))</f>
        <v>531021.36992350011</v>
      </c>
      <c r="AU221" s="177">
        <f ca="1">AU219*AU220*(1+AU237)*IF($B239=1,PRODUCT($G239:AU239),PRODUCT($G238:AU238))</f>
        <v>446836.24848111358</v>
      </c>
      <c r="AV221" s="177">
        <f ca="1">AV219*AV220*(1+AV237)*IF($B239=1,PRODUCT($G239:AV239),PRODUCT($G238:AV238))</f>
        <v>721914.9303389492</v>
      </c>
      <c r="AW221" s="177">
        <f ca="1">AW219*AW220*(1+AW237)*IF($B239=1,PRODUCT($G239:AW239),PRODUCT($G238:AW238))</f>
        <v>911199.936948766</v>
      </c>
      <c r="AX221" s="177">
        <f ca="1">AX219*AX220*(1+AX237)*IF($B239=1,PRODUCT($G239:AX239),PRODUCT($G238:AX238))</f>
        <v>920092.14958954207</v>
      </c>
      <c r="AY221" s="177">
        <f ca="1">AY219*AY220*(1+AY237)*IF($B239=1,PRODUCT($G239:AY239),PRODUCT($G238:AY238))</f>
        <v>650349.7976522937</v>
      </c>
      <c r="AZ221" s="177">
        <f ca="1">AZ219*AZ220*(1+AZ237)*IF($B239=1,PRODUCT($G239:AZ239),PRODUCT($G238:AZ238))</f>
        <v>469068.87676575856</v>
      </c>
      <c r="BA221" s="177">
        <f ca="1">BA219*BA220*(1+BA237)*IF($B239=1,PRODUCT($G239:BA239),PRODUCT($G238:BA238))</f>
        <v>473646.42338998045</v>
      </c>
      <c r="BB221" s="177">
        <f ca="1">BB219*BB220*(1+BB237)*IF($B239=1,PRODUCT($G239:BB239),PRODUCT($G238:BB238))</f>
        <v>573922.36961946462</v>
      </c>
      <c r="BC221" s="177"/>
      <c r="BD221" s="178">
        <f ca="1">SUM(G221:BC221)</f>
        <v>22149023.185026988</v>
      </c>
    </row>
    <row r="222" spans="1:811" hidden="1" outlineLevel="1" x14ac:dyDescent="0.3">
      <c r="A222" s="184" t="str">
        <f ca="1">Language!A$635</f>
        <v>запасы сырья и материалов</v>
      </c>
      <c r="B222" s="200"/>
      <c r="C222" s="163" t="str">
        <f t="shared" ca="1" si="1040"/>
        <v>руб.</v>
      </c>
      <c r="D222" s="174">
        <f>D218</f>
        <v>1</v>
      </c>
      <c r="E222" s="170" t="s">
        <v>1011</v>
      </c>
      <c r="F222" s="170" t="s">
        <v>2350</v>
      </c>
      <c r="G222" s="287">
        <f ca="1">IF(AND($B223=0,G$2&gt;1),F222,G221*$B223/Параметры!G$30)</f>
        <v>0</v>
      </c>
      <c r="H222" s="287">
        <f ca="1">IF(AND($B223=0,H$2&gt;1),G222,H221*$B223/Параметры!H$30)</f>
        <v>0</v>
      </c>
      <c r="I222" s="287">
        <f ca="1">IF(AND($B223=0,I$2&gt;1),H222,I221*$B223/Параметры!I$30)</f>
        <v>0</v>
      </c>
      <c r="J222" s="287">
        <f ca="1">IF(AND($B223=0,J$2&gt;1),I222,J221*$B223/Параметры!J$30)</f>
        <v>0</v>
      </c>
      <c r="K222" s="287">
        <f ca="1">IF(AND($B223=0,K$2&gt;1),J222,K221*$B223/Параметры!K$30)</f>
        <v>0</v>
      </c>
      <c r="L222" s="287">
        <f ca="1">IF(AND($B223=0,L$2&gt;1),K222,L221*$B223/Параметры!L$30)</f>
        <v>0</v>
      </c>
      <c r="M222" s="287">
        <f ca="1">IF(AND($B223=0,M$2&gt;1),L222,M221*$B223/Параметры!M$30)</f>
        <v>96354.000000000015</v>
      </c>
      <c r="N222" s="287">
        <f ca="1">IF(AND($B223=0,N$2&gt;1),M222,N221*$B223/Параметры!N$30)</f>
        <v>129725.73180578923</v>
      </c>
      <c r="O222" s="287">
        <f ca="1">IF(AND($B223=0,O$2&gt;1),N222,O221*$B223/Параметры!O$30)</f>
        <v>163739.62315278381</v>
      </c>
      <c r="P222" s="287">
        <f ca="1">IF(AND($B223=0,P$2&gt;1),O222,P221*$B223/Параметры!P$30)</f>
        <v>198405.02932093237</v>
      </c>
      <c r="Q222" s="287">
        <f ca="1">IF(AND($B223=0,Q$2&gt;1),P222,Q221*$B223/Параметры!Q$30)</f>
        <v>200341.22316619204</v>
      </c>
      <c r="R222" s="287">
        <f ca="1">IF(AND($B223=0,R$2&gt;1),Q222,R221*$B223/Параметры!R$30)</f>
        <v>202296.31192867848</v>
      </c>
      <c r="S222" s="287">
        <f ca="1">IF(AND($B223=0,S$2&gt;1),R222,S221*$B223/Параметры!S$30)</f>
        <v>272360.64000000025</v>
      </c>
      <c r="T222" s="287">
        <f ca="1">IF(AND($B223=0,T$2&gt;1),S222,T221*$B223/Параметры!T$30)</f>
        <v>240641.23249973918</v>
      </c>
      <c r="U222" s="287">
        <f ca="1">IF(AND($B223=0,U$2&gt;1),T222,U221*$B223/Параметры!U$30)</f>
        <v>208276.80065034109</v>
      </c>
      <c r="V222" s="287">
        <f ca="1">IF(AND($B223=0,V$2&gt;1),U222,V221*$B223/Параметры!V$30)</f>
        <v>210309.33108018842</v>
      </c>
      <c r="W222" s="287">
        <f ca="1">IF(AND($B223=0,W$2&gt;1),V222,W221*$B223/Параметры!W$30)</f>
        <v>176968.08046346967</v>
      </c>
      <c r="X222" s="287">
        <f ca="1">IF(AND($B223=0,X$2&gt;1),W222,X221*$B223/Параметры!X$30)</f>
        <v>285912.12085919897</v>
      </c>
      <c r="Y222" s="287">
        <f ca="1">IF(AND($B223=0,Y$2&gt;1),X222,Y221*$B223/Параметры!Y$30)</f>
        <v>360877.84800000029</v>
      </c>
      <c r="Z222" s="287">
        <f ca="1">IF(AND($B223=0,Z$2&gt;1),Y222,Z221*$B223/Параметры!Z$30)</f>
        <v>364399.58064246218</v>
      </c>
      <c r="AA222" s="287">
        <f ca="1">IF(AND($B223=0,AA$2&gt;1),Z222,AA221*$B223/Параметры!AA$30)</f>
        <v>257568.97680425519</v>
      </c>
      <c r="AB222" s="287">
        <f ca="1">IF(AND($B223=0,AB$2&gt;1),AA222,AB221*$B223/Параметры!AB$30)</f>
        <v>185773.24245416647</v>
      </c>
      <c r="AC222" s="287">
        <f ca="1">IF(AND($B223=0,AC$2&gt;1),AB222,AC221*$B223/Параметры!AC$30)</f>
        <v>187586.1652912779</v>
      </c>
      <c r="AD222" s="287">
        <f ca="1">IF(AND($B223=0,AD$2&gt;1),AC222,AD221*$B223/Параметры!AD$30)</f>
        <v>227300.13608306326</v>
      </c>
      <c r="AE222" s="287">
        <f ca="1">IF(AND($B223=0,AE$2&gt;1),AD222,AE221*$B223/Параметры!AE$30)</f>
        <v>306024.41510400042</v>
      </c>
      <c r="AF222" s="287">
        <f ca="1">IF(AND($B223=0,AF$2&gt;1),AE222,AF221*$B223/Параметры!AF$30)</f>
        <v>270384.48883670702</v>
      </c>
      <c r="AG222" s="287">
        <f ca="1">IF(AND($B223=0,AG$2&gt;1),AF222,AG221*$B223/Параметры!AG$30)</f>
        <v>234019.81321072331</v>
      </c>
      <c r="AH222" s="287">
        <f ca="1">IF(AND($B223=0,AH$2&gt;1),AG222,AH221*$B223/Параметры!AH$30)</f>
        <v>236303.56440169987</v>
      </c>
      <c r="AI222" s="287">
        <f ca="1">IF(AND($B223=0,AI$2&gt;1),AH222,AI221*$B223/Параметры!AI$30)</f>
        <v>198841.33520875461</v>
      </c>
      <c r="AJ222" s="287">
        <f ca="1">IF(AND($B223=0,AJ$2&gt;1),AI222,AJ221*$B223/Параметры!AJ$30)</f>
        <v>321250.85899739619</v>
      </c>
      <c r="AK222" s="287">
        <f ca="1">IF(AND($B223=0,AK$2&gt;1),AJ222,AK221*$B223/Параметры!AK$30)</f>
        <v>405482.35001280071</v>
      </c>
      <c r="AL222" s="287">
        <f ca="1">IF(AND($B223=0,AL$2&gt;1),AK222,AL221*$B223/Параметры!AL$30)</f>
        <v>409439.36880987074</v>
      </c>
      <c r="AM222" s="287">
        <f ca="1">IF(AND($B223=0,AM$2&gt;1),AL222,AM221*$B223/Параметры!AM$30)</f>
        <v>289404.50233726122</v>
      </c>
      <c r="AN222" s="287">
        <f ca="1">IF(AND($B223=0,AN$2&gt;1),AM222,AN221*$B223/Параметры!AN$30)</f>
        <v>208734.81522150157</v>
      </c>
      <c r="AO222" s="287">
        <f ca="1">IF(AND($B223=0,AO$2&gt;1),AN222,AO221*$B223/Параметры!AO$30)</f>
        <v>210771.81532127995</v>
      </c>
      <c r="AP222" s="287">
        <f ca="1">IF(AND($B223=0,AP$2&gt;1),AO222,AP221*$B223/Параметры!AP$30)</f>
        <v>255394.43290293001</v>
      </c>
      <c r="AQ222" s="287">
        <f ca="1">IF(AND($B223=0,AQ$2&gt;1),AP222,AQ221*$B223/Параметры!AQ$30)</f>
        <v>343849.03281085513</v>
      </c>
      <c r="AR222" s="287">
        <f ca="1">IF(AND($B223=0,AR$2&gt;1),AQ222,AR221*$B223/Параметры!AR$30)</f>
        <v>303804.01165692421</v>
      </c>
      <c r="AS222" s="287">
        <f ca="1">IF(AND($B223=0,AS$2&gt;1),AR222,AS221*$B223/Параметры!AS$30)</f>
        <v>262944.66212356888</v>
      </c>
      <c r="AT222" s="287">
        <f ca="1">IF(AND($B223=0,AT$2&gt;1),AS222,AT221*$B223/Параметры!AT$30)</f>
        <v>265510.68496175006</v>
      </c>
      <c r="AU222" s="287">
        <f ca="1">IF(AND($B223=0,AU$2&gt;1),AT222,AU221*$B223/Параметры!AU$30)</f>
        <v>223418.12424055679</v>
      </c>
      <c r="AV222" s="287">
        <f ca="1">IF(AND($B223=0,AV$2&gt;1),AU222,AV221*$B223/Параметры!AV$30)</f>
        <v>360957.4651694746</v>
      </c>
      <c r="AW222" s="287">
        <f ca="1">IF(AND($B223=0,AW$2&gt;1),AV222,AW221*$B223/Параметры!AW$30)</f>
        <v>455599.96847438306</v>
      </c>
      <c r="AX222" s="287">
        <f ca="1">IF(AND($B223=0,AX$2&gt;1),AW222,AX221*$B223/Параметры!AX$30)</f>
        <v>460046.07479477103</v>
      </c>
      <c r="AY222" s="287">
        <f ca="1">IF(AND($B223=0,AY$2&gt;1),AX222,AY221*$B223/Параметры!AY$30)</f>
        <v>325174.89882614685</v>
      </c>
      <c r="AZ222" s="287">
        <f ca="1">IF(AND($B223=0,AZ$2&gt;1),AY222,AZ221*$B223/Параметры!AZ$30)</f>
        <v>234534.43838287928</v>
      </c>
      <c r="BA222" s="287">
        <f ca="1">IF(AND($B223=0,BA$2&gt;1),AZ222,BA221*$B223/Параметры!BA$30)</f>
        <v>236823.21169499023</v>
      </c>
      <c r="BB222" s="287">
        <f ca="1">IF(AND($B223=0,BB$2&gt;1),BA222,BB221*$B223/Параметры!BB$30)</f>
        <v>286961.18480973231</v>
      </c>
      <c r="BC222" s="201"/>
      <c r="BD222" s="178"/>
    </row>
    <row r="223" spans="1:811" s="170" customFormat="1" hidden="1" outlineLevel="1" x14ac:dyDescent="0.3">
      <c r="A223" s="187" t="str">
        <f ca="1">Language!A$636</f>
        <v>средняя оборачиваемость запасов</v>
      </c>
      <c r="B223" s="288">
        <f>$B$585</f>
        <v>15</v>
      </c>
      <c r="C223" s="163" t="str">
        <f ca="1">Language!$A$1474</f>
        <v>дней</v>
      </c>
      <c r="D223" s="174"/>
      <c r="F223" s="170" t="s">
        <v>2347</v>
      </c>
      <c r="G223" s="185"/>
      <c r="H223" s="185"/>
      <c r="I223" s="185"/>
      <c r="J223" s="185"/>
      <c r="K223" s="185"/>
      <c r="L223" s="185"/>
      <c r="M223" s="185"/>
      <c r="N223" s="185"/>
      <c r="O223" s="185"/>
      <c r="P223" s="185"/>
      <c r="Q223" s="185"/>
      <c r="R223" s="185"/>
      <c r="S223" s="185"/>
      <c r="T223" s="185"/>
      <c r="U223" s="185"/>
      <c r="V223" s="185"/>
      <c r="W223" s="185"/>
      <c r="X223" s="185"/>
      <c r="Y223" s="185"/>
      <c r="Z223" s="185"/>
      <c r="AA223" s="185"/>
      <c r="AB223" s="185"/>
      <c r="AC223" s="185"/>
      <c r="AD223" s="185"/>
      <c r="AE223" s="185"/>
      <c r="AF223" s="185"/>
      <c r="AG223" s="185"/>
      <c r="AH223" s="185"/>
      <c r="AI223" s="185"/>
      <c r="AJ223" s="185"/>
      <c r="AK223" s="185"/>
      <c r="AL223" s="185"/>
      <c r="AM223" s="185"/>
      <c r="AN223" s="185"/>
      <c r="AO223" s="185"/>
      <c r="AP223" s="185"/>
      <c r="AQ223" s="185"/>
      <c r="AR223" s="185"/>
      <c r="AS223" s="185"/>
      <c r="AT223" s="185"/>
      <c r="AU223" s="185"/>
      <c r="AV223" s="185"/>
      <c r="AW223" s="185"/>
      <c r="AX223" s="185"/>
      <c r="AY223" s="185"/>
      <c r="AZ223" s="185"/>
      <c r="BA223" s="185"/>
      <c r="BB223" s="185"/>
      <c r="BC223" s="185"/>
      <c r="BD223" s="193"/>
    </row>
    <row r="224" spans="1:811" hidden="1" outlineLevel="1" x14ac:dyDescent="0.3">
      <c r="A224" s="184" t="str">
        <f ca="1">Language!A$637</f>
        <v>затраты в запасах готовой продукции</v>
      </c>
      <c r="B224" s="174"/>
      <c r="C224" s="163" t="str">
        <f t="shared" ref="C224" ca="1" si="1041">CHOOSE(D224,CurName1,CurName2,CurName3)</f>
        <v>руб.</v>
      </c>
      <c r="D224" s="174">
        <f>D218</f>
        <v>1</v>
      </c>
      <c r="E224" s="170" t="s">
        <v>1012</v>
      </c>
      <c r="F224" s="170" t="s">
        <v>2350</v>
      </c>
      <c r="G224" s="287">
        <f ca="1">IF(AND($B225=0,G$2&gt;1),F224,G221*$B225/Параметры!G$30)</f>
        <v>0</v>
      </c>
      <c r="H224" s="287">
        <f ca="1">IF(AND($B225=0,H$2&gt;1),G224,H221*$B225/Параметры!H$30)</f>
        <v>0</v>
      </c>
      <c r="I224" s="287">
        <f ca="1">IF(AND($B225=0,I$2&gt;1),H224,I221*$B225/Параметры!I$30)</f>
        <v>0</v>
      </c>
      <c r="J224" s="287">
        <f ca="1">IF(AND($B225=0,J$2&gt;1),I224,J221*$B225/Параметры!J$30)</f>
        <v>0</v>
      </c>
      <c r="K224" s="287">
        <f ca="1">IF(AND($B225=0,K$2&gt;1),J224,K221*$B225/Параметры!K$30)</f>
        <v>0</v>
      </c>
      <c r="L224" s="287">
        <f ca="1">IF(AND($B225=0,L$2&gt;1),K224,L221*$B225/Параметры!L$30)</f>
        <v>0</v>
      </c>
      <c r="M224" s="287">
        <f ca="1">IF(AND($B225=0,M$2&gt;1),L224,M221*$B225/Параметры!M$30)</f>
        <v>96354.000000000015</v>
      </c>
      <c r="N224" s="287">
        <f ca="1">IF(AND($B225=0,N$2&gt;1),M224,N221*$B225/Параметры!N$30)</f>
        <v>129725.73180578923</v>
      </c>
      <c r="O224" s="287">
        <f ca="1">IF(AND($B225=0,O$2&gt;1),N224,O221*$B225/Параметры!O$30)</f>
        <v>163739.62315278381</v>
      </c>
      <c r="P224" s="287">
        <f ca="1">IF(AND($B225=0,P$2&gt;1),O224,P221*$B225/Параметры!P$30)</f>
        <v>198405.02932093237</v>
      </c>
      <c r="Q224" s="287">
        <f ca="1">IF(AND($B225=0,Q$2&gt;1),P224,Q221*$B225/Параметры!Q$30)</f>
        <v>200341.22316619204</v>
      </c>
      <c r="R224" s="287">
        <f ca="1">IF(AND($B225=0,R$2&gt;1),Q224,R221*$B225/Параметры!R$30)</f>
        <v>202296.31192867848</v>
      </c>
      <c r="S224" s="287">
        <f ca="1">IF(AND($B225=0,S$2&gt;1),R224,S221*$B225/Параметры!S$30)</f>
        <v>272360.64000000025</v>
      </c>
      <c r="T224" s="287">
        <f ca="1">IF(AND($B225=0,T$2&gt;1),S224,T221*$B225/Параметры!T$30)</f>
        <v>240641.23249973918</v>
      </c>
      <c r="U224" s="287">
        <f ca="1">IF(AND($B225=0,U$2&gt;1),T224,U221*$B225/Параметры!U$30)</f>
        <v>208276.80065034109</v>
      </c>
      <c r="V224" s="287">
        <f ca="1">IF(AND($B225=0,V$2&gt;1),U224,V221*$B225/Параметры!V$30)</f>
        <v>210309.33108018842</v>
      </c>
      <c r="W224" s="287">
        <f ca="1">IF(AND($B225=0,W$2&gt;1),V224,W221*$B225/Параметры!W$30)</f>
        <v>176968.08046346967</v>
      </c>
      <c r="X224" s="287">
        <f ca="1">IF(AND($B225=0,X$2&gt;1),W224,X221*$B225/Параметры!X$30)</f>
        <v>285912.12085919897</v>
      </c>
      <c r="Y224" s="287">
        <f ca="1">IF(AND($B225=0,Y$2&gt;1),X224,Y221*$B225/Параметры!Y$30)</f>
        <v>360877.84800000029</v>
      </c>
      <c r="Z224" s="287">
        <f ca="1">IF(AND($B225=0,Z$2&gt;1),Y224,Z221*$B225/Параметры!Z$30)</f>
        <v>364399.58064246218</v>
      </c>
      <c r="AA224" s="287">
        <f ca="1">IF(AND($B225=0,AA$2&gt;1),Z224,AA221*$B225/Параметры!AA$30)</f>
        <v>257568.97680425519</v>
      </c>
      <c r="AB224" s="287">
        <f ca="1">IF(AND($B225=0,AB$2&gt;1),AA224,AB221*$B225/Параметры!AB$30)</f>
        <v>185773.24245416647</v>
      </c>
      <c r="AC224" s="287">
        <f ca="1">IF(AND($B225=0,AC$2&gt;1),AB224,AC221*$B225/Параметры!AC$30)</f>
        <v>187586.1652912779</v>
      </c>
      <c r="AD224" s="287">
        <f ca="1">IF(AND($B225=0,AD$2&gt;1),AC224,AD221*$B225/Параметры!AD$30)</f>
        <v>227300.13608306326</v>
      </c>
      <c r="AE224" s="287">
        <f ca="1">IF(AND($B225=0,AE$2&gt;1),AD224,AE221*$B225/Параметры!AE$30)</f>
        <v>306024.41510400042</v>
      </c>
      <c r="AF224" s="287">
        <f ca="1">IF(AND($B225=0,AF$2&gt;1),AE224,AF221*$B225/Параметры!AF$30)</f>
        <v>270384.48883670702</v>
      </c>
      <c r="AG224" s="287">
        <f ca="1">IF(AND($B225=0,AG$2&gt;1),AF224,AG221*$B225/Параметры!AG$30)</f>
        <v>234019.81321072331</v>
      </c>
      <c r="AH224" s="287">
        <f ca="1">IF(AND($B225=0,AH$2&gt;1),AG224,AH221*$B225/Параметры!AH$30)</f>
        <v>236303.56440169987</v>
      </c>
      <c r="AI224" s="287">
        <f ca="1">IF(AND($B225=0,AI$2&gt;1),AH224,AI221*$B225/Параметры!AI$30)</f>
        <v>198841.33520875461</v>
      </c>
      <c r="AJ224" s="287">
        <f ca="1">IF(AND($B225=0,AJ$2&gt;1),AI224,AJ221*$B225/Параметры!AJ$30)</f>
        <v>321250.85899739619</v>
      </c>
      <c r="AK224" s="287">
        <f ca="1">IF(AND($B225=0,AK$2&gt;1),AJ224,AK221*$B225/Параметры!AK$30)</f>
        <v>405482.35001280071</v>
      </c>
      <c r="AL224" s="287">
        <f ca="1">IF(AND($B225=0,AL$2&gt;1),AK224,AL221*$B225/Параметры!AL$30)</f>
        <v>409439.36880987074</v>
      </c>
      <c r="AM224" s="287">
        <f ca="1">IF(AND($B225=0,AM$2&gt;1),AL224,AM221*$B225/Параметры!AM$30)</f>
        <v>289404.50233726122</v>
      </c>
      <c r="AN224" s="287">
        <f ca="1">IF(AND($B225=0,AN$2&gt;1),AM224,AN221*$B225/Параметры!AN$30)</f>
        <v>208734.81522150157</v>
      </c>
      <c r="AO224" s="287">
        <f ca="1">IF(AND($B225=0,AO$2&gt;1),AN224,AO221*$B225/Параметры!AO$30)</f>
        <v>210771.81532127995</v>
      </c>
      <c r="AP224" s="287">
        <f ca="1">IF(AND($B225=0,AP$2&gt;1),AO224,AP221*$B225/Параметры!AP$30)</f>
        <v>255394.43290293001</v>
      </c>
      <c r="AQ224" s="287">
        <f ca="1">IF(AND($B225=0,AQ$2&gt;1),AP224,AQ221*$B225/Параметры!AQ$30)</f>
        <v>343849.03281085513</v>
      </c>
      <c r="AR224" s="287">
        <f ca="1">IF(AND($B225=0,AR$2&gt;1),AQ224,AR221*$B225/Параметры!AR$30)</f>
        <v>303804.01165692421</v>
      </c>
      <c r="AS224" s="287">
        <f ca="1">IF(AND($B225=0,AS$2&gt;1),AR224,AS221*$B225/Параметры!AS$30)</f>
        <v>262944.66212356888</v>
      </c>
      <c r="AT224" s="287">
        <f ca="1">IF(AND($B225=0,AT$2&gt;1),AS224,AT221*$B225/Параметры!AT$30)</f>
        <v>265510.68496175006</v>
      </c>
      <c r="AU224" s="287">
        <f ca="1">IF(AND($B225=0,AU$2&gt;1),AT224,AU221*$B225/Параметры!AU$30)</f>
        <v>223418.12424055679</v>
      </c>
      <c r="AV224" s="287">
        <f ca="1">IF(AND($B225=0,AV$2&gt;1),AU224,AV221*$B225/Параметры!AV$30)</f>
        <v>360957.4651694746</v>
      </c>
      <c r="AW224" s="287">
        <f ca="1">IF(AND($B225=0,AW$2&gt;1),AV224,AW221*$B225/Параметры!AW$30)</f>
        <v>455599.96847438306</v>
      </c>
      <c r="AX224" s="287">
        <f ca="1">IF(AND($B225=0,AX$2&gt;1),AW224,AX221*$B225/Параметры!AX$30)</f>
        <v>460046.07479477103</v>
      </c>
      <c r="AY224" s="287">
        <f ca="1">IF(AND($B225=0,AY$2&gt;1),AX224,AY221*$B225/Параметры!AY$30)</f>
        <v>325174.89882614685</v>
      </c>
      <c r="AZ224" s="287">
        <f ca="1">IF(AND($B225=0,AZ$2&gt;1),AY224,AZ221*$B225/Параметры!AZ$30)</f>
        <v>234534.43838287928</v>
      </c>
      <c r="BA224" s="287">
        <f ca="1">IF(AND($B225=0,BA$2&gt;1),AZ224,BA221*$B225/Параметры!BA$30)</f>
        <v>236823.21169499023</v>
      </c>
      <c r="BB224" s="287">
        <f ca="1">IF(AND($B225=0,BB$2&gt;1),BA224,BB221*$B225/Параметры!BB$30)</f>
        <v>286961.18480973231</v>
      </c>
      <c r="BC224" s="185"/>
      <c r="BD224" s="193"/>
    </row>
    <row r="225" spans="1:56" s="170" customFormat="1" hidden="1" outlineLevel="1" x14ac:dyDescent="0.3">
      <c r="A225" s="187" t="str">
        <f ca="1">Language!A$638</f>
        <v>средняя оборачиваемость готовой продукции</v>
      </c>
      <c r="B225" s="288">
        <f>$B$597</f>
        <v>15</v>
      </c>
      <c r="C225" s="163" t="str">
        <f ca="1">Language!$A$1474</f>
        <v>дней</v>
      </c>
      <c r="D225" s="174"/>
      <c r="F225" s="170" t="s">
        <v>2347</v>
      </c>
      <c r="G225" s="185"/>
      <c r="H225" s="185"/>
      <c r="I225" s="185"/>
      <c r="J225" s="185"/>
      <c r="K225" s="185"/>
      <c r="L225" s="185"/>
      <c r="M225" s="185"/>
      <c r="N225" s="185"/>
      <c r="O225" s="185"/>
      <c r="P225" s="185"/>
      <c r="Q225" s="185"/>
      <c r="R225" s="185"/>
      <c r="S225" s="185"/>
      <c r="T225" s="185"/>
      <c r="U225" s="185"/>
      <c r="V225" s="185"/>
      <c r="W225" s="185"/>
      <c r="X225" s="185"/>
      <c r="Y225" s="185"/>
      <c r="Z225" s="185"/>
      <c r="AA225" s="185"/>
      <c r="AB225" s="185"/>
      <c r="AC225" s="185"/>
      <c r="AD225" s="185"/>
      <c r="AE225" s="185"/>
      <c r="AF225" s="185"/>
      <c r="AG225" s="185"/>
      <c r="AH225" s="185"/>
      <c r="AI225" s="185"/>
      <c r="AJ225" s="185"/>
      <c r="AK225" s="185"/>
      <c r="AL225" s="185"/>
      <c r="AM225" s="185"/>
      <c r="AN225" s="185"/>
      <c r="AO225" s="185"/>
      <c r="AP225" s="185"/>
      <c r="AQ225" s="185"/>
      <c r="AR225" s="185"/>
      <c r="AS225" s="185"/>
      <c r="AT225" s="185"/>
      <c r="AU225" s="185"/>
      <c r="AV225" s="185"/>
      <c r="AW225" s="185"/>
      <c r="AX225" s="185"/>
      <c r="AY225" s="185"/>
      <c r="AZ225" s="185"/>
      <c r="BA225" s="185"/>
      <c r="BB225" s="185"/>
      <c r="BC225" s="185"/>
      <c r="BD225" s="193"/>
    </row>
    <row r="226" spans="1:56" hidden="1" outlineLevel="1" x14ac:dyDescent="0.3">
      <c r="A226" s="184" t="str">
        <f ca="1">Language!A$639</f>
        <v>затраты в незавершенном производстве</v>
      </c>
      <c r="B226" s="174"/>
      <c r="C226" s="163" t="str">
        <f t="shared" ref="C226" ca="1" si="1042">CHOOSE(D226,CurName1,CurName2,CurName3)</f>
        <v>руб.</v>
      </c>
      <c r="D226" s="174">
        <f>D218</f>
        <v>1</v>
      </c>
      <c r="E226" s="170" t="s">
        <v>754</v>
      </c>
      <c r="F226" s="170" t="s">
        <v>2350</v>
      </c>
      <c r="G226" s="287">
        <f ca="1">IF(AND($B227=0,G$2&gt;1),F226,G221*$B227/Параметры!G$30)</f>
        <v>0</v>
      </c>
      <c r="H226" s="287">
        <f ca="1">IF(AND($B227=0,H$2&gt;1),G226,H221*$B227/Параметры!H$30)</f>
        <v>0</v>
      </c>
      <c r="I226" s="287">
        <f ca="1">IF(AND($B227=0,I$2&gt;1),H226,I221*$B227/Параметры!I$30)</f>
        <v>0</v>
      </c>
      <c r="J226" s="287">
        <f ca="1">IF(AND($B227=0,J$2&gt;1),I226,J221*$B227/Параметры!J$30)</f>
        <v>0</v>
      </c>
      <c r="K226" s="287">
        <f ca="1">IF(AND($B227=0,K$2&gt;1),J226,K221*$B227/Параметры!K$30)</f>
        <v>0</v>
      </c>
      <c r="L226" s="287">
        <f ca="1">IF(AND($B227=0,L$2&gt;1),K226,L221*$B227/Параметры!L$30)</f>
        <v>0</v>
      </c>
      <c r="M226" s="287">
        <f ca="1">IF(AND($B227=0,M$2&gt;1),L226,M221*$B227/Параметры!M$30)</f>
        <v>0</v>
      </c>
      <c r="N226" s="287">
        <f ca="1">IF(AND($B227=0,N$2&gt;1),M226,N221*$B227/Параметры!N$30)</f>
        <v>0</v>
      </c>
      <c r="O226" s="287">
        <f ca="1">IF(AND($B227=0,O$2&gt;1),N226,O221*$B227/Параметры!O$30)</f>
        <v>0</v>
      </c>
      <c r="P226" s="287">
        <f ca="1">IF(AND($B227=0,P$2&gt;1),O226,P221*$B227/Параметры!P$30)</f>
        <v>0</v>
      </c>
      <c r="Q226" s="287">
        <f ca="1">IF(AND($B227=0,Q$2&gt;1),P226,Q221*$B227/Параметры!Q$30)</f>
        <v>0</v>
      </c>
      <c r="R226" s="287">
        <f ca="1">IF(AND($B227=0,R$2&gt;1),Q226,R221*$B227/Параметры!R$30)</f>
        <v>0</v>
      </c>
      <c r="S226" s="287">
        <f ca="1">IF(AND($B227=0,S$2&gt;1),R226,S221*$B227/Параметры!S$30)</f>
        <v>0</v>
      </c>
      <c r="T226" s="287">
        <f ca="1">IF(AND($B227=0,T$2&gt;1),S226,T221*$B227/Параметры!T$30)</f>
        <v>0</v>
      </c>
      <c r="U226" s="287">
        <f ca="1">IF(AND($B227=0,U$2&gt;1),T226,U221*$B227/Параметры!U$30)</f>
        <v>0</v>
      </c>
      <c r="V226" s="287">
        <f ca="1">IF(AND($B227=0,V$2&gt;1),U226,V221*$B227/Параметры!V$30)</f>
        <v>0</v>
      </c>
      <c r="W226" s="287">
        <f ca="1">IF(AND($B227=0,W$2&gt;1),V226,W221*$B227/Параметры!W$30)</f>
        <v>0</v>
      </c>
      <c r="X226" s="287">
        <f ca="1">IF(AND($B227=0,X$2&gt;1),W226,X221*$B227/Параметры!X$30)</f>
        <v>0</v>
      </c>
      <c r="Y226" s="287">
        <f ca="1">IF(AND($B227=0,Y$2&gt;1),X226,Y221*$B227/Параметры!Y$30)</f>
        <v>0</v>
      </c>
      <c r="Z226" s="287">
        <f ca="1">IF(AND($B227=0,Z$2&gt;1),Y226,Z221*$B227/Параметры!Z$30)</f>
        <v>0</v>
      </c>
      <c r="AA226" s="287">
        <f ca="1">IF(AND($B227=0,AA$2&gt;1),Z226,AA221*$B227/Параметры!AA$30)</f>
        <v>0</v>
      </c>
      <c r="AB226" s="287">
        <f ca="1">IF(AND($B227=0,AB$2&gt;1),AA226,AB221*$B227/Параметры!AB$30)</f>
        <v>0</v>
      </c>
      <c r="AC226" s="287">
        <f ca="1">IF(AND($B227=0,AC$2&gt;1),AB226,AC221*$B227/Параметры!AC$30)</f>
        <v>0</v>
      </c>
      <c r="AD226" s="287">
        <f ca="1">IF(AND($B227=0,AD$2&gt;1),AC226,AD221*$B227/Параметры!AD$30)</f>
        <v>0</v>
      </c>
      <c r="AE226" s="287">
        <f ca="1">IF(AND($B227=0,AE$2&gt;1),AD226,AE221*$B227/Параметры!AE$30)</f>
        <v>0</v>
      </c>
      <c r="AF226" s="287">
        <f ca="1">IF(AND($B227=0,AF$2&gt;1),AE226,AF221*$B227/Параметры!AF$30)</f>
        <v>0</v>
      </c>
      <c r="AG226" s="287">
        <f ca="1">IF(AND($B227=0,AG$2&gt;1),AF226,AG221*$B227/Параметры!AG$30)</f>
        <v>0</v>
      </c>
      <c r="AH226" s="287">
        <f ca="1">IF(AND($B227=0,AH$2&gt;1),AG226,AH221*$B227/Параметры!AH$30)</f>
        <v>0</v>
      </c>
      <c r="AI226" s="287">
        <f ca="1">IF(AND($B227=0,AI$2&gt;1),AH226,AI221*$B227/Параметры!AI$30)</f>
        <v>0</v>
      </c>
      <c r="AJ226" s="287">
        <f ca="1">IF(AND($B227=0,AJ$2&gt;1),AI226,AJ221*$B227/Параметры!AJ$30)</f>
        <v>0</v>
      </c>
      <c r="AK226" s="287">
        <f ca="1">IF(AND($B227=0,AK$2&gt;1),AJ226,AK221*$B227/Параметры!AK$30)</f>
        <v>0</v>
      </c>
      <c r="AL226" s="287">
        <f ca="1">IF(AND($B227=0,AL$2&gt;1),AK226,AL221*$B227/Параметры!AL$30)</f>
        <v>0</v>
      </c>
      <c r="AM226" s="287">
        <f ca="1">IF(AND($B227=0,AM$2&gt;1),AL226,AM221*$B227/Параметры!AM$30)</f>
        <v>0</v>
      </c>
      <c r="AN226" s="287">
        <f ca="1">IF(AND($B227=0,AN$2&gt;1),AM226,AN221*$B227/Параметры!AN$30)</f>
        <v>0</v>
      </c>
      <c r="AO226" s="287">
        <f ca="1">IF(AND($B227=0,AO$2&gt;1),AN226,AO221*$B227/Параметры!AO$30)</f>
        <v>0</v>
      </c>
      <c r="AP226" s="287">
        <f ca="1">IF(AND($B227=0,AP$2&gt;1),AO226,AP221*$B227/Параметры!AP$30)</f>
        <v>0</v>
      </c>
      <c r="AQ226" s="287">
        <f ca="1">IF(AND($B227=0,AQ$2&gt;1),AP226,AQ221*$B227/Параметры!AQ$30)</f>
        <v>0</v>
      </c>
      <c r="AR226" s="287">
        <f ca="1">IF(AND($B227=0,AR$2&gt;1),AQ226,AR221*$B227/Параметры!AR$30)</f>
        <v>0</v>
      </c>
      <c r="AS226" s="287">
        <f ca="1">IF(AND($B227=0,AS$2&gt;1),AR226,AS221*$B227/Параметры!AS$30)</f>
        <v>0</v>
      </c>
      <c r="AT226" s="287">
        <f ca="1">IF(AND($B227=0,AT$2&gt;1),AS226,AT221*$B227/Параметры!AT$30)</f>
        <v>0</v>
      </c>
      <c r="AU226" s="287">
        <f ca="1">IF(AND($B227=0,AU$2&gt;1),AT226,AU221*$B227/Параметры!AU$30)</f>
        <v>0</v>
      </c>
      <c r="AV226" s="287">
        <f ca="1">IF(AND($B227=0,AV$2&gt;1),AU226,AV221*$B227/Параметры!AV$30)</f>
        <v>0</v>
      </c>
      <c r="AW226" s="287">
        <f ca="1">IF(AND($B227=0,AW$2&gt;1),AV226,AW221*$B227/Параметры!AW$30)</f>
        <v>0</v>
      </c>
      <c r="AX226" s="287">
        <f ca="1">IF(AND($B227=0,AX$2&gt;1),AW226,AX221*$B227/Параметры!AX$30)</f>
        <v>0</v>
      </c>
      <c r="AY226" s="287">
        <f ca="1">IF(AND($B227=0,AY$2&gt;1),AX226,AY221*$B227/Параметры!AY$30)</f>
        <v>0</v>
      </c>
      <c r="AZ226" s="287">
        <f ca="1">IF(AND($B227=0,AZ$2&gt;1),AY226,AZ221*$B227/Параметры!AZ$30)</f>
        <v>0</v>
      </c>
      <c r="BA226" s="287">
        <f ca="1">IF(AND($B227=0,BA$2&gt;1),AZ226,BA221*$B227/Параметры!BA$30)</f>
        <v>0</v>
      </c>
      <c r="BB226" s="287">
        <f ca="1">IF(AND($B227=0,BB$2&gt;1),BA226,BB221*$B227/Параметры!BB$30)</f>
        <v>0</v>
      </c>
      <c r="BC226" s="185"/>
      <c r="BD226" s="193"/>
    </row>
    <row r="227" spans="1:56" s="170" customFormat="1" hidden="1" outlineLevel="1" x14ac:dyDescent="0.3">
      <c r="A227" s="187" t="str">
        <f ca="1">Language!A$640</f>
        <v>длительность производственного цикла</v>
      </c>
      <c r="B227" s="288">
        <f>$B$591</f>
        <v>0</v>
      </c>
      <c r="C227" s="163" t="str">
        <f ca="1">Language!$A$1474</f>
        <v>дней</v>
      </c>
      <c r="D227" s="174"/>
      <c r="F227" s="170" t="s">
        <v>2347</v>
      </c>
      <c r="G227" s="185"/>
      <c r="H227" s="185"/>
      <c r="I227" s="185"/>
      <c r="J227" s="185"/>
      <c r="K227" s="185"/>
      <c r="L227" s="185"/>
      <c r="M227" s="185"/>
      <c r="N227" s="185"/>
      <c r="O227" s="185"/>
      <c r="P227" s="185"/>
      <c r="Q227" s="185"/>
      <c r="R227" s="185"/>
      <c r="S227" s="185"/>
      <c r="T227" s="185"/>
      <c r="U227" s="185"/>
      <c r="V227" s="185"/>
      <c r="W227" s="185"/>
      <c r="X227" s="185"/>
      <c r="Y227" s="185"/>
      <c r="Z227" s="185"/>
      <c r="AA227" s="185"/>
      <c r="AB227" s="185"/>
      <c r="AC227" s="185"/>
      <c r="AD227" s="185"/>
      <c r="AE227" s="185"/>
      <c r="AF227" s="185"/>
      <c r="AG227" s="185"/>
      <c r="AH227" s="185"/>
      <c r="AI227" s="185"/>
      <c r="AJ227" s="185"/>
      <c r="AK227" s="185"/>
      <c r="AL227" s="185"/>
      <c r="AM227" s="185"/>
      <c r="AN227" s="185"/>
      <c r="AO227" s="185"/>
      <c r="AP227" s="185"/>
      <c r="AQ227" s="185"/>
      <c r="AR227" s="185"/>
      <c r="AS227" s="185"/>
      <c r="AT227" s="185"/>
      <c r="AU227" s="185"/>
      <c r="AV227" s="185"/>
      <c r="AW227" s="185"/>
      <c r="AX227" s="185"/>
      <c r="AY227" s="185"/>
      <c r="AZ227" s="185"/>
      <c r="BA227" s="185"/>
      <c r="BB227" s="185"/>
      <c r="BC227" s="185"/>
      <c r="BD227" s="193"/>
    </row>
    <row r="228" spans="1:56" s="173" customFormat="1" hidden="1" outlineLevel="1" x14ac:dyDescent="0.3">
      <c r="A228" s="181" t="str">
        <f ca="1">Language!A$641</f>
        <v>общий расход за период, без НДС</v>
      </c>
      <c r="B228" s="200"/>
      <c r="C228" s="176" t="str">
        <f t="shared" ref="C228:C229" ca="1" si="1043">CHOOSE(D228,CurName1,CurName2,CurName3)</f>
        <v>руб.</v>
      </c>
      <c r="D228" s="174">
        <f>D218</f>
        <v>1</v>
      </c>
      <c r="E228" s="170" t="s">
        <v>2312</v>
      </c>
      <c r="F228" s="170" t="s">
        <v>740</v>
      </c>
      <c r="G228" s="202">
        <f t="shared" ref="G228" ca="1" si="1044">G221+IF(G$2=1,G222+G224+G226,G222+G224+G226-F222-F224-F226)</f>
        <v>0</v>
      </c>
      <c r="H228" s="202">
        <f t="shared" ref="H228" ca="1" si="1045">H221+IF(H$2=1,H222+H224+H226,H222+H224+H226-G222-G224-G226)</f>
        <v>0</v>
      </c>
      <c r="I228" s="202">
        <f t="shared" ref="I228" ca="1" si="1046">I221+IF(I$2=1,I222+I224+I226,I222+I224+I226-H222-H224-H226)</f>
        <v>0</v>
      </c>
      <c r="J228" s="202">
        <f t="shared" ref="J228" ca="1" si="1047">J221+IF(J$2=1,J222+J224+J226,J222+J224+J226-I222-I224-I226)</f>
        <v>0</v>
      </c>
      <c r="K228" s="202">
        <f t="shared" ref="K228" ca="1" si="1048">K221+IF(K$2=1,K222+K224+K226,K222+K224+K226-J222-J224-J226)</f>
        <v>0</v>
      </c>
      <c r="L228" s="202">
        <f t="shared" ref="L228" ca="1" si="1049">L221+IF(L$2=1,L222+L224+L226,L222+L224+L226-K222-K224-K226)</f>
        <v>0</v>
      </c>
      <c r="M228" s="202">
        <f t="shared" ref="M228" ca="1" si="1050">M221+IF(M$2=1,M222+M224+M226,M222+M224+M226-L222-L224-L226)</f>
        <v>385416.00000000006</v>
      </c>
      <c r="N228" s="202">
        <f t="shared" ref="N228" ca="1" si="1051">N221+IF(N$2=1,N222+N224+N226,N222+N224+N226-M222-M224-M226)</f>
        <v>326194.9272231569</v>
      </c>
      <c r="O228" s="202">
        <f t="shared" ref="O228" ca="1" si="1052">O221+IF(O$2=1,O222+O224+O226,O222+O224+O226-N222-N224-N226)</f>
        <v>395507.02899955679</v>
      </c>
      <c r="P228" s="202">
        <f t="shared" ref="P228" ca="1" si="1053">P221+IF(P$2=1,P222+P224+P226,P222+P224+P226-O222-O224-O226)</f>
        <v>466140.87097816187</v>
      </c>
      <c r="Q228" s="202">
        <f t="shared" ref="Q228" ca="1" si="1054">Q221+IF(Q$2=1,Q222+Q224+Q226,Q222+Q224+Q226-P222-P224-P226)</f>
        <v>404554.83402290341</v>
      </c>
      <c r="R228" s="202">
        <f t="shared" ref="R228" ca="1" si="1055">R221+IF(R$2=1,R222+R224+R226,R222+R224+R226-Q222-Q224-Q226)</f>
        <v>408502.80138232984</v>
      </c>
      <c r="S228" s="202">
        <f t="shared" ref="S228" ca="1" si="1056">S221+IF(S$2=1,S222+S224+S226,S222+S224+S226-R222-R224-R226)</f>
        <v>684849.93614264403</v>
      </c>
      <c r="T228" s="202">
        <f t="shared" ref="T228" ca="1" si="1057">T221+IF(T$2=1,T222+T224+T226,T222+T224+T226-S222-S224-S226)</f>
        <v>417843.64999895624</v>
      </c>
      <c r="U228" s="202">
        <f t="shared" ref="U228" ca="1" si="1058">U221+IF(U$2=1,U222+U224+U226,U222+U224+U226-T222-T224-T226)</f>
        <v>351824.73760188598</v>
      </c>
      <c r="V228" s="202">
        <f t="shared" ref="V228" ca="1" si="1059">V221+IF(V$2=1,V222+V224+V226,V222+V224+V226-U222-U224-U226)</f>
        <v>424683.72302007151</v>
      </c>
      <c r="W228" s="202">
        <f t="shared" ref="W228" ca="1" si="1060">W221+IF(W$2=1,W222+W224+W226,W222+W224+W226-V222-V224-V226)</f>
        <v>287253.65969350183</v>
      </c>
      <c r="X228" s="202">
        <f t="shared" ref="X228" ca="1" si="1061">X221+IF(X$2=1,X222+X224+X226,X222+X224+X226-W222-W224-W226)</f>
        <v>789712.32250985655</v>
      </c>
      <c r="Y228" s="202">
        <f t="shared" ref="Y228" ca="1" si="1062">Y221+IF(Y$2=1,Y222+Y224+Y226,Y222+Y224+Y226-X222-X224-X226)</f>
        <v>871687.15028160322</v>
      </c>
      <c r="Z228" s="202">
        <f t="shared" ref="Z228" ca="1" si="1063">Z221+IF(Z$2=1,Z222+Z224+Z226,Z222+Z224+Z226-Y222-Y224-Y226)</f>
        <v>735842.62656984816</v>
      </c>
      <c r="AA228" s="202">
        <f t="shared" ref="AA228" ca="1" si="1064">AA221+IF(AA$2=1,AA222+AA224+AA226,AA222+AA224+AA226-Z222-Z224-Z226)</f>
        <v>301476.74593209638</v>
      </c>
      <c r="AB228" s="202">
        <f t="shared" ref="AB228" ca="1" si="1065">AB221+IF(AB$2=1,AB222+AB224+AB226,AB222+AB224+AB226-AA222-AA224-AA226)</f>
        <v>227955.01620815549</v>
      </c>
      <c r="AC228" s="202">
        <f t="shared" ref="AC228" ca="1" si="1066">AC221+IF(AC$2=1,AC222+AC224+AC226,AC222+AC224+AC226-AB222-AB224-AB226)</f>
        <v>378798.17625677865</v>
      </c>
      <c r="AD228" s="202">
        <f t="shared" ref="AD228" ca="1" si="1067">AD221+IF(AD$2=1,AD222+AD224+AD226,AD222+AD224+AD226-AC222-AC224-AC226)</f>
        <v>534028.2137496972</v>
      </c>
      <c r="AE228" s="202">
        <f t="shared" ref="AE228" ca="1" si="1068">AE221+IF(AE$2=1,AE222+AE224+AE226,AE222+AE224+AE226-AD222-AD224-AD226)</f>
        <v>769497.38824987516</v>
      </c>
      <c r="AF228" s="202">
        <f t="shared" ref="AF228" ca="1" si="1069">AF221+IF(AF$2=1,AF222+AF224+AF226,AF222+AF224+AF226-AE222-AE224-AE226)</f>
        <v>469489.12513882725</v>
      </c>
      <c r="AG228" s="202">
        <f t="shared" ref="AG228" ca="1" si="1070">AG221+IF(AG$2=1,AG222+AG224+AG226,AG222+AG224+AG226-AF222-AF224-AF226)</f>
        <v>395310.2751694792</v>
      </c>
      <c r="AH228" s="202">
        <f t="shared" ref="AH228" ca="1" si="1071">AH221+IF(AH$2=1,AH222+AH224+AH226,AH222+AH224+AH226-AG222-AG224-AG226)</f>
        <v>477174.63118535286</v>
      </c>
      <c r="AI228" s="202">
        <f t="shared" ref="AI228" ca="1" si="1072">AI221+IF(AI$2=1,AI222+AI224+AI226,AI222+AI224+AI226-AH222-AH224-AH226)</f>
        <v>322758.21203161869</v>
      </c>
      <c r="AJ228" s="202">
        <f t="shared" ref="AJ228" ca="1" si="1073">AJ221+IF(AJ$2=1,AJ222+AJ224+AJ226,AJ222+AJ224+AJ226-AI222-AI224-AI226)</f>
        <v>887320.7655720755</v>
      </c>
      <c r="AK228" s="202">
        <f t="shared" ref="AK228" ca="1" si="1074">AK221+IF(AK$2=1,AK222+AK224+AK226,AK222+AK224+AK226-AJ222-AJ224-AJ226)</f>
        <v>979427.68205641047</v>
      </c>
      <c r="AL228" s="202">
        <f t="shared" ref="AL228" ca="1" si="1075">AL221+IF(AL$2=1,AL222+AL224+AL226,AL222+AL224+AL226-AK222-AK224-AK226)</f>
        <v>826792.77521388151</v>
      </c>
      <c r="AM228" s="202">
        <f t="shared" ref="AM228" ca="1" si="1076">AM221+IF(AM$2=1,AM222+AM224+AM226,AM222+AM224+AM226-AL222-AL224-AL226)</f>
        <v>338739.27172930341</v>
      </c>
      <c r="AN228" s="202">
        <f t="shared" ref="AN228" ca="1" si="1077">AN221+IF(AN$2=1,AN222+AN224+AN226,AN222+AN224+AN226-AM222-AM224-AM226)</f>
        <v>256130.25621148385</v>
      </c>
      <c r="AO228" s="202">
        <f t="shared" ref="AO228" ca="1" si="1078">AO221+IF(AO$2=1,AO222+AO224+AO226,AO222+AO224+AO226-AN222-AN224-AN226)</f>
        <v>425617.6308421166</v>
      </c>
      <c r="AP228" s="202">
        <f t="shared" ref="AP228" ca="1" si="1079">AP221+IF(AP$2=1,AP222+AP224+AP226,AP222+AP224+AP226-AO222-AO224-AO226)</f>
        <v>600034.10096916021</v>
      </c>
      <c r="AQ228" s="202">
        <f t="shared" ref="AQ228" ca="1" si="1080">AQ221+IF(AQ$2=1,AQ222+AQ224+AQ226,AQ222+AQ224+AQ226-AP222-AP224-AP226)</f>
        <v>864607.26543756051</v>
      </c>
      <c r="AR228" s="202">
        <f t="shared" ref="AR228" ca="1" si="1081">AR221+IF(AR$2=1,AR222+AR224+AR226,AR222+AR224+AR226-AQ222-AQ224-AQ226)</f>
        <v>527517.98100598657</v>
      </c>
      <c r="AS228" s="202">
        <f t="shared" ref="AS228" ca="1" si="1082">AS221+IF(AS$2=1,AS222+AS224+AS226,AS222+AS224+AS226-AR222-AR224-AR226)</f>
        <v>444170.6251804271</v>
      </c>
      <c r="AT228" s="202">
        <f t="shared" ref="AT228" ca="1" si="1083">AT221+IF(AT$2=1,AT222+AT224+AT226,AT222+AT224+AT226-AS222-AS224-AS226)</f>
        <v>536153.41559986246</v>
      </c>
      <c r="AU228" s="202">
        <f t="shared" ref="AU228" ca="1" si="1084">AU221+IF(AU$2=1,AU222+AU224+AU226,AU222+AU224+AU226-AT222-AT224-AT226)</f>
        <v>362651.12703872705</v>
      </c>
      <c r="AV228" s="202">
        <f t="shared" ref="AV228" ca="1" si="1085">AV221+IF(AV$2=1,AV222+AV224+AV226,AV222+AV224+AV226-AU222-AU224-AU226)</f>
        <v>996993.61219678482</v>
      </c>
      <c r="AW228" s="202">
        <f t="shared" ref="AW228" ca="1" si="1086">AW221+IF(AW$2=1,AW222+AW224+AW226,AW222+AW224+AW226-AV222-AV224-AV226)</f>
        <v>1100484.943558583</v>
      </c>
      <c r="AX228" s="202">
        <f t="shared" ref="AX228" ca="1" si="1087">AX221+IF(AX$2=1,AX222+AX224+AX226,AX222+AX224+AX226-AW222-AW224-AW226)</f>
        <v>928984.36223031802</v>
      </c>
      <c r="AY228" s="202">
        <f t="shared" ref="AY228" ca="1" si="1088">AY221+IF(AY$2=1,AY222+AY224+AY226,AY222+AY224+AY226-AX222-AX224-AX226)</f>
        <v>380607.44571504532</v>
      </c>
      <c r="AZ228" s="202">
        <f t="shared" ref="AZ228" ca="1" si="1089">AZ221+IF(AZ$2=1,AZ222+AZ224+AZ226,AZ222+AZ224+AZ226-AY222-AY224-AY226)</f>
        <v>287787.95587922342</v>
      </c>
      <c r="BA228" s="202">
        <f t="shared" ref="BA228" ca="1" si="1090">BA221+IF(BA$2=1,BA222+BA224+BA226,BA222+BA224+BA226-AZ222-AZ224-AZ226)</f>
        <v>478223.97001420235</v>
      </c>
      <c r="BB228" s="202">
        <f t="shared" ref="BB228" ca="1" si="1091">BB221+IF(BB$2=1,BB222+BB224+BB226,BB222+BB224+BB226-BA222-BA224-BA226)</f>
        <v>674198.31584894878</v>
      </c>
      <c r="BC228" s="202"/>
      <c r="BD228" s="183">
        <f ca="1">SUM(G228:BC228)</f>
        <v>22722945.554646458</v>
      </c>
    </row>
    <row r="229" spans="1:56" s="173" customFormat="1" hidden="1" outlineLevel="1" x14ac:dyDescent="0.3">
      <c r="A229" s="181" t="str">
        <f ca="1">Language!A$643</f>
        <v>общий расход за период, с НДС</v>
      </c>
      <c r="B229" s="200"/>
      <c r="C229" s="176" t="str">
        <f t="shared" ca="1" si="1043"/>
        <v>руб.</v>
      </c>
      <c r="D229" s="174">
        <f>D218</f>
        <v>1</v>
      </c>
      <c r="E229" s="170" t="s">
        <v>2318</v>
      </c>
      <c r="F229" s="170" t="s">
        <v>740</v>
      </c>
      <c r="G229" s="202">
        <f ca="1">G228+G241</f>
        <v>0</v>
      </c>
      <c r="H229" s="202">
        <f t="shared" ref="H229:BB229" ca="1" si="1092">H228+H241</f>
        <v>0</v>
      </c>
      <c r="I229" s="202">
        <f t="shared" ca="1" si="1092"/>
        <v>0</v>
      </c>
      <c r="J229" s="202">
        <f t="shared" ca="1" si="1092"/>
        <v>0</v>
      </c>
      <c r="K229" s="202">
        <f t="shared" ca="1" si="1092"/>
        <v>0</v>
      </c>
      <c r="L229" s="202">
        <f t="shared" ca="1" si="1092"/>
        <v>0</v>
      </c>
      <c r="M229" s="202">
        <f t="shared" ca="1" si="1092"/>
        <v>385416.00000000006</v>
      </c>
      <c r="N229" s="202">
        <f t="shared" ca="1" si="1092"/>
        <v>326194.9272231569</v>
      </c>
      <c r="O229" s="202">
        <f t="shared" ca="1" si="1092"/>
        <v>395507.02899955679</v>
      </c>
      <c r="P229" s="202">
        <f t="shared" ca="1" si="1092"/>
        <v>466140.87097816187</v>
      </c>
      <c r="Q229" s="202">
        <f t="shared" ca="1" si="1092"/>
        <v>404554.83402290341</v>
      </c>
      <c r="R229" s="202">
        <f t="shared" ca="1" si="1092"/>
        <v>408502.80138232984</v>
      </c>
      <c r="S229" s="202">
        <f t="shared" ca="1" si="1092"/>
        <v>684849.93614264403</v>
      </c>
      <c r="T229" s="202">
        <f t="shared" ca="1" si="1092"/>
        <v>417843.64999895624</v>
      </c>
      <c r="U229" s="202">
        <f t="shared" ca="1" si="1092"/>
        <v>351824.73760188598</v>
      </c>
      <c r="V229" s="202">
        <f t="shared" ca="1" si="1092"/>
        <v>424683.72302007151</v>
      </c>
      <c r="W229" s="202">
        <f t="shared" ca="1" si="1092"/>
        <v>287253.65969350183</v>
      </c>
      <c r="X229" s="202">
        <f t="shared" ca="1" si="1092"/>
        <v>789712.32250985655</v>
      </c>
      <c r="Y229" s="202">
        <f t="shared" ca="1" si="1092"/>
        <v>871687.15028160322</v>
      </c>
      <c r="Z229" s="202">
        <f t="shared" ca="1" si="1092"/>
        <v>735842.62656984816</v>
      </c>
      <c r="AA229" s="202">
        <f t="shared" ca="1" si="1092"/>
        <v>301476.74593209638</v>
      </c>
      <c r="AB229" s="202">
        <f t="shared" ca="1" si="1092"/>
        <v>227955.01620815549</v>
      </c>
      <c r="AC229" s="202">
        <f t="shared" ca="1" si="1092"/>
        <v>378798.17625677865</v>
      </c>
      <c r="AD229" s="202">
        <f t="shared" ca="1" si="1092"/>
        <v>534028.2137496972</v>
      </c>
      <c r="AE229" s="202">
        <f t="shared" ca="1" si="1092"/>
        <v>769497.38824987516</v>
      </c>
      <c r="AF229" s="202">
        <f t="shared" ca="1" si="1092"/>
        <v>469489.12513882725</v>
      </c>
      <c r="AG229" s="202">
        <f t="shared" ca="1" si="1092"/>
        <v>395310.2751694792</v>
      </c>
      <c r="AH229" s="202">
        <f t="shared" ca="1" si="1092"/>
        <v>477174.63118535286</v>
      </c>
      <c r="AI229" s="202">
        <f t="shared" ca="1" si="1092"/>
        <v>322758.21203161869</v>
      </c>
      <c r="AJ229" s="202">
        <f t="shared" ca="1" si="1092"/>
        <v>887320.7655720755</v>
      </c>
      <c r="AK229" s="202">
        <f t="shared" ca="1" si="1092"/>
        <v>979427.68205641047</v>
      </c>
      <c r="AL229" s="202">
        <f t="shared" ca="1" si="1092"/>
        <v>826792.77521388151</v>
      </c>
      <c r="AM229" s="202">
        <f t="shared" ca="1" si="1092"/>
        <v>338739.27172930341</v>
      </c>
      <c r="AN229" s="202">
        <f t="shared" ca="1" si="1092"/>
        <v>256130.25621148385</v>
      </c>
      <c r="AO229" s="202">
        <f t="shared" ca="1" si="1092"/>
        <v>425617.6308421166</v>
      </c>
      <c r="AP229" s="202">
        <f t="shared" ca="1" si="1092"/>
        <v>600034.10096916021</v>
      </c>
      <c r="AQ229" s="202">
        <f t="shared" ca="1" si="1092"/>
        <v>864607.26543756051</v>
      </c>
      <c r="AR229" s="202">
        <f t="shared" ca="1" si="1092"/>
        <v>527517.98100598657</v>
      </c>
      <c r="AS229" s="202">
        <f t="shared" ca="1" si="1092"/>
        <v>444170.6251804271</v>
      </c>
      <c r="AT229" s="202">
        <f t="shared" ca="1" si="1092"/>
        <v>536153.41559986246</v>
      </c>
      <c r="AU229" s="202">
        <f t="shared" ca="1" si="1092"/>
        <v>362651.12703872705</v>
      </c>
      <c r="AV229" s="202">
        <f t="shared" ca="1" si="1092"/>
        <v>996993.61219678482</v>
      </c>
      <c r="AW229" s="202">
        <f t="shared" ca="1" si="1092"/>
        <v>1100484.943558583</v>
      </c>
      <c r="AX229" s="202">
        <f t="shared" ca="1" si="1092"/>
        <v>928984.36223031802</v>
      </c>
      <c r="AY229" s="202">
        <f t="shared" ca="1" si="1092"/>
        <v>380607.44571504532</v>
      </c>
      <c r="AZ229" s="202">
        <f t="shared" ca="1" si="1092"/>
        <v>287787.95587922342</v>
      </c>
      <c r="BA229" s="202">
        <f t="shared" ca="1" si="1092"/>
        <v>478223.97001420235</v>
      </c>
      <c r="BB229" s="202">
        <f t="shared" ca="1" si="1092"/>
        <v>674198.31584894878</v>
      </c>
      <c r="BC229" s="202"/>
      <c r="BD229" s="183">
        <f ca="1">SUM(G229:BC229)</f>
        <v>22722945.554646458</v>
      </c>
    </row>
    <row r="230" spans="1:56" hidden="1" outlineLevel="1" x14ac:dyDescent="0.3">
      <c r="A230" s="184" t="str">
        <f ca="1">Language!A$645</f>
        <v>кредиторская задолженность</v>
      </c>
      <c r="B230" s="174"/>
      <c r="C230" s="163" t="str">
        <f ca="1">CHOOSE(D230,CurName1,CurName2,CurName3)</f>
        <v>руб.</v>
      </c>
      <c r="D230" s="174">
        <f>D218</f>
        <v>1</v>
      </c>
      <c r="E230" s="170" t="s">
        <v>1013</v>
      </c>
      <c r="F230" s="170" t="s">
        <v>2350</v>
      </c>
      <c r="G230" s="289">
        <f ca="1">IF(AND($B231=0,G$2&gt;1),F230,(IF(Старт!$B$9+Старт!$B$10+Старт!$B$11=0,G228,G221)+G241)*$B231/Параметры!G$30)</f>
        <v>0</v>
      </c>
      <c r="H230" s="289">
        <f ca="1">IF(AND($B231=0,H$2&gt;1),G230,(IF(Старт!$B$9+Старт!$B$10+Старт!$B$11=0,H228,H221)+H241)*$B231/Параметры!H$30)</f>
        <v>0</v>
      </c>
      <c r="I230" s="289">
        <f ca="1">IF(AND($B231=0,I$2&gt;1),H230,(IF(Старт!$B$9+Старт!$B$10+Старт!$B$11=0,I228,I221)+I241)*$B231/Параметры!I$30)</f>
        <v>0</v>
      </c>
      <c r="J230" s="289">
        <f ca="1">IF(AND($B231=0,J$2&gt;1),I230,(IF(Старт!$B$9+Старт!$B$10+Старт!$B$11=0,J228,J221)+J241)*$B231/Параметры!J$30)</f>
        <v>0</v>
      </c>
      <c r="K230" s="289">
        <f ca="1">IF(AND($B231=0,K$2&gt;1),J230,(IF(Старт!$B$9+Старт!$B$10+Старт!$B$11=0,K228,K221)+K241)*$B231/Параметры!K$30)</f>
        <v>0</v>
      </c>
      <c r="L230" s="289">
        <f ca="1">IF(AND($B231=0,L$2&gt;1),K230,(IF(Старт!$B$9+Старт!$B$10+Старт!$B$11=0,L228,L221)+L241)*$B231/Параметры!L$30)</f>
        <v>0</v>
      </c>
      <c r="M230" s="289">
        <f ca="1">IF(AND($B231=0,M$2&gt;1),L230,(IF(Старт!$B$9+Старт!$B$10+Старт!$B$11=0,M228,M221)+M241)*$B231/Параметры!M$30)</f>
        <v>128472.00000000001</v>
      </c>
      <c r="N230" s="289">
        <f ca="1">IF(AND($B231=0,N$2&gt;1),M230,(IF(Старт!$B$9+Старт!$B$10+Старт!$B$11=0,N228,N221)+N241)*$B231/Параметры!N$30)</f>
        <v>108731.64240771897</v>
      </c>
      <c r="O230" s="289">
        <f ca="1">IF(AND($B231=0,O$2&gt;1),N230,(IF(Старт!$B$9+Старт!$B$10+Старт!$B$11=0,O228,O221)+O241)*$B231/Параметры!O$30)</f>
        <v>131835.67633318561</v>
      </c>
      <c r="P230" s="289">
        <f ca="1">IF(AND($B231=0,P$2&gt;1),O230,(IF(Старт!$B$9+Старт!$B$10+Старт!$B$11=0,P228,P221)+P241)*$B231/Параметры!P$30)</f>
        <v>155380.29032605395</v>
      </c>
      <c r="Q230" s="289">
        <f ca="1">IF(AND($B231=0,Q$2&gt;1),P230,(IF(Старт!$B$9+Старт!$B$10+Старт!$B$11=0,Q228,Q221)+Q241)*$B231/Параметры!Q$30)</f>
        <v>134851.61134096779</v>
      </c>
      <c r="R230" s="289">
        <f ca="1">IF(AND($B231=0,R$2&gt;1),Q230,(IF(Старт!$B$9+Старт!$B$10+Старт!$B$11=0,R228,R221)+R241)*$B231/Параметры!R$30)</f>
        <v>136167.60046077662</v>
      </c>
      <c r="S230" s="289">
        <f ca="1">IF(AND($B231=0,S$2&gt;1),R230,(IF(Старт!$B$9+Старт!$B$10+Старт!$B$11=0,S228,S221)+S241)*$B231/Параметры!S$30)</f>
        <v>228283.31204754801</v>
      </c>
      <c r="T230" s="289">
        <f ca="1">IF(AND($B231=0,T$2&gt;1),S230,(IF(Старт!$B$9+Старт!$B$10+Старт!$B$11=0,T228,T221)+T241)*$B231/Параметры!T$30)</f>
        <v>139281.21666631877</v>
      </c>
      <c r="U230" s="289">
        <f ca="1">IF(AND($B231=0,U$2&gt;1),T230,(IF(Старт!$B$9+Старт!$B$10+Старт!$B$11=0,U228,U221)+U241)*$B231/Параметры!U$30)</f>
        <v>117274.91253396199</v>
      </c>
      <c r="V230" s="289">
        <f ca="1">IF(AND($B231=0,V$2&gt;1),U230,(IF(Старт!$B$9+Старт!$B$10+Старт!$B$11=0,V228,V221)+V241)*$B231/Параметры!V$30)</f>
        <v>141561.24100669051</v>
      </c>
      <c r="W230" s="289">
        <f ca="1">IF(AND($B231=0,W$2&gt;1),V230,(IF(Старт!$B$9+Старт!$B$10+Старт!$B$11=0,W228,W221)+W241)*$B231/Параметры!W$30)</f>
        <v>95751.219897833944</v>
      </c>
      <c r="X230" s="289">
        <f ca="1">IF(AND($B231=0,X$2&gt;1),W230,(IF(Старт!$B$9+Старт!$B$10+Старт!$B$11=0,X228,X221)+X241)*$B231/Параметры!X$30)</f>
        <v>263237.44083661883</v>
      </c>
      <c r="Y230" s="289">
        <f ca="1">IF(AND($B231=0,Y$2&gt;1),X230,(IF(Старт!$B$9+Старт!$B$10+Старт!$B$11=0,Y228,Y221)+Y241)*$B231/Параметры!Y$30)</f>
        <v>290562.38342720107</v>
      </c>
      <c r="Z230" s="289">
        <f ca="1">IF(AND($B231=0,Z$2&gt;1),Y230,(IF(Старт!$B$9+Старт!$B$10+Старт!$B$11=0,Z228,Z221)+Z241)*$B231/Параметры!Z$30)</f>
        <v>245280.87552328271</v>
      </c>
      <c r="AA230" s="289">
        <f ca="1">IF(AND($B231=0,AA$2&gt;1),Z230,(IF(Старт!$B$9+Старт!$B$10+Старт!$B$11=0,AA228,AA221)+AA241)*$B231/Параметры!AA$30)</f>
        <v>100492.24864403212</v>
      </c>
      <c r="AB230" s="289">
        <f ca="1">IF(AND($B231=0,AB$2&gt;1),AA230,(IF(Старт!$B$9+Старт!$B$10+Старт!$B$11=0,AB228,AB221)+AB241)*$B231/Параметры!AB$30)</f>
        <v>75985.005402718496</v>
      </c>
      <c r="AC230" s="289">
        <f ca="1">IF(AND($B231=0,AC$2&gt;1),AB230,(IF(Старт!$B$9+Старт!$B$10+Старт!$B$11=0,AC228,AC221)+AC241)*$B231/Параметры!AC$30)</f>
        <v>126266.05875225955</v>
      </c>
      <c r="AD230" s="289">
        <f ca="1">IF(AND($B231=0,AD$2&gt;1),AC230,(IF(Старт!$B$9+Старт!$B$10+Старт!$B$11=0,AD228,AD221)+AD241)*$B231/Параметры!AD$30)</f>
        <v>178009.40458323242</v>
      </c>
      <c r="AE230" s="289">
        <f ca="1">IF(AND($B231=0,AE$2&gt;1),AD230,(IF(Старт!$B$9+Старт!$B$10+Старт!$B$11=0,AE228,AE221)+AE241)*$B231/Параметры!AE$30)</f>
        <v>256499.12941662504</v>
      </c>
      <c r="AF230" s="289">
        <f ca="1">IF(AND($B231=0,AF$2&gt;1),AE230,(IF(Старт!$B$9+Старт!$B$10+Старт!$B$11=0,AF228,AF221)+AF241)*$B231/Параметры!AF$30)</f>
        <v>156496.37504627573</v>
      </c>
      <c r="AG230" s="289">
        <f ca="1">IF(AND($B231=0,AG$2&gt;1),AF230,(IF(Старт!$B$9+Старт!$B$10+Старт!$B$11=0,AG228,AG221)+AG241)*$B231/Параметры!AG$30)</f>
        <v>131770.09172315974</v>
      </c>
      <c r="AH230" s="289">
        <f ca="1">IF(AND($B231=0,AH$2&gt;1),AG230,(IF(Старт!$B$9+Старт!$B$10+Старт!$B$11=0,AH228,AH221)+AH241)*$B231/Параметры!AH$30)</f>
        <v>159058.21039511764</v>
      </c>
      <c r="AI230" s="289">
        <f ca="1">IF(AND($B231=0,AI$2&gt;1),AH230,(IF(Старт!$B$9+Старт!$B$10+Старт!$B$11=0,AI228,AI221)+AI241)*$B231/Параметры!AI$30)</f>
        <v>107586.07067720623</v>
      </c>
      <c r="AJ230" s="289">
        <f ca="1">IF(AND($B231=0,AJ$2&gt;1),AI230,(IF(Старт!$B$9+Старт!$B$10+Старт!$B$11=0,AJ228,AJ221)+AJ241)*$B231/Параметры!AJ$30)</f>
        <v>295773.58852402517</v>
      </c>
      <c r="AK230" s="289">
        <f ca="1">IF(AND($B231=0,AK$2&gt;1),AJ230,(IF(Старт!$B$9+Старт!$B$10+Старт!$B$11=0,AK228,AK221)+AK241)*$B231/Параметры!AK$30)</f>
        <v>326475.89401880349</v>
      </c>
      <c r="AL230" s="289">
        <f ca="1">IF(AND($B231=0,AL$2&gt;1),AK230,(IF(Старт!$B$9+Старт!$B$10+Старт!$B$11=0,AL228,AL221)+AL241)*$B231/Параметры!AL$30)</f>
        <v>275597.59173796052</v>
      </c>
      <c r="AM230" s="289">
        <f ca="1">IF(AND($B231=0,AM$2&gt;1),AL230,(IF(Старт!$B$9+Старт!$B$10+Старт!$B$11=0,AM228,AM221)+AM241)*$B231/Параметры!AM$30)</f>
        <v>112913.09057643448</v>
      </c>
      <c r="AN230" s="289">
        <f ca="1">IF(AND($B231=0,AN$2&gt;1),AM230,(IF(Старт!$B$9+Старт!$B$10+Старт!$B$11=0,AN228,AN221)+AN241)*$B231/Параметры!AN$30)</f>
        <v>85376.752070494622</v>
      </c>
      <c r="AO230" s="289">
        <f ca="1">IF(AND($B231=0,AO$2&gt;1),AN230,(IF(Старт!$B$9+Старт!$B$10+Старт!$B$11=0,AO228,AO221)+AO241)*$B231/Параметры!AO$30)</f>
        <v>141872.54361403885</v>
      </c>
      <c r="AP230" s="289">
        <f ca="1">IF(AND($B231=0,AP$2&gt;1),AO230,(IF(Старт!$B$9+Старт!$B$10+Старт!$B$11=0,AP228,AP221)+AP241)*$B231/Параметры!AP$30)</f>
        <v>200011.36698972006</v>
      </c>
      <c r="AQ230" s="289">
        <f ca="1">IF(AND($B231=0,AQ$2&gt;1),AP230,(IF(Старт!$B$9+Старт!$B$10+Старт!$B$11=0,AQ228,AQ221)+AQ241)*$B231/Параметры!AQ$30)</f>
        <v>288202.42181252019</v>
      </c>
      <c r="AR230" s="289">
        <f ca="1">IF(AND($B231=0,AR$2&gt;1),AQ230,(IF(Старт!$B$9+Старт!$B$10+Старт!$B$11=0,AR228,AR221)+AR241)*$B231/Параметры!AR$30)</f>
        <v>175839.32700199552</v>
      </c>
      <c r="AS230" s="289">
        <f ca="1">IF(AND($B231=0,AS$2&gt;1),AR230,(IF(Старт!$B$9+Старт!$B$10+Старт!$B$11=0,AS228,AS221)+AS241)*$B231/Параметры!AS$30)</f>
        <v>148056.87506014237</v>
      </c>
      <c r="AT230" s="289">
        <f ca="1">IF(AND($B231=0,AT$2&gt;1),AS230,(IF(Старт!$B$9+Старт!$B$10+Старт!$B$11=0,AT228,AT221)+AT241)*$B231/Параметры!AT$30)</f>
        <v>178717.80519995416</v>
      </c>
      <c r="AU230" s="289">
        <f ca="1">IF(AND($B231=0,AU$2&gt;1),AT230,(IF(Старт!$B$9+Старт!$B$10+Старт!$B$11=0,AU228,AU221)+AU241)*$B231/Параметры!AU$30)</f>
        <v>120883.70901290902</v>
      </c>
      <c r="AV230" s="289">
        <f ca="1">IF(AND($B231=0,AV$2&gt;1),AU230,(IF(Старт!$B$9+Старт!$B$10+Старт!$B$11=0,AV228,AV221)+AV241)*$B231/Параметры!AV$30)</f>
        <v>332331.20406559494</v>
      </c>
      <c r="AW230" s="289">
        <f ca="1">IF(AND($B231=0,AW$2&gt;1),AV230,(IF(Старт!$B$9+Старт!$B$10+Старт!$B$11=0,AW228,AW221)+AW241)*$B231/Параметры!AW$30)</f>
        <v>366828.31451952766</v>
      </c>
      <c r="AX230" s="289">
        <f ca="1">IF(AND($B231=0,AX$2&gt;1),AW230,(IF(Старт!$B$9+Старт!$B$10+Старт!$B$11=0,AX228,AX221)+AX241)*$B231/Параметры!AX$30)</f>
        <v>309661.45407677267</v>
      </c>
      <c r="AY230" s="289">
        <f ca="1">IF(AND($B231=0,AY$2&gt;1),AX230,(IF(Старт!$B$9+Старт!$B$10+Старт!$B$11=0,AY228,AY221)+AY241)*$B231/Параметры!AY$30)</f>
        <v>126869.14857168177</v>
      </c>
      <c r="AZ230" s="289">
        <f ca="1">IF(AND($B231=0,AZ$2&gt;1),AY230,(IF(Старт!$B$9+Старт!$B$10+Старт!$B$11=0,AZ228,AZ221)+AZ241)*$B231/Параметры!AZ$30)</f>
        <v>95929.31862640781</v>
      </c>
      <c r="BA230" s="289">
        <f ca="1">IF(AND($B231=0,BA$2&gt;1),AZ230,(IF(Старт!$B$9+Старт!$B$10+Старт!$B$11=0,BA228,BA221)+BA241)*$B231/Параметры!BA$30)</f>
        <v>159407.99000473411</v>
      </c>
      <c r="BB230" s="289">
        <f ca="1">IF(AND($B231=0,BB$2&gt;1),BA230,(IF(Старт!$B$9+Старт!$B$10+Старт!$B$11=0,BB228,BB221)+BB241)*$B231/Параметры!BB$30)</f>
        <v>224732.77194964961</v>
      </c>
      <c r="BC230" s="188"/>
      <c r="BD230" s="186"/>
    </row>
    <row r="231" spans="1:56" s="170" customFormat="1" hidden="1" outlineLevel="1" x14ac:dyDescent="0.3">
      <c r="A231" s="187" t="str">
        <f ca="1">Language!A$646</f>
        <v>период отсрочки платежа</v>
      </c>
      <c r="B231" s="288">
        <f>$B$603</f>
        <v>10</v>
      </c>
      <c r="C231" s="163" t="str">
        <f ca="1">Language!$A$1474</f>
        <v>дней</v>
      </c>
      <c r="F231" s="170" t="s">
        <v>2347</v>
      </c>
      <c r="G231" s="185"/>
      <c r="H231" s="185"/>
      <c r="I231" s="185"/>
      <c r="J231" s="185"/>
      <c r="K231" s="185"/>
      <c r="L231" s="185"/>
      <c r="M231" s="185"/>
      <c r="N231" s="185"/>
      <c r="O231" s="185"/>
      <c r="P231" s="185"/>
      <c r="Q231" s="185"/>
      <c r="R231" s="185"/>
      <c r="S231" s="185"/>
      <c r="T231" s="185"/>
      <c r="U231" s="185"/>
      <c r="V231" s="185"/>
      <c r="W231" s="185"/>
      <c r="X231" s="185"/>
      <c r="Y231" s="185"/>
      <c r="Z231" s="185"/>
      <c r="AA231" s="185"/>
      <c r="AB231" s="185"/>
      <c r="AC231" s="185"/>
      <c r="AD231" s="185"/>
      <c r="AE231" s="185"/>
      <c r="AF231" s="185"/>
      <c r="AG231" s="185"/>
      <c r="AH231" s="185"/>
      <c r="AI231" s="185"/>
      <c r="AJ231" s="185"/>
      <c r="AK231" s="185"/>
      <c r="AL231" s="185"/>
      <c r="AM231" s="185"/>
      <c r="AN231" s="185"/>
      <c r="AO231" s="185"/>
      <c r="AP231" s="185"/>
      <c r="AQ231" s="185"/>
      <c r="AR231" s="185"/>
      <c r="AS231" s="185"/>
      <c r="AT231" s="185"/>
      <c r="AU231" s="185"/>
      <c r="AV231" s="185"/>
      <c r="AW231" s="185"/>
      <c r="AX231" s="185"/>
      <c r="AY231" s="185"/>
      <c r="AZ231" s="185"/>
      <c r="BA231" s="185"/>
      <c r="BB231" s="185"/>
      <c r="BC231" s="185"/>
      <c r="BD231" s="186"/>
    </row>
    <row r="232" spans="1:56" hidden="1" outlineLevel="1" x14ac:dyDescent="0.3">
      <c r="A232" s="184" t="str">
        <f ca="1">Language!A$647</f>
        <v>авансы уплаченные</v>
      </c>
      <c r="B232" s="174"/>
      <c r="C232" s="163" t="str">
        <f ca="1">CHOOSE(D232,CurName1,CurName2,CurName3)</f>
        <v>руб.</v>
      </c>
      <c r="D232" s="174">
        <f>D218</f>
        <v>1</v>
      </c>
      <c r="E232" s="170" t="s">
        <v>995</v>
      </c>
      <c r="F232" s="170" t="s">
        <v>2350</v>
      </c>
      <c r="G232" s="289">
        <f ca="1">IF(OR(AND($B233=0,G$2&gt;1),G$2=Prj_Len),F232,(IF(Старт!$B$9+Старт!$B$10+Старт!$B$11=0,OFFSET(G228,0,1),OFFSET(G221,0,1))+OFFSET(G241,0,1))*$B233/Параметры!G$30)</f>
        <v>0</v>
      </c>
      <c r="H232" s="289">
        <f ca="1">IF(OR(AND($B233=0,H$2&gt;1),H$2=Prj_Len),G232,(IF(Старт!$B$9+Старт!$B$10+Старт!$B$11=0,OFFSET(H228,0,1),OFFSET(H221,0,1))+OFFSET(H241,0,1))*$B233/Параметры!H$30)</f>
        <v>0</v>
      </c>
      <c r="I232" s="289">
        <f ca="1">IF(OR(AND($B233=0,I$2&gt;1),I$2=Prj_Len),H232,(IF(Старт!$B$9+Старт!$B$10+Старт!$B$11=0,OFFSET(I228,0,1),OFFSET(I221,0,1))+OFFSET(I241,0,1))*$B233/Параметры!I$30)</f>
        <v>0</v>
      </c>
      <c r="J232" s="289">
        <f ca="1">IF(OR(AND($B233=0,J$2&gt;1),J$2=Prj_Len),I232,(IF(Старт!$B$9+Старт!$B$10+Старт!$B$11=0,OFFSET(J228,0,1),OFFSET(J221,0,1))+OFFSET(J241,0,1))*$B233/Параметры!J$30)</f>
        <v>0</v>
      </c>
      <c r="K232" s="289">
        <f ca="1">IF(OR(AND($B233=0,K$2&gt;1),K$2=Prj_Len),J232,(IF(Старт!$B$9+Старт!$B$10+Старт!$B$11=0,OFFSET(K228,0,1),OFFSET(K221,0,1))+OFFSET(K241,0,1))*$B233/Параметры!K$30)</f>
        <v>0</v>
      </c>
      <c r="L232" s="289">
        <f ca="1">IF(OR(AND($B233=0,L$2&gt;1),L$2=Prj_Len),K232,(IF(Старт!$B$9+Старт!$B$10+Старт!$B$11=0,OFFSET(L228,0,1),OFFSET(L221,0,1))+OFFSET(L241,0,1))*$B233/Параметры!L$30)</f>
        <v>128472.00000000001</v>
      </c>
      <c r="M232" s="289">
        <f ca="1">IF(OR(AND($B233=0,M$2&gt;1),M$2=Prj_Len),L232,(IF(Старт!$B$9+Старт!$B$10+Старт!$B$11=0,OFFSET(M228,0,1),OFFSET(M221,0,1))+OFFSET(M241,0,1))*$B233/Параметры!M$30)</f>
        <v>108731.64240771897</v>
      </c>
      <c r="N232" s="289">
        <f ca="1">IF(OR(AND($B233=0,N$2&gt;1),N$2=Prj_Len),M232,(IF(Старт!$B$9+Старт!$B$10+Старт!$B$11=0,OFFSET(N228,0,1),OFFSET(N221,0,1))+OFFSET(N241,0,1))*$B233/Параметры!N$30)</f>
        <v>131835.67633318561</v>
      </c>
      <c r="O232" s="289">
        <f ca="1">IF(OR(AND($B233=0,O$2&gt;1),O$2=Prj_Len),N232,(IF(Старт!$B$9+Старт!$B$10+Старт!$B$11=0,OFFSET(O228,0,1),OFFSET(O221,0,1))+OFFSET(O241,0,1))*$B233/Параметры!O$30)</f>
        <v>155380.29032605395</v>
      </c>
      <c r="P232" s="289">
        <f ca="1">IF(OR(AND($B233=0,P$2&gt;1),P$2=Prj_Len),O232,(IF(Старт!$B$9+Старт!$B$10+Старт!$B$11=0,OFFSET(P228,0,1),OFFSET(P221,0,1))+OFFSET(P241,0,1))*$B233/Параметры!P$30)</f>
        <v>134851.61134096779</v>
      </c>
      <c r="Q232" s="289">
        <f ca="1">IF(OR(AND($B233=0,Q$2&gt;1),Q$2=Prj_Len),P232,(IF(Старт!$B$9+Старт!$B$10+Старт!$B$11=0,OFFSET(Q228,0,1),OFFSET(Q221,0,1))+OFFSET(Q241,0,1))*$B233/Параметры!Q$30)</f>
        <v>136167.60046077662</v>
      </c>
      <c r="R232" s="289">
        <f ca="1">IF(OR(AND($B233=0,R$2&gt;1),R$2=Prj_Len),Q232,(IF(Старт!$B$9+Старт!$B$10+Старт!$B$11=0,OFFSET(R228,0,1),OFFSET(R221,0,1))+OFFSET(R241,0,1))*$B233/Параметры!R$30)</f>
        <v>228283.31204754801</v>
      </c>
      <c r="S232" s="289">
        <f ca="1">IF(OR(AND($B233=0,S$2&gt;1),S$2=Prj_Len),R232,(IF(Старт!$B$9+Старт!$B$10+Старт!$B$11=0,OFFSET(S228,0,1),OFFSET(S221,0,1))+OFFSET(S241,0,1))*$B233/Параметры!S$30)</f>
        <v>139281.21666631877</v>
      </c>
      <c r="T232" s="289">
        <f ca="1">IF(OR(AND($B233=0,T$2&gt;1),T$2=Prj_Len),S232,(IF(Старт!$B$9+Старт!$B$10+Старт!$B$11=0,OFFSET(T228,0,1),OFFSET(T221,0,1))+OFFSET(T241,0,1))*$B233/Параметры!T$30)</f>
        <v>117274.91253396199</v>
      </c>
      <c r="U232" s="289">
        <f ca="1">IF(OR(AND($B233=0,U$2&gt;1),U$2=Prj_Len),T232,(IF(Старт!$B$9+Старт!$B$10+Старт!$B$11=0,OFFSET(U228,0,1),OFFSET(U221,0,1))+OFFSET(U241,0,1))*$B233/Параметры!U$30)</f>
        <v>141561.24100669051</v>
      </c>
      <c r="V232" s="289">
        <f ca="1">IF(OR(AND($B233=0,V$2&gt;1),V$2=Prj_Len),U232,(IF(Старт!$B$9+Старт!$B$10+Старт!$B$11=0,OFFSET(V228,0,1),OFFSET(V221,0,1))+OFFSET(V241,0,1))*$B233/Параметры!V$30)</f>
        <v>95751.219897833944</v>
      </c>
      <c r="W232" s="289">
        <f ca="1">IF(OR(AND($B233=0,W$2&gt;1),W$2=Prj_Len),V232,(IF(Старт!$B$9+Старт!$B$10+Старт!$B$11=0,OFFSET(W228,0,1),OFFSET(W221,0,1))+OFFSET(W241,0,1))*$B233/Параметры!W$30)</f>
        <v>263237.44083661883</v>
      </c>
      <c r="X232" s="289">
        <f ca="1">IF(OR(AND($B233=0,X$2&gt;1),X$2=Prj_Len),W232,(IF(Старт!$B$9+Старт!$B$10+Старт!$B$11=0,OFFSET(X228,0,1),OFFSET(X221,0,1))+OFFSET(X241,0,1))*$B233/Параметры!X$30)</f>
        <v>290562.38342720107</v>
      </c>
      <c r="Y232" s="289">
        <f ca="1">IF(OR(AND($B233=0,Y$2&gt;1),Y$2=Prj_Len),X232,(IF(Старт!$B$9+Старт!$B$10+Старт!$B$11=0,OFFSET(Y228,0,1),OFFSET(Y221,0,1))+OFFSET(Y241,0,1))*$B233/Параметры!Y$30)</f>
        <v>245280.87552328271</v>
      </c>
      <c r="Z232" s="289">
        <f ca="1">IF(OR(AND($B233=0,Z$2&gt;1),Z$2=Prj_Len),Y232,(IF(Старт!$B$9+Старт!$B$10+Старт!$B$11=0,OFFSET(Z228,0,1),OFFSET(Z221,0,1))+OFFSET(Z241,0,1))*$B233/Параметры!Z$30)</f>
        <v>100492.24864403212</v>
      </c>
      <c r="AA232" s="289">
        <f ca="1">IF(OR(AND($B233=0,AA$2&gt;1),AA$2=Prj_Len),Z232,(IF(Старт!$B$9+Старт!$B$10+Старт!$B$11=0,OFFSET(AA228,0,1),OFFSET(AA221,0,1))+OFFSET(AA241,0,1))*$B233/Параметры!AA$30)</f>
        <v>75985.005402718496</v>
      </c>
      <c r="AB232" s="289">
        <f ca="1">IF(OR(AND($B233=0,AB$2&gt;1),AB$2=Prj_Len),AA232,(IF(Старт!$B$9+Старт!$B$10+Старт!$B$11=0,OFFSET(AB228,0,1),OFFSET(AB221,0,1))+OFFSET(AB241,0,1))*$B233/Параметры!AB$30)</f>
        <v>126266.05875225955</v>
      </c>
      <c r="AC232" s="289">
        <f ca="1">IF(OR(AND($B233=0,AC$2&gt;1),AC$2=Prj_Len),AB232,(IF(Старт!$B$9+Старт!$B$10+Старт!$B$11=0,OFFSET(AC228,0,1),OFFSET(AC221,0,1))+OFFSET(AC241,0,1))*$B233/Параметры!AC$30)</f>
        <v>178009.40458323242</v>
      </c>
      <c r="AD232" s="289">
        <f ca="1">IF(OR(AND($B233=0,AD$2&gt;1),AD$2=Prj_Len),AC232,(IF(Старт!$B$9+Старт!$B$10+Старт!$B$11=0,OFFSET(AD228,0,1),OFFSET(AD221,0,1))+OFFSET(AD241,0,1))*$B233/Параметры!AD$30)</f>
        <v>256499.12941662504</v>
      </c>
      <c r="AE232" s="289">
        <f ca="1">IF(OR(AND($B233=0,AE$2&gt;1),AE$2=Prj_Len),AD232,(IF(Старт!$B$9+Старт!$B$10+Старт!$B$11=0,OFFSET(AE228,0,1),OFFSET(AE221,0,1))+OFFSET(AE241,0,1))*$B233/Параметры!AE$30)</f>
        <v>156496.37504627573</v>
      </c>
      <c r="AF232" s="289">
        <f ca="1">IF(OR(AND($B233=0,AF$2&gt;1),AF$2=Prj_Len),AE232,(IF(Старт!$B$9+Старт!$B$10+Старт!$B$11=0,OFFSET(AF228,0,1),OFFSET(AF221,0,1))+OFFSET(AF241,0,1))*$B233/Параметры!AF$30)</f>
        <v>131770.09172315974</v>
      </c>
      <c r="AG232" s="289">
        <f ca="1">IF(OR(AND($B233=0,AG$2&gt;1),AG$2=Prj_Len),AF232,(IF(Старт!$B$9+Старт!$B$10+Старт!$B$11=0,OFFSET(AG228,0,1),OFFSET(AG221,0,1))+OFFSET(AG241,0,1))*$B233/Параметры!AG$30)</f>
        <v>159058.21039511764</v>
      </c>
      <c r="AH232" s="289">
        <f ca="1">IF(OR(AND($B233=0,AH$2&gt;1),AH$2=Prj_Len),AG232,(IF(Старт!$B$9+Старт!$B$10+Старт!$B$11=0,OFFSET(AH228,0,1),OFFSET(AH221,0,1))+OFFSET(AH241,0,1))*$B233/Параметры!AH$30)</f>
        <v>107586.07067720623</v>
      </c>
      <c r="AI232" s="289">
        <f ca="1">IF(OR(AND($B233=0,AI$2&gt;1),AI$2=Prj_Len),AH232,(IF(Старт!$B$9+Старт!$B$10+Старт!$B$11=0,OFFSET(AI228,0,1),OFFSET(AI221,0,1))+OFFSET(AI241,0,1))*$B233/Параметры!AI$30)</f>
        <v>295773.58852402517</v>
      </c>
      <c r="AJ232" s="289">
        <f ca="1">IF(OR(AND($B233=0,AJ$2&gt;1),AJ$2=Prj_Len),AI232,(IF(Старт!$B$9+Старт!$B$10+Старт!$B$11=0,OFFSET(AJ228,0,1),OFFSET(AJ221,0,1))+OFFSET(AJ241,0,1))*$B233/Параметры!AJ$30)</f>
        <v>326475.89401880349</v>
      </c>
      <c r="AK232" s="289">
        <f ca="1">IF(OR(AND($B233=0,AK$2&gt;1),AK$2=Prj_Len),AJ232,(IF(Старт!$B$9+Старт!$B$10+Старт!$B$11=0,OFFSET(AK228,0,1),OFFSET(AK221,0,1))+OFFSET(AK241,0,1))*$B233/Параметры!AK$30)</f>
        <v>275597.59173796052</v>
      </c>
      <c r="AL232" s="289">
        <f ca="1">IF(OR(AND($B233=0,AL$2&gt;1),AL$2=Prj_Len),AK232,(IF(Старт!$B$9+Старт!$B$10+Старт!$B$11=0,OFFSET(AL228,0,1),OFFSET(AL221,0,1))+OFFSET(AL241,0,1))*$B233/Параметры!AL$30)</f>
        <v>112913.09057643448</v>
      </c>
      <c r="AM232" s="289">
        <f ca="1">IF(OR(AND($B233=0,AM$2&gt;1),AM$2=Prj_Len),AL232,(IF(Старт!$B$9+Старт!$B$10+Старт!$B$11=0,OFFSET(AM228,0,1),OFFSET(AM221,0,1))+OFFSET(AM241,0,1))*$B233/Параметры!AM$30)</f>
        <v>85376.752070494622</v>
      </c>
      <c r="AN232" s="289">
        <f ca="1">IF(OR(AND($B233=0,AN$2&gt;1),AN$2=Prj_Len),AM232,(IF(Старт!$B$9+Старт!$B$10+Старт!$B$11=0,OFFSET(AN228,0,1),OFFSET(AN221,0,1))+OFFSET(AN241,0,1))*$B233/Параметры!AN$30)</f>
        <v>141872.54361403885</v>
      </c>
      <c r="AO232" s="289">
        <f ca="1">IF(OR(AND($B233=0,AO$2&gt;1),AO$2=Prj_Len),AN232,(IF(Старт!$B$9+Старт!$B$10+Старт!$B$11=0,OFFSET(AO228,0,1),OFFSET(AO221,0,1))+OFFSET(AO241,0,1))*$B233/Параметры!AO$30)</f>
        <v>200011.36698972006</v>
      </c>
      <c r="AP232" s="289">
        <f ca="1">IF(OR(AND($B233=0,AP$2&gt;1),AP$2=Prj_Len),AO232,(IF(Старт!$B$9+Старт!$B$10+Старт!$B$11=0,OFFSET(AP228,0,1),OFFSET(AP221,0,1))+OFFSET(AP241,0,1))*$B233/Параметры!AP$30)</f>
        <v>288202.42181252019</v>
      </c>
      <c r="AQ232" s="289">
        <f ca="1">IF(OR(AND($B233=0,AQ$2&gt;1),AQ$2=Prj_Len),AP232,(IF(Старт!$B$9+Старт!$B$10+Старт!$B$11=0,OFFSET(AQ228,0,1),OFFSET(AQ221,0,1))+OFFSET(AQ241,0,1))*$B233/Параметры!AQ$30)</f>
        <v>175839.32700199552</v>
      </c>
      <c r="AR232" s="289">
        <f ca="1">IF(OR(AND($B233=0,AR$2&gt;1),AR$2=Prj_Len),AQ232,(IF(Старт!$B$9+Старт!$B$10+Старт!$B$11=0,OFFSET(AR228,0,1),OFFSET(AR221,0,1))+OFFSET(AR241,0,1))*$B233/Параметры!AR$30)</f>
        <v>148056.87506014237</v>
      </c>
      <c r="AS232" s="289">
        <f ca="1">IF(OR(AND($B233=0,AS$2&gt;1),AS$2=Prj_Len),AR232,(IF(Старт!$B$9+Старт!$B$10+Старт!$B$11=0,OFFSET(AS228,0,1),OFFSET(AS221,0,1))+OFFSET(AS241,0,1))*$B233/Параметры!AS$30)</f>
        <v>178717.80519995416</v>
      </c>
      <c r="AT232" s="289">
        <f ca="1">IF(OR(AND($B233=0,AT$2&gt;1),AT$2=Prj_Len),AS232,(IF(Старт!$B$9+Старт!$B$10+Старт!$B$11=0,OFFSET(AT228,0,1),OFFSET(AT221,0,1))+OFFSET(AT241,0,1))*$B233/Параметры!AT$30)</f>
        <v>120883.70901290902</v>
      </c>
      <c r="AU232" s="289">
        <f ca="1">IF(OR(AND($B233=0,AU$2&gt;1),AU$2=Prj_Len),AT232,(IF(Старт!$B$9+Старт!$B$10+Старт!$B$11=0,OFFSET(AU228,0,1),OFFSET(AU221,0,1))+OFFSET(AU241,0,1))*$B233/Параметры!AU$30)</f>
        <v>332331.20406559494</v>
      </c>
      <c r="AV232" s="289">
        <f ca="1">IF(OR(AND($B233=0,AV$2&gt;1),AV$2=Prj_Len),AU232,(IF(Старт!$B$9+Старт!$B$10+Старт!$B$11=0,OFFSET(AV228,0,1),OFFSET(AV221,0,1))+OFFSET(AV241,0,1))*$B233/Параметры!AV$30)</f>
        <v>366828.31451952766</v>
      </c>
      <c r="AW232" s="289">
        <f ca="1">IF(OR(AND($B233=0,AW$2&gt;1),AW$2=Prj_Len),AV232,(IF(Старт!$B$9+Старт!$B$10+Старт!$B$11=0,OFFSET(AW228,0,1),OFFSET(AW221,0,1))+OFFSET(AW241,0,1))*$B233/Параметры!AW$30)</f>
        <v>309661.45407677267</v>
      </c>
      <c r="AX232" s="289">
        <f ca="1">IF(OR(AND($B233=0,AX$2&gt;1),AX$2=Prj_Len),AW232,(IF(Старт!$B$9+Старт!$B$10+Старт!$B$11=0,OFFSET(AX228,0,1),OFFSET(AX221,0,1))+OFFSET(AX241,0,1))*$B233/Параметры!AX$30)</f>
        <v>126869.14857168177</v>
      </c>
      <c r="AY232" s="289">
        <f ca="1">IF(OR(AND($B233=0,AY$2&gt;1),AY$2=Prj_Len),AX232,(IF(Старт!$B$9+Старт!$B$10+Старт!$B$11=0,OFFSET(AY228,0,1),OFFSET(AY221,0,1))+OFFSET(AY241,0,1))*$B233/Параметры!AY$30)</f>
        <v>95929.31862640781</v>
      </c>
      <c r="AZ232" s="289">
        <f ca="1">IF(OR(AND($B233=0,AZ$2&gt;1),AZ$2=Prj_Len),AY232,(IF(Старт!$B$9+Старт!$B$10+Старт!$B$11=0,OFFSET(AZ228,0,1),OFFSET(AZ221,0,1))+OFFSET(AZ241,0,1))*$B233/Параметры!AZ$30)</f>
        <v>159407.99000473411</v>
      </c>
      <c r="BA232" s="289">
        <f ca="1">IF(OR(AND($B233=0,BA$2&gt;1),BA$2=Prj_Len),AZ232,(IF(Старт!$B$9+Старт!$B$10+Старт!$B$11=0,OFFSET(BA228,0,1),OFFSET(BA221,0,1))+OFFSET(BA241,0,1))*$B233/Параметры!BA$30)</f>
        <v>224732.77194964961</v>
      </c>
      <c r="BB232" s="289">
        <f ca="1">IF(OR(AND($B233=0,BB$2&gt;1),BB$2=Prj_Len),BA232,(IF(Старт!$B$9+Старт!$B$10+Старт!$B$11=0,OFFSET(BB228,0,1),OFFSET(BB221,0,1))+OFFSET(BB241,0,1))*$B233/Параметры!BB$30)</f>
        <v>224732.77194964961</v>
      </c>
      <c r="BC232" s="188"/>
      <c r="BD232" s="186"/>
    </row>
    <row r="233" spans="1:56" s="170" customFormat="1" hidden="1" outlineLevel="1" x14ac:dyDescent="0.3">
      <c r="A233" s="187" t="str">
        <f ca="1">Language!A$648</f>
        <v>период предоплаты</v>
      </c>
      <c r="B233" s="288">
        <f>$B$610</f>
        <v>10</v>
      </c>
      <c r="C233" s="163" t="str">
        <f ca="1">Language!$A$1474</f>
        <v>дней</v>
      </c>
      <c r="F233" s="170" t="s">
        <v>2347</v>
      </c>
      <c r="G233" s="185"/>
      <c r="H233" s="185"/>
      <c r="I233" s="185"/>
      <c r="J233" s="185"/>
      <c r="K233" s="185"/>
      <c r="L233" s="185"/>
      <c r="M233" s="185"/>
      <c r="N233" s="185"/>
      <c r="O233" s="185"/>
      <c r="P233" s="185"/>
      <c r="Q233" s="185"/>
      <c r="R233" s="185"/>
      <c r="S233" s="185"/>
      <c r="T233" s="185"/>
      <c r="U233" s="185"/>
      <c r="V233" s="185"/>
      <c r="W233" s="185"/>
      <c r="X233" s="185"/>
      <c r="Y233" s="185"/>
      <c r="Z233" s="185"/>
      <c r="AA233" s="185"/>
      <c r="AB233" s="185"/>
      <c r="AC233" s="185"/>
      <c r="AD233" s="185"/>
      <c r="AE233" s="185"/>
      <c r="AF233" s="185"/>
      <c r="AG233" s="185"/>
      <c r="AH233" s="185"/>
      <c r="AI233" s="185"/>
      <c r="AJ233" s="185"/>
      <c r="AK233" s="185"/>
      <c r="AL233" s="185"/>
      <c r="AM233" s="185"/>
      <c r="AN233" s="185"/>
      <c r="AO233" s="185"/>
      <c r="AP233" s="185"/>
      <c r="AQ233" s="185"/>
      <c r="AR233" s="185"/>
      <c r="AS233" s="185"/>
      <c r="AT233" s="185"/>
      <c r="AU233" s="185"/>
      <c r="AV233" s="185"/>
      <c r="AW233" s="185"/>
      <c r="AX233" s="185"/>
      <c r="AY233" s="185"/>
      <c r="AZ233" s="185"/>
      <c r="BA233" s="185"/>
      <c r="BB233" s="185"/>
      <c r="BC233" s="185"/>
      <c r="BD233" s="186"/>
    </row>
    <row r="234" spans="1:56" s="173" customFormat="1" hidden="1" outlineLevel="1" x14ac:dyDescent="0.3">
      <c r="A234" s="181" t="str">
        <f ca="1">Language!A$649</f>
        <v>оплата расходов, c НДС</v>
      </c>
      <c r="C234" s="176" t="str">
        <f t="shared" ref="C234" ca="1" si="1093">CHOOSE(D234,CurName1,CurName2,CurName3)</f>
        <v>руб.</v>
      </c>
      <c r="D234" s="174">
        <f>D218</f>
        <v>1</v>
      </c>
      <c r="E234" s="170" t="s">
        <v>993</v>
      </c>
      <c r="F234" s="170" t="s">
        <v>740</v>
      </c>
      <c r="G234" s="182">
        <f ca="1">G228+G241-IF(G$2=1,G230,G230-F230)+IF(G$2=1,G232,G232-F232)</f>
        <v>0</v>
      </c>
      <c r="H234" s="182">
        <f t="shared" ref="H234" ca="1" si="1094">H228+H241-IF(H$2=1,H230,H230-G230)+IF(H$2=1,H232,H232-G232)</f>
        <v>0</v>
      </c>
      <c r="I234" s="182">
        <f t="shared" ref="I234" ca="1" si="1095">I228+I241-IF(I$2=1,I230,I230-H230)+IF(I$2=1,I232,I232-H232)</f>
        <v>0</v>
      </c>
      <c r="J234" s="182">
        <f t="shared" ref="J234" ca="1" si="1096">J228+J241-IF(J$2=1,J230,J230-I230)+IF(J$2=1,J232,J232-I232)</f>
        <v>0</v>
      </c>
      <c r="K234" s="182">
        <f t="shared" ref="K234" ca="1" si="1097">K228+K241-IF(K$2=1,K230,K230-J230)+IF(K$2=1,K232,K232-J232)</f>
        <v>0</v>
      </c>
      <c r="L234" s="182">
        <f t="shared" ref="L234" ca="1" si="1098">L228+L241-IF(L$2=1,L230,L230-K230)+IF(L$2=1,L232,L232-K232)</f>
        <v>128472.00000000001</v>
      </c>
      <c r="M234" s="182">
        <f t="shared" ref="M234" ca="1" si="1099">M228+M241-IF(M$2=1,M230,M230-L230)+IF(M$2=1,M232,M232-L232)</f>
        <v>237203.64240771902</v>
      </c>
      <c r="N234" s="182">
        <f t="shared" ref="N234" ca="1" si="1100">N228+N241-IF(N$2=1,N230,N230-M230)+IF(N$2=1,N232,N232-M232)</f>
        <v>369039.31874090462</v>
      </c>
      <c r="O234" s="182">
        <f t="shared" ref="O234" ca="1" si="1101">O228+O241-IF(O$2=1,O230,O230-N230)+IF(O$2=1,O232,O232-N232)</f>
        <v>395947.60906695848</v>
      </c>
      <c r="P234" s="182">
        <f t="shared" ref="P234" ca="1" si="1102">P228+P241-IF(P$2=1,P230,P230-O230)+IF(P$2=1,P232,P232-O232)</f>
        <v>422067.57800020737</v>
      </c>
      <c r="Q234" s="182">
        <f t="shared" ref="Q234" ca="1" si="1103">Q228+Q241-IF(Q$2=1,Q230,Q230-P230)+IF(Q$2=1,Q232,Q232-P232)</f>
        <v>426399.50212779839</v>
      </c>
      <c r="R234" s="182">
        <f t="shared" ref="R234" ca="1" si="1104">R228+R241-IF(R$2=1,R230,R230-Q230)+IF(R$2=1,R232,R232-Q232)</f>
        <v>499302.52384929243</v>
      </c>
      <c r="S234" s="182">
        <f t="shared" ref="S234" ca="1" si="1105">S228+S241-IF(S$2=1,S230,S230-R230)+IF(S$2=1,S232,S232-R232)</f>
        <v>503732.12917464337</v>
      </c>
      <c r="T234" s="182">
        <f t="shared" ref="T234" ca="1" si="1106">T228+T241-IF(T$2=1,T230,T230-S230)+IF(T$2=1,T232,T232-S232)</f>
        <v>484839.44124782871</v>
      </c>
      <c r="U234" s="182">
        <f t="shared" ref="U234" ca="1" si="1107">U228+U241-IF(U$2=1,U230,U230-T230)+IF(U$2=1,U232,U232-T232)</f>
        <v>398117.3702069713</v>
      </c>
      <c r="V234" s="182">
        <f t="shared" ref="V234" ca="1" si="1108">V228+V241-IF(V$2=1,V230,V230-U230)+IF(V$2=1,V232,V232-U232)</f>
        <v>354587.37343848648</v>
      </c>
      <c r="W234" s="182">
        <f t="shared" ref="W234" ca="1" si="1109">W228+W241-IF(W$2=1,W230,W230-V230)+IF(W$2=1,W232,W232-V232)</f>
        <v>500549.90174114332</v>
      </c>
      <c r="X234" s="182">
        <f t="shared" ref="X234" ca="1" si="1110">X228+X241-IF(X$2=1,X230,X230-W230)+IF(X$2=1,X232,X232-W232)</f>
        <v>649551.04416165384</v>
      </c>
      <c r="Y234" s="182">
        <f t="shared" ref="Y234" ca="1" si="1111">Y228+Y241-IF(Y$2=1,Y230,Y230-X230)+IF(Y$2=1,Y232,Y232-X232)</f>
        <v>799080.69978710264</v>
      </c>
      <c r="Z234" s="182">
        <f t="shared" ref="Z234" ca="1" si="1112">Z228+Z241-IF(Z$2=1,Z230,Z230-Y230)+IF(Z$2=1,Z232,Z232-Y232)</f>
        <v>636335.50759451604</v>
      </c>
      <c r="AA234" s="182">
        <f t="shared" ref="AA234" ca="1" si="1113">AA228+AA241-IF(AA$2=1,AA230,AA230-Z230)+IF(AA$2=1,AA232,AA232-Z232)</f>
        <v>421758.12957003334</v>
      </c>
      <c r="AB234" s="182">
        <f t="shared" ref="AB234" ca="1" si="1114">AB228+AB241-IF(AB$2=1,AB230,AB230-AA230)+IF(AB$2=1,AB232,AB232-AA232)</f>
        <v>302743.31279901013</v>
      </c>
      <c r="AC234" s="182">
        <f t="shared" ref="AC234" ca="1" si="1115">AC228+AC241-IF(AC$2=1,AC230,AC230-AB230)+IF(AC$2=1,AC232,AC232-AB232)</f>
        <v>380260.4687382105</v>
      </c>
      <c r="AD234" s="182">
        <f t="shared" ref="AD234" ca="1" si="1116">AD228+AD241-IF(AD$2=1,AD230,AD230-AC230)+IF(AD$2=1,AD232,AD232-AC232)</f>
        <v>560774.59275211697</v>
      </c>
      <c r="AE234" s="182">
        <f t="shared" ref="AE234" ca="1" si="1117">AE228+AE241-IF(AE$2=1,AE230,AE230-AD230)+IF(AE$2=1,AE232,AE232-AD232)</f>
        <v>591004.90904613317</v>
      </c>
      <c r="AF234" s="182">
        <f t="shared" ref="AF234" ca="1" si="1118">AF228+AF241-IF(AF$2=1,AF230,AF230-AE230)+IF(AF$2=1,AF232,AF232-AE232)</f>
        <v>544765.59618606057</v>
      </c>
      <c r="AG234" s="182">
        <f t="shared" ref="AG234" ca="1" si="1119">AG228+AG241-IF(AG$2=1,AG230,AG230-AF230)+IF(AG$2=1,AG232,AG232-AF232)</f>
        <v>447324.67716455308</v>
      </c>
      <c r="AH234" s="182">
        <f t="shared" ref="AH234" ca="1" si="1120">AH228+AH241-IF(AH$2=1,AH230,AH230-AG230)+IF(AH$2=1,AH232,AH232-AG232)</f>
        <v>398414.3727954835</v>
      </c>
      <c r="AI234" s="182">
        <f t="shared" ref="AI234" ca="1" si="1121">AI228+AI241-IF(AI$2=1,AI230,AI230-AH230)+IF(AI$2=1,AI232,AI232-AH232)</f>
        <v>562417.86959634908</v>
      </c>
      <c r="AJ234" s="182">
        <f t="shared" ref="AJ234" ca="1" si="1122">AJ228+AJ241-IF(AJ$2=1,AJ230,AJ230-AI230)+IF(AJ$2=1,AJ232,AJ232-AI232)</f>
        <v>729835.55322003481</v>
      </c>
      <c r="AK234" s="182">
        <f t="shared" ref="AK234" ca="1" si="1123">AK228+AK241-IF(AK$2=1,AK230,AK230-AJ230)+IF(AK$2=1,AK232,AK232-AJ232)</f>
        <v>897847.07428078912</v>
      </c>
      <c r="AL234" s="182">
        <f t="shared" ref="AL234" ca="1" si="1124">AL228+AL241-IF(AL$2=1,AL230,AL230-AK230)+IF(AL$2=1,AL232,AL232-AK232)</f>
        <v>714986.57633319835</v>
      </c>
      <c r="AM234" s="182">
        <f t="shared" ref="AM234" ca="1" si="1125">AM228+AM241-IF(AM$2=1,AM230,AM230-AL230)+IF(AM$2=1,AM232,AM232-AL232)</f>
        <v>473887.43438488961</v>
      </c>
      <c r="AN234" s="182">
        <f t="shared" ref="AN234" ca="1" si="1126">AN228+AN241-IF(AN$2=1,AN230,AN230-AM230)+IF(AN$2=1,AN232,AN232-AM232)</f>
        <v>340162.38626096793</v>
      </c>
      <c r="AO234" s="182">
        <f t="shared" ref="AO234" ca="1" si="1127">AO228+AO241-IF(AO$2=1,AO230,AO230-AN230)+IF(AO$2=1,AO232,AO232-AN232)</f>
        <v>427260.66267425357</v>
      </c>
      <c r="AP234" s="182">
        <f t="shared" ref="AP234" ca="1" si="1128">AP228+AP241-IF(AP$2=1,AP230,AP230-AO230)+IF(AP$2=1,AP232,AP232-AO232)</f>
        <v>630086.33241627913</v>
      </c>
      <c r="AQ234" s="182">
        <f t="shared" ref="AQ234" ca="1" si="1129">AQ228+AQ241-IF(AQ$2=1,AQ230,AQ230-AP230)+IF(AQ$2=1,AQ232,AQ232-AP232)</f>
        <v>664053.11580423568</v>
      </c>
      <c r="AR234" s="182">
        <f t="shared" ref="AR234" ca="1" si="1130">AR228+AR241-IF(AR$2=1,AR230,AR230-AQ230)+IF(AR$2=1,AR232,AR232-AQ232)</f>
        <v>612098.62387465802</v>
      </c>
      <c r="AS234" s="182">
        <f t="shared" ref="AS234" ca="1" si="1131">AS228+AS241-IF(AS$2=1,AS230,AS230-AR230)+IF(AS$2=1,AS232,AS232-AR232)</f>
        <v>502614.00726209208</v>
      </c>
      <c r="AT234" s="182">
        <f t="shared" ref="AT234" ca="1" si="1132">AT228+AT241-IF(AT$2=1,AT230,AT230-AS230)+IF(AT$2=1,AT232,AT232-AS232)</f>
        <v>447658.38927300548</v>
      </c>
      <c r="AU234" s="182">
        <f t="shared" ref="AU234" ca="1" si="1133">AU228+AU241-IF(AU$2=1,AU230,AU230-AT230)+IF(AU$2=1,AU232,AU232-AT232)</f>
        <v>631932.71827845811</v>
      </c>
      <c r="AV234" s="182">
        <f t="shared" ref="AV234" ca="1" si="1134">AV228+AV241-IF(AV$2=1,AV230,AV230-AU230)+IF(AV$2=1,AV232,AV232-AU232)</f>
        <v>820043.22759803175</v>
      </c>
      <c r="AW234" s="182">
        <f t="shared" ref="AW234" ca="1" si="1135">AW228+AW241-IF(AW$2=1,AW230,AW230-AV230)+IF(AW$2=1,AW232,AW232-AV232)</f>
        <v>1008820.9726618952</v>
      </c>
      <c r="AX234" s="182">
        <f t="shared" ref="AX234" ca="1" si="1136">AX228+AX241-IF(AX$2=1,AX230,AX230-AW230)+IF(AX$2=1,AX232,AX232-AW232)</f>
        <v>803358.91716798209</v>
      </c>
      <c r="AY234" s="182">
        <f t="shared" ref="AY234" ca="1" si="1137">AY228+AY241-IF(AY$2=1,AY230,AY230-AX230)+IF(AY$2=1,AY232,AY232-AX232)</f>
        <v>532459.92127486225</v>
      </c>
      <c r="AZ234" s="182">
        <f t="shared" ref="AZ234" ca="1" si="1138">AZ228+AZ241-IF(AZ$2=1,AZ230,AZ230-AY230)+IF(AZ$2=1,AZ232,AZ232-AY232)</f>
        <v>382206.45720282366</v>
      </c>
      <c r="BA234" s="182">
        <f t="shared" ref="BA234" ca="1" si="1139">BA228+BA241-IF(BA$2=1,BA230,BA230-AZ230)+IF(BA$2=1,BA232,BA232-AZ232)</f>
        <v>480070.08058079157</v>
      </c>
      <c r="BB234" s="182">
        <f t="shared" ref="BB234" ca="1" si="1140">BB228+BB241-IF(BB$2=1,BB230,BB230-BA230)+IF(BB$2=1,BB232,BB232-BA232)</f>
        <v>608873.53390403325</v>
      </c>
      <c r="BC234" s="182"/>
      <c r="BD234" s="183">
        <f ca="1">SUM(G234:BC234)</f>
        <v>22722945.554646458</v>
      </c>
    </row>
    <row r="235" spans="1:56" hidden="1" outlineLevel="1" x14ac:dyDescent="0.3">
      <c r="A235" s="184" t="str">
        <f ca="1">Language!A$650</f>
        <v>темп изменения цен</v>
      </c>
      <c r="B235" s="203"/>
      <c r="C235" s="163" t="str">
        <f ca="1">Language!$A$480</f>
        <v>% в год</v>
      </c>
      <c r="D235" s="174"/>
      <c r="F235" s="170" t="s">
        <v>2346</v>
      </c>
      <c r="G235" s="290">
        <f>CHOOSE($D218,Параметры!G$48,Параметры!G$56,Параметры!G$62)</f>
        <v>0.06</v>
      </c>
      <c r="H235" s="290">
        <f>CHOOSE($D218,Параметры!H$48,Параметры!H$56,Параметры!H$62)</f>
        <v>0.06</v>
      </c>
      <c r="I235" s="290">
        <f>CHOOSE($D218,Параметры!I$48,Параметры!I$56,Параметры!I$62)</f>
        <v>0.06</v>
      </c>
      <c r="J235" s="290">
        <f>CHOOSE($D218,Параметры!J$48,Параметры!J$56,Параметры!J$62)</f>
        <v>0.06</v>
      </c>
      <c r="K235" s="290">
        <f>CHOOSE($D218,Параметры!K$48,Параметры!K$56,Параметры!K$62)</f>
        <v>0.06</v>
      </c>
      <c r="L235" s="290">
        <f>CHOOSE($D218,Параметры!L$48,Параметры!L$56,Параметры!L$62)</f>
        <v>0.06</v>
      </c>
      <c r="M235" s="290">
        <f>CHOOSE($D218,Параметры!M$48,Параметры!M$56,Параметры!M$62)</f>
        <v>0.06</v>
      </c>
      <c r="N235" s="290">
        <f>CHOOSE($D218,Параметры!N$48,Параметры!N$56,Параметры!N$62)</f>
        <v>0.06</v>
      </c>
      <c r="O235" s="290">
        <f>CHOOSE($D218,Параметры!O$48,Параметры!O$56,Параметры!O$62)</f>
        <v>0.06</v>
      </c>
      <c r="P235" s="290">
        <f>CHOOSE($D218,Параметры!P$48,Параметры!P$56,Параметры!P$62)</f>
        <v>0.06</v>
      </c>
      <c r="Q235" s="290">
        <f>CHOOSE($D218,Параметры!Q$48,Параметры!Q$56,Параметры!Q$62)</f>
        <v>0.06</v>
      </c>
      <c r="R235" s="290">
        <f>CHOOSE($D218,Параметры!R$48,Параметры!R$56,Параметры!R$62)</f>
        <v>0.06</v>
      </c>
      <c r="S235" s="290">
        <f>CHOOSE($D218,Параметры!S$48,Параметры!S$56,Параметры!S$62)</f>
        <v>0.06</v>
      </c>
      <c r="T235" s="290">
        <f>CHOOSE($D218,Параметры!T$48,Параметры!T$56,Параметры!T$62)</f>
        <v>0.06</v>
      </c>
      <c r="U235" s="290">
        <f>CHOOSE($D218,Параметры!U$48,Параметры!U$56,Параметры!U$62)</f>
        <v>0.06</v>
      </c>
      <c r="V235" s="290">
        <f>CHOOSE($D218,Параметры!V$48,Параметры!V$56,Параметры!V$62)</f>
        <v>0.06</v>
      </c>
      <c r="W235" s="290">
        <f>CHOOSE($D218,Параметры!W$48,Параметры!W$56,Параметры!W$62)</f>
        <v>0.06</v>
      </c>
      <c r="X235" s="290">
        <f>CHOOSE($D218,Параметры!X$48,Параметры!X$56,Параметры!X$62)</f>
        <v>0.06</v>
      </c>
      <c r="Y235" s="290">
        <f>CHOOSE($D218,Параметры!Y$48,Параметры!Y$56,Параметры!Y$62)</f>
        <v>0.06</v>
      </c>
      <c r="Z235" s="290">
        <f>CHOOSE($D218,Параметры!Z$48,Параметры!Z$56,Параметры!Z$62)</f>
        <v>0.06</v>
      </c>
      <c r="AA235" s="290">
        <f>CHOOSE($D218,Параметры!AA$48,Параметры!AA$56,Параметры!AA$62)</f>
        <v>0.06</v>
      </c>
      <c r="AB235" s="290">
        <f>CHOOSE($D218,Параметры!AB$48,Параметры!AB$56,Параметры!AB$62)</f>
        <v>0.06</v>
      </c>
      <c r="AC235" s="290">
        <f>CHOOSE($D218,Параметры!AC$48,Параметры!AC$56,Параметры!AC$62)</f>
        <v>0.06</v>
      </c>
      <c r="AD235" s="290">
        <f>CHOOSE($D218,Параметры!AD$48,Параметры!AD$56,Параметры!AD$62)</f>
        <v>0.06</v>
      </c>
      <c r="AE235" s="290">
        <f>CHOOSE($D218,Параметры!AE$48,Параметры!AE$56,Параметры!AE$62)</f>
        <v>0.06</v>
      </c>
      <c r="AF235" s="290">
        <f>CHOOSE($D218,Параметры!AF$48,Параметры!AF$56,Параметры!AF$62)</f>
        <v>0.06</v>
      </c>
      <c r="AG235" s="290">
        <f>CHOOSE($D218,Параметры!AG$48,Параметры!AG$56,Параметры!AG$62)</f>
        <v>0.06</v>
      </c>
      <c r="AH235" s="290">
        <f>CHOOSE($D218,Параметры!AH$48,Параметры!AH$56,Параметры!AH$62)</f>
        <v>0.06</v>
      </c>
      <c r="AI235" s="290">
        <f>CHOOSE($D218,Параметры!AI$48,Параметры!AI$56,Параметры!AI$62)</f>
        <v>0.06</v>
      </c>
      <c r="AJ235" s="290">
        <f>CHOOSE($D218,Параметры!AJ$48,Параметры!AJ$56,Параметры!AJ$62)</f>
        <v>0.06</v>
      </c>
      <c r="AK235" s="290">
        <f>CHOOSE($D218,Параметры!AK$48,Параметры!AK$56,Параметры!AK$62)</f>
        <v>0.06</v>
      </c>
      <c r="AL235" s="290">
        <f>CHOOSE($D218,Параметры!AL$48,Параметры!AL$56,Параметры!AL$62)</f>
        <v>0.06</v>
      </c>
      <c r="AM235" s="290">
        <f>CHOOSE($D218,Параметры!AM$48,Параметры!AM$56,Параметры!AM$62)</f>
        <v>0.06</v>
      </c>
      <c r="AN235" s="290">
        <f>CHOOSE($D218,Параметры!AN$48,Параметры!AN$56,Параметры!AN$62)</f>
        <v>0.06</v>
      </c>
      <c r="AO235" s="290">
        <f>CHOOSE($D218,Параметры!AO$48,Параметры!AO$56,Параметры!AO$62)</f>
        <v>0.06</v>
      </c>
      <c r="AP235" s="290">
        <f>CHOOSE($D218,Параметры!AP$48,Параметры!AP$56,Параметры!AP$62)</f>
        <v>0.06</v>
      </c>
      <c r="AQ235" s="290">
        <f>CHOOSE($D218,Параметры!AQ$48,Параметры!AQ$56,Параметры!AQ$62)</f>
        <v>0.06</v>
      </c>
      <c r="AR235" s="290">
        <f>CHOOSE($D218,Параметры!AR$48,Параметры!AR$56,Параметры!AR$62)</f>
        <v>0.06</v>
      </c>
      <c r="AS235" s="290">
        <f>CHOOSE($D218,Параметры!AS$48,Параметры!AS$56,Параметры!AS$62)</f>
        <v>0.06</v>
      </c>
      <c r="AT235" s="290">
        <f>CHOOSE($D218,Параметры!AT$48,Параметры!AT$56,Параметры!AT$62)</f>
        <v>0.06</v>
      </c>
      <c r="AU235" s="290">
        <f>CHOOSE($D218,Параметры!AU$48,Параметры!AU$56,Параметры!AU$62)</f>
        <v>0.06</v>
      </c>
      <c r="AV235" s="290">
        <f>CHOOSE($D218,Параметры!AV$48,Параметры!AV$56,Параметры!AV$62)</f>
        <v>0.06</v>
      </c>
      <c r="AW235" s="290">
        <f>CHOOSE($D218,Параметры!AW$48,Параметры!AW$56,Параметры!AW$62)</f>
        <v>0.06</v>
      </c>
      <c r="AX235" s="290">
        <f>CHOOSE($D218,Параметры!AX$48,Параметры!AX$56,Параметры!AX$62)</f>
        <v>0.06</v>
      </c>
      <c r="AY235" s="290">
        <f>CHOOSE($D218,Параметры!AY$48,Параметры!AY$56,Параметры!AY$62)</f>
        <v>0.06</v>
      </c>
      <c r="AZ235" s="290">
        <f>CHOOSE($D218,Параметры!AZ$48,Параметры!AZ$56,Параметры!AZ$62)</f>
        <v>0.06</v>
      </c>
      <c r="BA235" s="290">
        <f>CHOOSE($D218,Параметры!BA$48,Параметры!BA$56,Параметры!BA$62)</f>
        <v>0.06</v>
      </c>
      <c r="BB235" s="290">
        <f>CHOOSE($D218,Параметры!BB$48,Параметры!BB$56,Параметры!BB$62)</f>
        <v>0.06</v>
      </c>
      <c r="BC235" s="190"/>
      <c r="BD235" s="186"/>
    </row>
    <row r="236" spans="1:56" hidden="1" outlineLevel="1" x14ac:dyDescent="0.3">
      <c r="A236" s="184" t="str">
        <f ca="1">Language!A$651</f>
        <v>ставка НДС</v>
      </c>
      <c r="B236" s="203"/>
      <c r="C236" s="163" t="s">
        <v>1</v>
      </c>
      <c r="D236" s="174"/>
      <c r="F236" s="170" t="s">
        <v>2346</v>
      </c>
      <c r="G236" s="290">
        <f>IF(G$2=1,Параметры!G$72,IF(F236=Параметры!F$72,Параметры!F$72,F236))</f>
        <v>0</v>
      </c>
      <c r="H236" s="290">
        <f>IF(H$2=1,Параметры!H$72,IF(G236=Параметры!G$72,Параметры!G$72,G236))</f>
        <v>0</v>
      </c>
      <c r="I236" s="290">
        <f>IF(I$2=1,Параметры!I$72,IF(H236=Параметры!H$72,Параметры!H$72,H236))</f>
        <v>0</v>
      </c>
      <c r="J236" s="290">
        <f>IF(J$2=1,Параметры!J$72,IF(I236=Параметры!I$72,Параметры!I$72,I236))</f>
        <v>0</v>
      </c>
      <c r="K236" s="290">
        <f>IF(K$2=1,Параметры!K$72,IF(J236=Параметры!J$72,Параметры!J$72,J236))</f>
        <v>0</v>
      </c>
      <c r="L236" s="290">
        <f>IF(L$2=1,Параметры!L$72,IF(K236=Параметры!K$72,Параметры!K$72,K236))</f>
        <v>0</v>
      </c>
      <c r="M236" s="290">
        <f>IF(M$2=1,Параметры!M$72,IF(L236=Параметры!L$72,Параметры!L$72,L236))</f>
        <v>0</v>
      </c>
      <c r="N236" s="290">
        <f>IF(N$2=1,Параметры!N$72,IF(M236=Параметры!M$72,Параметры!M$72,M236))</f>
        <v>0</v>
      </c>
      <c r="O236" s="290">
        <f>IF(O$2=1,Параметры!O$72,IF(N236=Параметры!N$72,Параметры!N$72,N236))</f>
        <v>0</v>
      </c>
      <c r="P236" s="290">
        <f>IF(P$2=1,Параметры!P$72,IF(O236=Параметры!O$72,Параметры!O$72,O236))</f>
        <v>0</v>
      </c>
      <c r="Q236" s="290">
        <f>IF(Q$2=1,Параметры!Q$72,IF(P236=Параметры!P$72,Параметры!P$72,P236))</f>
        <v>0</v>
      </c>
      <c r="R236" s="290">
        <f>IF(R$2=1,Параметры!R$72,IF(Q236=Параметры!Q$72,Параметры!Q$72,Q236))</f>
        <v>0</v>
      </c>
      <c r="S236" s="290">
        <f>IF(S$2=1,Параметры!S$72,IF(R236=Параметры!R$72,Параметры!R$72,R236))</f>
        <v>0</v>
      </c>
      <c r="T236" s="290">
        <f>IF(T$2=1,Параметры!T$72,IF(S236=Параметры!S$72,Параметры!S$72,S236))</f>
        <v>0</v>
      </c>
      <c r="U236" s="290">
        <f>IF(U$2=1,Параметры!U$72,IF(T236=Параметры!T$72,Параметры!T$72,T236))</f>
        <v>0</v>
      </c>
      <c r="V236" s="290">
        <f>IF(V$2=1,Параметры!V$72,IF(U236=Параметры!U$72,Параметры!U$72,U236))</f>
        <v>0</v>
      </c>
      <c r="W236" s="290">
        <f>IF(W$2=1,Параметры!W$72,IF(V236=Параметры!V$72,Параметры!V$72,V236))</f>
        <v>0</v>
      </c>
      <c r="X236" s="290">
        <f>IF(X$2=1,Параметры!X$72,IF(W236=Параметры!W$72,Параметры!W$72,W236))</f>
        <v>0</v>
      </c>
      <c r="Y236" s="290">
        <f>IF(Y$2=1,Параметры!Y$72,IF(X236=Параметры!X$72,Параметры!X$72,X236))</f>
        <v>0</v>
      </c>
      <c r="Z236" s="290">
        <f>IF(Z$2=1,Параметры!Z$72,IF(Y236=Параметры!Y$72,Параметры!Y$72,Y236))</f>
        <v>0</v>
      </c>
      <c r="AA236" s="290">
        <f>IF(AA$2=1,Параметры!AA$72,IF(Z236=Параметры!Z$72,Параметры!Z$72,Z236))</f>
        <v>0</v>
      </c>
      <c r="AB236" s="290">
        <f>IF(AB$2=1,Параметры!AB$72,IF(AA236=Параметры!AA$72,Параметры!AA$72,AA236))</f>
        <v>0</v>
      </c>
      <c r="AC236" s="290">
        <f>IF(AC$2=1,Параметры!AC$72,IF(AB236=Параметры!AB$72,Параметры!AB$72,AB236))</f>
        <v>0</v>
      </c>
      <c r="AD236" s="290">
        <f>IF(AD$2=1,Параметры!AD$72,IF(AC236=Параметры!AC$72,Параметры!AC$72,AC236))</f>
        <v>0</v>
      </c>
      <c r="AE236" s="290">
        <f>IF(AE$2=1,Параметры!AE$72,IF(AD236=Параметры!AD$72,Параметры!AD$72,AD236))</f>
        <v>0</v>
      </c>
      <c r="AF236" s="290">
        <f>IF(AF$2=1,Параметры!AF$72,IF(AE236=Параметры!AE$72,Параметры!AE$72,AE236))</f>
        <v>0</v>
      </c>
      <c r="AG236" s="290">
        <f>IF(AG$2=1,Параметры!AG$72,IF(AF236=Параметры!AF$72,Параметры!AF$72,AF236))</f>
        <v>0</v>
      </c>
      <c r="AH236" s="290">
        <f>IF(AH$2=1,Параметры!AH$72,IF(AG236=Параметры!AG$72,Параметры!AG$72,AG236))</f>
        <v>0</v>
      </c>
      <c r="AI236" s="290">
        <f>IF(AI$2=1,Параметры!AI$72,IF(AH236=Параметры!AH$72,Параметры!AH$72,AH236))</f>
        <v>0</v>
      </c>
      <c r="AJ236" s="290">
        <f>IF(AJ$2=1,Параметры!AJ$72,IF(AI236=Параметры!AI$72,Параметры!AI$72,AI236))</f>
        <v>0</v>
      </c>
      <c r="AK236" s="290">
        <f>IF(AK$2=1,Параметры!AK$72,IF(AJ236=Параметры!AJ$72,Параметры!AJ$72,AJ236))</f>
        <v>0</v>
      </c>
      <c r="AL236" s="290">
        <f>IF(AL$2=1,Параметры!AL$72,IF(AK236=Параметры!AK$72,Параметры!AK$72,AK236))</f>
        <v>0</v>
      </c>
      <c r="AM236" s="290">
        <f>IF(AM$2=1,Параметры!AM$72,IF(AL236=Параметры!AL$72,Параметры!AL$72,AL236))</f>
        <v>0</v>
      </c>
      <c r="AN236" s="290">
        <f>IF(AN$2=1,Параметры!AN$72,IF(AM236=Параметры!AM$72,Параметры!AM$72,AM236))</f>
        <v>0</v>
      </c>
      <c r="AO236" s="290">
        <f>IF(AO$2=1,Параметры!AO$72,IF(AN236=Параметры!AN$72,Параметры!AN$72,AN236))</f>
        <v>0</v>
      </c>
      <c r="AP236" s="290">
        <f>IF(AP$2=1,Параметры!AP$72,IF(AO236=Параметры!AO$72,Параметры!AO$72,AO236))</f>
        <v>0</v>
      </c>
      <c r="AQ236" s="290">
        <f>IF(AQ$2=1,Параметры!AQ$72,IF(AP236=Параметры!AP$72,Параметры!AP$72,AP236))</f>
        <v>0</v>
      </c>
      <c r="AR236" s="290">
        <f>IF(AR$2=1,Параметры!AR$72,IF(AQ236=Параметры!AQ$72,Параметры!AQ$72,AQ236))</f>
        <v>0</v>
      </c>
      <c r="AS236" s="290">
        <f>IF(AS$2=1,Параметры!AS$72,IF(AR236=Параметры!AR$72,Параметры!AR$72,AR236))</f>
        <v>0</v>
      </c>
      <c r="AT236" s="290">
        <f>IF(AT$2=1,Параметры!AT$72,IF(AS236=Параметры!AS$72,Параметры!AS$72,AS236))</f>
        <v>0</v>
      </c>
      <c r="AU236" s="290">
        <f>IF(AU$2=1,Параметры!AU$72,IF(AT236=Параметры!AT$72,Параметры!AT$72,AT236))</f>
        <v>0</v>
      </c>
      <c r="AV236" s="290">
        <f>IF(AV$2=1,Параметры!AV$72,IF(AU236=Параметры!AU$72,Параметры!AU$72,AU236))</f>
        <v>0</v>
      </c>
      <c r="AW236" s="290">
        <f>IF(AW$2=1,Параметры!AW$72,IF(AV236=Параметры!AV$72,Параметры!AV$72,AV236))</f>
        <v>0</v>
      </c>
      <c r="AX236" s="290">
        <f>IF(AX$2=1,Параметры!AX$72,IF(AW236=Параметры!AW$72,Параметры!AW$72,AW236))</f>
        <v>0</v>
      </c>
      <c r="AY236" s="290">
        <f>IF(AY$2=1,Параметры!AY$72,IF(AX236=Параметры!AX$72,Параметры!AX$72,AX236))</f>
        <v>0</v>
      </c>
      <c r="AZ236" s="290">
        <f>IF(AZ$2=1,Параметры!AZ$72,IF(AY236=Параметры!AY$72,Параметры!AY$72,AY236))</f>
        <v>0</v>
      </c>
      <c r="BA236" s="290">
        <f>IF(BA$2=1,Параметры!BA$72,IF(AZ236=Параметры!AZ$72,Параметры!AZ$72,AZ236))</f>
        <v>0</v>
      </c>
      <c r="BB236" s="290">
        <f>IF(BB$2=1,Параметры!BB$72,IF(BA236=Параметры!BA$72,Параметры!BA$72,BA236))</f>
        <v>0</v>
      </c>
      <c r="BC236" s="190"/>
      <c r="BD236" s="186"/>
    </row>
    <row r="237" spans="1:56" hidden="1" outlineLevel="1" x14ac:dyDescent="0.3">
      <c r="A237" s="184" t="str">
        <f ca="1">Language!A$652</f>
        <v>ставка импортной пошлины</v>
      </c>
      <c r="B237" s="203"/>
      <c r="C237" s="163" t="s">
        <v>1</v>
      </c>
      <c r="D237" s="174"/>
      <c r="F237" s="170" t="s">
        <v>2346</v>
      </c>
      <c r="G237" s="290">
        <v>0</v>
      </c>
      <c r="H237" s="290">
        <f t="shared" ref="H237" si="1141">G237</f>
        <v>0</v>
      </c>
      <c r="I237" s="290">
        <f t="shared" ref="I237" si="1142">H237</f>
        <v>0</v>
      </c>
      <c r="J237" s="290">
        <f t="shared" ref="J237" si="1143">I237</f>
        <v>0</v>
      </c>
      <c r="K237" s="290">
        <f t="shared" ref="K237" si="1144">J237</f>
        <v>0</v>
      </c>
      <c r="L237" s="290">
        <f t="shared" ref="L237" si="1145">K237</f>
        <v>0</v>
      </c>
      <c r="M237" s="290">
        <f t="shared" ref="M237" si="1146">L237</f>
        <v>0</v>
      </c>
      <c r="N237" s="290">
        <f t="shared" ref="N237" si="1147">M237</f>
        <v>0</v>
      </c>
      <c r="O237" s="290">
        <f t="shared" ref="O237" si="1148">N237</f>
        <v>0</v>
      </c>
      <c r="P237" s="290">
        <f t="shared" ref="P237" si="1149">O237</f>
        <v>0</v>
      </c>
      <c r="Q237" s="290">
        <f t="shared" ref="Q237" si="1150">P237</f>
        <v>0</v>
      </c>
      <c r="R237" s="290">
        <f t="shared" ref="R237" si="1151">Q237</f>
        <v>0</v>
      </c>
      <c r="S237" s="290">
        <f t="shared" ref="S237" si="1152">R237</f>
        <v>0</v>
      </c>
      <c r="T237" s="290">
        <f t="shared" ref="T237" si="1153">S237</f>
        <v>0</v>
      </c>
      <c r="U237" s="290">
        <f t="shared" ref="U237" si="1154">T237</f>
        <v>0</v>
      </c>
      <c r="V237" s="290">
        <f t="shared" ref="V237" si="1155">U237</f>
        <v>0</v>
      </c>
      <c r="W237" s="290">
        <f t="shared" ref="W237" si="1156">V237</f>
        <v>0</v>
      </c>
      <c r="X237" s="290">
        <f t="shared" ref="X237" si="1157">W237</f>
        <v>0</v>
      </c>
      <c r="Y237" s="290">
        <f t="shared" ref="Y237" si="1158">X237</f>
        <v>0</v>
      </c>
      <c r="Z237" s="290">
        <f t="shared" ref="Z237" si="1159">Y237</f>
        <v>0</v>
      </c>
      <c r="AA237" s="290">
        <f t="shared" ref="AA237" si="1160">Z237</f>
        <v>0</v>
      </c>
      <c r="AB237" s="290">
        <f t="shared" ref="AB237" si="1161">AA237</f>
        <v>0</v>
      </c>
      <c r="AC237" s="290">
        <f t="shared" ref="AC237" si="1162">AB237</f>
        <v>0</v>
      </c>
      <c r="AD237" s="290">
        <f t="shared" ref="AD237" si="1163">AC237</f>
        <v>0</v>
      </c>
      <c r="AE237" s="290">
        <f t="shared" ref="AE237" si="1164">AD237</f>
        <v>0</v>
      </c>
      <c r="AF237" s="290">
        <f t="shared" ref="AF237" si="1165">AE237</f>
        <v>0</v>
      </c>
      <c r="AG237" s="290">
        <f t="shared" ref="AG237" si="1166">AF237</f>
        <v>0</v>
      </c>
      <c r="AH237" s="290">
        <f t="shared" ref="AH237" si="1167">AG237</f>
        <v>0</v>
      </c>
      <c r="AI237" s="290">
        <f t="shared" ref="AI237" si="1168">AH237</f>
        <v>0</v>
      </c>
      <c r="AJ237" s="290">
        <f t="shared" ref="AJ237" si="1169">AI237</f>
        <v>0</v>
      </c>
      <c r="AK237" s="290">
        <f t="shared" ref="AK237" si="1170">AJ237</f>
        <v>0</v>
      </c>
      <c r="AL237" s="290">
        <f t="shared" ref="AL237" si="1171">AK237</f>
        <v>0</v>
      </c>
      <c r="AM237" s="290">
        <f t="shared" ref="AM237" si="1172">AL237</f>
        <v>0</v>
      </c>
      <c r="AN237" s="290">
        <f t="shared" ref="AN237" si="1173">AM237</f>
        <v>0</v>
      </c>
      <c r="AO237" s="290">
        <f t="shared" ref="AO237" si="1174">AN237</f>
        <v>0</v>
      </c>
      <c r="AP237" s="290">
        <f t="shared" ref="AP237" si="1175">AO237</f>
        <v>0</v>
      </c>
      <c r="AQ237" s="290">
        <f t="shared" ref="AQ237" si="1176">AP237</f>
        <v>0</v>
      </c>
      <c r="AR237" s="290">
        <f t="shared" ref="AR237" si="1177">AQ237</f>
        <v>0</v>
      </c>
      <c r="AS237" s="290">
        <f t="shared" ref="AS237" si="1178">AR237</f>
        <v>0</v>
      </c>
      <c r="AT237" s="290">
        <f t="shared" ref="AT237" si="1179">AS237</f>
        <v>0</v>
      </c>
      <c r="AU237" s="290">
        <f t="shared" ref="AU237" si="1180">AT237</f>
        <v>0</v>
      </c>
      <c r="AV237" s="290">
        <f t="shared" ref="AV237" si="1181">AU237</f>
        <v>0</v>
      </c>
      <c r="AW237" s="290">
        <f t="shared" ref="AW237" si="1182">AV237</f>
        <v>0</v>
      </c>
      <c r="AX237" s="290">
        <f t="shared" ref="AX237" si="1183">AW237</f>
        <v>0</v>
      </c>
      <c r="AY237" s="290">
        <f t="shared" ref="AY237" si="1184">AX237</f>
        <v>0</v>
      </c>
      <c r="AZ237" s="290">
        <f t="shared" ref="AZ237" si="1185">AY237</f>
        <v>0</v>
      </c>
      <c r="BA237" s="290">
        <f t="shared" ref="BA237" si="1186">AZ237</f>
        <v>0</v>
      </c>
      <c r="BB237" s="290">
        <f t="shared" ref="BB237" si="1187">BA237</f>
        <v>0</v>
      </c>
      <c r="BC237" s="190"/>
      <c r="BD237" s="186"/>
    </row>
    <row r="238" spans="1:56" hidden="1" outlineLevel="1" x14ac:dyDescent="0.3">
      <c r="A238" s="184" t="str">
        <f ca="1">Language!A$675</f>
        <v>коэффициент прироста цен к предыдущему периоду</v>
      </c>
      <c r="B238" s="203"/>
      <c r="C238" s="163" t="str">
        <f ca="1">Language!$A$1477</f>
        <v>раз</v>
      </c>
      <c r="D238" s="174"/>
      <c r="F238" s="170" t="s">
        <v>741</v>
      </c>
      <c r="G238" s="191">
        <f ca="1">IF(G$2=1,1,IF(Prj_Inflation=1,POWER(1+OFFSET(G235,0,-1),Параметры!G$30/360),1))</f>
        <v>1</v>
      </c>
      <c r="H238" s="191">
        <f ca="1">IF(H$2=1,1,IF(Prj_Inflation=1,POWER(1+OFFSET(H235,0,-1),Параметры!H$30/360),1))</f>
        <v>1.004867550565343</v>
      </c>
      <c r="I238" s="191">
        <f ca="1">IF(I$2=1,1,IF(Prj_Inflation=1,POWER(1+OFFSET(I235,0,-1),Параметры!I$30/360),1))</f>
        <v>1.004867550565343</v>
      </c>
      <c r="J238" s="191">
        <f ca="1">IF(J$2=1,1,IF(Prj_Inflation=1,POWER(1+OFFSET(J235,0,-1),Параметры!J$30/360),1))</f>
        <v>1.004867550565343</v>
      </c>
      <c r="K238" s="191">
        <f ca="1">IF(K$2=1,1,IF(Prj_Inflation=1,POWER(1+OFFSET(K235,0,-1),Параметры!K$30/360),1))</f>
        <v>1.004867550565343</v>
      </c>
      <c r="L238" s="191">
        <f ca="1">IF(L$2=1,1,IF(Prj_Inflation=1,POWER(1+OFFSET(L235,0,-1),Параметры!L$30/360),1))</f>
        <v>1.004867550565343</v>
      </c>
      <c r="M238" s="191">
        <f ca="1">IF(M$2=1,1,IF(Prj_Inflation=1,POWER(1+OFFSET(M235,0,-1),Параметры!M$30/360),1))</f>
        <v>1.004867550565343</v>
      </c>
      <c r="N238" s="191">
        <f ca="1">IF(N$2=1,1,IF(Prj_Inflation=1,POWER(1+OFFSET(N235,0,-1),Параметры!N$30/360),1))</f>
        <v>1.004867550565343</v>
      </c>
      <c r="O238" s="191">
        <f ca="1">IF(O$2=1,1,IF(Prj_Inflation=1,POWER(1+OFFSET(O235,0,-1),Параметры!O$30/360),1))</f>
        <v>1.004867550565343</v>
      </c>
      <c r="P238" s="191">
        <f ca="1">IF(P$2=1,1,IF(Prj_Inflation=1,POWER(1+OFFSET(P235,0,-1),Параметры!P$30/360),1))</f>
        <v>1.004867550565343</v>
      </c>
      <c r="Q238" s="191">
        <f ca="1">IF(Q$2=1,1,IF(Prj_Inflation=1,POWER(1+OFFSET(Q235,0,-1),Параметры!Q$30/360),1))</f>
        <v>1.004867550565343</v>
      </c>
      <c r="R238" s="191">
        <f ca="1">IF(R$2=1,1,IF(Prj_Inflation=1,POWER(1+OFFSET(R235,0,-1),Параметры!R$30/360),1))</f>
        <v>1.004867550565343</v>
      </c>
      <c r="S238" s="191">
        <f ca="1">IF(S$2=1,1,IF(Prj_Inflation=1,POWER(1+OFFSET(S235,0,-1),Параметры!S$30/360),1))</f>
        <v>1.004867550565343</v>
      </c>
      <c r="T238" s="191">
        <f ca="1">IF(T$2=1,1,IF(Prj_Inflation=1,POWER(1+OFFSET(T235,0,-1),Параметры!T$30/360),1))</f>
        <v>1.004867550565343</v>
      </c>
      <c r="U238" s="191">
        <f ca="1">IF(U$2=1,1,IF(Prj_Inflation=1,POWER(1+OFFSET(U235,0,-1),Параметры!U$30/360),1))</f>
        <v>1.004867550565343</v>
      </c>
      <c r="V238" s="191">
        <f ca="1">IF(V$2=1,1,IF(Prj_Inflation=1,POWER(1+OFFSET(V235,0,-1),Параметры!V$30/360),1))</f>
        <v>1.004867550565343</v>
      </c>
      <c r="W238" s="191">
        <f ca="1">IF(W$2=1,1,IF(Prj_Inflation=1,POWER(1+OFFSET(W235,0,-1),Параметры!W$30/360),1))</f>
        <v>1.004867550565343</v>
      </c>
      <c r="X238" s="191">
        <f ca="1">IF(X$2=1,1,IF(Prj_Inflation=1,POWER(1+OFFSET(X235,0,-1),Параметры!X$30/360),1))</f>
        <v>1.004867550565343</v>
      </c>
      <c r="Y238" s="191">
        <f ca="1">IF(Y$2=1,1,IF(Prj_Inflation=1,POWER(1+OFFSET(Y235,0,-1),Параметры!Y$30/360),1))</f>
        <v>1.004867550565343</v>
      </c>
      <c r="Z238" s="191">
        <f ca="1">IF(Z$2=1,1,IF(Prj_Inflation=1,POWER(1+OFFSET(Z235,0,-1),Параметры!Z$30/360),1))</f>
        <v>1.004867550565343</v>
      </c>
      <c r="AA238" s="191">
        <f ca="1">IF(AA$2=1,1,IF(Prj_Inflation=1,POWER(1+OFFSET(AA235,0,-1),Параметры!AA$30/360),1))</f>
        <v>1.004867550565343</v>
      </c>
      <c r="AB238" s="191">
        <f ca="1">IF(AB$2=1,1,IF(Prj_Inflation=1,POWER(1+OFFSET(AB235,0,-1),Параметры!AB$30/360),1))</f>
        <v>1.004867550565343</v>
      </c>
      <c r="AC238" s="191">
        <f ca="1">IF(AC$2=1,1,IF(Prj_Inflation=1,POWER(1+OFFSET(AC235,0,-1),Параметры!AC$30/360),1))</f>
        <v>1.004867550565343</v>
      </c>
      <c r="AD238" s="191">
        <f ca="1">IF(AD$2=1,1,IF(Prj_Inflation=1,POWER(1+OFFSET(AD235,0,-1),Параметры!AD$30/360),1))</f>
        <v>1.004867550565343</v>
      </c>
      <c r="AE238" s="191">
        <f ca="1">IF(AE$2=1,1,IF(Prj_Inflation=1,POWER(1+OFFSET(AE235,0,-1),Параметры!AE$30/360),1))</f>
        <v>1.004867550565343</v>
      </c>
      <c r="AF238" s="191">
        <f ca="1">IF(AF$2=1,1,IF(Prj_Inflation=1,POWER(1+OFFSET(AF235,0,-1),Параметры!AF$30/360),1))</f>
        <v>1.004867550565343</v>
      </c>
      <c r="AG238" s="191">
        <f ca="1">IF(AG$2=1,1,IF(Prj_Inflation=1,POWER(1+OFFSET(AG235,0,-1),Параметры!AG$30/360),1))</f>
        <v>1.004867550565343</v>
      </c>
      <c r="AH238" s="191">
        <f ca="1">IF(AH$2=1,1,IF(Prj_Inflation=1,POWER(1+OFFSET(AH235,0,-1),Параметры!AH$30/360),1))</f>
        <v>1.004867550565343</v>
      </c>
      <c r="AI238" s="191">
        <f ca="1">IF(AI$2=1,1,IF(Prj_Inflation=1,POWER(1+OFFSET(AI235,0,-1),Параметры!AI$30/360),1))</f>
        <v>1.004867550565343</v>
      </c>
      <c r="AJ238" s="191">
        <f ca="1">IF(AJ$2=1,1,IF(Prj_Inflation=1,POWER(1+OFFSET(AJ235,0,-1),Параметры!AJ$30/360),1))</f>
        <v>1.004867550565343</v>
      </c>
      <c r="AK238" s="191">
        <f ca="1">IF(AK$2=1,1,IF(Prj_Inflation=1,POWER(1+OFFSET(AK235,0,-1),Параметры!AK$30/360),1))</f>
        <v>1.004867550565343</v>
      </c>
      <c r="AL238" s="191">
        <f ca="1">IF(AL$2=1,1,IF(Prj_Inflation=1,POWER(1+OFFSET(AL235,0,-1),Параметры!AL$30/360),1))</f>
        <v>1.004867550565343</v>
      </c>
      <c r="AM238" s="191">
        <f ca="1">IF(AM$2=1,1,IF(Prj_Inflation=1,POWER(1+OFFSET(AM235,0,-1),Параметры!AM$30/360),1))</f>
        <v>1.004867550565343</v>
      </c>
      <c r="AN238" s="191">
        <f ca="1">IF(AN$2=1,1,IF(Prj_Inflation=1,POWER(1+OFFSET(AN235,0,-1),Параметры!AN$30/360),1))</f>
        <v>1.004867550565343</v>
      </c>
      <c r="AO238" s="191">
        <f ca="1">IF(AO$2=1,1,IF(Prj_Inflation=1,POWER(1+OFFSET(AO235,0,-1),Параметры!AO$30/360),1))</f>
        <v>1.004867550565343</v>
      </c>
      <c r="AP238" s="191">
        <f ca="1">IF(AP$2=1,1,IF(Prj_Inflation=1,POWER(1+OFFSET(AP235,0,-1),Параметры!AP$30/360),1))</f>
        <v>1.004867550565343</v>
      </c>
      <c r="AQ238" s="191">
        <f ca="1">IF(AQ$2=1,1,IF(Prj_Inflation=1,POWER(1+OFFSET(AQ235,0,-1),Параметры!AQ$30/360),1))</f>
        <v>1.004867550565343</v>
      </c>
      <c r="AR238" s="191">
        <f ca="1">IF(AR$2=1,1,IF(Prj_Inflation=1,POWER(1+OFFSET(AR235,0,-1),Параметры!AR$30/360),1))</f>
        <v>1.004867550565343</v>
      </c>
      <c r="AS238" s="191">
        <f ca="1">IF(AS$2=1,1,IF(Prj_Inflation=1,POWER(1+OFFSET(AS235,0,-1),Параметры!AS$30/360),1))</f>
        <v>1.004867550565343</v>
      </c>
      <c r="AT238" s="191">
        <f ca="1">IF(AT$2=1,1,IF(Prj_Inflation=1,POWER(1+OFFSET(AT235,0,-1),Параметры!AT$30/360),1))</f>
        <v>1.004867550565343</v>
      </c>
      <c r="AU238" s="191">
        <f ca="1">IF(AU$2=1,1,IF(Prj_Inflation=1,POWER(1+OFFSET(AU235,0,-1),Параметры!AU$30/360),1))</f>
        <v>1.004867550565343</v>
      </c>
      <c r="AV238" s="191">
        <f ca="1">IF(AV$2=1,1,IF(Prj_Inflation=1,POWER(1+OFFSET(AV235,0,-1),Параметры!AV$30/360),1))</f>
        <v>1.004867550565343</v>
      </c>
      <c r="AW238" s="191">
        <f ca="1">IF(AW$2=1,1,IF(Prj_Inflation=1,POWER(1+OFFSET(AW235,0,-1),Параметры!AW$30/360),1))</f>
        <v>1.004867550565343</v>
      </c>
      <c r="AX238" s="191">
        <f ca="1">IF(AX$2=1,1,IF(Prj_Inflation=1,POWER(1+OFFSET(AX235,0,-1),Параметры!AX$30/360),1))</f>
        <v>1.004867550565343</v>
      </c>
      <c r="AY238" s="191">
        <f ca="1">IF(AY$2=1,1,IF(Prj_Inflation=1,POWER(1+OFFSET(AY235,0,-1),Параметры!AY$30/360),1))</f>
        <v>1.004867550565343</v>
      </c>
      <c r="AZ238" s="191">
        <f ca="1">IF(AZ$2=1,1,IF(Prj_Inflation=1,POWER(1+OFFSET(AZ235,0,-1),Параметры!AZ$30/360),1))</f>
        <v>1.004867550565343</v>
      </c>
      <c r="BA238" s="191">
        <f ca="1">IF(BA$2=1,1,IF(Prj_Inflation=1,POWER(1+OFFSET(BA235,0,-1),Параметры!BA$30/360),1))</f>
        <v>1.004867550565343</v>
      </c>
      <c r="BB238" s="191">
        <f ca="1">IF(BB$2=1,1,IF(Prj_Inflation=1,POWER(1+OFFSET(BB235,0,-1),Параметры!BB$30/360),1))</f>
        <v>1.004867550565343</v>
      </c>
      <c r="BC238" s="191"/>
      <c r="BD238" s="186"/>
    </row>
    <row r="239" spans="1:56" hidden="1" outlineLevel="1" x14ac:dyDescent="0.3">
      <c r="A239" s="184" t="str">
        <f ca="1">Language!A$1486</f>
        <v>индексировать в начале года</v>
      </c>
      <c r="B239" s="291">
        <v>0</v>
      </c>
      <c r="C239" s="163" t="str">
        <f ca="1">IF(B239=1,Language!$A$1475,Language!$A$1476)</f>
        <v>Нет</v>
      </c>
      <c r="D239" s="174"/>
      <c r="F239" s="170" t="s">
        <v>3408</v>
      </c>
      <c r="G239" s="192" t="str">
        <f ca="1">IF(Prj_Inflation=1,IF($B239=1,IF(G$2=1,1,IF(Параметры!G$29=1,1+OFFSET(G235,0,-1),1)),"-"),1)</f>
        <v>-</v>
      </c>
      <c r="H239" s="192" t="str">
        <f ca="1">IF(Prj_Inflation=1,IF($B239=1,IF(H$2=1,1,IF(Параметры!H$29=1,1+OFFSET(H235,0,-1),1)),"-"),1)</f>
        <v>-</v>
      </c>
      <c r="I239" s="192" t="str">
        <f ca="1">IF(Prj_Inflation=1,IF($B239=1,IF(I$2=1,1,IF(Параметры!I$29=1,1+OFFSET(I235,0,-1),1)),"-"),1)</f>
        <v>-</v>
      </c>
      <c r="J239" s="192" t="str">
        <f ca="1">IF(Prj_Inflation=1,IF($B239=1,IF(J$2=1,1,IF(Параметры!J$29=1,1+OFFSET(J235,0,-1),1)),"-"),1)</f>
        <v>-</v>
      </c>
      <c r="K239" s="192" t="str">
        <f ca="1">IF(Prj_Inflation=1,IF($B239=1,IF(K$2=1,1,IF(Параметры!K$29=1,1+OFFSET(K235,0,-1),1)),"-"),1)</f>
        <v>-</v>
      </c>
      <c r="L239" s="192" t="str">
        <f ca="1">IF(Prj_Inflation=1,IF($B239=1,IF(L$2=1,1,IF(Параметры!L$29=1,1+OFFSET(L235,0,-1),1)),"-"),1)</f>
        <v>-</v>
      </c>
      <c r="M239" s="192" t="str">
        <f ca="1">IF(Prj_Inflation=1,IF($B239=1,IF(M$2=1,1,IF(Параметры!M$29=1,1+OFFSET(M235,0,-1),1)),"-"),1)</f>
        <v>-</v>
      </c>
      <c r="N239" s="192" t="str">
        <f ca="1">IF(Prj_Inflation=1,IF($B239=1,IF(N$2=1,1,IF(Параметры!N$29=1,1+OFFSET(N235,0,-1),1)),"-"),1)</f>
        <v>-</v>
      </c>
      <c r="O239" s="192" t="str">
        <f ca="1">IF(Prj_Inflation=1,IF($B239=1,IF(O$2=1,1,IF(Параметры!O$29=1,1+OFFSET(O235,0,-1),1)),"-"),1)</f>
        <v>-</v>
      </c>
      <c r="P239" s="192" t="str">
        <f ca="1">IF(Prj_Inflation=1,IF($B239=1,IF(P$2=1,1,IF(Параметры!P$29=1,1+OFFSET(P235,0,-1),1)),"-"),1)</f>
        <v>-</v>
      </c>
      <c r="Q239" s="192" t="str">
        <f ca="1">IF(Prj_Inflation=1,IF($B239=1,IF(Q$2=1,1,IF(Параметры!Q$29=1,1+OFFSET(Q235,0,-1),1)),"-"),1)</f>
        <v>-</v>
      </c>
      <c r="R239" s="192" t="str">
        <f ca="1">IF(Prj_Inflation=1,IF($B239=1,IF(R$2=1,1,IF(Параметры!R$29=1,1+OFFSET(R235,0,-1),1)),"-"),1)</f>
        <v>-</v>
      </c>
      <c r="S239" s="192" t="str">
        <f ca="1">IF(Prj_Inflation=1,IF($B239=1,IF(S$2=1,1,IF(Параметры!S$29=1,1+OFFSET(S235,0,-1),1)),"-"),1)</f>
        <v>-</v>
      </c>
      <c r="T239" s="192" t="str">
        <f ca="1">IF(Prj_Inflation=1,IF($B239=1,IF(T$2=1,1,IF(Параметры!T$29=1,1+OFFSET(T235,0,-1),1)),"-"),1)</f>
        <v>-</v>
      </c>
      <c r="U239" s="192" t="str">
        <f ca="1">IF(Prj_Inflation=1,IF($B239=1,IF(U$2=1,1,IF(Параметры!U$29=1,1+OFFSET(U235,0,-1),1)),"-"),1)</f>
        <v>-</v>
      </c>
      <c r="V239" s="192" t="str">
        <f ca="1">IF(Prj_Inflation=1,IF($B239=1,IF(V$2=1,1,IF(Параметры!V$29=1,1+OFFSET(V235,0,-1),1)),"-"),1)</f>
        <v>-</v>
      </c>
      <c r="W239" s="192" t="str">
        <f ca="1">IF(Prj_Inflation=1,IF($B239=1,IF(W$2=1,1,IF(Параметры!W$29=1,1+OFFSET(W235,0,-1),1)),"-"),1)</f>
        <v>-</v>
      </c>
      <c r="X239" s="192" t="str">
        <f ca="1">IF(Prj_Inflation=1,IF($B239=1,IF(X$2=1,1,IF(Параметры!X$29=1,1+OFFSET(X235,0,-1),1)),"-"),1)</f>
        <v>-</v>
      </c>
      <c r="Y239" s="192" t="str">
        <f ca="1">IF(Prj_Inflation=1,IF($B239=1,IF(Y$2=1,1,IF(Параметры!Y$29=1,1+OFFSET(Y235,0,-1),1)),"-"),1)</f>
        <v>-</v>
      </c>
      <c r="Z239" s="192" t="str">
        <f ca="1">IF(Prj_Inflation=1,IF($B239=1,IF(Z$2=1,1,IF(Параметры!Z$29=1,1+OFFSET(Z235,0,-1),1)),"-"),1)</f>
        <v>-</v>
      </c>
      <c r="AA239" s="192" t="str">
        <f ca="1">IF(Prj_Inflation=1,IF($B239=1,IF(AA$2=1,1,IF(Параметры!AA$29=1,1+OFFSET(AA235,0,-1),1)),"-"),1)</f>
        <v>-</v>
      </c>
      <c r="AB239" s="192" t="str">
        <f ca="1">IF(Prj_Inflation=1,IF($B239=1,IF(AB$2=1,1,IF(Параметры!AB$29=1,1+OFFSET(AB235,0,-1),1)),"-"),1)</f>
        <v>-</v>
      </c>
      <c r="AC239" s="192" t="str">
        <f ca="1">IF(Prj_Inflation=1,IF($B239=1,IF(AC$2=1,1,IF(Параметры!AC$29=1,1+OFFSET(AC235,0,-1),1)),"-"),1)</f>
        <v>-</v>
      </c>
      <c r="AD239" s="192" t="str">
        <f ca="1">IF(Prj_Inflation=1,IF($B239=1,IF(AD$2=1,1,IF(Параметры!AD$29=1,1+OFFSET(AD235,0,-1),1)),"-"),1)</f>
        <v>-</v>
      </c>
      <c r="AE239" s="192" t="str">
        <f ca="1">IF(Prj_Inflation=1,IF($B239=1,IF(AE$2=1,1,IF(Параметры!AE$29=1,1+OFFSET(AE235,0,-1),1)),"-"),1)</f>
        <v>-</v>
      </c>
      <c r="AF239" s="192" t="str">
        <f ca="1">IF(Prj_Inflation=1,IF($B239=1,IF(AF$2=1,1,IF(Параметры!AF$29=1,1+OFFSET(AF235,0,-1),1)),"-"),1)</f>
        <v>-</v>
      </c>
      <c r="AG239" s="192" t="str">
        <f ca="1">IF(Prj_Inflation=1,IF($B239=1,IF(AG$2=1,1,IF(Параметры!AG$29=1,1+OFFSET(AG235,0,-1),1)),"-"),1)</f>
        <v>-</v>
      </c>
      <c r="AH239" s="192" t="str">
        <f ca="1">IF(Prj_Inflation=1,IF($B239=1,IF(AH$2=1,1,IF(Параметры!AH$29=1,1+OFFSET(AH235,0,-1),1)),"-"),1)</f>
        <v>-</v>
      </c>
      <c r="AI239" s="192" t="str">
        <f ca="1">IF(Prj_Inflation=1,IF($B239=1,IF(AI$2=1,1,IF(Параметры!AI$29=1,1+OFFSET(AI235,0,-1),1)),"-"),1)</f>
        <v>-</v>
      </c>
      <c r="AJ239" s="192" t="str">
        <f ca="1">IF(Prj_Inflation=1,IF($B239=1,IF(AJ$2=1,1,IF(Параметры!AJ$29=1,1+OFFSET(AJ235,0,-1),1)),"-"),1)</f>
        <v>-</v>
      </c>
      <c r="AK239" s="192" t="str">
        <f ca="1">IF(Prj_Inflation=1,IF($B239=1,IF(AK$2=1,1,IF(Параметры!AK$29=1,1+OFFSET(AK235,0,-1),1)),"-"),1)</f>
        <v>-</v>
      </c>
      <c r="AL239" s="192" t="str">
        <f ca="1">IF(Prj_Inflation=1,IF($B239=1,IF(AL$2=1,1,IF(Параметры!AL$29=1,1+OFFSET(AL235,0,-1),1)),"-"),1)</f>
        <v>-</v>
      </c>
      <c r="AM239" s="192" t="str">
        <f ca="1">IF(Prj_Inflation=1,IF($B239=1,IF(AM$2=1,1,IF(Параметры!AM$29=1,1+OFFSET(AM235,0,-1),1)),"-"),1)</f>
        <v>-</v>
      </c>
      <c r="AN239" s="192" t="str">
        <f ca="1">IF(Prj_Inflation=1,IF($B239=1,IF(AN$2=1,1,IF(Параметры!AN$29=1,1+OFFSET(AN235,0,-1),1)),"-"),1)</f>
        <v>-</v>
      </c>
      <c r="AO239" s="192" t="str">
        <f ca="1">IF(Prj_Inflation=1,IF($B239=1,IF(AO$2=1,1,IF(Параметры!AO$29=1,1+OFFSET(AO235,0,-1),1)),"-"),1)</f>
        <v>-</v>
      </c>
      <c r="AP239" s="192" t="str">
        <f ca="1">IF(Prj_Inflation=1,IF($B239=1,IF(AP$2=1,1,IF(Параметры!AP$29=1,1+OFFSET(AP235,0,-1),1)),"-"),1)</f>
        <v>-</v>
      </c>
      <c r="AQ239" s="192" t="str">
        <f ca="1">IF(Prj_Inflation=1,IF($B239=1,IF(AQ$2=1,1,IF(Параметры!AQ$29=1,1+OFFSET(AQ235,0,-1),1)),"-"),1)</f>
        <v>-</v>
      </c>
      <c r="AR239" s="192" t="str">
        <f ca="1">IF(Prj_Inflation=1,IF($B239=1,IF(AR$2=1,1,IF(Параметры!AR$29=1,1+OFFSET(AR235,0,-1),1)),"-"),1)</f>
        <v>-</v>
      </c>
      <c r="AS239" s="192" t="str">
        <f ca="1">IF(Prj_Inflation=1,IF($B239=1,IF(AS$2=1,1,IF(Параметры!AS$29=1,1+OFFSET(AS235,0,-1),1)),"-"),1)</f>
        <v>-</v>
      </c>
      <c r="AT239" s="192" t="str">
        <f ca="1">IF(Prj_Inflation=1,IF($B239=1,IF(AT$2=1,1,IF(Параметры!AT$29=1,1+OFFSET(AT235,0,-1),1)),"-"),1)</f>
        <v>-</v>
      </c>
      <c r="AU239" s="192" t="str">
        <f ca="1">IF(Prj_Inflation=1,IF($B239=1,IF(AU$2=1,1,IF(Параметры!AU$29=1,1+OFFSET(AU235,0,-1),1)),"-"),1)</f>
        <v>-</v>
      </c>
      <c r="AV239" s="192" t="str">
        <f ca="1">IF(Prj_Inflation=1,IF($B239=1,IF(AV$2=1,1,IF(Параметры!AV$29=1,1+OFFSET(AV235,0,-1),1)),"-"),1)</f>
        <v>-</v>
      </c>
      <c r="AW239" s="192" t="str">
        <f ca="1">IF(Prj_Inflation=1,IF($B239=1,IF(AW$2=1,1,IF(Параметры!AW$29=1,1+OFFSET(AW235,0,-1),1)),"-"),1)</f>
        <v>-</v>
      </c>
      <c r="AX239" s="192" t="str">
        <f ca="1">IF(Prj_Inflation=1,IF($B239=1,IF(AX$2=1,1,IF(Параметры!AX$29=1,1+OFFSET(AX235,0,-1),1)),"-"),1)</f>
        <v>-</v>
      </c>
      <c r="AY239" s="192" t="str">
        <f ca="1">IF(Prj_Inflation=1,IF($B239=1,IF(AY$2=1,1,IF(Параметры!AY$29=1,1+OFFSET(AY235,0,-1),1)),"-"),1)</f>
        <v>-</v>
      </c>
      <c r="AZ239" s="192" t="str">
        <f ca="1">IF(Prj_Inflation=1,IF($B239=1,IF(AZ$2=1,1,IF(Параметры!AZ$29=1,1+OFFSET(AZ235,0,-1),1)),"-"),1)</f>
        <v>-</v>
      </c>
      <c r="BA239" s="192" t="str">
        <f ca="1">IF(Prj_Inflation=1,IF($B239=1,IF(BA$2=1,1,IF(Параметры!BA$29=1,1+OFFSET(BA235,0,-1),1)),"-"),1)</f>
        <v>-</v>
      </c>
      <c r="BB239" s="192" t="str">
        <f ca="1">IF(Prj_Inflation=1,IF($B239=1,IF(BB$2=1,1,IF(Параметры!BB$29=1,1+OFFSET(BB235,0,-1),1)),"-"),1)</f>
        <v>-</v>
      </c>
      <c r="BC239" s="191"/>
      <c r="BD239" s="186"/>
    </row>
    <row r="240" spans="1:56" hidden="1" outlineLevel="1" x14ac:dyDescent="0.3">
      <c r="A240" s="184" t="str">
        <f ca="1">Language!A$654</f>
        <v>пошлины начисленные</v>
      </c>
      <c r="B240" s="174"/>
      <c r="C240" s="163" t="str">
        <f ca="1">CHOOSE(D240,CurName1,CurName2,CurName3)</f>
        <v>руб.</v>
      </c>
      <c r="D240" s="174">
        <f>D218</f>
        <v>1</v>
      </c>
      <c r="E240" s="170" t="s">
        <v>1010</v>
      </c>
      <c r="F240" s="170" t="s">
        <v>740</v>
      </c>
      <c r="G240" s="185">
        <f ca="1">G228*G237</f>
        <v>0</v>
      </c>
      <c r="H240" s="185">
        <f t="shared" ref="H240:BB240" ca="1" si="1188">H228*H237</f>
        <v>0</v>
      </c>
      <c r="I240" s="185">
        <f t="shared" ca="1" si="1188"/>
        <v>0</v>
      </c>
      <c r="J240" s="185">
        <f t="shared" ca="1" si="1188"/>
        <v>0</v>
      </c>
      <c r="K240" s="185">
        <f t="shared" ca="1" si="1188"/>
        <v>0</v>
      </c>
      <c r="L240" s="185">
        <f t="shared" ca="1" si="1188"/>
        <v>0</v>
      </c>
      <c r="M240" s="185">
        <f t="shared" ca="1" si="1188"/>
        <v>0</v>
      </c>
      <c r="N240" s="185">
        <f t="shared" ca="1" si="1188"/>
        <v>0</v>
      </c>
      <c r="O240" s="185">
        <f t="shared" ca="1" si="1188"/>
        <v>0</v>
      </c>
      <c r="P240" s="185">
        <f t="shared" ca="1" si="1188"/>
        <v>0</v>
      </c>
      <c r="Q240" s="185">
        <f t="shared" ca="1" si="1188"/>
        <v>0</v>
      </c>
      <c r="R240" s="185">
        <f t="shared" ca="1" si="1188"/>
        <v>0</v>
      </c>
      <c r="S240" s="185">
        <f t="shared" ca="1" si="1188"/>
        <v>0</v>
      </c>
      <c r="T240" s="185">
        <f t="shared" ca="1" si="1188"/>
        <v>0</v>
      </c>
      <c r="U240" s="185">
        <f t="shared" ca="1" si="1188"/>
        <v>0</v>
      </c>
      <c r="V240" s="185">
        <f t="shared" ca="1" si="1188"/>
        <v>0</v>
      </c>
      <c r="W240" s="185">
        <f t="shared" ca="1" si="1188"/>
        <v>0</v>
      </c>
      <c r="X240" s="185">
        <f t="shared" ca="1" si="1188"/>
        <v>0</v>
      </c>
      <c r="Y240" s="185">
        <f t="shared" ca="1" si="1188"/>
        <v>0</v>
      </c>
      <c r="Z240" s="185">
        <f t="shared" ca="1" si="1188"/>
        <v>0</v>
      </c>
      <c r="AA240" s="185">
        <f t="shared" ca="1" si="1188"/>
        <v>0</v>
      </c>
      <c r="AB240" s="185">
        <f t="shared" ca="1" si="1188"/>
        <v>0</v>
      </c>
      <c r="AC240" s="185">
        <f t="shared" ca="1" si="1188"/>
        <v>0</v>
      </c>
      <c r="AD240" s="185">
        <f t="shared" ca="1" si="1188"/>
        <v>0</v>
      </c>
      <c r="AE240" s="185">
        <f t="shared" ca="1" si="1188"/>
        <v>0</v>
      </c>
      <c r="AF240" s="185">
        <f t="shared" ca="1" si="1188"/>
        <v>0</v>
      </c>
      <c r="AG240" s="185">
        <f t="shared" ca="1" si="1188"/>
        <v>0</v>
      </c>
      <c r="AH240" s="185">
        <f t="shared" ca="1" si="1188"/>
        <v>0</v>
      </c>
      <c r="AI240" s="185">
        <f t="shared" ca="1" si="1188"/>
        <v>0</v>
      </c>
      <c r="AJ240" s="185">
        <f t="shared" ca="1" si="1188"/>
        <v>0</v>
      </c>
      <c r="AK240" s="185">
        <f t="shared" ca="1" si="1188"/>
        <v>0</v>
      </c>
      <c r="AL240" s="185">
        <f t="shared" ca="1" si="1188"/>
        <v>0</v>
      </c>
      <c r="AM240" s="185">
        <f t="shared" ca="1" si="1188"/>
        <v>0</v>
      </c>
      <c r="AN240" s="185">
        <f t="shared" ca="1" si="1188"/>
        <v>0</v>
      </c>
      <c r="AO240" s="185">
        <f t="shared" ca="1" si="1188"/>
        <v>0</v>
      </c>
      <c r="AP240" s="185">
        <f t="shared" ca="1" si="1188"/>
        <v>0</v>
      </c>
      <c r="AQ240" s="185">
        <f t="shared" ca="1" si="1188"/>
        <v>0</v>
      </c>
      <c r="AR240" s="185">
        <f t="shared" ca="1" si="1188"/>
        <v>0</v>
      </c>
      <c r="AS240" s="185">
        <f t="shared" ca="1" si="1188"/>
        <v>0</v>
      </c>
      <c r="AT240" s="185">
        <f t="shared" ca="1" si="1188"/>
        <v>0</v>
      </c>
      <c r="AU240" s="185">
        <f t="shared" ca="1" si="1188"/>
        <v>0</v>
      </c>
      <c r="AV240" s="185">
        <f t="shared" ca="1" si="1188"/>
        <v>0</v>
      </c>
      <c r="AW240" s="185">
        <f t="shared" ca="1" si="1188"/>
        <v>0</v>
      </c>
      <c r="AX240" s="185">
        <f t="shared" ca="1" si="1188"/>
        <v>0</v>
      </c>
      <c r="AY240" s="185">
        <f t="shared" ca="1" si="1188"/>
        <v>0</v>
      </c>
      <c r="AZ240" s="185">
        <f t="shared" ca="1" si="1188"/>
        <v>0</v>
      </c>
      <c r="BA240" s="185">
        <f t="shared" ca="1" si="1188"/>
        <v>0</v>
      </c>
      <c r="BB240" s="185">
        <f t="shared" ca="1" si="1188"/>
        <v>0</v>
      </c>
      <c r="BC240" s="185"/>
      <c r="BD240" s="193">
        <f ca="1">SUM(G240:BC240)</f>
        <v>0</v>
      </c>
    </row>
    <row r="241" spans="1:56" hidden="1" outlineLevel="1" x14ac:dyDescent="0.3">
      <c r="A241" s="184" t="str">
        <f ca="1">Language!A$655</f>
        <v>НДС начисленный</v>
      </c>
      <c r="B241" s="174"/>
      <c r="C241" s="163" t="str">
        <f ca="1">CHOOSE(D241,CurName1,CurName2,CurName3)</f>
        <v>руб.</v>
      </c>
      <c r="D241" s="174">
        <f>D218</f>
        <v>1</v>
      </c>
      <c r="E241" s="170" t="s">
        <v>785</v>
      </c>
      <c r="F241" s="170" t="s">
        <v>740</v>
      </c>
      <c r="G241" s="185">
        <f ca="1">IF(Старт!$B$9+Старт!$B$10+Старт!$B$11=0,G228,G221)*G236</f>
        <v>0</v>
      </c>
      <c r="H241" s="185">
        <f ca="1">IF(Старт!$B$9+Старт!$B$10+Старт!$B$11=0,H228,H221)*H236</f>
        <v>0</v>
      </c>
      <c r="I241" s="185">
        <f ca="1">IF(Старт!$B$9+Старт!$B$10+Старт!$B$11=0,I228,I221)*I236</f>
        <v>0</v>
      </c>
      <c r="J241" s="185">
        <f ca="1">IF(Старт!$B$9+Старт!$B$10+Старт!$B$11=0,J228,J221)*J236</f>
        <v>0</v>
      </c>
      <c r="K241" s="185">
        <f ca="1">IF(Старт!$B$9+Старт!$B$10+Старт!$B$11=0,K228,K221)*K236</f>
        <v>0</v>
      </c>
      <c r="L241" s="185">
        <f ca="1">IF(Старт!$B$9+Старт!$B$10+Старт!$B$11=0,L228,L221)*L236</f>
        <v>0</v>
      </c>
      <c r="M241" s="185">
        <f ca="1">IF(Старт!$B$9+Старт!$B$10+Старт!$B$11=0,M228,M221)*M236</f>
        <v>0</v>
      </c>
      <c r="N241" s="185">
        <f ca="1">IF(Старт!$B$9+Старт!$B$10+Старт!$B$11=0,N228,N221)*N236</f>
        <v>0</v>
      </c>
      <c r="O241" s="185">
        <f ca="1">IF(Старт!$B$9+Старт!$B$10+Старт!$B$11=0,O228,O221)*O236</f>
        <v>0</v>
      </c>
      <c r="P241" s="185">
        <f ca="1">IF(Старт!$B$9+Старт!$B$10+Старт!$B$11=0,P228,P221)*P236</f>
        <v>0</v>
      </c>
      <c r="Q241" s="185">
        <f ca="1">IF(Старт!$B$9+Старт!$B$10+Старт!$B$11=0,Q228,Q221)*Q236</f>
        <v>0</v>
      </c>
      <c r="R241" s="185">
        <f ca="1">IF(Старт!$B$9+Старт!$B$10+Старт!$B$11=0,R228,R221)*R236</f>
        <v>0</v>
      </c>
      <c r="S241" s="185">
        <f ca="1">IF(Старт!$B$9+Старт!$B$10+Старт!$B$11=0,S228,S221)*S236</f>
        <v>0</v>
      </c>
      <c r="T241" s="185">
        <f ca="1">IF(Старт!$B$9+Старт!$B$10+Старт!$B$11=0,T228,T221)*T236</f>
        <v>0</v>
      </c>
      <c r="U241" s="185">
        <f ca="1">IF(Старт!$B$9+Старт!$B$10+Старт!$B$11=0,U228,U221)*U236</f>
        <v>0</v>
      </c>
      <c r="V241" s="185">
        <f ca="1">IF(Старт!$B$9+Старт!$B$10+Старт!$B$11=0,V228,V221)*V236</f>
        <v>0</v>
      </c>
      <c r="W241" s="185">
        <f ca="1">IF(Старт!$B$9+Старт!$B$10+Старт!$B$11=0,W228,W221)*W236</f>
        <v>0</v>
      </c>
      <c r="X241" s="185">
        <f ca="1">IF(Старт!$B$9+Старт!$B$10+Старт!$B$11=0,X228,X221)*X236</f>
        <v>0</v>
      </c>
      <c r="Y241" s="185">
        <f ca="1">IF(Старт!$B$9+Старт!$B$10+Старт!$B$11=0,Y228,Y221)*Y236</f>
        <v>0</v>
      </c>
      <c r="Z241" s="185">
        <f ca="1">IF(Старт!$B$9+Старт!$B$10+Старт!$B$11=0,Z228,Z221)*Z236</f>
        <v>0</v>
      </c>
      <c r="AA241" s="185">
        <f ca="1">IF(Старт!$B$9+Старт!$B$10+Старт!$B$11=0,AA228,AA221)*AA236</f>
        <v>0</v>
      </c>
      <c r="AB241" s="185">
        <f ca="1">IF(Старт!$B$9+Старт!$B$10+Старт!$B$11=0,AB228,AB221)*AB236</f>
        <v>0</v>
      </c>
      <c r="AC241" s="185">
        <f ca="1">IF(Старт!$B$9+Старт!$B$10+Старт!$B$11=0,AC228,AC221)*AC236</f>
        <v>0</v>
      </c>
      <c r="AD241" s="185">
        <f ca="1">IF(Старт!$B$9+Старт!$B$10+Старт!$B$11=0,AD228,AD221)*AD236</f>
        <v>0</v>
      </c>
      <c r="AE241" s="185">
        <f ca="1">IF(Старт!$B$9+Старт!$B$10+Старт!$B$11=0,AE228,AE221)*AE236</f>
        <v>0</v>
      </c>
      <c r="AF241" s="185">
        <f ca="1">IF(Старт!$B$9+Старт!$B$10+Старт!$B$11=0,AF228,AF221)*AF236</f>
        <v>0</v>
      </c>
      <c r="AG241" s="185">
        <f ca="1">IF(Старт!$B$9+Старт!$B$10+Старт!$B$11=0,AG228,AG221)*AG236</f>
        <v>0</v>
      </c>
      <c r="AH241" s="185">
        <f ca="1">IF(Старт!$B$9+Старт!$B$10+Старт!$B$11=0,AH228,AH221)*AH236</f>
        <v>0</v>
      </c>
      <c r="AI241" s="185">
        <f ca="1">IF(Старт!$B$9+Старт!$B$10+Старт!$B$11=0,AI228,AI221)*AI236</f>
        <v>0</v>
      </c>
      <c r="AJ241" s="185">
        <f ca="1">IF(Старт!$B$9+Старт!$B$10+Старт!$B$11=0,AJ228,AJ221)*AJ236</f>
        <v>0</v>
      </c>
      <c r="AK241" s="185">
        <f ca="1">IF(Старт!$B$9+Старт!$B$10+Старт!$B$11=0,AK228,AK221)*AK236</f>
        <v>0</v>
      </c>
      <c r="AL241" s="185">
        <f ca="1">IF(Старт!$B$9+Старт!$B$10+Старт!$B$11=0,AL228,AL221)*AL236</f>
        <v>0</v>
      </c>
      <c r="AM241" s="185">
        <f ca="1">IF(Старт!$B$9+Старт!$B$10+Старт!$B$11=0,AM228,AM221)*AM236</f>
        <v>0</v>
      </c>
      <c r="AN241" s="185">
        <f ca="1">IF(Старт!$B$9+Старт!$B$10+Старт!$B$11=0,AN228,AN221)*AN236</f>
        <v>0</v>
      </c>
      <c r="AO241" s="185">
        <f ca="1">IF(Старт!$B$9+Старт!$B$10+Старт!$B$11=0,AO228,AO221)*AO236</f>
        <v>0</v>
      </c>
      <c r="AP241" s="185">
        <f ca="1">IF(Старт!$B$9+Старт!$B$10+Старт!$B$11=0,AP228,AP221)*AP236</f>
        <v>0</v>
      </c>
      <c r="AQ241" s="185">
        <f ca="1">IF(Старт!$B$9+Старт!$B$10+Старт!$B$11=0,AQ228,AQ221)*AQ236</f>
        <v>0</v>
      </c>
      <c r="AR241" s="185">
        <f ca="1">IF(Старт!$B$9+Старт!$B$10+Старт!$B$11=0,AR228,AR221)*AR236</f>
        <v>0</v>
      </c>
      <c r="AS241" s="185">
        <f ca="1">IF(Старт!$B$9+Старт!$B$10+Старт!$B$11=0,AS228,AS221)*AS236</f>
        <v>0</v>
      </c>
      <c r="AT241" s="185">
        <f ca="1">IF(Старт!$B$9+Старт!$B$10+Старт!$B$11=0,AT228,AT221)*AT236</f>
        <v>0</v>
      </c>
      <c r="AU241" s="185">
        <f ca="1">IF(Старт!$B$9+Старт!$B$10+Старт!$B$11=0,AU228,AU221)*AU236</f>
        <v>0</v>
      </c>
      <c r="AV241" s="185">
        <f ca="1">IF(Старт!$B$9+Старт!$B$10+Старт!$B$11=0,AV228,AV221)*AV236</f>
        <v>0</v>
      </c>
      <c r="AW241" s="185">
        <f ca="1">IF(Старт!$B$9+Старт!$B$10+Старт!$B$11=0,AW228,AW221)*AW236</f>
        <v>0</v>
      </c>
      <c r="AX241" s="185">
        <f ca="1">IF(Старт!$B$9+Старт!$B$10+Старт!$B$11=0,AX228,AX221)*AX236</f>
        <v>0</v>
      </c>
      <c r="AY241" s="185">
        <f ca="1">IF(Старт!$B$9+Старт!$B$10+Старт!$B$11=0,AY228,AY221)*AY236</f>
        <v>0</v>
      </c>
      <c r="AZ241" s="185">
        <f ca="1">IF(Старт!$B$9+Старт!$B$10+Старт!$B$11=0,AZ228,AZ221)*AZ236</f>
        <v>0</v>
      </c>
      <c r="BA241" s="185">
        <f ca="1">IF(Старт!$B$9+Старт!$B$10+Старт!$B$11=0,BA228,BA221)*BA236</f>
        <v>0</v>
      </c>
      <c r="BB241" s="185">
        <f ca="1">IF(Старт!$B$9+Старт!$B$10+Старт!$B$11=0,BB228,BB221)*BB236</f>
        <v>0</v>
      </c>
      <c r="BC241" s="185"/>
      <c r="BD241" s="193">
        <f ca="1">SUM(G241:BC241)</f>
        <v>0</v>
      </c>
    </row>
    <row r="242" spans="1:56" x14ac:dyDescent="0.3">
      <c r="A242" s="283" t="s">
        <v>3466</v>
      </c>
      <c r="B242" s="199"/>
      <c r="C242" s="176"/>
      <c r="D242" s="174">
        <v>1</v>
      </c>
      <c r="F242" s="170" t="s">
        <v>3467</v>
      </c>
      <c r="G242" s="177"/>
      <c r="H242" s="177"/>
      <c r="I242" s="177"/>
      <c r="J242" s="177"/>
      <c r="K242" s="177"/>
      <c r="L242" s="177"/>
      <c r="M242" s="177"/>
      <c r="N242" s="177"/>
      <c r="O242" s="177"/>
      <c r="P242" s="177"/>
      <c r="Q242" s="177"/>
      <c r="R242" s="177"/>
      <c r="S242" s="177"/>
      <c r="T242" s="177"/>
      <c r="U242" s="177"/>
      <c r="V242" s="177"/>
      <c r="W242" s="177"/>
      <c r="X242" s="177"/>
      <c r="Y242" s="177"/>
      <c r="Z242" s="177"/>
      <c r="AA242" s="177"/>
      <c r="AB242" s="177"/>
      <c r="AC242" s="177"/>
      <c r="AD242" s="177"/>
      <c r="AE242" s="177"/>
      <c r="AF242" s="177"/>
      <c r="AG242" s="177"/>
      <c r="AH242" s="177"/>
      <c r="AI242" s="177"/>
      <c r="AJ242" s="177"/>
      <c r="AK242" s="177"/>
      <c r="AL242" s="177"/>
      <c r="AM242" s="177"/>
      <c r="AN242" s="177"/>
      <c r="AO242" s="177"/>
      <c r="AP242" s="177"/>
      <c r="AQ242" s="177"/>
      <c r="AR242" s="177"/>
      <c r="AS242" s="177"/>
      <c r="AT242" s="177"/>
      <c r="AU242" s="177"/>
      <c r="AV242" s="177"/>
      <c r="AW242" s="177"/>
      <c r="AX242" s="177"/>
      <c r="AY242" s="177"/>
      <c r="AZ242" s="177"/>
      <c r="BA242" s="177"/>
      <c r="BB242" s="177"/>
      <c r="BC242" s="177"/>
      <c r="BD242" s="178"/>
    </row>
    <row r="243" spans="1:56" x14ac:dyDescent="0.3">
      <c r="A243" s="175" t="str">
        <f ca="1">Language!A$633</f>
        <v>расход за период, без учета инфляции, без НДС</v>
      </c>
      <c r="B243" s="199"/>
      <c r="C243" s="176" t="str">
        <f ca="1">CHOOSE(D243,CurName1,CurName2,CurName3)</f>
        <v>руб.</v>
      </c>
      <c r="D243" s="174">
        <f>D242</f>
        <v>1</v>
      </c>
      <c r="F243" s="170" t="s">
        <v>2353</v>
      </c>
      <c r="G243" s="285">
        <f ca="1">G128/2*15%</f>
        <v>0</v>
      </c>
      <c r="H243" s="285">
        <f t="shared" ref="H243:BB243" ca="1" si="1189">H128/2*15%</f>
        <v>0</v>
      </c>
      <c r="I243" s="285">
        <f t="shared" ca="1" si="1189"/>
        <v>0</v>
      </c>
      <c r="J243" s="285">
        <f t="shared" ca="1" si="1189"/>
        <v>0</v>
      </c>
      <c r="K243" s="285">
        <f t="shared" ca="1" si="1189"/>
        <v>0</v>
      </c>
      <c r="L243" s="285">
        <f t="shared" ca="1" si="1189"/>
        <v>0</v>
      </c>
      <c r="M243" s="285">
        <f t="shared" ca="1" si="1189"/>
        <v>561523.66788943112</v>
      </c>
      <c r="N243" s="285">
        <f t="shared" ca="1" si="1189"/>
        <v>752342.55031535972</v>
      </c>
      <c r="O243" s="285">
        <f t="shared" ca="1" si="1189"/>
        <v>945005.76965184882</v>
      </c>
      <c r="P243" s="285">
        <f t="shared" ca="1" si="1189"/>
        <v>1139526.7596242039</v>
      </c>
      <c r="Q243" s="285">
        <f t="shared" ca="1" si="1189"/>
        <v>1145073.4637472364</v>
      </c>
      <c r="R243" s="285">
        <f t="shared" ca="1" si="1189"/>
        <v>1150647.1667330586</v>
      </c>
      <c r="S243" s="285">
        <f t="shared" ca="1" si="1189"/>
        <v>1541664.0000000007</v>
      </c>
      <c r="T243" s="285">
        <f t="shared" ca="1" si="1189"/>
        <v>1355522.1115404239</v>
      </c>
      <c r="U243" s="285">
        <f t="shared" ca="1" si="1189"/>
        <v>1167531.5862521033</v>
      </c>
      <c r="V243" s="285">
        <f t="shared" ca="1" si="1189"/>
        <v>1173214.6052848205</v>
      </c>
      <c r="W243" s="285">
        <f t="shared" ca="1" si="1189"/>
        <v>982437.7389167028</v>
      </c>
      <c r="X243" s="285">
        <f t="shared" ca="1" si="1189"/>
        <v>1579551.6868610901</v>
      </c>
      <c r="Y243" s="285">
        <f t="shared" ca="1" si="1189"/>
        <v>1984050.2932093239</v>
      </c>
      <c r="Z243" s="285">
        <f t="shared" ca="1" si="1189"/>
        <v>1993707.7583357042</v>
      </c>
      <c r="AA243" s="285">
        <f t="shared" ca="1" si="1189"/>
        <v>1402388.5621633444</v>
      </c>
      <c r="AB243" s="285">
        <f t="shared" ca="1" si="1189"/>
        <v>1006581.9710013805</v>
      </c>
      <c r="AC243" s="285">
        <f t="shared" ca="1" si="1189"/>
        <v>1011481.5596433925</v>
      </c>
      <c r="AD243" s="285">
        <f t="shared" ca="1" si="1189"/>
        <v>1219685.9967370424</v>
      </c>
      <c r="AE243" s="285">
        <f t="shared" ca="1" si="1189"/>
        <v>1634163.8400000012</v>
      </c>
      <c r="AF243" s="285">
        <f t="shared" ca="1" si="1189"/>
        <v>1436853.4382328489</v>
      </c>
      <c r="AG243" s="285">
        <f t="shared" ca="1" si="1189"/>
        <v>1237583.4814272295</v>
      </c>
      <c r="AH243" s="285">
        <f t="shared" ca="1" si="1189"/>
        <v>1243607.48160191</v>
      </c>
      <c r="AI243" s="285">
        <f t="shared" ca="1" si="1189"/>
        <v>1041384.0032517051</v>
      </c>
      <c r="AJ243" s="285">
        <f t="shared" ca="1" si="1189"/>
        <v>1674324.7880727556</v>
      </c>
      <c r="AK243" s="285">
        <f t="shared" ca="1" si="1189"/>
        <v>2103093.3108018842</v>
      </c>
      <c r="AL243" s="285">
        <f t="shared" ca="1" si="1189"/>
        <v>2113330.2238358469</v>
      </c>
      <c r="AM243" s="285">
        <f t="shared" ca="1" si="1189"/>
        <v>1486531.8758931449</v>
      </c>
      <c r="AN243" s="285">
        <f t="shared" ca="1" si="1189"/>
        <v>1066976.8892614634</v>
      </c>
      <c r="AO243" s="285">
        <f t="shared" ca="1" si="1189"/>
        <v>1072170.4532219963</v>
      </c>
      <c r="AP243" s="285">
        <f t="shared" ca="1" si="1189"/>
        <v>1292867.1565412653</v>
      </c>
      <c r="AQ243" s="285">
        <f t="shared" ca="1" si="1189"/>
        <v>1732213.6704000018</v>
      </c>
      <c r="AR243" s="285">
        <f t="shared" ca="1" si="1189"/>
        <v>1523064.6445268206</v>
      </c>
      <c r="AS243" s="285">
        <f t="shared" ca="1" si="1189"/>
        <v>1311838.4903128638</v>
      </c>
      <c r="AT243" s="285">
        <f t="shared" ca="1" si="1189"/>
        <v>1318223.9304980249</v>
      </c>
      <c r="AU243" s="285">
        <f t="shared" ca="1" si="1189"/>
        <v>1103867.0434468081</v>
      </c>
      <c r="AV243" s="285">
        <f t="shared" ca="1" si="1189"/>
        <v>1774784.2753571221</v>
      </c>
      <c r="AW243" s="285">
        <f t="shared" ca="1" si="1189"/>
        <v>2229278.9094499978</v>
      </c>
      <c r="AX243" s="285">
        <f t="shared" ca="1" si="1189"/>
        <v>2240130.0372659988</v>
      </c>
      <c r="AY243" s="285">
        <f t="shared" ca="1" si="1189"/>
        <v>1575723.788446734</v>
      </c>
      <c r="AZ243" s="285">
        <f t="shared" ca="1" si="1189"/>
        <v>1130995.5026171519</v>
      </c>
      <c r="BA243" s="285">
        <f t="shared" ca="1" si="1189"/>
        <v>1136500.6804153165</v>
      </c>
      <c r="BB243" s="285">
        <f t="shared" ca="1" si="1189"/>
        <v>1370439.1859337415</v>
      </c>
      <c r="BC243" s="177"/>
      <c r="BD243" s="178">
        <f ca="1">SUM(G243:BC243)</f>
        <v>57961884.348719105</v>
      </c>
    </row>
    <row r="244" spans="1:56" x14ac:dyDescent="0.3">
      <c r="A244" s="175" t="str">
        <f ca="1">Language!A$695</f>
        <v>коэффициент расходов</v>
      </c>
      <c r="B244" s="199"/>
      <c r="C244" s="176" t="s">
        <v>1</v>
      </c>
      <c r="F244" s="170" t="s">
        <v>745</v>
      </c>
      <c r="G244" s="286">
        <f t="shared" ref="G244:BB244" si="1190">IF(G$2&gt;Prj_Invest,1,0)</f>
        <v>0</v>
      </c>
      <c r="H244" s="286">
        <f t="shared" si="1190"/>
        <v>0</v>
      </c>
      <c r="I244" s="286">
        <f t="shared" si="1190"/>
        <v>0</v>
      </c>
      <c r="J244" s="286">
        <f t="shared" si="1190"/>
        <v>0</v>
      </c>
      <c r="K244" s="286">
        <f t="shared" si="1190"/>
        <v>0</v>
      </c>
      <c r="L244" s="286">
        <f t="shared" si="1190"/>
        <v>0</v>
      </c>
      <c r="M244" s="286">
        <f t="shared" si="1190"/>
        <v>1</v>
      </c>
      <c r="N244" s="286">
        <f t="shared" si="1190"/>
        <v>1</v>
      </c>
      <c r="O244" s="286">
        <f t="shared" si="1190"/>
        <v>1</v>
      </c>
      <c r="P244" s="286">
        <f t="shared" si="1190"/>
        <v>1</v>
      </c>
      <c r="Q244" s="286">
        <f t="shared" si="1190"/>
        <v>1</v>
      </c>
      <c r="R244" s="286">
        <f t="shared" si="1190"/>
        <v>1</v>
      </c>
      <c r="S244" s="286">
        <f t="shared" si="1190"/>
        <v>1</v>
      </c>
      <c r="T244" s="286">
        <f t="shared" si="1190"/>
        <v>1</v>
      </c>
      <c r="U244" s="286">
        <f t="shared" si="1190"/>
        <v>1</v>
      </c>
      <c r="V244" s="286">
        <f t="shared" si="1190"/>
        <v>1</v>
      </c>
      <c r="W244" s="286">
        <f t="shared" si="1190"/>
        <v>1</v>
      </c>
      <c r="X244" s="286">
        <f t="shared" si="1190"/>
        <v>1</v>
      </c>
      <c r="Y244" s="286">
        <f t="shared" si="1190"/>
        <v>1</v>
      </c>
      <c r="Z244" s="286">
        <f t="shared" si="1190"/>
        <v>1</v>
      </c>
      <c r="AA244" s="286">
        <f t="shared" si="1190"/>
        <v>1</v>
      </c>
      <c r="AB244" s="286">
        <f t="shared" si="1190"/>
        <v>1</v>
      </c>
      <c r="AC244" s="286">
        <f t="shared" si="1190"/>
        <v>1</v>
      </c>
      <c r="AD244" s="286">
        <f t="shared" si="1190"/>
        <v>1</v>
      </c>
      <c r="AE244" s="286">
        <f t="shared" si="1190"/>
        <v>1</v>
      </c>
      <c r="AF244" s="286">
        <f t="shared" si="1190"/>
        <v>1</v>
      </c>
      <c r="AG244" s="286">
        <f t="shared" si="1190"/>
        <v>1</v>
      </c>
      <c r="AH244" s="286">
        <f t="shared" si="1190"/>
        <v>1</v>
      </c>
      <c r="AI244" s="286">
        <f t="shared" si="1190"/>
        <v>1</v>
      </c>
      <c r="AJ244" s="286">
        <f t="shared" si="1190"/>
        <v>1</v>
      </c>
      <c r="AK244" s="286">
        <f t="shared" si="1190"/>
        <v>1</v>
      </c>
      <c r="AL244" s="286">
        <f t="shared" si="1190"/>
        <v>1</v>
      </c>
      <c r="AM244" s="286">
        <f t="shared" si="1190"/>
        <v>1</v>
      </c>
      <c r="AN244" s="286">
        <f t="shared" si="1190"/>
        <v>1</v>
      </c>
      <c r="AO244" s="286">
        <f t="shared" si="1190"/>
        <v>1</v>
      </c>
      <c r="AP244" s="286">
        <f t="shared" si="1190"/>
        <v>1</v>
      </c>
      <c r="AQ244" s="286">
        <f t="shared" si="1190"/>
        <v>1</v>
      </c>
      <c r="AR244" s="286">
        <f t="shared" si="1190"/>
        <v>1</v>
      </c>
      <c r="AS244" s="286">
        <f t="shared" si="1190"/>
        <v>1</v>
      </c>
      <c r="AT244" s="286">
        <f t="shared" si="1190"/>
        <v>1</v>
      </c>
      <c r="AU244" s="286">
        <f t="shared" si="1190"/>
        <v>1</v>
      </c>
      <c r="AV244" s="286">
        <f t="shared" si="1190"/>
        <v>1</v>
      </c>
      <c r="AW244" s="286">
        <f t="shared" si="1190"/>
        <v>1</v>
      </c>
      <c r="AX244" s="286">
        <f t="shared" si="1190"/>
        <v>1</v>
      </c>
      <c r="AY244" s="286">
        <f t="shared" si="1190"/>
        <v>1</v>
      </c>
      <c r="AZ244" s="286">
        <f t="shared" si="1190"/>
        <v>1</v>
      </c>
      <c r="BA244" s="286">
        <f t="shared" si="1190"/>
        <v>1</v>
      </c>
      <c r="BB244" s="286">
        <f t="shared" si="1190"/>
        <v>1</v>
      </c>
      <c r="BC244" s="177"/>
    </row>
    <row r="245" spans="1:56" collapsed="1" x14ac:dyDescent="0.3">
      <c r="A245" s="175" t="str">
        <f ca="1">Language!A$634</f>
        <v>затраты на проданный товар, без НДС</v>
      </c>
      <c r="B245" s="200"/>
      <c r="C245" s="176" t="str">
        <f t="shared" ref="C245:C246" ca="1" si="1191">CHOOSE(D245,CurName1,CurName2,CurName3)</f>
        <v>руб.</v>
      </c>
      <c r="D245" s="174">
        <f>D242</f>
        <v>1</v>
      </c>
      <c r="E245" s="170" t="s">
        <v>992</v>
      </c>
      <c r="F245" s="170" t="s">
        <v>740</v>
      </c>
      <c r="G245" s="177">
        <f ca="1">G243*G244*(1+G261)*IF($B263=1,PRODUCT($G263:G263),PRODUCT($G262:G262))</f>
        <v>0</v>
      </c>
      <c r="H245" s="177">
        <f ca="1">H243*H244*(1+H261)*IF($B263=1,PRODUCT($G263:H263),PRODUCT($G262:H262))</f>
        <v>0</v>
      </c>
      <c r="I245" s="177">
        <f ca="1">I243*I244*(1+I261)*IF($B263=1,PRODUCT($G263:I263),PRODUCT($G262:I262))</f>
        <v>0</v>
      </c>
      <c r="J245" s="177">
        <f ca="1">J243*J244*(1+J261)*IF($B263=1,PRODUCT($G263:J263),PRODUCT($G262:J262))</f>
        <v>0</v>
      </c>
      <c r="K245" s="177">
        <f ca="1">K243*K244*(1+K261)*IF($B263=1,PRODUCT($G263:K263),PRODUCT($G262:K262))</f>
        <v>0</v>
      </c>
      <c r="L245" s="177">
        <f ca="1">L243*L244*(1+L261)*IF($B263=1,PRODUCT($G263:L263),PRODUCT($G262:L262))</f>
        <v>0</v>
      </c>
      <c r="M245" s="177">
        <f ca="1">M243*M244*(1+M261)*IF($B263=1,PRODUCT($G263:M263),PRODUCT($G262:M262))</f>
        <v>578124.00000000012</v>
      </c>
      <c r="N245" s="177">
        <f ca="1">N243*N244*(1+N261)*IF($B263=1,PRODUCT($G263:N263),PRODUCT($G262:N262))</f>
        <v>778354.39083473536</v>
      </c>
      <c r="O245" s="177">
        <f ca="1">O243*O244*(1+O261)*IF($B263=1,PRODUCT($G263:O263),PRODUCT($G262:O262))</f>
        <v>982437.73891670268</v>
      </c>
      <c r="P245" s="177">
        <f ca="1">P243*P244*(1+P261)*IF($B263=1,PRODUCT($G263:P263),PRODUCT($G262:P262))</f>
        <v>1190430.1759255941</v>
      </c>
      <c r="Q245" s="177">
        <f ca="1">Q243*Q244*(1+Q261)*IF($B263=1,PRODUCT($G263:Q263),PRODUCT($G262:Q262))</f>
        <v>1202047.3389971519</v>
      </c>
      <c r="R245" s="177">
        <f ca="1">R243*R244*(1+R261)*IF($B263=1,PRODUCT($G263:R263),PRODUCT($G262:R262))</f>
        <v>1213777.8715720708</v>
      </c>
      <c r="S245" s="177">
        <f ca="1">S243*S244*(1+S261)*IF($B263=1,PRODUCT($G263:S263),PRODUCT($G262:S262))</f>
        <v>1634163.8400000012</v>
      </c>
      <c r="T245" s="177">
        <f ca="1">T243*T244*(1+T261)*IF($B263=1,PRODUCT($G263:T263),PRODUCT($G262:T262))</f>
        <v>1443847.3949984352</v>
      </c>
      <c r="U245" s="177">
        <f ca="1">U243*U244*(1+U261)*IF($B263=1,PRODUCT($G263:U263),PRODUCT($G262:U262))</f>
        <v>1249660.8039020463</v>
      </c>
      <c r="V245" s="177">
        <f ca="1">V243*V244*(1+V261)*IF($B263=1,PRODUCT($G263:V263),PRODUCT($G262:V262))</f>
        <v>1261855.9864811304</v>
      </c>
      <c r="W245" s="177">
        <f ca="1">W243*W244*(1+W261)*IF($B263=1,PRODUCT($G263:W263),PRODUCT($G262:W262))</f>
        <v>1061808.4827808177</v>
      </c>
      <c r="X245" s="177">
        <f ca="1">X243*X244*(1+X261)*IF($B263=1,PRODUCT($G263:X263),PRODUCT($G262:X262))</f>
        <v>1715472.7251551941</v>
      </c>
      <c r="Y245" s="177">
        <f ca="1">Y243*Y244*(1+Y261)*IF($B263=1,PRODUCT($G263:Y263),PRODUCT($G262:Y262))</f>
        <v>2165267.0880000014</v>
      </c>
      <c r="Z245" s="177">
        <f ca="1">Z243*Z244*(1+Z261)*IF($B263=1,PRODUCT($G263:Z263),PRODUCT($G262:Z262))</f>
        <v>2186397.4838547725</v>
      </c>
      <c r="AA245" s="177">
        <f ca="1">AA243*AA244*(1+AA261)*IF($B263=1,PRODUCT($G263:AA263),PRODUCT($G262:AA262))</f>
        <v>1545413.8608255312</v>
      </c>
      <c r="AB245" s="177">
        <f ca="1">AB243*AB244*(1+AB261)*IF($B263=1,PRODUCT($G263:AB263),PRODUCT($G262:AB262))</f>
        <v>1114639.4547249984</v>
      </c>
      <c r="AC245" s="177">
        <f ca="1">AC243*AC244*(1+AC261)*IF($B263=1,PRODUCT($G263:AC263),PRODUCT($G262:AC262))</f>
        <v>1125516.9917476671</v>
      </c>
      <c r="AD245" s="177">
        <f ca="1">AD243*AD244*(1+AD261)*IF($B263=1,PRODUCT($G263:AD263),PRODUCT($G262:AD262))</f>
        <v>1363800.8164983795</v>
      </c>
      <c r="AE245" s="177">
        <f ca="1">AE243*AE244*(1+AE261)*IF($B263=1,PRODUCT($G263:AE263),PRODUCT($G262:AE262))</f>
        <v>1836146.4906240024</v>
      </c>
      <c r="AF245" s="177">
        <f ca="1">AF243*AF244*(1+AF261)*IF($B263=1,PRODUCT($G263:AF263),PRODUCT($G262:AF262))</f>
        <v>1622306.9330202418</v>
      </c>
      <c r="AG245" s="177">
        <f ca="1">AG243*AG244*(1+AG261)*IF($B263=1,PRODUCT($G263:AG263),PRODUCT($G262:AG262))</f>
        <v>1404118.8792643398</v>
      </c>
      <c r="AH245" s="177">
        <f ca="1">AH243*AH244*(1+AH261)*IF($B263=1,PRODUCT($G263:AH263),PRODUCT($G262:AH262))</f>
        <v>1417821.3864101989</v>
      </c>
      <c r="AI245" s="177">
        <f ca="1">AI243*AI244*(1+AI261)*IF($B263=1,PRODUCT($G263:AI263),PRODUCT($G262:AI262))</f>
        <v>1193048.0112525274</v>
      </c>
      <c r="AJ245" s="177">
        <f ca="1">AJ243*AJ244*(1+AJ261)*IF($B263=1,PRODUCT($G263:AJ263),PRODUCT($G262:AJ262))</f>
        <v>1927505.1539843769</v>
      </c>
      <c r="AK245" s="177">
        <f ca="1">AK243*AK244*(1+AK261)*IF($B263=1,PRODUCT($G263:AK263),PRODUCT($G262:AK262))</f>
        <v>2432894.1000768039</v>
      </c>
      <c r="AL245" s="177">
        <f ca="1">AL243*AL244*(1+AL261)*IF($B263=1,PRODUCT($G263:AL263),PRODUCT($G262:AL262))</f>
        <v>2456636.2128592245</v>
      </c>
      <c r="AM245" s="177">
        <f ca="1">AM243*AM244*(1+AM261)*IF($B263=1,PRODUCT($G263:AM263),PRODUCT($G262:AM262))</f>
        <v>1736427.0140235675</v>
      </c>
      <c r="AN245" s="177">
        <f ca="1">AN243*AN244*(1+AN261)*IF($B263=1,PRODUCT($G263:AN263),PRODUCT($G262:AN262))</f>
        <v>1252408.8913290091</v>
      </c>
      <c r="AO245" s="177">
        <f ca="1">AO243*AO244*(1+AO261)*IF($B263=1,PRODUCT($G263:AO263),PRODUCT($G262:AO262))</f>
        <v>1264630.8919276795</v>
      </c>
      <c r="AP245" s="177">
        <f ca="1">AP243*AP244*(1+AP261)*IF($B263=1,PRODUCT($G263:AP263),PRODUCT($G262:AP262))</f>
        <v>1532366.59741758</v>
      </c>
      <c r="AQ245" s="177">
        <f ca="1">AQ243*AQ244*(1+AQ261)*IF($B263=1,PRODUCT($G263:AQ263),PRODUCT($G262:AQ262))</f>
        <v>2063094.1968651302</v>
      </c>
      <c r="AR245" s="177">
        <f ca="1">AR243*AR244*(1+AR261)*IF($B263=1,PRODUCT($G263:AR263),PRODUCT($G262:AR262))</f>
        <v>1822824.0699415449</v>
      </c>
      <c r="AS245" s="177">
        <f ca="1">AS243*AS244*(1+AS261)*IF($B263=1,PRODUCT($G263:AS263),PRODUCT($G262:AS262))</f>
        <v>1577667.9727414132</v>
      </c>
      <c r="AT245" s="177">
        <f ca="1">AT243*AT244*(1+AT261)*IF($B263=1,PRODUCT($G263:AT263),PRODUCT($G262:AT262))</f>
        <v>1593064.1097705001</v>
      </c>
      <c r="AU245" s="177">
        <f ca="1">AU243*AU244*(1+AU261)*IF($B263=1,PRODUCT($G263:AU263),PRODUCT($G262:AU262))</f>
        <v>1340508.7454433409</v>
      </c>
      <c r="AV245" s="177">
        <f ca="1">AV243*AV244*(1+AV261)*IF($B263=1,PRODUCT($G263:AV263),PRODUCT($G262:AV262))</f>
        <v>2165744.7910168478</v>
      </c>
      <c r="AW245" s="177">
        <f ca="1">AW243*AW244*(1+AW261)*IF($B263=1,PRODUCT($G263:AW263),PRODUCT($G262:AW262))</f>
        <v>2733599.810846298</v>
      </c>
      <c r="AX245" s="177">
        <f ca="1">AX243*AX244*(1+AX261)*IF($B263=1,PRODUCT($G263:AX263),PRODUCT($G262:AX262))</f>
        <v>2760276.4487686264</v>
      </c>
      <c r="AY245" s="177">
        <f ca="1">AY243*AY244*(1+AY261)*IF($B263=1,PRODUCT($G263:AY263),PRODUCT($G262:AY262))</f>
        <v>1951049.3929568811</v>
      </c>
      <c r="AZ245" s="177">
        <f ca="1">AZ243*AZ244*(1+AZ261)*IF($B263=1,PRODUCT($G263:AZ263),PRODUCT($G262:AZ262))</f>
        <v>1407206.6302972755</v>
      </c>
      <c r="BA245" s="177">
        <f ca="1">BA243*BA244*(1+BA261)*IF($B263=1,PRODUCT($G263:BA263),PRODUCT($G262:BA262))</f>
        <v>1420939.2701699412</v>
      </c>
      <c r="BB245" s="177">
        <f ca="1">BB243*BB244*(1+BB261)*IF($B263=1,PRODUCT($G263:BB263),PRODUCT($G262:BB262))</f>
        <v>1721767.1088583935</v>
      </c>
      <c r="BC245" s="177"/>
      <c r="BD245" s="178">
        <f ca="1">SUM(G245:BC245)</f>
        <v>66447069.555080973</v>
      </c>
    </row>
    <row r="246" spans="1:56" hidden="1" outlineLevel="1" x14ac:dyDescent="0.3">
      <c r="A246" s="184" t="str">
        <f ca="1">Language!A$635</f>
        <v>запасы сырья и материалов</v>
      </c>
      <c r="B246" s="200"/>
      <c r="C246" s="163" t="str">
        <f t="shared" ca="1" si="1191"/>
        <v>руб.</v>
      </c>
      <c r="D246" s="174">
        <f>D242</f>
        <v>1</v>
      </c>
      <c r="E246" s="170" t="s">
        <v>1011</v>
      </c>
      <c r="F246" s="170" t="s">
        <v>2350</v>
      </c>
      <c r="G246" s="287">
        <f ca="1">IF(AND($B247=0,G$2&gt;1),F246,G245*$B247/Параметры!G$30)</f>
        <v>0</v>
      </c>
      <c r="H246" s="287">
        <f ca="1">IF(AND($B247=0,H$2&gt;1),G246,H245*$B247/Параметры!H$30)</f>
        <v>0</v>
      </c>
      <c r="I246" s="287">
        <f ca="1">IF(AND($B247=0,I$2&gt;1),H246,I245*$B247/Параметры!I$30)</f>
        <v>0</v>
      </c>
      <c r="J246" s="287">
        <f ca="1">IF(AND($B247=0,J$2&gt;1),I246,J245*$B247/Параметры!J$30)</f>
        <v>0</v>
      </c>
      <c r="K246" s="287">
        <f ca="1">IF(AND($B247=0,K$2&gt;1),J246,K245*$B247/Параметры!K$30)</f>
        <v>0</v>
      </c>
      <c r="L246" s="287">
        <f ca="1">IF(AND($B247=0,L$2&gt;1),K246,L245*$B247/Параметры!L$30)</f>
        <v>0</v>
      </c>
      <c r="M246" s="287">
        <f ca="1">IF(AND($B247=0,M$2&gt;1),L246,M245*$B247/Параметры!M$30)</f>
        <v>289062.00000000006</v>
      </c>
      <c r="N246" s="287">
        <f ca="1">IF(AND($B247=0,N$2&gt;1),M246,N245*$B247/Параметры!N$30)</f>
        <v>389177.19541736768</v>
      </c>
      <c r="O246" s="287">
        <f ca="1">IF(AND($B247=0,O$2&gt;1),N246,O245*$B247/Параметры!O$30)</f>
        <v>491218.86945835134</v>
      </c>
      <c r="P246" s="287">
        <f ca="1">IF(AND($B247=0,P$2&gt;1),O246,P245*$B247/Параметры!P$30)</f>
        <v>595215.08796279703</v>
      </c>
      <c r="Q246" s="287">
        <f ca="1">IF(AND($B247=0,Q$2&gt;1),P246,Q245*$B247/Параметры!Q$30)</f>
        <v>601023.66949857597</v>
      </c>
      <c r="R246" s="287">
        <f ca="1">IF(AND($B247=0,R$2&gt;1),Q246,R245*$B247/Параметры!R$30)</f>
        <v>606888.93578603538</v>
      </c>
      <c r="S246" s="287">
        <f ca="1">IF(AND($B247=0,S$2&gt;1),R246,S245*$B247/Параметры!S$30)</f>
        <v>817081.92000000062</v>
      </c>
      <c r="T246" s="287">
        <f ca="1">IF(AND($B247=0,T$2&gt;1),S246,T245*$B247/Параметры!T$30)</f>
        <v>721923.69749921758</v>
      </c>
      <c r="U246" s="287">
        <f ca="1">IF(AND($B247=0,U$2&gt;1),T246,U245*$B247/Параметры!U$30)</f>
        <v>624830.40195102314</v>
      </c>
      <c r="V246" s="287">
        <f ca="1">IF(AND($B247=0,V$2&gt;1),U246,V245*$B247/Параметры!V$30)</f>
        <v>630927.99324056518</v>
      </c>
      <c r="W246" s="287">
        <f ca="1">IF(AND($B247=0,W$2&gt;1),V246,W245*$B247/Параметры!W$30)</f>
        <v>530904.24139040883</v>
      </c>
      <c r="X246" s="287">
        <f ca="1">IF(AND($B247=0,X$2&gt;1),W246,X245*$B247/Параметры!X$30)</f>
        <v>857736.36257759703</v>
      </c>
      <c r="Y246" s="287">
        <f ca="1">IF(AND($B247=0,Y$2&gt;1),X246,Y245*$B247/Параметры!Y$30)</f>
        <v>1082633.5440000007</v>
      </c>
      <c r="Z246" s="287">
        <f ca="1">IF(AND($B247=0,Z$2&gt;1),Y246,Z245*$B247/Параметры!Z$30)</f>
        <v>1093198.7419273863</v>
      </c>
      <c r="AA246" s="287">
        <f ca="1">IF(AND($B247=0,AA$2&gt;1),Z246,AA245*$B247/Параметры!AA$30)</f>
        <v>772706.93041276559</v>
      </c>
      <c r="AB246" s="287">
        <f ca="1">IF(AND($B247=0,AB$2&gt;1),AA246,AB245*$B247/Параметры!AB$30)</f>
        <v>557319.72736249922</v>
      </c>
      <c r="AC246" s="287">
        <f ca="1">IF(AND($B247=0,AC$2&gt;1),AB246,AC245*$B247/Параметры!AC$30)</f>
        <v>562758.49587383354</v>
      </c>
      <c r="AD246" s="287">
        <f ca="1">IF(AND($B247=0,AD$2&gt;1),AC246,AD245*$B247/Параметры!AD$30)</f>
        <v>681900.40824918973</v>
      </c>
      <c r="AE246" s="287">
        <f ca="1">IF(AND($B247=0,AE$2&gt;1),AD246,AE245*$B247/Параметры!AE$30)</f>
        <v>918073.24531200121</v>
      </c>
      <c r="AF246" s="287">
        <f ca="1">IF(AND($B247=0,AF$2&gt;1),AE246,AF245*$B247/Параметры!AF$30)</f>
        <v>811153.4665101209</v>
      </c>
      <c r="AG246" s="287">
        <f ca="1">IF(AND($B247=0,AG$2&gt;1),AF246,AG245*$B247/Параметры!AG$30)</f>
        <v>702059.4396321699</v>
      </c>
      <c r="AH246" s="287">
        <f ca="1">IF(AND($B247=0,AH$2&gt;1),AG246,AH245*$B247/Параметры!AH$30)</f>
        <v>708910.69320509944</v>
      </c>
      <c r="AI246" s="287">
        <f ca="1">IF(AND($B247=0,AI$2&gt;1),AH246,AI245*$B247/Параметры!AI$30)</f>
        <v>596524.00562626368</v>
      </c>
      <c r="AJ246" s="287">
        <f ca="1">IF(AND($B247=0,AJ$2&gt;1),AI246,AJ245*$B247/Параметры!AJ$30)</f>
        <v>963752.57699218846</v>
      </c>
      <c r="AK246" s="287">
        <f ca="1">IF(AND($B247=0,AK$2&gt;1),AJ246,AK245*$B247/Параметры!AK$30)</f>
        <v>1216447.050038402</v>
      </c>
      <c r="AL246" s="287">
        <f ca="1">IF(AND($B247=0,AL$2&gt;1),AK246,AL245*$B247/Параметры!AL$30)</f>
        <v>1228318.106429612</v>
      </c>
      <c r="AM246" s="287">
        <f ca="1">IF(AND($B247=0,AM$2&gt;1),AL246,AM245*$B247/Параметры!AM$30)</f>
        <v>868213.50701178377</v>
      </c>
      <c r="AN246" s="287">
        <f ca="1">IF(AND($B247=0,AN$2&gt;1),AM246,AN245*$B247/Параметры!AN$30)</f>
        <v>626204.44566450454</v>
      </c>
      <c r="AO246" s="287">
        <f ca="1">IF(AND($B247=0,AO$2&gt;1),AN246,AO245*$B247/Параметры!AO$30)</f>
        <v>632315.44596383977</v>
      </c>
      <c r="AP246" s="287">
        <f ca="1">IF(AND($B247=0,AP$2&gt;1),AO246,AP245*$B247/Параметры!AP$30)</f>
        <v>766183.2987087901</v>
      </c>
      <c r="AQ246" s="287">
        <f ca="1">IF(AND($B247=0,AQ$2&gt;1),AP246,AQ245*$B247/Параметры!AQ$30)</f>
        <v>1031547.0984325651</v>
      </c>
      <c r="AR246" s="287">
        <f ca="1">IF(AND($B247=0,AR$2&gt;1),AQ246,AR245*$B247/Параметры!AR$30)</f>
        <v>911412.03497077257</v>
      </c>
      <c r="AS246" s="287">
        <f ca="1">IF(AND($B247=0,AS$2&gt;1),AR246,AS245*$B247/Параметры!AS$30)</f>
        <v>788833.98637070658</v>
      </c>
      <c r="AT246" s="287">
        <f ca="1">IF(AND($B247=0,AT$2&gt;1),AS246,AT245*$B247/Параметры!AT$30)</f>
        <v>796532.05488525005</v>
      </c>
      <c r="AU246" s="287">
        <f ca="1">IF(AND($B247=0,AU$2&gt;1),AT246,AU245*$B247/Параметры!AU$30)</f>
        <v>670254.37272167043</v>
      </c>
      <c r="AV246" s="287">
        <f ca="1">IF(AND($B247=0,AV$2&gt;1),AU246,AV245*$B247/Параметры!AV$30)</f>
        <v>1082872.3955084239</v>
      </c>
      <c r="AW246" s="287">
        <f ca="1">IF(AND($B247=0,AW$2&gt;1),AV246,AW245*$B247/Параметры!AW$30)</f>
        <v>1366799.905423149</v>
      </c>
      <c r="AX246" s="287">
        <f ca="1">IF(AND($B247=0,AX$2&gt;1),AW246,AX245*$B247/Параметры!AX$30)</f>
        <v>1380138.2243843132</v>
      </c>
      <c r="AY246" s="287">
        <f ca="1">IF(AND($B247=0,AY$2&gt;1),AX246,AY245*$B247/Параметры!AY$30)</f>
        <v>975524.69647844054</v>
      </c>
      <c r="AZ246" s="287">
        <f ca="1">IF(AND($B247=0,AZ$2&gt;1),AY246,AZ245*$B247/Параметры!AZ$30)</f>
        <v>703603.31514863775</v>
      </c>
      <c r="BA246" s="287">
        <f ca="1">IF(AND($B247=0,BA$2&gt;1),AZ246,BA245*$B247/Параметры!BA$30)</f>
        <v>710469.63508497062</v>
      </c>
      <c r="BB246" s="287">
        <f ca="1">IF(AND($B247=0,BB$2&gt;1),BA246,BB245*$B247/Параметры!BB$30)</f>
        <v>860883.55442919687</v>
      </c>
      <c r="BC246" s="201"/>
      <c r="BD246" s="178"/>
    </row>
    <row r="247" spans="1:56" s="170" customFormat="1" hidden="1" outlineLevel="1" x14ac:dyDescent="0.3">
      <c r="A247" s="187" t="str">
        <f ca="1">Language!A$636</f>
        <v>средняя оборачиваемость запасов</v>
      </c>
      <c r="B247" s="288">
        <f>$B$585</f>
        <v>15</v>
      </c>
      <c r="C247" s="163" t="str">
        <f ca="1">Language!$A$1474</f>
        <v>дней</v>
      </c>
      <c r="D247" s="174"/>
      <c r="F247" s="170" t="s">
        <v>2347</v>
      </c>
      <c r="G247" s="185"/>
      <c r="H247" s="185"/>
      <c r="I247" s="185"/>
      <c r="J247" s="185"/>
      <c r="K247" s="185"/>
      <c r="L247" s="185"/>
      <c r="M247" s="185"/>
      <c r="N247" s="185"/>
      <c r="O247" s="185"/>
      <c r="P247" s="185"/>
      <c r="Q247" s="185"/>
      <c r="R247" s="185"/>
      <c r="S247" s="185"/>
      <c r="T247" s="185"/>
      <c r="U247" s="185"/>
      <c r="V247" s="185"/>
      <c r="W247" s="185"/>
      <c r="X247" s="185"/>
      <c r="Y247" s="185"/>
      <c r="Z247" s="185"/>
      <c r="AA247" s="185"/>
      <c r="AB247" s="185"/>
      <c r="AC247" s="185"/>
      <c r="AD247" s="185"/>
      <c r="AE247" s="185"/>
      <c r="AF247" s="185"/>
      <c r="AG247" s="185"/>
      <c r="AH247" s="185"/>
      <c r="AI247" s="185"/>
      <c r="AJ247" s="185"/>
      <c r="AK247" s="185"/>
      <c r="AL247" s="185"/>
      <c r="AM247" s="185"/>
      <c r="AN247" s="185"/>
      <c r="AO247" s="185"/>
      <c r="AP247" s="185"/>
      <c r="AQ247" s="185"/>
      <c r="AR247" s="185"/>
      <c r="AS247" s="185"/>
      <c r="AT247" s="185"/>
      <c r="AU247" s="185"/>
      <c r="AV247" s="185"/>
      <c r="AW247" s="185"/>
      <c r="AX247" s="185"/>
      <c r="AY247" s="185"/>
      <c r="AZ247" s="185"/>
      <c r="BA247" s="185"/>
      <c r="BB247" s="185"/>
      <c r="BC247" s="185"/>
      <c r="BD247" s="193"/>
    </row>
    <row r="248" spans="1:56" hidden="1" outlineLevel="1" x14ac:dyDescent="0.3">
      <c r="A248" s="184" t="str">
        <f ca="1">Language!A$637</f>
        <v>затраты в запасах готовой продукции</v>
      </c>
      <c r="B248" s="174"/>
      <c r="C248" s="163" t="str">
        <f t="shared" ref="C248" ca="1" si="1192">CHOOSE(D248,CurName1,CurName2,CurName3)</f>
        <v>руб.</v>
      </c>
      <c r="D248" s="174">
        <f>D242</f>
        <v>1</v>
      </c>
      <c r="E248" s="170" t="s">
        <v>1012</v>
      </c>
      <c r="F248" s="170" t="s">
        <v>2350</v>
      </c>
      <c r="G248" s="287">
        <f ca="1">IF(AND($B249=0,G$2&gt;1),F248,G245*$B249/Параметры!G$30)</f>
        <v>0</v>
      </c>
      <c r="H248" s="287">
        <f ca="1">IF(AND($B249=0,H$2&gt;1),G248,H245*$B249/Параметры!H$30)</f>
        <v>0</v>
      </c>
      <c r="I248" s="287">
        <f ca="1">IF(AND($B249=0,I$2&gt;1),H248,I245*$B249/Параметры!I$30)</f>
        <v>0</v>
      </c>
      <c r="J248" s="287">
        <f ca="1">IF(AND($B249=0,J$2&gt;1),I248,J245*$B249/Параметры!J$30)</f>
        <v>0</v>
      </c>
      <c r="K248" s="287">
        <f ca="1">IF(AND($B249=0,K$2&gt;1),J248,K245*$B249/Параметры!K$30)</f>
        <v>0</v>
      </c>
      <c r="L248" s="287">
        <f ca="1">IF(AND($B249=0,L$2&gt;1),K248,L245*$B249/Параметры!L$30)</f>
        <v>0</v>
      </c>
      <c r="M248" s="287">
        <f ca="1">IF(AND($B249=0,M$2&gt;1),L248,M245*$B249/Параметры!M$30)</f>
        <v>289062.00000000006</v>
      </c>
      <c r="N248" s="287">
        <f ca="1">IF(AND($B249=0,N$2&gt;1),M248,N245*$B249/Параметры!N$30)</f>
        <v>389177.19541736768</v>
      </c>
      <c r="O248" s="287">
        <f ca="1">IF(AND($B249=0,O$2&gt;1),N248,O245*$B249/Параметры!O$30)</f>
        <v>491218.86945835134</v>
      </c>
      <c r="P248" s="287">
        <f ca="1">IF(AND($B249=0,P$2&gt;1),O248,P245*$B249/Параметры!P$30)</f>
        <v>595215.08796279703</v>
      </c>
      <c r="Q248" s="287">
        <f ca="1">IF(AND($B249=0,Q$2&gt;1),P248,Q245*$B249/Параметры!Q$30)</f>
        <v>601023.66949857597</v>
      </c>
      <c r="R248" s="287">
        <f ca="1">IF(AND($B249=0,R$2&gt;1),Q248,R245*$B249/Параметры!R$30)</f>
        <v>606888.93578603538</v>
      </c>
      <c r="S248" s="287">
        <f ca="1">IF(AND($B249=0,S$2&gt;1),R248,S245*$B249/Параметры!S$30)</f>
        <v>817081.92000000062</v>
      </c>
      <c r="T248" s="287">
        <f ca="1">IF(AND($B249=0,T$2&gt;1),S248,T245*$B249/Параметры!T$30)</f>
        <v>721923.69749921758</v>
      </c>
      <c r="U248" s="287">
        <f ca="1">IF(AND($B249=0,U$2&gt;1),T248,U245*$B249/Параметры!U$30)</f>
        <v>624830.40195102314</v>
      </c>
      <c r="V248" s="287">
        <f ca="1">IF(AND($B249=0,V$2&gt;1),U248,V245*$B249/Параметры!V$30)</f>
        <v>630927.99324056518</v>
      </c>
      <c r="W248" s="287">
        <f ca="1">IF(AND($B249=0,W$2&gt;1),V248,W245*$B249/Параметры!W$30)</f>
        <v>530904.24139040883</v>
      </c>
      <c r="X248" s="287">
        <f ca="1">IF(AND($B249=0,X$2&gt;1),W248,X245*$B249/Параметры!X$30)</f>
        <v>857736.36257759703</v>
      </c>
      <c r="Y248" s="287">
        <f ca="1">IF(AND($B249=0,Y$2&gt;1),X248,Y245*$B249/Параметры!Y$30)</f>
        <v>1082633.5440000007</v>
      </c>
      <c r="Z248" s="287">
        <f ca="1">IF(AND($B249=0,Z$2&gt;1),Y248,Z245*$B249/Параметры!Z$30)</f>
        <v>1093198.7419273863</v>
      </c>
      <c r="AA248" s="287">
        <f ca="1">IF(AND($B249=0,AA$2&gt;1),Z248,AA245*$B249/Параметры!AA$30)</f>
        <v>772706.93041276559</v>
      </c>
      <c r="AB248" s="287">
        <f ca="1">IF(AND($B249=0,AB$2&gt;1),AA248,AB245*$B249/Параметры!AB$30)</f>
        <v>557319.72736249922</v>
      </c>
      <c r="AC248" s="287">
        <f ca="1">IF(AND($B249=0,AC$2&gt;1),AB248,AC245*$B249/Параметры!AC$30)</f>
        <v>562758.49587383354</v>
      </c>
      <c r="AD248" s="287">
        <f ca="1">IF(AND($B249=0,AD$2&gt;1),AC248,AD245*$B249/Параметры!AD$30)</f>
        <v>681900.40824918973</v>
      </c>
      <c r="AE248" s="287">
        <f ca="1">IF(AND($B249=0,AE$2&gt;1),AD248,AE245*$B249/Параметры!AE$30)</f>
        <v>918073.24531200121</v>
      </c>
      <c r="AF248" s="287">
        <f ca="1">IF(AND($B249=0,AF$2&gt;1),AE248,AF245*$B249/Параметры!AF$30)</f>
        <v>811153.4665101209</v>
      </c>
      <c r="AG248" s="287">
        <f ca="1">IF(AND($B249=0,AG$2&gt;1),AF248,AG245*$B249/Параметры!AG$30)</f>
        <v>702059.4396321699</v>
      </c>
      <c r="AH248" s="287">
        <f ca="1">IF(AND($B249=0,AH$2&gt;1),AG248,AH245*$B249/Параметры!AH$30)</f>
        <v>708910.69320509944</v>
      </c>
      <c r="AI248" s="287">
        <f ca="1">IF(AND($B249=0,AI$2&gt;1),AH248,AI245*$B249/Параметры!AI$30)</f>
        <v>596524.00562626368</v>
      </c>
      <c r="AJ248" s="287">
        <f ca="1">IF(AND($B249=0,AJ$2&gt;1),AI248,AJ245*$B249/Параметры!AJ$30)</f>
        <v>963752.57699218846</v>
      </c>
      <c r="AK248" s="287">
        <f ca="1">IF(AND($B249=0,AK$2&gt;1),AJ248,AK245*$B249/Параметры!AK$30)</f>
        <v>1216447.050038402</v>
      </c>
      <c r="AL248" s="287">
        <f ca="1">IF(AND($B249=0,AL$2&gt;1),AK248,AL245*$B249/Параметры!AL$30)</f>
        <v>1228318.106429612</v>
      </c>
      <c r="AM248" s="287">
        <f ca="1">IF(AND($B249=0,AM$2&gt;1),AL248,AM245*$B249/Параметры!AM$30)</f>
        <v>868213.50701178377</v>
      </c>
      <c r="AN248" s="287">
        <f ca="1">IF(AND($B249=0,AN$2&gt;1),AM248,AN245*$B249/Параметры!AN$30)</f>
        <v>626204.44566450454</v>
      </c>
      <c r="AO248" s="287">
        <f ca="1">IF(AND($B249=0,AO$2&gt;1),AN248,AO245*$B249/Параметры!AO$30)</f>
        <v>632315.44596383977</v>
      </c>
      <c r="AP248" s="287">
        <f ca="1">IF(AND($B249=0,AP$2&gt;1),AO248,AP245*$B249/Параметры!AP$30)</f>
        <v>766183.2987087901</v>
      </c>
      <c r="AQ248" s="287">
        <f ca="1">IF(AND($B249=0,AQ$2&gt;1),AP248,AQ245*$B249/Параметры!AQ$30)</f>
        <v>1031547.0984325651</v>
      </c>
      <c r="AR248" s="287">
        <f ca="1">IF(AND($B249=0,AR$2&gt;1),AQ248,AR245*$B249/Параметры!AR$30)</f>
        <v>911412.03497077257</v>
      </c>
      <c r="AS248" s="287">
        <f ca="1">IF(AND($B249=0,AS$2&gt;1),AR248,AS245*$B249/Параметры!AS$30)</f>
        <v>788833.98637070658</v>
      </c>
      <c r="AT248" s="287">
        <f ca="1">IF(AND($B249=0,AT$2&gt;1),AS248,AT245*$B249/Параметры!AT$30)</f>
        <v>796532.05488525005</v>
      </c>
      <c r="AU248" s="287">
        <f ca="1">IF(AND($B249=0,AU$2&gt;1),AT248,AU245*$B249/Параметры!AU$30)</f>
        <v>670254.37272167043</v>
      </c>
      <c r="AV248" s="287">
        <f ca="1">IF(AND($B249=0,AV$2&gt;1),AU248,AV245*$B249/Параметры!AV$30)</f>
        <v>1082872.3955084239</v>
      </c>
      <c r="AW248" s="287">
        <f ca="1">IF(AND($B249=0,AW$2&gt;1),AV248,AW245*$B249/Параметры!AW$30)</f>
        <v>1366799.905423149</v>
      </c>
      <c r="AX248" s="287">
        <f ca="1">IF(AND($B249=0,AX$2&gt;1),AW248,AX245*$B249/Параметры!AX$30)</f>
        <v>1380138.2243843132</v>
      </c>
      <c r="AY248" s="287">
        <f ca="1">IF(AND($B249=0,AY$2&gt;1),AX248,AY245*$B249/Параметры!AY$30)</f>
        <v>975524.69647844054</v>
      </c>
      <c r="AZ248" s="287">
        <f ca="1">IF(AND($B249=0,AZ$2&gt;1),AY248,AZ245*$B249/Параметры!AZ$30)</f>
        <v>703603.31514863775</v>
      </c>
      <c r="BA248" s="287">
        <f ca="1">IF(AND($B249=0,BA$2&gt;1),AZ248,BA245*$B249/Параметры!BA$30)</f>
        <v>710469.63508497062</v>
      </c>
      <c r="BB248" s="287">
        <f ca="1">IF(AND($B249=0,BB$2&gt;1),BA248,BB245*$B249/Параметры!BB$30)</f>
        <v>860883.55442919687</v>
      </c>
      <c r="BC248" s="185"/>
      <c r="BD248" s="193"/>
    </row>
    <row r="249" spans="1:56" s="170" customFormat="1" hidden="1" outlineLevel="1" x14ac:dyDescent="0.3">
      <c r="A249" s="187" t="str">
        <f ca="1">Language!A$638</f>
        <v>средняя оборачиваемость готовой продукции</v>
      </c>
      <c r="B249" s="288">
        <f>$B$597</f>
        <v>15</v>
      </c>
      <c r="C249" s="163" t="str">
        <f ca="1">Language!$A$1474</f>
        <v>дней</v>
      </c>
      <c r="D249" s="174"/>
      <c r="F249" s="170" t="s">
        <v>2347</v>
      </c>
      <c r="G249" s="185"/>
      <c r="H249" s="185"/>
      <c r="I249" s="185"/>
      <c r="J249" s="185"/>
      <c r="K249" s="185"/>
      <c r="L249" s="185"/>
      <c r="M249" s="185"/>
      <c r="N249" s="185"/>
      <c r="O249" s="185"/>
      <c r="P249" s="185"/>
      <c r="Q249" s="185"/>
      <c r="R249" s="185"/>
      <c r="S249" s="185"/>
      <c r="T249" s="185"/>
      <c r="U249" s="185"/>
      <c r="V249" s="185"/>
      <c r="W249" s="185"/>
      <c r="X249" s="185"/>
      <c r="Y249" s="185"/>
      <c r="Z249" s="185"/>
      <c r="AA249" s="185"/>
      <c r="AB249" s="185"/>
      <c r="AC249" s="185"/>
      <c r="AD249" s="185"/>
      <c r="AE249" s="185"/>
      <c r="AF249" s="185"/>
      <c r="AG249" s="185"/>
      <c r="AH249" s="185"/>
      <c r="AI249" s="185"/>
      <c r="AJ249" s="185"/>
      <c r="AK249" s="185"/>
      <c r="AL249" s="185"/>
      <c r="AM249" s="185"/>
      <c r="AN249" s="185"/>
      <c r="AO249" s="185"/>
      <c r="AP249" s="185"/>
      <c r="AQ249" s="185"/>
      <c r="AR249" s="185"/>
      <c r="AS249" s="185"/>
      <c r="AT249" s="185"/>
      <c r="AU249" s="185"/>
      <c r="AV249" s="185"/>
      <c r="AW249" s="185"/>
      <c r="AX249" s="185"/>
      <c r="AY249" s="185"/>
      <c r="AZ249" s="185"/>
      <c r="BA249" s="185"/>
      <c r="BB249" s="185"/>
      <c r="BC249" s="185"/>
      <c r="BD249" s="193"/>
    </row>
    <row r="250" spans="1:56" hidden="1" outlineLevel="1" x14ac:dyDescent="0.3">
      <c r="A250" s="184" t="str">
        <f ca="1">Language!A$639</f>
        <v>затраты в незавершенном производстве</v>
      </c>
      <c r="B250" s="174"/>
      <c r="C250" s="163" t="str">
        <f t="shared" ref="C250" ca="1" si="1193">CHOOSE(D250,CurName1,CurName2,CurName3)</f>
        <v>руб.</v>
      </c>
      <c r="D250" s="174">
        <f>D242</f>
        <v>1</v>
      </c>
      <c r="E250" s="170" t="s">
        <v>754</v>
      </c>
      <c r="F250" s="170" t="s">
        <v>2350</v>
      </c>
      <c r="G250" s="287">
        <f ca="1">IF(AND($B251=0,G$2&gt;1),F250,G245*$B251/Параметры!G$30)</f>
        <v>0</v>
      </c>
      <c r="H250" s="287">
        <f ca="1">IF(AND($B251=0,H$2&gt;1),G250,H245*$B251/Параметры!H$30)</f>
        <v>0</v>
      </c>
      <c r="I250" s="287">
        <f ca="1">IF(AND($B251=0,I$2&gt;1),H250,I245*$B251/Параметры!I$30)</f>
        <v>0</v>
      </c>
      <c r="J250" s="287">
        <f ca="1">IF(AND($B251=0,J$2&gt;1),I250,J245*$B251/Параметры!J$30)</f>
        <v>0</v>
      </c>
      <c r="K250" s="287">
        <f ca="1">IF(AND($B251=0,K$2&gt;1),J250,K245*$B251/Параметры!K$30)</f>
        <v>0</v>
      </c>
      <c r="L250" s="287">
        <f ca="1">IF(AND($B251=0,L$2&gt;1),K250,L245*$B251/Параметры!L$30)</f>
        <v>0</v>
      </c>
      <c r="M250" s="287">
        <f ca="1">IF(AND($B251=0,M$2&gt;1),L250,M245*$B251/Параметры!M$30)</f>
        <v>0</v>
      </c>
      <c r="N250" s="287">
        <f ca="1">IF(AND($B251=0,N$2&gt;1),M250,N245*$B251/Параметры!N$30)</f>
        <v>0</v>
      </c>
      <c r="O250" s="287">
        <f ca="1">IF(AND($B251=0,O$2&gt;1),N250,O245*$B251/Параметры!O$30)</f>
        <v>0</v>
      </c>
      <c r="P250" s="287">
        <f ca="1">IF(AND($B251=0,P$2&gt;1),O250,P245*$B251/Параметры!P$30)</f>
        <v>0</v>
      </c>
      <c r="Q250" s="287">
        <f ca="1">IF(AND($B251=0,Q$2&gt;1),P250,Q245*$B251/Параметры!Q$30)</f>
        <v>0</v>
      </c>
      <c r="R250" s="287">
        <f ca="1">IF(AND($B251=0,R$2&gt;1),Q250,R245*$B251/Параметры!R$30)</f>
        <v>0</v>
      </c>
      <c r="S250" s="287">
        <f ca="1">IF(AND($B251=0,S$2&gt;1),R250,S245*$B251/Параметры!S$30)</f>
        <v>0</v>
      </c>
      <c r="T250" s="287">
        <f ca="1">IF(AND($B251=0,T$2&gt;1),S250,T245*$B251/Параметры!T$30)</f>
        <v>0</v>
      </c>
      <c r="U250" s="287">
        <f ca="1">IF(AND($B251=0,U$2&gt;1),T250,U245*$B251/Параметры!U$30)</f>
        <v>0</v>
      </c>
      <c r="V250" s="287">
        <f ca="1">IF(AND($B251=0,V$2&gt;1),U250,V245*$B251/Параметры!V$30)</f>
        <v>0</v>
      </c>
      <c r="W250" s="287">
        <f ca="1">IF(AND($B251=0,W$2&gt;1),V250,W245*$B251/Параметры!W$30)</f>
        <v>0</v>
      </c>
      <c r="X250" s="287">
        <f ca="1">IF(AND($B251=0,X$2&gt;1),W250,X245*$B251/Параметры!X$30)</f>
        <v>0</v>
      </c>
      <c r="Y250" s="287">
        <f ca="1">IF(AND($B251=0,Y$2&gt;1),X250,Y245*$B251/Параметры!Y$30)</f>
        <v>0</v>
      </c>
      <c r="Z250" s="287">
        <f ca="1">IF(AND($B251=0,Z$2&gt;1),Y250,Z245*$B251/Параметры!Z$30)</f>
        <v>0</v>
      </c>
      <c r="AA250" s="287">
        <f ca="1">IF(AND($B251=0,AA$2&gt;1),Z250,AA245*$B251/Параметры!AA$30)</f>
        <v>0</v>
      </c>
      <c r="AB250" s="287">
        <f ca="1">IF(AND($B251=0,AB$2&gt;1),AA250,AB245*$B251/Параметры!AB$30)</f>
        <v>0</v>
      </c>
      <c r="AC250" s="287">
        <f ca="1">IF(AND($B251=0,AC$2&gt;1),AB250,AC245*$B251/Параметры!AC$30)</f>
        <v>0</v>
      </c>
      <c r="AD250" s="287">
        <f ca="1">IF(AND($B251=0,AD$2&gt;1),AC250,AD245*$B251/Параметры!AD$30)</f>
        <v>0</v>
      </c>
      <c r="AE250" s="287">
        <f ca="1">IF(AND($B251=0,AE$2&gt;1),AD250,AE245*$B251/Параметры!AE$30)</f>
        <v>0</v>
      </c>
      <c r="AF250" s="287">
        <f ca="1">IF(AND($B251=0,AF$2&gt;1),AE250,AF245*$B251/Параметры!AF$30)</f>
        <v>0</v>
      </c>
      <c r="AG250" s="287">
        <f ca="1">IF(AND($B251=0,AG$2&gt;1),AF250,AG245*$B251/Параметры!AG$30)</f>
        <v>0</v>
      </c>
      <c r="AH250" s="287">
        <f ca="1">IF(AND($B251=0,AH$2&gt;1),AG250,AH245*$B251/Параметры!AH$30)</f>
        <v>0</v>
      </c>
      <c r="AI250" s="287">
        <f ca="1">IF(AND($B251=0,AI$2&gt;1),AH250,AI245*$B251/Параметры!AI$30)</f>
        <v>0</v>
      </c>
      <c r="AJ250" s="287">
        <f ca="1">IF(AND($B251=0,AJ$2&gt;1),AI250,AJ245*$B251/Параметры!AJ$30)</f>
        <v>0</v>
      </c>
      <c r="AK250" s="287">
        <f ca="1">IF(AND($B251=0,AK$2&gt;1),AJ250,AK245*$B251/Параметры!AK$30)</f>
        <v>0</v>
      </c>
      <c r="AL250" s="287">
        <f ca="1">IF(AND($B251=0,AL$2&gt;1),AK250,AL245*$B251/Параметры!AL$30)</f>
        <v>0</v>
      </c>
      <c r="AM250" s="287">
        <f ca="1">IF(AND($B251=0,AM$2&gt;1),AL250,AM245*$B251/Параметры!AM$30)</f>
        <v>0</v>
      </c>
      <c r="AN250" s="287">
        <f ca="1">IF(AND($B251=0,AN$2&gt;1),AM250,AN245*$B251/Параметры!AN$30)</f>
        <v>0</v>
      </c>
      <c r="AO250" s="287">
        <f ca="1">IF(AND($B251=0,AO$2&gt;1),AN250,AO245*$B251/Параметры!AO$30)</f>
        <v>0</v>
      </c>
      <c r="AP250" s="287">
        <f ca="1">IF(AND($B251=0,AP$2&gt;1),AO250,AP245*$B251/Параметры!AP$30)</f>
        <v>0</v>
      </c>
      <c r="AQ250" s="287">
        <f ca="1">IF(AND($B251=0,AQ$2&gt;1),AP250,AQ245*$B251/Параметры!AQ$30)</f>
        <v>0</v>
      </c>
      <c r="AR250" s="287">
        <f ca="1">IF(AND($B251=0,AR$2&gt;1),AQ250,AR245*$B251/Параметры!AR$30)</f>
        <v>0</v>
      </c>
      <c r="AS250" s="287">
        <f ca="1">IF(AND($B251=0,AS$2&gt;1),AR250,AS245*$B251/Параметры!AS$30)</f>
        <v>0</v>
      </c>
      <c r="AT250" s="287">
        <f ca="1">IF(AND($B251=0,AT$2&gt;1),AS250,AT245*$B251/Параметры!AT$30)</f>
        <v>0</v>
      </c>
      <c r="AU250" s="287">
        <f ca="1">IF(AND($B251=0,AU$2&gt;1),AT250,AU245*$B251/Параметры!AU$30)</f>
        <v>0</v>
      </c>
      <c r="AV250" s="287">
        <f ca="1">IF(AND($B251=0,AV$2&gt;1),AU250,AV245*$B251/Параметры!AV$30)</f>
        <v>0</v>
      </c>
      <c r="AW250" s="287">
        <f ca="1">IF(AND($B251=0,AW$2&gt;1),AV250,AW245*$B251/Параметры!AW$30)</f>
        <v>0</v>
      </c>
      <c r="AX250" s="287">
        <f ca="1">IF(AND($B251=0,AX$2&gt;1),AW250,AX245*$B251/Параметры!AX$30)</f>
        <v>0</v>
      </c>
      <c r="AY250" s="287">
        <f ca="1">IF(AND($B251=0,AY$2&gt;1),AX250,AY245*$B251/Параметры!AY$30)</f>
        <v>0</v>
      </c>
      <c r="AZ250" s="287">
        <f ca="1">IF(AND($B251=0,AZ$2&gt;1),AY250,AZ245*$B251/Параметры!AZ$30)</f>
        <v>0</v>
      </c>
      <c r="BA250" s="287">
        <f ca="1">IF(AND($B251=0,BA$2&gt;1),AZ250,BA245*$B251/Параметры!BA$30)</f>
        <v>0</v>
      </c>
      <c r="BB250" s="287">
        <f ca="1">IF(AND($B251=0,BB$2&gt;1),BA250,BB245*$B251/Параметры!BB$30)</f>
        <v>0</v>
      </c>
      <c r="BC250" s="185"/>
      <c r="BD250" s="193"/>
    </row>
    <row r="251" spans="1:56" s="170" customFormat="1" hidden="1" outlineLevel="1" x14ac:dyDescent="0.3">
      <c r="A251" s="187" t="str">
        <f ca="1">Language!A$640</f>
        <v>длительность производственного цикла</v>
      </c>
      <c r="B251" s="288">
        <f>$B$591</f>
        <v>0</v>
      </c>
      <c r="C251" s="163" t="str">
        <f ca="1">Language!$A$1474</f>
        <v>дней</v>
      </c>
      <c r="D251" s="174"/>
      <c r="F251" s="170" t="s">
        <v>2347</v>
      </c>
      <c r="G251" s="185"/>
      <c r="H251" s="185"/>
      <c r="I251" s="185"/>
      <c r="J251" s="185"/>
      <c r="K251" s="185"/>
      <c r="L251" s="185"/>
      <c r="M251" s="185"/>
      <c r="N251" s="185"/>
      <c r="O251" s="185"/>
      <c r="P251" s="185"/>
      <c r="Q251" s="185"/>
      <c r="R251" s="185"/>
      <c r="S251" s="185"/>
      <c r="T251" s="185"/>
      <c r="U251" s="185"/>
      <c r="V251" s="185"/>
      <c r="W251" s="185"/>
      <c r="X251" s="185"/>
      <c r="Y251" s="185"/>
      <c r="Z251" s="185"/>
      <c r="AA251" s="185"/>
      <c r="AB251" s="185"/>
      <c r="AC251" s="185"/>
      <c r="AD251" s="185"/>
      <c r="AE251" s="185"/>
      <c r="AF251" s="185"/>
      <c r="AG251" s="185"/>
      <c r="AH251" s="185"/>
      <c r="AI251" s="185"/>
      <c r="AJ251" s="185"/>
      <c r="AK251" s="185"/>
      <c r="AL251" s="185"/>
      <c r="AM251" s="185"/>
      <c r="AN251" s="185"/>
      <c r="AO251" s="185"/>
      <c r="AP251" s="185"/>
      <c r="AQ251" s="185"/>
      <c r="AR251" s="185"/>
      <c r="AS251" s="185"/>
      <c r="AT251" s="185"/>
      <c r="AU251" s="185"/>
      <c r="AV251" s="185"/>
      <c r="AW251" s="185"/>
      <c r="AX251" s="185"/>
      <c r="AY251" s="185"/>
      <c r="AZ251" s="185"/>
      <c r="BA251" s="185"/>
      <c r="BB251" s="185"/>
      <c r="BC251" s="185"/>
      <c r="BD251" s="193"/>
    </row>
    <row r="252" spans="1:56" s="173" customFormat="1" hidden="1" outlineLevel="1" x14ac:dyDescent="0.3">
      <c r="A252" s="181" t="str">
        <f ca="1">Language!A$641</f>
        <v>общий расход за период, без НДС</v>
      </c>
      <c r="B252" s="200"/>
      <c r="C252" s="176" t="str">
        <f t="shared" ref="C252:C253" ca="1" si="1194">CHOOSE(D252,CurName1,CurName2,CurName3)</f>
        <v>руб.</v>
      </c>
      <c r="D252" s="174">
        <f>D242</f>
        <v>1</v>
      </c>
      <c r="E252" s="170" t="s">
        <v>2312</v>
      </c>
      <c r="F252" s="170" t="s">
        <v>740</v>
      </c>
      <c r="G252" s="202">
        <f t="shared" ref="G252" ca="1" si="1195">G245+IF(G$2=1,G246+G248+G250,G246+G248+G250-F246-F248-F250)</f>
        <v>0</v>
      </c>
      <c r="H252" s="202">
        <f t="shared" ref="H252" ca="1" si="1196">H245+IF(H$2=1,H246+H248+H250,H246+H248+H250-G246-G248-G250)</f>
        <v>0</v>
      </c>
      <c r="I252" s="202">
        <f t="shared" ref="I252" ca="1" si="1197">I245+IF(I$2=1,I246+I248+I250,I246+I248+I250-H246-H248-H250)</f>
        <v>0</v>
      </c>
      <c r="J252" s="202">
        <f t="shared" ref="J252" ca="1" si="1198">J245+IF(J$2=1,J246+J248+J250,J246+J248+J250-I246-I248-I250)</f>
        <v>0</v>
      </c>
      <c r="K252" s="202">
        <f t="shared" ref="K252" ca="1" si="1199">K245+IF(K$2=1,K246+K248+K250,K246+K248+K250-J246-J248-J250)</f>
        <v>0</v>
      </c>
      <c r="L252" s="202">
        <f t="shared" ref="L252" ca="1" si="1200">L245+IF(L$2=1,L246+L248+L250,L246+L248+L250-K246-K248-K250)</f>
        <v>0</v>
      </c>
      <c r="M252" s="202">
        <f t="shared" ref="M252" ca="1" si="1201">M245+IF(M$2=1,M246+M248+M250,M246+M248+M250-L246-L248-L250)</f>
        <v>1156248.0000000002</v>
      </c>
      <c r="N252" s="202">
        <f t="shared" ref="N252" ca="1" si="1202">N245+IF(N$2=1,N246+N248+N250,N246+N248+N250-M246-M248-M250)</f>
        <v>978584.7816694706</v>
      </c>
      <c r="O252" s="202">
        <f t="shared" ref="O252" ca="1" si="1203">O245+IF(O$2=1,O246+O248+O250,O246+O248+O250-N246-N248-N250)</f>
        <v>1186521.0869986699</v>
      </c>
      <c r="P252" s="202">
        <f t="shared" ref="P252" ca="1" si="1204">P245+IF(P$2=1,P246+P248+P250,P246+P248+P250-O246-O248-O250)</f>
        <v>1398422.6129344855</v>
      </c>
      <c r="Q252" s="202">
        <f t="shared" ref="Q252" ca="1" si="1205">Q245+IF(Q$2=1,Q246+Q248+Q250,Q246+Q248+Q250-P246-P248-P250)</f>
        <v>1213664.5020687098</v>
      </c>
      <c r="R252" s="202">
        <f t="shared" ref="R252" ca="1" si="1206">R245+IF(R$2=1,R246+R248+R250,R246+R248+R250-Q246-Q248-Q250)</f>
        <v>1225508.4041469896</v>
      </c>
      <c r="S252" s="202">
        <f t="shared" ref="S252" ca="1" si="1207">S245+IF(S$2=1,S246+S248+S250,S246+S248+S250-R246-R248-R250)</f>
        <v>2054549.8084279317</v>
      </c>
      <c r="T252" s="202">
        <f t="shared" ref="T252" ca="1" si="1208">T245+IF(T$2=1,T246+T248+T250,T246+T248+T250-S246-S248-S250)</f>
        <v>1253530.9499968691</v>
      </c>
      <c r="U252" s="202">
        <f t="shared" ref="U252" ca="1" si="1209">U245+IF(U$2=1,U246+U248+U250,U246+U248+U250-T246-T248-T250)</f>
        <v>1055474.2128056574</v>
      </c>
      <c r="V252" s="202">
        <f t="shared" ref="V252" ca="1" si="1210">V245+IF(V$2=1,V246+V248+V250,V246+V248+V250-U246-U248-U250)</f>
        <v>1274051.1690602144</v>
      </c>
      <c r="W252" s="202">
        <f t="shared" ref="W252" ca="1" si="1211">W245+IF(W$2=1,W246+W248+W250,W246+W248+W250-V246-V248-V250)</f>
        <v>861760.97908050497</v>
      </c>
      <c r="X252" s="202">
        <f t="shared" ref="X252" ca="1" si="1212">X245+IF(X$2=1,X246+X248+X250,X246+X248+X250-W246-W248-W250)</f>
        <v>2369136.9675295707</v>
      </c>
      <c r="Y252" s="202">
        <f t="shared" ref="Y252" ca="1" si="1213">Y245+IF(Y$2=1,Y246+Y248+Y250,Y246+Y248+Y250-X246-X248-X250)</f>
        <v>2615061.4508448085</v>
      </c>
      <c r="Z252" s="202">
        <f t="shared" ref="Z252" ca="1" si="1214">Z245+IF(Z$2=1,Z246+Z248+Z250,Z246+Z248+Z250-Y246-Y248-Y250)</f>
        <v>2207527.8797095437</v>
      </c>
      <c r="AA252" s="202">
        <f t="shared" ref="AA252" ca="1" si="1215">AA245+IF(AA$2=1,AA246+AA248+AA250,AA246+AA248+AA250-Z246-Z248-Z250)</f>
        <v>904430.23779628985</v>
      </c>
      <c r="AB252" s="202">
        <f t="shared" ref="AB252" ca="1" si="1216">AB245+IF(AB$2=1,AB246+AB248+AB250,AB246+AB248+AB250-AA246-AA248-AA250)</f>
        <v>683865.04862446571</v>
      </c>
      <c r="AC252" s="202">
        <f t="shared" ref="AC252" ca="1" si="1217">AC245+IF(AC$2=1,AC246+AC248+AC250,AC246+AC248+AC250-AB246-AB248-AB250)</f>
        <v>1136394.5287703357</v>
      </c>
      <c r="AD252" s="202">
        <f t="shared" ref="AD252" ca="1" si="1218">AD245+IF(AD$2=1,AD246+AD248+AD250,AD246+AD248+AD250-AC246-AC248-AC250)</f>
        <v>1602084.6412490918</v>
      </c>
      <c r="AE252" s="202">
        <f t="shared" ref="AE252" ca="1" si="1219">AE245+IF(AE$2=1,AE246+AE248+AE250,AE246+AE248+AE250-AD246-AD248-AD250)</f>
        <v>2308492.1647496251</v>
      </c>
      <c r="AF252" s="202">
        <f t="shared" ref="AF252" ca="1" si="1220">AF245+IF(AF$2=1,AF246+AF248+AF250,AF246+AF248+AF250-AE246-AE248-AE250)</f>
        <v>1408467.3754164812</v>
      </c>
      <c r="AG252" s="202">
        <f t="shared" ref="AG252" ca="1" si="1221">AG245+IF(AG$2=1,AG246+AG248+AG250,AG246+AG248+AG250-AF246-AF248-AF250)</f>
        <v>1185930.8255084378</v>
      </c>
      <c r="AH252" s="202">
        <f t="shared" ref="AH252" ca="1" si="1222">AH245+IF(AH$2=1,AH246+AH248+AH250,AH246+AH248+AH250-AG246-AG248-AG250)</f>
        <v>1431523.8935560579</v>
      </c>
      <c r="AI252" s="202">
        <f t="shared" ref="AI252" ca="1" si="1223">AI245+IF(AI$2=1,AI246+AI248+AI250,AI246+AI248+AI250-AH246-AH248-AH250)</f>
        <v>968274.63609485584</v>
      </c>
      <c r="AJ252" s="202">
        <f t="shared" ref="AJ252" ca="1" si="1224">AJ245+IF(AJ$2=1,AJ246+AJ248+AJ250,AJ246+AJ248+AJ250-AI246-AI248-AI250)</f>
        <v>2661962.2967162263</v>
      </c>
      <c r="AK252" s="202">
        <f t="shared" ref="AK252" ca="1" si="1225">AK245+IF(AK$2=1,AK246+AK248+AK250,AK246+AK248+AK250-AJ246-AJ248-AJ250)</f>
        <v>2938283.0461692307</v>
      </c>
      <c r="AL252" s="202">
        <f t="shared" ref="AL252" ca="1" si="1226">AL245+IF(AL$2=1,AL246+AL248+AL250,AL246+AL248+AL250-AK246-AK248-AK250)</f>
        <v>2480378.3256416447</v>
      </c>
      <c r="AM252" s="202">
        <f t="shared" ref="AM252" ca="1" si="1227">AM245+IF(AM$2=1,AM246+AM248+AM250,AM246+AM248+AM250-AL246-AL248-AL250)</f>
        <v>1016217.815187911</v>
      </c>
      <c r="AN252" s="202">
        <f t="shared" ref="AN252" ca="1" si="1228">AN245+IF(AN$2=1,AN246+AN248+AN250,AN246+AN248+AN250-AM246-AM248-AM250)</f>
        <v>768390.76863445062</v>
      </c>
      <c r="AO252" s="202">
        <f t="shared" ref="AO252" ca="1" si="1229">AO245+IF(AO$2=1,AO246+AO248+AO250,AO246+AO248+AO250-AN246-AN248-AN250)</f>
        <v>1276852.89252635</v>
      </c>
      <c r="AP252" s="202">
        <f t="shared" ref="AP252" ca="1" si="1230">AP245+IF(AP$2=1,AP246+AP248+AP250,AP246+AP248+AP250-AO246-AO248-AO250)</f>
        <v>1800102.3029074806</v>
      </c>
      <c r="AQ252" s="202">
        <f t="shared" ref="AQ252" ca="1" si="1231">AQ245+IF(AQ$2=1,AQ246+AQ248+AQ250,AQ246+AQ248+AQ250-AP246-AP248-AP250)</f>
        <v>2593821.7963126805</v>
      </c>
      <c r="AR252" s="202">
        <f t="shared" ref="AR252" ca="1" si="1232">AR245+IF(AR$2=1,AR246+AR248+AR250,AR246+AR248+AR250-AQ246-AQ248-AQ250)</f>
        <v>1582553.9430179598</v>
      </c>
      <c r="AS252" s="202">
        <f t="shared" ref="AS252" ca="1" si="1233">AS245+IF(AS$2=1,AS246+AS248+AS250,AS246+AS248+AS250-AR246-AR248-AR250)</f>
        <v>1332511.8755412812</v>
      </c>
      <c r="AT252" s="202">
        <f t="shared" ref="AT252" ca="1" si="1234">AT245+IF(AT$2=1,AT246+AT248+AT250,AT246+AT248+AT250-AS246-AS248-AS250)</f>
        <v>1608460.246799587</v>
      </c>
      <c r="AU252" s="202">
        <f t="shared" ref="AU252" ca="1" si="1235">AU245+IF(AU$2=1,AU246+AU248+AU250,AU246+AU248+AU250-AT246-AT248-AT250)</f>
        <v>1087953.3811161816</v>
      </c>
      <c r="AV252" s="202">
        <f t="shared" ref="AV252" ca="1" si="1236">AV245+IF(AV$2=1,AV246+AV248+AV250,AV246+AV248+AV250-AU246-AU248-AU250)</f>
        <v>2990980.8365903548</v>
      </c>
      <c r="AW252" s="202">
        <f t="shared" ref="AW252" ca="1" si="1237">AW245+IF(AW$2=1,AW246+AW248+AW250,AW246+AW248+AW250-AV246-AV248-AV250)</f>
        <v>3301454.8306757482</v>
      </c>
      <c r="AX252" s="202">
        <f t="shared" ref="AX252" ca="1" si="1238">AX245+IF(AX$2=1,AX246+AX248+AX250,AX246+AX248+AX250-AW246-AW248-AW250)</f>
        <v>2786953.0866909549</v>
      </c>
      <c r="AY252" s="202">
        <f t="shared" ref="AY252" ca="1" si="1239">AY245+IF(AY$2=1,AY246+AY248+AY250,AY246+AY248+AY250-AX246-AX248-AX250)</f>
        <v>1141822.3371451357</v>
      </c>
      <c r="AZ252" s="202">
        <f t="shared" ref="AZ252" ca="1" si="1240">AZ245+IF(AZ$2=1,AZ246+AZ248+AZ250,AZ246+AZ248+AZ250-AY246-AY248-AY250)</f>
        <v>863363.8676376699</v>
      </c>
      <c r="BA252" s="202">
        <f t="shared" ref="BA252" ca="1" si="1241">BA245+IF(BA$2=1,BA246+BA248+BA250,BA246+BA248+BA250-AZ246-AZ248-AZ250)</f>
        <v>1434671.910042607</v>
      </c>
      <c r="BB252" s="202">
        <f t="shared" ref="BB252" ca="1" si="1242">BB245+IF(BB$2=1,BB246+BB248+BB250,BB246+BB248+BB250-BA246-BA248-BA250)</f>
        <v>2022594.947546846</v>
      </c>
      <c r="BC252" s="202"/>
      <c r="BD252" s="183">
        <f ca="1">SUM(G252:BC252)</f>
        <v>68168836.663939372</v>
      </c>
    </row>
    <row r="253" spans="1:56" s="173" customFormat="1" hidden="1" outlineLevel="1" x14ac:dyDescent="0.3">
      <c r="A253" s="181" t="str">
        <f ca="1">Language!A$643</f>
        <v>общий расход за период, с НДС</v>
      </c>
      <c r="B253" s="200"/>
      <c r="C253" s="176" t="str">
        <f t="shared" ca="1" si="1194"/>
        <v>руб.</v>
      </c>
      <c r="D253" s="174">
        <f>D242</f>
        <v>1</v>
      </c>
      <c r="E253" s="170" t="s">
        <v>2318</v>
      </c>
      <c r="F253" s="170" t="s">
        <v>740</v>
      </c>
      <c r="G253" s="202">
        <f ca="1">G252+G265</f>
        <v>0</v>
      </c>
      <c r="H253" s="202">
        <f t="shared" ref="H253:BB253" ca="1" si="1243">H252+H265</f>
        <v>0</v>
      </c>
      <c r="I253" s="202">
        <f t="shared" ca="1" si="1243"/>
        <v>0</v>
      </c>
      <c r="J253" s="202">
        <f t="shared" ca="1" si="1243"/>
        <v>0</v>
      </c>
      <c r="K253" s="202">
        <f t="shared" ca="1" si="1243"/>
        <v>0</v>
      </c>
      <c r="L253" s="202">
        <f t="shared" ca="1" si="1243"/>
        <v>0</v>
      </c>
      <c r="M253" s="202">
        <f t="shared" ca="1" si="1243"/>
        <v>1156248.0000000002</v>
      </c>
      <c r="N253" s="202">
        <f t="shared" ca="1" si="1243"/>
        <v>978584.7816694706</v>
      </c>
      <c r="O253" s="202">
        <f t="shared" ca="1" si="1243"/>
        <v>1186521.0869986699</v>
      </c>
      <c r="P253" s="202">
        <f t="shared" ca="1" si="1243"/>
        <v>1398422.6129344855</v>
      </c>
      <c r="Q253" s="202">
        <f t="shared" ca="1" si="1243"/>
        <v>1213664.5020687098</v>
      </c>
      <c r="R253" s="202">
        <f t="shared" ca="1" si="1243"/>
        <v>1225508.4041469896</v>
      </c>
      <c r="S253" s="202">
        <f t="shared" ca="1" si="1243"/>
        <v>2054549.8084279317</v>
      </c>
      <c r="T253" s="202">
        <f t="shared" ca="1" si="1243"/>
        <v>1253530.9499968691</v>
      </c>
      <c r="U253" s="202">
        <f t="shared" ca="1" si="1243"/>
        <v>1055474.2128056574</v>
      </c>
      <c r="V253" s="202">
        <f t="shared" ca="1" si="1243"/>
        <v>1274051.1690602144</v>
      </c>
      <c r="W253" s="202">
        <f t="shared" ca="1" si="1243"/>
        <v>861760.97908050497</v>
      </c>
      <c r="X253" s="202">
        <f t="shared" ca="1" si="1243"/>
        <v>2369136.9675295707</v>
      </c>
      <c r="Y253" s="202">
        <f t="shared" ca="1" si="1243"/>
        <v>2615061.4508448085</v>
      </c>
      <c r="Z253" s="202">
        <f t="shared" ca="1" si="1243"/>
        <v>2207527.8797095437</v>
      </c>
      <c r="AA253" s="202">
        <f t="shared" ca="1" si="1243"/>
        <v>904430.23779628985</v>
      </c>
      <c r="AB253" s="202">
        <f t="shared" ca="1" si="1243"/>
        <v>683865.04862446571</v>
      </c>
      <c r="AC253" s="202">
        <f t="shared" ca="1" si="1243"/>
        <v>1136394.5287703357</v>
      </c>
      <c r="AD253" s="202">
        <f t="shared" ca="1" si="1243"/>
        <v>1602084.6412490918</v>
      </c>
      <c r="AE253" s="202">
        <f t="shared" ca="1" si="1243"/>
        <v>2308492.1647496251</v>
      </c>
      <c r="AF253" s="202">
        <f t="shared" ca="1" si="1243"/>
        <v>1408467.3754164812</v>
      </c>
      <c r="AG253" s="202">
        <f t="shared" ca="1" si="1243"/>
        <v>1185930.8255084378</v>
      </c>
      <c r="AH253" s="202">
        <f t="shared" ca="1" si="1243"/>
        <v>1431523.8935560579</v>
      </c>
      <c r="AI253" s="202">
        <f t="shared" ca="1" si="1243"/>
        <v>968274.63609485584</v>
      </c>
      <c r="AJ253" s="202">
        <f t="shared" ca="1" si="1243"/>
        <v>2661962.2967162263</v>
      </c>
      <c r="AK253" s="202">
        <f t="shared" ca="1" si="1243"/>
        <v>2938283.0461692307</v>
      </c>
      <c r="AL253" s="202">
        <f t="shared" ca="1" si="1243"/>
        <v>2480378.3256416447</v>
      </c>
      <c r="AM253" s="202">
        <f t="shared" ca="1" si="1243"/>
        <v>1016217.815187911</v>
      </c>
      <c r="AN253" s="202">
        <f t="shared" ca="1" si="1243"/>
        <v>768390.76863445062</v>
      </c>
      <c r="AO253" s="202">
        <f t="shared" ca="1" si="1243"/>
        <v>1276852.89252635</v>
      </c>
      <c r="AP253" s="202">
        <f t="shared" ca="1" si="1243"/>
        <v>1800102.3029074806</v>
      </c>
      <c r="AQ253" s="202">
        <f t="shared" ca="1" si="1243"/>
        <v>2593821.7963126805</v>
      </c>
      <c r="AR253" s="202">
        <f t="shared" ca="1" si="1243"/>
        <v>1582553.9430179598</v>
      </c>
      <c r="AS253" s="202">
        <f t="shared" ca="1" si="1243"/>
        <v>1332511.8755412812</v>
      </c>
      <c r="AT253" s="202">
        <f t="shared" ca="1" si="1243"/>
        <v>1608460.246799587</v>
      </c>
      <c r="AU253" s="202">
        <f t="shared" ca="1" si="1243"/>
        <v>1087953.3811161816</v>
      </c>
      <c r="AV253" s="202">
        <f t="shared" ca="1" si="1243"/>
        <v>2990980.8365903548</v>
      </c>
      <c r="AW253" s="202">
        <f t="shared" ca="1" si="1243"/>
        <v>3301454.8306757482</v>
      </c>
      <c r="AX253" s="202">
        <f t="shared" ca="1" si="1243"/>
        <v>2786953.0866909549</v>
      </c>
      <c r="AY253" s="202">
        <f t="shared" ca="1" si="1243"/>
        <v>1141822.3371451357</v>
      </c>
      <c r="AZ253" s="202">
        <f t="shared" ca="1" si="1243"/>
        <v>863363.8676376699</v>
      </c>
      <c r="BA253" s="202">
        <f t="shared" ca="1" si="1243"/>
        <v>1434671.910042607</v>
      </c>
      <c r="BB253" s="202">
        <f t="shared" ca="1" si="1243"/>
        <v>2022594.947546846</v>
      </c>
      <c r="BC253" s="202"/>
      <c r="BD253" s="183">
        <f ca="1">SUM(G253:BC253)</f>
        <v>68168836.663939372</v>
      </c>
    </row>
    <row r="254" spans="1:56" hidden="1" outlineLevel="1" x14ac:dyDescent="0.3">
      <c r="A254" s="184" t="str">
        <f ca="1">Language!A$645</f>
        <v>кредиторская задолженность</v>
      </c>
      <c r="B254" s="174"/>
      <c r="C254" s="163" t="str">
        <f ca="1">CHOOSE(D254,CurName1,CurName2,CurName3)</f>
        <v>руб.</v>
      </c>
      <c r="D254" s="174">
        <f>D242</f>
        <v>1</v>
      </c>
      <c r="E254" s="170" t="s">
        <v>1013</v>
      </c>
      <c r="F254" s="170" t="s">
        <v>2350</v>
      </c>
      <c r="G254" s="289">
        <f ca="1">IF(AND($B255=0,G$2&gt;1),F254,(IF(Старт!$B$9+Старт!$B$10+Старт!$B$11=0,G252,G245)+G265)*$B255/Параметры!G$30)</f>
        <v>0</v>
      </c>
      <c r="H254" s="289">
        <f ca="1">IF(AND($B255=0,H$2&gt;1),G254,(IF(Старт!$B$9+Старт!$B$10+Старт!$B$11=0,H252,H245)+H265)*$B255/Параметры!H$30)</f>
        <v>0</v>
      </c>
      <c r="I254" s="289">
        <f ca="1">IF(AND($B255=0,I$2&gt;1),H254,(IF(Старт!$B$9+Старт!$B$10+Старт!$B$11=0,I252,I245)+I265)*$B255/Параметры!I$30)</f>
        <v>0</v>
      </c>
      <c r="J254" s="289">
        <f ca="1">IF(AND($B255=0,J$2&gt;1),I254,(IF(Старт!$B$9+Старт!$B$10+Старт!$B$11=0,J252,J245)+J265)*$B255/Параметры!J$30)</f>
        <v>0</v>
      </c>
      <c r="K254" s="289">
        <f ca="1">IF(AND($B255=0,K$2&gt;1),J254,(IF(Старт!$B$9+Старт!$B$10+Старт!$B$11=0,K252,K245)+K265)*$B255/Параметры!K$30)</f>
        <v>0</v>
      </c>
      <c r="L254" s="289">
        <f ca="1">IF(AND($B255=0,L$2&gt;1),K254,(IF(Старт!$B$9+Старт!$B$10+Старт!$B$11=0,L252,L245)+L265)*$B255/Параметры!L$30)</f>
        <v>0</v>
      </c>
      <c r="M254" s="289">
        <f ca="1">IF(AND($B255=0,M$2&gt;1),L254,(IF(Старт!$B$9+Старт!$B$10+Старт!$B$11=0,M252,M245)+M265)*$B255/Параметры!M$30)</f>
        <v>385416.00000000006</v>
      </c>
      <c r="N254" s="289">
        <f ca="1">IF(AND($B255=0,N$2&gt;1),M254,(IF(Старт!$B$9+Старт!$B$10+Старт!$B$11=0,N252,N245)+N265)*$B255/Параметры!N$30)</f>
        <v>326194.9272231569</v>
      </c>
      <c r="O254" s="289">
        <f ca="1">IF(AND($B255=0,O$2&gt;1),N254,(IF(Старт!$B$9+Старт!$B$10+Старт!$B$11=0,O252,O245)+O265)*$B255/Параметры!O$30)</f>
        <v>395507.02899955661</v>
      </c>
      <c r="P254" s="289">
        <f ca="1">IF(AND($B255=0,P$2&gt;1),O254,(IF(Старт!$B$9+Старт!$B$10+Старт!$B$11=0,P252,P245)+P265)*$B255/Параметры!P$30)</f>
        <v>466140.87097816181</v>
      </c>
      <c r="Q254" s="289">
        <f ca="1">IF(AND($B255=0,Q$2&gt;1),P254,(IF(Старт!$B$9+Старт!$B$10+Старт!$B$11=0,Q252,Q245)+Q265)*$B255/Параметры!Q$30)</f>
        <v>404554.83402290323</v>
      </c>
      <c r="R254" s="289">
        <f ca="1">IF(AND($B255=0,R$2&gt;1),Q254,(IF(Старт!$B$9+Старт!$B$10+Старт!$B$11=0,R252,R245)+R265)*$B255/Параметры!R$30)</f>
        <v>408502.8013823299</v>
      </c>
      <c r="S254" s="289">
        <f ca="1">IF(AND($B255=0,S$2&gt;1),R254,(IF(Старт!$B$9+Старт!$B$10+Старт!$B$11=0,S252,S245)+S265)*$B255/Параметры!S$30)</f>
        <v>684849.93614264391</v>
      </c>
      <c r="T254" s="289">
        <f ca="1">IF(AND($B255=0,T$2&gt;1),S254,(IF(Старт!$B$9+Старт!$B$10+Старт!$B$11=0,T252,T245)+T265)*$B255/Параметры!T$30)</f>
        <v>417843.64999895636</v>
      </c>
      <c r="U254" s="289">
        <f ca="1">IF(AND($B255=0,U$2&gt;1),T254,(IF(Старт!$B$9+Старт!$B$10+Старт!$B$11=0,U252,U245)+U265)*$B255/Параметры!U$30)</f>
        <v>351824.7376018858</v>
      </c>
      <c r="V254" s="289">
        <f ca="1">IF(AND($B255=0,V$2&gt;1),U254,(IF(Старт!$B$9+Старт!$B$10+Старт!$B$11=0,V252,V245)+V265)*$B255/Параметры!V$30)</f>
        <v>424683.72302007145</v>
      </c>
      <c r="W254" s="289">
        <f ca="1">IF(AND($B255=0,W$2&gt;1),V254,(IF(Старт!$B$9+Старт!$B$10+Старт!$B$11=0,W252,W245)+W265)*$B255/Параметры!W$30)</f>
        <v>287253.65969350166</v>
      </c>
      <c r="X254" s="289">
        <f ca="1">IF(AND($B255=0,X$2&gt;1),W254,(IF(Старт!$B$9+Старт!$B$10+Старт!$B$11=0,X252,X245)+X265)*$B255/Параметры!X$30)</f>
        <v>789712.32250985689</v>
      </c>
      <c r="Y254" s="289">
        <f ca="1">IF(AND($B255=0,Y$2&gt;1),X254,(IF(Старт!$B$9+Старт!$B$10+Старт!$B$11=0,Y252,Y245)+Y265)*$B255/Параметры!Y$30)</f>
        <v>871687.15028160287</v>
      </c>
      <c r="Z254" s="289">
        <f ca="1">IF(AND($B255=0,Z$2&gt;1),Y254,(IF(Старт!$B$9+Старт!$B$10+Старт!$B$11=0,Z252,Z245)+Z265)*$B255/Параметры!Z$30)</f>
        <v>735842.62656984793</v>
      </c>
      <c r="AA254" s="289">
        <f ca="1">IF(AND($B255=0,AA$2&gt;1),Z254,(IF(Старт!$B$9+Старт!$B$10+Старт!$B$11=0,AA252,AA245)+AA265)*$B255/Параметры!AA$30)</f>
        <v>301476.74593209662</v>
      </c>
      <c r="AB254" s="289">
        <f ca="1">IF(AND($B255=0,AB$2&gt;1),AA254,(IF(Старт!$B$9+Старт!$B$10+Старт!$B$11=0,AB252,AB245)+AB265)*$B255/Параметры!AB$30)</f>
        <v>227955.01620815523</v>
      </c>
      <c r="AC254" s="289">
        <f ca="1">IF(AND($B255=0,AC$2&gt;1),AB254,(IF(Старт!$B$9+Старт!$B$10+Старт!$B$11=0,AC252,AC245)+AC265)*$B255/Параметры!AC$30)</f>
        <v>378798.17625677859</v>
      </c>
      <c r="AD254" s="289">
        <f ca="1">IF(AND($B255=0,AD$2&gt;1),AC254,(IF(Старт!$B$9+Старт!$B$10+Старт!$B$11=0,AD252,AD245)+AD265)*$B255/Параметры!AD$30)</f>
        <v>534028.21374969732</v>
      </c>
      <c r="AE254" s="289">
        <f ca="1">IF(AND($B255=0,AE$2&gt;1),AD254,(IF(Старт!$B$9+Старт!$B$10+Старт!$B$11=0,AE252,AE245)+AE265)*$B255/Параметры!AE$30)</f>
        <v>769497.38824987516</v>
      </c>
      <c r="AF254" s="289">
        <f ca="1">IF(AND($B255=0,AF$2&gt;1),AE254,(IF(Старт!$B$9+Старт!$B$10+Старт!$B$11=0,AF252,AF245)+AF265)*$B255/Параметры!AF$30)</f>
        <v>469489.12513882702</v>
      </c>
      <c r="AG254" s="289">
        <f ca="1">IF(AND($B255=0,AG$2&gt;1),AF254,(IF(Старт!$B$9+Старт!$B$10+Старт!$B$11=0,AG252,AG245)+AG265)*$B255/Параметры!AG$30)</f>
        <v>395310.27516947931</v>
      </c>
      <c r="AH254" s="289">
        <f ca="1">IF(AND($B255=0,AH$2&gt;1),AG254,(IF(Старт!$B$9+Старт!$B$10+Старт!$B$11=0,AH252,AH245)+AH265)*$B255/Параметры!AH$30)</f>
        <v>477174.63118535269</v>
      </c>
      <c r="AI254" s="289">
        <f ca="1">IF(AND($B255=0,AI$2&gt;1),AH254,(IF(Старт!$B$9+Старт!$B$10+Старт!$B$11=0,AI252,AI245)+AI265)*$B255/Параметры!AI$30)</f>
        <v>322758.21203161863</v>
      </c>
      <c r="AJ254" s="289">
        <f ca="1">IF(AND($B255=0,AJ$2&gt;1),AI254,(IF(Старт!$B$9+Старт!$B$10+Старт!$B$11=0,AJ252,AJ245)+AJ265)*$B255/Параметры!AJ$30)</f>
        <v>887320.76557207538</v>
      </c>
      <c r="AK254" s="289">
        <f ca="1">IF(AND($B255=0,AK$2&gt;1),AJ254,(IF(Старт!$B$9+Старт!$B$10+Старт!$B$11=0,AK252,AK245)+AK265)*$B255/Параметры!AK$30)</f>
        <v>979427.68205641024</v>
      </c>
      <c r="AL254" s="289">
        <f ca="1">IF(AND($B255=0,AL$2&gt;1),AK254,(IF(Старт!$B$9+Старт!$B$10+Старт!$B$11=0,AL252,AL245)+AL265)*$B255/Параметры!AL$30)</f>
        <v>826792.77521388163</v>
      </c>
      <c r="AM254" s="289">
        <f ca="1">IF(AND($B255=0,AM$2&gt;1),AL254,(IF(Старт!$B$9+Старт!$B$10+Старт!$B$11=0,AM252,AM245)+AM265)*$B255/Параметры!AM$30)</f>
        <v>338739.27172930364</v>
      </c>
      <c r="AN254" s="289">
        <f ca="1">IF(AND($B255=0,AN$2&gt;1),AM254,(IF(Старт!$B$9+Старт!$B$10+Старт!$B$11=0,AN252,AN245)+AN265)*$B255/Параметры!AN$30)</f>
        <v>256130.25621148353</v>
      </c>
      <c r="AO254" s="289">
        <f ca="1">IF(AND($B255=0,AO$2&gt;1),AN254,(IF(Старт!$B$9+Старт!$B$10+Старт!$B$11=0,AO252,AO245)+AO265)*$B255/Параметры!AO$30)</f>
        <v>425617.63084211666</v>
      </c>
      <c r="AP254" s="289">
        <f ca="1">IF(AND($B255=0,AP$2&gt;1),AO254,(IF(Старт!$B$9+Старт!$B$10+Старт!$B$11=0,AP252,AP245)+AP265)*$B255/Параметры!AP$30)</f>
        <v>600034.10096916021</v>
      </c>
      <c r="AQ254" s="289">
        <f ca="1">IF(AND($B255=0,AQ$2&gt;1),AP254,(IF(Старт!$B$9+Старт!$B$10+Старт!$B$11=0,AQ252,AQ245)+AQ265)*$B255/Параметры!AQ$30)</f>
        <v>864607.26543756016</v>
      </c>
      <c r="AR254" s="289">
        <f ca="1">IF(AND($B255=0,AR$2&gt;1),AQ254,(IF(Старт!$B$9+Старт!$B$10+Старт!$B$11=0,AR252,AR245)+AR265)*$B255/Параметры!AR$30)</f>
        <v>527517.98100598657</v>
      </c>
      <c r="AS254" s="289">
        <f ca="1">IF(AND($B255=0,AS$2&gt;1),AR254,(IF(Старт!$B$9+Старт!$B$10+Старт!$B$11=0,AS252,AS245)+AS265)*$B255/Параметры!AS$30)</f>
        <v>444170.62518042704</v>
      </c>
      <c r="AT254" s="289">
        <f ca="1">IF(AND($B255=0,AT$2&gt;1),AS254,(IF(Старт!$B$9+Старт!$B$10+Старт!$B$11=0,AT252,AT245)+AT265)*$B255/Параметры!AT$30)</f>
        <v>536153.41559986235</v>
      </c>
      <c r="AU254" s="289">
        <f ca="1">IF(AND($B255=0,AU$2&gt;1),AT254,(IF(Старт!$B$9+Старт!$B$10+Старт!$B$11=0,AU252,AU245)+AU265)*$B255/Параметры!AU$30)</f>
        <v>362651.12703872722</v>
      </c>
      <c r="AV254" s="289">
        <f ca="1">IF(AND($B255=0,AV$2&gt;1),AU254,(IF(Старт!$B$9+Старт!$B$10+Старт!$B$11=0,AV252,AV245)+AV265)*$B255/Параметры!AV$30)</f>
        <v>996993.61219678493</v>
      </c>
      <c r="AW254" s="289">
        <f ca="1">IF(AND($B255=0,AW$2&gt;1),AV254,(IF(Старт!$B$9+Старт!$B$10+Старт!$B$11=0,AW252,AW245)+AW265)*$B255/Параметры!AW$30)</f>
        <v>1100484.9435585826</v>
      </c>
      <c r="AX254" s="289">
        <f ca="1">IF(AND($B255=0,AX$2&gt;1),AW254,(IF(Старт!$B$9+Старт!$B$10+Старт!$B$11=0,AX252,AX245)+AX265)*$B255/Параметры!AX$30)</f>
        <v>928984.36223031825</v>
      </c>
      <c r="AY254" s="289">
        <f ca="1">IF(AND($B255=0,AY$2&gt;1),AX254,(IF(Старт!$B$9+Старт!$B$10+Старт!$B$11=0,AY252,AY245)+AY265)*$B255/Параметры!AY$30)</f>
        <v>380607.44571504527</v>
      </c>
      <c r="AZ254" s="289">
        <f ca="1">IF(AND($B255=0,AZ$2&gt;1),AY254,(IF(Старт!$B$9+Старт!$B$10+Старт!$B$11=0,AZ252,AZ245)+AZ265)*$B255/Параметры!AZ$30)</f>
        <v>287787.9558792233</v>
      </c>
      <c r="BA254" s="289">
        <f ca="1">IF(AND($B255=0,BA$2&gt;1),AZ254,(IF(Старт!$B$9+Старт!$B$10+Старт!$B$11=0,BA252,BA245)+BA265)*$B255/Параметры!BA$30)</f>
        <v>478223.97001420235</v>
      </c>
      <c r="BB254" s="289">
        <f ca="1">IF(AND($B255=0,BB$2&gt;1),BA254,(IF(Старт!$B$9+Старт!$B$10+Старт!$B$11=0,BB252,BB245)+BB265)*$B255/Параметры!BB$30)</f>
        <v>674198.31584894867</v>
      </c>
      <c r="BC254" s="188"/>
      <c r="BD254" s="186"/>
    </row>
    <row r="255" spans="1:56" s="170" customFormat="1" hidden="1" outlineLevel="1" x14ac:dyDescent="0.3">
      <c r="A255" s="187" t="str">
        <f ca="1">Language!A$646</f>
        <v>период отсрочки платежа</v>
      </c>
      <c r="B255" s="288">
        <f>$B$603</f>
        <v>10</v>
      </c>
      <c r="C255" s="163" t="str">
        <f ca="1">Language!$A$1474</f>
        <v>дней</v>
      </c>
      <c r="F255" s="170" t="s">
        <v>2347</v>
      </c>
      <c r="G255" s="185"/>
      <c r="H255" s="185"/>
      <c r="I255" s="185"/>
      <c r="J255" s="185"/>
      <c r="K255" s="185"/>
      <c r="L255" s="185"/>
      <c r="M255" s="185"/>
      <c r="N255" s="185"/>
      <c r="O255" s="185"/>
      <c r="P255" s="185"/>
      <c r="Q255" s="185"/>
      <c r="R255" s="185"/>
      <c r="S255" s="185"/>
      <c r="T255" s="185"/>
      <c r="U255" s="185"/>
      <c r="V255" s="185"/>
      <c r="W255" s="185"/>
      <c r="X255" s="185"/>
      <c r="Y255" s="185"/>
      <c r="Z255" s="185"/>
      <c r="AA255" s="185"/>
      <c r="AB255" s="185"/>
      <c r="AC255" s="185"/>
      <c r="AD255" s="185"/>
      <c r="AE255" s="185"/>
      <c r="AF255" s="185"/>
      <c r="AG255" s="185"/>
      <c r="AH255" s="185"/>
      <c r="AI255" s="185"/>
      <c r="AJ255" s="185"/>
      <c r="AK255" s="185"/>
      <c r="AL255" s="185"/>
      <c r="AM255" s="185"/>
      <c r="AN255" s="185"/>
      <c r="AO255" s="185"/>
      <c r="AP255" s="185"/>
      <c r="AQ255" s="185"/>
      <c r="AR255" s="185"/>
      <c r="AS255" s="185"/>
      <c r="AT255" s="185"/>
      <c r="AU255" s="185"/>
      <c r="AV255" s="185"/>
      <c r="AW255" s="185"/>
      <c r="AX255" s="185"/>
      <c r="AY255" s="185"/>
      <c r="AZ255" s="185"/>
      <c r="BA255" s="185"/>
      <c r="BB255" s="185"/>
      <c r="BC255" s="185"/>
      <c r="BD255" s="186"/>
    </row>
    <row r="256" spans="1:56" hidden="1" outlineLevel="1" x14ac:dyDescent="0.3">
      <c r="A256" s="184" t="str">
        <f ca="1">Language!A$647</f>
        <v>авансы уплаченные</v>
      </c>
      <c r="B256" s="174"/>
      <c r="C256" s="163" t="str">
        <f ca="1">CHOOSE(D256,CurName1,CurName2,CurName3)</f>
        <v>руб.</v>
      </c>
      <c r="D256" s="174">
        <f>D242</f>
        <v>1</v>
      </c>
      <c r="E256" s="170" t="s">
        <v>995</v>
      </c>
      <c r="F256" s="170" t="s">
        <v>2350</v>
      </c>
      <c r="G256" s="289">
        <f ca="1">IF(OR(AND($B257=0,G$2&gt;1),G$2=Prj_Len),F256,(IF(Старт!$B$9+Старт!$B$10+Старт!$B$11=0,OFFSET(G252,0,1),OFFSET(G245,0,1))+OFFSET(G265,0,1))*$B257/Параметры!G$30)</f>
        <v>0</v>
      </c>
      <c r="H256" s="289">
        <f ca="1">IF(OR(AND($B257=0,H$2&gt;1),H$2=Prj_Len),G256,(IF(Старт!$B$9+Старт!$B$10+Старт!$B$11=0,OFFSET(H252,0,1),OFFSET(H245,0,1))+OFFSET(H265,0,1))*$B257/Параметры!H$30)</f>
        <v>0</v>
      </c>
      <c r="I256" s="289">
        <f ca="1">IF(OR(AND($B257=0,I$2&gt;1),I$2=Prj_Len),H256,(IF(Старт!$B$9+Старт!$B$10+Старт!$B$11=0,OFFSET(I252,0,1),OFFSET(I245,0,1))+OFFSET(I265,0,1))*$B257/Параметры!I$30)</f>
        <v>0</v>
      </c>
      <c r="J256" s="289">
        <f ca="1">IF(OR(AND($B257=0,J$2&gt;1),J$2=Prj_Len),I256,(IF(Старт!$B$9+Старт!$B$10+Старт!$B$11=0,OFFSET(J252,0,1),OFFSET(J245,0,1))+OFFSET(J265,0,1))*$B257/Параметры!J$30)</f>
        <v>0</v>
      </c>
      <c r="K256" s="289">
        <f ca="1">IF(OR(AND($B257=0,K$2&gt;1),K$2=Prj_Len),J256,(IF(Старт!$B$9+Старт!$B$10+Старт!$B$11=0,OFFSET(K252,0,1),OFFSET(K245,0,1))+OFFSET(K265,0,1))*$B257/Параметры!K$30)</f>
        <v>0</v>
      </c>
      <c r="L256" s="289">
        <f ca="1">IF(OR(AND($B257=0,L$2&gt;1),L$2=Prj_Len),K256,(IF(Старт!$B$9+Старт!$B$10+Старт!$B$11=0,OFFSET(L252,0,1),OFFSET(L245,0,1))+OFFSET(L265,0,1))*$B257/Параметры!L$30)</f>
        <v>385416.00000000006</v>
      </c>
      <c r="M256" s="289">
        <f ca="1">IF(OR(AND($B257=0,M$2&gt;1),M$2=Prj_Len),L256,(IF(Старт!$B$9+Старт!$B$10+Старт!$B$11=0,OFFSET(M252,0,1),OFFSET(M245,0,1))+OFFSET(M265,0,1))*$B257/Параметры!M$30)</f>
        <v>326194.9272231569</v>
      </c>
      <c r="N256" s="289">
        <f ca="1">IF(OR(AND($B257=0,N$2&gt;1),N$2=Prj_Len),M256,(IF(Старт!$B$9+Старт!$B$10+Старт!$B$11=0,OFFSET(N252,0,1),OFFSET(N245,0,1))+OFFSET(N265,0,1))*$B257/Параметры!N$30)</f>
        <v>395507.02899955661</v>
      </c>
      <c r="O256" s="289">
        <f ca="1">IF(OR(AND($B257=0,O$2&gt;1),O$2=Prj_Len),N256,(IF(Старт!$B$9+Старт!$B$10+Старт!$B$11=0,OFFSET(O252,0,1),OFFSET(O245,0,1))+OFFSET(O265,0,1))*$B257/Параметры!O$30)</f>
        <v>466140.87097816181</v>
      </c>
      <c r="P256" s="289">
        <f ca="1">IF(OR(AND($B257=0,P$2&gt;1),P$2=Prj_Len),O256,(IF(Старт!$B$9+Старт!$B$10+Старт!$B$11=0,OFFSET(P252,0,1),OFFSET(P245,0,1))+OFFSET(P265,0,1))*$B257/Параметры!P$30)</f>
        <v>404554.83402290323</v>
      </c>
      <c r="Q256" s="289">
        <f ca="1">IF(OR(AND($B257=0,Q$2&gt;1),Q$2=Prj_Len),P256,(IF(Старт!$B$9+Старт!$B$10+Старт!$B$11=0,OFFSET(Q252,0,1),OFFSET(Q245,0,1))+OFFSET(Q265,0,1))*$B257/Параметры!Q$30)</f>
        <v>408502.8013823299</v>
      </c>
      <c r="R256" s="289">
        <f ca="1">IF(OR(AND($B257=0,R$2&gt;1),R$2=Prj_Len),Q256,(IF(Старт!$B$9+Старт!$B$10+Старт!$B$11=0,OFFSET(R252,0,1),OFFSET(R245,0,1))+OFFSET(R265,0,1))*$B257/Параметры!R$30)</f>
        <v>684849.93614264391</v>
      </c>
      <c r="S256" s="289">
        <f ca="1">IF(OR(AND($B257=0,S$2&gt;1),S$2=Prj_Len),R256,(IF(Старт!$B$9+Старт!$B$10+Старт!$B$11=0,OFFSET(S252,0,1),OFFSET(S245,0,1))+OFFSET(S265,0,1))*$B257/Параметры!S$30)</f>
        <v>417843.64999895636</v>
      </c>
      <c r="T256" s="289">
        <f ca="1">IF(OR(AND($B257=0,T$2&gt;1),T$2=Prj_Len),S256,(IF(Старт!$B$9+Старт!$B$10+Старт!$B$11=0,OFFSET(T252,0,1),OFFSET(T245,0,1))+OFFSET(T265,0,1))*$B257/Параметры!T$30)</f>
        <v>351824.7376018858</v>
      </c>
      <c r="U256" s="289">
        <f ca="1">IF(OR(AND($B257=0,U$2&gt;1),U$2=Prj_Len),T256,(IF(Старт!$B$9+Старт!$B$10+Старт!$B$11=0,OFFSET(U252,0,1),OFFSET(U245,0,1))+OFFSET(U265,0,1))*$B257/Параметры!U$30)</f>
        <v>424683.72302007145</v>
      </c>
      <c r="V256" s="289">
        <f ca="1">IF(OR(AND($B257=0,V$2&gt;1),V$2=Prj_Len),U256,(IF(Старт!$B$9+Старт!$B$10+Старт!$B$11=0,OFFSET(V252,0,1),OFFSET(V245,0,1))+OFFSET(V265,0,1))*$B257/Параметры!V$30)</f>
        <v>287253.65969350166</v>
      </c>
      <c r="W256" s="289">
        <f ca="1">IF(OR(AND($B257=0,W$2&gt;1),W$2=Prj_Len),V256,(IF(Старт!$B$9+Старт!$B$10+Старт!$B$11=0,OFFSET(W252,0,1),OFFSET(W245,0,1))+OFFSET(W265,0,1))*$B257/Параметры!W$30)</f>
        <v>789712.32250985689</v>
      </c>
      <c r="X256" s="289">
        <f ca="1">IF(OR(AND($B257=0,X$2&gt;1),X$2=Prj_Len),W256,(IF(Старт!$B$9+Старт!$B$10+Старт!$B$11=0,OFFSET(X252,0,1),OFFSET(X245,0,1))+OFFSET(X265,0,1))*$B257/Параметры!X$30)</f>
        <v>871687.15028160287</v>
      </c>
      <c r="Y256" s="289">
        <f ca="1">IF(OR(AND($B257=0,Y$2&gt;1),Y$2=Prj_Len),X256,(IF(Старт!$B$9+Старт!$B$10+Старт!$B$11=0,OFFSET(Y252,0,1),OFFSET(Y245,0,1))+OFFSET(Y265,0,1))*$B257/Параметры!Y$30)</f>
        <v>735842.62656984793</v>
      </c>
      <c r="Z256" s="289">
        <f ca="1">IF(OR(AND($B257=0,Z$2&gt;1),Z$2=Prj_Len),Y256,(IF(Старт!$B$9+Старт!$B$10+Старт!$B$11=0,OFFSET(Z252,0,1),OFFSET(Z245,0,1))+OFFSET(Z265,0,1))*$B257/Параметры!Z$30)</f>
        <v>301476.74593209662</v>
      </c>
      <c r="AA256" s="289">
        <f ca="1">IF(OR(AND($B257=0,AA$2&gt;1),AA$2=Prj_Len),Z256,(IF(Старт!$B$9+Старт!$B$10+Старт!$B$11=0,OFFSET(AA252,0,1),OFFSET(AA245,0,1))+OFFSET(AA265,0,1))*$B257/Параметры!AA$30)</f>
        <v>227955.01620815523</v>
      </c>
      <c r="AB256" s="289">
        <f ca="1">IF(OR(AND($B257=0,AB$2&gt;1),AB$2=Prj_Len),AA256,(IF(Старт!$B$9+Старт!$B$10+Старт!$B$11=0,OFFSET(AB252,0,1),OFFSET(AB245,0,1))+OFFSET(AB265,0,1))*$B257/Параметры!AB$30)</f>
        <v>378798.17625677859</v>
      </c>
      <c r="AC256" s="289">
        <f ca="1">IF(OR(AND($B257=0,AC$2&gt;1),AC$2=Prj_Len),AB256,(IF(Старт!$B$9+Старт!$B$10+Старт!$B$11=0,OFFSET(AC252,0,1),OFFSET(AC245,0,1))+OFFSET(AC265,0,1))*$B257/Параметры!AC$30)</f>
        <v>534028.21374969732</v>
      </c>
      <c r="AD256" s="289">
        <f ca="1">IF(OR(AND($B257=0,AD$2&gt;1),AD$2=Prj_Len),AC256,(IF(Старт!$B$9+Старт!$B$10+Старт!$B$11=0,OFFSET(AD252,0,1),OFFSET(AD245,0,1))+OFFSET(AD265,0,1))*$B257/Параметры!AD$30)</f>
        <v>769497.38824987516</v>
      </c>
      <c r="AE256" s="289">
        <f ca="1">IF(OR(AND($B257=0,AE$2&gt;1),AE$2=Prj_Len),AD256,(IF(Старт!$B$9+Старт!$B$10+Старт!$B$11=0,OFFSET(AE252,0,1),OFFSET(AE245,0,1))+OFFSET(AE265,0,1))*$B257/Параметры!AE$30)</f>
        <v>469489.12513882702</v>
      </c>
      <c r="AF256" s="289">
        <f ca="1">IF(OR(AND($B257=0,AF$2&gt;1),AF$2=Prj_Len),AE256,(IF(Старт!$B$9+Старт!$B$10+Старт!$B$11=0,OFFSET(AF252,0,1),OFFSET(AF245,0,1))+OFFSET(AF265,0,1))*$B257/Параметры!AF$30)</f>
        <v>395310.27516947931</v>
      </c>
      <c r="AG256" s="289">
        <f ca="1">IF(OR(AND($B257=0,AG$2&gt;1),AG$2=Prj_Len),AF256,(IF(Старт!$B$9+Старт!$B$10+Старт!$B$11=0,OFFSET(AG252,0,1),OFFSET(AG245,0,1))+OFFSET(AG265,0,1))*$B257/Параметры!AG$30)</f>
        <v>477174.63118535269</v>
      </c>
      <c r="AH256" s="289">
        <f ca="1">IF(OR(AND($B257=0,AH$2&gt;1),AH$2=Prj_Len),AG256,(IF(Старт!$B$9+Старт!$B$10+Старт!$B$11=0,OFFSET(AH252,0,1),OFFSET(AH245,0,1))+OFFSET(AH265,0,1))*$B257/Параметры!AH$30)</f>
        <v>322758.21203161863</v>
      </c>
      <c r="AI256" s="289">
        <f ca="1">IF(OR(AND($B257=0,AI$2&gt;1),AI$2=Prj_Len),AH256,(IF(Старт!$B$9+Старт!$B$10+Старт!$B$11=0,OFFSET(AI252,0,1),OFFSET(AI245,0,1))+OFFSET(AI265,0,1))*$B257/Параметры!AI$30)</f>
        <v>887320.76557207538</v>
      </c>
      <c r="AJ256" s="289">
        <f ca="1">IF(OR(AND($B257=0,AJ$2&gt;1),AJ$2=Prj_Len),AI256,(IF(Старт!$B$9+Старт!$B$10+Старт!$B$11=0,OFFSET(AJ252,0,1),OFFSET(AJ245,0,1))+OFFSET(AJ265,0,1))*$B257/Параметры!AJ$30)</f>
        <v>979427.68205641024</v>
      </c>
      <c r="AK256" s="289">
        <f ca="1">IF(OR(AND($B257=0,AK$2&gt;1),AK$2=Prj_Len),AJ256,(IF(Старт!$B$9+Старт!$B$10+Старт!$B$11=0,OFFSET(AK252,0,1),OFFSET(AK245,0,1))+OFFSET(AK265,0,1))*$B257/Параметры!AK$30)</f>
        <v>826792.77521388163</v>
      </c>
      <c r="AL256" s="289">
        <f ca="1">IF(OR(AND($B257=0,AL$2&gt;1),AL$2=Prj_Len),AK256,(IF(Старт!$B$9+Старт!$B$10+Старт!$B$11=0,OFFSET(AL252,0,1),OFFSET(AL245,0,1))+OFFSET(AL265,0,1))*$B257/Параметры!AL$30)</f>
        <v>338739.27172930364</v>
      </c>
      <c r="AM256" s="289">
        <f ca="1">IF(OR(AND($B257=0,AM$2&gt;1),AM$2=Prj_Len),AL256,(IF(Старт!$B$9+Старт!$B$10+Старт!$B$11=0,OFFSET(AM252,0,1),OFFSET(AM245,0,1))+OFFSET(AM265,0,1))*$B257/Параметры!AM$30)</f>
        <v>256130.25621148353</v>
      </c>
      <c r="AN256" s="289">
        <f ca="1">IF(OR(AND($B257=0,AN$2&gt;1),AN$2=Prj_Len),AM256,(IF(Старт!$B$9+Старт!$B$10+Старт!$B$11=0,OFFSET(AN252,0,1),OFFSET(AN245,0,1))+OFFSET(AN265,0,1))*$B257/Параметры!AN$30)</f>
        <v>425617.63084211666</v>
      </c>
      <c r="AO256" s="289">
        <f ca="1">IF(OR(AND($B257=0,AO$2&gt;1),AO$2=Prj_Len),AN256,(IF(Старт!$B$9+Старт!$B$10+Старт!$B$11=0,OFFSET(AO252,0,1),OFFSET(AO245,0,1))+OFFSET(AO265,0,1))*$B257/Параметры!AO$30)</f>
        <v>600034.10096916021</v>
      </c>
      <c r="AP256" s="289">
        <f ca="1">IF(OR(AND($B257=0,AP$2&gt;1),AP$2=Prj_Len),AO256,(IF(Старт!$B$9+Старт!$B$10+Старт!$B$11=0,OFFSET(AP252,0,1),OFFSET(AP245,0,1))+OFFSET(AP265,0,1))*$B257/Параметры!AP$30)</f>
        <v>864607.26543756016</v>
      </c>
      <c r="AQ256" s="289">
        <f ca="1">IF(OR(AND($B257=0,AQ$2&gt;1),AQ$2=Prj_Len),AP256,(IF(Старт!$B$9+Старт!$B$10+Старт!$B$11=0,OFFSET(AQ252,0,1),OFFSET(AQ245,0,1))+OFFSET(AQ265,0,1))*$B257/Параметры!AQ$30)</f>
        <v>527517.98100598657</v>
      </c>
      <c r="AR256" s="289">
        <f ca="1">IF(OR(AND($B257=0,AR$2&gt;1),AR$2=Prj_Len),AQ256,(IF(Старт!$B$9+Старт!$B$10+Старт!$B$11=0,OFFSET(AR252,0,1),OFFSET(AR245,0,1))+OFFSET(AR265,0,1))*$B257/Параметры!AR$30)</f>
        <v>444170.62518042704</v>
      </c>
      <c r="AS256" s="289">
        <f ca="1">IF(OR(AND($B257=0,AS$2&gt;1),AS$2=Prj_Len),AR256,(IF(Старт!$B$9+Старт!$B$10+Старт!$B$11=0,OFFSET(AS252,0,1),OFFSET(AS245,0,1))+OFFSET(AS265,0,1))*$B257/Параметры!AS$30)</f>
        <v>536153.41559986235</v>
      </c>
      <c r="AT256" s="289">
        <f ca="1">IF(OR(AND($B257=0,AT$2&gt;1),AT$2=Prj_Len),AS256,(IF(Старт!$B$9+Старт!$B$10+Старт!$B$11=0,OFFSET(AT252,0,1),OFFSET(AT245,0,1))+OFFSET(AT265,0,1))*$B257/Параметры!AT$30)</f>
        <v>362651.12703872722</v>
      </c>
      <c r="AU256" s="289">
        <f ca="1">IF(OR(AND($B257=0,AU$2&gt;1),AU$2=Prj_Len),AT256,(IF(Старт!$B$9+Старт!$B$10+Старт!$B$11=0,OFFSET(AU252,0,1),OFFSET(AU245,0,1))+OFFSET(AU265,0,1))*$B257/Параметры!AU$30)</f>
        <v>996993.61219678493</v>
      </c>
      <c r="AV256" s="289">
        <f ca="1">IF(OR(AND($B257=0,AV$2&gt;1),AV$2=Prj_Len),AU256,(IF(Старт!$B$9+Старт!$B$10+Старт!$B$11=0,OFFSET(AV252,0,1),OFFSET(AV245,0,1))+OFFSET(AV265,0,1))*$B257/Параметры!AV$30)</f>
        <v>1100484.9435585826</v>
      </c>
      <c r="AW256" s="289">
        <f ca="1">IF(OR(AND($B257=0,AW$2&gt;1),AW$2=Prj_Len),AV256,(IF(Старт!$B$9+Старт!$B$10+Старт!$B$11=0,OFFSET(AW252,0,1),OFFSET(AW245,0,1))+OFFSET(AW265,0,1))*$B257/Параметры!AW$30)</f>
        <v>928984.36223031825</v>
      </c>
      <c r="AX256" s="289">
        <f ca="1">IF(OR(AND($B257=0,AX$2&gt;1),AX$2=Prj_Len),AW256,(IF(Старт!$B$9+Старт!$B$10+Старт!$B$11=0,OFFSET(AX252,0,1),OFFSET(AX245,0,1))+OFFSET(AX265,0,1))*$B257/Параметры!AX$30)</f>
        <v>380607.44571504527</v>
      </c>
      <c r="AY256" s="289">
        <f ca="1">IF(OR(AND($B257=0,AY$2&gt;1),AY$2=Prj_Len),AX256,(IF(Старт!$B$9+Старт!$B$10+Старт!$B$11=0,OFFSET(AY252,0,1),OFFSET(AY245,0,1))+OFFSET(AY265,0,1))*$B257/Параметры!AY$30)</f>
        <v>287787.9558792233</v>
      </c>
      <c r="AZ256" s="289">
        <f ca="1">IF(OR(AND($B257=0,AZ$2&gt;1),AZ$2=Prj_Len),AY256,(IF(Старт!$B$9+Старт!$B$10+Старт!$B$11=0,OFFSET(AZ252,0,1),OFFSET(AZ245,0,1))+OFFSET(AZ265,0,1))*$B257/Параметры!AZ$30)</f>
        <v>478223.97001420235</v>
      </c>
      <c r="BA256" s="289">
        <f ca="1">IF(OR(AND($B257=0,BA$2&gt;1),BA$2=Prj_Len),AZ256,(IF(Старт!$B$9+Старт!$B$10+Старт!$B$11=0,OFFSET(BA252,0,1),OFFSET(BA245,0,1))+OFFSET(BA265,0,1))*$B257/Параметры!BA$30)</f>
        <v>674198.31584894867</v>
      </c>
      <c r="BB256" s="289">
        <f ca="1">IF(OR(AND($B257=0,BB$2&gt;1),BB$2=Prj_Len),BA256,(IF(Старт!$B$9+Старт!$B$10+Старт!$B$11=0,OFFSET(BB252,0,1),OFFSET(BB245,0,1))+OFFSET(BB265,0,1))*$B257/Параметры!BB$30)</f>
        <v>674198.31584894867</v>
      </c>
      <c r="BC256" s="188"/>
      <c r="BD256" s="186"/>
    </row>
    <row r="257" spans="1:56" s="170" customFormat="1" hidden="1" outlineLevel="1" x14ac:dyDescent="0.3">
      <c r="A257" s="187" t="str">
        <f ca="1">Language!A$648</f>
        <v>период предоплаты</v>
      </c>
      <c r="B257" s="288">
        <f>$B$610</f>
        <v>10</v>
      </c>
      <c r="C257" s="163" t="str">
        <f ca="1">Language!$A$1474</f>
        <v>дней</v>
      </c>
      <c r="F257" s="170" t="s">
        <v>2347</v>
      </c>
      <c r="G257" s="185"/>
      <c r="H257" s="185"/>
      <c r="I257" s="185"/>
      <c r="J257" s="185"/>
      <c r="K257" s="185"/>
      <c r="L257" s="185"/>
      <c r="M257" s="185"/>
      <c r="N257" s="185"/>
      <c r="O257" s="185"/>
      <c r="P257" s="185"/>
      <c r="Q257" s="185"/>
      <c r="R257" s="185"/>
      <c r="S257" s="185"/>
      <c r="T257" s="185"/>
      <c r="U257" s="185"/>
      <c r="V257" s="185"/>
      <c r="W257" s="185"/>
      <c r="X257" s="185"/>
      <c r="Y257" s="185"/>
      <c r="Z257" s="185"/>
      <c r="AA257" s="185"/>
      <c r="AB257" s="185"/>
      <c r="AC257" s="185"/>
      <c r="AD257" s="185"/>
      <c r="AE257" s="185"/>
      <c r="AF257" s="185"/>
      <c r="AG257" s="185"/>
      <c r="AH257" s="185"/>
      <c r="AI257" s="185"/>
      <c r="AJ257" s="185"/>
      <c r="AK257" s="185"/>
      <c r="AL257" s="185"/>
      <c r="AM257" s="185"/>
      <c r="AN257" s="185"/>
      <c r="AO257" s="185"/>
      <c r="AP257" s="185"/>
      <c r="AQ257" s="185"/>
      <c r="AR257" s="185"/>
      <c r="AS257" s="185"/>
      <c r="AT257" s="185"/>
      <c r="AU257" s="185"/>
      <c r="AV257" s="185"/>
      <c r="AW257" s="185"/>
      <c r="AX257" s="185"/>
      <c r="AY257" s="185"/>
      <c r="AZ257" s="185"/>
      <c r="BA257" s="185"/>
      <c r="BB257" s="185"/>
      <c r="BC257" s="185"/>
      <c r="BD257" s="186"/>
    </row>
    <row r="258" spans="1:56" s="173" customFormat="1" hidden="1" outlineLevel="1" x14ac:dyDescent="0.3">
      <c r="A258" s="181" t="str">
        <f ca="1">Language!A$649</f>
        <v>оплата расходов, c НДС</v>
      </c>
      <c r="C258" s="176" t="str">
        <f t="shared" ref="C258" ca="1" si="1244">CHOOSE(D258,CurName1,CurName2,CurName3)</f>
        <v>руб.</v>
      </c>
      <c r="D258" s="174">
        <f>D242</f>
        <v>1</v>
      </c>
      <c r="E258" s="170" t="s">
        <v>993</v>
      </c>
      <c r="F258" s="170" t="s">
        <v>740</v>
      </c>
      <c r="G258" s="182">
        <f ca="1">G252+G265-IF(G$2=1,G254,G254-F254)+IF(G$2=1,G256,G256-F256)</f>
        <v>0</v>
      </c>
      <c r="H258" s="182">
        <f t="shared" ref="H258" ca="1" si="1245">H252+H265-IF(H$2=1,H254,H254-G254)+IF(H$2=1,H256,H256-G256)</f>
        <v>0</v>
      </c>
      <c r="I258" s="182">
        <f t="shared" ref="I258" ca="1" si="1246">I252+I265-IF(I$2=1,I254,I254-H254)+IF(I$2=1,I256,I256-H256)</f>
        <v>0</v>
      </c>
      <c r="J258" s="182">
        <f t="shared" ref="J258" ca="1" si="1247">J252+J265-IF(J$2=1,J254,J254-I254)+IF(J$2=1,J256,J256-I256)</f>
        <v>0</v>
      </c>
      <c r="K258" s="182">
        <f t="shared" ref="K258" ca="1" si="1248">K252+K265-IF(K$2=1,K254,K254-J254)+IF(K$2=1,K256,K256-J256)</f>
        <v>0</v>
      </c>
      <c r="L258" s="182">
        <f t="shared" ref="L258" ca="1" si="1249">L252+L265-IF(L$2=1,L254,L254-K254)+IF(L$2=1,L256,L256-K256)</f>
        <v>385416.00000000006</v>
      </c>
      <c r="M258" s="182">
        <f t="shared" ref="M258" ca="1" si="1250">M252+M265-IF(M$2=1,M254,M254-L254)+IF(M$2=1,M256,M256-L256)</f>
        <v>711610.92722315714</v>
      </c>
      <c r="N258" s="182">
        <f t="shared" ref="N258" ca="1" si="1251">N252+N265-IF(N$2=1,N254,N254-M254)+IF(N$2=1,N256,N256-M256)</f>
        <v>1107117.9562227135</v>
      </c>
      <c r="O258" s="182">
        <f t="shared" ref="O258" ca="1" si="1252">O252+O265-IF(O$2=1,O254,O254-N254)+IF(O$2=1,O256,O256-N256)</f>
        <v>1187842.8272008754</v>
      </c>
      <c r="P258" s="182">
        <f t="shared" ref="P258" ca="1" si="1253">P252+P265-IF(P$2=1,P254,P254-O254)+IF(P$2=1,P256,P256-O256)</f>
        <v>1266202.7340006218</v>
      </c>
      <c r="Q258" s="182">
        <f t="shared" ref="Q258" ca="1" si="1254">Q252+Q265-IF(Q$2=1,Q254,Q254-P254)+IF(Q$2=1,Q256,Q256-P256)</f>
        <v>1279198.5063833951</v>
      </c>
      <c r="R258" s="182">
        <f t="shared" ref="R258" ca="1" si="1255">R252+R265-IF(R$2=1,R254,R254-Q254)+IF(R$2=1,R256,R256-Q256)</f>
        <v>1497907.571547877</v>
      </c>
      <c r="S258" s="182">
        <f t="shared" ref="S258" ca="1" si="1256">S252+S265-IF(S$2=1,S254,S254-R254)+IF(S$2=1,S256,S256-R256)</f>
        <v>1511196.3875239301</v>
      </c>
      <c r="T258" s="182">
        <f t="shared" ref="T258" ca="1" si="1257">T252+T265-IF(T$2=1,T254,T254-S254)+IF(T$2=1,T256,T256-S256)</f>
        <v>1454518.3237434861</v>
      </c>
      <c r="U258" s="182">
        <f t="shared" ref="U258" ca="1" si="1258">U252+U265-IF(U$2=1,U254,U254-T254)+IF(U$2=1,U256,U256-T256)</f>
        <v>1194352.1106209136</v>
      </c>
      <c r="V258" s="182">
        <f t="shared" ref="V258" ca="1" si="1259">V252+V265-IF(V$2=1,V254,V254-U254)+IF(V$2=1,V256,V256-U256)</f>
        <v>1063762.1203154591</v>
      </c>
      <c r="W258" s="182">
        <f t="shared" ref="W258" ca="1" si="1260">W252+W265-IF(W$2=1,W254,W254-V254)+IF(W$2=1,W256,W256-V256)</f>
        <v>1501649.7052234299</v>
      </c>
      <c r="X258" s="182">
        <f t="shared" ref="X258" ca="1" si="1261">X252+X265-IF(X$2=1,X254,X254-W254)+IF(X$2=1,X256,X256-W256)</f>
        <v>1948653.1324849613</v>
      </c>
      <c r="Y258" s="182">
        <f t="shared" ref="Y258" ca="1" si="1262">Y252+Y265-IF(Y$2=1,Y254,Y254-X254)+IF(Y$2=1,Y256,Y256-X256)</f>
        <v>2397242.0993613075</v>
      </c>
      <c r="Z258" s="182">
        <f t="shared" ref="Z258" ca="1" si="1263">Z252+Z265-IF(Z$2=1,Z254,Z254-Y254)+IF(Z$2=1,Z256,Z256-Y256)</f>
        <v>1909006.5227835472</v>
      </c>
      <c r="AA258" s="182">
        <f t="shared" ref="AA258" ca="1" si="1264">AA252+AA265-IF(AA$2=1,AA254,AA254-Z254)+IF(AA$2=1,AA256,AA256-Z256)</f>
        <v>1265274.3887101</v>
      </c>
      <c r="AB258" s="182">
        <f t="shared" ref="AB258" ca="1" si="1265">AB252+AB265-IF(AB$2=1,AB254,AB254-AA254)+IF(AB$2=1,AB256,AB256-AA256)</f>
        <v>908229.93839703046</v>
      </c>
      <c r="AC258" s="182">
        <f t="shared" ref="AC258" ca="1" si="1266">AC252+AC265-IF(AC$2=1,AC254,AC254-AB254)+IF(AC$2=1,AC256,AC256-AB256)</f>
        <v>1140781.4062146312</v>
      </c>
      <c r="AD258" s="182">
        <f t="shared" ref="AD258" ca="1" si="1267">AD252+AD265-IF(AD$2=1,AD254,AD254-AC254)+IF(AD$2=1,AD256,AD256-AC256)</f>
        <v>1682323.7782563509</v>
      </c>
      <c r="AE258" s="182">
        <f t="shared" ref="AE258" ca="1" si="1268">AE252+AE265-IF(AE$2=1,AE254,AE254-AD254)+IF(AE$2=1,AE256,AE256-AD256)</f>
        <v>1773014.7271383991</v>
      </c>
      <c r="AF258" s="182">
        <f t="shared" ref="AF258" ca="1" si="1269">AF252+AF265-IF(AF$2=1,AF254,AF254-AE254)+IF(AF$2=1,AF256,AF256-AE256)</f>
        <v>1634296.7885581816</v>
      </c>
      <c r="AG258" s="182">
        <f t="shared" ref="AG258" ca="1" si="1270">AG252+AG265-IF(AG$2=1,AG254,AG254-AF254)+IF(AG$2=1,AG256,AG256-AF256)</f>
        <v>1341974.0314936589</v>
      </c>
      <c r="AH258" s="182">
        <f t="shared" ref="AH258" ca="1" si="1271">AH252+AH265-IF(AH$2=1,AH254,AH254-AG254)+IF(AH$2=1,AH256,AH256-AG256)</f>
        <v>1195243.1183864505</v>
      </c>
      <c r="AI258" s="182">
        <f t="shared" ref="AI258" ca="1" si="1272">AI252+AI265-IF(AI$2=1,AI254,AI254-AH254)+IF(AI$2=1,AI256,AI256-AH256)</f>
        <v>1687253.6087890468</v>
      </c>
      <c r="AJ258" s="182">
        <f t="shared" ref="AJ258" ca="1" si="1273">AJ252+AJ265-IF(AJ$2=1,AJ254,AJ254-AI254)+IF(AJ$2=1,AJ256,AJ256-AI256)</f>
        <v>2189506.6596601042</v>
      </c>
      <c r="AK258" s="182">
        <f t="shared" ref="AK258" ca="1" si="1274">AK252+AK265-IF(AK$2=1,AK254,AK254-AJ254)+IF(AK$2=1,AK256,AK256-AJ256)</f>
        <v>2693541.2228423674</v>
      </c>
      <c r="AL258" s="182">
        <f t="shared" ref="AL258" ca="1" si="1275">AL252+AL265-IF(AL$2=1,AL254,AL254-AK254)+IF(AL$2=1,AL256,AL256-AK256)</f>
        <v>2144959.7289995952</v>
      </c>
      <c r="AM258" s="182">
        <f t="shared" ref="AM258" ca="1" si="1276">AM252+AM265-IF(AM$2=1,AM254,AM254-AL254)+IF(AM$2=1,AM256,AM256-AL256)</f>
        <v>1421662.3031546688</v>
      </c>
      <c r="AN258" s="182">
        <f t="shared" ref="AN258" ca="1" si="1277">AN252+AN265-IF(AN$2=1,AN254,AN254-AM254)+IF(AN$2=1,AN256,AN256-AM256)</f>
        <v>1020487.1587829039</v>
      </c>
      <c r="AO258" s="182">
        <f t="shared" ref="AO258" ca="1" si="1278">AO252+AO265-IF(AO$2=1,AO254,AO254-AN254)+IF(AO$2=1,AO256,AO256-AN256)</f>
        <v>1281781.9880227605</v>
      </c>
      <c r="AP258" s="182">
        <f t="shared" ref="AP258" ca="1" si="1279">AP252+AP265-IF(AP$2=1,AP254,AP254-AO254)+IF(AP$2=1,AP256,AP256-AO256)</f>
        <v>1890258.997248837</v>
      </c>
      <c r="AQ258" s="182">
        <f t="shared" ref="AQ258" ca="1" si="1280">AQ252+AQ265-IF(AQ$2=1,AQ254,AQ254-AP254)+IF(AQ$2=1,AQ256,AQ256-AP256)</f>
        <v>1992159.3474127068</v>
      </c>
      <c r="AR258" s="182">
        <f t="shared" ref="AR258" ca="1" si="1281">AR252+AR265-IF(AR$2=1,AR254,AR254-AQ254)+IF(AR$2=1,AR256,AR256-AQ256)</f>
        <v>1836295.8716239741</v>
      </c>
      <c r="AS258" s="182">
        <f t="shared" ref="AS258" ca="1" si="1282">AS252+AS265-IF(AS$2=1,AS254,AS254-AR254)+IF(AS$2=1,AS256,AS256-AR256)</f>
        <v>1507842.021786276</v>
      </c>
      <c r="AT258" s="182">
        <f t="shared" ref="AT258" ca="1" si="1283">AT252+AT265-IF(AT$2=1,AT254,AT254-AS254)+IF(AT$2=1,AT256,AT256-AS256)</f>
        <v>1342975.1678190166</v>
      </c>
      <c r="AU258" s="182">
        <f t="shared" ref="AU258" ca="1" si="1284">AU252+AU265-IF(AU$2=1,AU254,AU254-AT254)+IF(AU$2=1,AU256,AU256-AT256)</f>
        <v>1895798.1548353743</v>
      </c>
      <c r="AV258" s="182">
        <f t="shared" ref="AV258" ca="1" si="1285">AV252+AV265-IF(AV$2=1,AV254,AV254-AU254)+IF(AV$2=1,AV256,AV256-AU256)</f>
        <v>2460129.682794095</v>
      </c>
      <c r="AW258" s="182">
        <f t="shared" ref="AW258" ca="1" si="1286">AW252+AW265-IF(AW$2=1,AW254,AW254-AV254)+IF(AW$2=1,AW256,AW256-AV256)</f>
        <v>3026462.9179856861</v>
      </c>
      <c r="AX258" s="182">
        <f t="shared" ref="AX258" ca="1" si="1287">AX252+AX265-IF(AX$2=1,AX254,AX254-AW254)+IF(AX$2=1,AX256,AX256-AW256)</f>
        <v>2410076.7515039463</v>
      </c>
      <c r="AY258" s="182">
        <f t="shared" ref="AY258" ca="1" si="1288">AY252+AY265-IF(AY$2=1,AY254,AY254-AX254)+IF(AY$2=1,AY256,AY256-AX256)</f>
        <v>1597379.7638245868</v>
      </c>
      <c r="AZ258" s="182">
        <f t="shared" ref="AZ258" ca="1" si="1289">AZ252+AZ265-IF(AZ$2=1,AZ254,AZ254-AY254)+IF(AZ$2=1,AZ256,AZ256-AY256)</f>
        <v>1146619.371608471</v>
      </c>
      <c r="BA258" s="182">
        <f t="shared" ref="BA258" ca="1" si="1290">BA252+BA265-IF(BA$2=1,BA254,BA254-AZ254)+IF(BA$2=1,BA256,BA256-AZ256)</f>
        <v>1440210.2417423741</v>
      </c>
      <c r="BB258" s="182">
        <f t="shared" ref="BB258" ca="1" si="1291">BB252+BB265-IF(BB$2=1,BB254,BB254-BA254)+IF(BB$2=1,BB256,BB256-BA256)</f>
        <v>1826620.6017120997</v>
      </c>
      <c r="BC258" s="182"/>
      <c r="BD258" s="183">
        <f ca="1">SUM(G258:BC258)</f>
        <v>68168836.663939357</v>
      </c>
    </row>
    <row r="259" spans="1:56" hidden="1" outlineLevel="1" x14ac:dyDescent="0.3">
      <c r="A259" s="184" t="str">
        <f ca="1">Language!A$650</f>
        <v>темп изменения цен</v>
      </c>
      <c r="B259" s="203"/>
      <c r="C259" s="163" t="str">
        <f ca="1">Language!$A$480</f>
        <v>% в год</v>
      </c>
      <c r="D259" s="174"/>
      <c r="F259" s="170" t="s">
        <v>2346</v>
      </c>
      <c r="G259" s="290">
        <f>CHOOSE($D242,Параметры!G$48,Параметры!G$56,Параметры!G$62)</f>
        <v>0.06</v>
      </c>
      <c r="H259" s="290">
        <f>CHOOSE($D242,Параметры!H$48,Параметры!H$56,Параметры!H$62)</f>
        <v>0.06</v>
      </c>
      <c r="I259" s="290">
        <f>CHOOSE($D242,Параметры!I$48,Параметры!I$56,Параметры!I$62)</f>
        <v>0.06</v>
      </c>
      <c r="J259" s="290">
        <f>CHOOSE($D242,Параметры!J$48,Параметры!J$56,Параметры!J$62)</f>
        <v>0.06</v>
      </c>
      <c r="K259" s="290">
        <f>CHOOSE($D242,Параметры!K$48,Параметры!K$56,Параметры!K$62)</f>
        <v>0.06</v>
      </c>
      <c r="L259" s="290">
        <f>CHOOSE($D242,Параметры!L$48,Параметры!L$56,Параметры!L$62)</f>
        <v>0.06</v>
      </c>
      <c r="M259" s="290">
        <f>CHOOSE($D242,Параметры!M$48,Параметры!M$56,Параметры!M$62)</f>
        <v>0.06</v>
      </c>
      <c r="N259" s="290">
        <f>CHOOSE($D242,Параметры!N$48,Параметры!N$56,Параметры!N$62)</f>
        <v>0.06</v>
      </c>
      <c r="O259" s="290">
        <f>CHOOSE($D242,Параметры!O$48,Параметры!O$56,Параметры!O$62)</f>
        <v>0.06</v>
      </c>
      <c r="P259" s="290">
        <f>CHOOSE($D242,Параметры!P$48,Параметры!P$56,Параметры!P$62)</f>
        <v>0.06</v>
      </c>
      <c r="Q259" s="290">
        <f>CHOOSE($D242,Параметры!Q$48,Параметры!Q$56,Параметры!Q$62)</f>
        <v>0.06</v>
      </c>
      <c r="R259" s="290">
        <f>CHOOSE($D242,Параметры!R$48,Параметры!R$56,Параметры!R$62)</f>
        <v>0.06</v>
      </c>
      <c r="S259" s="290">
        <f>CHOOSE($D242,Параметры!S$48,Параметры!S$56,Параметры!S$62)</f>
        <v>0.06</v>
      </c>
      <c r="T259" s="290">
        <f>CHOOSE($D242,Параметры!T$48,Параметры!T$56,Параметры!T$62)</f>
        <v>0.06</v>
      </c>
      <c r="U259" s="290">
        <f>CHOOSE($D242,Параметры!U$48,Параметры!U$56,Параметры!U$62)</f>
        <v>0.06</v>
      </c>
      <c r="V259" s="290">
        <f>CHOOSE($D242,Параметры!V$48,Параметры!V$56,Параметры!V$62)</f>
        <v>0.06</v>
      </c>
      <c r="W259" s="290">
        <f>CHOOSE($D242,Параметры!W$48,Параметры!W$56,Параметры!W$62)</f>
        <v>0.06</v>
      </c>
      <c r="X259" s="290">
        <f>CHOOSE($D242,Параметры!X$48,Параметры!X$56,Параметры!X$62)</f>
        <v>0.06</v>
      </c>
      <c r="Y259" s="290">
        <f>CHOOSE($D242,Параметры!Y$48,Параметры!Y$56,Параметры!Y$62)</f>
        <v>0.06</v>
      </c>
      <c r="Z259" s="290">
        <f>CHOOSE($D242,Параметры!Z$48,Параметры!Z$56,Параметры!Z$62)</f>
        <v>0.06</v>
      </c>
      <c r="AA259" s="290">
        <f>CHOOSE($D242,Параметры!AA$48,Параметры!AA$56,Параметры!AA$62)</f>
        <v>0.06</v>
      </c>
      <c r="AB259" s="290">
        <f>CHOOSE($D242,Параметры!AB$48,Параметры!AB$56,Параметры!AB$62)</f>
        <v>0.06</v>
      </c>
      <c r="AC259" s="290">
        <f>CHOOSE($D242,Параметры!AC$48,Параметры!AC$56,Параметры!AC$62)</f>
        <v>0.06</v>
      </c>
      <c r="AD259" s="290">
        <f>CHOOSE($D242,Параметры!AD$48,Параметры!AD$56,Параметры!AD$62)</f>
        <v>0.06</v>
      </c>
      <c r="AE259" s="290">
        <f>CHOOSE($D242,Параметры!AE$48,Параметры!AE$56,Параметры!AE$62)</f>
        <v>0.06</v>
      </c>
      <c r="AF259" s="290">
        <f>CHOOSE($D242,Параметры!AF$48,Параметры!AF$56,Параметры!AF$62)</f>
        <v>0.06</v>
      </c>
      <c r="AG259" s="290">
        <f>CHOOSE($D242,Параметры!AG$48,Параметры!AG$56,Параметры!AG$62)</f>
        <v>0.06</v>
      </c>
      <c r="AH259" s="290">
        <f>CHOOSE($D242,Параметры!AH$48,Параметры!AH$56,Параметры!AH$62)</f>
        <v>0.06</v>
      </c>
      <c r="AI259" s="290">
        <f>CHOOSE($D242,Параметры!AI$48,Параметры!AI$56,Параметры!AI$62)</f>
        <v>0.06</v>
      </c>
      <c r="AJ259" s="290">
        <f>CHOOSE($D242,Параметры!AJ$48,Параметры!AJ$56,Параметры!AJ$62)</f>
        <v>0.06</v>
      </c>
      <c r="AK259" s="290">
        <f>CHOOSE($D242,Параметры!AK$48,Параметры!AK$56,Параметры!AK$62)</f>
        <v>0.06</v>
      </c>
      <c r="AL259" s="290">
        <f>CHOOSE($D242,Параметры!AL$48,Параметры!AL$56,Параметры!AL$62)</f>
        <v>0.06</v>
      </c>
      <c r="AM259" s="290">
        <f>CHOOSE($D242,Параметры!AM$48,Параметры!AM$56,Параметры!AM$62)</f>
        <v>0.06</v>
      </c>
      <c r="AN259" s="290">
        <f>CHOOSE($D242,Параметры!AN$48,Параметры!AN$56,Параметры!AN$62)</f>
        <v>0.06</v>
      </c>
      <c r="AO259" s="290">
        <f>CHOOSE($D242,Параметры!AO$48,Параметры!AO$56,Параметры!AO$62)</f>
        <v>0.06</v>
      </c>
      <c r="AP259" s="290">
        <f>CHOOSE($D242,Параметры!AP$48,Параметры!AP$56,Параметры!AP$62)</f>
        <v>0.06</v>
      </c>
      <c r="AQ259" s="290">
        <f>CHOOSE($D242,Параметры!AQ$48,Параметры!AQ$56,Параметры!AQ$62)</f>
        <v>0.06</v>
      </c>
      <c r="AR259" s="290">
        <f>CHOOSE($D242,Параметры!AR$48,Параметры!AR$56,Параметры!AR$62)</f>
        <v>0.06</v>
      </c>
      <c r="AS259" s="290">
        <f>CHOOSE($D242,Параметры!AS$48,Параметры!AS$56,Параметры!AS$62)</f>
        <v>0.06</v>
      </c>
      <c r="AT259" s="290">
        <f>CHOOSE($D242,Параметры!AT$48,Параметры!AT$56,Параметры!AT$62)</f>
        <v>0.06</v>
      </c>
      <c r="AU259" s="290">
        <f>CHOOSE($D242,Параметры!AU$48,Параметры!AU$56,Параметры!AU$62)</f>
        <v>0.06</v>
      </c>
      <c r="AV259" s="290">
        <f>CHOOSE($D242,Параметры!AV$48,Параметры!AV$56,Параметры!AV$62)</f>
        <v>0.06</v>
      </c>
      <c r="AW259" s="290">
        <f>CHOOSE($D242,Параметры!AW$48,Параметры!AW$56,Параметры!AW$62)</f>
        <v>0.06</v>
      </c>
      <c r="AX259" s="290">
        <f>CHOOSE($D242,Параметры!AX$48,Параметры!AX$56,Параметры!AX$62)</f>
        <v>0.06</v>
      </c>
      <c r="AY259" s="290">
        <f>CHOOSE($D242,Параметры!AY$48,Параметры!AY$56,Параметры!AY$62)</f>
        <v>0.06</v>
      </c>
      <c r="AZ259" s="290">
        <f>CHOOSE($D242,Параметры!AZ$48,Параметры!AZ$56,Параметры!AZ$62)</f>
        <v>0.06</v>
      </c>
      <c r="BA259" s="290">
        <f>CHOOSE($D242,Параметры!BA$48,Параметры!BA$56,Параметры!BA$62)</f>
        <v>0.06</v>
      </c>
      <c r="BB259" s="290">
        <f>CHOOSE($D242,Параметры!BB$48,Параметры!BB$56,Параметры!BB$62)</f>
        <v>0.06</v>
      </c>
      <c r="BC259" s="190"/>
      <c r="BD259" s="186"/>
    </row>
    <row r="260" spans="1:56" hidden="1" outlineLevel="1" x14ac:dyDescent="0.3">
      <c r="A260" s="184" t="str">
        <f ca="1">Language!A$651</f>
        <v>ставка НДС</v>
      </c>
      <c r="B260" s="203"/>
      <c r="C260" s="163" t="s">
        <v>1</v>
      </c>
      <c r="D260" s="174"/>
      <c r="F260" s="170" t="s">
        <v>2346</v>
      </c>
      <c r="G260" s="290">
        <f>IF(G$2=1,Параметры!G$72,IF(F260=Параметры!F$72,Параметры!F$72,F260))</f>
        <v>0</v>
      </c>
      <c r="H260" s="290">
        <f>IF(H$2=1,Параметры!H$72,IF(G260=Параметры!G$72,Параметры!G$72,G260))</f>
        <v>0</v>
      </c>
      <c r="I260" s="290">
        <f>IF(I$2=1,Параметры!I$72,IF(H260=Параметры!H$72,Параметры!H$72,H260))</f>
        <v>0</v>
      </c>
      <c r="J260" s="290">
        <f>IF(J$2=1,Параметры!J$72,IF(I260=Параметры!I$72,Параметры!I$72,I260))</f>
        <v>0</v>
      </c>
      <c r="K260" s="290">
        <f>IF(K$2=1,Параметры!K$72,IF(J260=Параметры!J$72,Параметры!J$72,J260))</f>
        <v>0</v>
      </c>
      <c r="L260" s="290">
        <f>IF(L$2=1,Параметры!L$72,IF(K260=Параметры!K$72,Параметры!K$72,K260))</f>
        <v>0</v>
      </c>
      <c r="M260" s="290">
        <f>IF(M$2=1,Параметры!M$72,IF(L260=Параметры!L$72,Параметры!L$72,L260))</f>
        <v>0</v>
      </c>
      <c r="N260" s="290">
        <f>IF(N$2=1,Параметры!N$72,IF(M260=Параметры!M$72,Параметры!M$72,M260))</f>
        <v>0</v>
      </c>
      <c r="O260" s="290">
        <f>IF(O$2=1,Параметры!O$72,IF(N260=Параметры!N$72,Параметры!N$72,N260))</f>
        <v>0</v>
      </c>
      <c r="P260" s="290">
        <f>IF(P$2=1,Параметры!P$72,IF(O260=Параметры!O$72,Параметры!O$72,O260))</f>
        <v>0</v>
      </c>
      <c r="Q260" s="290">
        <f>IF(Q$2=1,Параметры!Q$72,IF(P260=Параметры!P$72,Параметры!P$72,P260))</f>
        <v>0</v>
      </c>
      <c r="R260" s="290">
        <f>IF(R$2=1,Параметры!R$72,IF(Q260=Параметры!Q$72,Параметры!Q$72,Q260))</f>
        <v>0</v>
      </c>
      <c r="S260" s="290">
        <f>IF(S$2=1,Параметры!S$72,IF(R260=Параметры!R$72,Параметры!R$72,R260))</f>
        <v>0</v>
      </c>
      <c r="T260" s="290">
        <f>IF(T$2=1,Параметры!T$72,IF(S260=Параметры!S$72,Параметры!S$72,S260))</f>
        <v>0</v>
      </c>
      <c r="U260" s="290">
        <f>IF(U$2=1,Параметры!U$72,IF(T260=Параметры!T$72,Параметры!T$72,T260))</f>
        <v>0</v>
      </c>
      <c r="V260" s="290">
        <f>IF(V$2=1,Параметры!V$72,IF(U260=Параметры!U$72,Параметры!U$72,U260))</f>
        <v>0</v>
      </c>
      <c r="W260" s="290">
        <f>IF(W$2=1,Параметры!W$72,IF(V260=Параметры!V$72,Параметры!V$72,V260))</f>
        <v>0</v>
      </c>
      <c r="X260" s="290">
        <f>IF(X$2=1,Параметры!X$72,IF(W260=Параметры!W$72,Параметры!W$72,W260))</f>
        <v>0</v>
      </c>
      <c r="Y260" s="290">
        <f>IF(Y$2=1,Параметры!Y$72,IF(X260=Параметры!X$72,Параметры!X$72,X260))</f>
        <v>0</v>
      </c>
      <c r="Z260" s="290">
        <f>IF(Z$2=1,Параметры!Z$72,IF(Y260=Параметры!Y$72,Параметры!Y$72,Y260))</f>
        <v>0</v>
      </c>
      <c r="AA260" s="290">
        <f>IF(AA$2=1,Параметры!AA$72,IF(Z260=Параметры!Z$72,Параметры!Z$72,Z260))</f>
        <v>0</v>
      </c>
      <c r="AB260" s="290">
        <f>IF(AB$2=1,Параметры!AB$72,IF(AA260=Параметры!AA$72,Параметры!AA$72,AA260))</f>
        <v>0</v>
      </c>
      <c r="AC260" s="290">
        <f>IF(AC$2=1,Параметры!AC$72,IF(AB260=Параметры!AB$72,Параметры!AB$72,AB260))</f>
        <v>0</v>
      </c>
      <c r="AD260" s="290">
        <f>IF(AD$2=1,Параметры!AD$72,IF(AC260=Параметры!AC$72,Параметры!AC$72,AC260))</f>
        <v>0</v>
      </c>
      <c r="AE260" s="290">
        <f>IF(AE$2=1,Параметры!AE$72,IF(AD260=Параметры!AD$72,Параметры!AD$72,AD260))</f>
        <v>0</v>
      </c>
      <c r="AF260" s="290">
        <f>IF(AF$2=1,Параметры!AF$72,IF(AE260=Параметры!AE$72,Параметры!AE$72,AE260))</f>
        <v>0</v>
      </c>
      <c r="AG260" s="290">
        <f>IF(AG$2=1,Параметры!AG$72,IF(AF260=Параметры!AF$72,Параметры!AF$72,AF260))</f>
        <v>0</v>
      </c>
      <c r="AH260" s="290">
        <f>IF(AH$2=1,Параметры!AH$72,IF(AG260=Параметры!AG$72,Параметры!AG$72,AG260))</f>
        <v>0</v>
      </c>
      <c r="AI260" s="290">
        <f>IF(AI$2=1,Параметры!AI$72,IF(AH260=Параметры!AH$72,Параметры!AH$72,AH260))</f>
        <v>0</v>
      </c>
      <c r="AJ260" s="290">
        <f>IF(AJ$2=1,Параметры!AJ$72,IF(AI260=Параметры!AI$72,Параметры!AI$72,AI260))</f>
        <v>0</v>
      </c>
      <c r="AK260" s="290">
        <f>IF(AK$2=1,Параметры!AK$72,IF(AJ260=Параметры!AJ$72,Параметры!AJ$72,AJ260))</f>
        <v>0</v>
      </c>
      <c r="AL260" s="290">
        <f>IF(AL$2=1,Параметры!AL$72,IF(AK260=Параметры!AK$72,Параметры!AK$72,AK260))</f>
        <v>0</v>
      </c>
      <c r="AM260" s="290">
        <f>IF(AM$2=1,Параметры!AM$72,IF(AL260=Параметры!AL$72,Параметры!AL$72,AL260))</f>
        <v>0</v>
      </c>
      <c r="AN260" s="290">
        <f>IF(AN$2=1,Параметры!AN$72,IF(AM260=Параметры!AM$72,Параметры!AM$72,AM260))</f>
        <v>0</v>
      </c>
      <c r="AO260" s="290">
        <f>IF(AO$2=1,Параметры!AO$72,IF(AN260=Параметры!AN$72,Параметры!AN$72,AN260))</f>
        <v>0</v>
      </c>
      <c r="AP260" s="290">
        <f>IF(AP$2=1,Параметры!AP$72,IF(AO260=Параметры!AO$72,Параметры!AO$72,AO260))</f>
        <v>0</v>
      </c>
      <c r="AQ260" s="290">
        <f>IF(AQ$2=1,Параметры!AQ$72,IF(AP260=Параметры!AP$72,Параметры!AP$72,AP260))</f>
        <v>0</v>
      </c>
      <c r="AR260" s="290">
        <f>IF(AR$2=1,Параметры!AR$72,IF(AQ260=Параметры!AQ$72,Параметры!AQ$72,AQ260))</f>
        <v>0</v>
      </c>
      <c r="AS260" s="290">
        <f>IF(AS$2=1,Параметры!AS$72,IF(AR260=Параметры!AR$72,Параметры!AR$72,AR260))</f>
        <v>0</v>
      </c>
      <c r="AT260" s="290">
        <f>IF(AT$2=1,Параметры!AT$72,IF(AS260=Параметры!AS$72,Параметры!AS$72,AS260))</f>
        <v>0</v>
      </c>
      <c r="AU260" s="290">
        <f>IF(AU$2=1,Параметры!AU$72,IF(AT260=Параметры!AT$72,Параметры!AT$72,AT260))</f>
        <v>0</v>
      </c>
      <c r="AV260" s="290">
        <f>IF(AV$2=1,Параметры!AV$72,IF(AU260=Параметры!AU$72,Параметры!AU$72,AU260))</f>
        <v>0</v>
      </c>
      <c r="AW260" s="290">
        <f>IF(AW$2=1,Параметры!AW$72,IF(AV260=Параметры!AV$72,Параметры!AV$72,AV260))</f>
        <v>0</v>
      </c>
      <c r="AX260" s="290">
        <f>IF(AX$2=1,Параметры!AX$72,IF(AW260=Параметры!AW$72,Параметры!AW$72,AW260))</f>
        <v>0</v>
      </c>
      <c r="AY260" s="290">
        <f>IF(AY$2=1,Параметры!AY$72,IF(AX260=Параметры!AX$72,Параметры!AX$72,AX260))</f>
        <v>0</v>
      </c>
      <c r="AZ260" s="290">
        <f>IF(AZ$2=1,Параметры!AZ$72,IF(AY260=Параметры!AY$72,Параметры!AY$72,AY260))</f>
        <v>0</v>
      </c>
      <c r="BA260" s="290">
        <f>IF(BA$2=1,Параметры!BA$72,IF(AZ260=Параметры!AZ$72,Параметры!AZ$72,AZ260))</f>
        <v>0</v>
      </c>
      <c r="BB260" s="290">
        <f>IF(BB$2=1,Параметры!BB$72,IF(BA260=Параметры!BA$72,Параметры!BA$72,BA260))</f>
        <v>0</v>
      </c>
      <c r="BC260" s="190"/>
      <c r="BD260" s="186"/>
    </row>
    <row r="261" spans="1:56" hidden="1" outlineLevel="1" x14ac:dyDescent="0.3">
      <c r="A261" s="184" t="str">
        <f ca="1">Language!A$652</f>
        <v>ставка импортной пошлины</v>
      </c>
      <c r="B261" s="203"/>
      <c r="C261" s="163" t="s">
        <v>1</v>
      </c>
      <c r="D261" s="174"/>
      <c r="F261" s="170" t="s">
        <v>2346</v>
      </c>
      <c r="G261" s="290">
        <v>0</v>
      </c>
      <c r="H261" s="290">
        <f t="shared" ref="H261" si="1292">G261</f>
        <v>0</v>
      </c>
      <c r="I261" s="290">
        <f t="shared" ref="I261" si="1293">H261</f>
        <v>0</v>
      </c>
      <c r="J261" s="290">
        <f t="shared" ref="J261" si="1294">I261</f>
        <v>0</v>
      </c>
      <c r="K261" s="290">
        <f t="shared" ref="K261" si="1295">J261</f>
        <v>0</v>
      </c>
      <c r="L261" s="290">
        <f t="shared" ref="L261" si="1296">K261</f>
        <v>0</v>
      </c>
      <c r="M261" s="290">
        <f t="shared" ref="M261" si="1297">L261</f>
        <v>0</v>
      </c>
      <c r="N261" s="290">
        <f t="shared" ref="N261" si="1298">M261</f>
        <v>0</v>
      </c>
      <c r="O261" s="290">
        <f t="shared" ref="O261" si="1299">N261</f>
        <v>0</v>
      </c>
      <c r="P261" s="290">
        <f t="shared" ref="P261" si="1300">O261</f>
        <v>0</v>
      </c>
      <c r="Q261" s="290">
        <f t="shared" ref="Q261" si="1301">P261</f>
        <v>0</v>
      </c>
      <c r="R261" s="290">
        <f t="shared" ref="R261" si="1302">Q261</f>
        <v>0</v>
      </c>
      <c r="S261" s="290">
        <f t="shared" ref="S261" si="1303">R261</f>
        <v>0</v>
      </c>
      <c r="T261" s="290">
        <f t="shared" ref="T261" si="1304">S261</f>
        <v>0</v>
      </c>
      <c r="U261" s="290">
        <f t="shared" ref="U261" si="1305">T261</f>
        <v>0</v>
      </c>
      <c r="V261" s="290">
        <f t="shared" ref="V261" si="1306">U261</f>
        <v>0</v>
      </c>
      <c r="W261" s="290">
        <f t="shared" ref="W261" si="1307">V261</f>
        <v>0</v>
      </c>
      <c r="X261" s="290">
        <f t="shared" ref="X261" si="1308">W261</f>
        <v>0</v>
      </c>
      <c r="Y261" s="290">
        <f t="shared" ref="Y261" si="1309">X261</f>
        <v>0</v>
      </c>
      <c r="Z261" s="290">
        <f t="shared" ref="Z261" si="1310">Y261</f>
        <v>0</v>
      </c>
      <c r="AA261" s="290">
        <f t="shared" ref="AA261" si="1311">Z261</f>
        <v>0</v>
      </c>
      <c r="AB261" s="290">
        <f t="shared" ref="AB261" si="1312">AA261</f>
        <v>0</v>
      </c>
      <c r="AC261" s="290">
        <f t="shared" ref="AC261" si="1313">AB261</f>
        <v>0</v>
      </c>
      <c r="AD261" s="290">
        <f t="shared" ref="AD261" si="1314">AC261</f>
        <v>0</v>
      </c>
      <c r="AE261" s="290">
        <f t="shared" ref="AE261" si="1315">AD261</f>
        <v>0</v>
      </c>
      <c r="AF261" s="290">
        <f t="shared" ref="AF261" si="1316">AE261</f>
        <v>0</v>
      </c>
      <c r="AG261" s="290">
        <f t="shared" ref="AG261" si="1317">AF261</f>
        <v>0</v>
      </c>
      <c r="AH261" s="290">
        <f t="shared" ref="AH261" si="1318">AG261</f>
        <v>0</v>
      </c>
      <c r="AI261" s="290">
        <f t="shared" ref="AI261" si="1319">AH261</f>
        <v>0</v>
      </c>
      <c r="AJ261" s="290">
        <f t="shared" ref="AJ261" si="1320">AI261</f>
        <v>0</v>
      </c>
      <c r="AK261" s="290">
        <f t="shared" ref="AK261" si="1321">AJ261</f>
        <v>0</v>
      </c>
      <c r="AL261" s="290">
        <f t="shared" ref="AL261" si="1322">AK261</f>
        <v>0</v>
      </c>
      <c r="AM261" s="290">
        <f t="shared" ref="AM261" si="1323">AL261</f>
        <v>0</v>
      </c>
      <c r="AN261" s="290">
        <f t="shared" ref="AN261" si="1324">AM261</f>
        <v>0</v>
      </c>
      <c r="AO261" s="290">
        <f t="shared" ref="AO261" si="1325">AN261</f>
        <v>0</v>
      </c>
      <c r="AP261" s="290">
        <f t="shared" ref="AP261" si="1326">AO261</f>
        <v>0</v>
      </c>
      <c r="AQ261" s="290">
        <f t="shared" ref="AQ261" si="1327">AP261</f>
        <v>0</v>
      </c>
      <c r="AR261" s="290">
        <f t="shared" ref="AR261" si="1328">AQ261</f>
        <v>0</v>
      </c>
      <c r="AS261" s="290">
        <f t="shared" ref="AS261" si="1329">AR261</f>
        <v>0</v>
      </c>
      <c r="AT261" s="290">
        <f t="shared" ref="AT261" si="1330">AS261</f>
        <v>0</v>
      </c>
      <c r="AU261" s="290">
        <f t="shared" ref="AU261" si="1331">AT261</f>
        <v>0</v>
      </c>
      <c r="AV261" s="290">
        <f t="shared" ref="AV261" si="1332">AU261</f>
        <v>0</v>
      </c>
      <c r="AW261" s="290">
        <f t="shared" ref="AW261" si="1333">AV261</f>
        <v>0</v>
      </c>
      <c r="AX261" s="290">
        <f t="shared" ref="AX261" si="1334">AW261</f>
        <v>0</v>
      </c>
      <c r="AY261" s="290">
        <f t="shared" ref="AY261" si="1335">AX261</f>
        <v>0</v>
      </c>
      <c r="AZ261" s="290">
        <f t="shared" ref="AZ261" si="1336">AY261</f>
        <v>0</v>
      </c>
      <c r="BA261" s="290">
        <f t="shared" ref="BA261" si="1337">AZ261</f>
        <v>0</v>
      </c>
      <c r="BB261" s="290">
        <f t="shared" ref="BB261" si="1338">BA261</f>
        <v>0</v>
      </c>
      <c r="BC261" s="190"/>
      <c r="BD261" s="186"/>
    </row>
    <row r="262" spans="1:56" hidden="1" outlineLevel="1" x14ac:dyDescent="0.3">
      <c r="A262" s="184" t="str">
        <f ca="1">Language!A$675</f>
        <v>коэффициент прироста цен к предыдущему периоду</v>
      </c>
      <c r="B262" s="203"/>
      <c r="C262" s="163" t="str">
        <f ca="1">Language!$A$1477</f>
        <v>раз</v>
      </c>
      <c r="D262" s="174"/>
      <c r="F262" s="170" t="s">
        <v>741</v>
      </c>
      <c r="G262" s="191">
        <f ca="1">IF(G$2=1,1,IF(Prj_Inflation=1,POWER(1+OFFSET(G259,0,-1),Параметры!G$30/360),1))</f>
        <v>1</v>
      </c>
      <c r="H262" s="191">
        <f ca="1">IF(H$2=1,1,IF(Prj_Inflation=1,POWER(1+OFFSET(H259,0,-1),Параметры!H$30/360),1))</f>
        <v>1.004867550565343</v>
      </c>
      <c r="I262" s="191">
        <f ca="1">IF(I$2=1,1,IF(Prj_Inflation=1,POWER(1+OFFSET(I259,0,-1),Параметры!I$30/360),1))</f>
        <v>1.004867550565343</v>
      </c>
      <c r="J262" s="191">
        <f ca="1">IF(J$2=1,1,IF(Prj_Inflation=1,POWER(1+OFFSET(J259,0,-1),Параметры!J$30/360),1))</f>
        <v>1.004867550565343</v>
      </c>
      <c r="K262" s="191">
        <f ca="1">IF(K$2=1,1,IF(Prj_Inflation=1,POWER(1+OFFSET(K259,0,-1),Параметры!K$30/360),1))</f>
        <v>1.004867550565343</v>
      </c>
      <c r="L262" s="191">
        <f ca="1">IF(L$2=1,1,IF(Prj_Inflation=1,POWER(1+OFFSET(L259,0,-1),Параметры!L$30/360),1))</f>
        <v>1.004867550565343</v>
      </c>
      <c r="M262" s="191">
        <f ca="1">IF(M$2=1,1,IF(Prj_Inflation=1,POWER(1+OFFSET(M259,0,-1),Параметры!M$30/360),1))</f>
        <v>1.004867550565343</v>
      </c>
      <c r="N262" s="191">
        <f ca="1">IF(N$2=1,1,IF(Prj_Inflation=1,POWER(1+OFFSET(N259,0,-1),Параметры!N$30/360),1))</f>
        <v>1.004867550565343</v>
      </c>
      <c r="O262" s="191">
        <f ca="1">IF(O$2=1,1,IF(Prj_Inflation=1,POWER(1+OFFSET(O259,0,-1),Параметры!O$30/360),1))</f>
        <v>1.004867550565343</v>
      </c>
      <c r="P262" s="191">
        <f ca="1">IF(P$2=1,1,IF(Prj_Inflation=1,POWER(1+OFFSET(P259,0,-1),Параметры!P$30/360),1))</f>
        <v>1.004867550565343</v>
      </c>
      <c r="Q262" s="191">
        <f ca="1">IF(Q$2=1,1,IF(Prj_Inflation=1,POWER(1+OFFSET(Q259,0,-1),Параметры!Q$30/360),1))</f>
        <v>1.004867550565343</v>
      </c>
      <c r="R262" s="191">
        <f ca="1">IF(R$2=1,1,IF(Prj_Inflation=1,POWER(1+OFFSET(R259,0,-1),Параметры!R$30/360),1))</f>
        <v>1.004867550565343</v>
      </c>
      <c r="S262" s="191">
        <f ca="1">IF(S$2=1,1,IF(Prj_Inflation=1,POWER(1+OFFSET(S259,0,-1),Параметры!S$30/360),1))</f>
        <v>1.004867550565343</v>
      </c>
      <c r="T262" s="191">
        <f ca="1">IF(T$2=1,1,IF(Prj_Inflation=1,POWER(1+OFFSET(T259,0,-1),Параметры!T$30/360),1))</f>
        <v>1.004867550565343</v>
      </c>
      <c r="U262" s="191">
        <f ca="1">IF(U$2=1,1,IF(Prj_Inflation=1,POWER(1+OFFSET(U259,0,-1),Параметры!U$30/360),1))</f>
        <v>1.004867550565343</v>
      </c>
      <c r="V262" s="191">
        <f ca="1">IF(V$2=1,1,IF(Prj_Inflation=1,POWER(1+OFFSET(V259,0,-1),Параметры!V$30/360),1))</f>
        <v>1.004867550565343</v>
      </c>
      <c r="W262" s="191">
        <f ca="1">IF(W$2=1,1,IF(Prj_Inflation=1,POWER(1+OFFSET(W259,0,-1),Параметры!W$30/360),1))</f>
        <v>1.004867550565343</v>
      </c>
      <c r="X262" s="191">
        <f ca="1">IF(X$2=1,1,IF(Prj_Inflation=1,POWER(1+OFFSET(X259,0,-1),Параметры!X$30/360),1))</f>
        <v>1.004867550565343</v>
      </c>
      <c r="Y262" s="191">
        <f ca="1">IF(Y$2=1,1,IF(Prj_Inflation=1,POWER(1+OFFSET(Y259,0,-1),Параметры!Y$30/360),1))</f>
        <v>1.004867550565343</v>
      </c>
      <c r="Z262" s="191">
        <f ca="1">IF(Z$2=1,1,IF(Prj_Inflation=1,POWER(1+OFFSET(Z259,0,-1),Параметры!Z$30/360),1))</f>
        <v>1.004867550565343</v>
      </c>
      <c r="AA262" s="191">
        <f ca="1">IF(AA$2=1,1,IF(Prj_Inflation=1,POWER(1+OFFSET(AA259,0,-1),Параметры!AA$30/360),1))</f>
        <v>1.004867550565343</v>
      </c>
      <c r="AB262" s="191">
        <f ca="1">IF(AB$2=1,1,IF(Prj_Inflation=1,POWER(1+OFFSET(AB259,0,-1),Параметры!AB$30/360),1))</f>
        <v>1.004867550565343</v>
      </c>
      <c r="AC262" s="191">
        <f ca="1">IF(AC$2=1,1,IF(Prj_Inflation=1,POWER(1+OFFSET(AC259,0,-1),Параметры!AC$30/360),1))</f>
        <v>1.004867550565343</v>
      </c>
      <c r="AD262" s="191">
        <f ca="1">IF(AD$2=1,1,IF(Prj_Inflation=1,POWER(1+OFFSET(AD259,0,-1),Параметры!AD$30/360),1))</f>
        <v>1.004867550565343</v>
      </c>
      <c r="AE262" s="191">
        <f ca="1">IF(AE$2=1,1,IF(Prj_Inflation=1,POWER(1+OFFSET(AE259,0,-1),Параметры!AE$30/360),1))</f>
        <v>1.004867550565343</v>
      </c>
      <c r="AF262" s="191">
        <f ca="1">IF(AF$2=1,1,IF(Prj_Inflation=1,POWER(1+OFFSET(AF259,0,-1),Параметры!AF$30/360),1))</f>
        <v>1.004867550565343</v>
      </c>
      <c r="AG262" s="191">
        <f ca="1">IF(AG$2=1,1,IF(Prj_Inflation=1,POWER(1+OFFSET(AG259,0,-1),Параметры!AG$30/360),1))</f>
        <v>1.004867550565343</v>
      </c>
      <c r="AH262" s="191">
        <f ca="1">IF(AH$2=1,1,IF(Prj_Inflation=1,POWER(1+OFFSET(AH259,0,-1),Параметры!AH$30/360),1))</f>
        <v>1.004867550565343</v>
      </c>
      <c r="AI262" s="191">
        <f ca="1">IF(AI$2=1,1,IF(Prj_Inflation=1,POWER(1+OFFSET(AI259,0,-1),Параметры!AI$30/360),1))</f>
        <v>1.004867550565343</v>
      </c>
      <c r="AJ262" s="191">
        <f ca="1">IF(AJ$2=1,1,IF(Prj_Inflation=1,POWER(1+OFFSET(AJ259,0,-1),Параметры!AJ$30/360),1))</f>
        <v>1.004867550565343</v>
      </c>
      <c r="AK262" s="191">
        <f ca="1">IF(AK$2=1,1,IF(Prj_Inflation=1,POWER(1+OFFSET(AK259,0,-1),Параметры!AK$30/360),1))</f>
        <v>1.004867550565343</v>
      </c>
      <c r="AL262" s="191">
        <f ca="1">IF(AL$2=1,1,IF(Prj_Inflation=1,POWER(1+OFFSET(AL259,0,-1),Параметры!AL$30/360),1))</f>
        <v>1.004867550565343</v>
      </c>
      <c r="AM262" s="191">
        <f ca="1">IF(AM$2=1,1,IF(Prj_Inflation=1,POWER(1+OFFSET(AM259,0,-1),Параметры!AM$30/360),1))</f>
        <v>1.004867550565343</v>
      </c>
      <c r="AN262" s="191">
        <f ca="1">IF(AN$2=1,1,IF(Prj_Inflation=1,POWER(1+OFFSET(AN259,0,-1),Параметры!AN$30/360),1))</f>
        <v>1.004867550565343</v>
      </c>
      <c r="AO262" s="191">
        <f ca="1">IF(AO$2=1,1,IF(Prj_Inflation=1,POWER(1+OFFSET(AO259,0,-1),Параметры!AO$30/360),1))</f>
        <v>1.004867550565343</v>
      </c>
      <c r="AP262" s="191">
        <f ca="1">IF(AP$2=1,1,IF(Prj_Inflation=1,POWER(1+OFFSET(AP259,0,-1),Параметры!AP$30/360),1))</f>
        <v>1.004867550565343</v>
      </c>
      <c r="AQ262" s="191">
        <f ca="1">IF(AQ$2=1,1,IF(Prj_Inflation=1,POWER(1+OFFSET(AQ259,0,-1),Параметры!AQ$30/360),1))</f>
        <v>1.004867550565343</v>
      </c>
      <c r="AR262" s="191">
        <f ca="1">IF(AR$2=1,1,IF(Prj_Inflation=1,POWER(1+OFFSET(AR259,0,-1),Параметры!AR$30/360),1))</f>
        <v>1.004867550565343</v>
      </c>
      <c r="AS262" s="191">
        <f ca="1">IF(AS$2=1,1,IF(Prj_Inflation=1,POWER(1+OFFSET(AS259,0,-1),Параметры!AS$30/360),1))</f>
        <v>1.004867550565343</v>
      </c>
      <c r="AT262" s="191">
        <f ca="1">IF(AT$2=1,1,IF(Prj_Inflation=1,POWER(1+OFFSET(AT259,0,-1),Параметры!AT$30/360),1))</f>
        <v>1.004867550565343</v>
      </c>
      <c r="AU262" s="191">
        <f ca="1">IF(AU$2=1,1,IF(Prj_Inflation=1,POWER(1+OFFSET(AU259,0,-1),Параметры!AU$30/360),1))</f>
        <v>1.004867550565343</v>
      </c>
      <c r="AV262" s="191">
        <f ca="1">IF(AV$2=1,1,IF(Prj_Inflation=1,POWER(1+OFFSET(AV259,0,-1),Параметры!AV$30/360),1))</f>
        <v>1.004867550565343</v>
      </c>
      <c r="AW262" s="191">
        <f ca="1">IF(AW$2=1,1,IF(Prj_Inflation=1,POWER(1+OFFSET(AW259,0,-1),Параметры!AW$30/360),1))</f>
        <v>1.004867550565343</v>
      </c>
      <c r="AX262" s="191">
        <f ca="1">IF(AX$2=1,1,IF(Prj_Inflation=1,POWER(1+OFFSET(AX259,0,-1),Параметры!AX$30/360),1))</f>
        <v>1.004867550565343</v>
      </c>
      <c r="AY262" s="191">
        <f ca="1">IF(AY$2=1,1,IF(Prj_Inflation=1,POWER(1+OFFSET(AY259,0,-1),Параметры!AY$30/360),1))</f>
        <v>1.004867550565343</v>
      </c>
      <c r="AZ262" s="191">
        <f ca="1">IF(AZ$2=1,1,IF(Prj_Inflation=1,POWER(1+OFFSET(AZ259,0,-1),Параметры!AZ$30/360),1))</f>
        <v>1.004867550565343</v>
      </c>
      <c r="BA262" s="191">
        <f ca="1">IF(BA$2=1,1,IF(Prj_Inflation=1,POWER(1+OFFSET(BA259,0,-1),Параметры!BA$30/360),1))</f>
        <v>1.004867550565343</v>
      </c>
      <c r="BB262" s="191">
        <f ca="1">IF(BB$2=1,1,IF(Prj_Inflation=1,POWER(1+OFFSET(BB259,0,-1),Параметры!BB$30/360),1))</f>
        <v>1.004867550565343</v>
      </c>
      <c r="BC262" s="191"/>
      <c r="BD262" s="186"/>
    </row>
    <row r="263" spans="1:56" hidden="1" outlineLevel="1" x14ac:dyDescent="0.3">
      <c r="A263" s="184" t="str">
        <f ca="1">Language!A$1486</f>
        <v>индексировать в начале года</v>
      </c>
      <c r="B263" s="291">
        <v>0</v>
      </c>
      <c r="C263" s="163" t="str">
        <f ca="1">IF(B263=1,Language!$A$1475,Language!$A$1476)</f>
        <v>Нет</v>
      </c>
      <c r="D263" s="174"/>
      <c r="F263" s="170" t="s">
        <v>3408</v>
      </c>
      <c r="G263" s="192" t="str">
        <f ca="1">IF(Prj_Inflation=1,IF($B263=1,IF(G$2=1,1,IF(Параметры!G$29=1,1+OFFSET(G259,0,-1),1)),"-"),1)</f>
        <v>-</v>
      </c>
      <c r="H263" s="192" t="str">
        <f ca="1">IF(Prj_Inflation=1,IF($B263=1,IF(H$2=1,1,IF(Параметры!H$29=1,1+OFFSET(H259,0,-1),1)),"-"),1)</f>
        <v>-</v>
      </c>
      <c r="I263" s="192" t="str">
        <f ca="1">IF(Prj_Inflation=1,IF($B263=1,IF(I$2=1,1,IF(Параметры!I$29=1,1+OFFSET(I259,0,-1),1)),"-"),1)</f>
        <v>-</v>
      </c>
      <c r="J263" s="192" t="str">
        <f ca="1">IF(Prj_Inflation=1,IF($B263=1,IF(J$2=1,1,IF(Параметры!J$29=1,1+OFFSET(J259,0,-1),1)),"-"),1)</f>
        <v>-</v>
      </c>
      <c r="K263" s="192" t="str">
        <f ca="1">IF(Prj_Inflation=1,IF($B263=1,IF(K$2=1,1,IF(Параметры!K$29=1,1+OFFSET(K259,0,-1),1)),"-"),1)</f>
        <v>-</v>
      </c>
      <c r="L263" s="192" t="str">
        <f ca="1">IF(Prj_Inflation=1,IF($B263=1,IF(L$2=1,1,IF(Параметры!L$29=1,1+OFFSET(L259,0,-1),1)),"-"),1)</f>
        <v>-</v>
      </c>
      <c r="M263" s="192" t="str">
        <f ca="1">IF(Prj_Inflation=1,IF($B263=1,IF(M$2=1,1,IF(Параметры!M$29=1,1+OFFSET(M259,0,-1),1)),"-"),1)</f>
        <v>-</v>
      </c>
      <c r="N263" s="192" t="str">
        <f ca="1">IF(Prj_Inflation=1,IF($B263=1,IF(N$2=1,1,IF(Параметры!N$29=1,1+OFFSET(N259,0,-1),1)),"-"),1)</f>
        <v>-</v>
      </c>
      <c r="O263" s="192" t="str">
        <f ca="1">IF(Prj_Inflation=1,IF($B263=1,IF(O$2=1,1,IF(Параметры!O$29=1,1+OFFSET(O259,0,-1),1)),"-"),1)</f>
        <v>-</v>
      </c>
      <c r="P263" s="192" t="str">
        <f ca="1">IF(Prj_Inflation=1,IF($B263=1,IF(P$2=1,1,IF(Параметры!P$29=1,1+OFFSET(P259,0,-1),1)),"-"),1)</f>
        <v>-</v>
      </c>
      <c r="Q263" s="192" t="str">
        <f ca="1">IF(Prj_Inflation=1,IF($B263=1,IF(Q$2=1,1,IF(Параметры!Q$29=1,1+OFFSET(Q259,0,-1),1)),"-"),1)</f>
        <v>-</v>
      </c>
      <c r="R263" s="192" t="str">
        <f ca="1">IF(Prj_Inflation=1,IF($B263=1,IF(R$2=1,1,IF(Параметры!R$29=1,1+OFFSET(R259,0,-1),1)),"-"),1)</f>
        <v>-</v>
      </c>
      <c r="S263" s="192" t="str">
        <f ca="1">IF(Prj_Inflation=1,IF($B263=1,IF(S$2=1,1,IF(Параметры!S$29=1,1+OFFSET(S259,0,-1),1)),"-"),1)</f>
        <v>-</v>
      </c>
      <c r="T263" s="192" t="str">
        <f ca="1">IF(Prj_Inflation=1,IF($B263=1,IF(T$2=1,1,IF(Параметры!T$29=1,1+OFFSET(T259,0,-1),1)),"-"),1)</f>
        <v>-</v>
      </c>
      <c r="U263" s="192" t="str">
        <f ca="1">IF(Prj_Inflation=1,IF($B263=1,IF(U$2=1,1,IF(Параметры!U$29=1,1+OFFSET(U259,0,-1),1)),"-"),1)</f>
        <v>-</v>
      </c>
      <c r="V263" s="192" t="str">
        <f ca="1">IF(Prj_Inflation=1,IF($B263=1,IF(V$2=1,1,IF(Параметры!V$29=1,1+OFFSET(V259,0,-1),1)),"-"),1)</f>
        <v>-</v>
      </c>
      <c r="W263" s="192" t="str">
        <f ca="1">IF(Prj_Inflation=1,IF($B263=1,IF(W$2=1,1,IF(Параметры!W$29=1,1+OFFSET(W259,0,-1),1)),"-"),1)</f>
        <v>-</v>
      </c>
      <c r="X263" s="192" t="str">
        <f ca="1">IF(Prj_Inflation=1,IF($B263=1,IF(X$2=1,1,IF(Параметры!X$29=1,1+OFFSET(X259,0,-1),1)),"-"),1)</f>
        <v>-</v>
      </c>
      <c r="Y263" s="192" t="str">
        <f ca="1">IF(Prj_Inflation=1,IF($B263=1,IF(Y$2=1,1,IF(Параметры!Y$29=1,1+OFFSET(Y259,0,-1),1)),"-"),1)</f>
        <v>-</v>
      </c>
      <c r="Z263" s="192" t="str">
        <f ca="1">IF(Prj_Inflation=1,IF($B263=1,IF(Z$2=1,1,IF(Параметры!Z$29=1,1+OFFSET(Z259,0,-1),1)),"-"),1)</f>
        <v>-</v>
      </c>
      <c r="AA263" s="192" t="str">
        <f ca="1">IF(Prj_Inflation=1,IF($B263=1,IF(AA$2=1,1,IF(Параметры!AA$29=1,1+OFFSET(AA259,0,-1),1)),"-"),1)</f>
        <v>-</v>
      </c>
      <c r="AB263" s="192" t="str">
        <f ca="1">IF(Prj_Inflation=1,IF($B263=1,IF(AB$2=1,1,IF(Параметры!AB$29=1,1+OFFSET(AB259,0,-1),1)),"-"),1)</f>
        <v>-</v>
      </c>
      <c r="AC263" s="192" t="str">
        <f ca="1">IF(Prj_Inflation=1,IF($B263=1,IF(AC$2=1,1,IF(Параметры!AC$29=1,1+OFFSET(AC259,0,-1),1)),"-"),1)</f>
        <v>-</v>
      </c>
      <c r="AD263" s="192" t="str">
        <f ca="1">IF(Prj_Inflation=1,IF($B263=1,IF(AD$2=1,1,IF(Параметры!AD$29=1,1+OFFSET(AD259,0,-1),1)),"-"),1)</f>
        <v>-</v>
      </c>
      <c r="AE263" s="192" t="str">
        <f ca="1">IF(Prj_Inflation=1,IF($B263=1,IF(AE$2=1,1,IF(Параметры!AE$29=1,1+OFFSET(AE259,0,-1),1)),"-"),1)</f>
        <v>-</v>
      </c>
      <c r="AF263" s="192" t="str">
        <f ca="1">IF(Prj_Inflation=1,IF($B263=1,IF(AF$2=1,1,IF(Параметры!AF$29=1,1+OFFSET(AF259,0,-1),1)),"-"),1)</f>
        <v>-</v>
      </c>
      <c r="AG263" s="192" t="str">
        <f ca="1">IF(Prj_Inflation=1,IF($B263=1,IF(AG$2=1,1,IF(Параметры!AG$29=1,1+OFFSET(AG259,0,-1),1)),"-"),1)</f>
        <v>-</v>
      </c>
      <c r="AH263" s="192" t="str">
        <f ca="1">IF(Prj_Inflation=1,IF($B263=1,IF(AH$2=1,1,IF(Параметры!AH$29=1,1+OFFSET(AH259,0,-1),1)),"-"),1)</f>
        <v>-</v>
      </c>
      <c r="AI263" s="192" t="str">
        <f ca="1">IF(Prj_Inflation=1,IF($B263=1,IF(AI$2=1,1,IF(Параметры!AI$29=1,1+OFFSET(AI259,0,-1),1)),"-"),1)</f>
        <v>-</v>
      </c>
      <c r="AJ263" s="192" t="str">
        <f ca="1">IF(Prj_Inflation=1,IF($B263=1,IF(AJ$2=1,1,IF(Параметры!AJ$29=1,1+OFFSET(AJ259,0,-1),1)),"-"),1)</f>
        <v>-</v>
      </c>
      <c r="AK263" s="192" t="str">
        <f ca="1">IF(Prj_Inflation=1,IF($B263=1,IF(AK$2=1,1,IF(Параметры!AK$29=1,1+OFFSET(AK259,0,-1),1)),"-"),1)</f>
        <v>-</v>
      </c>
      <c r="AL263" s="192" t="str">
        <f ca="1">IF(Prj_Inflation=1,IF($B263=1,IF(AL$2=1,1,IF(Параметры!AL$29=1,1+OFFSET(AL259,0,-1),1)),"-"),1)</f>
        <v>-</v>
      </c>
      <c r="AM263" s="192" t="str">
        <f ca="1">IF(Prj_Inflation=1,IF($B263=1,IF(AM$2=1,1,IF(Параметры!AM$29=1,1+OFFSET(AM259,0,-1),1)),"-"),1)</f>
        <v>-</v>
      </c>
      <c r="AN263" s="192" t="str">
        <f ca="1">IF(Prj_Inflation=1,IF($B263=1,IF(AN$2=1,1,IF(Параметры!AN$29=1,1+OFFSET(AN259,0,-1),1)),"-"),1)</f>
        <v>-</v>
      </c>
      <c r="AO263" s="192" t="str">
        <f ca="1">IF(Prj_Inflation=1,IF($B263=1,IF(AO$2=1,1,IF(Параметры!AO$29=1,1+OFFSET(AO259,0,-1),1)),"-"),1)</f>
        <v>-</v>
      </c>
      <c r="AP263" s="192" t="str">
        <f ca="1">IF(Prj_Inflation=1,IF($B263=1,IF(AP$2=1,1,IF(Параметры!AP$29=1,1+OFFSET(AP259,0,-1),1)),"-"),1)</f>
        <v>-</v>
      </c>
      <c r="AQ263" s="192" t="str">
        <f ca="1">IF(Prj_Inflation=1,IF($B263=1,IF(AQ$2=1,1,IF(Параметры!AQ$29=1,1+OFFSET(AQ259,0,-1),1)),"-"),1)</f>
        <v>-</v>
      </c>
      <c r="AR263" s="192" t="str">
        <f ca="1">IF(Prj_Inflation=1,IF($B263=1,IF(AR$2=1,1,IF(Параметры!AR$29=1,1+OFFSET(AR259,0,-1),1)),"-"),1)</f>
        <v>-</v>
      </c>
      <c r="AS263" s="192" t="str">
        <f ca="1">IF(Prj_Inflation=1,IF($B263=1,IF(AS$2=1,1,IF(Параметры!AS$29=1,1+OFFSET(AS259,0,-1),1)),"-"),1)</f>
        <v>-</v>
      </c>
      <c r="AT263" s="192" t="str">
        <f ca="1">IF(Prj_Inflation=1,IF($B263=1,IF(AT$2=1,1,IF(Параметры!AT$29=1,1+OFFSET(AT259,0,-1),1)),"-"),1)</f>
        <v>-</v>
      </c>
      <c r="AU263" s="192" t="str">
        <f ca="1">IF(Prj_Inflation=1,IF($B263=1,IF(AU$2=1,1,IF(Параметры!AU$29=1,1+OFFSET(AU259,0,-1),1)),"-"),1)</f>
        <v>-</v>
      </c>
      <c r="AV263" s="192" t="str">
        <f ca="1">IF(Prj_Inflation=1,IF($B263=1,IF(AV$2=1,1,IF(Параметры!AV$29=1,1+OFFSET(AV259,0,-1),1)),"-"),1)</f>
        <v>-</v>
      </c>
      <c r="AW263" s="192" t="str">
        <f ca="1">IF(Prj_Inflation=1,IF($B263=1,IF(AW$2=1,1,IF(Параметры!AW$29=1,1+OFFSET(AW259,0,-1),1)),"-"),1)</f>
        <v>-</v>
      </c>
      <c r="AX263" s="192" t="str">
        <f ca="1">IF(Prj_Inflation=1,IF($B263=1,IF(AX$2=1,1,IF(Параметры!AX$29=1,1+OFFSET(AX259,0,-1),1)),"-"),1)</f>
        <v>-</v>
      </c>
      <c r="AY263" s="192" t="str">
        <f ca="1">IF(Prj_Inflation=1,IF($B263=1,IF(AY$2=1,1,IF(Параметры!AY$29=1,1+OFFSET(AY259,0,-1),1)),"-"),1)</f>
        <v>-</v>
      </c>
      <c r="AZ263" s="192" t="str">
        <f ca="1">IF(Prj_Inflation=1,IF($B263=1,IF(AZ$2=1,1,IF(Параметры!AZ$29=1,1+OFFSET(AZ259,0,-1),1)),"-"),1)</f>
        <v>-</v>
      </c>
      <c r="BA263" s="192" t="str">
        <f ca="1">IF(Prj_Inflation=1,IF($B263=1,IF(BA$2=1,1,IF(Параметры!BA$29=1,1+OFFSET(BA259,0,-1),1)),"-"),1)</f>
        <v>-</v>
      </c>
      <c r="BB263" s="192" t="str">
        <f ca="1">IF(Prj_Inflation=1,IF($B263=1,IF(BB$2=1,1,IF(Параметры!BB$29=1,1+OFFSET(BB259,0,-1),1)),"-"),1)</f>
        <v>-</v>
      </c>
      <c r="BC263" s="191"/>
      <c r="BD263" s="186"/>
    </row>
    <row r="264" spans="1:56" hidden="1" outlineLevel="1" x14ac:dyDescent="0.3">
      <c r="A264" s="184" t="str">
        <f ca="1">Language!A$654</f>
        <v>пошлины начисленные</v>
      </c>
      <c r="B264" s="174"/>
      <c r="C264" s="163" t="str">
        <f ca="1">CHOOSE(D264,CurName1,CurName2,CurName3)</f>
        <v>руб.</v>
      </c>
      <c r="D264" s="174">
        <f>D242</f>
        <v>1</v>
      </c>
      <c r="E264" s="170" t="s">
        <v>1010</v>
      </c>
      <c r="F264" s="170" t="s">
        <v>740</v>
      </c>
      <c r="G264" s="185">
        <f ca="1">G252*G261</f>
        <v>0</v>
      </c>
      <c r="H264" s="185">
        <f t="shared" ref="H264:BB264" ca="1" si="1339">H252*H261</f>
        <v>0</v>
      </c>
      <c r="I264" s="185">
        <f t="shared" ca="1" si="1339"/>
        <v>0</v>
      </c>
      <c r="J264" s="185">
        <f t="shared" ca="1" si="1339"/>
        <v>0</v>
      </c>
      <c r="K264" s="185">
        <f t="shared" ca="1" si="1339"/>
        <v>0</v>
      </c>
      <c r="L264" s="185">
        <f t="shared" ca="1" si="1339"/>
        <v>0</v>
      </c>
      <c r="M264" s="185">
        <f t="shared" ca="1" si="1339"/>
        <v>0</v>
      </c>
      <c r="N264" s="185">
        <f t="shared" ca="1" si="1339"/>
        <v>0</v>
      </c>
      <c r="O264" s="185">
        <f t="shared" ca="1" si="1339"/>
        <v>0</v>
      </c>
      <c r="P264" s="185">
        <f t="shared" ca="1" si="1339"/>
        <v>0</v>
      </c>
      <c r="Q264" s="185">
        <f t="shared" ca="1" si="1339"/>
        <v>0</v>
      </c>
      <c r="R264" s="185">
        <f t="shared" ca="1" si="1339"/>
        <v>0</v>
      </c>
      <c r="S264" s="185">
        <f t="shared" ca="1" si="1339"/>
        <v>0</v>
      </c>
      <c r="T264" s="185">
        <f t="shared" ca="1" si="1339"/>
        <v>0</v>
      </c>
      <c r="U264" s="185">
        <f t="shared" ca="1" si="1339"/>
        <v>0</v>
      </c>
      <c r="V264" s="185">
        <f t="shared" ca="1" si="1339"/>
        <v>0</v>
      </c>
      <c r="W264" s="185">
        <f t="shared" ca="1" si="1339"/>
        <v>0</v>
      </c>
      <c r="X264" s="185">
        <f t="shared" ca="1" si="1339"/>
        <v>0</v>
      </c>
      <c r="Y264" s="185">
        <f t="shared" ca="1" si="1339"/>
        <v>0</v>
      </c>
      <c r="Z264" s="185">
        <f t="shared" ca="1" si="1339"/>
        <v>0</v>
      </c>
      <c r="AA264" s="185">
        <f t="shared" ca="1" si="1339"/>
        <v>0</v>
      </c>
      <c r="AB264" s="185">
        <f t="shared" ca="1" si="1339"/>
        <v>0</v>
      </c>
      <c r="AC264" s="185">
        <f t="shared" ca="1" si="1339"/>
        <v>0</v>
      </c>
      <c r="AD264" s="185">
        <f t="shared" ca="1" si="1339"/>
        <v>0</v>
      </c>
      <c r="AE264" s="185">
        <f t="shared" ca="1" si="1339"/>
        <v>0</v>
      </c>
      <c r="AF264" s="185">
        <f t="shared" ca="1" si="1339"/>
        <v>0</v>
      </c>
      <c r="AG264" s="185">
        <f t="shared" ca="1" si="1339"/>
        <v>0</v>
      </c>
      <c r="AH264" s="185">
        <f t="shared" ca="1" si="1339"/>
        <v>0</v>
      </c>
      <c r="AI264" s="185">
        <f t="shared" ca="1" si="1339"/>
        <v>0</v>
      </c>
      <c r="AJ264" s="185">
        <f t="shared" ca="1" si="1339"/>
        <v>0</v>
      </c>
      <c r="AK264" s="185">
        <f t="shared" ca="1" si="1339"/>
        <v>0</v>
      </c>
      <c r="AL264" s="185">
        <f t="shared" ca="1" si="1339"/>
        <v>0</v>
      </c>
      <c r="AM264" s="185">
        <f t="shared" ca="1" si="1339"/>
        <v>0</v>
      </c>
      <c r="AN264" s="185">
        <f t="shared" ca="1" si="1339"/>
        <v>0</v>
      </c>
      <c r="AO264" s="185">
        <f t="shared" ca="1" si="1339"/>
        <v>0</v>
      </c>
      <c r="AP264" s="185">
        <f t="shared" ca="1" si="1339"/>
        <v>0</v>
      </c>
      <c r="AQ264" s="185">
        <f t="shared" ca="1" si="1339"/>
        <v>0</v>
      </c>
      <c r="AR264" s="185">
        <f t="shared" ca="1" si="1339"/>
        <v>0</v>
      </c>
      <c r="AS264" s="185">
        <f t="shared" ca="1" si="1339"/>
        <v>0</v>
      </c>
      <c r="AT264" s="185">
        <f t="shared" ca="1" si="1339"/>
        <v>0</v>
      </c>
      <c r="AU264" s="185">
        <f t="shared" ca="1" si="1339"/>
        <v>0</v>
      </c>
      <c r="AV264" s="185">
        <f t="shared" ca="1" si="1339"/>
        <v>0</v>
      </c>
      <c r="AW264" s="185">
        <f t="shared" ca="1" si="1339"/>
        <v>0</v>
      </c>
      <c r="AX264" s="185">
        <f t="shared" ca="1" si="1339"/>
        <v>0</v>
      </c>
      <c r="AY264" s="185">
        <f t="shared" ca="1" si="1339"/>
        <v>0</v>
      </c>
      <c r="AZ264" s="185">
        <f t="shared" ca="1" si="1339"/>
        <v>0</v>
      </c>
      <c r="BA264" s="185">
        <f t="shared" ca="1" si="1339"/>
        <v>0</v>
      </c>
      <c r="BB264" s="185">
        <f t="shared" ca="1" si="1339"/>
        <v>0</v>
      </c>
      <c r="BC264" s="185"/>
      <c r="BD264" s="193">
        <f ca="1">SUM(G264:BC264)</f>
        <v>0</v>
      </c>
    </row>
    <row r="265" spans="1:56" hidden="1" outlineLevel="1" x14ac:dyDescent="0.3">
      <c r="A265" s="184" t="str">
        <f ca="1">Language!A$655</f>
        <v>НДС начисленный</v>
      </c>
      <c r="B265" s="174"/>
      <c r="C265" s="163" t="str">
        <f ca="1">CHOOSE(D265,CurName1,CurName2,CurName3)</f>
        <v>руб.</v>
      </c>
      <c r="D265" s="174">
        <f>D242</f>
        <v>1</v>
      </c>
      <c r="E265" s="170" t="s">
        <v>785</v>
      </c>
      <c r="F265" s="170" t="s">
        <v>740</v>
      </c>
      <c r="G265" s="185">
        <f ca="1">IF(Старт!$B$9+Старт!$B$10+Старт!$B$11=0,G252,G245)*G260</f>
        <v>0</v>
      </c>
      <c r="H265" s="185">
        <f ca="1">IF(Старт!$B$9+Старт!$B$10+Старт!$B$11=0,H252,H245)*H260</f>
        <v>0</v>
      </c>
      <c r="I265" s="185">
        <f ca="1">IF(Старт!$B$9+Старт!$B$10+Старт!$B$11=0,I252,I245)*I260</f>
        <v>0</v>
      </c>
      <c r="J265" s="185">
        <f ca="1">IF(Старт!$B$9+Старт!$B$10+Старт!$B$11=0,J252,J245)*J260</f>
        <v>0</v>
      </c>
      <c r="K265" s="185">
        <f ca="1">IF(Старт!$B$9+Старт!$B$10+Старт!$B$11=0,K252,K245)*K260</f>
        <v>0</v>
      </c>
      <c r="L265" s="185">
        <f ca="1">IF(Старт!$B$9+Старт!$B$10+Старт!$B$11=0,L252,L245)*L260</f>
        <v>0</v>
      </c>
      <c r="M265" s="185">
        <f ca="1">IF(Старт!$B$9+Старт!$B$10+Старт!$B$11=0,M252,M245)*M260</f>
        <v>0</v>
      </c>
      <c r="N265" s="185">
        <f ca="1">IF(Старт!$B$9+Старт!$B$10+Старт!$B$11=0,N252,N245)*N260</f>
        <v>0</v>
      </c>
      <c r="O265" s="185">
        <f ca="1">IF(Старт!$B$9+Старт!$B$10+Старт!$B$11=0,O252,O245)*O260</f>
        <v>0</v>
      </c>
      <c r="P265" s="185">
        <f ca="1">IF(Старт!$B$9+Старт!$B$10+Старт!$B$11=0,P252,P245)*P260</f>
        <v>0</v>
      </c>
      <c r="Q265" s="185">
        <f ca="1">IF(Старт!$B$9+Старт!$B$10+Старт!$B$11=0,Q252,Q245)*Q260</f>
        <v>0</v>
      </c>
      <c r="R265" s="185">
        <f ca="1">IF(Старт!$B$9+Старт!$B$10+Старт!$B$11=0,R252,R245)*R260</f>
        <v>0</v>
      </c>
      <c r="S265" s="185">
        <f ca="1">IF(Старт!$B$9+Старт!$B$10+Старт!$B$11=0,S252,S245)*S260</f>
        <v>0</v>
      </c>
      <c r="T265" s="185">
        <f ca="1">IF(Старт!$B$9+Старт!$B$10+Старт!$B$11=0,T252,T245)*T260</f>
        <v>0</v>
      </c>
      <c r="U265" s="185">
        <f ca="1">IF(Старт!$B$9+Старт!$B$10+Старт!$B$11=0,U252,U245)*U260</f>
        <v>0</v>
      </c>
      <c r="V265" s="185">
        <f ca="1">IF(Старт!$B$9+Старт!$B$10+Старт!$B$11=0,V252,V245)*V260</f>
        <v>0</v>
      </c>
      <c r="W265" s="185">
        <f ca="1">IF(Старт!$B$9+Старт!$B$10+Старт!$B$11=0,W252,W245)*W260</f>
        <v>0</v>
      </c>
      <c r="X265" s="185">
        <f ca="1">IF(Старт!$B$9+Старт!$B$10+Старт!$B$11=0,X252,X245)*X260</f>
        <v>0</v>
      </c>
      <c r="Y265" s="185">
        <f ca="1">IF(Старт!$B$9+Старт!$B$10+Старт!$B$11=0,Y252,Y245)*Y260</f>
        <v>0</v>
      </c>
      <c r="Z265" s="185">
        <f ca="1">IF(Старт!$B$9+Старт!$B$10+Старт!$B$11=0,Z252,Z245)*Z260</f>
        <v>0</v>
      </c>
      <c r="AA265" s="185">
        <f ca="1">IF(Старт!$B$9+Старт!$B$10+Старт!$B$11=0,AA252,AA245)*AA260</f>
        <v>0</v>
      </c>
      <c r="AB265" s="185">
        <f ca="1">IF(Старт!$B$9+Старт!$B$10+Старт!$B$11=0,AB252,AB245)*AB260</f>
        <v>0</v>
      </c>
      <c r="AC265" s="185">
        <f ca="1">IF(Старт!$B$9+Старт!$B$10+Старт!$B$11=0,AC252,AC245)*AC260</f>
        <v>0</v>
      </c>
      <c r="AD265" s="185">
        <f ca="1">IF(Старт!$B$9+Старт!$B$10+Старт!$B$11=0,AD252,AD245)*AD260</f>
        <v>0</v>
      </c>
      <c r="AE265" s="185">
        <f ca="1">IF(Старт!$B$9+Старт!$B$10+Старт!$B$11=0,AE252,AE245)*AE260</f>
        <v>0</v>
      </c>
      <c r="AF265" s="185">
        <f ca="1">IF(Старт!$B$9+Старт!$B$10+Старт!$B$11=0,AF252,AF245)*AF260</f>
        <v>0</v>
      </c>
      <c r="AG265" s="185">
        <f ca="1">IF(Старт!$B$9+Старт!$B$10+Старт!$B$11=0,AG252,AG245)*AG260</f>
        <v>0</v>
      </c>
      <c r="AH265" s="185">
        <f ca="1">IF(Старт!$B$9+Старт!$B$10+Старт!$B$11=0,AH252,AH245)*AH260</f>
        <v>0</v>
      </c>
      <c r="AI265" s="185">
        <f ca="1">IF(Старт!$B$9+Старт!$B$10+Старт!$B$11=0,AI252,AI245)*AI260</f>
        <v>0</v>
      </c>
      <c r="AJ265" s="185">
        <f ca="1">IF(Старт!$B$9+Старт!$B$10+Старт!$B$11=0,AJ252,AJ245)*AJ260</f>
        <v>0</v>
      </c>
      <c r="AK265" s="185">
        <f ca="1">IF(Старт!$B$9+Старт!$B$10+Старт!$B$11=0,AK252,AK245)*AK260</f>
        <v>0</v>
      </c>
      <c r="AL265" s="185">
        <f ca="1">IF(Старт!$B$9+Старт!$B$10+Старт!$B$11=0,AL252,AL245)*AL260</f>
        <v>0</v>
      </c>
      <c r="AM265" s="185">
        <f ca="1">IF(Старт!$B$9+Старт!$B$10+Старт!$B$11=0,AM252,AM245)*AM260</f>
        <v>0</v>
      </c>
      <c r="AN265" s="185">
        <f ca="1">IF(Старт!$B$9+Старт!$B$10+Старт!$B$11=0,AN252,AN245)*AN260</f>
        <v>0</v>
      </c>
      <c r="AO265" s="185">
        <f ca="1">IF(Старт!$B$9+Старт!$B$10+Старт!$B$11=0,AO252,AO245)*AO260</f>
        <v>0</v>
      </c>
      <c r="AP265" s="185">
        <f ca="1">IF(Старт!$B$9+Старт!$B$10+Старт!$B$11=0,AP252,AP245)*AP260</f>
        <v>0</v>
      </c>
      <c r="AQ265" s="185">
        <f ca="1">IF(Старт!$B$9+Старт!$B$10+Старт!$B$11=0,AQ252,AQ245)*AQ260</f>
        <v>0</v>
      </c>
      <c r="AR265" s="185">
        <f ca="1">IF(Старт!$B$9+Старт!$B$10+Старт!$B$11=0,AR252,AR245)*AR260</f>
        <v>0</v>
      </c>
      <c r="AS265" s="185">
        <f ca="1">IF(Старт!$B$9+Старт!$B$10+Старт!$B$11=0,AS252,AS245)*AS260</f>
        <v>0</v>
      </c>
      <c r="AT265" s="185">
        <f ca="1">IF(Старт!$B$9+Старт!$B$10+Старт!$B$11=0,AT252,AT245)*AT260</f>
        <v>0</v>
      </c>
      <c r="AU265" s="185">
        <f ca="1">IF(Старт!$B$9+Старт!$B$10+Старт!$B$11=0,AU252,AU245)*AU260</f>
        <v>0</v>
      </c>
      <c r="AV265" s="185">
        <f ca="1">IF(Старт!$B$9+Старт!$B$10+Старт!$B$11=0,AV252,AV245)*AV260</f>
        <v>0</v>
      </c>
      <c r="AW265" s="185">
        <f ca="1">IF(Старт!$B$9+Старт!$B$10+Старт!$B$11=0,AW252,AW245)*AW260</f>
        <v>0</v>
      </c>
      <c r="AX265" s="185">
        <f ca="1">IF(Старт!$B$9+Старт!$B$10+Старт!$B$11=0,AX252,AX245)*AX260</f>
        <v>0</v>
      </c>
      <c r="AY265" s="185">
        <f ca="1">IF(Старт!$B$9+Старт!$B$10+Старт!$B$11=0,AY252,AY245)*AY260</f>
        <v>0</v>
      </c>
      <c r="AZ265" s="185">
        <f ca="1">IF(Старт!$B$9+Старт!$B$10+Старт!$B$11=0,AZ252,AZ245)*AZ260</f>
        <v>0</v>
      </c>
      <c r="BA265" s="185">
        <f ca="1">IF(Старт!$B$9+Старт!$B$10+Старт!$B$11=0,BA252,BA245)*BA260</f>
        <v>0</v>
      </c>
      <c r="BB265" s="185">
        <f ca="1">IF(Старт!$B$9+Старт!$B$10+Старт!$B$11=0,BB252,BB245)*BB260</f>
        <v>0</v>
      </c>
      <c r="BC265" s="185"/>
      <c r="BD265" s="193">
        <f ca="1">SUM(G265:BC265)</f>
        <v>0</v>
      </c>
    </row>
    <row r="267" spans="1:56" x14ac:dyDescent="0.3">
      <c r="A267" s="169" t="str">
        <f ca="1">Language!A$678</f>
        <v>Итого: Материальные затраты</v>
      </c>
      <c r="E267" s="170" t="s">
        <v>712</v>
      </c>
    </row>
    <row r="268" spans="1:56" collapsed="1" x14ac:dyDescent="0.3">
      <c r="A268" s="175" t="str">
        <f ca="1">Language!A$679</f>
        <v>Суммарные затраты в отчете о прибылях и убытках</v>
      </c>
      <c r="C268" s="194" t="str">
        <f t="shared" ref="C268:C279" ca="1" si="1340">CurName1</f>
        <v>руб.</v>
      </c>
      <c r="F268" s="170" t="s">
        <v>1097</v>
      </c>
      <c r="G268" s="177">
        <f t="shared" ref="G268:AL268" ca="1" si="1341">SUM(G$196,G$221,G$245)</f>
        <v>0</v>
      </c>
      <c r="H268" s="177">
        <f t="shared" ca="1" si="1341"/>
        <v>0</v>
      </c>
      <c r="I268" s="177">
        <f t="shared" ca="1" si="1341"/>
        <v>0</v>
      </c>
      <c r="J268" s="177">
        <f t="shared" ca="1" si="1341"/>
        <v>0</v>
      </c>
      <c r="K268" s="177">
        <f t="shared" ca="1" si="1341"/>
        <v>0</v>
      </c>
      <c r="L268" s="177">
        <f t="shared" ca="1" si="1341"/>
        <v>0</v>
      </c>
      <c r="M268" s="177">
        <f t="shared" ca="1" si="1341"/>
        <v>1215603.2220906387</v>
      </c>
      <c r="N268" s="177">
        <f t="shared" ca="1" si="1341"/>
        <v>1633720.7457852126</v>
      </c>
      <c r="O268" s="177">
        <f t="shared" ca="1" si="1341"/>
        <v>2058436.4067286849</v>
      </c>
      <c r="P268" s="177">
        <f t="shared" ca="1" si="1341"/>
        <v>2489835.687735145</v>
      </c>
      <c r="Q268" s="177">
        <f t="shared" ca="1" si="1341"/>
        <v>2509718.6675055646</v>
      </c>
      <c r="R268" s="177">
        <f t="shared" ca="1" si="1341"/>
        <v>2529774.1918516522</v>
      </c>
      <c r="S268" s="177">
        <f t="shared" ca="1" si="1341"/>
        <v>3400005.120000002</v>
      </c>
      <c r="T268" s="177">
        <f t="shared" ca="1" si="1341"/>
        <v>2998810.7404259713</v>
      </c>
      <c r="U268" s="177">
        <f t="shared" ca="1" si="1341"/>
        <v>2590991.8992638001</v>
      </c>
      <c r="V268" s="177">
        <f t="shared" ca="1" si="1341"/>
        <v>2611753.5439166124</v>
      </c>
      <c r="W268" s="177">
        <f t="shared" ca="1" si="1341"/>
        <v>2193913.1497803926</v>
      </c>
      <c r="X268" s="177">
        <f t="shared" ca="1" si="1341"/>
        <v>3538427.0158724748</v>
      </c>
      <c r="Y268" s="177">
        <f t="shared" ca="1" si="1341"/>
        <v>4458547.768720258</v>
      </c>
      <c r="Z268" s="177">
        <f t="shared" ca="1" si="1341"/>
        <v>4494371.1071877787</v>
      </c>
      <c r="AA268" s="177">
        <f t="shared" ca="1" si="1341"/>
        <v>3171354.6359495609</v>
      </c>
      <c r="AB268" s="177">
        <f t="shared" ca="1" si="1341"/>
        <v>2283478.5899314545</v>
      </c>
      <c r="AC268" s="177">
        <f t="shared" ca="1" si="1341"/>
        <v>2301862.8349190485</v>
      </c>
      <c r="AD268" s="177">
        <f t="shared" ca="1" si="1341"/>
        <v>2784489.0068720644</v>
      </c>
      <c r="AE268" s="177">
        <f t="shared" ca="1" si="1341"/>
        <v>3742582.520832004</v>
      </c>
      <c r="AF268" s="177">
        <f t="shared" ca="1" si="1341"/>
        <v>3301177.6439473974</v>
      </c>
      <c r="AG268" s="177">
        <f t="shared" ca="1" si="1341"/>
        <v>2852422.6493905229</v>
      </c>
      <c r="AH268" s="177">
        <f t="shared" ca="1" si="1341"/>
        <v>2875464.1442052107</v>
      </c>
      <c r="AI268" s="177">
        <f t="shared" ca="1" si="1341"/>
        <v>2415589.2981070308</v>
      </c>
      <c r="AJ268" s="177">
        <f t="shared" ca="1" si="1341"/>
        <v>3896204.7239179853</v>
      </c>
      <c r="AK268" s="177">
        <f t="shared" ca="1" si="1341"/>
        <v>4909675.2839058777</v>
      </c>
      <c r="AL268" s="177">
        <f t="shared" ca="1" si="1341"/>
        <v>4949439.8802499343</v>
      </c>
      <c r="AM268" s="177">
        <f t="shared" ref="AM268:BB268" ca="1" si="1342">SUM(AM$196,AM$221,AM$245)</f>
        <v>3492687.0095045413</v>
      </c>
      <c r="AN268" s="177">
        <f t="shared" ca="1" si="1342"/>
        <v>2515008.7310880227</v>
      </c>
      <c r="AO268" s="177">
        <f t="shared" ca="1" si="1342"/>
        <v>2535418.4459143947</v>
      </c>
      <c r="AP268" s="177">
        <f t="shared" ca="1" si="1342"/>
        <v>3067208.6565234521</v>
      </c>
      <c r="AQ268" s="177">
        <f t="shared" ca="1" si="1342"/>
        <v>4122842.6944868416</v>
      </c>
      <c r="AR268" s="177">
        <f t="shared" ca="1" si="1342"/>
        <v>3636819.9305043598</v>
      </c>
      <c r="AS268" s="177">
        <f t="shared" ca="1" si="1342"/>
        <v>3142637.289315572</v>
      </c>
      <c r="AT268" s="177">
        <f t="shared" ca="1" si="1342"/>
        <v>3168223.246425109</v>
      </c>
      <c r="AU268" s="177">
        <f t="shared" ca="1" si="1342"/>
        <v>2661695.1273476682</v>
      </c>
      <c r="AV268" s="177">
        <f t="shared" ca="1" si="1342"/>
        <v>4293429.4444109425</v>
      </c>
      <c r="AW268" s="177">
        <f t="shared" ca="1" si="1342"/>
        <v>5410565.2206267454</v>
      </c>
      <c r="AX268" s="177">
        <f t="shared" ca="1" si="1342"/>
        <v>5454729.0239153951</v>
      </c>
      <c r="AY268" s="177">
        <f t="shared" ca="1" si="1342"/>
        <v>3849497.2408640133</v>
      </c>
      <c r="AZ268" s="177">
        <f t="shared" ca="1" si="1342"/>
        <v>2772113.5289380057</v>
      </c>
      <c r="BA268" s="177">
        <f t="shared" ca="1" si="1342"/>
        <v>2794784.2523047263</v>
      </c>
      <c r="BB268" s="177">
        <f t="shared" ca="1" si="1342"/>
        <v>3381185.863375871</v>
      </c>
      <c r="BC268" s="177"/>
      <c r="BD268" s="183">
        <f t="shared" ref="BD268:BD274" ca="1" si="1343">SUM(G268:BC268)</f>
        <v>134506496.18463793</v>
      </c>
    </row>
    <row r="269" spans="1:56" hidden="1" outlineLevel="1" x14ac:dyDescent="0.3">
      <c r="A269" s="175" t="str">
        <f ca="1">Language!A$684</f>
        <v>НДС начисленный</v>
      </c>
      <c r="C269" s="194" t="str">
        <f t="shared" ca="1" si="1340"/>
        <v>руб.</v>
      </c>
      <c r="F269" s="170" t="s">
        <v>1120</v>
      </c>
      <c r="G269" s="177">
        <f t="shared" ref="G269:AL269" ca="1" si="1344">SUM(G$217,G$241,G$265)</f>
        <v>0</v>
      </c>
      <c r="H269" s="177">
        <f t="shared" ca="1" si="1344"/>
        <v>0</v>
      </c>
      <c r="I269" s="177">
        <f t="shared" ca="1" si="1344"/>
        <v>0</v>
      </c>
      <c r="J269" s="177">
        <f t="shared" ca="1" si="1344"/>
        <v>0</v>
      </c>
      <c r="K269" s="177">
        <f t="shared" ca="1" si="1344"/>
        <v>0</v>
      </c>
      <c r="L269" s="177">
        <f t="shared" ca="1" si="1344"/>
        <v>0</v>
      </c>
      <c r="M269" s="177">
        <f t="shared" ca="1" si="1344"/>
        <v>0</v>
      </c>
      <c r="N269" s="177">
        <f t="shared" ca="1" si="1344"/>
        <v>0</v>
      </c>
      <c r="O269" s="177">
        <f t="shared" ca="1" si="1344"/>
        <v>0</v>
      </c>
      <c r="P269" s="177">
        <f t="shared" ca="1" si="1344"/>
        <v>0</v>
      </c>
      <c r="Q269" s="177">
        <f t="shared" ca="1" si="1344"/>
        <v>0</v>
      </c>
      <c r="R269" s="177">
        <f t="shared" ca="1" si="1344"/>
        <v>0</v>
      </c>
      <c r="S269" s="177">
        <f t="shared" ca="1" si="1344"/>
        <v>0</v>
      </c>
      <c r="T269" s="177">
        <f t="shared" ca="1" si="1344"/>
        <v>0</v>
      </c>
      <c r="U269" s="177">
        <f t="shared" ca="1" si="1344"/>
        <v>0</v>
      </c>
      <c r="V269" s="177">
        <f t="shared" ca="1" si="1344"/>
        <v>0</v>
      </c>
      <c r="W269" s="177">
        <f t="shared" ca="1" si="1344"/>
        <v>0</v>
      </c>
      <c r="X269" s="177">
        <f t="shared" ca="1" si="1344"/>
        <v>0</v>
      </c>
      <c r="Y269" s="177">
        <f t="shared" ca="1" si="1344"/>
        <v>0</v>
      </c>
      <c r="Z269" s="177">
        <f t="shared" ca="1" si="1344"/>
        <v>0</v>
      </c>
      <c r="AA269" s="177">
        <f t="shared" ca="1" si="1344"/>
        <v>0</v>
      </c>
      <c r="AB269" s="177">
        <f t="shared" ca="1" si="1344"/>
        <v>0</v>
      </c>
      <c r="AC269" s="177">
        <f t="shared" ca="1" si="1344"/>
        <v>0</v>
      </c>
      <c r="AD269" s="177">
        <f t="shared" ca="1" si="1344"/>
        <v>0</v>
      </c>
      <c r="AE269" s="177">
        <f t="shared" ca="1" si="1344"/>
        <v>0</v>
      </c>
      <c r="AF269" s="177">
        <f t="shared" ca="1" si="1344"/>
        <v>0</v>
      </c>
      <c r="AG269" s="177">
        <f t="shared" ca="1" si="1344"/>
        <v>0</v>
      </c>
      <c r="AH269" s="177">
        <f t="shared" ca="1" si="1344"/>
        <v>0</v>
      </c>
      <c r="AI269" s="177">
        <f t="shared" ca="1" si="1344"/>
        <v>0</v>
      </c>
      <c r="AJ269" s="177">
        <f t="shared" ca="1" si="1344"/>
        <v>0</v>
      </c>
      <c r="AK269" s="177">
        <f t="shared" ca="1" si="1344"/>
        <v>0</v>
      </c>
      <c r="AL269" s="177">
        <f t="shared" ca="1" si="1344"/>
        <v>0</v>
      </c>
      <c r="AM269" s="177">
        <f t="shared" ref="AM269:BB269" ca="1" si="1345">SUM(AM$217,AM$241,AM$265)</f>
        <v>0</v>
      </c>
      <c r="AN269" s="177">
        <f t="shared" ca="1" si="1345"/>
        <v>0</v>
      </c>
      <c r="AO269" s="177">
        <f t="shared" ca="1" si="1345"/>
        <v>0</v>
      </c>
      <c r="AP269" s="177">
        <f t="shared" ca="1" si="1345"/>
        <v>0</v>
      </c>
      <c r="AQ269" s="177">
        <f t="shared" ca="1" si="1345"/>
        <v>0</v>
      </c>
      <c r="AR269" s="177">
        <f t="shared" ca="1" si="1345"/>
        <v>0</v>
      </c>
      <c r="AS269" s="177">
        <f t="shared" ca="1" si="1345"/>
        <v>0</v>
      </c>
      <c r="AT269" s="177">
        <f t="shared" ca="1" si="1345"/>
        <v>0</v>
      </c>
      <c r="AU269" s="177">
        <f t="shared" ca="1" si="1345"/>
        <v>0</v>
      </c>
      <c r="AV269" s="177">
        <f t="shared" ca="1" si="1345"/>
        <v>0</v>
      </c>
      <c r="AW269" s="177">
        <f t="shared" ca="1" si="1345"/>
        <v>0</v>
      </c>
      <c r="AX269" s="177">
        <f t="shared" ca="1" si="1345"/>
        <v>0</v>
      </c>
      <c r="AY269" s="177">
        <f t="shared" ca="1" si="1345"/>
        <v>0</v>
      </c>
      <c r="AZ269" s="177">
        <f t="shared" ca="1" si="1345"/>
        <v>0</v>
      </c>
      <c r="BA269" s="177">
        <f t="shared" ca="1" si="1345"/>
        <v>0</v>
      </c>
      <c r="BB269" s="177">
        <f t="shared" ca="1" si="1345"/>
        <v>0</v>
      </c>
      <c r="BC269" s="177"/>
      <c r="BD269" s="183">
        <f t="shared" ca="1" si="1343"/>
        <v>0</v>
      </c>
    </row>
    <row r="270" spans="1:56" hidden="1" outlineLevel="1" x14ac:dyDescent="0.3">
      <c r="A270" s="175" t="str">
        <f ca="1">Language!A680</f>
        <v>Суммарные затраты в отчете о прибылях и убытках, с НДС</v>
      </c>
      <c r="C270" s="194" t="str">
        <f t="shared" ca="1" si="1340"/>
        <v>руб.</v>
      </c>
      <c r="F270" s="170" t="s">
        <v>740</v>
      </c>
      <c r="G270" s="177">
        <f t="shared" ref="G270:M270" ca="1" si="1346">G268+G269</f>
        <v>0</v>
      </c>
      <c r="H270" s="177">
        <f t="shared" ca="1" si="1346"/>
        <v>0</v>
      </c>
      <c r="I270" s="177">
        <f t="shared" ca="1" si="1346"/>
        <v>0</v>
      </c>
      <c r="J270" s="177">
        <f t="shared" ca="1" si="1346"/>
        <v>0</v>
      </c>
      <c r="K270" s="177">
        <f t="shared" ca="1" si="1346"/>
        <v>0</v>
      </c>
      <c r="L270" s="177">
        <f t="shared" ca="1" si="1346"/>
        <v>0</v>
      </c>
      <c r="M270" s="177">
        <f t="shared" ca="1" si="1346"/>
        <v>1215603.2220906387</v>
      </c>
      <c r="N270" s="177">
        <f t="shared" ref="N270:O270" ca="1" si="1347">N268+N269</f>
        <v>1633720.7457852126</v>
      </c>
      <c r="O270" s="177">
        <f t="shared" ca="1" si="1347"/>
        <v>2058436.4067286849</v>
      </c>
      <c r="P270" s="177">
        <f t="shared" ref="P270:Q270" ca="1" si="1348">P268+P269</f>
        <v>2489835.687735145</v>
      </c>
      <c r="Q270" s="177">
        <f t="shared" ca="1" si="1348"/>
        <v>2509718.6675055646</v>
      </c>
      <c r="R270" s="177">
        <f t="shared" ref="R270:S270" ca="1" si="1349">R268+R269</f>
        <v>2529774.1918516522</v>
      </c>
      <c r="S270" s="177">
        <f t="shared" ca="1" si="1349"/>
        <v>3400005.120000002</v>
      </c>
      <c r="T270" s="177">
        <f t="shared" ref="T270:U270" ca="1" si="1350">T268+T269</f>
        <v>2998810.7404259713</v>
      </c>
      <c r="U270" s="177">
        <f t="shared" ca="1" si="1350"/>
        <v>2590991.8992638001</v>
      </c>
      <c r="V270" s="177">
        <f t="shared" ref="V270:W270" ca="1" si="1351">V268+V269</f>
        <v>2611753.5439166124</v>
      </c>
      <c r="W270" s="177">
        <f t="shared" ca="1" si="1351"/>
        <v>2193913.1497803926</v>
      </c>
      <c r="X270" s="177">
        <f t="shared" ref="X270:Y270" ca="1" si="1352">X268+X269</f>
        <v>3538427.0158724748</v>
      </c>
      <c r="Y270" s="177">
        <f t="shared" ca="1" si="1352"/>
        <v>4458547.768720258</v>
      </c>
      <c r="Z270" s="177">
        <f t="shared" ref="Z270:AA270" ca="1" si="1353">Z268+Z269</f>
        <v>4494371.1071877787</v>
      </c>
      <c r="AA270" s="177">
        <f t="shared" ca="1" si="1353"/>
        <v>3171354.6359495609</v>
      </c>
      <c r="AB270" s="177">
        <f t="shared" ref="AB270:AC270" ca="1" si="1354">AB268+AB269</f>
        <v>2283478.5899314545</v>
      </c>
      <c r="AC270" s="177">
        <f t="shared" ca="1" si="1354"/>
        <v>2301862.8349190485</v>
      </c>
      <c r="AD270" s="177">
        <f t="shared" ref="AD270:AE270" ca="1" si="1355">AD268+AD269</f>
        <v>2784489.0068720644</v>
      </c>
      <c r="AE270" s="177">
        <f t="shared" ca="1" si="1355"/>
        <v>3742582.520832004</v>
      </c>
      <c r="AF270" s="177">
        <f t="shared" ref="AF270:AG270" ca="1" si="1356">AF268+AF269</f>
        <v>3301177.6439473974</v>
      </c>
      <c r="AG270" s="177">
        <f t="shared" ca="1" si="1356"/>
        <v>2852422.6493905229</v>
      </c>
      <c r="AH270" s="177">
        <f t="shared" ref="AH270:AI270" ca="1" si="1357">AH268+AH269</f>
        <v>2875464.1442052107</v>
      </c>
      <c r="AI270" s="177">
        <f t="shared" ca="1" si="1357"/>
        <v>2415589.2981070308</v>
      </c>
      <c r="AJ270" s="177">
        <f t="shared" ref="AJ270:AK270" ca="1" si="1358">AJ268+AJ269</f>
        <v>3896204.7239179853</v>
      </c>
      <c r="AK270" s="177">
        <f t="shared" ca="1" si="1358"/>
        <v>4909675.2839058777</v>
      </c>
      <c r="AL270" s="177">
        <f t="shared" ref="AL270:AM270" ca="1" si="1359">AL268+AL269</f>
        <v>4949439.8802499343</v>
      </c>
      <c r="AM270" s="177">
        <f t="shared" ca="1" si="1359"/>
        <v>3492687.0095045413</v>
      </c>
      <c r="AN270" s="177">
        <f t="shared" ref="AN270:AO270" ca="1" si="1360">AN268+AN269</f>
        <v>2515008.7310880227</v>
      </c>
      <c r="AO270" s="177">
        <f t="shared" ca="1" si="1360"/>
        <v>2535418.4459143947</v>
      </c>
      <c r="AP270" s="177">
        <f t="shared" ref="AP270:AQ270" ca="1" si="1361">AP268+AP269</f>
        <v>3067208.6565234521</v>
      </c>
      <c r="AQ270" s="177">
        <f t="shared" ca="1" si="1361"/>
        <v>4122842.6944868416</v>
      </c>
      <c r="AR270" s="177">
        <f t="shared" ref="AR270:AS270" ca="1" si="1362">AR268+AR269</f>
        <v>3636819.9305043598</v>
      </c>
      <c r="AS270" s="177">
        <f t="shared" ca="1" si="1362"/>
        <v>3142637.289315572</v>
      </c>
      <c r="AT270" s="177">
        <f t="shared" ref="AT270:AU270" ca="1" si="1363">AT268+AT269</f>
        <v>3168223.246425109</v>
      </c>
      <c r="AU270" s="177">
        <f t="shared" ca="1" si="1363"/>
        <v>2661695.1273476682</v>
      </c>
      <c r="AV270" s="177">
        <f t="shared" ref="AV270:AW270" ca="1" si="1364">AV268+AV269</f>
        <v>4293429.4444109425</v>
      </c>
      <c r="AW270" s="177">
        <f t="shared" ca="1" si="1364"/>
        <v>5410565.2206267454</v>
      </c>
      <c r="AX270" s="177">
        <f t="shared" ref="AX270:AY270" ca="1" si="1365">AX268+AX269</f>
        <v>5454729.0239153951</v>
      </c>
      <c r="AY270" s="177">
        <f t="shared" ca="1" si="1365"/>
        <v>3849497.2408640133</v>
      </c>
      <c r="AZ270" s="177">
        <f t="shared" ref="AZ270:BA270" ca="1" si="1366">AZ268+AZ269</f>
        <v>2772113.5289380057</v>
      </c>
      <c r="BA270" s="177">
        <f t="shared" ca="1" si="1366"/>
        <v>2794784.2523047263</v>
      </c>
      <c r="BB270" s="177">
        <f t="shared" ref="BB270" ca="1" si="1367">BB268+BB269</f>
        <v>3381185.863375871</v>
      </c>
      <c r="BC270" s="177"/>
      <c r="BD270" s="183">
        <f t="shared" ca="1" si="1343"/>
        <v>134506496.18463793</v>
      </c>
    </row>
    <row r="271" spans="1:56" hidden="1" outlineLevel="1" x14ac:dyDescent="0.3">
      <c r="A271" s="175" t="str">
        <f ca="1">Language!A$642</f>
        <v>Общий расход за период, без НДС</v>
      </c>
      <c r="C271" s="194" t="str">
        <f t="shared" ca="1" si="1340"/>
        <v>руб.</v>
      </c>
      <c r="F271" s="170" t="s">
        <v>2313</v>
      </c>
      <c r="G271" s="177">
        <f t="shared" ref="G271:AL271" ca="1" si="1368">SUM(G$204,G$228,G$252)</f>
        <v>0</v>
      </c>
      <c r="H271" s="177">
        <f t="shared" ca="1" si="1368"/>
        <v>0</v>
      </c>
      <c r="I271" s="177">
        <f t="shared" ca="1" si="1368"/>
        <v>0</v>
      </c>
      <c r="J271" s="177">
        <f t="shared" ca="1" si="1368"/>
        <v>0</v>
      </c>
      <c r="K271" s="177">
        <f t="shared" ca="1" si="1368"/>
        <v>0</v>
      </c>
      <c r="L271" s="177">
        <f t="shared" ca="1" si="1368"/>
        <v>0</v>
      </c>
      <c r="M271" s="177">
        <f t="shared" ca="1" si="1368"/>
        <v>2431206.4441812774</v>
      </c>
      <c r="N271" s="177">
        <f t="shared" ca="1" si="1368"/>
        <v>2051838.2694797865</v>
      </c>
      <c r="O271" s="177">
        <f t="shared" ca="1" si="1368"/>
        <v>2483152.0676721572</v>
      </c>
      <c r="P271" s="177">
        <f t="shared" ca="1" si="1368"/>
        <v>2921234.9687416051</v>
      </c>
      <c r="Q271" s="177">
        <f t="shared" ca="1" si="1368"/>
        <v>2529601.6472759843</v>
      </c>
      <c r="R271" s="177">
        <f t="shared" ca="1" si="1368"/>
        <v>2549829.7161977394</v>
      </c>
      <c r="S271" s="177">
        <f t="shared" ca="1" si="1368"/>
        <v>4270236.0481483517</v>
      </c>
      <c r="T271" s="177">
        <f t="shared" ca="1" si="1368"/>
        <v>2597616.3608519412</v>
      </c>
      <c r="U271" s="177">
        <f t="shared" ca="1" si="1368"/>
        <v>2183173.0581016289</v>
      </c>
      <c r="V271" s="177">
        <f t="shared" ca="1" si="1368"/>
        <v>2632515.1885694247</v>
      </c>
      <c r="W271" s="177">
        <f t="shared" ca="1" si="1368"/>
        <v>1776072.7556441731</v>
      </c>
      <c r="X271" s="177">
        <f t="shared" ca="1" si="1368"/>
        <v>4882940.8819645569</v>
      </c>
      <c r="Y271" s="177">
        <f t="shared" ca="1" si="1368"/>
        <v>5378668.5215680413</v>
      </c>
      <c r="Z271" s="177">
        <f t="shared" ca="1" si="1368"/>
        <v>4530194.4456552994</v>
      </c>
      <c r="AA271" s="177">
        <f t="shared" ca="1" si="1368"/>
        <v>1848338.1647113436</v>
      </c>
      <c r="AB271" s="177">
        <f t="shared" ca="1" si="1368"/>
        <v>1395602.5439133476</v>
      </c>
      <c r="AC271" s="177">
        <f t="shared" ca="1" si="1368"/>
        <v>2320247.0799066424</v>
      </c>
      <c r="AD271" s="177">
        <f t="shared" ca="1" si="1368"/>
        <v>3267115.1788250795</v>
      </c>
      <c r="AE271" s="177">
        <f t="shared" ca="1" si="1368"/>
        <v>4700676.0347919436</v>
      </c>
      <c r="AF271" s="177">
        <f t="shared" ca="1" si="1368"/>
        <v>2859772.7670627916</v>
      </c>
      <c r="AG271" s="177">
        <f t="shared" ca="1" si="1368"/>
        <v>2403667.6548336479</v>
      </c>
      <c r="AH271" s="177">
        <f t="shared" ca="1" si="1368"/>
        <v>2898505.6390198981</v>
      </c>
      <c r="AI271" s="177">
        <f t="shared" ca="1" si="1368"/>
        <v>1955714.4520088509</v>
      </c>
      <c r="AJ271" s="177">
        <f t="shared" ca="1" si="1368"/>
        <v>5376820.1497289399</v>
      </c>
      <c r="AK271" s="177">
        <f t="shared" ca="1" si="1368"/>
        <v>5923145.8438937701</v>
      </c>
      <c r="AL271" s="177">
        <f t="shared" ca="1" si="1368"/>
        <v>4989204.4765939889</v>
      </c>
      <c r="AM271" s="177">
        <f t="shared" ref="AM271:BB271" ca="1" si="1369">SUM(AM$204,AM$228,AM$252)</f>
        <v>2035934.1387591492</v>
      </c>
      <c r="AN271" s="177">
        <f t="shared" ca="1" si="1369"/>
        <v>1537330.4526715046</v>
      </c>
      <c r="AO271" s="177">
        <f t="shared" ca="1" si="1369"/>
        <v>2555828.1607407667</v>
      </c>
      <c r="AP271" s="177">
        <f t="shared" ca="1" si="1369"/>
        <v>3598998.8671325091</v>
      </c>
      <c r="AQ271" s="177">
        <f t="shared" ca="1" si="1369"/>
        <v>5178476.7324502319</v>
      </c>
      <c r="AR271" s="177">
        <f t="shared" ca="1" si="1369"/>
        <v>3150797.166521878</v>
      </c>
      <c r="AS271" s="177">
        <f t="shared" ca="1" si="1369"/>
        <v>2648454.6481267828</v>
      </c>
      <c r="AT271" s="177">
        <f t="shared" ca="1" si="1369"/>
        <v>3193809.203534646</v>
      </c>
      <c r="AU271" s="177">
        <f t="shared" ca="1" si="1369"/>
        <v>2155167.0082702278</v>
      </c>
      <c r="AV271" s="177">
        <f t="shared" ca="1" si="1369"/>
        <v>5925163.7614742164</v>
      </c>
      <c r="AW271" s="177">
        <f t="shared" ca="1" si="1369"/>
        <v>6527700.9968425473</v>
      </c>
      <c r="AX271" s="177">
        <f t="shared" ca="1" si="1369"/>
        <v>5498892.827204044</v>
      </c>
      <c r="AY271" s="177">
        <f t="shared" ca="1" si="1369"/>
        <v>2244265.4578126315</v>
      </c>
      <c r="AZ271" s="177">
        <f t="shared" ca="1" si="1369"/>
        <v>1694729.8170119976</v>
      </c>
      <c r="BA271" s="177">
        <f t="shared" ca="1" si="1369"/>
        <v>2817454.9756714473</v>
      </c>
      <c r="BB271" s="177">
        <f t="shared" ca="1" si="1369"/>
        <v>3967587.4744470157</v>
      </c>
      <c r="BC271" s="177"/>
      <c r="BD271" s="183">
        <f t="shared" ca="1" si="1343"/>
        <v>137887682.04801384</v>
      </c>
    </row>
    <row r="272" spans="1:56" hidden="1" outlineLevel="1" x14ac:dyDescent="0.3">
      <c r="A272" s="175" t="str">
        <f ca="1">Language!A$644</f>
        <v>Общий расход за период, с НДС</v>
      </c>
      <c r="C272" s="194" t="str">
        <f t="shared" ca="1" si="1340"/>
        <v>руб.</v>
      </c>
      <c r="F272" s="170" t="s">
        <v>2319</v>
      </c>
      <c r="G272" s="177">
        <f t="shared" ref="G272:AL272" ca="1" si="1370">SUM(G$205,G$229,G$253)</f>
        <v>0</v>
      </c>
      <c r="H272" s="177">
        <f t="shared" ca="1" si="1370"/>
        <v>0</v>
      </c>
      <c r="I272" s="177">
        <f t="shared" ca="1" si="1370"/>
        <v>0</v>
      </c>
      <c r="J272" s="177">
        <f t="shared" ca="1" si="1370"/>
        <v>0</v>
      </c>
      <c r="K272" s="177">
        <f t="shared" ca="1" si="1370"/>
        <v>0</v>
      </c>
      <c r="L272" s="177">
        <f t="shared" ca="1" si="1370"/>
        <v>0</v>
      </c>
      <c r="M272" s="177">
        <f t="shared" ca="1" si="1370"/>
        <v>2431206.4441812774</v>
      </c>
      <c r="N272" s="177">
        <f t="shared" ca="1" si="1370"/>
        <v>2051838.2694797865</v>
      </c>
      <c r="O272" s="177">
        <f t="shared" ca="1" si="1370"/>
        <v>2483152.0676721572</v>
      </c>
      <c r="P272" s="177">
        <f t="shared" ca="1" si="1370"/>
        <v>2921234.9687416051</v>
      </c>
      <c r="Q272" s="177">
        <f t="shared" ca="1" si="1370"/>
        <v>2529601.6472759843</v>
      </c>
      <c r="R272" s="177">
        <f t="shared" ca="1" si="1370"/>
        <v>2549829.7161977394</v>
      </c>
      <c r="S272" s="177">
        <f t="shared" ca="1" si="1370"/>
        <v>4270236.0481483517</v>
      </c>
      <c r="T272" s="177">
        <f t="shared" ca="1" si="1370"/>
        <v>2597616.3608519412</v>
      </c>
      <c r="U272" s="177">
        <f t="shared" ca="1" si="1370"/>
        <v>2183173.0581016289</v>
      </c>
      <c r="V272" s="177">
        <f t="shared" ca="1" si="1370"/>
        <v>2632515.1885694247</v>
      </c>
      <c r="W272" s="177">
        <f t="shared" ca="1" si="1370"/>
        <v>1776072.7556441731</v>
      </c>
      <c r="X272" s="177">
        <f t="shared" ca="1" si="1370"/>
        <v>4882940.8819645569</v>
      </c>
      <c r="Y272" s="177">
        <f t="shared" ca="1" si="1370"/>
        <v>5378668.5215680413</v>
      </c>
      <c r="Z272" s="177">
        <f t="shared" ca="1" si="1370"/>
        <v>4530194.4456552994</v>
      </c>
      <c r="AA272" s="177">
        <f t="shared" ca="1" si="1370"/>
        <v>1848338.1647113436</v>
      </c>
      <c r="AB272" s="177">
        <f t="shared" ca="1" si="1370"/>
        <v>1395602.5439133476</v>
      </c>
      <c r="AC272" s="177">
        <f t="shared" ca="1" si="1370"/>
        <v>2320247.0799066424</v>
      </c>
      <c r="AD272" s="177">
        <f t="shared" ca="1" si="1370"/>
        <v>3267115.1788250795</v>
      </c>
      <c r="AE272" s="177">
        <f t="shared" ca="1" si="1370"/>
        <v>4700676.0347919436</v>
      </c>
      <c r="AF272" s="177">
        <f t="shared" ca="1" si="1370"/>
        <v>2859772.7670627916</v>
      </c>
      <c r="AG272" s="177">
        <f t="shared" ca="1" si="1370"/>
        <v>2403667.6548336479</v>
      </c>
      <c r="AH272" s="177">
        <f t="shared" ca="1" si="1370"/>
        <v>2898505.6390198981</v>
      </c>
      <c r="AI272" s="177">
        <f t="shared" ca="1" si="1370"/>
        <v>1955714.4520088509</v>
      </c>
      <c r="AJ272" s="177">
        <f t="shared" ca="1" si="1370"/>
        <v>5376820.1497289399</v>
      </c>
      <c r="AK272" s="177">
        <f t="shared" ca="1" si="1370"/>
        <v>5923145.8438937701</v>
      </c>
      <c r="AL272" s="177">
        <f t="shared" ca="1" si="1370"/>
        <v>4989204.4765939889</v>
      </c>
      <c r="AM272" s="177">
        <f t="shared" ref="AM272:BB272" ca="1" si="1371">SUM(AM$205,AM$229,AM$253)</f>
        <v>2035934.1387591492</v>
      </c>
      <c r="AN272" s="177">
        <f t="shared" ca="1" si="1371"/>
        <v>1537330.4526715046</v>
      </c>
      <c r="AO272" s="177">
        <f t="shared" ca="1" si="1371"/>
        <v>2555828.1607407667</v>
      </c>
      <c r="AP272" s="177">
        <f t="shared" ca="1" si="1371"/>
        <v>3598998.8671325091</v>
      </c>
      <c r="AQ272" s="177">
        <f t="shared" ca="1" si="1371"/>
        <v>5178476.7324502319</v>
      </c>
      <c r="AR272" s="177">
        <f t="shared" ca="1" si="1371"/>
        <v>3150797.166521878</v>
      </c>
      <c r="AS272" s="177">
        <f t="shared" ca="1" si="1371"/>
        <v>2648454.6481267828</v>
      </c>
      <c r="AT272" s="177">
        <f t="shared" ca="1" si="1371"/>
        <v>3193809.203534646</v>
      </c>
      <c r="AU272" s="177">
        <f t="shared" ca="1" si="1371"/>
        <v>2155167.0082702278</v>
      </c>
      <c r="AV272" s="177">
        <f t="shared" ca="1" si="1371"/>
        <v>5925163.7614742164</v>
      </c>
      <c r="AW272" s="177">
        <f t="shared" ca="1" si="1371"/>
        <v>6527700.9968425473</v>
      </c>
      <c r="AX272" s="177">
        <f t="shared" ca="1" si="1371"/>
        <v>5498892.827204044</v>
      </c>
      <c r="AY272" s="177">
        <f t="shared" ca="1" si="1371"/>
        <v>2244265.4578126315</v>
      </c>
      <c r="AZ272" s="177">
        <f t="shared" ca="1" si="1371"/>
        <v>1694729.8170119976</v>
      </c>
      <c r="BA272" s="177">
        <f t="shared" ca="1" si="1371"/>
        <v>2817454.9756714473</v>
      </c>
      <c r="BB272" s="177">
        <f t="shared" ca="1" si="1371"/>
        <v>3967587.4744470157</v>
      </c>
      <c r="BC272" s="177"/>
      <c r="BD272" s="183">
        <f t="shared" ca="1" si="1343"/>
        <v>137887682.04801384</v>
      </c>
    </row>
    <row r="273" spans="1:56" hidden="1" outlineLevel="1" x14ac:dyDescent="0.3">
      <c r="A273" s="175" t="str">
        <f ca="1">Language!A$681</f>
        <v>Оплата материалов и комплектующих, с НДС</v>
      </c>
      <c r="C273" s="194" t="str">
        <f t="shared" ca="1" si="1340"/>
        <v>руб.</v>
      </c>
      <c r="F273" s="170" t="s">
        <v>1098</v>
      </c>
      <c r="G273" s="177">
        <f t="shared" ref="G273:AL273" ca="1" si="1372">SUM(G$210,G$234,G$258)</f>
        <v>0</v>
      </c>
      <c r="H273" s="177">
        <f t="shared" ca="1" si="1372"/>
        <v>0</v>
      </c>
      <c r="I273" s="177">
        <f t="shared" ca="1" si="1372"/>
        <v>0</v>
      </c>
      <c r="J273" s="177">
        <f t="shared" ca="1" si="1372"/>
        <v>0</v>
      </c>
      <c r="K273" s="177">
        <f t="shared" ca="1" si="1372"/>
        <v>0</v>
      </c>
      <c r="L273" s="177">
        <f t="shared" ca="1" si="1372"/>
        <v>810402.14806042565</v>
      </c>
      <c r="M273" s="177">
        <f t="shared" ca="1" si="1372"/>
        <v>1494348.2378870216</v>
      </c>
      <c r="N273" s="177">
        <f t="shared" ca="1" si="1372"/>
        <v>2322065.5937777404</v>
      </c>
      <c r="O273" s="177">
        <f t="shared" ca="1" si="1372"/>
        <v>2485408.4352978496</v>
      </c>
      <c r="P273" s="177">
        <f t="shared" ca="1" si="1372"/>
        <v>2644662.8945632493</v>
      </c>
      <c r="Q273" s="177">
        <f t="shared" ca="1" si="1372"/>
        <v>2666888.7774051102</v>
      </c>
      <c r="R273" s="177">
        <f t="shared" ca="1" si="1372"/>
        <v>3116555.8038740251</v>
      </c>
      <c r="S273" s="177">
        <f t="shared" ca="1" si="1372"/>
        <v>3139227.3750660107</v>
      </c>
      <c r="T273" s="177">
        <f t="shared" ca="1" si="1372"/>
        <v>3017008.4890339738</v>
      </c>
      <c r="U273" s="177">
        <f t="shared" ca="1" si="1372"/>
        <v>2471101.5358409984</v>
      </c>
      <c r="V273" s="177">
        <f t="shared" ca="1" si="1372"/>
        <v>2197253.6674384088</v>
      </c>
      <c r="W273" s="177">
        <f t="shared" ca="1" si="1372"/>
        <v>3097176.2753927181</v>
      </c>
      <c r="X273" s="177">
        <f t="shared" ca="1" si="1372"/>
        <v>4012560.7197255902</v>
      </c>
      <c r="Y273" s="177">
        <f t="shared" ca="1" si="1372"/>
        <v>4930601.2830626322</v>
      </c>
      <c r="Z273" s="177">
        <f t="shared" ca="1" si="1372"/>
        <v>3919067.0439782278</v>
      </c>
      <c r="AA273" s="177">
        <f t="shared" ca="1" si="1372"/>
        <v>2591378.384759997</v>
      </c>
      <c r="AB273" s="177">
        <f t="shared" ca="1" si="1372"/>
        <v>1854729.2628437779</v>
      </c>
      <c r="AC273" s="177">
        <f t="shared" ca="1" si="1372"/>
        <v>2327654.9342150232</v>
      </c>
      <c r="AD273" s="177">
        <f t="shared" ca="1" si="1372"/>
        <v>3429346.0978412218</v>
      </c>
      <c r="AE273" s="177">
        <f t="shared" ca="1" si="1372"/>
        <v>3609187.9935599379</v>
      </c>
      <c r="AF273" s="177">
        <f t="shared" ca="1" si="1372"/>
        <v>3321372.1522294609</v>
      </c>
      <c r="AG273" s="177">
        <f t="shared" ca="1" si="1372"/>
        <v>2720648.6869721124</v>
      </c>
      <c r="AH273" s="177">
        <f t="shared" ca="1" si="1372"/>
        <v>2419295.9152874658</v>
      </c>
      <c r="AI273" s="177">
        <f t="shared" ca="1" si="1372"/>
        <v>3410346.7469192296</v>
      </c>
      <c r="AJ273" s="177">
        <f t="shared" ca="1" si="1372"/>
        <v>4418560.1485438533</v>
      </c>
      <c r="AK273" s="177">
        <f t="shared" ca="1" si="1372"/>
        <v>5429723.4900722327</v>
      </c>
      <c r="AL273" s="177">
        <f t="shared" ca="1" si="1372"/>
        <v>4316094.8197489697</v>
      </c>
      <c r="AM273" s="177">
        <f t="shared" ref="AM273:BB273" ca="1" si="1373">SUM(AM$210,AM$234,AM$258)</f>
        <v>2854156.3560082139</v>
      </c>
      <c r="AN273" s="177">
        <f t="shared" ca="1" si="1373"/>
        <v>2043030.9173904734</v>
      </c>
      <c r="AO273" s="177">
        <f t="shared" ca="1" si="1373"/>
        <v>2564052.4935149271</v>
      </c>
      <c r="AP273" s="177">
        <f t="shared" ca="1" si="1373"/>
        <v>3777767.9201078359</v>
      </c>
      <c r="AQ273" s="177">
        <f t="shared" ca="1" si="1373"/>
        <v>3976090.9220348727</v>
      </c>
      <c r="AR273" s="177">
        <f t="shared" ca="1" si="1373"/>
        <v>3659242.8490329646</v>
      </c>
      <c r="AS273" s="177">
        <f t="shared" ca="1" si="1373"/>
        <v>2997687.0060611027</v>
      </c>
      <c r="AT273" s="177">
        <f t="shared" ca="1" si="1373"/>
        <v>2665810.286643886</v>
      </c>
      <c r="AU273" s="177">
        <f t="shared" ca="1" si="1373"/>
        <v>3758046.6577596967</v>
      </c>
      <c r="AV273" s="177">
        <f t="shared" ca="1" si="1373"/>
        <v>4869343.9221956646</v>
      </c>
      <c r="AW273" s="177">
        <f t="shared" ca="1" si="1373"/>
        <v>5983919.1951736026</v>
      </c>
      <c r="AX273" s="177">
        <f t="shared" ca="1" si="1373"/>
        <v>4756953.0939530749</v>
      </c>
      <c r="AY273" s="177">
        <f t="shared" ca="1" si="1373"/>
        <v>3145962.7006762242</v>
      </c>
      <c r="AZ273" s="177">
        <f t="shared" ca="1" si="1373"/>
        <v>2252150.0834986921</v>
      </c>
      <c r="BA273" s="177">
        <f t="shared" ca="1" si="1373"/>
        <v>2826590.7557101538</v>
      </c>
      <c r="BB273" s="177">
        <f t="shared" ca="1" si="1373"/>
        <v>3584209.9748551594</v>
      </c>
      <c r="BC273" s="177"/>
      <c r="BD273" s="183">
        <f t="shared" ca="1" si="1343"/>
        <v>137887682.04801381</v>
      </c>
    </row>
    <row r="274" spans="1:56" hidden="1" outlineLevel="1" x14ac:dyDescent="0.3">
      <c r="A274" s="175" t="str">
        <f ca="1">Language!A$685</f>
        <v>Начисленные импортные пошлины</v>
      </c>
      <c r="C274" s="194" t="str">
        <f t="shared" ca="1" si="1340"/>
        <v>руб.</v>
      </c>
      <c r="F274" s="170" t="s">
        <v>1102</v>
      </c>
      <c r="G274" s="177">
        <f t="shared" ref="G274:AL274" ca="1" si="1374">SUM(G$216,G$240,G$264)</f>
        <v>0</v>
      </c>
      <c r="H274" s="177">
        <f t="shared" ca="1" si="1374"/>
        <v>0</v>
      </c>
      <c r="I274" s="177">
        <f t="shared" ca="1" si="1374"/>
        <v>0</v>
      </c>
      <c r="J274" s="177">
        <f t="shared" ca="1" si="1374"/>
        <v>0</v>
      </c>
      <c r="K274" s="177">
        <f t="shared" ca="1" si="1374"/>
        <v>0</v>
      </c>
      <c r="L274" s="177">
        <f t="shared" ca="1" si="1374"/>
        <v>0</v>
      </c>
      <c r="M274" s="177">
        <f t="shared" ca="1" si="1374"/>
        <v>0</v>
      </c>
      <c r="N274" s="177">
        <f t="shared" ca="1" si="1374"/>
        <v>0</v>
      </c>
      <c r="O274" s="177">
        <f t="shared" ca="1" si="1374"/>
        <v>0</v>
      </c>
      <c r="P274" s="177">
        <f t="shared" ca="1" si="1374"/>
        <v>0</v>
      </c>
      <c r="Q274" s="177">
        <f t="shared" ca="1" si="1374"/>
        <v>0</v>
      </c>
      <c r="R274" s="177">
        <f t="shared" ca="1" si="1374"/>
        <v>0</v>
      </c>
      <c r="S274" s="177">
        <f t="shared" ca="1" si="1374"/>
        <v>0</v>
      </c>
      <c r="T274" s="177">
        <f t="shared" ca="1" si="1374"/>
        <v>0</v>
      </c>
      <c r="U274" s="177">
        <f t="shared" ca="1" si="1374"/>
        <v>0</v>
      </c>
      <c r="V274" s="177">
        <f t="shared" ca="1" si="1374"/>
        <v>0</v>
      </c>
      <c r="W274" s="177">
        <f t="shared" ca="1" si="1374"/>
        <v>0</v>
      </c>
      <c r="X274" s="177">
        <f t="shared" ca="1" si="1374"/>
        <v>0</v>
      </c>
      <c r="Y274" s="177">
        <f t="shared" ca="1" si="1374"/>
        <v>0</v>
      </c>
      <c r="Z274" s="177">
        <f t="shared" ca="1" si="1374"/>
        <v>0</v>
      </c>
      <c r="AA274" s="177">
        <f t="shared" ca="1" si="1374"/>
        <v>0</v>
      </c>
      <c r="AB274" s="177">
        <f t="shared" ca="1" si="1374"/>
        <v>0</v>
      </c>
      <c r="AC274" s="177">
        <f t="shared" ca="1" si="1374"/>
        <v>0</v>
      </c>
      <c r="AD274" s="177">
        <f t="shared" ca="1" si="1374"/>
        <v>0</v>
      </c>
      <c r="AE274" s="177">
        <f t="shared" ca="1" si="1374"/>
        <v>0</v>
      </c>
      <c r="AF274" s="177">
        <f t="shared" ca="1" si="1374"/>
        <v>0</v>
      </c>
      <c r="AG274" s="177">
        <f t="shared" ca="1" si="1374"/>
        <v>0</v>
      </c>
      <c r="AH274" s="177">
        <f t="shared" ca="1" si="1374"/>
        <v>0</v>
      </c>
      <c r="AI274" s="177">
        <f t="shared" ca="1" si="1374"/>
        <v>0</v>
      </c>
      <c r="AJ274" s="177">
        <f t="shared" ca="1" si="1374"/>
        <v>0</v>
      </c>
      <c r="AK274" s="177">
        <f t="shared" ca="1" si="1374"/>
        <v>0</v>
      </c>
      <c r="AL274" s="177">
        <f t="shared" ca="1" si="1374"/>
        <v>0</v>
      </c>
      <c r="AM274" s="177">
        <f t="shared" ref="AM274:BB274" ca="1" si="1375">SUM(AM$216,AM$240,AM$264)</f>
        <v>0</v>
      </c>
      <c r="AN274" s="177">
        <f t="shared" ca="1" si="1375"/>
        <v>0</v>
      </c>
      <c r="AO274" s="177">
        <f t="shared" ca="1" si="1375"/>
        <v>0</v>
      </c>
      <c r="AP274" s="177">
        <f t="shared" ca="1" si="1375"/>
        <v>0</v>
      </c>
      <c r="AQ274" s="177">
        <f t="shared" ca="1" si="1375"/>
        <v>0</v>
      </c>
      <c r="AR274" s="177">
        <f t="shared" ca="1" si="1375"/>
        <v>0</v>
      </c>
      <c r="AS274" s="177">
        <f t="shared" ca="1" si="1375"/>
        <v>0</v>
      </c>
      <c r="AT274" s="177">
        <f t="shared" ca="1" si="1375"/>
        <v>0</v>
      </c>
      <c r="AU274" s="177">
        <f t="shared" ca="1" si="1375"/>
        <v>0</v>
      </c>
      <c r="AV274" s="177">
        <f t="shared" ca="1" si="1375"/>
        <v>0</v>
      </c>
      <c r="AW274" s="177">
        <f t="shared" ca="1" si="1375"/>
        <v>0</v>
      </c>
      <c r="AX274" s="177">
        <f t="shared" ca="1" si="1375"/>
        <v>0</v>
      </c>
      <c r="AY274" s="177">
        <f t="shared" ca="1" si="1375"/>
        <v>0</v>
      </c>
      <c r="AZ274" s="177">
        <f t="shared" ca="1" si="1375"/>
        <v>0</v>
      </c>
      <c r="BA274" s="177">
        <f t="shared" ca="1" si="1375"/>
        <v>0</v>
      </c>
      <c r="BB274" s="177">
        <f t="shared" ca="1" si="1375"/>
        <v>0</v>
      </c>
      <c r="BC274" s="177"/>
      <c r="BD274" s="183">
        <f t="shared" ca="1" si="1343"/>
        <v>0</v>
      </c>
    </row>
    <row r="275" spans="1:56" hidden="1" outlineLevel="1" x14ac:dyDescent="0.3">
      <c r="A275" s="175" t="str">
        <f ca="1">Language!A$686</f>
        <v>Запасы материалов и комплектующих</v>
      </c>
      <c r="C275" s="194" t="str">
        <f t="shared" ca="1" si="1340"/>
        <v>руб.</v>
      </c>
      <c r="F275" s="170" t="s">
        <v>1103</v>
      </c>
      <c r="G275" s="177">
        <f t="shared" ref="G275:AL275" ca="1" si="1376">SUM(G$198,G$222,G$246)</f>
        <v>0</v>
      </c>
      <c r="H275" s="177">
        <f t="shared" ca="1" si="1376"/>
        <v>0</v>
      </c>
      <c r="I275" s="177">
        <f t="shared" ca="1" si="1376"/>
        <v>0</v>
      </c>
      <c r="J275" s="177">
        <f t="shared" ca="1" si="1376"/>
        <v>0</v>
      </c>
      <c r="K275" s="177">
        <f t="shared" ca="1" si="1376"/>
        <v>0</v>
      </c>
      <c r="L275" s="177">
        <f t="shared" ca="1" si="1376"/>
        <v>0</v>
      </c>
      <c r="M275" s="177">
        <f t="shared" ca="1" si="1376"/>
        <v>607801.61104531935</v>
      </c>
      <c r="N275" s="177">
        <f t="shared" ca="1" si="1376"/>
        <v>816860.3728926063</v>
      </c>
      <c r="O275" s="177">
        <f t="shared" ca="1" si="1376"/>
        <v>1029218.2033643425</v>
      </c>
      <c r="P275" s="177">
        <f t="shared" ca="1" si="1376"/>
        <v>1244917.8438675725</v>
      </c>
      <c r="Q275" s="177">
        <f t="shared" ca="1" si="1376"/>
        <v>1254859.3337527823</v>
      </c>
      <c r="R275" s="177">
        <f t="shared" ca="1" si="1376"/>
        <v>1264887.0959258261</v>
      </c>
      <c r="S275" s="177">
        <f t="shared" ca="1" si="1376"/>
        <v>1700002.560000001</v>
      </c>
      <c r="T275" s="177">
        <f t="shared" ca="1" si="1376"/>
        <v>1499405.3702129857</v>
      </c>
      <c r="U275" s="177">
        <f t="shared" ca="1" si="1376"/>
        <v>1295495.9496319001</v>
      </c>
      <c r="V275" s="177">
        <f t="shared" ca="1" si="1376"/>
        <v>1305876.7719583062</v>
      </c>
      <c r="W275" s="177">
        <f t="shared" ca="1" si="1376"/>
        <v>1096956.5748901963</v>
      </c>
      <c r="X275" s="177">
        <f t="shared" ca="1" si="1376"/>
        <v>1769213.5079362374</v>
      </c>
      <c r="Y275" s="177">
        <f t="shared" ca="1" si="1376"/>
        <v>2229273.884360129</v>
      </c>
      <c r="Z275" s="177">
        <f t="shared" ca="1" si="1376"/>
        <v>2247185.5535938889</v>
      </c>
      <c r="AA275" s="177">
        <f t="shared" ca="1" si="1376"/>
        <v>1585677.3179747805</v>
      </c>
      <c r="AB275" s="177">
        <f t="shared" ca="1" si="1376"/>
        <v>1141739.2949657273</v>
      </c>
      <c r="AC275" s="177">
        <f t="shared" ca="1" si="1376"/>
        <v>1150931.4174595242</v>
      </c>
      <c r="AD275" s="177">
        <f t="shared" ca="1" si="1376"/>
        <v>1392244.5034360322</v>
      </c>
      <c r="AE275" s="177">
        <f t="shared" ca="1" si="1376"/>
        <v>1871291.260416002</v>
      </c>
      <c r="AF275" s="177">
        <f t="shared" ca="1" si="1376"/>
        <v>1650588.8219736987</v>
      </c>
      <c r="AG275" s="177">
        <f t="shared" ca="1" si="1376"/>
        <v>1426211.3246952614</v>
      </c>
      <c r="AH275" s="177">
        <f t="shared" ca="1" si="1376"/>
        <v>1437732.0721026054</v>
      </c>
      <c r="AI275" s="177">
        <f t="shared" ca="1" si="1376"/>
        <v>1207794.6490535154</v>
      </c>
      <c r="AJ275" s="177">
        <f t="shared" ca="1" si="1376"/>
        <v>1948102.3619589927</v>
      </c>
      <c r="AK275" s="177">
        <f t="shared" ca="1" si="1376"/>
        <v>2454837.6419529389</v>
      </c>
      <c r="AL275" s="177">
        <f t="shared" ca="1" si="1376"/>
        <v>2474719.9401249667</v>
      </c>
      <c r="AM275" s="177">
        <f t="shared" ref="AM275:BB275" ca="1" si="1377">SUM(AM$198,AM$222,AM$246)</f>
        <v>1746343.5047522706</v>
      </c>
      <c r="AN275" s="177">
        <f t="shared" ca="1" si="1377"/>
        <v>1257504.3655440114</v>
      </c>
      <c r="AO275" s="177">
        <f t="shared" ca="1" si="1377"/>
        <v>1267709.2229571973</v>
      </c>
      <c r="AP275" s="177">
        <f t="shared" ca="1" si="1377"/>
        <v>1533604.3282617261</v>
      </c>
      <c r="AQ275" s="177">
        <f t="shared" ca="1" si="1377"/>
        <v>2061421.3472434208</v>
      </c>
      <c r="AR275" s="177">
        <f t="shared" ca="1" si="1377"/>
        <v>1818409.9652521801</v>
      </c>
      <c r="AS275" s="177">
        <f t="shared" ca="1" si="1377"/>
        <v>1571318.644657786</v>
      </c>
      <c r="AT275" s="177">
        <f t="shared" ca="1" si="1377"/>
        <v>1584111.6232125545</v>
      </c>
      <c r="AU275" s="177">
        <f t="shared" ca="1" si="1377"/>
        <v>1330847.5636738343</v>
      </c>
      <c r="AV275" s="177">
        <f t="shared" ca="1" si="1377"/>
        <v>2146714.7222054712</v>
      </c>
      <c r="AW275" s="177">
        <f t="shared" ca="1" si="1377"/>
        <v>2705282.6103133727</v>
      </c>
      <c r="AX275" s="177">
        <f t="shared" ca="1" si="1377"/>
        <v>2727364.5119576976</v>
      </c>
      <c r="AY275" s="177">
        <f t="shared" ca="1" si="1377"/>
        <v>1924748.6204320067</v>
      </c>
      <c r="AZ275" s="177">
        <f t="shared" ca="1" si="1377"/>
        <v>1386056.7644690028</v>
      </c>
      <c r="BA275" s="177">
        <f t="shared" ca="1" si="1377"/>
        <v>1397392.1261523631</v>
      </c>
      <c r="BB275" s="177">
        <f t="shared" ca="1" si="1377"/>
        <v>1690592.9316879357</v>
      </c>
      <c r="BC275" s="177"/>
      <c r="BD275" s="183"/>
    </row>
    <row r="276" spans="1:56" hidden="1" outlineLevel="1" x14ac:dyDescent="0.3">
      <c r="A276" s="175" t="str">
        <f ca="1">Language!A$687</f>
        <v>Незавершенное производство</v>
      </c>
      <c r="C276" s="194" t="str">
        <f t="shared" ca="1" si="1340"/>
        <v>руб.</v>
      </c>
      <c r="F276" s="170" t="s">
        <v>1105</v>
      </c>
      <c r="G276" s="177">
        <f t="shared" ref="G276:AL276" ca="1" si="1378">SUM(G$202,G$226,G$250)</f>
        <v>0</v>
      </c>
      <c r="H276" s="177">
        <f t="shared" ca="1" si="1378"/>
        <v>0</v>
      </c>
      <c r="I276" s="177">
        <f t="shared" ca="1" si="1378"/>
        <v>0</v>
      </c>
      <c r="J276" s="177">
        <f t="shared" ca="1" si="1378"/>
        <v>0</v>
      </c>
      <c r="K276" s="177">
        <f t="shared" ca="1" si="1378"/>
        <v>0</v>
      </c>
      <c r="L276" s="177">
        <f t="shared" ca="1" si="1378"/>
        <v>0</v>
      </c>
      <c r="M276" s="177">
        <f t="shared" ca="1" si="1378"/>
        <v>0</v>
      </c>
      <c r="N276" s="177">
        <f t="shared" ca="1" si="1378"/>
        <v>0</v>
      </c>
      <c r="O276" s="177">
        <f t="shared" ca="1" si="1378"/>
        <v>0</v>
      </c>
      <c r="P276" s="177">
        <f t="shared" ca="1" si="1378"/>
        <v>0</v>
      </c>
      <c r="Q276" s="177">
        <f t="shared" ca="1" si="1378"/>
        <v>0</v>
      </c>
      <c r="R276" s="177">
        <f t="shared" ca="1" si="1378"/>
        <v>0</v>
      </c>
      <c r="S276" s="177">
        <f t="shared" ca="1" si="1378"/>
        <v>0</v>
      </c>
      <c r="T276" s="177">
        <f t="shared" ca="1" si="1378"/>
        <v>0</v>
      </c>
      <c r="U276" s="177">
        <f t="shared" ca="1" si="1378"/>
        <v>0</v>
      </c>
      <c r="V276" s="177">
        <f t="shared" ca="1" si="1378"/>
        <v>0</v>
      </c>
      <c r="W276" s="177">
        <f t="shared" ca="1" si="1378"/>
        <v>0</v>
      </c>
      <c r="X276" s="177">
        <f t="shared" ca="1" si="1378"/>
        <v>0</v>
      </c>
      <c r="Y276" s="177">
        <f t="shared" ca="1" si="1378"/>
        <v>0</v>
      </c>
      <c r="Z276" s="177">
        <f t="shared" ca="1" si="1378"/>
        <v>0</v>
      </c>
      <c r="AA276" s="177">
        <f t="shared" ca="1" si="1378"/>
        <v>0</v>
      </c>
      <c r="AB276" s="177">
        <f t="shared" ca="1" si="1378"/>
        <v>0</v>
      </c>
      <c r="AC276" s="177">
        <f t="shared" ca="1" si="1378"/>
        <v>0</v>
      </c>
      <c r="AD276" s="177">
        <f t="shared" ca="1" si="1378"/>
        <v>0</v>
      </c>
      <c r="AE276" s="177">
        <f t="shared" ca="1" si="1378"/>
        <v>0</v>
      </c>
      <c r="AF276" s="177">
        <f t="shared" ca="1" si="1378"/>
        <v>0</v>
      </c>
      <c r="AG276" s="177">
        <f t="shared" ca="1" si="1378"/>
        <v>0</v>
      </c>
      <c r="AH276" s="177">
        <f t="shared" ca="1" si="1378"/>
        <v>0</v>
      </c>
      <c r="AI276" s="177">
        <f t="shared" ca="1" si="1378"/>
        <v>0</v>
      </c>
      <c r="AJ276" s="177">
        <f t="shared" ca="1" si="1378"/>
        <v>0</v>
      </c>
      <c r="AK276" s="177">
        <f t="shared" ca="1" si="1378"/>
        <v>0</v>
      </c>
      <c r="AL276" s="177">
        <f t="shared" ca="1" si="1378"/>
        <v>0</v>
      </c>
      <c r="AM276" s="177">
        <f t="shared" ref="AM276:BB276" ca="1" si="1379">SUM(AM$202,AM$226,AM$250)</f>
        <v>0</v>
      </c>
      <c r="AN276" s="177">
        <f t="shared" ca="1" si="1379"/>
        <v>0</v>
      </c>
      <c r="AO276" s="177">
        <f t="shared" ca="1" si="1379"/>
        <v>0</v>
      </c>
      <c r="AP276" s="177">
        <f t="shared" ca="1" si="1379"/>
        <v>0</v>
      </c>
      <c r="AQ276" s="177">
        <f t="shared" ca="1" si="1379"/>
        <v>0</v>
      </c>
      <c r="AR276" s="177">
        <f t="shared" ca="1" si="1379"/>
        <v>0</v>
      </c>
      <c r="AS276" s="177">
        <f t="shared" ca="1" si="1379"/>
        <v>0</v>
      </c>
      <c r="AT276" s="177">
        <f t="shared" ca="1" si="1379"/>
        <v>0</v>
      </c>
      <c r="AU276" s="177">
        <f t="shared" ca="1" si="1379"/>
        <v>0</v>
      </c>
      <c r="AV276" s="177">
        <f t="shared" ca="1" si="1379"/>
        <v>0</v>
      </c>
      <c r="AW276" s="177">
        <f t="shared" ca="1" si="1379"/>
        <v>0</v>
      </c>
      <c r="AX276" s="177">
        <f t="shared" ca="1" si="1379"/>
        <v>0</v>
      </c>
      <c r="AY276" s="177">
        <f t="shared" ca="1" si="1379"/>
        <v>0</v>
      </c>
      <c r="AZ276" s="177">
        <f t="shared" ca="1" si="1379"/>
        <v>0</v>
      </c>
      <c r="BA276" s="177">
        <f t="shared" ca="1" si="1379"/>
        <v>0</v>
      </c>
      <c r="BB276" s="177">
        <f t="shared" ca="1" si="1379"/>
        <v>0</v>
      </c>
      <c r="BC276" s="177"/>
      <c r="BD276" s="183"/>
    </row>
    <row r="277" spans="1:56" hidden="1" outlineLevel="1" x14ac:dyDescent="0.3">
      <c r="A277" s="175" t="str">
        <f ca="1">Language!A$688</f>
        <v>Запасы готовой продукции</v>
      </c>
      <c r="C277" s="194" t="str">
        <f t="shared" ca="1" si="1340"/>
        <v>руб.</v>
      </c>
      <c r="F277" s="170" t="s">
        <v>1104</v>
      </c>
      <c r="G277" s="177">
        <f t="shared" ref="G277:AL277" ca="1" si="1380">SUM(G$200,G$224,G$248)</f>
        <v>0</v>
      </c>
      <c r="H277" s="177">
        <f t="shared" ca="1" si="1380"/>
        <v>0</v>
      </c>
      <c r="I277" s="177">
        <f t="shared" ca="1" si="1380"/>
        <v>0</v>
      </c>
      <c r="J277" s="177">
        <f t="shared" ca="1" si="1380"/>
        <v>0</v>
      </c>
      <c r="K277" s="177">
        <f t="shared" ca="1" si="1380"/>
        <v>0</v>
      </c>
      <c r="L277" s="177">
        <f t="shared" ca="1" si="1380"/>
        <v>0</v>
      </c>
      <c r="M277" s="177">
        <f t="shared" ca="1" si="1380"/>
        <v>607801.61104531935</v>
      </c>
      <c r="N277" s="177">
        <f t="shared" ca="1" si="1380"/>
        <v>816860.3728926063</v>
      </c>
      <c r="O277" s="177">
        <f t="shared" ca="1" si="1380"/>
        <v>1029218.2033643425</v>
      </c>
      <c r="P277" s="177">
        <f t="shared" ca="1" si="1380"/>
        <v>1244917.8438675725</v>
      </c>
      <c r="Q277" s="177">
        <f t="shared" ca="1" si="1380"/>
        <v>1254859.3337527823</v>
      </c>
      <c r="R277" s="177">
        <f t="shared" ca="1" si="1380"/>
        <v>1264887.0959258261</v>
      </c>
      <c r="S277" s="177">
        <f t="shared" ca="1" si="1380"/>
        <v>1700002.560000001</v>
      </c>
      <c r="T277" s="177">
        <f t="shared" ca="1" si="1380"/>
        <v>1499405.3702129857</v>
      </c>
      <c r="U277" s="177">
        <f t="shared" ca="1" si="1380"/>
        <v>1295495.9496319001</v>
      </c>
      <c r="V277" s="177">
        <f t="shared" ca="1" si="1380"/>
        <v>1305876.7719583062</v>
      </c>
      <c r="W277" s="177">
        <f t="shared" ca="1" si="1380"/>
        <v>1096956.5748901963</v>
      </c>
      <c r="X277" s="177">
        <f t="shared" ca="1" si="1380"/>
        <v>1769213.5079362374</v>
      </c>
      <c r="Y277" s="177">
        <f t="shared" ca="1" si="1380"/>
        <v>2229273.884360129</v>
      </c>
      <c r="Z277" s="177">
        <f t="shared" ca="1" si="1380"/>
        <v>2247185.5535938889</v>
      </c>
      <c r="AA277" s="177">
        <f t="shared" ca="1" si="1380"/>
        <v>1585677.3179747805</v>
      </c>
      <c r="AB277" s="177">
        <f t="shared" ca="1" si="1380"/>
        <v>1141739.2949657273</v>
      </c>
      <c r="AC277" s="177">
        <f t="shared" ca="1" si="1380"/>
        <v>1150931.4174595242</v>
      </c>
      <c r="AD277" s="177">
        <f t="shared" ca="1" si="1380"/>
        <v>1392244.5034360322</v>
      </c>
      <c r="AE277" s="177">
        <f t="shared" ca="1" si="1380"/>
        <v>1871291.260416002</v>
      </c>
      <c r="AF277" s="177">
        <f t="shared" ca="1" si="1380"/>
        <v>1650588.8219736987</v>
      </c>
      <c r="AG277" s="177">
        <f t="shared" ca="1" si="1380"/>
        <v>1426211.3246952614</v>
      </c>
      <c r="AH277" s="177">
        <f t="shared" ca="1" si="1380"/>
        <v>1437732.0721026054</v>
      </c>
      <c r="AI277" s="177">
        <f t="shared" ca="1" si="1380"/>
        <v>1207794.6490535154</v>
      </c>
      <c r="AJ277" s="177">
        <f t="shared" ca="1" si="1380"/>
        <v>1948102.3619589927</v>
      </c>
      <c r="AK277" s="177">
        <f t="shared" ca="1" si="1380"/>
        <v>2454837.6419529389</v>
      </c>
      <c r="AL277" s="177">
        <f t="shared" ca="1" si="1380"/>
        <v>2474719.9401249667</v>
      </c>
      <c r="AM277" s="177">
        <f t="shared" ref="AM277:BB277" ca="1" si="1381">SUM(AM$200,AM$224,AM$248)</f>
        <v>1746343.5047522706</v>
      </c>
      <c r="AN277" s="177">
        <f t="shared" ca="1" si="1381"/>
        <v>1257504.3655440114</v>
      </c>
      <c r="AO277" s="177">
        <f t="shared" ca="1" si="1381"/>
        <v>1267709.2229571973</v>
      </c>
      <c r="AP277" s="177">
        <f t="shared" ca="1" si="1381"/>
        <v>1533604.3282617261</v>
      </c>
      <c r="AQ277" s="177">
        <f t="shared" ca="1" si="1381"/>
        <v>2061421.3472434208</v>
      </c>
      <c r="AR277" s="177">
        <f t="shared" ca="1" si="1381"/>
        <v>1818409.9652521801</v>
      </c>
      <c r="AS277" s="177">
        <f t="shared" ca="1" si="1381"/>
        <v>1571318.644657786</v>
      </c>
      <c r="AT277" s="177">
        <f t="shared" ca="1" si="1381"/>
        <v>1584111.6232125545</v>
      </c>
      <c r="AU277" s="177">
        <f t="shared" ca="1" si="1381"/>
        <v>1330847.5636738343</v>
      </c>
      <c r="AV277" s="177">
        <f t="shared" ca="1" si="1381"/>
        <v>2146714.7222054712</v>
      </c>
      <c r="AW277" s="177">
        <f t="shared" ca="1" si="1381"/>
        <v>2705282.6103133727</v>
      </c>
      <c r="AX277" s="177">
        <f t="shared" ca="1" si="1381"/>
        <v>2727364.5119576976</v>
      </c>
      <c r="AY277" s="177">
        <f t="shared" ca="1" si="1381"/>
        <v>1924748.6204320067</v>
      </c>
      <c r="AZ277" s="177">
        <f t="shared" ca="1" si="1381"/>
        <v>1386056.7644690028</v>
      </c>
      <c r="BA277" s="177">
        <f t="shared" ca="1" si="1381"/>
        <v>1397392.1261523631</v>
      </c>
      <c r="BB277" s="177">
        <f t="shared" ca="1" si="1381"/>
        <v>1690592.9316879357</v>
      </c>
      <c r="BC277" s="177"/>
      <c r="BD277" s="183"/>
    </row>
    <row r="278" spans="1:56" hidden="1" outlineLevel="1" x14ac:dyDescent="0.3">
      <c r="A278" s="175" t="str">
        <f ca="1">Language!A$689</f>
        <v>Кредиторская задолженность</v>
      </c>
      <c r="C278" s="194" t="str">
        <f t="shared" ca="1" si="1340"/>
        <v>руб.</v>
      </c>
      <c r="F278" s="170" t="s">
        <v>1106</v>
      </c>
      <c r="G278" s="177">
        <f t="shared" ref="G278:AL278" ca="1" si="1382">SUM(G$206,G$230,G$254)</f>
        <v>0</v>
      </c>
      <c r="H278" s="177">
        <f t="shared" ca="1" si="1382"/>
        <v>0</v>
      </c>
      <c r="I278" s="177">
        <f t="shared" ca="1" si="1382"/>
        <v>0</v>
      </c>
      <c r="J278" s="177">
        <f t="shared" ca="1" si="1382"/>
        <v>0</v>
      </c>
      <c r="K278" s="177">
        <f t="shared" ca="1" si="1382"/>
        <v>0</v>
      </c>
      <c r="L278" s="177">
        <f t="shared" ca="1" si="1382"/>
        <v>0</v>
      </c>
      <c r="M278" s="177">
        <f t="shared" ca="1" si="1382"/>
        <v>810402.14806042565</v>
      </c>
      <c r="N278" s="177">
        <f t="shared" ca="1" si="1382"/>
        <v>683946.0898265955</v>
      </c>
      <c r="O278" s="177">
        <f t="shared" ca="1" si="1382"/>
        <v>827717.35589071899</v>
      </c>
      <c r="P278" s="177">
        <f t="shared" ca="1" si="1382"/>
        <v>973744.9895805351</v>
      </c>
      <c r="Q278" s="177">
        <f t="shared" ca="1" si="1382"/>
        <v>843200.54909199476</v>
      </c>
      <c r="R278" s="177">
        <f t="shared" ca="1" si="1382"/>
        <v>849943.23873257986</v>
      </c>
      <c r="S278" s="177">
        <f t="shared" ca="1" si="1382"/>
        <v>1423412.0160494507</v>
      </c>
      <c r="T278" s="177">
        <f t="shared" ca="1" si="1382"/>
        <v>865872.12028398039</v>
      </c>
      <c r="U278" s="177">
        <f t="shared" ca="1" si="1382"/>
        <v>727724.35270054289</v>
      </c>
      <c r="V278" s="177">
        <f t="shared" ca="1" si="1382"/>
        <v>877505.06285647489</v>
      </c>
      <c r="W278" s="177">
        <f t="shared" ca="1" si="1382"/>
        <v>592024.25188139104</v>
      </c>
      <c r="X278" s="177">
        <f t="shared" ca="1" si="1382"/>
        <v>1627646.9606548522</v>
      </c>
      <c r="Y278" s="177">
        <f t="shared" ca="1" si="1382"/>
        <v>1792889.5071893469</v>
      </c>
      <c r="Z278" s="177">
        <f t="shared" ca="1" si="1382"/>
        <v>1510064.815218433</v>
      </c>
      <c r="AA278" s="177">
        <f t="shared" ca="1" si="1382"/>
        <v>616112.7215704479</v>
      </c>
      <c r="AB278" s="177">
        <f t="shared" ca="1" si="1382"/>
        <v>465200.84797111584</v>
      </c>
      <c r="AC278" s="177">
        <f t="shared" ca="1" si="1382"/>
        <v>773415.69330221415</v>
      </c>
      <c r="AD278" s="177">
        <f t="shared" ca="1" si="1382"/>
        <v>1089038.3929416933</v>
      </c>
      <c r="AE278" s="177">
        <f t="shared" ca="1" si="1382"/>
        <v>1566892.0115973146</v>
      </c>
      <c r="AF278" s="177">
        <f t="shared" ca="1" si="1382"/>
        <v>953257.58902093046</v>
      </c>
      <c r="AG278" s="177">
        <f t="shared" ca="1" si="1382"/>
        <v>801222.55161121604</v>
      </c>
      <c r="AH278" s="177">
        <f t="shared" ca="1" si="1382"/>
        <v>966168.54633996612</v>
      </c>
      <c r="AI278" s="177">
        <f t="shared" ca="1" si="1382"/>
        <v>651904.81733628362</v>
      </c>
      <c r="AJ278" s="177">
        <f t="shared" ca="1" si="1382"/>
        <v>1792273.3832429801</v>
      </c>
      <c r="AK278" s="177">
        <f t="shared" ca="1" si="1382"/>
        <v>1974381.94796459</v>
      </c>
      <c r="AL278" s="177">
        <f t="shared" ca="1" si="1382"/>
        <v>1663068.158864663</v>
      </c>
      <c r="AM278" s="177">
        <f t="shared" ref="AM278:BB278" ca="1" si="1383">SUM(AM$206,AM$230,AM$254)</f>
        <v>678644.71291971649</v>
      </c>
      <c r="AN278" s="177">
        <f t="shared" ca="1" si="1383"/>
        <v>512443.48422383482</v>
      </c>
      <c r="AO278" s="177">
        <f t="shared" ca="1" si="1383"/>
        <v>851942.72024692211</v>
      </c>
      <c r="AP278" s="177">
        <f t="shared" ca="1" si="1383"/>
        <v>1199666.2890441697</v>
      </c>
      <c r="AQ278" s="177">
        <f t="shared" ca="1" si="1383"/>
        <v>1726158.910816744</v>
      </c>
      <c r="AR278" s="177">
        <f t="shared" ca="1" si="1383"/>
        <v>1050265.7221739595</v>
      </c>
      <c r="AS278" s="177">
        <f t="shared" ca="1" si="1383"/>
        <v>882818.21604226111</v>
      </c>
      <c r="AT278" s="177">
        <f t="shared" ca="1" si="1383"/>
        <v>1064603.0678448821</v>
      </c>
      <c r="AU278" s="177">
        <f t="shared" ca="1" si="1383"/>
        <v>718389.00275674253</v>
      </c>
      <c r="AV278" s="177">
        <f t="shared" ca="1" si="1383"/>
        <v>1975054.5871580723</v>
      </c>
      <c r="AW278" s="177">
        <f t="shared" ca="1" si="1383"/>
        <v>2175900.3322808491</v>
      </c>
      <c r="AX278" s="177">
        <f t="shared" ca="1" si="1383"/>
        <v>1832964.2757346812</v>
      </c>
      <c r="AY278" s="177">
        <f t="shared" ca="1" si="1383"/>
        <v>748088.48593754391</v>
      </c>
      <c r="AZ278" s="177">
        <f t="shared" ca="1" si="1383"/>
        <v>564909.93900399923</v>
      </c>
      <c r="BA278" s="177">
        <f t="shared" ca="1" si="1383"/>
        <v>939151.65855714912</v>
      </c>
      <c r="BB278" s="177">
        <f t="shared" ca="1" si="1383"/>
        <v>1322529.1581490051</v>
      </c>
      <c r="BC278" s="177"/>
      <c r="BD278" s="183"/>
    </row>
    <row r="279" spans="1:56" hidden="1" outlineLevel="1" x14ac:dyDescent="0.3">
      <c r="A279" s="175" t="str">
        <f ca="1">Language!A$690</f>
        <v>Авансы уплаченные</v>
      </c>
      <c r="C279" s="194" t="str">
        <f t="shared" ca="1" si="1340"/>
        <v>руб.</v>
      </c>
      <c r="F279" s="170" t="s">
        <v>1100</v>
      </c>
      <c r="G279" s="177">
        <f t="shared" ref="G279:AL279" ca="1" si="1384">SUM(G$208,G$232,G$256)</f>
        <v>0</v>
      </c>
      <c r="H279" s="177">
        <f t="shared" ca="1" si="1384"/>
        <v>0</v>
      </c>
      <c r="I279" s="177">
        <f t="shared" ca="1" si="1384"/>
        <v>0</v>
      </c>
      <c r="J279" s="177">
        <f t="shared" ca="1" si="1384"/>
        <v>0</v>
      </c>
      <c r="K279" s="177">
        <f t="shared" ca="1" si="1384"/>
        <v>0</v>
      </c>
      <c r="L279" s="177">
        <f t="shared" ca="1" si="1384"/>
        <v>810402.14806042565</v>
      </c>
      <c r="M279" s="177">
        <f t="shared" ca="1" si="1384"/>
        <v>683946.0898265955</v>
      </c>
      <c r="N279" s="177">
        <f t="shared" ca="1" si="1384"/>
        <v>827717.35589071899</v>
      </c>
      <c r="O279" s="177">
        <f t="shared" ca="1" si="1384"/>
        <v>973744.9895805351</v>
      </c>
      <c r="P279" s="177">
        <f t="shared" ca="1" si="1384"/>
        <v>843200.54909199476</v>
      </c>
      <c r="Q279" s="177">
        <f t="shared" ca="1" si="1384"/>
        <v>849943.23873257986</v>
      </c>
      <c r="R279" s="177">
        <f t="shared" ca="1" si="1384"/>
        <v>1423412.0160494507</v>
      </c>
      <c r="S279" s="177">
        <f t="shared" ca="1" si="1384"/>
        <v>865872.12028398039</v>
      </c>
      <c r="T279" s="177">
        <f t="shared" ca="1" si="1384"/>
        <v>727724.35270054289</v>
      </c>
      <c r="U279" s="177">
        <f t="shared" ca="1" si="1384"/>
        <v>877505.06285647489</v>
      </c>
      <c r="V279" s="177">
        <f t="shared" ca="1" si="1384"/>
        <v>592024.25188139104</v>
      </c>
      <c r="W279" s="177">
        <f t="shared" ca="1" si="1384"/>
        <v>1627646.9606548522</v>
      </c>
      <c r="X279" s="177">
        <f t="shared" ca="1" si="1384"/>
        <v>1792889.5071893469</v>
      </c>
      <c r="Y279" s="177">
        <f t="shared" ca="1" si="1384"/>
        <v>1510064.815218433</v>
      </c>
      <c r="Z279" s="177">
        <f t="shared" ca="1" si="1384"/>
        <v>616112.7215704479</v>
      </c>
      <c r="AA279" s="177">
        <f t="shared" ca="1" si="1384"/>
        <v>465200.84797111584</v>
      </c>
      <c r="AB279" s="177">
        <f t="shared" ca="1" si="1384"/>
        <v>773415.69330221415</v>
      </c>
      <c r="AC279" s="177">
        <f t="shared" ca="1" si="1384"/>
        <v>1089038.3929416933</v>
      </c>
      <c r="AD279" s="177">
        <f t="shared" ca="1" si="1384"/>
        <v>1566892.0115973146</v>
      </c>
      <c r="AE279" s="177">
        <f t="shared" ca="1" si="1384"/>
        <v>953257.58902093046</v>
      </c>
      <c r="AF279" s="177">
        <f t="shared" ca="1" si="1384"/>
        <v>801222.55161121604</v>
      </c>
      <c r="AG279" s="177">
        <f t="shared" ca="1" si="1384"/>
        <v>966168.54633996612</v>
      </c>
      <c r="AH279" s="177">
        <f t="shared" ca="1" si="1384"/>
        <v>651904.81733628362</v>
      </c>
      <c r="AI279" s="177">
        <f t="shared" ca="1" si="1384"/>
        <v>1792273.3832429801</v>
      </c>
      <c r="AJ279" s="177">
        <f t="shared" ca="1" si="1384"/>
        <v>1974381.94796459</v>
      </c>
      <c r="AK279" s="177">
        <f t="shared" ca="1" si="1384"/>
        <v>1663068.158864663</v>
      </c>
      <c r="AL279" s="177">
        <f t="shared" ca="1" si="1384"/>
        <v>678644.71291971649</v>
      </c>
      <c r="AM279" s="177">
        <f t="shared" ref="AM279:BB279" ca="1" si="1385">SUM(AM$208,AM$232,AM$256)</f>
        <v>512443.48422383482</v>
      </c>
      <c r="AN279" s="177">
        <f t="shared" ca="1" si="1385"/>
        <v>851942.72024692211</v>
      </c>
      <c r="AO279" s="177">
        <f t="shared" ca="1" si="1385"/>
        <v>1199666.2890441697</v>
      </c>
      <c r="AP279" s="177">
        <f t="shared" ca="1" si="1385"/>
        <v>1726158.910816744</v>
      </c>
      <c r="AQ279" s="177">
        <f t="shared" ca="1" si="1385"/>
        <v>1050265.7221739595</v>
      </c>
      <c r="AR279" s="177">
        <f t="shared" ca="1" si="1385"/>
        <v>882818.21604226111</v>
      </c>
      <c r="AS279" s="177">
        <f t="shared" ca="1" si="1385"/>
        <v>1064603.0678448821</v>
      </c>
      <c r="AT279" s="177">
        <f t="shared" ca="1" si="1385"/>
        <v>718389.00275674253</v>
      </c>
      <c r="AU279" s="177">
        <f t="shared" ca="1" si="1385"/>
        <v>1975054.5871580723</v>
      </c>
      <c r="AV279" s="177">
        <f t="shared" ca="1" si="1385"/>
        <v>2175900.3322808491</v>
      </c>
      <c r="AW279" s="177">
        <f t="shared" ca="1" si="1385"/>
        <v>1832964.2757346812</v>
      </c>
      <c r="AX279" s="177">
        <f t="shared" ca="1" si="1385"/>
        <v>748088.48593754391</v>
      </c>
      <c r="AY279" s="177">
        <f t="shared" ca="1" si="1385"/>
        <v>564909.93900399923</v>
      </c>
      <c r="AZ279" s="177">
        <f t="shared" ca="1" si="1385"/>
        <v>939151.65855714912</v>
      </c>
      <c r="BA279" s="177">
        <f t="shared" ca="1" si="1385"/>
        <v>1322529.1581490051</v>
      </c>
      <c r="BB279" s="177">
        <f t="shared" ca="1" si="1385"/>
        <v>1322529.1581490051</v>
      </c>
      <c r="BC279" s="177"/>
      <c r="BD279" s="183"/>
    </row>
    <row r="280" spans="1:56" s="195" customFormat="1" hidden="1" outlineLevel="1" x14ac:dyDescent="0.3">
      <c r="A280" s="175" t="str">
        <f ca="1">Language!A$691</f>
        <v>Курсовые разницы</v>
      </c>
      <c r="B280" s="169"/>
      <c r="C280" s="194" t="str">
        <f t="shared" ref="C280" ca="1" si="1386">CurName1</f>
        <v>руб.</v>
      </c>
      <c r="D280" s="170"/>
      <c r="E280" s="170"/>
      <c r="F280" s="170" t="s">
        <v>740</v>
      </c>
      <c r="G280" s="177">
        <f>IF(G$2=1,0,SUM($F268:G268)+SUM($F269:G269)-SUM($F273:G273)-G278+G279+G275+G276+G277-(SUM($F268:F268)+SUM($F269:F269)-SUM($F273:F273)-F278+F279+F275+F276+F277))</f>
        <v>0</v>
      </c>
      <c r="H280" s="177">
        <f ca="1">IF(H$2=1,0,SUM($F268:H268)+SUM($F269:H269)-SUM($F273:H273)-H278+H279+H275+H276+H277-(SUM($F268:G268)+SUM($F269:G269)-SUM($F273:G273)-G278+G279+G275+G276+G277))</f>
        <v>0</v>
      </c>
      <c r="I280" s="177">
        <f ca="1">IF(I$2=1,0,SUM($F268:I268)+SUM($F269:I269)-SUM($F273:I273)-I278+I279+I275+I276+I277-(SUM($F268:H268)+SUM($F269:H269)-SUM($F273:H273)-H278+H279+H275+H276+H277))</f>
        <v>0</v>
      </c>
      <c r="J280" s="177">
        <f ca="1">IF(J$2=1,0,SUM($F268:J268)+SUM($F269:J269)-SUM($F273:J273)-J278+J279+J275+J276+J277-(SUM($F268:I268)+SUM($F269:I269)-SUM($F273:I273)-I278+I279+I275+I276+I277))</f>
        <v>0</v>
      </c>
      <c r="K280" s="177">
        <f ca="1">IF(K$2=1,0,SUM($F268:K268)+SUM($F269:K269)-SUM($F273:K273)-K278+K279+K275+K276+K277-(SUM($F268:J268)+SUM($F269:J269)-SUM($F273:J273)-J278+J279+J275+J276+J277))</f>
        <v>0</v>
      </c>
      <c r="L280" s="177">
        <f ca="1">IF(L$2=1,0,SUM($F268:L268)+SUM($F269:L269)-SUM($F273:L273)-L278+L279+L275+L276+L277-(SUM($F268:K268)+SUM($F269:K269)-SUM($F273:K273)-K278+K279+K275+K276+K277))</f>
        <v>0</v>
      </c>
      <c r="M280" s="177">
        <f ca="1">IF(M$2=1,0,SUM($F268:M268)+SUM($F269:M269)-SUM($F273:M273)-M278+M279+M275+M276+M277-(SUM($F268:L268)+SUM($F269:L269)-SUM($F273:L273)-L278+L279+L275+L276+L277))</f>
        <v>0</v>
      </c>
      <c r="N280" s="177">
        <f ca="1">IF(N$2=1,0,SUM($F268:N268)+SUM($F269:N269)-SUM($F273:N273)-N278+N279+N275+N276+N277-(SUM($F268:M268)+SUM($F269:M269)-SUM($F273:M273)-M278+M279+M275+M276+M277))</f>
        <v>-2.3283064365386963E-10</v>
      </c>
      <c r="O280" s="177">
        <f ca="1">IF(O$2=1,0,SUM($F268:O268)+SUM($F269:O269)-SUM($F273:O273)-O278+O279+O275+O276+O277-(SUM($F268:N268)+SUM($F269:N269)-SUM($F273:N273)-N278+N279+N275+N276+N277))</f>
        <v>0</v>
      </c>
      <c r="P280" s="177">
        <f ca="1">IF(P$2=1,0,SUM($F268:P268)+SUM($F269:P269)-SUM($F273:P273)-P278+P279+P275+P276+P277-(SUM($F268:O268)+SUM($F269:O269)-SUM($F273:O273)-O278+O279+O275+O276+O277))</f>
        <v>-6.9849193096160889E-10</v>
      </c>
      <c r="Q280" s="177">
        <f ca="1">IF(Q$2=1,0,SUM($F268:Q268)+SUM($F269:Q269)-SUM($F273:Q273)-Q278+Q279+Q275+Q276+Q277-(SUM($F268:P268)+SUM($F269:P269)-SUM($F273:P273)-P278+P279+P275+P276+P277))</f>
        <v>1.3969838619232178E-9</v>
      </c>
      <c r="R280" s="177">
        <f ca="1">IF(R$2=1,0,SUM($F268:R268)+SUM($F269:R269)-SUM($F273:R273)-R278+R279+R275+R276+R277-(SUM($F268:Q268)+SUM($F269:Q269)-SUM($F273:Q273)-Q278+Q279+Q275+Q276+Q277))</f>
        <v>-9.3132257461547852E-10</v>
      </c>
      <c r="S280" s="177">
        <f ca="1">IF(S$2=1,0,SUM($F268:S268)+SUM($F269:S269)-SUM($F273:S273)-S278+S279+S275+S276+S277-(SUM($F268:R268)+SUM($F269:R269)-SUM($F273:R273)-R278+R279+R275+R276+R277))</f>
        <v>0</v>
      </c>
      <c r="T280" s="177">
        <f ca="1">IF(T$2=1,0,SUM($F268:T268)+SUM($F269:T269)-SUM($F273:T273)-T278+T279+T275+T276+T277-(SUM($F268:S268)+SUM($F269:S269)-SUM($F273:S273)-S278+S279+S275+S276+S277))</f>
        <v>-2.3283064365386963E-9</v>
      </c>
      <c r="U280" s="177">
        <f ca="1">IF(U$2=1,0,SUM($F268:U268)+SUM($F269:U269)-SUM($F273:U273)-U278+U279+U275+U276+U277-(SUM($F268:T268)+SUM($F269:T269)-SUM($F273:T273)-T278+T279+T275+T276+T277))</f>
        <v>-1.862645149230957E-9</v>
      </c>
      <c r="V280" s="177">
        <f ca="1">IF(V$2=1,0,SUM($F268:V268)+SUM($F269:V269)-SUM($F273:V273)-V278+V279+V275+V276+V277-(SUM($F268:U268)+SUM($F269:U269)-SUM($F273:U273)-U278+U279+U275+U276+U277))</f>
        <v>-1.3969838619232178E-9</v>
      </c>
      <c r="W280" s="177">
        <f ca="1">IF(W$2=1,0,SUM($F268:W268)+SUM($F269:W269)-SUM($F273:W273)-W278+W279+W275+W276+W277-(SUM($F268:V268)+SUM($F269:V269)-SUM($F273:V273)-V278+V279+V275+V276+V277))</f>
        <v>-4.6566128730773926E-10</v>
      </c>
      <c r="X280" s="177">
        <f ca="1">IF(X$2=1,0,SUM($F268:X268)+SUM($F269:X269)-SUM($F273:X273)-X278+X279+X275+X276+X277-(SUM($F268:W268)+SUM($F269:W269)-SUM($F273:W273)-W278+W279+W275+W276+W277))</f>
        <v>4.6566128730773926E-10</v>
      </c>
      <c r="Y280" s="177">
        <f ca="1">IF(Y$2=1,0,SUM($F268:Y268)+SUM($F269:Y269)-SUM($F273:Y273)-Y278+Y279+Y275+Y276+Y277-(SUM($F268:X268)+SUM($F269:X269)-SUM($F273:X273)-X278+X279+X275+X276+X277))</f>
        <v>-4.1909515857696533E-9</v>
      </c>
      <c r="Z280" s="177">
        <f ca="1">IF(Z$2=1,0,SUM($F268:Z268)+SUM($F269:Z269)-SUM($F273:Z273)-Z278+Z279+Z275+Z276+Z277-(SUM($F268:Y268)+SUM($F269:Y269)-SUM($F273:Y273)-Y278+Y279+Y275+Y276+Y277))</f>
        <v>-2.7939677238464355E-9</v>
      </c>
      <c r="AA280" s="177">
        <f ca="1">IF(AA$2=1,0,SUM($F268:AA268)+SUM($F269:AA269)-SUM($F273:AA273)-AA278+AA279+AA275+AA276+AA277-(SUM($F268:Z268)+SUM($F269:Z269)-SUM($F273:Z273)-Z278+Z279+Z275+Z276+Z277))</f>
        <v>-4.6566128730773926E-9</v>
      </c>
      <c r="AB280" s="177">
        <f ca="1">IF(AB$2=1,0,SUM($F268:AB268)+SUM($F269:AB269)-SUM($F273:AB273)-AB278+AB279+AB275+AB276+AB277-(SUM($F268:AA268)+SUM($F269:AA269)-SUM($F273:AA273)-AA278+AA279+AA275+AA276+AA277))</f>
        <v>-5.1222741603851318E-9</v>
      </c>
      <c r="AC280" s="177">
        <f ca="1">IF(AC$2=1,0,SUM($F268:AC268)+SUM($F269:AC269)-SUM($F273:AC273)-AC278+AC279+AC275+AC276+AC277-(SUM($F268:AB268)+SUM($F269:AB269)-SUM($F273:AB273)-AB278+AB279+AB275+AB276+AB277))</f>
        <v>9.3132257461547852E-10</v>
      </c>
      <c r="AD280" s="177">
        <f ca="1">IF(AD$2=1,0,SUM($F268:AD268)+SUM($F269:AD269)-SUM($F273:AD273)-AD278+AD279+AD275+AD276+AD277-(SUM($F268:AC268)+SUM($F269:AC269)-SUM($F273:AC273)-AC278+AC279+AC275+AC276+AC277))</f>
        <v>6.0535967350006104E-9</v>
      </c>
      <c r="AE280" s="177">
        <f ca="1">IF(AE$2=1,0,SUM($F268:AE268)+SUM($F269:AE269)-SUM($F273:AE273)-AE278+AE279+AE275+AE276+AE277-(SUM($F268:AD268)+SUM($F269:AD269)-SUM($F273:AD273)-AD278+AD279+AD275+AD276+AD277))</f>
        <v>-6.5192580223083496E-9</v>
      </c>
      <c r="AF280" s="177">
        <f ca="1">IF(AF$2=1,0,SUM($F268:AF268)+SUM($F269:AF269)-SUM($F273:AF273)-AF278+AF279+AF275+AF276+AF277-(SUM($F268:AE268)+SUM($F269:AE269)-SUM($F273:AE273)-AE278+AE279+AE275+AE276+AE277))</f>
        <v>5.5879354476928711E-9</v>
      </c>
      <c r="AG280" s="177">
        <f ca="1">IF(AG$2=1,0,SUM($F268:AG268)+SUM($F269:AG269)-SUM($F273:AG273)-AG278+AG279+AG275+AG276+AG277-(SUM($F268:AF268)+SUM($F269:AF269)-SUM($F273:AF273)-AF278+AF279+AF275+AF276+AF277))</f>
        <v>5.1222741603851318E-9</v>
      </c>
      <c r="AH280" s="177">
        <f ca="1">IF(AH$2=1,0,SUM($F268:AH268)+SUM($F269:AH269)-SUM($F273:AH273)-AH278+AH279+AH275+AH276+AH277-(SUM($F268:AG268)+SUM($F269:AG269)-SUM($F273:AG273)-AG278+AG279+AG275+AG276+AG277))</f>
        <v>2.3283064365386963E-9</v>
      </c>
      <c r="AI280" s="177">
        <f ca="1">IF(AI$2=1,0,SUM($F268:AI268)+SUM($F269:AI269)-SUM($F273:AI273)-AI278+AI279+AI275+AI276+AI277-(SUM($F268:AH268)+SUM($F269:AH269)-SUM($F273:AH273)-AH278+AH279+AH275+AH276+AH277))</f>
        <v>-2.3283064365386963E-9</v>
      </c>
      <c r="AJ280" s="177">
        <f ca="1">IF(AJ$2=1,0,SUM($F268:AJ268)+SUM($F269:AJ269)-SUM($F273:AJ273)-AJ278+AJ279+AJ275+AJ276+AJ277-(SUM($F268:AI268)+SUM($F269:AI269)-SUM($F273:AI273)-AI278+AI279+AI275+AI276+AI277))</f>
        <v>2.3283064365386963E-9</v>
      </c>
      <c r="AK280" s="177">
        <f ca="1">IF(AK$2=1,0,SUM($F268:AK268)+SUM($F269:AK269)-SUM($F273:AK273)-AK278+AK279+AK275+AK276+AK277-(SUM($F268:AJ268)+SUM($F269:AJ269)-SUM($F273:AJ273)-AJ278+AJ279+AJ275+AJ276+AJ277))</f>
        <v>-1.862645149230957E-9</v>
      </c>
      <c r="AL280" s="177">
        <f ca="1">IF(AL$2=1,0,SUM($F268:AL268)+SUM($F269:AL269)-SUM($F273:AL273)-AL278+AL279+AL275+AL276+AL277-(SUM($F268:AK268)+SUM($F269:AK269)-SUM($F273:AK273)-AK278+AK279+AK275+AK276+AK277))</f>
        <v>9.3132257461547852E-10</v>
      </c>
      <c r="AM280" s="177">
        <f ca="1">IF(AM$2=1,0,SUM($F268:AM268)+SUM($F269:AM269)-SUM($F273:AM273)-AM278+AM279+AM275+AM276+AM277-(SUM($F268:AL268)+SUM($F269:AL269)-SUM($F273:AL273)-AL278+AL279+AL275+AL276+AL277))</f>
        <v>-2.7939677238464355E-9</v>
      </c>
      <c r="AN280" s="177">
        <f ca="1">IF(AN$2=1,0,SUM($F268:AN268)+SUM($F269:AN269)-SUM($F273:AN273)-AN278+AN279+AN275+AN276+AN277-(SUM($F268:AM268)+SUM($F269:AM269)-SUM($F273:AM273)-AM278+AM279+AM275+AM276+AM277))</f>
        <v>-2.3283064365386963E-9</v>
      </c>
      <c r="AO280" s="177">
        <f ca="1">IF(AO$2=1,0,SUM($F268:AO268)+SUM($F269:AO269)-SUM($F273:AO273)-AO278+AO279+AO275+AO276+AO277-(SUM($F268:AN268)+SUM($F269:AN269)-SUM($F273:AN273)-AN278+AN279+AN275+AN276+AN277))</f>
        <v>-5.5879354476928711E-9</v>
      </c>
      <c r="AP280" s="177">
        <f ca="1">IF(AP$2=1,0,SUM($F268:AP268)+SUM($F269:AP269)-SUM($F273:AP273)-AP278+AP279+AP275+AP276+AP277-(SUM($F268:AO268)+SUM($F269:AO269)-SUM($F273:AO273)-AO278+AO279+AO275+AO276+AO277))</f>
        <v>-6.0535967350006104E-9</v>
      </c>
      <c r="AQ280" s="177">
        <f ca="1">IF(AQ$2=1,0,SUM($F268:AQ268)+SUM($F269:AQ269)-SUM($F273:AQ273)-AQ278+AQ279+AQ275+AQ276+AQ277-(SUM($F268:AP268)+SUM($F269:AP269)-SUM($F273:AP273)-AP278+AP279+AP275+AP276+AP277))</f>
        <v>-2.3283064365386963E-9</v>
      </c>
      <c r="AR280" s="177">
        <f ca="1">IF(AR$2=1,0,SUM($F268:AR268)+SUM($F269:AR269)-SUM($F273:AR273)-AR278+AR279+AR275+AR276+AR277-(SUM($F268:AQ268)+SUM($F269:AQ269)-SUM($F273:AQ273)-AQ278+AQ279+AQ275+AQ276+AQ277))</f>
        <v>3.7252902984619141E-9</v>
      </c>
      <c r="AS280" s="177">
        <f ca="1">IF(AS$2=1,0,SUM($F268:AS268)+SUM($F269:AS269)-SUM($F273:AS273)-AS278+AS279+AS275+AS276+AS277-(SUM($F268:AR268)+SUM($F269:AR269)-SUM($F273:AR273)-AR278+AR279+AR275+AR276+AR277))</f>
        <v>-1.0244548320770264E-8</v>
      </c>
      <c r="AT280" s="177">
        <f ca="1">IF(AT$2=1,0,SUM($F268:AT268)+SUM($F269:AT269)-SUM($F273:AT273)-AT278+AT279+AT275+AT276+AT277-(SUM($F268:AS268)+SUM($F269:AS269)-SUM($F273:AS273)-AS278+AS279+AS275+AS276+AS277))</f>
        <v>-8.8475644588470459E-9</v>
      </c>
      <c r="AU280" s="177">
        <f ca="1">IF(AU$2=1,0,SUM($F268:AU268)+SUM($F269:AU269)-SUM($F273:AU273)-AU278+AU279+AU275+AU276+AU277-(SUM($F268:AT268)+SUM($F269:AT269)-SUM($F273:AT273)-AT278+AT279+AT275+AT276+AT277))</f>
        <v>-4.1909515857696533E-9</v>
      </c>
      <c r="AV280" s="177">
        <f ca="1">IF(AV$2=1,0,SUM($F268:AV268)+SUM($F269:AV269)-SUM($F273:AV273)-AV278+AV279+AV275+AV276+AV277-(SUM($F268:AU268)+SUM($F269:AU269)-SUM($F273:AU273)-AU278+AU279+AU275+AU276+AU277))</f>
        <v>1.257285475730896E-8</v>
      </c>
      <c r="AW280" s="177">
        <f ca="1">IF(AW$2=1,0,SUM($F268:AW268)+SUM($F269:AW269)-SUM($F273:AW273)-AW278+AW279+AW275+AW276+AW277-(SUM($F268:AV268)+SUM($F269:AV269)-SUM($F273:AV273)-AV278+AV279+AV275+AV276+AV277))</f>
        <v>-6.5192580223083496E-9</v>
      </c>
      <c r="AX280" s="177">
        <f ca="1">IF(AX$2=1,0,SUM($F268:AX268)+SUM($F269:AX269)-SUM($F273:AX273)-AX278+AX279+AX275+AX276+AX277-(SUM($F268:AW268)+SUM($F269:AW269)-SUM($F273:AW273)-AW278+AW279+AW275+AW276+AW277))</f>
        <v>2.7939677238464355E-9</v>
      </c>
      <c r="AY280" s="177">
        <f ca="1">IF(AY$2=1,0,SUM($F268:AY268)+SUM($F269:AY269)-SUM($F273:AY273)-AY278+AY279+AY275+AY276+AY277-(SUM($F268:AX268)+SUM($F269:AX269)-SUM($F273:AX273)-AX278+AX279+AX275+AX276+AX277))</f>
        <v>1.862645149230957E-9</v>
      </c>
      <c r="AZ280" s="177">
        <f ca="1">IF(AZ$2=1,0,SUM($F268:AZ268)+SUM($F269:AZ269)-SUM($F273:AZ273)-AZ278+AZ279+AZ275+AZ276+AZ277-(SUM($F268:AY268)+SUM($F269:AY269)-SUM($F273:AY273)-AY278+AY279+AY275+AY276+AY277))</f>
        <v>1.0710209608078003E-8</v>
      </c>
      <c r="BA280" s="177">
        <f ca="1">IF(BA$2=1,0,SUM($F268:BA268)+SUM($F269:BA269)-SUM($F273:BA273)-BA278+BA279+BA275+BA276+BA277-(SUM($F268:AZ268)+SUM($F269:AZ269)-SUM($F273:AZ273)-AZ278+AZ279+AZ275+AZ276+AZ277))</f>
        <v>2.0023435354232788E-8</v>
      </c>
      <c r="BB280" s="177">
        <f ca="1">IF(BB$2=1,0,SUM($F268:BB268)+SUM($F269:BB269)-SUM($F273:BB273)-BB278+BB279+BB275+BB276+BB277-(SUM($F268:BA268)+SUM($F269:BA269)-SUM($F273:BA273)-BA278+BA279+BA275+BA276+BA277))</f>
        <v>6.5192580223083496E-9</v>
      </c>
      <c r="BC280" s="177"/>
      <c r="BD280" s="183">
        <f ca="1">SUM(G280:BC280)</f>
        <v>-9.3132257461547852E-10</v>
      </c>
    </row>
    <row r="281" spans="1:56" x14ac:dyDescent="0.3">
      <c r="A281" s="196"/>
      <c r="B281" s="196"/>
      <c r="C281" s="196"/>
      <c r="D281" s="197"/>
      <c r="E281" s="197" t="s">
        <v>839</v>
      </c>
      <c r="F281" s="197"/>
      <c r="G281" s="196"/>
      <c r="H281" s="196"/>
      <c r="I281" s="196"/>
      <c r="J281" s="196"/>
      <c r="K281" s="196"/>
      <c r="L281" s="196"/>
      <c r="M281" s="196"/>
      <c r="N281" s="196"/>
      <c r="O281" s="196"/>
      <c r="P281" s="196"/>
      <c r="Q281" s="196"/>
      <c r="R281" s="196"/>
      <c r="S281" s="196"/>
      <c r="T281" s="196"/>
      <c r="U281" s="196"/>
      <c r="V281" s="196"/>
      <c r="W281" s="196"/>
      <c r="X281" s="196"/>
      <c r="Y281" s="196"/>
      <c r="Z281" s="196"/>
      <c r="AA281" s="196"/>
      <c r="AB281" s="196"/>
      <c r="AC281" s="196"/>
      <c r="AD281" s="196"/>
      <c r="AE281" s="196"/>
      <c r="AF281" s="196"/>
      <c r="AG281" s="196"/>
      <c r="AH281" s="196"/>
      <c r="AI281" s="196"/>
      <c r="AJ281" s="196"/>
      <c r="AK281" s="196"/>
      <c r="AL281" s="196"/>
      <c r="AM281" s="196"/>
      <c r="AN281" s="196"/>
      <c r="AO281" s="196"/>
      <c r="AP281" s="196"/>
      <c r="AQ281" s="196"/>
      <c r="AR281" s="196"/>
      <c r="AS281" s="196"/>
      <c r="AT281" s="196"/>
      <c r="AU281" s="196"/>
      <c r="AV281" s="196"/>
      <c r="AW281" s="196"/>
      <c r="AX281" s="196"/>
      <c r="AY281" s="196"/>
      <c r="AZ281" s="196"/>
      <c r="BA281" s="196"/>
      <c r="BB281" s="196"/>
      <c r="BC281" s="196"/>
      <c r="BD281" s="204"/>
    </row>
    <row r="284" spans="1:56" s="168" customFormat="1" ht="25.5" customHeight="1" thickBot="1" x14ac:dyDescent="0.35">
      <c r="A284" s="330" t="str">
        <f ca="1">Language!A$692</f>
        <v>ПЕРСОНАЛ</v>
      </c>
      <c r="B284" s="331"/>
      <c r="C284" s="332"/>
      <c r="D284" s="333"/>
      <c r="E284" s="333" t="s">
        <v>890</v>
      </c>
      <c r="F284" s="333"/>
      <c r="G284" s="334" t="str">
        <f ca="1">Параметры!G$34</f>
        <v>янв.25</v>
      </c>
      <c r="H284" s="334" t="str">
        <f ca="1">Параметры!H$34</f>
        <v>фев.25</v>
      </c>
      <c r="I284" s="334" t="str">
        <f ca="1">Параметры!I$34</f>
        <v>мар.25</v>
      </c>
      <c r="J284" s="334" t="str">
        <f ca="1">Параметры!J$34</f>
        <v>апр.25</v>
      </c>
      <c r="K284" s="334" t="str">
        <f ca="1">Параметры!K$34</f>
        <v>май.25</v>
      </c>
      <c r="L284" s="334" t="str">
        <f ca="1">Параметры!L$34</f>
        <v>июн.25</v>
      </c>
      <c r="M284" s="335" t="str">
        <f ca="1">Параметры!M$34</f>
        <v>июл.25</v>
      </c>
      <c r="N284" s="335" t="str">
        <f ca="1">Параметры!N$34</f>
        <v>авг.25</v>
      </c>
      <c r="O284" s="335" t="str">
        <f ca="1">Параметры!O$34</f>
        <v>сен.25</v>
      </c>
      <c r="P284" s="335" t="str">
        <f ca="1">Параметры!P$34</f>
        <v>окт.25</v>
      </c>
      <c r="Q284" s="335" t="str">
        <f ca="1">Параметры!Q$34</f>
        <v>ноя.25</v>
      </c>
      <c r="R284" s="335" t="str">
        <f ca="1">Параметры!R$34</f>
        <v>дек.25</v>
      </c>
      <c r="S284" s="335" t="str">
        <f ca="1">Параметры!S$34</f>
        <v>янв.26</v>
      </c>
      <c r="T284" s="335" t="str">
        <f ca="1">Параметры!T$34</f>
        <v>фев.26</v>
      </c>
      <c r="U284" s="335" t="str">
        <f ca="1">Параметры!U$34</f>
        <v>мар.26</v>
      </c>
      <c r="V284" s="335" t="str">
        <f ca="1">Параметры!V$34</f>
        <v>апр.26</v>
      </c>
      <c r="W284" s="335" t="str">
        <f ca="1">Параметры!W$34</f>
        <v>май.26</v>
      </c>
      <c r="X284" s="335" t="str">
        <f ca="1">Параметры!X$34</f>
        <v>июн.26</v>
      </c>
      <c r="Y284" s="335" t="str">
        <f ca="1">Параметры!Y$34</f>
        <v>июл.26</v>
      </c>
      <c r="Z284" s="335" t="str">
        <f ca="1">Параметры!Z$34</f>
        <v>авг.26</v>
      </c>
      <c r="AA284" s="335" t="str">
        <f ca="1">Параметры!AA$34</f>
        <v>сен.26</v>
      </c>
      <c r="AB284" s="335" t="str">
        <f ca="1">Параметры!AB$34</f>
        <v>окт.26</v>
      </c>
      <c r="AC284" s="335" t="str">
        <f ca="1">Параметры!AC$34</f>
        <v>ноя.26</v>
      </c>
      <c r="AD284" s="335" t="str">
        <f ca="1">Параметры!AD$34</f>
        <v>дек.26</v>
      </c>
      <c r="AE284" s="335" t="str">
        <f ca="1">Параметры!AE$34</f>
        <v>янв.27</v>
      </c>
      <c r="AF284" s="335" t="str">
        <f ca="1">Параметры!AF$34</f>
        <v>фев.27</v>
      </c>
      <c r="AG284" s="335" t="str">
        <f ca="1">Параметры!AG$34</f>
        <v>мар.27</v>
      </c>
      <c r="AH284" s="335" t="str">
        <f ca="1">Параметры!AH$34</f>
        <v>апр.27</v>
      </c>
      <c r="AI284" s="335" t="str">
        <f ca="1">Параметры!AI$34</f>
        <v>май.27</v>
      </c>
      <c r="AJ284" s="335" t="str">
        <f ca="1">Параметры!AJ$34</f>
        <v>июн.27</v>
      </c>
      <c r="AK284" s="335" t="str">
        <f ca="1">Параметры!AK$34</f>
        <v>июл.27</v>
      </c>
      <c r="AL284" s="335" t="str">
        <f ca="1">Параметры!AL$34</f>
        <v>авг.27</v>
      </c>
      <c r="AM284" s="335" t="str">
        <f ca="1">Параметры!AM$34</f>
        <v>сен.27</v>
      </c>
      <c r="AN284" s="335" t="str">
        <f ca="1">Параметры!AN$34</f>
        <v>окт.27</v>
      </c>
      <c r="AO284" s="335" t="str">
        <f ca="1">Параметры!AO$34</f>
        <v>ноя.27</v>
      </c>
      <c r="AP284" s="335" t="str">
        <f ca="1">Параметры!AP$34</f>
        <v>дек.27</v>
      </c>
      <c r="AQ284" s="335" t="str">
        <f ca="1">Параметры!AQ$34</f>
        <v>янв.28</v>
      </c>
      <c r="AR284" s="335" t="str">
        <f ca="1">Параметры!AR$34</f>
        <v>фев.28</v>
      </c>
      <c r="AS284" s="335" t="str">
        <f ca="1">Параметры!AS$34</f>
        <v>мар.28</v>
      </c>
      <c r="AT284" s="335" t="str">
        <f ca="1">Параметры!AT$34</f>
        <v>апр.28</v>
      </c>
      <c r="AU284" s="335" t="str">
        <f ca="1">Параметры!AU$34</f>
        <v>май.28</v>
      </c>
      <c r="AV284" s="335" t="str">
        <f ca="1">Параметры!AV$34</f>
        <v>июн.28</v>
      </c>
      <c r="AW284" s="335" t="str">
        <f ca="1">Параметры!AW$34</f>
        <v>июл.28</v>
      </c>
      <c r="AX284" s="335" t="str">
        <f ca="1">Параметры!AX$34</f>
        <v>авг.28</v>
      </c>
      <c r="AY284" s="335" t="str">
        <f ca="1">Параметры!AY$34</f>
        <v>сен.28</v>
      </c>
      <c r="AZ284" s="335" t="str">
        <f ca="1">Параметры!AZ$34</f>
        <v>окт.28</v>
      </c>
      <c r="BA284" s="335" t="str">
        <f ca="1">Параметры!BA$34</f>
        <v>ноя.28</v>
      </c>
      <c r="BB284" s="335" t="str">
        <f ca="1">Параметры!BB$34</f>
        <v>дек.28</v>
      </c>
      <c r="BC284" s="335"/>
      <c r="BD284" s="336" t="str">
        <f ca="1">Language!$A$1473</f>
        <v>ИТОГО</v>
      </c>
    </row>
    <row r="285" spans="1:56" ht="14.4" hidden="1" thickTop="1" x14ac:dyDescent="0.3">
      <c r="E285" s="170" t="s">
        <v>642</v>
      </c>
      <c r="F285" s="170" t="s">
        <v>643</v>
      </c>
    </row>
    <row r="286" spans="1:56" ht="14.4" hidden="1" thickTop="1" x14ac:dyDescent="0.3">
      <c r="A286" s="283" t="str">
        <f ca="1">Language!A$693</f>
        <v>Шаблон персонала без численности</v>
      </c>
      <c r="B286" s="205"/>
      <c r="C286" s="176"/>
      <c r="D286" s="174">
        <v>1</v>
      </c>
      <c r="F286" s="170" t="s">
        <v>2321</v>
      </c>
      <c r="G286" s="206"/>
      <c r="H286" s="206"/>
      <c r="I286" s="206"/>
      <c r="J286" s="206"/>
      <c r="K286" s="206"/>
      <c r="L286" s="206"/>
      <c r="M286" s="206"/>
      <c r="N286" s="206"/>
      <c r="O286" s="206"/>
      <c r="P286" s="206"/>
      <c r="Q286" s="206"/>
      <c r="R286" s="206"/>
      <c r="S286" s="206"/>
      <c r="T286" s="206"/>
      <c r="U286" s="206"/>
      <c r="V286" s="206"/>
      <c r="W286" s="206"/>
      <c r="X286" s="206"/>
      <c r="Y286" s="206"/>
      <c r="Z286" s="206"/>
      <c r="AA286" s="206"/>
      <c r="AB286" s="206"/>
      <c r="AC286" s="206"/>
      <c r="AD286" s="206"/>
      <c r="AE286" s="206"/>
      <c r="AF286" s="206"/>
      <c r="AG286" s="206"/>
      <c r="AH286" s="206"/>
      <c r="AI286" s="206"/>
      <c r="AJ286" s="206"/>
      <c r="AK286" s="206"/>
      <c r="AL286" s="206"/>
      <c r="AM286" s="206"/>
      <c r="AN286" s="206"/>
      <c r="AO286" s="206"/>
      <c r="AP286" s="206"/>
      <c r="AQ286" s="206"/>
      <c r="AR286" s="206"/>
      <c r="AS286" s="206"/>
      <c r="AT286" s="206"/>
      <c r="AU286" s="206"/>
      <c r="AV286" s="206"/>
      <c r="AW286" s="206"/>
      <c r="AX286" s="206"/>
      <c r="AY286" s="206"/>
      <c r="AZ286" s="206"/>
      <c r="BA286" s="206"/>
      <c r="BB286" s="206"/>
      <c r="BC286" s="206"/>
    </row>
    <row r="287" spans="1:56" ht="14.4" hidden="1" thickTop="1" x14ac:dyDescent="0.3">
      <c r="A287" s="175" t="str">
        <f ca="1">Language!A$694</f>
        <v>заработная плата сотрудников, в месяц</v>
      </c>
      <c r="B287" s="295">
        <v>0</v>
      </c>
      <c r="C287" s="176" t="str">
        <f ca="1">CHOOSE(D286,CurName1,CurName2,CurName3)</f>
        <v>руб.</v>
      </c>
      <c r="F287" s="170" t="s">
        <v>2349</v>
      </c>
      <c r="G287" s="285">
        <f>IF(G$2=1,$B287,F287)</f>
        <v>0</v>
      </c>
      <c r="H287" s="285">
        <f t="shared" ref="H287:BB287" si="1387">IF(H$2=1,$B287,G287)</f>
        <v>0</v>
      </c>
      <c r="I287" s="285">
        <f t="shared" si="1387"/>
        <v>0</v>
      </c>
      <c r="J287" s="285">
        <f t="shared" si="1387"/>
        <v>0</v>
      </c>
      <c r="K287" s="285">
        <f t="shared" si="1387"/>
        <v>0</v>
      </c>
      <c r="L287" s="285">
        <f t="shared" si="1387"/>
        <v>0</v>
      </c>
      <c r="M287" s="285">
        <f t="shared" si="1387"/>
        <v>0</v>
      </c>
      <c r="N287" s="285">
        <f t="shared" si="1387"/>
        <v>0</v>
      </c>
      <c r="O287" s="285">
        <f t="shared" si="1387"/>
        <v>0</v>
      </c>
      <c r="P287" s="285">
        <f t="shared" si="1387"/>
        <v>0</v>
      </c>
      <c r="Q287" s="285">
        <f t="shared" si="1387"/>
        <v>0</v>
      </c>
      <c r="R287" s="285">
        <f t="shared" si="1387"/>
        <v>0</v>
      </c>
      <c r="S287" s="285">
        <f t="shared" si="1387"/>
        <v>0</v>
      </c>
      <c r="T287" s="285">
        <f t="shared" si="1387"/>
        <v>0</v>
      </c>
      <c r="U287" s="285">
        <f t="shared" si="1387"/>
        <v>0</v>
      </c>
      <c r="V287" s="285">
        <f t="shared" si="1387"/>
        <v>0</v>
      </c>
      <c r="W287" s="285">
        <f t="shared" si="1387"/>
        <v>0</v>
      </c>
      <c r="X287" s="285">
        <f t="shared" si="1387"/>
        <v>0</v>
      </c>
      <c r="Y287" s="285">
        <f t="shared" si="1387"/>
        <v>0</v>
      </c>
      <c r="Z287" s="285">
        <f t="shared" si="1387"/>
        <v>0</v>
      </c>
      <c r="AA287" s="285">
        <f t="shared" si="1387"/>
        <v>0</v>
      </c>
      <c r="AB287" s="285">
        <f t="shared" si="1387"/>
        <v>0</v>
      </c>
      <c r="AC287" s="285">
        <f t="shared" si="1387"/>
        <v>0</v>
      </c>
      <c r="AD287" s="285">
        <f t="shared" si="1387"/>
        <v>0</v>
      </c>
      <c r="AE287" s="285">
        <f t="shared" si="1387"/>
        <v>0</v>
      </c>
      <c r="AF287" s="285">
        <f t="shared" si="1387"/>
        <v>0</v>
      </c>
      <c r="AG287" s="285">
        <f t="shared" si="1387"/>
        <v>0</v>
      </c>
      <c r="AH287" s="285">
        <f t="shared" si="1387"/>
        <v>0</v>
      </c>
      <c r="AI287" s="285">
        <f t="shared" si="1387"/>
        <v>0</v>
      </c>
      <c r="AJ287" s="285">
        <f t="shared" si="1387"/>
        <v>0</v>
      </c>
      <c r="AK287" s="285">
        <f t="shared" si="1387"/>
        <v>0</v>
      </c>
      <c r="AL287" s="285">
        <f t="shared" si="1387"/>
        <v>0</v>
      </c>
      <c r="AM287" s="285">
        <f t="shared" si="1387"/>
        <v>0</v>
      </c>
      <c r="AN287" s="285">
        <f t="shared" si="1387"/>
        <v>0</v>
      </c>
      <c r="AO287" s="285">
        <f t="shared" si="1387"/>
        <v>0</v>
      </c>
      <c r="AP287" s="285">
        <f t="shared" si="1387"/>
        <v>0</v>
      </c>
      <c r="AQ287" s="285">
        <f t="shared" si="1387"/>
        <v>0</v>
      </c>
      <c r="AR287" s="285">
        <f t="shared" si="1387"/>
        <v>0</v>
      </c>
      <c r="AS287" s="285">
        <f t="shared" si="1387"/>
        <v>0</v>
      </c>
      <c r="AT287" s="285">
        <f t="shared" si="1387"/>
        <v>0</v>
      </c>
      <c r="AU287" s="285">
        <f t="shared" si="1387"/>
        <v>0</v>
      </c>
      <c r="AV287" s="285">
        <f t="shared" si="1387"/>
        <v>0</v>
      </c>
      <c r="AW287" s="285">
        <f t="shared" si="1387"/>
        <v>0</v>
      </c>
      <c r="AX287" s="285">
        <f t="shared" si="1387"/>
        <v>0</v>
      </c>
      <c r="AY287" s="285">
        <f t="shared" si="1387"/>
        <v>0</v>
      </c>
      <c r="AZ287" s="285">
        <f t="shared" si="1387"/>
        <v>0</v>
      </c>
      <c r="BA287" s="285">
        <f t="shared" si="1387"/>
        <v>0</v>
      </c>
      <c r="BB287" s="285">
        <f t="shared" si="1387"/>
        <v>0</v>
      </c>
      <c r="BC287" s="177"/>
    </row>
    <row r="288" spans="1:56" ht="14.4" hidden="1" thickTop="1" x14ac:dyDescent="0.3">
      <c r="A288" s="175" t="str">
        <f ca="1">Language!A$695</f>
        <v>коэффициент расходов</v>
      </c>
      <c r="B288" s="199"/>
      <c r="C288" s="176" t="s">
        <v>1</v>
      </c>
      <c r="F288" s="170" t="s">
        <v>749</v>
      </c>
      <c r="G288" s="286">
        <f t="shared" ref="G288:BB288" si="1388">IF(G$2&gt;Prj_Invest,1,0)</f>
        <v>0</v>
      </c>
      <c r="H288" s="286">
        <f t="shared" si="1388"/>
        <v>0</v>
      </c>
      <c r="I288" s="286">
        <f t="shared" si="1388"/>
        <v>0</v>
      </c>
      <c r="J288" s="286">
        <f t="shared" si="1388"/>
        <v>0</v>
      </c>
      <c r="K288" s="286">
        <f t="shared" si="1388"/>
        <v>0</v>
      </c>
      <c r="L288" s="286">
        <f t="shared" si="1388"/>
        <v>0</v>
      </c>
      <c r="M288" s="286">
        <f t="shared" si="1388"/>
        <v>1</v>
      </c>
      <c r="N288" s="286">
        <f t="shared" si="1388"/>
        <v>1</v>
      </c>
      <c r="O288" s="286">
        <f t="shared" si="1388"/>
        <v>1</v>
      </c>
      <c r="P288" s="286">
        <f t="shared" si="1388"/>
        <v>1</v>
      </c>
      <c r="Q288" s="286">
        <f t="shared" si="1388"/>
        <v>1</v>
      </c>
      <c r="R288" s="286">
        <f t="shared" si="1388"/>
        <v>1</v>
      </c>
      <c r="S288" s="286">
        <f t="shared" si="1388"/>
        <v>1</v>
      </c>
      <c r="T288" s="286">
        <f t="shared" si="1388"/>
        <v>1</v>
      </c>
      <c r="U288" s="286">
        <f t="shared" si="1388"/>
        <v>1</v>
      </c>
      <c r="V288" s="286">
        <f t="shared" si="1388"/>
        <v>1</v>
      </c>
      <c r="W288" s="286">
        <f t="shared" si="1388"/>
        <v>1</v>
      </c>
      <c r="X288" s="286">
        <f t="shared" si="1388"/>
        <v>1</v>
      </c>
      <c r="Y288" s="286">
        <f t="shared" si="1388"/>
        <v>1</v>
      </c>
      <c r="Z288" s="286">
        <f t="shared" si="1388"/>
        <v>1</v>
      </c>
      <c r="AA288" s="286">
        <f t="shared" si="1388"/>
        <v>1</v>
      </c>
      <c r="AB288" s="286">
        <f t="shared" si="1388"/>
        <v>1</v>
      </c>
      <c r="AC288" s="286">
        <f t="shared" si="1388"/>
        <v>1</v>
      </c>
      <c r="AD288" s="286">
        <f t="shared" si="1388"/>
        <v>1</v>
      </c>
      <c r="AE288" s="286">
        <f t="shared" si="1388"/>
        <v>1</v>
      </c>
      <c r="AF288" s="286">
        <f t="shared" si="1388"/>
        <v>1</v>
      </c>
      <c r="AG288" s="286">
        <f t="shared" si="1388"/>
        <v>1</v>
      </c>
      <c r="AH288" s="286">
        <f t="shared" si="1388"/>
        <v>1</v>
      </c>
      <c r="AI288" s="286">
        <f t="shared" si="1388"/>
        <v>1</v>
      </c>
      <c r="AJ288" s="286">
        <f t="shared" si="1388"/>
        <v>1</v>
      </c>
      <c r="AK288" s="286">
        <f t="shared" si="1388"/>
        <v>1</v>
      </c>
      <c r="AL288" s="286">
        <f t="shared" si="1388"/>
        <v>1</v>
      </c>
      <c r="AM288" s="286">
        <f t="shared" si="1388"/>
        <v>1</v>
      </c>
      <c r="AN288" s="286">
        <f t="shared" si="1388"/>
        <v>1</v>
      </c>
      <c r="AO288" s="286">
        <f t="shared" si="1388"/>
        <v>1</v>
      </c>
      <c r="AP288" s="286">
        <f t="shared" si="1388"/>
        <v>1</v>
      </c>
      <c r="AQ288" s="286">
        <f t="shared" si="1388"/>
        <v>1</v>
      </c>
      <c r="AR288" s="286">
        <f t="shared" si="1388"/>
        <v>1</v>
      </c>
      <c r="AS288" s="286">
        <f t="shared" si="1388"/>
        <v>1</v>
      </c>
      <c r="AT288" s="286">
        <f t="shared" si="1388"/>
        <v>1</v>
      </c>
      <c r="AU288" s="286">
        <f t="shared" si="1388"/>
        <v>1</v>
      </c>
      <c r="AV288" s="286">
        <f t="shared" si="1388"/>
        <v>1</v>
      </c>
      <c r="AW288" s="286">
        <f t="shared" si="1388"/>
        <v>1</v>
      </c>
      <c r="AX288" s="286">
        <f t="shared" si="1388"/>
        <v>1</v>
      </c>
      <c r="AY288" s="286">
        <f t="shared" si="1388"/>
        <v>1</v>
      </c>
      <c r="AZ288" s="286">
        <f t="shared" si="1388"/>
        <v>1</v>
      </c>
      <c r="BA288" s="286">
        <f t="shared" si="1388"/>
        <v>1</v>
      </c>
      <c r="BB288" s="286">
        <f t="shared" si="1388"/>
        <v>1</v>
      </c>
      <c r="BC288" s="177"/>
    </row>
    <row r="289" spans="1:56" ht="14.4" hidden="1" thickTop="1" x14ac:dyDescent="0.3">
      <c r="A289" s="175" t="str">
        <f ca="1">Language!A$696</f>
        <v>заработная плата</v>
      </c>
      <c r="B289" s="205"/>
      <c r="C289" s="176" t="str">
        <f t="shared" ref="C289" ca="1" si="1389">CHOOSE(D289,CurName1,CurName2,CurName3)</f>
        <v>руб.</v>
      </c>
      <c r="D289" s="174">
        <f>D286</f>
        <v>1</v>
      </c>
      <c r="E289" s="170" t="s">
        <v>784</v>
      </c>
      <c r="F289" s="170" t="s">
        <v>742</v>
      </c>
      <c r="G289" s="202">
        <f ca="1">G287*G288*Параметры!G$31*IF($B292=1,PRODUCT($G292:G292),PRODUCT($G291:G291))</f>
        <v>0</v>
      </c>
      <c r="H289" s="202">
        <f ca="1">H287*H288*Параметры!H$31*IF($B292=1,PRODUCT($G292:H292),PRODUCT($G291:H291))</f>
        <v>0</v>
      </c>
      <c r="I289" s="202">
        <f ca="1">I287*I288*Параметры!I$31*IF($B292=1,PRODUCT($G292:I292),PRODUCT($G291:I291))</f>
        <v>0</v>
      </c>
      <c r="J289" s="202">
        <f ca="1">J287*J288*Параметры!J$31*IF($B292=1,PRODUCT($G292:J292),PRODUCT($G291:J291))</f>
        <v>0</v>
      </c>
      <c r="K289" s="202">
        <f ca="1">K287*K288*Параметры!K$31*IF($B292=1,PRODUCT($G292:K292),PRODUCT($G291:K291))</f>
        <v>0</v>
      </c>
      <c r="L289" s="202">
        <f ca="1">L287*L288*Параметры!L$31*IF($B292=1,PRODUCT($G292:L292),PRODUCT($G291:L291))</f>
        <v>0</v>
      </c>
      <c r="M289" s="202">
        <f ca="1">M287*M288*Параметры!M$31*IF($B292=1,PRODUCT($G292:M292),PRODUCT($G291:M291))</f>
        <v>0</v>
      </c>
      <c r="N289" s="202">
        <f ca="1">N287*N288*Параметры!N$31*IF($B292=1,PRODUCT($G292:N292),PRODUCT($G291:N291))</f>
        <v>0</v>
      </c>
      <c r="O289" s="202">
        <f ca="1">O287*O288*Параметры!O$31*IF($B292=1,PRODUCT($G292:O292),PRODUCT($G291:O291))</f>
        <v>0</v>
      </c>
      <c r="P289" s="202">
        <f ca="1">P287*P288*Параметры!P$31*IF($B292=1,PRODUCT($G292:P292),PRODUCT($G291:P291))</f>
        <v>0</v>
      </c>
      <c r="Q289" s="202">
        <f ca="1">Q287*Q288*Параметры!Q$31*IF($B292=1,PRODUCT($G292:Q292),PRODUCT($G291:Q291))</f>
        <v>0</v>
      </c>
      <c r="R289" s="202">
        <f ca="1">R287*R288*Параметры!R$31*IF($B292=1,PRODUCT($G292:R292),PRODUCT($G291:R291))</f>
        <v>0</v>
      </c>
      <c r="S289" s="202">
        <f ca="1">S287*S288*Параметры!S$31*IF($B292=1,PRODUCT($G292:S292),PRODUCT($G291:S291))</f>
        <v>0</v>
      </c>
      <c r="T289" s="202">
        <f ca="1">T287*T288*Параметры!T$31*IF($B292=1,PRODUCT($G292:T292),PRODUCT($G291:T291))</f>
        <v>0</v>
      </c>
      <c r="U289" s="202">
        <f ca="1">U287*U288*Параметры!U$31*IF($B292=1,PRODUCT($G292:U292),PRODUCT($G291:U291))</f>
        <v>0</v>
      </c>
      <c r="V289" s="202">
        <f ca="1">V287*V288*Параметры!V$31*IF($B292=1,PRODUCT($G292:V292),PRODUCT($G291:V291))</f>
        <v>0</v>
      </c>
      <c r="W289" s="202">
        <f ca="1">W287*W288*Параметры!W$31*IF($B292=1,PRODUCT($G292:W292),PRODUCT($G291:W291))</f>
        <v>0</v>
      </c>
      <c r="X289" s="202">
        <f ca="1">X287*X288*Параметры!X$31*IF($B292=1,PRODUCT($G292:X292),PRODUCT($G291:X291))</f>
        <v>0</v>
      </c>
      <c r="Y289" s="202">
        <f ca="1">Y287*Y288*Параметры!Y$31*IF($B292=1,PRODUCT($G292:Y292),PRODUCT($G291:Y291))</f>
        <v>0</v>
      </c>
      <c r="Z289" s="202">
        <f ca="1">Z287*Z288*Параметры!Z$31*IF($B292=1,PRODUCT($G292:Z292),PRODUCT($G291:Z291))</f>
        <v>0</v>
      </c>
      <c r="AA289" s="202">
        <f ca="1">AA287*AA288*Параметры!AA$31*IF($B292=1,PRODUCT($G292:AA292),PRODUCT($G291:AA291))</f>
        <v>0</v>
      </c>
      <c r="AB289" s="202">
        <f ca="1">AB287*AB288*Параметры!AB$31*IF($B292=1,PRODUCT($G292:AB292),PRODUCT($G291:AB291))</f>
        <v>0</v>
      </c>
      <c r="AC289" s="202">
        <f ca="1">AC287*AC288*Параметры!AC$31*IF($B292=1,PRODUCT($G292:AC292),PRODUCT($G291:AC291))</f>
        <v>0</v>
      </c>
      <c r="AD289" s="202">
        <f ca="1">AD287*AD288*Параметры!AD$31*IF($B292=1,PRODUCT($G292:AD292),PRODUCT($G291:AD291))</f>
        <v>0</v>
      </c>
      <c r="AE289" s="202">
        <f ca="1">AE287*AE288*Параметры!AE$31*IF($B292=1,PRODUCT($G292:AE292),PRODUCT($G291:AE291))</f>
        <v>0</v>
      </c>
      <c r="AF289" s="202">
        <f ca="1">AF287*AF288*Параметры!AF$31*IF($B292=1,PRODUCT($G292:AF292),PRODUCT($G291:AF291))</f>
        <v>0</v>
      </c>
      <c r="AG289" s="202">
        <f ca="1">AG287*AG288*Параметры!AG$31*IF($B292=1,PRODUCT($G292:AG292),PRODUCT($G291:AG291))</f>
        <v>0</v>
      </c>
      <c r="AH289" s="202">
        <f ca="1">AH287*AH288*Параметры!AH$31*IF($B292=1,PRODUCT($G292:AH292),PRODUCT($G291:AH291))</f>
        <v>0</v>
      </c>
      <c r="AI289" s="202">
        <f ca="1">AI287*AI288*Параметры!AI$31*IF($B292=1,PRODUCT($G292:AI292),PRODUCT($G291:AI291))</f>
        <v>0</v>
      </c>
      <c r="AJ289" s="202">
        <f ca="1">AJ287*AJ288*Параметры!AJ$31*IF($B292=1,PRODUCT($G292:AJ292),PRODUCT($G291:AJ291))</f>
        <v>0</v>
      </c>
      <c r="AK289" s="202">
        <f ca="1">AK287*AK288*Параметры!AK$31*IF($B292=1,PRODUCT($G292:AK292),PRODUCT($G291:AK291))</f>
        <v>0</v>
      </c>
      <c r="AL289" s="202">
        <f ca="1">AL287*AL288*Параметры!AL$31*IF($B292=1,PRODUCT($G292:AL292),PRODUCT($G291:AL291))</f>
        <v>0</v>
      </c>
      <c r="AM289" s="202">
        <f ca="1">AM287*AM288*Параметры!AM$31*IF($B292=1,PRODUCT($G292:AM292),PRODUCT($G291:AM291))</f>
        <v>0</v>
      </c>
      <c r="AN289" s="202">
        <f ca="1">AN287*AN288*Параметры!AN$31*IF($B292=1,PRODUCT($G292:AN292),PRODUCT($G291:AN291))</f>
        <v>0</v>
      </c>
      <c r="AO289" s="202">
        <f ca="1">AO287*AO288*Параметры!AO$31*IF($B292=1,PRODUCT($G292:AO292),PRODUCT($G291:AO291))</f>
        <v>0</v>
      </c>
      <c r="AP289" s="202">
        <f ca="1">AP287*AP288*Параметры!AP$31*IF($B292=1,PRODUCT($G292:AP292),PRODUCT($G291:AP291))</f>
        <v>0</v>
      </c>
      <c r="AQ289" s="202">
        <f ca="1">AQ287*AQ288*Параметры!AQ$31*IF($B292=1,PRODUCT($G292:AQ292),PRODUCT($G291:AQ291))</f>
        <v>0</v>
      </c>
      <c r="AR289" s="202">
        <f ca="1">AR287*AR288*Параметры!AR$31*IF($B292=1,PRODUCT($G292:AR292),PRODUCT($G291:AR291))</f>
        <v>0</v>
      </c>
      <c r="AS289" s="202">
        <f ca="1">AS287*AS288*Параметры!AS$31*IF($B292=1,PRODUCT($G292:AS292),PRODUCT($G291:AS291))</f>
        <v>0</v>
      </c>
      <c r="AT289" s="202">
        <f ca="1">AT287*AT288*Параметры!AT$31*IF($B292=1,PRODUCT($G292:AT292),PRODUCT($G291:AT291))</f>
        <v>0</v>
      </c>
      <c r="AU289" s="202">
        <f ca="1">AU287*AU288*Параметры!AU$31*IF($B292=1,PRODUCT($G292:AU292),PRODUCT($G291:AU291))</f>
        <v>0</v>
      </c>
      <c r="AV289" s="202">
        <f ca="1">AV287*AV288*Параметры!AV$31*IF($B292=1,PRODUCT($G292:AV292),PRODUCT($G291:AV291))</f>
        <v>0</v>
      </c>
      <c r="AW289" s="202">
        <f ca="1">AW287*AW288*Параметры!AW$31*IF($B292=1,PRODUCT($G292:AW292),PRODUCT($G291:AW291))</f>
        <v>0</v>
      </c>
      <c r="AX289" s="202">
        <f ca="1">AX287*AX288*Параметры!AX$31*IF($B292=1,PRODUCT($G292:AX292),PRODUCT($G291:AX291))</f>
        <v>0</v>
      </c>
      <c r="AY289" s="202">
        <f ca="1">AY287*AY288*Параметры!AY$31*IF($B292=1,PRODUCT($G292:AY292),PRODUCT($G291:AY291))</f>
        <v>0</v>
      </c>
      <c r="AZ289" s="202">
        <f ca="1">AZ287*AZ288*Параметры!AZ$31*IF($B292=1,PRODUCT($G292:AZ292),PRODUCT($G291:AZ291))</f>
        <v>0</v>
      </c>
      <c r="BA289" s="202">
        <f ca="1">BA287*BA288*Параметры!BA$31*IF($B292=1,PRODUCT($G292:BA292),PRODUCT($G291:BA291))</f>
        <v>0</v>
      </c>
      <c r="BB289" s="202">
        <f ca="1">BB287*BB288*Параметры!BB$31*IF($B292=1,PRODUCT($G292:BB292),PRODUCT($G291:BB291))</f>
        <v>0</v>
      </c>
      <c r="BC289" s="202"/>
      <c r="BD289" s="178">
        <f ca="1">SUM(G289:BC289)</f>
        <v>0</v>
      </c>
    </row>
    <row r="290" spans="1:56" ht="14.4" hidden="1" thickTop="1" x14ac:dyDescent="0.3">
      <c r="A290" s="184" t="str">
        <f ca="1">Language!A$698</f>
        <v>темп изменения цен</v>
      </c>
      <c r="B290" s="189"/>
      <c r="C290" s="163" t="str">
        <f ca="1">Language!$A$480</f>
        <v>% в год</v>
      </c>
      <c r="D290" s="174"/>
      <c r="F290" s="170" t="s">
        <v>2344</v>
      </c>
      <c r="G290" s="290">
        <f>CHOOSE($D286,Параметры!G$50,Параметры!G$56,Параметры!G$62)</f>
        <v>0.06</v>
      </c>
      <c r="H290" s="290">
        <f>CHOOSE($D286,Параметры!H$50,Параметры!H$56,Параметры!H$62)</f>
        <v>0.06</v>
      </c>
      <c r="I290" s="290">
        <f>CHOOSE($D286,Параметры!I$50,Параметры!I$56,Параметры!I$62)</f>
        <v>0.06</v>
      </c>
      <c r="J290" s="290">
        <f>CHOOSE($D286,Параметры!J$50,Параметры!J$56,Параметры!J$62)</f>
        <v>0.06</v>
      </c>
      <c r="K290" s="290">
        <f>CHOOSE($D286,Параметры!K$50,Параметры!K$56,Параметры!K$62)</f>
        <v>0.06</v>
      </c>
      <c r="L290" s="290">
        <f>CHOOSE($D286,Параметры!L$50,Параметры!L$56,Параметры!L$62)</f>
        <v>0.06</v>
      </c>
      <c r="M290" s="290">
        <f>CHOOSE($D286,Параметры!M$50,Параметры!M$56,Параметры!M$62)</f>
        <v>0.06</v>
      </c>
      <c r="N290" s="290">
        <f>CHOOSE($D286,Параметры!N$50,Параметры!N$56,Параметры!N$62)</f>
        <v>0.06</v>
      </c>
      <c r="O290" s="290">
        <f>CHOOSE($D286,Параметры!O$50,Параметры!O$56,Параметры!O$62)</f>
        <v>0.06</v>
      </c>
      <c r="P290" s="290">
        <f>CHOOSE($D286,Параметры!P$50,Параметры!P$56,Параметры!P$62)</f>
        <v>0.06</v>
      </c>
      <c r="Q290" s="290">
        <f>CHOOSE($D286,Параметры!Q$50,Параметры!Q$56,Параметры!Q$62)</f>
        <v>0.06</v>
      </c>
      <c r="R290" s="290">
        <f>CHOOSE($D286,Параметры!R$50,Параметры!R$56,Параметры!R$62)</f>
        <v>0.06</v>
      </c>
      <c r="S290" s="290">
        <f>CHOOSE($D286,Параметры!S$50,Параметры!S$56,Параметры!S$62)</f>
        <v>0.06</v>
      </c>
      <c r="T290" s="290">
        <f>CHOOSE($D286,Параметры!T$50,Параметры!T$56,Параметры!T$62)</f>
        <v>0.06</v>
      </c>
      <c r="U290" s="290">
        <f>CHOOSE($D286,Параметры!U$50,Параметры!U$56,Параметры!U$62)</f>
        <v>0.06</v>
      </c>
      <c r="V290" s="290">
        <f>CHOOSE($D286,Параметры!V$50,Параметры!V$56,Параметры!V$62)</f>
        <v>0.06</v>
      </c>
      <c r="W290" s="290">
        <f>CHOOSE($D286,Параметры!W$50,Параметры!W$56,Параметры!W$62)</f>
        <v>0.06</v>
      </c>
      <c r="X290" s="290">
        <f>CHOOSE($D286,Параметры!X$50,Параметры!X$56,Параметры!X$62)</f>
        <v>0.06</v>
      </c>
      <c r="Y290" s="290">
        <f>CHOOSE($D286,Параметры!Y$50,Параметры!Y$56,Параметры!Y$62)</f>
        <v>0.06</v>
      </c>
      <c r="Z290" s="290">
        <f>CHOOSE($D286,Параметры!Z$50,Параметры!Z$56,Параметры!Z$62)</f>
        <v>0.06</v>
      </c>
      <c r="AA290" s="290">
        <f>CHOOSE($D286,Параметры!AA$50,Параметры!AA$56,Параметры!AA$62)</f>
        <v>0.06</v>
      </c>
      <c r="AB290" s="290">
        <f>CHOOSE($D286,Параметры!AB$50,Параметры!AB$56,Параметры!AB$62)</f>
        <v>0.06</v>
      </c>
      <c r="AC290" s="290">
        <f>CHOOSE($D286,Параметры!AC$50,Параметры!AC$56,Параметры!AC$62)</f>
        <v>0.06</v>
      </c>
      <c r="AD290" s="290">
        <f>CHOOSE($D286,Параметры!AD$50,Параметры!AD$56,Параметры!AD$62)</f>
        <v>0.06</v>
      </c>
      <c r="AE290" s="290">
        <f>CHOOSE($D286,Параметры!AE$50,Параметры!AE$56,Параметры!AE$62)</f>
        <v>0.06</v>
      </c>
      <c r="AF290" s="290">
        <f>CHOOSE($D286,Параметры!AF$50,Параметры!AF$56,Параметры!AF$62)</f>
        <v>0.06</v>
      </c>
      <c r="AG290" s="290">
        <f>CHOOSE($D286,Параметры!AG$50,Параметры!AG$56,Параметры!AG$62)</f>
        <v>0.06</v>
      </c>
      <c r="AH290" s="290">
        <f>CHOOSE($D286,Параметры!AH$50,Параметры!AH$56,Параметры!AH$62)</f>
        <v>0.06</v>
      </c>
      <c r="AI290" s="290">
        <f>CHOOSE($D286,Параметры!AI$50,Параметры!AI$56,Параметры!AI$62)</f>
        <v>0.06</v>
      </c>
      <c r="AJ290" s="290">
        <f>CHOOSE($D286,Параметры!AJ$50,Параметры!AJ$56,Параметры!AJ$62)</f>
        <v>0.06</v>
      </c>
      <c r="AK290" s="290">
        <f>CHOOSE($D286,Параметры!AK$50,Параметры!AK$56,Параметры!AK$62)</f>
        <v>0.06</v>
      </c>
      <c r="AL290" s="290">
        <f>CHOOSE($D286,Параметры!AL$50,Параметры!AL$56,Параметры!AL$62)</f>
        <v>0.06</v>
      </c>
      <c r="AM290" s="290">
        <f>CHOOSE($D286,Параметры!AM$50,Параметры!AM$56,Параметры!AM$62)</f>
        <v>0.06</v>
      </c>
      <c r="AN290" s="290">
        <f>CHOOSE($D286,Параметры!AN$50,Параметры!AN$56,Параметры!AN$62)</f>
        <v>0.06</v>
      </c>
      <c r="AO290" s="290">
        <f>CHOOSE($D286,Параметры!AO$50,Параметры!AO$56,Параметры!AO$62)</f>
        <v>0.06</v>
      </c>
      <c r="AP290" s="290">
        <f>CHOOSE($D286,Параметры!AP$50,Параметры!AP$56,Параметры!AP$62)</f>
        <v>0.06</v>
      </c>
      <c r="AQ290" s="290">
        <f>CHOOSE($D286,Параметры!AQ$50,Параметры!AQ$56,Параметры!AQ$62)</f>
        <v>0.06</v>
      </c>
      <c r="AR290" s="290">
        <f>CHOOSE($D286,Параметры!AR$50,Параметры!AR$56,Параметры!AR$62)</f>
        <v>0.06</v>
      </c>
      <c r="AS290" s="290">
        <f>CHOOSE($D286,Параметры!AS$50,Параметры!AS$56,Параметры!AS$62)</f>
        <v>0.06</v>
      </c>
      <c r="AT290" s="290">
        <f>CHOOSE($D286,Параметры!AT$50,Параметры!AT$56,Параметры!AT$62)</f>
        <v>0.06</v>
      </c>
      <c r="AU290" s="290">
        <f>CHOOSE($D286,Параметры!AU$50,Параметры!AU$56,Параметры!AU$62)</f>
        <v>0.06</v>
      </c>
      <c r="AV290" s="290">
        <f>CHOOSE($D286,Параметры!AV$50,Параметры!AV$56,Параметры!AV$62)</f>
        <v>0.06</v>
      </c>
      <c r="AW290" s="290">
        <f>CHOOSE($D286,Параметры!AW$50,Параметры!AW$56,Параметры!AW$62)</f>
        <v>0.06</v>
      </c>
      <c r="AX290" s="290">
        <f>CHOOSE($D286,Параметры!AX$50,Параметры!AX$56,Параметры!AX$62)</f>
        <v>0.06</v>
      </c>
      <c r="AY290" s="290">
        <f>CHOOSE($D286,Параметры!AY$50,Параметры!AY$56,Параметры!AY$62)</f>
        <v>0.06</v>
      </c>
      <c r="AZ290" s="290">
        <f>CHOOSE($D286,Параметры!AZ$50,Параметры!AZ$56,Параметры!AZ$62)</f>
        <v>0.06</v>
      </c>
      <c r="BA290" s="290">
        <f>CHOOSE($D286,Параметры!BA$50,Параметры!BA$56,Параметры!BA$62)</f>
        <v>0.06</v>
      </c>
      <c r="BB290" s="290">
        <f>CHOOSE($D286,Параметры!BB$50,Параметры!BB$56,Параметры!BB$62)</f>
        <v>0.06</v>
      </c>
      <c r="BC290" s="190"/>
      <c r="BD290" s="186"/>
    </row>
    <row r="291" spans="1:56" ht="14.4" hidden="1" thickTop="1" x14ac:dyDescent="0.3">
      <c r="A291" s="184" t="str">
        <f ca="1">Language!A$675</f>
        <v>коэффициент прироста цен к предыдущему периоду</v>
      </c>
      <c r="B291" s="189"/>
      <c r="C291" s="163" t="str">
        <f ca="1">Language!$A$1477</f>
        <v>раз</v>
      </c>
      <c r="D291" s="174"/>
      <c r="F291" s="170" t="s">
        <v>748</v>
      </c>
      <c r="G291" s="191">
        <f ca="1">IF(G$2=1,1,IF(Prj_Inflation=1, (1+OFFSET(G290,0,-1))^(Параметры!G$30/360), 1))</f>
        <v>1</v>
      </c>
      <c r="H291" s="191">
        <f ca="1">IF(H$2=1,1,IF(Prj_Inflation=1, (1+OFFSET(H290,0,-1))^(Параметры!H$30/360), 1))</f>
        <v>1.004867550565343</v>
      </c>
      <c r="I291" s="191">
        <f ca="1">IF(I$2=1,1,IF(Prj_Inflation=1, (1+OFFSET(I290,0,-1))^(Параметры!I$30/360), 1))</f>
        <v>1.004867550565343</v>
      </c>
      <c r="J291" s="191">
        <f ca="1">IF(J$2=1,1,IF(Prj_Inflation=1, (1+OFFSET(J290,0,-1))^(Параметры!J$30/360), 1))</f>
        <v>1.004867550565343</v>
      </c>
      <c r="K291" s="191">
        <f ca="1">IF(K$2=1,1,IF(Prj_Inflation=1, (1+OFFSET(K290,0,-1))^(Параметры!K$30/360), 1))</f>
        <v>1.004867550565343</v>
      </c>
      <c r="L291" s="191">
        <f ca="1">IF(L$2=1,1,IF(Prj_Inflation=1, (1+OFFSET(L290,0,-1))^(Параметры!L$30/360), 1))</f>
        <v>1.004867550565343</v>
      </c>
      <c r="M291" s="191">
        <f ca="1">IF(M$2=1,1,IF(Prj_Inflation=1, (1+OFFSET(M290,0,-1))^(Параметры!M$30/360), 1))</f>
        <v>1.004867550565343</v>
      </c>
      <c r="N291" s="191">
        <f ca="1">IF(N$2=1,1,IF(Prj_Inflation=1, (1+OFFSET(N290,0,-1))^(Параметры!N$30/360), 1))</f>
        <v>1.004867550565343</v>
      </c>
      <c r="O291" s="191">
        <f ca="1">IF(O$2=1,1,IF(Prj_Inflation=1, (1+OFFSET(O290,0,-1))^(Параметры!O$30/360), 1))</f>
        <v>1.004867550565343</v>
      </c>
      <c r="P291" s="191">
        <f ca="1">IF(P$2=1,1,IF(Prj_Inflation=1, (1+OFFSET(P290,0,-1))^(Параметры!P$30/360), 1))</f>
        <v>1.004867550565343</v>
      </c>
      <c r="Q291" s="191">
        <f ca="1">IF(Q$2=1,1,IF(Prj_Inflation=1, (1+OFFSET(Q290,0,-1))^(Параметры!Q$30/360), 1))</f>
        <v>1.004867550565343</v>
      </c>
      <c r="R291" s="191">
        <f ca="1">IF(R$2=1,1,IF(Prj_Inflation=1, (1+OFFSET(R290,0,-1))^(Параметры!R$30/360), 1))</f>
        <v>1.004867550565343</v>
      </c>
      <c r="S291" s="191">
        <f ca="1">IF(S$2=1,1,IF(Prj_Inflation=1, (1+OFFSET(S290,0,-1))^(Параметры!S$30/360), 1))</f>
        <v>1.004867550565343</v>
      </c>
      <c r="T291" s="191">
        <f ca="1">IF(T$2=1,1,IF(Prj_Inflation=1, (1+OFFSET(T290,0,-1))^(Параметры!T$30/360), 1))</f>
        <v>1.004867550565343</v>
      </c>
      <c r="U291" s="191">
        <f ca="1">IF(U$2=1,1,IF(Prj_Inflation=1, (1+OFFSET(U290,0,-1))^(Параметры!U$30/360), 1))</f>
        <v>1.004867550565343</v>
      </c>
      <c r="V291" s="191">
        <f ca="1">IF(V$2=1,1,IF(Prj_Inflation=1, (1+OFFSET(V290,0,-1))^(Параметры!V$30/360), 1))</f>
        <v>1.004867550565343</v>
      </c>
      <c r="W291" s="191">
        <f ca="1">IF(W$2=1,1,IF(Prj_Inflation=1, (1+OFFSET(W290,0,-1))^(Параметры!W$30/360), 1))</f>
        <v>1.004867550565343</v>
      </c>
      <c r="X291" s="191">
        <f ca="1">IF(X$2=1,1,IF(Prj_Inflation=1, (1+OFFSET(X290,0,-1))^(Параметры!X$30/360), 1))</f>
        <v>1.004867550565343</v>
      </c>
      <c r="Y291" s="191">
        <f ca="1">IF(Y$2=1,1,IF(Prj_Inflation=1, (1+OFFSET(Y290,0,-1))^(Параметры!Y$30/360), 1))</f>
        <v>1.004867550565343</v>
      </c>
      <c r="Z291" s="191">
        <f ca="1">IF(Z$2=1,1,IF(Prj_Inflation=1, (1+OFFSET(Z290,0,-1))^(Параметры!Z$30/360), 1))</f>
        <v>1.004867550565343</v>
      </c>
      <c r="AA291" s="191">
        <f ca="1">IF(AA$2=1,1,IF(Prj_Inflation=1, (1+OFFSET(AA290,0,-1))^(Параметры!AA$30/360), 1))</f>
        <v>1.004867550565343</v>
      </c>
      <c r="AB291" s="191">
        <f ca="1">IF(AB$2=1,1,IF(Prj_Inflation=1, (1+OFFSET(AB290,0,-1))^(Параметры!AB$30/360), 1))</f>
        <v>1.004867550565343</v>
      </c>
      <c r="AC291" s="191">
        <f ca="1">IF(AC$2=1,1,IF(Prj_Inflation=1, (1+OFFSET(AC290,0,-1))^(Параметры!AC$30/360), 1))</f>
        <v>1.004867550565343</v>
      </c>
      <c r="AD291" s="191">
        <f ca="1">IF(AD$2=1,1,IF(Prj_Inflation=1, (1+OFFSET(AD290,0,-1))^(Параметры!AD$30/360), 1))</f>
        <v>1.004867550565343</v>
      </c>
      <c r="AE291" s="191">
        <f ca="1">IF(AE$2=1,1,IF(Prj_Inflation=1, (1+OFFSET(AE290,0,-1))^(Параметры!AE$30/360), 1))</f>
        <v>1.004867550565343</v>
      </c>
      <c r="AF291" s="191">
        <f ca="1">IF(AF$2=1,1,IF(Prj_Inflation=1, (1+OFFSET(AF290,0,-1))^(Параметры!AF$30/360), 1))</f>
        <v>1.004867550565343</v>
      </c>
      <c r="AG291" s="191">
        <f ca="1">IF(AG$2=1,1,IF(Prj_Inflation=1, (1+OFFSET(AG290,0,-1))^(Параметры!AG$30/360), 1))</f>
        <v>1.004867550565343</v>
      </c>
      <c r="AH291" s="191">
        <f ca="1">IF(AH$2=1,1,IF(Prj_Inflation=1, (1+OFFSET(AH290,0,-1))^(Параметры!AH$30/360), 1))</f>
        <v>1.004867550565343</v>
      </c>
      <c r="AI291" s="191">
        <f ca="1">IF(AI$2=1,1,IF(Prj_Inflation=1, (1+OFFSET(AI290,0,-1))^(Параметры!AI$30/360), 1))</f>
        <v>1.004867550565343</v>
      </c>
      <c r="AJ291" s="191">
        <f ca="1">IF(AJ$2=1,1,IF(Prj_Inflation=1, (1+OFFSET(AJ290,0,-1))^(Параметры!AJ$30/360), 1))</f>
        <v>1.004867550565343</v>
      </c>
      <c r="AK291" s="191">
        <f ca="1">IF(AK$2=1,1,IF(Prj_Inflation=1, (1+OFFSET(AK290,0,-1))^(Параметры!AK$30/360), 1))</f>
        <v>1.004867550565343</v>
      </c>
      <c r="AL291" s="191">
        <f ca="1">IF(AL$2=1,1,IF(Prj_Inflation=1, (1+OFFSET(AL290,0,-1))^(Параметры!AL$30/360), 1))</f>
        <v>1.004867550565343</v>
      </c>
      <c r="AM291" s="191">
        <f ca="1">IF(AM$2=1,1,IF(Prj_Inflation=1, (1+OFFSET(AM290,0,-1))^(Параметры!AM$30/360), 1))</f>
        <v>1.004867550565343</v>
      </c>
      <c r="AN291" s="191">
        <f ca="1">IF(AN$2=1,1,IF(Prj_Inflation=1, (1+OFFSET(AN290,0,-1))^(Параметры!AN$30/360), 1))</f>
        <v>1.004867550565343</v>
      </c>
      <c r="AO291" s="191">
        <f ca="1">IF(AO$2=1,1,IF(Prj_Inflation=1, (1+OFFSET(AO290,0,-1))^(Параметры!AO$30/360), 1))</f>
        <v>1.004867550565343</v>
      </c>
      <c r="AP291" s="191">
        <f ca="1">IF(AP$2=1,1,IF(Prj_Inflation=1, (1+OFFSET(AP290,0,-1))^(Параметры!AP$30/360), 1))</f>
        <v>1.004867550565343</v>
      </c>
      <c r="AQ291" s="191">
        <f ca="1">IF(AQ$2=1,1,IF(Prj_Inflation=1, (1+OFFSET(AQ290,0,-1))^(Параметры!AQ$30/360), 1))</f>
        <v>1.004867550565343</v>
      </c>
      <c r="AR291" s="191">
        <f ca="1">IF(AR$2=1,1,IF(Prj_Inflation=1, (1+OFFSET(AR290,0,-1))^(Параметры!AR$30/360), 1))</f>
        <v>1.004867550565343</v>
      </c>
      <c r="AS291" s="191">
        <f ca="1">IF(AS$2=1,1,IF(Prj_Inflation=1, (1+OFFSET(AS290,0,-1))^(Параметры!AS$30/360), 1))</f>
        <v>1.004867550565343</v>
      </c>
      <c r="AT291" s="191">
        <f ca="1">IF(AT$2=1,1,IF(Prj_Inflation=1, (1+OFFSET(AT290,0,-1))^(Параметры!AT$30/360), 1))</f>
        <v>1.004867550565343</v>
      </c>
      <c r="AU291" s="191">
        <f ca="1">IF(AU$2=1,1,IF(Prj_Inflation=1, (1+OFFSET(AU290,0,-1))^(Параметры!AU$30/360), 1))</f>
        <v>1.004867550565343</v>
      </c>
      <c r="AV291" s="191">
        <f ca="1">IF(AV$2=1,1,IF(Prj_Inflation=1, (1+OFFSET(AV290,0,-1))^(Параметры!AV$30/360), 1))</f>
        <v>1.004867550565343</v>
      </c>
      <c r="AW291" s="191">
        <f ca="1">IF(AW$2=1,1,IF(Prj_Inflation=1, (1+OFFSET(AW290,0,-1))^(Параметры!AW$30/360), 1))</f>
        <v>1.004867550565343</v>
      </c>
      <c r="AX291" s="191">
        <f ca="1">IF(AX$2=1,1,IF(Prj_Inflation=1, (1+OFFSET(AX290,0,-1))^(Параметры!AX$30/360), 1))</f>
        <v>1.004867550565343</v>
      </c>
      <c r="AY291" s="191">
        <f ca="1">IF(AY$2=1,1,IF(Prj_Inflation=1, (1+OFFSET(AY290,0,-1))^(Параметры!AY$30/360), 1))</f>
        <v>1.004867550565343</v>
      </c>
      <c r="AZ291" s="191">
        <f ca="1">IF(AZ$2=1,1,IF(Prj_Inflation=1, (1+OFFSET(AZ290,0,-1))^(Параметры!AZ$30/360), 1))</f>
        <v>1.004867550565343</v>
      </c>
      <c r="BA291" s="191">
        <f ca="1">IF(BA$2=1,1,IF(Prj_Inflation=1, (1+OFFSET(BA290,0,-1))^(Параметры!BA$30/360), 1))</f>
        <v>1.004867550565343</v>
      </c>
      <c r="BB291" s="191">
        <f ca="1">IF(BB$2=1,1,IF(Prj_Inflation=1, (1+OFFSET(BB290,0,-1))^(Параметры!BB$30/360), 1))</f>
        <v>1.004867550565343</v>
      </c>
      <c r="BC291" s="191"/>
      <c r="BD291" s="186"/>
    </row>
    <row r="292" spans="1:56" ht="14.4" hidden="1" thickTop="1" x14ac:dyDescent="0.3">
      <c r="A292" s="184" t="str">
        <f ca="1">Language!A$1486</f>
        <v>индексировать в начале года</v>
      </c>
      <c r="B292" s="291">
        <v>0</v>
      </c>
      <c r="C292" s="163" t="str">
        <f ca="1">IF(B292=1,Language!$A$1475,Language!$A$1476)</f>
        <v>Нет</v>
      </c>
      <c r="D292" s="174"/>
      <c r="F292" s="170" t="s">
        <v>2345</v>
      </c>
      <c r="G292" s="192" t="str">
        <f ca="1">IF(Prj_Inflation=1,IF($B292=1,IF(G$2=1,1,IF(Параметры!G$29=1,1+OFFSET(G290,0,-1),1)),"-"),1)</f>
        <v>-</v>
      </c>
      <c r="H292" s="192" t="str">
        <f ca="1">IF(Prj_Inflation=1,IF($B292=1,IF(H$2=1,1,IF(Параметры!H$29=1,1+OFFSET(H290,0,-1),1)),"-"),1)</f>
        <v>-</v>
      </c>
      <c r="I292" s="192" t="str">
        <f ca="1">IF(Prj_Inflation=1,IF($B292=1,IF(I$2=1,1,IF(Параметры!I$29=1,1+OFFSET(I290,0,-1),1)),"-"),1)</f>
        <v>-</v>
      </c>
      <c r="J292" s="192" t="str">
        <f ca="1">IF(Prj_Inflation=1,IF($B292=1,IF(J$2=1,1,IF(Параметры!J$29=1,1+OFFSET(J290,0,-1),1)),"-"),1)</f>
        <v>-</v>
      </c>
      <c r="K292" s="192" t="str">
        <f ca="1">IF(Prj_Inflation=1,IF($B292=1,IF(K$2=1,1,IF(Параметры!K$29=1,1+OFFSET(K290,0,-1),1)),"-"),1)</f>
        <v>-</v>
      </c>
      <c r="L292" s="192" t="str">
        <f ca="1">IF(Prj_Inflation=1,IF($B292=1,IF(L$2=1,1,IF(Параметры!L$29=1,1+OFFSET(L290,0,-1),1)),"-"),1)</f>
        <v>-</v>
      </c>
      <c r="M292" s="192" t="str">
        <f ca="1">IF(Prj_Inflation=1,IF($B292=1,IF(M$2=1,1,IF(Параметры!M$29=1,1+OFFSET(M290,0,-1),1)),"-"),1)</f>
        <v>-</v>
      </c>
      <c r="N292" s="192" t="str">
        <f ca="1">IF(Prj_Inflation=1,IF($B292=1,IF(N$2=1,1,IF(Параметры!N$29=1,1+OFFSET(N290,0,-1),1)),"-"),1)</f>
        <v>-</v>
      </c>
      <c r="O292" s="192" t="str">
        <f ca="1">IF(Prj_Inflation=1,IF($B292=1,IF(O$2=1,1,IF(Параметры!O$29=1,1+OFFSET(O290,0,-1),1)),"-"),1)</f>
        <v>-</v>
      </c>
      <c r="P292" s="192" t="str">
        <f ca="1">IF(Prj_Inflation=1,IF($B292=1,IF(P$2=1,1,IF(Параметры!P$29=1,1+OFFSET(P290,0,-1),1)),"-"),1)</f>
        <v>-</v>
      </c>
      <c r="Q292" s="192" t="str">
        <f ca="1">IF(Prj_Inflation=1,IF($B292=1,IF(Q$2=1,1,IF(Параметры!Q$29=1,1+OFFSET(Q290,0,-1),1)),"-"),1)</f>
        <v>-</v>
      </c>
      <c r="R292" s="192" t="str">
        <f ca="1">IF(Prj_Inflation=1,IF($B292=1,IF(R$2=1,1,IF(Параметры!R$29=1,1+OFFSET(R290,0,-1),1)),"-"),1)</f>
        <v>-</v>
      </c>
      <c r="S292" s="192" t="str">
        <f ca="1">IF(Prj_Inflation=1,IF($B292=1,IF(S$2=1,1,IF(Параметры!S$29=1,1+OFFSET(S290,0,-1),1)),"-"),1)</f>
        <v>-</v>
      </c>
      <c r="T292" s="192" t="str">
        <f ca="1">IF(Prj_Inflation=1,IF($B292=1,IF(T$2=1,1,IF(Параметры!T$29=1,1+OFFSET(T290,0,-1),1)),"-"),1)</f>
        <v>-</v>
      </c>
      <c r="U292" s="192" t="str">
        <f ca="1">IF(Prj_Inflation=1,IF($B292=1,IF(U$2=1,1,IF(Параметры!U$29=1,1+OFFSET(U290,0,-1),1)),"-"),1)</f>
        <v>-</v>
      </c>
      <c r="V292" s="192" t="str">
        <f ca="1">IF(Prj_Inflation=1,IF($B292=1,IF(V$2=1,1,IF(Параметры!V$29=1,1+OFFSET(V290,0,-1),1)),"-"),1)</f>
        <v>-</v>
      </c>
      <c r="W292" s="192" t="str">
        <f ca="1">IF(Prj_Inflation=1,IF($B292=1,IF(W$2=1,1,IF(Параметры!W$29=1,1+OFFSET(W290,0,-1),1)),"-"),1)</f>
        <v>-</v>
      </c>
      <c r="X292" s="192" t="str">
        <f ca="1">IF(Prj_Inflation=1,IF($B292=1,IF(X$2=1,1,IF(Параметры!X$29=1,1+OFFSET(X290,0,-1),1)),"-"),1)</f>
        <v>-</v>
      </c>
      <c r="Y292" s="192" t="str">
        <f ca="1">IF(Prj_Inflation=1,IF($B292=1,IF(Y$2=1,1,IF(Параметры!Y$29=1,1+OFFSET(Y290,0,-1),1)),"-"),1)</f>
        <v>-</v>
      </c>
      <c r="Z292" s="192" t="str">
        <f ca="1">IF(Prj_Inflation=1,IF($B292=1,IF(Z$2=1,1,IF(Параметры!Z$29=1,1+OFFSET(Z290,0,-1),1)),"-"),1)</f>
        <v>-</v>
      </c>
      <c r="AA292" s="192" t="str">
        <f ca="1">IF(Prj_Inflation=1,IF($B292=1,IF(AA$2=1,1,IF(Параметры!AA$29=1,1+OFFSET(AA290,0,-1),1)),"-"),1)</f>
        <v>-</v>
      </c>
      <c r="AB292" s="192" t="str">
        <f ca="1">IF(Prj_Inflation=1,IF($B292=1,IF(AB$2=1,1,IF(Параметры!AB$29=1,1+OFFSET(AB290,0,-1),1)),"-"),1)</f>
        <v>-</v>
      </c>
      <c r="AC292" s="192" t="str">
        <f ca="1">IF(Prj_Inflation=1,IF($B292=1,IF(AC$2=1,1,IF(Параметры!AC$29=1,1+OFFSET(AC290,0,-1),1)),"-"),1)</f>
        <v>-</v>
      </c>
      <c r="AD292" s="192" t="str">
        <f ca="1">IF(Prj_Inflation=1,IF($B292=1,IF(AD$2=1,1,IF(Параметры!AD$29=1,1+OFFSET(AD290,0,-1),1)),"-"),1)</f>
        <v>-</v>
      </c>
      <c r="AE292" s="192" t="str">
        <f ca="1">IF(Prj_Inflation=1,IF($B292=1,IF(AE$2=1,1,IF(Параметры!AE$29=1,1+OFFSET(AE290,0,-1),1)),"-"),1)</f>
        <v>-</v>
      </c>
      <c r="AF292" s="192" t="str">
        <f ca="1">IF(Prj_Inflation=1,IF($B292=1,IF(AF$2=1,1,IF(Параметры!AF$29=1,1+OFFSET(AF290,0,-1),1)),"-"),1)</f>
        <v>-</v>
      </c>
      <c r="AG292" s="192" t="str">
        <f ca="1">IF(Prj_Inflation=1,IF($B292=1,IF(AG$2=1,1,IF(Параметры!AG$29=1,1+OFFSET(AG290,0,-1),1)),"-"),1)</f>
        <v>-</v>
      </c>
      <c r="AH292" s="192" t="str">
        <f ca="1">IF(Prj_Inflation=1,IF($B292=1,IF(AH$2=1,1,IF(Параметры!AH$29=1,1+OFFSET(AH290,0,-1),1)),"-"),1)</f>
        <v>-</v>
      </c>
      <c r="AI292" s="192" t="str">
        <f ca="1">IF(Prj_Inflation=1,IF($B292=1,IF(AI$2=1,1,IF(Параметры!AI$29=1,1+OFFSET(AI290,0,-1),1)),"-"),1)</f>
        <v>-</v>
      </c>
      <c r="AJ292" s="192" t="str">
        <f ca="1">IF(Prj_Inflation=1,IF($B292=1,IF(AJ$2=1,1,IF(Параметры!AJ$29=1,1+OFFSET(AJ290,0,-1),1)),"-"),1)</f>
        <v>-</v>
      </c>
      <c r="AK292" s="192" t="str">
        <f ca="1">IF(Prj_Inflation=1,IF($B292=1,IF(AK$2=1,1,IF(Параметры!AK$29=1,1+OFFSET(AK290,0,-1),1)),"-"),1)</f>
        <v>-</v>
      </c>
      <c r="AL292" s="192" t="str">
        <f ca="1">IF(Prj_Inflation=1,IF($B292=1,IF(AL$2=1,1,IF(Параметры!AL$29=1,1+OFFSET(AL290,0,-1),1)),"-"),1)</f>
        <v>-</v>
      </c>
      <c r="AM292" s="192" t="str">
        <f ca="1">IF(Prj_Inflation=1,IF($B292=1,IF(AM$2=1,1,IF(Параметры!AM$29=1,1+OFFSET(AM290,0,-1),1)),"-"),1)</f>
        <v>-</v>
      </c>
      <c r="AN292" s="192" t="str">
        <f ca="1">IF(Prj_Inflation=1,IF($B292=1,IF(AN$2=1,1,IF(Параметры!AN$29=1,1+OFFSET(AN290,0,-1),1)),"-"),1)</f>
        <v>-</v>
      </c>
      <c r="AO292" s="192" t="str">
        <f ca="1">IF(Prj_Inflation=1,IF($B292=1,IF(AO$2=1,1,IF(Параметры!AO$29=1,1+OFFSET(AO290,0,-1),1)),"-"),1)</f>
        <v>-</v>
      </c>
      <c r="AP292" s="192" t="str">
        <f ca="1">IF(Prj_Inflation=1,IF($B292=1,IF(AP$2=1,1,IF(Параметры!AP$29=1,1+OFFSET(AP290,0,-1),1)),"-"),1)</f>
        <v>-</v>
      </c>
      <c r="AQ292" s="192" t="str">
        <f ca="1">IF(Prj_Inflation=1,IF($B292=1,IF(AQ$2=1,1,IF(Параметры!AQ$29=1,1+OFFSET(AQ290,0,-1),1)),"-"),1)</f>
        <v>-</v>
      </c>
      <c r="AR292" s="192" t="str">
        <f ca="1">IF(Prj_Inflation=1,IF($B292=1,IF(AR$2=1,1,IF(Параметры!AR$29=1,1+OFFSET(AR290,0,-1),1)),"-"),1)</f>
        <v>-</v>
      </c>
      <c r="AS292" s="192" t="str">
        <f ca="1">IF(Prj_Inflation=1,IF($B292=1,IF(AS$2=1,1,IF(Параметры!AS$29=1,1+OFFSET(AS290,0,-1),1)),"-"),1)</f>
        <v>-</v>
      </c>
      <c r="AT292" s="192" t="str">
        <f ca="1">IF(Prj_Inflation=1,IF($B292=1,IF(AT$2=1,1,IF(Параметры!AT$29=1,1+OFFSET(AT290,0,-1),1)),"-"),1)</f>
        <v>-</v>
      </c>
      <c r="AU292" s="192" t="str">
        <f ca="1">IF(Prj_Inflation=1,IF($B292=1,IF(AU$2=1,1,IF(Параметры!AU$29=1,1+OFFSET(AU290,0,-1),1)),"-"),1)</f>
        <v>-</v>
      </c>
      <c r="AV292" s="192" t="str">
        <f ca="1">IF(Prj_Inflation=1,IF($B292=1,IF(AV$2=1,1,IF(Параметры!AV$29=1,1+OFFSET(AV290,0,-1),1)),"-"),1)</f>
        <v>-</v>
      </c>
      <c r="AW292" s="192" t="str">
        <f ca="1">IF(Prj_Inflation=1,IF($B292=1,IF(AW$2=1,1,IF(Параметры!AW$29=1,1+OFFSET(AW290,0,-1),1)),"-"),1)</f>
        <v>-</v>
      </c>
      <c r="AX292" s="192" t="str">
        <f ca="1">IF(Prj_Inflation=1,IF($B292=1,IF(AX$2=1,1,IF(Параметры!AX$29=1,1+OFFSET(AX290,0,-1),1)),"-"),1)</f>
        <v>-</v>
      </c>
      <c r="AY292" s="192" t="str">
        <f ca="1">IF(Prj_Inflation=1,IF($B292=1,IF(AY$2=1,1,IF(Параметры!AY$29=1,1+OFFSET(AY290,0,-1),1)),"-"),1)</f>
        <v>-</v>
      </c>
      <c r="AZ292" s="192" t="str">
        <f ca="1">IF(Prj_Inflation=1,IF($B292=1,IF(AZ$2=1,1,IF(Параметры!AZ$29=1,1+OFFSET(AZ290,0,-1),1)),"-"),1)</f>
        <v>-</v>
      </c>
      <c r="BA292" s="192" t="str">
        <f ca="1">IF(Prj_Inflation=1,IF($B292=1,IF(BA$2=1,1,IF(Параметры!BA$29=1,1+OFFSET(BA290,0,-1),1)),"-"),1)</f>
        <v>-</v>
      </c>
      <c r="BB292" s="192" t="str">
        <f ca="1">IF(Prj_Inflation=1,IF($B292=1,IF(BB$2=1,1,IF(Параметры!BB$29=1,1+OFFSET(BB290,0,-1),1)),"-"),1)</f>
        <v>-</v>
      </c>
      <c r="BC292" s="191"/>
      <c r="BD292" s="186"/>
    </row>
    <row r="293" spans="1:56" ht="14.4" hidden="1" thickTop="1" x14ac:dyDescent="0.3">
      <c r="A293" s="184" t="str">
        <f ca="1">Language!A$697</f>
        <v>социальные взносы</v>
      </c>
      <c r="B293" s="189"/>
      <c r="C293" s="163" t="str">
        <f ca="1">CHOOSE(D293,CurName1,CurName2,CurName3)</f>
        <v>руб.</v>
      </c>
      <c r="D293" s="174">
        <f>D286</f>
        <v>1</v>
      </c>
      <c r="E293" s="170" t="s">
        <v>1459</v>
      </c>
      <c r="F293" s="170" t="s">
        <v>743</v>
      </c>
      <c r="G293" s="185">
        <f ca="1">G289*Параметры!G$91</f>
        <v>0</v>
      </c>
      <c r="H293" s="185">
        <f ca="1">H289*Параметры!H$91</f>
        <v>0</v>
      </c>
      <c r="I293" s="185">
        <f ca="1">I289*Параметры!I$91</f>
        <v>0</v>
      </c>
      <c r="J293" s="185">
        <f ca="1">J289*Параметры!J$91</f>
        <v>0</v>
      </c>
      <c r="K293" s="185">
        <f ca="1">K289*Параметры!K$91</f>
        <v>0</v>
      </c>
      <c r="L293" s="185">
        <f ca="1">L289*Параметры!L$91</f>
        <v>0</v>
      </c>
      <c r="M293" s="185">
        <f ca="1">M289*Параметры!M$91</f>
        <v>0</v>
      </c>
      <c r="N293" s="185">
        <f ca="1">N289*Параметры!N$91</f>
        <v>0</v>
      </c>
      <c r="O293" s="185">
        <f ca="1">O289*Параметры!O$91</f>
        <v>0</v>
      </c>
      <c r="P293" s="185">
        <f ca="1">P289*Параметры!P$91</f>
        <v>0</v>
      </c>
      <c r="Q293" s="185">
        <f ca="1">Q289*Параметры!Q$91</f>
        <v>0</v>
      </c>
      <c r="R293" s="185">
        <f ca="1">R289*Параметры!R$91</f>
        <v>0</v>
      </c>
      <c r="S293" s="185">
        <f ca="1">S289*Параметры!S$91</f>
        <v>0</v>
      </c>
      <c r="T293" s="185">
        <f ca="1">T289*Параметры!T$91</f>
        <v>0</v>
      </c>
      <c r="U293" s="185">
        <f ca="1">U289*Параметры!U$91</f>
        <v>0</v>
      </c>
      <c r="V293" s="185">
        <f ca="1">V289*Параметры!V$91</f>
        <v>0</v>
      </c>
      <c r="W293" s="185">
        <f ca="1">W289*Параметры!W$91</f>
        <v>0</v>
      </c>
      <c r="X293" s="185">
        <f ca="1">X289*Параметры!X$91</f>
        <v>0</v>
      </c>
      <c r="Y293" s="185">
        <f ca="1">Y289*Параметры!Y$91</f>
        <v>0</v>
      </c>
      <c r="Z293" s="185">
        <f ca="1">Z289*Параметры!Z$91</f>
        <v>0</v>
      </c>
      <c r="AA293" s="185">
        <f ca="1">AA289*Параметры!AA$91</f>
        <v>0</v>
      </c>
      <c r="AB293" s="185">
        <f ca="1">AB289*Параметры!AB$91</f>
        <v>0</v>
      </c>
      <c r="AC293" s="185">
        <f ca="1">AC289*Параметры!AC$91</f>
        <v>0</v>
      </c>
      <c r="AD293" s="185">
        <f ca="1">AD289*Параметры!AD$91</f>
        <v>0</v>
      </c>
      <c r="AE293" s="185">
        <f ca="1">AE289*Параметры!AE$91</f>
        <v>0</v>
      </c>
      <c r="AF293" s="185">
        <f ca="1">AF289*Параметры!AF$91</f>
        <v>0</v>
      </c>
      <c r="AG293" s="185">
        <f ca="1">AG289*Параметры!AG$91</f>
        <v>0</v>
      </c>
      <c r="AH293" s="185">
        <f ca="1">AH289*Параметры!AH$91</f>
        <v>0</v>
      </c>
      <c r="AI293" s="185">
        <f ca="1">AI289*Параметры!AI$91</f>
        <v>0</v>
      </c>
      <c r="AJ293" s="185">
        <f ca="1">AJ289*Параметры!AJ$91</f>
        <v>0</v>
      </c>
      <c r="AK293" s="185">
        <f ca="1">AK289*Параметры!AK$91</f>
        <v>0</v>
      </c>
      <c r="AL293" s="185">
        <f ca="1">AL289*Параметры!AL$91</f>
        <v>0</v>
      </c>
      <c r="AM293" s="185">
        <f ca="1">AM289*Параметры!AM$91</f>
        <v>0</v>
      </c>
      <c r="AN293" s="185">
        <f ca="1">AN289*Параметры!AN$91</f>
        <v>0</v>
      </c>
      <c r="AO293" s="185">
        <f ca="1">AO289*Параметры!AO$91</f>
        <v>0</v>
      </c>
      <c r="AP293" s="185">
        <f ca="1">AP289*Параметры!AP$91</f>
        <v>0</v>
      </c>
      <c r="AQ293" s="185">
        <f ca="1">AQ289*Параметры!AQ$91</f>
        <v>0</v>
      </c>
      <c r="AR293" s="185">
        <f ca="1">AR289*Параметры!AR$91</f>
        <v>0</v>
      </c>
      <c r="AS293" s="185">
        <f ca="1">AS289*Параметры!AS$91</f>
        <v>0</v>
      </c>
      <c r="AT293" s="185">
        <f ca="1">AT289*Параметры!AT$91</f>
        <v>0</v>
      </c>
      <c r="AU293" s="185">
        <f ca="1">AU289*Параметры!AU$91</f>
        <v>0</v>
      </c>
      <c r="AV293" s="185">
        <f ca="1">AV289*Параметры!AV$91</f>
        <v>0</v>
      </c>
      <c r="AW293" s="185">
        <f ca="1">AW289*Параметры!AW$91</f>
        <v>0</v>
      </c>
      <c r="AX293" s="185">
        <f ca="1">AX289*Параметры!AX$91</f>
        <v>0</v>
      </c>
      <c r="AY293" s="185">
        <f ca="1">AY289*Параметры!AY$91</f>
        <v>0</v>
      </c>
      <c r="AZ293" s="185">
        <f ca="1">AZ289*Параметры!AZ$91</f>
        <v>0</v>
      </c>
      <c r="BA293" s="185">
        <f ca="1">BA289*Параметры!BA$91</f>
        <v>0</v>
      </c>
      <c r="BB293" s="185">
        <f ca="1">BB289*Параметры!BB$91</f>
        <v>0</v>
      </c>
      <c r="BC293" s="185"/>
      <c r="BD293" s="193">
        <f ca="1">SUM(G293:BC293)</f>
        <v>0</v>
      </c>
    </row>
    <row r="294" spans="1:56" s="173" customFormat="1" ht="14.4" hidden="1" thickTop="1" x14ac:dyDescent="0.3">
      <c r="A294" s="181" t="str">
        <f ca="1">Language!A$1513</f>
        <v>затраты на персонал, с соц. взносами</v>
      </c>
      <c r="B294" s="205"/>
      <c r="C294" s="176" t="str">
        <f ca="1">CHOOSE(D294,CurName1,CurName2,CurName3)</f>
        <v>руб.</v>
      </c>
      <c r="D294" s="174">
        <f>D286</f>
        <v>1</v>
      </c>
      <c r="E294" s="170" t="s">
        <v>2312</v>
      </c>
      <c r="F294" s="170" t="s">
        <v>743</v>
      </c>
      <c r="G294" s="182">
        <f ca="1">G289+G293</f>
        <v>0</v>
      </c>
      <c r="H294" s="182">
        <f t="shared" ref="H294:K294" ca="1" si="1390">H289+H293</f>
        <v>0</v>
      </c>
      <c r="I294" s="182">
        <f t="shared" ca="1" si="1390"/>
        <v>0</v>
      </c>
      <c r="J294" s="182">
        <f t="shared" ca="1" si="1390"/>
        <v>0</v>
      </c>
      <c r="K294" s="182">
        <f t="shared" ca="1" si="1390"/>
        <v>0</v>
      </c>
      <c r="L294" s="182">
        <f t="shared" ref="L294:M294" ca="1" si="1391">L289+L293</f>
        <v>0</v>
      </c>
      <c r="M294" s="182">
        <f t="shared" ca="1" si="1391"/>
        <v>0</v>
      </c>
      <c r="N294" s="182">
        <f t="shared" ref="N294:O294" ca="1" si="1392">N289+N293</f>
        <v>0</v>
      </c>
      <c r="O294" s="182">
        <f t="shared" ca="1" si="1392"/>
        <v>0</v>
      </c>
      <c r="P294" s="182">
        <f t="shared" ref="P294:Q294" ca="1" si="1393">P289+P293</f>
        <v>0</v>
      </c>
      <c r="Q294" s="182">
        <f t="shared" ca="1" si="1393"/>
        <v>0</v>
      </c>
      <c r="R294" s="182">
        <f t="shared" ref="R294:S294" ca="1" si="1394">R289+R293</f>
        <v>0</v>
      </c>
      <c r="S294" s="182">
        <f t="shared" ca="1" si="1394"/>
        <v>0</v>
      </c>
      <c r="T294" s="182">
        <f t="shared" ref="T294:U294" ca="1" si="1395">T289+T293</f>
        <v>0</v>
      </c>
      <c r="U294" s="182">
        <f t="shared" ca="1" si="1395"/>
        <v>0</v>
      </c>
      <c r="V294" s="182">
        <f t="shared" ref="V294:W294" ca="1" si="1396">V289+V293</f>
        <v>0</v>
      </c>
      <c r="W294" s="182">
        <f t="shared" ca="1" si="1396"/>
        <v>0</v>
      </c>
      <c r="X294" s="182">
        <f t="shared" ref="X294:Y294" ca="1" si="1397">X289+X293</f>
        <v>0</v>
      </c>
      <c r="Y294" s="182">
        <f t="shared" ca="1" si="1397"/>
        <v>0</v>
      </c>
      <c r="Z294" s="182">
        <f t="shared" ref="Z294:AA294" ca="1" si="1398">Z289+Z293</f>
        <v>0</v>
      </c>
      <c r="AA294" s="182">
        <f t="shared" ca="1" si="1398"/>
        <v>0</v>
      </c>
      <c r="AB294" s="182">
        <f t="shared" ref="AB294:AC294" ca="1" si="1399">AB289+AB293</f>
        <v>0</v>
      </c>
      <c r="AC294" s="182">
        <f t="shared" ca="1" si="1399"/>
        <v>0</v>
      </c>
      <c r="AD294" s="182">
        <f t="shared" ref="AD294:AE294" ca="1" si="1400">AD289+AD293</f>
        <v>0</v>
      </c>
      <c r="AE294" s="182">
        <f t="shared" ca="1" si="1400"/>
        <v>0</v>
      </c>
      <c r="AF294" s="182">
        <f t="shared" ref="AF294:AG294" ca="1" si="1401">AF289+AF293</f>
        <v>0</v>
      </c>
      <c r="AG294" s="182">
        <f t="shared" ca="1" si="1401"/>
        <v>0</v>
      </c>
      <c r="AH294" s="182">
        <f t="shared" ref="AH294:AI294" ca="1" si="1402">AH289+AH293</f>
        <v>0</v>
      </c>
      <c r="AI294" s="182">
        <f t="shared" ca="1" si="1402"/>
        <v>0</v>
      </c>
      <c r="AJ294" s="182">
        <f t="shared" ref="AJ294:AK294" ca="1" si="1403">AJ289+AJ293</f>
        <v>0</v>
      </c>
      <c r="AK294" s="182">
        <f t="shared" ca="1" si="1403"/>
        <v>0</v>
      </c>
      <c r="AL294" s="182">
        <f t="shared" ref="AL294:AM294" ca="1" si="1404">AL289+AL293</f>
        <v>0</v>
      </c>
      <c r="AM294" s="182">
        <f t="shared" ca="1" si="1404"/>
        <v>0</v>
      </c>
      <c r="AN294" s="182">
        <f t="shared" ref="AN294:AO294" ca="1" si="1405">AN289+AN293</f>
        <v>0</v>
      </c>
      <c r="AO294" s="182">
        <f t="shared" ca="1" si="1405"/>
        <v>0</v>
      </c>
      <c r="AP294" s="182">
        <f t="shared" ref="AP294:AQ294" ca="1" si="1406">AP289+AP293</f>
        <v>0</v>
      </c>
      <c r="AQ294" s="182">
        <f t="shared" ca="1" si="1406"/>
        <v>0</v>
      </c>
      <c r="AR294" s="182">
        <f t="shared" ref="AR294:AS294" ca="1" si="1407">AR289+AR293</f>
        <v>0</v>
      </c>
      <c r="AS294" s="182">
        <f t="shared" ca="1" si="1407"/>
        <v>0</v>
      </c>
      <c r="AT294" s="182">
        <f t="shared" ref="AT294:AU294" ca="1" si="1408">AT289+AT293</f>
        <v>0</v>
      </c>
      <c r="AU294" s="182">
        <f t="shared" ca="1" si="1408"/>
        <v>0</v>
      </c>
      <c r="AV294" s="182">
        <f t="shared" ref="AV294:AW294" ca="1" si="1409">AV289+AV293</f>
        <v>0</v>
      </c>
      <c r="AW294" s="182">
        <f t="shared" ca="1" si="1409"/>
        <v>0</v>
      </c>
      <c r="AX294" s="182">
        <f t="shared" ref="AX294:AY294" ca="1" si="1410">AX289+AX293</f>
        <v>0</v>
      </c>
      <c r="AY294" s="182">
        <f t="shared" ca="1" si="1410"/>
        <v>0</v>
      </c>
      <c r="AZ294" s="182">
        <f t="shared" ref="AZ294:BA294" ca="1" si="1411">AZ289+AZ293</f>
        <v>0</v>
      </c>
      <c r="BA294" s="182">
        <f t="shared" ca="1" si="1411"/>
        <v>0</v>
      </c>
      <c r="BB294" s="182">
        <f t="shared" ref="BB294" ca="1" si="1412">BB289+BB293</f>
        <v>0</v>
      </c>
      <c r="BC294" s="182"/>
      <c r="BD294" s="183">
        <f ca="1">SUM(G294:BC294)</f>
        <v>0</v>
      </c>
    </row>
    <row r="295" spans="1:56" ht="14.4" hidden="1" thickTop="1" x14ac:dyDescent="0.3">
      <c r="A295" s="283" t="str">
        <f ca="1">Language!A$700</f>
        <v>Шаблон персонала с численностью</v>
      </c>
      <c r="B295" s="205"/>
      <c r="C295" s="176"/>
      <c r="D295" s="174">
        <v>1</v>
      </c>
      <c r="F295" s="170" t="s">
        <v>2324</v>
      </c>
      <c r="G295" s="206"/>
      <c r="H295" s="206"/>
      <c r="I295" s="206"/>
      <c r="J295" s="206"/>
      <c r="K295" s="206"/>
      <c r="L295" s="206"/>
      <c r="M295" s="206"/>
      <c r="N295" s="206"/>
      <c r="O295" s="206"/>
      <c r="P295" s="206"/>
      <c r="Q295" s="206"/>
      <c r="R295" s="206"/>
      <c r="S295" s="206"/>
      <c r="T295" s="206"/>
      <c r="U295" s="206"/>
      <c r="V295" s="206"/>
      <c r="W295" s="206"/>
      <c r="X295" s="206"/>
      <c r="Y295" s="206"/>
      <c r="Z295" s="206"/>
      <c r="AA295" s="206"/>
      <c r="AB295" s="206"/>
      <c r="AC295" s="206"/>
      <c r="AD295" s="206"/>
      <c r="AE295" s="206"/>
      <c r="AF295" s="206"/>
      <c r="AG295" s="206"/>
      <c r="AH295" s="206"/>
      <c r="AI295" s="206"/>
      <c r="AJ295" s="206"/>
      <c r="AK295" s="206"/>
      <c r="AL295" s="206"/>
      <c r="AM295" s="206"/>
      <c r="AN295" s="206"/>
      <c r="AO295" s="206"/>
      <c r="AP295" s="206"/>
      <c r="AQ295" s="206"/>
      <c r="AR295" s="206"/>
      <c r="AS295" s="206"/>
      <c r="AT295" s="206"/>
      <c r="AU295" s="206"/>
      <c r="AV295" s="206"/>
      <c r="AW295" s="206"/>
      <c r="AX295" s="206"/>
      <c r="AY295" s="206"/>
      <c r="AZ295" s="206"/>
      <c r="BA295" s="206"/>
      <c r="BB295" s="206"/>
      <c r="BC295" s="206"/>
    </row>
    <row r="296" spans="1:56" ht="14.4" hidden="1" thickTop="1" x14ac:dyDescent="0.3">
      <c r="A296" s="175" t="str">
        <f ca="1">Language!A$701</f>
        <v>численность</v>
      </c>
      <c r="B296" s="295">
        <v>0</v>
      </c>
      <c r="C296" s="176" t="str">
        <f ca="1">Language!$A$1483</f>
        <v>человек</v>
      </c>
      <c r="D296" s="174"/>
      <c r="E296" s="170" t="s">
        <v>843</v>
      </c>
      <c r="F296" s="170" t="s">
        <v>749</v>
      </c>
      <c r="G296" s="296">
        <f t="shared" ref="G296:BB296" si="1413">IF(G$2&gt;Prj_Invest, $B296, 0)</f>
        <v>0</v>
      </c>
      <c r="H296" s="296">
        <f t="shared" si="1413"/>
        <v>0</v>
      </c>
      <c r="I296" s="296">
        <f t="shared" si="1413"/>
        <v>0</v>
      </c>
      <c r="J296" s="296">
        <f t="shared" si="1413"/>
        <v>0</v>
      </c>
      <c r="K296" s="296">
        <f t="shared" si="1413"/>
        <v>0</v>
      </c>
      <c r="L296" s="296">
        <f t="shared" si="1413"/>
        <v>0</v>
      </c>
      <c r="M296" s="296">
        <f t="shared" si="1413"/>
        <v>0</v>
      </c>
      <c r="N296" s="296">
        <f t="shared" si="1413"/>
        <v>0</v>
      </c>
      <c r="O296" s="296">
        <f t="shared" si="1413"/>
        <v>0</v>
      </c>
      <c r="P296" s="296">
        <f t="shared" si="1413"/>
        <v>0</v>
      </c>
      <c r="Q296" s="296">
        <f t="shared" si="1413"/>
        <v>0</v>
      </c>
      <c r="R296" s="296">
        <f t="shared" si="1413"/>
        <v>0</v>
      </c>
      <c r="S296" s="296">
        <f t="shared" si="1413"/>
        <v>0</v>
      </c>
      <c r="T296" s="296">
        <f t="shared" si="1413"/>
        <v>0</v>
      </c>
      <c r="U296" s="296">
        <f t="shared" si="1413"/>
        <v>0</v>
      </c>
      <c r="V296" s="296">
        <f t="shared" si="1413"/>
        <v>0</v>
      </c>
      <c r="W296" s="296">
        <f t="shared" si="1413"/>
        <v>0</v>
      </c>
      <c r="X296" s="296">
        <f t="shared" si="1413"/>
        <v>0</v>
      </c>
      <c r="Y296" s="296">
        <f t="shared" si="1413"/>
        <v>0</v>
      </c>
      <c r="Z296" s="296">
        <f t="shared" si="1413"/>
        <v>0</v>
      </c>
      <c r="AA296" s="296">
        <f t="shared" si="1413"/>
        <v>0</v>
      </c>
      <c r="AB296" s="296">
        <f t="shared" si="1413"/>
        <v>0</v>
      </c>
      <c r="AC296" s="296">
        <f t="shared" si="1413"/>
        <v>0</v>
      </c>
      <c r="AD296" s="296">
        <f t="shared" si="1413"/>
        <v>0</v>
      </c>
      <c r="AE296" s="296">
        <f t="shared" si="1413"/>
        <v>0</v>
      </c>
      <c r="AF296" s="296">
        <f t="shared" si="1413"/>
        <v>0</v>
      </c>
      <c r="AG296" s="296">
        <f t="shared" si="1413"/>
        <v>0</v>
      </c>
      <c r="AH296" s="296">
        <f t="shared" si="1413"/>
        <v>0</v>
      </c>
      <c r="AI296" s="296">
        <f t="shared" si="1413"/>
        <v>0</v>
      </c>
      <c r="AJ296" s="296">
        <f t="shared" si="1413"/>
        <v>0</v>
      </c>
      <c r="AK296" s="296">
        <f t="shared" si="1413"/>
        <v>0</v>
      </c>
      <c r="AL296" s="296">
        <f t="shared" si="1413"/>
        <v>0</v>
      </c>
      <c r="AM296" s="296">
        <f t="shared" si="1413"/>
        <v>0</v>
      </c>
      <c r="AN296" s="296">
        <f t="shared" si="1413"/>
        <v>0</v>
      </c>
      <c r="AO296" s="296">
        <f t="shared" si="1413"/>
        <v>0</v>
      </c>
      <c r="AP296" s="296">
        <f t="shared" si="1413"/>
        <v>0</v>
      </c>
      <c r="AQ296" s="296">
        <f t="shared" si="1413"/>
        <v>0</v>
      </c>
      <c r="AR296" s="296">
        <f t="shared" si="1413"/>
        <v>0</v>
      </c>
      <c r="AS296" s="296">
        <f t="shared" si="1413"/>
        <v>0</v>
      </c>
      <c r="AT296" s="296">
        <f t="shared" si="1413"/>
        <v>0</v>
      </c>
      <c r="AU296" s="296">
        <f t="shared" si="1413"/>
        <v>0</v>
      </c>
      <c r="AV296" s="296">
        <f t="shared" si="1413"/>
        <v>0</v>
      </c>
      <c r="AW296" s="296">
        <f t="shared" si="1413"/>
        <v>0</v>
      </c>
      <c r="AX296" s="296">
        <f t="shared" si="1413"/>
        <v>0</v>
      </c>
      <c r="AY296" s="296">
        <f t="shared" si="1413"/>
        <v>0</v>
      </c>
      <c r="AZ296" s="296">
        <f t="shared" si="1413"/>
        <v>0</v>
      </c>
      <c r="BA296" s="296">
        <f t="shared" si="1413"/>
        <v>0</v>
      </c>
      <c r="BB296" s="296">
        <f t="shared" si="1413"/>
        <v>0</v>
      </c>
      <c r="BC296" s="202"/>
    </row>
    <row r="297" spans="1:56" ht="14.4" hidden="1" thickTop="1" x14ac:dyDescent="0.3">
      <c r="A297" s="175" t="str">
        <f ca="1">Language!A$702</f>
        <v>средний оклад, в месяц</v>
      </c>
      <c r="B297" s="284">
        <v>0</v>
      </c>
      <c r="C297" s="176" t="str">
        <f ca="1">CHOOSE(D295,CurName1,CurName2,CurName3)</f>
        <v>руб.</v>
      </c>
      <c r="E297" s="170" t="s">
        <v>844</v>
      </c>
      <c r="F297" s="170" t="s">
        <v>2349</v>
      </c>
      <c r="G297" s="285">
        <f t="shared" ref="G297:BB297" ca="1" si="1414">IF(G$2=1,$B297,F297)*IF($B301=1,G301,G300)</f>
        <v>0</v>
      </c>
      <c r="H297" s="285">
        <f t="shared" ca="1" si="1414"/>
        <v>0</v>
      </c>
      <c r="I297" s="285">
        <f t="shared" ca="1" si="1414"/>
        <v>0</v>
      </c>
      <c r="J297" s="285">
        <f t="shared" ca="1" si="1414"/>
        <v>0</v>
      </c>
      <c r="K297" s="285">
        <f t="shared" ca="1" si="1414"/>
        <v>0</v>
      </c>
      <c r="L297" s="285">
        <f t="shared" ca="1" si="1414"/>
        <v>0</v>
      </c>
      <c r="M297" s="285">
        <f t="shared" ca="1" si="1414"/>
        <v>0</v>
      </c>
      <c r="N297" s="285">
        <f t="shared" ca="1" si="1414"/>
        <v>0</v>
      </c>
      <c r="O297" s="285">
        <f t="shared" ca="1" si="1414"/>
        <v>0</v>
      </c>
      <c r="P297" s="285">
        <f t="shared" ca="1" si="1414"/>
        <v>0</v>
      </c>
      <c r="Q297" s="285">
        <f t="shared" ca="1" si="1414"/>
        <v>0</v>
      </c>
      <c r="R297" s="285">
        <f t="shared" ca="1" si="1414"/>
        <v>0</v>
      </c>
      <c r="S297" s="285">
        <f t="shared" ca="1" si="1414"/>
        <v>0</v>
      </c>
      <c r="T297" s="285">
        <f t="shared" ca="1" si="1414"/>
        <v>0</v>
      </c>
      <c r="U297" s="285">
        <f t="shared" ca="1" si="1414"/>
        <v>0</v>
      </c>
      <c r="V297" s="285">
        <f t="shared" ca="1" si="1414"/>
        <v>0</v>
      </c>
      <c r="W297" s="285">
        <f t="shared" ca="1" si="1414"/>
        <v>0</v>
      </c>
      <c r="X297" s="285">
        <f t="shared" ca="1" si="1414"/>
        <v>0</v>
      </c>
      <c r="Y297" s="285">
        <f t="shared" ca="1" si="1414"/>
        <v>0</v>
      </c>
      <c r="Z297" s="285">
        <f t="shared" ca="1" si="1414"/>
        <v>0</v>
      </c>
      <c r="AA297" s="285">
        <f t="shared" ca="1" si="1414"/>
        <v>0</v>
      </c>
      <c r="AB297" s="285">
        <f t="shared" ca="1" si="1414"/>
        <v>0</v>
      </c>
      <c r="AC297" s="285">
        <f t="shared" ca="1" si="1414"/>
        <v>0</v>
      </c>
      <c r="AD297" s="285">
        <f t="shared" ca="1" si="1414"/>
        <v>0</v>
      </c>
      <c r="AE297" s="285">
        <f t="shared" ca="1" si="1414"/>
        <v>0</v>
      </c>
      <c r="AF297" s="285">
        <f t="shared" ca="1" si="1414"/>
        <v>0</v>
      </c>
      <c r="AG297" s="285">
        <f t="shared" ca="1" si="1414"/>
        <v>0</v>
      </c>
      <c r="AH297" s="285">
        <f t="shared" ca="1" si="1414"/>
        <v>0</v>
      </c>
      <c r="AI297" s="285">
        <f t="shared" ca="1" si="1414"/>
        <v>0</v>
      </c>
      <c r="AJ297" s="285">
        <f t="shared" ca="1" si="1414"/>
        <v>0</v>
      </c>
      <c r="AK297" s="285">
        <f t="shared" ca="1" si="1414"/>
        <v>0</v>
      </c>
      <c r="AL297" s="285">
        <f t="shared" ca="1" si="1414"/>
        <v>0</v>
      </c>
      <c r="AM297" s="285">
        <f t="shared" ca="1" si="1414"/>
        <v>0</v>
      </c>
      <c r="AN297" s="285">
        <f t="shared" ca="1" si="1414"/>
        <v>0</v>
      </c>
      <c r="AO297" s="285">
        <f t="shared" ca="1" si="1414"/>
        <v>0</v>
      </c>
      <c r="AP297" s="285">
        <f t="shared" ca="1" si="1414"/>
        <v>0</v>
      </c>
      <c r="AQ297" s="285">
        <f t="shared" ca="1" si="1414"/>
        <v>0</v>
      </c>
      <c r="AR297" s="285">
        <f t="shared" ca="1" si="1414"/>
        <v>0</v>
      </c>
      <c r="AS297" s="285">
        <f t="shared" ca="1" si="1414"/>
        <v>0</v>
      </c>
      <c r="AT297" s="285">
        <f t="shared" ca="1" si="1414"/>
        <v>0</v>
      </c>
      <c r="AU297" s="285">
        <f t="shared" ca="1" si="1414"/>
        <v>0</v>
      </c>
      <c r="AV297" s="285">
        <f t="shared" ca="1" si="1414"/>
        <v>0</v>
      </c>
      <c r="AW297" s="285">
        <f t="shared" ca="1" si="1414"/>
        <v>0</v>
      </c>
      <c r="AX297" s="285">
        <f t="shared" ca="1" si="1414"/>
        <v>0</v>
      </c>
      <c r="AY297" s="285">
        <f t="shared" ca="1" si="1414"/>
        <v>0</v>
      </c>
      <c r="AZ297" s="285">
        <f t="shared" ca="1" si="1414"/>
        <v>0</v>
      </c>
      <c r="BA297" s="285">
        <f t="shared" ca="1" si="1414"/>
        <v>0</v>
      </c>
      <c r="BB297" s="285">
        <f t="shared" ca="1" si="1414"/>
        <v>0</v>
      </c>
      <c r="BC297" s="177"/>
    </row>
    <row r="298" spans="1:56" ht="14.4" hidden="1" thickTop="1" x14ac:dyDescent="0.3">
      <c r="A298" s="175" t="str">
        <f ca="1">Language!A$703</f>
        <v>заработная плата</v>
      </c>
      <c r="B298" s="205" t="str">
        <f ca="1">Language!$A$1479</f>
        <v>за период</v>
      </c>
      <c r="C298" s="176" t="str">
        <f t="shared" ref="C298" ca="1" si="1415">CHOOSE(D298,CurName1,CurName2,CurName3)</f>
        <v>руб.</v>
      </c>
      <c r="D298" s="174">
        <f>D295</f>
        <v>1</v>
      </c>
      <c r="E298" s="170" t="s">
        <v>784</v>
      </c>
      <c r="F298" s="170" t="s">
        <v>742</v>
      </c>
      <c r="G298" s="177">
        <f ca="1">G296*G297*Параметры!G$31</f>
        <v>0</v>
      </c>
      <c r="H298" s="177">
        <f ca="1">H296*H297*Параметры!H$31</f>
        <v>0</v>
      </c>
      <c r="I298" s="177">
        <f ca="1">I296*I297*Параметры!I$31</f>
        <v>0</v>
      </c>
      <c r="J298" s="177">
        <f ca="1">J296*J297*Параметры!J$31</f>
        <v>0</v>
      </c>
      <c r="K298" s="177">
        <f ca="1">K296*K297*Параметры!K$31</f>
        <v>0</v>
      </c>
      <c r="L298" s="177">
        <f ca="1">L296*L297*Параметры!L$31</f>
        <v>0</v>
      </c>
      <c r="M298" s="177">
        <f ca="1">M296*M297*Параметры!M$31</f>
        <v>0</v>
      </c>
      <c r="N298" s="177">
        <f ca="1">N296*N297*Параметры!N$31</f>
        <v>0</v>
      </c>
      <c r="O298" s="177">
        <f ca="1">O296*O297*Параметры!O$31</f>
        <v>0</v>
      </c>
      <c r="P298" s="177">
        <f ca="1">P296*P297*Параметры!P$31</f>
        <v>0</v>
      </c>
      <c r="Q298" s="177">
        <f ca="1">Q296*Q297*Параметры!Q$31</f>
        <v>0</v>
      </c>
      <c r="R298" s="177">
        <f ca="1">R296*R297*Параметры!R$31</f>
        <v>0</v>
      </c>
      <c r="S298" s="177">
        <f ca="1">S296*S297*Параметры!S$31</f>
        <v>0</v>
      </c>
      <c r="T298" s="177">
        <f ca="1">T296*T297*Параметры!T$31</f>
        <v>0</v>
      </c>
      <c r="U298" s="177">
        <f ca="1">U296*U297*Параметры!U$31</f>
        <v>0</v>
      </c>
      <c r="V298" s="177">
        <f ca="1">V296*V297*Параметры!V$31</f>
        <v>0</v>
      </c>
      <c r="W298" s="177">
        <f ca="1">W296*W297*Параметры!W$31</f>
        <v>0</v>
      </c>
      <c r="X298" s="177">
        <f ca="1">X296*X297*Параметры!X$31</f>
        <v>0</v>
      </c>
      <c r="Y298" s="177">
        <f ca="1">Y296*Y297*Параметры!Y$31</f>
        <v>0</v>
      </c>
      <c r="Z298" s="177">
        <f ca="1">Z296*Z297*Параметры!Z$31</f>
        <v>0</v>
      </c>
      <c r="AA298" s="177">
        <f ca="1">AA296*AA297*Параметры!AA$31</f>
        <v>0</v>
      </c>
      <c r="AB298" s="177">
        <f ca="1">AB296*AB297*Параметры!AB$31</f>
        <v>0</v>
      </c>
      <c r="AC298" s="177">
        <f ca="1">AC296*AC297*Параметры!AC$31</f>
        <v>0</v>
      </c>
      <c r="AD298" s="177">
        <f ca="1">AD296*AD297*Параметры!AD$31</f>
        <v>0</v>
      </c>
      <c r="AE298" s="177">
        <f ca="1">AE296*AE297*Параметры!AE$31</f>
        <v>0</v>
      </c>
      <c r="AF298" s="177">
        <f ca="1">AF296*AF297*Параметры!AF$31</f>
        <v>0</v>
      </c>
      <c r="AG298" s="177">
        <f ca="1">AG296*AG297*Параметры!AG$31</f>
        <v>0</v>
      </c>
      <c r="AH298" s="177">
        <f ca="1">AH296*AH297*Параметры!AH$31</f>
        <v>0</v>
      </c>
      <c r="AI298" s="177">
        <f ca="1">AI296*AI297*Параметры!AI$31</f>
        <v>0</v>
      </c>
      <c r="AJ298" s="177">
        <f ca="1">AJ296*AJ297*Параметры!AJ$31</f>
        <v>0</v>
      </c>
      <c r="AK298" s="177">
        <f ca="1">AK296*AK297*Параметры!AK$31</f>
        <v>0</v>
      </c>
      <c r="AL298" s="177">
        <f ca="1">AL296*AL297*Параметры!AL$31</f>
        <v>0</v>
      </c>
      <c r="AM298" s="177">
        <f ca="1">AM296*AM297*Параметры!AM$31</f>
        <v>0</v>
      </c>
      <c r="AN298" s="177">
        <f ca="1">AN296*AN297*Параметры!AN$31</f>
        <v>0</v>
      </c>
      <c r="AO298" s="177">
        <f ca="1">AO296*AO297*Параметры!AO$31</f>
        <v>0</v>
      </c>
      <c r="AP298" s="177">
        <f ca="1">AP296*AP297*Параметры!AP$31</f>
        <v>0</v>
      </c>
      <c r="AQ298" s="177">
        <f ca="1">AQ296*AQ297*Параметры!AQ$31</f>
        <v>0</v>
      </c>
      <c r="AR298" s="177">
        <f ca="1">AR296*AR297*Параметры!AR$31</f>
        <v>0</v>
      </c>
      <c r="AS298" s="177">
        <f ca="1">AS296*AS297*Параметры!AS$31</f>
        <v>0</v>
      </c>
      <c r="AT298" s="177">
        <f ca="1">AT296*AT297*Параметры!AT$31</f>
        <v>0</v>
      </c>
      <c r="AU298" s="177">
        <f ca="1">AU296*AU297*Параметры!AU$31</f>
        <v>0</v>
      </c>
      <c r="AV298" s="177">
        <f ca="1">AV296*AV297*Параметры!AV$31</f>
        <v>0</v>
      </c>
      <c r="AW298" s="177">
        <f ca="1">AW296*AW297*Параметры!AW$31</f>
        <v>0</v>
      </c>
      <c r="AX298" s="177">
        <f ca="1">AX296*AX297*Параметры!AX$31</f>
        <v>0</v>
      </c>
      <c r="AY298" s="177">
        <f ca="1">AY296*AY297*Параметры!AY$31</f>
        <v>0</v>
      </c>
      <c r="AZ298" s="177">
        <f ca="1">AZ296*AZ297*Параметры!AZ$31</f>
        <v>0</v>
      </c>
      <c r="BA298" s="177">
        <f ca="1">BA296*BA297*Параметры!BA$31</f>
        <v>0</v>
      </c>
      <c r="BB298" s="177">
        <f ca="1">BB296*BB297*Параметры!BB$31</f>
        <v>0</v>
      </c>
      <c r="BC298" s="177"/>
      <c r="BD298" s="178">
        <f ca="1">SUM(G298:BC298)</f>
        <v>0</v>
      </c>
    </row>
    <row r="299" spans="1:56" ht="14.4" hidden="1" thickTop="1" x14ac:dyDescent="0.3">
      <c r="A299" s="184" t="str">
        <f ca="1">Language!A$705</f>
        <v>темп изменения цен</v>
      </c>
      <c r="B299" s="189"/>
      <c r="C299" s="163" t="str">
        <f ca="1">Language!$A$480</f>
        <v>% в год</v>
      </c>
      <c r="D299" s="174"/>
      <c r="F299" s="170" t="s">
        <v>2344</v>
      </c>
      <c r="G299" s="290">
        <f>CHOOSE($D295,Параметры!G$50,Параметры!G$56,Параметры!G$62)</f>
        <v>0.06</v>
      </c>
      <c r="H299" s="290">
        <f>CHOOSE($D295,Параметры!H$50,Параметры!H$56,Параметры!H$62)</f>
        <v>0.06</v>
      </c>
      <c r="I299" s="290">
        <f>CHOOSE($D295,Параметры!I$50,Параметры!I$56,Параметры!I$62)</f>
        <v>0.06</v>
      </c>
      <c r="J299" s="290">
        <f>CHOOSE($D295,Параметры!J$50,Параметры!J$56,Параметры!J$62)</f>
        <v>0.06</v>
      </c>
      <c r="K299" s="290">
        <f>CHOOSE($D295,Параметры!K$50,Параметры!K$56,Параметры!K$62)</f>
        <v>0.06</v>
      </c>
      <c r="L299" s="290">
        <f>CHOOSE($D295,Параметры!L$50,Параметры!L$56,Параметры!L$62)</f>
        <v>0.06</v>
      </c>
      <c r="M299" s="290">
        <f>CHOOSE($D295,Параметры!M$50,Параметры!M$56,Параметры!M$62)</f>
        <v>0.06</v>
      </c>
      <c r="N299" s="290">
        <f>CHOOSE($D295,Параметры!N$50,Параметры!N$56,Параметры!N$62)</f>
        <v>0.06</v>
      </c>
      <c r="O299" s="290">
        <f>CHOOSE($D295,Параметры!O$50,Параметры!O$56,Параметры!O$62)</f>
        <v>0.06</v>
      </c>
      <c r="P299" s="290">
        <f>CHOOSE($D295,Параметры!P$50,Параметры!P$56,Параметры!P$62)</f>
        <v>0.06</v>
      </c>
      <c r="Q299" s="290">
        <f>CHOOSE($D295,Параметры!Q$50,Параметры!Q$56,Параметры!Q$62)</f>
        <v>0.06</v>
      </c>
      <c r="R299" s="290">
        <f>CHOOSE($D295,Параметры!R$50,Параметры!R$56,Параметры!R$62)</f>
        <v>0.06</v>
      </c>
      <c r="S299" s="290">
        <f>CHOOSE($D295,Параметры!S$50,Параметры!S$56,Параметры!S$62)</f>
        <v>0.06</v>
      </c>
      <c r="T299" s="290">
        <f>CHOOSE($D295,Параметры!T$50,Параметры!T$56,Параметры!T$62)</f>
        <v>0.06</v>
      </c>
      <c r="U299" s="290">
        <f>CHOOSE($D295,Параметры!U$50,Параметры!U$56,Параметры!U$62)</f>
        <v>0.06</v>
      </c>
      <c r="V299" s="290">
        <f>CHOOSE($D295,Параметры!V$50,Параметры!V$56,Параметры!V$62)</f>
        <v>0.06</v>
      </c>
      <c r="W299" s="290">
        <f>CHOOSE($D295,Параметры!W$50,Параметры!W$56,Параметры!W$62)</f>
        <v>0.06</v>
      </c>
      <c r="X299" s="290">
        <f>CHOOSE($D295,Параметры!X$50,Параметры!X$56,Параметры!X$62)</f>
        <v>0.06</v>
      </c>
      <c r="Y299" s="290">
        <f>CHOOSE($D295,Параметры!Y$50,Параметры!Y$56,Параметры!Y$62)</f>
        <v>0.06</v>
      </c>
      <c r="Z299" s="290">
        <f>CHOOSE($D295,Параметры!Z$50,Параметры!Z$56,Параметры!Z$62)</f>
        <v>0.06</v>
      </c>
      <c r="AA299" s="290">
        <f>CHOOSE($D295,Параметры!AA$50,Параметры!AA$56,Параметры!AA$62)</f>
        <v>0.06</v>
      </c>
      <c r="AB299" s="290">
        <f>CHOOSE($D295,Параметры!AB$50,Параметры!AB$56,Параметры!AB$62)</f>
        <v>0.06</v>
      </c>
      <c r="AC299" s="290">
        <f>CHOOSE($D295,Параметры!AC$50,Параметры!AC$56,Параметры!AC$62)</f>
        <v>0.06</v>
      </c>
      <c r="AD299" s="290">
        <f>CHOOSE($D295,Параметры!AD$50,Параметры!AD$56,Параметры!AD$62)</f>
        <v>0.06</v>
      </c>
      <c r="AE299" s="290">
        <f>CHOOSE($D295,Параметры!AE$50,Параметры!AE$56,Параметры!AE$62)</f>
        <v>0.06</v>
      </c>
      <c r="AF299" s="290">
        <f>CHOOSE($D295,Параметры!AF$50,Параметры!AF$56,Параметры!AF$62)</f>
        <v>0.06</v>
      </c>
      <c r="AG299" s="290">
        <f>CHOOSE($D295,Параметры!AG$50,Параметры!AG$56,Параметры!AG$62)</f>
        <v>0.06</v>
      </c>
      <c r="AH299" s="290">
        <f>CHOOSE($D295,Параметры!AH$50,Параметры!AH$56,Параметры!AH$62)</f>
        <v>0.06</v>
      </c>
      <c r="AI299" s="290">
        <f>CHOOSE($D295,Параметры!AI$50,Параметры!AI$56,Параметры!AI$62)</f>
        <v>0.06</v>
      </c>
      <c r="AJ299" s="290">
        <f>CHOOSE($D295,Параметры!AJ$50,Параметры!AJ$56,Параметры!AJ$62)</f>
        <v>0.06</v>
      </c>
      <c r="AK299" s="290">
        <f>CHOOSE($D295,Параметры!AK$50,Параметры!AK$56,Параметры!AK$62)</f>
        <v>0.06</v>
      </c>
      <c r="AL299" s="290">
        <f>CHOOSE($D295,Параметры!AL$50,Параметры!AL$56,Параметры!AL$62)</f>
        <v>0.06</v>
      </c>
      <c r="AM299" s="290">
        <f>CHOOSE($D295,Параметры!AM$50,Параметры!AM$56,Параметры!AM$62)</f>
        <v>0.06</v>
      </c>
      <c r="AN299" s="290">
        <f>CHOOSE($D295,Параметры!AN$50,Параметры!AN$56,Параметры!AN$62)</f>
        <v>0.06</v>
      </c>
      <c r="AO299" s="290">
        <f>CHOOSE($D295,Параметры!AO$50,Параметры!AO$56,Параметры!AO$62)</f>
        <v>0.06</v>
      </c>
      <c r="AP299" s="290">
        <f>CHOOSE($D295,Параметры!AP$50,Параметры!AP$56,Параметры!AP$62)</f>
        <v>0.06</v>
      </c>
      <c r="AQ299" s="290">
        <f>CHOOSE($D295,Параметры!AQ$50,Параметры!AQ$56,Параметры!AQ$62)</f>
        <v>0.06</v>
      </c>
      <c r="AR299" s="290">
        <f>CHOOSE($D295,Параметры!AR$50,Параметры!AR$56,Параметры!AR$62)</f>
        <v>0.06</v>
      </c>
      <c r="AS299" s="290">
        <f>CHOOSE($D295,Параметры!AS$50,Параметры!AS$56,Параметры!AS$62)</f>
        <v>0.06</v>
      </c>
      <c r="AT299" s="290">
        <f>CHOOSE($D295,Параметры!AT$50,Параметры!AT$56,Параметры!AT$62)</f>
        <v>0.06</v>
      </c>
      <c r="AU299" s="290">
        <f>CHOOSE($D295,Параметры!AU$50,Параметры!AU$56,Параметры!AU$62)</f>
        <v>0.06</v>
      </c>
      <c r="AV299" s="290">
        <f>CHOOSE($D295,Параметры!AV$50,Параметры!AV$56,Параметры!AV$62)</f>
        <v>0.06</v>
      </c>
      <c r="AW299" s="290">
        <f>CHOOSE($D295,Параметры!AW$50,Параметры!AW$56,Параметры!AW$62)</f>
        <v>0.06</v>
      </c>
      <c r="AX299" s="290">
        <f>CHOOSE($D295,Параметры!AX$50,Параметры!AX$56,Параметры!AX$62)</f>
        <v>0.06</v>
      </c>
      <c r="AY299" s="290">
        <f>CHOOSE($D295,Параметры!AY$50,Параметры!AY$56,Параметры!AY$62)</f>
        <v>0.06</v>
      </c>
      <c r="AZ299" s="290">
        <f>CHOOSE($D295,Параметры!AZ$50,Параметры!AZ$56,Параметры!AZ$62)</f>
        <v>0.06</v>
      </c>
      <c r="BA299" s="290">
        <f>CHOOSE($D295,Параметры!BA$50,Параметры!BA$56,Параметры!BA$62)</f>
        <v>0.06</v>
      </c>
      <c r="BB299" s="290">
        <f>CHOOSE($D295,Параметры!BB$50,Параметры!BB$56,Параметры!BB$62)</f>
        <v>0.06</v>
      </c>
      <c r="BC299" s="190"/>
      <c r="BD299" s="186"/>
    </row>
    <row r="300" spans="1:56" ht="14.4" hidden="1" thickTop="1" x14ac:dyDescent="0.3">
      <c r="A300" s="184" t="str">
        <f ca="1">Language!A$675</f>
        <v>коэффициент прироста цен к предыдущему периоду</v>
      </c>
      <c r="B300" s="189"/>
      <c r="C300" s="163" t="str">
        <f ca="1">Language!$A$1477</f>
        <v>раз</v>
      </c>
      <c r="D300" s="174"/>
      <c r="F300" s="170" t="s">
        <v>748</v>
      </c>
      <c r="G300" s="191">
        <f ca="1">IF(G$2=1,1,IF(Prj_Inflation=1, (1+OFFSET(G299,0,-1))^(Параметры!G$30/360), 1))</f>
        <v>1</v>
      </c>
      <c r="H300" s="191">
        <f ca="1">IF(H$2=1,1,IF(Prj_Inflation=1, (1+OFFSET(H299,0,-1))^(Параметры!H$30/360), 1))</f>
        <v>1.004867550565343</v>
      </c>
      <c r="I300" s="191">
        <f ca="1">IF(I$2=1,1,IF(Prj_Inflation=1, (1+OFFSET(I299,0,-1))^(Параметры!I$30/360), 1))</f>
        <v>1.004867550565343</v>
      </c>
      <c r="J300" s="191">
        <f ca="1">IF(J$2=1,1,IF(Prj_Inflation=1, (1+OFFSET(J299,0,-1))^(Параметры!J$30/360), 1))</f>
        <v>1.004867550565343</v>
      </c>
      <c r="K300" s="191">
        <f ca="1">IF(K$2=1,1,IF(Prj_Inflation=1, (1+OFFSET(K299,0,-1))^(Параметры!K$30/360), 1))</f>
        <v>1.004867550565343</v>
      </c>
      <c r="L300" s="191">
        <f ca="1">IF(L$2=1,1,IF(Prj_Inflation=1, (1+OFFSET(L299,0,-1))^(Параметры!L$30/360), 1))</f>
        <v>1.004867550565343</v>
      </c>
      <c r="M300" s="191">
        <f ca="1">IF(M$2=1,1,IF(Prj_Inflation=1, (1+OFFSET(M299,0,-1))^(Параметры!M$30/360), 1))</f>
        <v>1.004867550565343</v>
      </c>
      <c r="N300" s="191">
        <f ca="1">IF(N$2=1,1,IF(Prj_Inflation=1, (1+OFFSET(N299,0,-1))^(Параметры!N$30/360), 1))</f>
        <v>1.004867550565343</v>
      </c>
      <c r="O300" s="191">
        <f ca="1">IF(O$2=1,1,IF(Prj_Inflation=1, (1+OFFSET(O299,0,-1))^(Параметры!O$30/360), 1))</f>
        <v>1.004867550565343</v>
      </c>
      <c r="P300" s="191">
        <f ca="1">IF(P$2=1,1,IF(Prj_Inflation=1, (1+OFFSET(P299,0,-1))^(Параметры!P$30/360), 1))</f>
        <v>1.004867550565343</v>
      </c>
      <c r="Q300" s="191">
        <f ca="1">IF(Q$2=1,1,IF(Prj_Inflation=1, (1+OFFSET(Q299,0,-1))^(Параметры!Q$30/360), 1))</f>
        <v>1.004867550565343</v>
      </c>
      <c r="R300" s="191">
        <f ca="1">IF(R$2=1,1,IF(Prj_Inflation=1, (1+OFFSET(R299,0,-1))^(Параметры!R$30/360), 1))</f>
        <v>1.004867550565343</v>
      </c>
      <c r="S300" s="191">
        <f ca="1">IF(S$2=1,1,IF(Prj_Inflation=1, (1+OFFSET(S299,0,-1))^(Параметры!S$30/360), 1))</f>
        <v>1.004867550565343</v>
      </c>
      <c r="T300" s="191">
        <f ca="1">IF(T$2=1,1,IF(Prj_Inflation=1, (1+OFFSET(T299,0,-1))^(Параметры!T$30/360), 1))</f>
        <v>1.004867550565343</v>
      </c>
      <c r="U300" s="191">
        <f ca="1">IF(U$2=1,1,IF(Prj_Inflation=1, (1+OFFSET(U299,0,-1))^(Параметры!U$30/360), 1))</f>
        <v>1.004867550565343</v>
      </c>
      <c r="V300" s="191">
        <f ca="1">IF(V$2=1,1,IF(Prj_Inflation=1, (1+OFFSET(V299,0,-1))^(Параметры!V$30/360), 1))</f>
        <v>1.004867550565343</v>
      </c>
      <c r="W300" s="191">
        <f ca="1">IF(W$2=1,1,IF(Prj_Inflation=1, (1+OFFSET(W299,0,-1))^(Параметры!W$30/360), 1))</f>
        <v>1.004867550565343</v>
      </c>
      <c r="X300" s="191">
        <f ca="1">IF(X$2=1,1,IF(Prj_Inflation=1, (1+OFFSET(X299,0,-1))^(Параметры!X$30/360), 1))</f>
        <v>1.004867550565343</v>
      </c>
      <c r="Y300" s="191">
        <f ca="1">IF(Y$2=1,1,IF(Prj_Inflation=1, (1+OFFSET(Y299,0,-1))^(Параметры!Y$30/360), 1))</f>
        <v>1.004867550565343</v>
      </c>
      <c r="Z300" s="191">
        <f ca="1">IF(Z$2=1,1,IF(Prj_Inflation=1, (1+OFFSET(Z299,0,-1))^(Параметры!Z$30/360), 1))</f>
        <v>1.004867550565343</v>
      </c>
      <c r="AA300" s="191">
        <f ca="1">IF(AA$2=1,1,IF(Prj_Inflation=1, (1+OFFSET(AA299,0,-1))^(Параметры!AA$30/360), 1))</f>
        <v>1.004867550565343</v>
      </c>
      <c r="AB300" s="191">
        <f ca="1">IF(AB$2=1,1,IF(Prj_Inflation=1, (1+OFFSET(AB299,0,-1))^(Параметры!AB$30/360), 1))</f>
        <v>1.004867550565343</v>
      </c>
      <c r="AC300" s="191">
        <f ca="1">IF(AC$2=1,1,IF(Prj_Inflation=1, (1+OFFSET(AC299,0,-1))^(Параметры!AC$30/360), 1))</f>
        <v>1.004867550565343</v>
      </c>
      <c r="AD300" s="191">
        <f ca="1">IF(AD$2=1,1,IF(Prj_Inflation=1, (1+OFFSET(AD299,0,-1))^(Параметры!AD$30/360), 1))</f>
        <v>1.004867550565343</v>
      </c>
      <c r="AE300" s="191">
        <f ca="1">IF(AE$2=1,1,IF(Prj_Inflation=1, (1+OFFSET(AE299,0,-1))^(Параметры!AE$30/360), 1))</f>
        <v>1.004867550565343</v>
      </c>
      <c r="AF300" s="191">
        <f ca="1">IF(AF$2=1,1,IF(Prj_Inflation=1, (1+OFFSET(AF299,0,-1))^(Параметры!AF$30/360), 1))</f>
        <v>1.004867550565343</v>
      </c>
      <c r="AG300" s="191">
        <f ca="1">IF(AG$2=1,1,IF(Prj_Inflation=1, (1+OFFSET(AG299,0,-1))^(Параметры!AG$30/360), 1))</f>
        <v>1.004867550565343</v>
      </c>
      <c r="AH300" s="191">
        <f ca="1">IF(AH$2=1,1,IF(Prj_Inflation=1, (1+OFFSET(AH299,0,-1))^(Параметры!AH$30/360), 1))</f>
        <v>1.004867550565343</v>
      </c>
      <c r="AI300" s="191">
        <f ca="1">IF(AI$2=1,1,IF(Prj_Inflation=1, (1+OFFSET(AI299,0,-1))^(Параметры!AI$30/360), 1))</f>
        <v>1.004867550565343</v>
      </c>
      <c r="AJ300" s="191">
        <f ca="1">IF(AJ$2=1,1,IF(Prj_Inflation=1, (1+OFFSET(AJ299,0,-1))^(Параметры!AJ$30/360), 1))</f>
        <v>1.004867550565343</v>
      </c>
      <c r="AK300" s="191">
        <f ca="1">IF(AK$2=1,1,IF(Prj_Inflation=1, (1+OFFSET(AK299,0,-1))^(Параметры!AK$30/360), 1))</f>
        <v>1.004867550565343</v>
      </c>
      <c r="AL300" s="191">
        <f ca="1">IF(AL$2=1,1,IF(Prj_Inflation=1, (1+OFFSET(AL299,0,-1))^(Параметры!AL$30/360), 1))</f>
        <v>1.004867550565343</v>
      </c>
      <c r="AM300" s="191">
        <f ca="1">IF(AM$2=1,1,IF(Prj_Inflation=1, (1+OFFSET(AM299,0,-1))^(Параметры!AM$30/360), 1))</f>
        <v>1.004867550565343</v>
      </c>
      <c r="AN300" s="191">
        <f ca="1">IF(AN$2=1,1,IF(Prj_Inflation=1, (1+OFFSET(AN299,0,-1))^(Параметры!AN$30/360), 1))</f>
        <v>1.004867550565343</v>
      </c>
      <c r="AO300" s="191">
        <f ca="1">IF(AO$2=1,1,IF(Prj_Inflation=1, (1+OFFSET(AO299,0,-1))^(Параметры!AO$30/360), 1))</f>
        <v>1.004867550565343</v>
      </c>
      <c r="AP300" s="191">
        <f ca="1">IF(AP$2=1,1,IF(Prj_Inflation=1, (1+OFFSET(AP299,0,-1))^(Параметры!AP$30/360), 1))</f>
        <v>1.004867550565343</v>
      </c>
      <c r="AQ300" s="191">
        <f ca="1">IF(AQ$2=1,1,IF(Prj_Inflation=1, (1+OFFSET(AQ299,0,-1))^(Параметры!AQ$30/360), 1))</f>
        <v>1.004867550565343</v>
      </c>
      <c r="AR300" s="191">
        <f ca="1">IF(AR$2=1,1,IF(Prj_Inflation=1, (1+OFFSET(AR299,0,-1))^(Параметры!AR$30/360), 1))</f>
        <v>1.004867550565343</v>
      </c>
      <c r="AS300" s="191">
        <f ca="1">IF(AS$2=1,1,IF(Prj_Inflation=1, (1+OFFSET(AS299,0,-1))^(Параметры!AS$30/360), 1))</f>
        <v>1.004867550565343</v>
      </c>
      <c r="AT300" s="191">
        <f ca="1">IF(AT$2=1,1,IF(Prj_Inflation=1, (1+OFFSET(AT299,0,-1))^(Параметры!AT$30/360), 1))</f>
        <v>1.004867550565343</v>
      </c>
      <c r="AU300" s="191">
        <f ca="1">IF(AU$2=1,1,IF(Prj_Inflation=1, (1+OFFSET(AU299,0,-1))^(Параметры!AU$30/360), 1))</f>
        <v>1.004867550565343</v>
      </c>
      <c r="AV300" s="191">
        <f ca="1">IF(AV$2=1,1,IF(Prj_Inflation=1, (1+OFFSET(AV299,0,-1))^(Параметры!AV$30/360), 1))</f>
        <v>1.004867550565343</v>
      </c>
      <c r="AW300" s="191">
        <f ca="1">IF(AW$2=1,1,IF(Prj_Inflation=1, (1+OFFSET(AW299,0,-1))^(Параметры!AW$30/360), 1))</f>
        <v>1.004867550565343</v>
      </c>
      <c r="AX300" s="191">
        <f ca="1">IF(AX$2=1,1,IF(Prj_Inflation=1, (1+OFFSET(AX299,0,-1))^(Параметры!AX$30/360), 1))</f>
        <v>1.004867550565343</v>
      </c>
      <c r="AY300" s="191">
        <f ca="1">IF(AY$2=1,1,IF(Prj_Inflation=1, (1+OFFSET(AY299,0,-1))^(Параметры!AY$30/360), 1))</f>
        <v>1.004867550565343</v>
      </c>
      <c r="AZ300" s="191">
        <f ca="1">IF(AZ$2=1,1,IF(Prj_Inflation=1, (1+OFFSET(AZ299,0,-1))^(Параметры!AZ$30/360), 1))</f>
        <v>1.004867550565343</v>
      </c>
      <c r="BA300" s="191">
        <f ca="1">IF(BA$2=1,1,IF(Prj_Inflation=1, (1+OFFSET(BA299,0,-1))^(Параметры!BA$30/360), 1))</f>
        <v>1.004867550565343</v>
      </c>
      <c r="BB300" s="191">
        <f ca="1">IF(BB$2=1,1,IF(Prj_Inflation=1, (1+OFFSET(BB299,0,-1))^(Параметры!BB$30/360), 1))</f>
        <v>1.004867550565343</v>
      </c>
      <c r="BC300" s="191"/>
      <c r="BD300" s="186"/>
    </row>
    <row r="301" spans="1:56" ht="14.4" hidden="1" thickTop="1" x14ac:dyDescent="0.3">
      <c r="A301" s="184" t="str">
        <f ca="1">Language!A$1486</f>
        <v>индексировать в начале года</v>
      </c>
      <c r="B301" s="291">
        <v>0</v>
      </c>
      <c r="C301" s="163" t="str">
        <f ca="1">IF(B301=1,Language!$A$1475,Language!$A$1476)</f>
        <v>Нет</v>
      </c>
      <c r="D301" s="174"/>
      <c r="F301" s="170" t="s">
        <v>2345</v>
      </c>
      <c r="G301" s="192" t="str">
        <f ca="1">IF(Prj_Inflation=1,IF($B301=1,IF(G$2=1,1,IF(Параметры!G$29=1,1+OFFSET(G299,0,-1),1)),"-"),1)</f>
        <v>-</v>
      </c>
      <c r="H301" s="192" t="str">
        <f ca="1">IF(Prj_Inflation=1,IF($B301=1,IF(H$2=1,1,IF(Параметры!H$29=1,1+OFFSET(H299,0,-1),1)),"-"),1)</f>
        <v>-</v>
      </c>
      <c r="I301" s="192" t="str">
        <f ca="1">IF(Prj_Inflation=1,IF($B301=1,IF(I$2=1,1,IF(Параметры!I$29=1,1+OFFSET(I299,0,-1),1)),"-"),1)</f>
        <v>-</v>
      </c>
      <c r="J301" s="192" t="str">
        <f ca="1">IF(Prj_Inflation=1,IF($B301=1,IF(J$2=1,1,IF(Параметры!J$29=1,1+OFFSET(J299,0,-1),1)),"-"),1)</f>
        <v>-</v>
      </c>
      <c r="K301" s="192" t="str">
        <f ca="1">IF(Prj_Inflation=1,IF($B301=1,IF(K$2=1,1,IF(Параметры!K$29=1,1+OFFSET(K299,0,-1),1)),"-"),1)</f>
        <v>-</v>
      </c>
      <c r="L301" s="192" t="str">
        <f ca="1">IF(Prj_Inflation=1,IF($B301=1,IF(L$2=1,1,IF(Параметры!L$29=1,1+OFFSET(L299,0,-1),1)),"-"),1)</f>
        <v>-</v>
      </c>
      <c r="M301" s="192" t="str">
        <f ca="1">IF(Prj_Inflation=1,IF($B301=1,IF(M$2=1,1,IF(Параметры!M$29=1,1+OFFSET(M299,0,-1),1)),"-"),1)</f>
        <v>-</v>
      </c>
      <c r="N301" s="192" t="str">
        <f ca="1">IF(Prj_Inflation=1,IF($B301=1,IF(N$2=1,1,IF(Параметры!N$29=1,1+OFFSET(N299,0,-1),1)),"-"),1)</f>
        <v>-</v>
      </c>
      <c r="O301" s="192" t="str">
        <f ca="1">IF(Prj_Inflation=1,IF($B301=1,IF(O$2=1,1,IF(Параметры!O$29=1,1+OFFSET(O299,0,-1),1)),"-"),1)</f>
        <v>-</v>
      </c>
      <c r="P301" s="192" t="str">
        <f ca="1">IF(Prj_Inflation=1,IF($B301=1,IF(P$2=1,1,IF(Параметры!P$29=1,1+OFFSET(P299,0,-1),1)),"-"),1)</f>
        <v>-</v>
      </c>
      <c r="Q301" s="192" t="str">
        <f ca="1">IF(Prj_Inflation=1,IF($B301=1,IF(Q$2=1,1,IF(Параметры!Q$29=1,1+OFFSET(Q299,0,-1),1)),"-"),1)</f>
        <v>-</v>
      </c>
      <c r="R301" s="192" t="str">
        <f ca="1">IF(Prj_Inflation=1,IF($B301=1,IF(R$2=1,1,IF(Параметры!R$29=1,1+OFFSET(R299,0,-1),1)),"-"),1)</f>
        <v>-</v>
      </c>
      <c r="S301" s="192" t="str">
        <f ca="1">IF(Prj_Inflation=1,IF($B301=1,IF(S$2=1,1,IF(Параметры!S$29=1,1+OFFSET(S299,0,-1),1)),"-"),1)</f>
        <v>-</v>
      </c>
      <c r="T301" s="192" t="str">
        <f ca="1">IF(Prj_Inflation=1,IF($B301=1,IF(T$2=1,1,IF(Параметры!T$29=1,1+OFFSET(T299,0,-1),1)),"-"),1)</f>
        <v>-</v>
      </c>
      <c r="U301" s="192" t="str">
        <f ca="1">IF(Prj_Inflation=1,IF($B301=1,IF(U$2=1,1,IF(Параметры!U$29=1,1+OFFSET(U299,0,-1),1)),"-"),1)</f>
        <v>-</v>
      </c>
      <c r="V301" s="192" t="str">
        <f ca="1">IF(Prj_Inflation=1,IF($B301=1,IF(V$2=1,1,IF(Параметры!V$29=1,1+OFFSET(V299,0,-1),1)),"-"),1)</f>
        <v>-</v>
      </c>
      <c r="W301" s="192" t="str">
        <f ca="1">IF(Prj_Inflation=1,IF($B301=1,IF(W$2=1,1,IF(Параметры!W$29=1,1+OFFSET(W299,0,-1),1)),"-"),1)</f>
        <v>-</v>
      </c>
      <c r="X301" s="192" t="str">
        <f ca="1">IF(Prj_Inflation=1,IF($B301=1,IF(X$2=1,1,IF(Параметры!X$29=1,1+OFFSET(X299,0,-1),1)),"-"),1)</f>
        <v>-</v>
      </c>
      <c r="Y301" s="192" t="str">
        <f ca="1">IF(Prj_Inflation=1,IF($B301=1,IF(Y$2=1,1,IF(Параметры!Y$29=1,1+OFFSET(Y299,0,-1),1)),"-"),1)</f>
        <v>-</v>
      </c>
      <c r="Z301" s="192" t="str">
        <f ca="1">IF(Prj_Inflation=1,IF($B301=1,IF(Z$2=1,1,IF(Параметры!Z$29=1,1+OFFSET(Z299,0,-1),1)),"-"),1)</f>
        <v>-</v>
      </c>
      <c r="AA301" s="192" t="str">
        <f ca="1">IF(Prj_Inflation=1,IF($B301=1,IF(AA$2=1,1,IF(Параметры!AA$29=1,1+OFFSET(AA299,0,-1),1)),"-"),1)</f>
        <v>-</v>
      </c>
      <c r="AB301" s="192" t="str">
        <f ca="1">IF(Prj_Inflation=1,IF($B301=1,IF(AB$2=1,1,IF(Параметры!AB$29=1,1+OFFSET(AB299,0,-1),1)),"-"),1)</f>
        <v>-</v>
      </c>
      <c r="AC301" s="192" t="str">
        <f ca="1">IF(Prj_Inflation=1,IF($B301=1,IF(AC$2=1,1,IF(Параметры!AC$29=1,1+OFFSET(AC299,0,-1),1)),"-"),1)</f>
        <v>-</v>
      </c>
      <c r="AD301" s="192" t="str">
        <f ca="1">IF(Prj_Inflation=1,IF($B301=1,IF(AD$2=1,1,IF(Параметры!AD$29=1,1+OFFSET(AD299,0,-1),1)),"-"),1)</f>
        <v>-</v>
      </c>
      <c r="AE301" s="192" t="str">
        <f ca="1">IF(Prj_Inflation=1,IF($B301=1,IF(AE$2=1,1,IF(Параметры!AE$29=1,1+OFFSET(AE299,0,-1),1)),"-"),1)</f>
        <v>-</v>
      </c>
      <c r="AF301" s="192" t="str">
        <f ca="1">IF(Prj_Inflation=1,IF($B301=1,IF(AF$2=1,1,IF(Параметры!AF$29=1,1+OFFSET(AF299,0,-1),1)),"-"),1)</f>
        <v>-</v>
      </c>
      <c r="AG301" s="192" t="str">
        <f ca="1">IF(Prj_Inflation=1,IF($B301=1,IF(AG$2=1,1,IF(Параметры!AG$29=1,1+OFFSET(AG299,0,-1),1)),"-"),1)</f>
        <v>-</v>
      </c>
      <c r="AH301" s="192" t="str">
        <f ca="1">IF(Prj_Inflation=1,IF($B301=1,IF(AH$2=1,1,IF(Параметры!AH$29=1,1+OFFSET(AH299,0,-1),1)),"-"),1)</f>
        <v>-</v>
      </c>
      <c r="AI301" s="192" t="str">
        <f ca="1">IF(Prj_Inflation=1,IF($B301=1,IF(AI$2=1,1,IF(Параметры!AI$29=1,1+OFFSET(AI299,0,-1),1)),"-"),1)</f>
        <v>-</v>
      </c>
      <c r="AJ301" s="192" t="str">
        <f ca="1">IF(Prj_Inflation=1,IF($B301=1,IF(AJ$2=1,1,IF(Параметры!AJ$29=1,1+OFFSET(AJ299,0,-1),1)),"-"),1)</f>
        <v>-</v>
      </c>
      <c r="AK301" s="192" t="str">
        <f ca="1">IF(Prj_Inflation=1,IF($B301=1,IF(AK$2=1,1,IF(Параметры!AK$29=1,1+OFFSET(AK299,0,-1),1)),"-"),1)</f>
        <v>-</v>
      </c>
      <c r="AL301" s="192" t="str">
        <f ca="1">IF(Prj_Inflation=1,IF($B301=1,IF(AL$2=1,1,IF(Параметры!AL$29=1,1+OFFSET(AL299,0,-1),1)),"-"),1)</f>
        <v>-</v>
      </c>
      <c r="AM301" s="192" t="str">
        <f ca="1">IF(Prj_Inflation=1,IF($B301=1,IF(AM$2=1,1,IF(Параметры!AM$29=1,1+OFFSET(AM299,0,-1),1)),"-"),1)</f>
        <v>-</v>
      </c>
      <c r="AN301" s="192" t="str">
        <f ca="1">IF(Prj_Inflation=1,IF($B301=1,IF(AN$2=1,1,IF(Параметры!AN$29=1,1+OFFSET(AN299,0,-1),1)),"-"),1)</f>
        <v>-</v>
      </c>
      <c r="AO301" s="192" t="str">
        <f ca="1">IF(Prj_Inflation=1,IF($B301=1,IF(AO$2=1,1,IF(Параметры!AO$29=1,1+OFFSET(AO299,0,-1),1)),"-"),1)</f>
        <v>-</v>
      </c>
      <c r="AP301" s="192" t="str">
        <f ca="1">IF(Prj_Inflation=1,IF($B301=1,IF(AP$2=1,1,IF(Параметры!AP$29=1,1+OFFSET(AP299,0,-1),1)),"-"),1)</f>
        <v>-</v>
      </c>
      <c r="AQ301" s="192" t="str">
        <f ca="1">IF(Prj_Inflation=1,IF($B301=1,IF(AQ$2=1,1,IF(Параметры!AQ$29=1,1+OFFSET(AQ299,0,-1),1)),"-"),1)</f>
        <v>-</v>
      </c>
      <c r="AR301" s="192" t="str">
        <f ca="1">IF(Prj_Inflation=1,IF($B301=1,IF(AR$2=1,1,IF(Параметры!AR$29=1,1+OFFSET(AR299,0,-1),1)),"-"),1)</f>
        <v>-</v>
      </c>
      <c r="AS301" s="192" t="str">
        <f ca="1">IF(Prj_Inflation=1,IF($B301=1,IF(AS$2=1,1,IF(Параметры!AS$29=1,1+OFFSET(AS299,0,-1),1)),"-"),1)</f>
        <v>-</v>
      </c>
      <c r="AT301" s="192" t="str">
        <f ca="1">IF(Prj_Inflation=1,IF($B301=1,IF(AT$2=1,1,IF(Параметры!AT$29=1,1+OFFSET(AT299,0,-1),1)),"-"),1)</f>
        <v>-</v>
      </c>
      <c r="AU301" s="192" t="str">
        <f ca="1">IF(Prj_Inflation=1,IF($B301=1,IF(AU$2=1,1,IF(Параметры!AU$29=1,1+OFFSET(AU299,0,-1),1)),"-"),1)</f>
        <v>-</v>
      </c>
      <c r="AV301" s="192" t="str">
        <f ca="1">IF(Prj_Inflation=1,IF($B301=1,IF(AV$2=1,1,IF(Параметры!AV$29=1,1+OFFSET(AV299,0,-1),1)),"-"),1)</f>
        <v>-</v>
      </c>
      <c r="AW301" s="192" t="str">
        <f ca="1">IF(Prj_Inflation=1,IF($B301=1,IF(AW$2=1,1,IF(Параметры!AW$29=1,1+OFFSET(AW299,0,-1),1)),"-"),1)</f>
        <v>-</v>
      </c>
      <c r="AX301" s="192" t="str">
        <f ca="1">IF(Prj_Inflation=1,IF($B301=1,IF(AX$2=1,1,IF(Параметры!AX$29=1,1+OFFSET(AX299,0,-1),1)),"-"),1)</f>
        <v>-</v>
      </c>
      <c r="AY301" s="192" t="str">
        <f ca="1">IF(Prj_Inflation=1,IF($B301=1,IF(AY$2=1,1,IF(Параметры!AY$29=1,1+OFFSET(AY299,0,-1),1)),"-"),1)</f>
        <v>-</v>
      </c>
      <c r="AZ301" s="192" t="str">
        <f ca="1">IF(Prj_Inflation=1,IF($B301=1,IF(AZ$2=1,1,IF(Параметры!AZ$29=1,1+OFFSET(AZ299,0,-1),1)),"-"),1)</f>
        <v>-</v>
      </c>
      <c r="BA301" s="192" t="str">
        <f ca="1">IF(Prj_Inflation=1,IF($B301=1,IF(BA$2=1,1,IF(Параметры!BA$29=1,1+OFFSET(BA299,0,-1),1)),"-"),1)</f>
        <v>-</v>
      </c>
      <c r="BB301" s="192" t="str">
        <f ca="1">IF(Prj_Inflation=1,IF($B301=1,IF(BB$2=1,1,IF(Параметры!BB$29=1,1+OFFSET(BB299,0,-1),1)),"-"),1)</f>
        <v>-</v>
      </c>
      <c r="BC301" s="191"/>
      <c r="BD301" s="186"/>
    </row>
    <row r="302" spans="1:56" ht="14.4" hidden="1" thickTop="1" x14ac:dyDescent="0.3">
      <c r="A302" s="184" t="str">
        <f ca="1">Language!A$704</f>
        <v>социальные взносы</v>
      </c>
      <c r="B302" s="189"/>
      <c r="C302" s="163" t="str">
        <f ca="1">CHOOSE(D302,CurName1,CurName2,CurName3)</f>
        <v>руб.</v>
      </c>
      <c r="D302" s="174">
        <f>D295</f>
        <v>1</v>
      </c>
      <c r="E302" s="170" t="s">
        <v>1459</v>
      </c>
      <c r="F302" s="170" t="s">
        <v>743</v>
      </c>
      <c r="G302" s="185">
        <f ca="1">G298*Параметры!G$91</f>
        <v>0</v>
      </c>
      <c r="H302" s="185">
        <f ca="1">H298*Параметры!H$91</f>
        <v>0</v>
      </c>
      <c r="I302" s="185">
        <f ca="1">I298*Параметры!I$91</f>
        <v>0</v>
      </c>
      <c r="J302" s="185">
        <f ca="1">J298*Параметры!J$91</f>
        <v>0</v>
      </c>
      <c r="K302" s="185">
        <f ca="1">K298*Параметры!K$91</f>
        <v>0</v>
      </c>
      <c r="L302" s="185">
        <f ca="1">L298*Параметры!L$91</f>
        <v>0</v>
      </c>
      <c r="M302" s="185">
        <f ca="1">M298*Параметры!M$91</f>
        <v>0</v>
      </c>
      <c r="N302" s="185">
        <f ca="1">N298*Параметры!N$91</f>
        <v>0</v>
      </c>
      <c r="O302" s="185">
        <f ca="1">O298*Параметры!O$91</f>
        <v>0</v>
      </c>
      <c r="P302" s="185">
        <f ca="1">P298*Параметры!P$91</f>
        <v>0</v>
      </c>
      <c r="Q302" s="185">
        <f ca="1">Q298*Параметры!Q$91</f>
        <v>0</v>
      </c>
      <c r="R302" s="185">
        <f ca="1">R298*Параметры!R$91</f>
        <v>0</v>
      </c>
      <c r="S302" s="185">
        <f ca="1">S298*Параметры!S$91</f>
        <v>0</v>
      </c>
      <c r="T302" s="185">
        <f ca="1">T298*Параметры!T$91</f>
        <v>0</v>
      </c>
      <c r="U302" s="185">
        <f ca="1">U298*Параметры!U$91</f>
        <v>0</v>
      </c>
      <c r="V302" s="185">
        <f ca="1">V298*Параметры!V$91</f>
        <v>0</v>
      </c>
      <c r="W302" s="185">
        <f ca="1">W298*Параметры!W$91</f>
        <v>0</v>
      </c>
      <c r="X302" s="185">
        <f ca="1">X298*Параметры!X$91</f>
        <v>0</v>
      </c>
      <c r="Y302" s="185">
        <f ca="1">Y298*Параметры!Y$91</f>
        <v>0</v>
      </c>
      <c r="Z302" s="185">
        <f ca="1">Z298*Параметры!Z$91</f>
        <v>0</v>
      </c>
      <c r="AA302" s="185">
        <f ca="1">AA298*Параметры!AA$91</f>
        <v>0</v>
      </c>
      <c r="AB302" s="185">
        <f ca="1">AB298*Параметры!AB$91</f>
        <v>0</v>
      </c>
      <c r="AC302" s="185">
        <f ca="1">AC298*Параметры!AC$91</f>
        <v>0</v>
      </c>
      <c r="AD302" s="185">
        <f ca="1">AD298*Параметры!AD$91</f>
        <v>0</v>
      </c>
      <c r="AE302" s="185">
        <f ca="1">AE298*Параметры!AE$91</f>
        <v>0</v>
      </c>
      <c r="AF302" s="185">
        <f ca="1">AF298*Параметры!AF$91</f>
        <v>0</v>
      </c>
      <c r="AG302" s="185">
        <f ca="1">AG298*Параметры!AG$91</f>
        <v>0</v>
      </c>
      <c r="AH302" s="185">
        <f ca="1">AH298*Параметры!AH$91</f>
        <v>0</v>
      </c>
      <c r="AI302" s="185">
        <f ca="1">AI298*Параметры!AI$91</f>
        <v>0</v>
      </c>
      <c r="AJ302" s="185">
        <f ca="1">AJ298*Параметры!AJ$91</f>
        <v>0</v>
      </c>
      <c r="AK302" s="185">
        <f ca="1">AK298*Параметры!AK$91</f>
        <v>0</v>
      </c>
      <c r="AL302" s="185">
        <f ca="1">AL298*Параметры!AL$91</f>
        <v>0</v>
      </c>
      <c r="AM302" s="185">
        <f ca="1">AM298*Параметры!AM$91</f>
        <v>0</v>
      </c>
      <c r="AN302" s="185">
        <f ca="1">AN298*Параметры!AN$91</f>
        <v>0</v>
      </c>
      <c r="AO302" s="185">
        <f ca="1">AO298*Параметры!AO$91</f>
        <v>0</v>
      </c>
      <c r="AP302" s="185">
        <f ca="1">AP298*Параметры!AP$91</f>
        <v>0</v>
      </c>
      <c r="AQ302" s="185">
        <f ca="1">AQ298*Параметры!AQ$91</f>
        <v>0</v>
      </c>
      <c r="AR302" s="185">
        <f ca="1">AR298*Параметры!AR$91</f>
        <v>0</v>
      </c>
      <c r="AS302" s="185">
        <f ca="1">AS298*Параметры!AS$91</f>
        <v>0</v>
      </c>
      <c r="AT302" s="185">
        <f ca="1">AT298*Параметры!AT$91</f>
        <v>0</v>
      </c>
      <c r="AU302" s="185">
        <f ca="1">AU298*Параметры!AU$91</f>
        <v>0</v>
      </c>
      <c r="AV302" s="185">
        <f ca="1">AV298*Параметры!AV$91</f>
        <v>0</v>
      </c>
      <c r="AW302" s="185">
        <f ca="1">AW298*Параметры!AW$91</f>
        <v>0</v>
      </c>
      <c r="AX302" s="185">
        <f ca="1">AX298*Параметры!AX$91</f>
        <v>0</v>
      </c>
      <c r="AY302" s="185">
        <f ca="1">AY298*Параметры!AY$91</f>
        <v>0</v>
      </c>
      <c r="AZ302" s="185">
        <f ca="1">AZ298*Параметры!AZ$91</f>
        <v>0</v>
      </c>
      <c r="BA302" s="185">
        <f ca="1">BA298*Параметры!BA$91</f>
        <v>0</v>
      </c>
      <c r="BB302" s="185">
        <f ca="1">BB298*Параметры!BB$91</f>
        <v>0</v>
      </c>
      <c r="BC302" s="185"/>
      <c r="BD302" s="193">
        <f ca="1">SUM(G302:BC302)</f>
        <v>0</v>
      </c>
    </row>
    <row r="303" spans="1:56" s="173" customFormat="1" ht="14.4" hidden="1" thickTop="1" x14ac:dyDescent="0.3">
      <c r="A303" s="181" t="str">
        <f ca="1">Language!A$1513</f>
        <v>затраты на персонал, с соц. взносами</v>
      </c>
      <c r="B303" s="205"/>
      <c r="C303" s="176" t="str">
        <f ca="1">CHOOSE(D303,CurName1,CurName2,CurName3)</f>
        <v>руб.</v>
      </c>
      <c r="D303" s="174">
        <f>D295</f>
        <v>1</v>
      </c>
      <c r="E303" s="170" t="s">
        <v>2312</v>
      </c>
      <c r="F303" s="170" t="s">
        <v>743</v>
      </c>
      <c r="G303" s="182">
        <f ca="1">G298+G302</f>
        <v>0</v>
      </c>
      <c r="H303" s="182">
        <f t="shared" ref="H303" ca="1" si="1416">H298+H302</f>
        <v>0</v>
      </c>
      <c r="I303" s="182">
        <f t="shared" ref="I303" ca="1" si="1417">I298+I302</f>
        <v>0</v>
      </c>
      <c r="J303" s="182">
        <f t="shared" ref="J303" ca="1" si="1418">J298+J302</f>
        <v>0</v>
      </c>
      <c r="K303" s="182">
        <f t="shared" ref="K303:L303" ca="1" si="1419">K298+K302</f>
        <v>0</v>
      </c>
      <c r="L303" s="182">
        <f t="shared" ca="1" si="1419"/>
        <v>0</v>
      </c>
      <c r="M303" s="182">
        <f t="shared" ref="M303:N303" ca="1" si="1420">M298+M302</f>
        <v>0</v>
      </c>
      <c r="N303" s="182">
        <f t="shared" ca="1" si="1420"/>
        <v>0</v>
      </c>
      <c r="O303" s="182">
        <f t="shared" ref="O303:P303" ca="1" si="1421">O298+O302</f>
        <v>0</v>
      </c>
      <c r="P303" s="182">
        <f t="shared" ca="1" si="1421"/>
        <v>0</v>
      </c>
      <c r="Q303" s="182">
        <f t="shared" ref="Q303:R303" ca="1" si="1422">Q298+Q302</f>
        <v>0</v>
      </c>
      <c r="R303" s="182">
        <f t="shared" ca="1" si="1422"/>
        <v>0</v>
      </c>
      <c r="S303" s="182">
        <f t="shared" ref="S303:T303" ca="1" si="1423">S298+S302</f>
        <v>0</v>
      </c>
      <c r="T303" s="182">
        <f t="shared" ca="1" si="1423"/>
        <v>0</v>
      </c>
      <c r="U303" s="182">
        <f t="shared" ref="U303:V303" ca="1" si="1424">U298+U302</f>
        <v>0</v>
      </c>
      <c r="V303" s="182">
        <f t="shared" ca="1" si="1424"/>
        <v>0</v>
      </c>
      <c r="W303" s="182">
        <f t="shared" ref="W303:X303" ca="1" si="1425">W298+W302</f>
        <v>0</v>
      </c>
      <c r="X303" s="182">
        <f t="shared" ca="1" si="1425"/>
        <v>0</v>
      </c>
      <c r="Y303" s="182">
        <f t="shared" ref="Y303:Z303" ca="1" si="1426">Y298+Y302</f>
        <v>0</v>
      </c>
      <c r="Z303" s="182">
        <f t="shared" ca="1" si="1426"/>
        <v>0</v>
      </c>
      <c r="AA303" s="182">
        <f t="shared" ref="AA303:AB303" ca="1" si="1427">AA298+AA302</f>
        <v>0</v>
      </c>
      <c r="AB303" s="182">
        <f t="shared" ca="1" si="1427"/>
        <v>0</v>
      </c>
      <c r="AC303" s="182">
        <f t="shared" ref="AC303:AD303" ca="1" si="1428">AC298+AC302</f>
        <v>0</v>
      </c>
      <c r="AD303" s="182">
        <f t="shared" ca="1" si="1428"/>
        <v>0</v>
      </c>
      <c r="AE303" s="182">
        <f t="shared" ref="AE303:AF303" ca="1" si="1429">AE298+AE302</f>
        <v>0</v>
      </c>
      <c r="AF303" s="182">
        <f t="shared" ca="1" si="1429"/>
        <v>0</v>
      </c>
      <c r="AG303" s="182">
        <f t="shared" ref="AG303:AH303" ca="1" si="1430">AG298+AG302</f>
        <v>0</v>
      </c>
      <c r="AH303" s="182">
        <f t="shared" ca="1" si="1430"/>
        <v>0</v>
      </c>
      <c r="AI303" s="182">
        <f t="shared" ref="AI303:AJ303" ca="1" si="1431">AI298+AI302</f>
        <v>0</v>
      </c>
      <c r="AJ303" s="182">
        <f t="shared" ca="1" si="1431"/>
        <v>0</v>
      </c>
      <c r="AK303" s="182">
        <f t="shared" ref="AK303:AL303" ca="1" si="1432">AK298+AK302</f>
        <v>0</v>
      </c>
      <c r="AL303" s="182">
        <f t="shared" ca="1" si="1432"/>
        <v>0</v>
      </c>
      <c r="AM303" s="182">
        <f t="shared" ref="AM303:AN303" ca="1" si="1433">AM298+AM302</f>
        <v>0</v>
      </c>
      <c r="AN303" s="182">
        <f t="shared" ca="1" si="1433"/>
        <v>0</v>
      </c>
      <c r="AO303" s="182">
        <f t="shared" ref="AO303:AP303" ca="1" si="1434">AO298+AO302</f>
        <v>0</v>
      </c>
      <c r="AP303" s="182">
        <f t="shared" ca="1" si="1434"/>
        <v>0</v>
      </c>
      <c r="AQ303" s="182">
        <f t="shared" ref="AQ303:AR303" ca="1" si="1435">AQ298+AQ302</f>
        <v>0</v>
      </c>
      <c r="AR303" s="182">
        <f t="shared" ca="1" si="1435"/>
        <v>0</v>
      </c>
      <c r="AS303" s="182">
        <f t="shared" ref="AS303:AT303" ca="1" si="1436">AS298+AS302</f>
        <v>0</v>
      </c>
      <c r="AT303" s="182">
        <f t="shared" ca="1" si="1436"/>
        <v>0</v>
      </c>
      <c r="AU303" s="182">
        <f t="shared" ref="AU303:AV303" ca="1" si="1437">AU298+AU302</f>
        <v>0</v>
      </c>
      <c r="AV303" s="182">
        <f t="shared" ca="1" si="1437"/>
        <v>0</v>
      </c>
      <c r="AW303" s="182">
        <f t="shared" ref="AW303:AX303" ca="1" si="1438">AW298+AW302</f>
        <v>0</v>
      </c>
      <c r="AX303" s="182">
        <f t="shared" ca="1" si="1438"/>
        <v>0</v>
      </c>
      <c r="AY303" s="182">
        <f t="shared" ref="AY303:AZ303" ca="1" si="1439">AY298+AY302</f>
        <v>0</v>
      </c>
      <c r="AZ303" s="182">
        <f t="shared" ca="1" si="1439"/>
        <v>0</v>
      </c>
      <c r="BA303" s="182">
        <f t="shared" ref="BA303:BB303" ca="1" si="1440">BA298+BA302</f>
        <v>0</v>
      </c>
      <c r="BB303" s="182">
        <f t="shared" ca="1" si="1440"/>
        <v>0</v>
      </c>
      <c r="BC303" s="182"/>
      <c r="BD303" s="183">
        <f ca="1">SUM(G303:BC303)</f>
        <v>0</v>
      </c>
    </row>
    <row r="304" spans="1:56" ht="14.4" thickTop="1" x14ac:dyDescent="0.3">
      <c r="A304" s="244"/>
    </row>
    <row r="305" spans="1:56" x14ac:dyDescent="0.3">
      <c r="A305" s="207" t="str">
        <f ca="1">Language!A$707</f>
        <v>Производственный персонал</v>
      </c>
      <c r="B305" s="196"/>
      <c r="C305" s="196"/>
      <c r="D305" s="197"/>
      <c r="E305" s="197" t="s">
        <v>715</v>
      </c>
      <c r="F305" s="197" t="s">
        <v>3489</v>
      </c>
      <c r="G305" s="196"/>
      <c r="H305" s="196"/>
      <c r="I305" s="196"/>
      <c r="J305" s="196"/>
      <c r="K305" s="196"/>
      <c r="L305" s="196"/>
      <c r="M305" s="196"/>
      <c r="N305" s="196"/>
      <c r="O305" s="196"/>
      <c r="P305" s="196"/>
      <c r="Q305" s="196"/>
      <c r="R305" s="196"/>
      <c r="S305" s="196"/>
      <c r="T305" s="196"/>
      <c r="U305" s="196"/>
      <c r="V305" s="196"/>
      <c r="W305" s="196"/>
      <c r="X305" s="196"/>
      <c r="Y305" s="196"/>
      <c r="Z305" s="196"/>
      <c r="AA305" s="196"/>
      <c r="AB305" s="196"/>
      <c r="AC305" s="196"/>
      <c r="AD305" s="196"/>
      <c r="AE305" s="196"/>
      <c r="AF305" s="196"/>
      <c r="AG305" s="196"/>
      <c r="AH305" s="196"/>
      <c r="AI305" s="196"/>
      <c r="AJ305" s="196"/>
      <c r="AK305" s="196"/>
      <c r="AL305" s="196"/>
      <c r="AM305" s="196"/>
      <c r="AN305" s="196"/>
      <c r="AO305" s="196"/>
      <c r="AP305" s="196"/>
      <c r="AQ305" s="196"/>
      <c r="AR305" s="196"/>
      <c r="AS305" s="196"/>
      <c r="AT305" s="196"/>
      <c r="AU305" s="196"/>
      <c r="AV305" s="196"/>
      <c r="AW305" s="196"/>
      <c r="AX305" s="196"/>
      <c r="AY305" s="196"/>
      <c r="AZ305" s="196"/>
      <c r="BA305" s="196"/>
      <c r="BB305" s="196"/>
      <c r="BC305" s="196"/>
      <c r="BD305" s="204"/>
    </row>
    <row r="307" spans="1:56" x14ac:dyDescent="0.3">
      <c r="A307" s="376" t="s">
        <v>3444</v>
      </c>
      <c r="B307" s="205"/>
      <c r="C307" s="176"/>
      <c r="D307" s="174">
        <v>1</v>
      </c>
      <c r="F307" s="170" t="s">
        <v>3445</v>
      </c>
      <c r="G307" s="206"/>
      <c r="H307" s="206"/>
      <c r="I307" s="206"/>
      <c r="J307" s="206"/>
      <c r="K307" s="206"/>
      <c r="L307" s="206"/>
      <c r="M307" s="206"/>
      <c r="N307" s="206"/>
      <c r="O307" s="206"/>
      <c r="P307" s="206"/>
      <c r="Q307" s="206"/>
      <c r="R307" s="206"/>
      <c r="S307" s="206"/>
      <c r="T307" s="206"/>
      <c r="U307" s="206"/>
      <c r="V307" s="206"/>
      <c r="W307" s="206"/>
      <c r="X307" s="206"/>
      <c r="Y307" s="206"/>
      <c r="Z307" s="206"/>
      <c r="AA307" s="206"/>
      <c r="AB307" s="206"/>
      <c r="AC307" s="206"/>
      <c r="AD307" s="206"/>
      <c r="AE307" s="206"/>
      <c r="AF307" s="206"/>
      <c r="AG307" s="206"/>
      <c r="AH307" s="206"/>
      <c r="AI307" s="206"/>
      <c r="AJ307" s="206"/>
      <c r="AK307" s="206"/>
      <c r="AL307" s="206"/>
      <c r="AM307" s="206"/>
      <c r="AN307" s="206"/>
      <c r="AO307" s="206"/>
      <c r="AP307" s="206"/>
      <c r="AQ307" s="206"/>
      <c r="AR307" s="206"/>
      <c r="AS307" s="206"/>
      <c r="AT307" s="206"/>
      <c r="AU307" s="206"/>
      <c r="AV307" s="206"/>
      <c r="AW307" s="206"/>
      <c r="AX307" s="206"/>
      <c r="AY307" s="206"/>
      <c r="AZ307" s="206"/>
      <c r="BA307" s="206"/>
      <c r="BB307" s="206"/>
      <c r="BC307" s="206"/>
    </row>
    <row r="308" spans="1:56" x14ac:dyDescent="0.3">
      <c r="A308" s="175" t="str">
        <f ca="1">Language!A$701</f>
        <v>численность</v>
      </c>
      <c r="B308" s="295">
        <v>6</v>
      </c>
      <c r="C308" s="176" t="str">
        <f ca="1">Language!$A$1483</f>
        <v>человек</v>
      </c>
      <c r="D308" s="174"/>
      <c r="E308" s="170" t="s">
        <v>843</v>
      </c>
      <c r="F308" s="170" t="s">
        <v>745</v>
      </c>
      <c r="G308" s="296">
        <f t="shared" ref="G308:BB308" si="1441">IF(G$2&gt;Prj_Invest, $B308, 0)</f>
        <v>0</v>
      </c>
      <c r="H308" s="296">
        <f t="shared" si="1441"/>
        <v>0</v>
      </c>
      <c r="I308" s="296">
        <f t="shared" si="1441"/>
        <v>0</v>
      </c>
      <c r="J308" s="296">
        <f t="shared" si="1441"/>
        <v>0</v>
      </c>
      <c r="K308" s="296">
        <f t="shared" si="1441"/>
        <v>0</v>
      </c>
      <c r="L308" s="296">
        <f t="shared" si="1441"/>
        <v>0</v>
      </c>
      <c r="M308" s="296">
        <f t="shared" si="1441"/>
        <v>6</v>
      </c>
      <c r="N308" s="296">
        <f t="shared" si="1441"/>
        <v>6</v>
      </c>
      <c r="O308" s="296">
        <f t="shared" si="1441"/>
        <v>6</v>
      </c>
      <c r="P308" s="296">
        <f t="shared" si="1441"/>
        <v>6</v>
      </c>
      <c r="Q308" s="296">
        <f t="shared" si="1441"/>
        <v>6</v>
      </c>
      <c r="R308" s="296">
        <f t="shared" si="1441"/>
        <v>6</v>
      </c>
      <c r="S308" s="296">
        <f t="shared" si="1441"/>
        <v>6</v>
      </c>
      <c r="T308" s="296">
        <f t="shared" si="1441"/>
        <v>6</v>
      </c>
      <c r="U308" s="296">
        <f t="shared" si="1441"/>
        <v>6</v>
      </c>
      <c r="V308" s="296">
        <f t="shared" si="1441"/>
        <v>6</v>
      </c>
      <c r="W308" s="296">
        <f t="shared" si="1441"/>
        <v>6</v>
      </c>
      <c r="X308" s="296">
        <f t="shared" si="1441"/>
        <v>6</v>
      </c>
      <c r="Y308" s="296">
        <f t="shared" si="1441"/>
        <v>6</v>
      </c>
      <c r="Z308" s="296">
        <f t="shared" si="1441"/>
        <v>6</v>
      </c>
      <c r="AA308" s="296">
        <f t="shared" si="1441"/>
        <v>6</v>
      </c>
      <c r="AB308" s="296">
        <f t="shared" si="1441"/>
        <v>6</v>
      </c>
      <c r="AC308" s="296">
        <f t="shared" si="1441"/>
        <v>6</v>
      </c>
      <c r="AD308" s="296">
        <f t="shared" si="1441"/>
        <v>6</v>
      </c>
      <c r="AE308" s="296">
        <f t="shared" si="1441"/>
        <v>6</v>
      </c>
      <c r="AF308" s="296">
        <f t="shared" si="1441"/>
        <v>6</v>
      </c>
      <c r="AG308" s="296">
        <f t="shared" si="1441"/>
        <v>6</v>
      </c>
      <c r="AH308" s="296">
        <f t="shared" si="1441"/>
        <v>6</v>
      </c>
      <c r="AI308" s="296">
        <f t="shared" si="1441"/>
        <v>6</v>
      </c>
      <c r="AJ308" s="296">
        <f t="shared" si="1441"/>
        <v>6</v>
      </c>
      <c r="AK308" s="296">
        <f t="shared" si="1441"/>
        <v>6</v>
      </c>
      <c r="AL308" s="296">
        <f t="shared" si="1441"/>
        <v>6</v>
      </c>
      <c r="AM308" s="296">
        <f t="shared" si="1441"/>
        <v>6</v>
      </c>
      <c r="AN308" s="296">
        <f t="shared" si="1441"/>
        <v>6</v>
      </c>
      <c r="AO308" s="296">
        <f t="shared" si="1441"/>
        <v>6</v>
      </c>
      <c r="AP308" s="296">
        <f t="shared" si="1441"/>
        <v>6</v>
      </c>
      <c r="AQ308" s="296">
        <f t="shared" si="1441"/>
        <v>6</v>
      </c>
      <c r="AR308" s="296">
        <f t="shared" si="1441"/>
        <v>6</v>
      </c>
      <c r="AS308" s="296">
        <f t="shared" si="1441"/>
        <v>6</v>
      </c>
      <c r="AT308" s="296">
        <f t="shared" si="1441"/>
        <v>6</v>
      </c>
      <c r="AU308" s="296">
        <f t="shared" si="1441"/>
        <v>6</v>
      </c>
      <c r="AV308" s="296">
        <f t="shared" si="1441"/>
        <v>6</v>
      </c>
      <c r="AW308" s="296">
        <f t="shared" si="1441"/>
        <v>6</v>
      </c>
      <c r="AX308" s="296">
        <f t="shared" si="1441"/>
        <v>6</v>
      </c>
      <c r="AY308" s="296">
        <f t="shared" si="1441"/>
        <v>6</v>
      </c>
      <c r="AZ308" s="296">
        <f t="shared" si="1441"/>
        <v>6</v>
      </c>
      <c r="BA308" s="296">
        <f t="shared" si="1441"/>
        <v>6</v>
      </c>
      <c r="BB308" s="296">
        <f t="shared" si="1441"/>
        <v>6</v>
      </c>
      <c r="BC308" s="202"/>
    </row>
    <row r="309" spans="1:56" x14ac:dyDescent="0.3">
      <c r="A309" s="175" t="str">
        <f ca="1">Language!A$702</f>
        <v>средний оклад, в месяц</v>
      </c>
      <c r="B309" s="284">
        <v>40000</v>
      </c>
      <c r="C309" s="176" t="str">
        <f ca="1">CHOOSE(D307,CurName1,CurName2,CurName3)</f>
        <v>руб.</v>
      </c>
      <c r="E309" s="170" t="s">
        <v>844</v>
      </c>
      <c r="F309" s="170" t="s">
        <v>2346</v>
      </c>
      <c r="G309" s="285">
        <f t="shared" ref="G309" ca="1" si="1442">IF(G$2=1,$B309,F309)*IF($B313=1,G313,G312)</f>
        <v>40000</v>
      </c>
      <c r="H309" s="285">
        <f t="shared" ref="H309" ca="1" si="1443">IF(H$2=1,$B309,G309)*IF($B313=1,H313,H312)</f>
        <v>40194.702022613725</v>
      </c>
      <c r="I309" s="285">
        <f t="shared" ref="I309" ca="1" si="1444">IF(I$2=1,$B309,H309)*IF($B313=1,I313,I312)</f>
        <v>40390.351767167696</v>
      </c>
      <c r="J309" s="285">
        <f t="shared" ref="J309" ca="1" si="1445">IF(J$2=1,$B309,I309)*IF($B313=1,J313,J312)</f>
        <v>40586.953846746379</v>
      </c>
      <c r="K309" s="285">
        <f t="shared" ref="K309" ca="1" si="1446">IF(K$2=1,$B309,J309)*IF($B313=1,K313,K312)</f>
        <v>40784.512896888664</v>
      </c>
      <c r="L309" s="285">
        <f t="shared" ref="L309" ca="1" si="1447">IF(L$2=1,$B309,K309)*IF($B313=1,L313,L312)</f>
        <v>40983.033575697154</v>
      </c>
      <c r="M309" s="285">
        <f t="shared" ref="M309" ca="1" si="1448">IF(M$2=1,$B309,L309)*IF($B313=1,M313,M312)</f>
        <v>41182.520563948012</v>
      </c>
      <c r="N309" s="285">
        <f t="shared" ref="N309" ca="1" si="1449">IF(N$2=1,$B309,M309)*IF($B313=1,N313,N312)</f>
        <v>41382.978565201309</v>
      </c>
      <c r="O309" s="285">
        <f t="shared" ref="O309" ca="1" si="1450">IF(O$2=1,$B309,N309)*IF($B313=1,O313,O312)</f>
        <v>41584.41230591193</v>
      </c>
      <c r="P309" s="285">
        <f t="shared" ref="P309" ca="1" si="1451">IF(P$2=1,$B309,O309)*IF($B313=1,P313,P312)</f>
        <v>41786.826535541033</v>
      </c>
      <c r="Q309" s="285">
        <f t="shared" ref="Q309" ca="1" si="1452">IF(Q$2=1,$B309,P309)*IF($B313=1,Q313,Q312)</f>
        <v>41990.226026667995</v>
      </c>
      <c r="R309" s="285">
        <f t="shared" ref="R309" ca="1" si="1453">IF(R$2=1,$B309,Q309)*IF($B313=1,R313,R312)</f>
        <v>42194.615575102987</v>
      </c>
      <c r="S309" s="285">
        <f t="shared" ref="S309" ca="1" si="1454">IF(S$2=1,$B309,R309)*IF($B313=1,S313,S312)</f>
        <v>42400.000000000015</v>
      </c>
      <c r="T309" s="285">
        <f t="shared" ref="T309" ca="1" si="1455">IF(T$2=1,$B309,S309)*IF($B313=1,T313,T312)</f>
        <v>42606.384143970557</v>
      </c>
      <c r="U309" s="285">
        <f t="shared" ref="U309" ca="1" si="1456">IF(U$2=1,$B309,T309)*IF($B313=1,U313,U312)</f>
        <v>42813.772873197762</v>
      </c>
      <c r="V309" s="285">
        <f t="shared" ref="V309" ca="1" si="1457">IF(V$2=1,$B309,U309)*IF($B313=1,V313,V312)</f>
        <v>43022.171077551167</v>
      </c>
      <c r="W309" s="285">
        <f t="shared" ref="W309" ca="1" si="1458">IF(W$2=1,$B309,V309)*IF($B313=1,W313,W312)</f>
        <v>43231.583670701984</v>
      </c>
      <c r="X309" s="285">
        <f t="shared" ref="X309" ca="1" si="1459">IF(X$2=1,$B309,W309)*IF($B313=1,X313,X312)</f>
        <v>43442.015590238982</v>
      </c>
      <c r="Y309" s="285">
        <f t="shared" ref="Y309" ca="1" si="1460">IF(Y$2=1,$B309,X309)*IF($B313=1,Y313,Y312)</f>
        <v>43653.471797784892</v>
      </c>
      <c r="Z309" s="285">
        <f t="shared" ref="Z309" ca="1" si="1461">IF(Z$2=1,$B309,Y309)*IF($B313=1,Z313,Z312)</f>
        <v>43865.957279113391</v>
      </c>
      <c r="AA309" s="285">
        <f t="shared" ref="AA309" ca="1" si="1462">IF(AA$2=1,$B309,Z309)*IF($B313=1,AA313,AA312)</f>
        <v>44079.477044266656</v>
      </c>
      <c r="AB309" s="285">
        <f t="shared" ref="AB309" ca="1" si="1463">IF(AB$2=1,$B309,AA309)*IF($B313=1,AB313,AB312)</f>
        <v>44294.036127673498</v>
      </c>
      <c r="AC309" s="285">
        <f t="shared" ref="AC309" ca="1" si="1464">IF(AC$2=1,$B309,AB309)*IF($B313=1,AC313,AC312)</f>
        <v>44509.639588268081</v>
      </c>
      <c r="AD309" s="285">
        <f t="shared" ref="AD309" ca="1" si="1465">IF(AD$2=1,$B309,AC309)*IF($B313=1,AD313,AD312)</f>
        <v>44726.292509609171</v>
      </c>
      <c r="AE309" s="285">
        <f t="shared" ref="AE309" ca="1" si="1466">IF(AE$2=1,$B309,AD309)*IF($B313=1,AE313,AE312)</f>
        <v>44944.000000000015</v>
      </c>
      <c r="AF309" s="285">
        <f t="shared" ref="AF309" ca="1" si="1467">IF(AF$2=1,$B309,AE309)*IF($B313=1,AF313,AF312)</f>
        <v>45162.767192608793</v>
      </c>
      <c r="AG309" s="285">
        <f t="shared" ref="AG309" ca="1" si="1468">IF(AG$2=1,$B309,AF309)*IF($B313=1,AG313,AG312)</f>
        <v>45382.599245589634</v>
      </c>
      <c r="AH309" s="285">
        <f t="shared" ref="AH309" ca="1" si="1469">IF(AH$2=1,$B309,AG309)*IF($B313=1,AH313,AH312)</f>
        <v>45603.501342204239</v>
      </c>
      <c r="AI309" s="285">
        <f t="shared" ref="AI309" ca="1" si="1470">IF(AI$2=1,$B309,AH309)*IF($B313=1,AI313,AI312)</f>
        <v>45825.47869094411</v>
      </c>
      <c r="AJ309" s="285">
        <f t="shared" ref="AJ309" ca="1" si="1471">IF(AJ$2=1,$B309,AI309)*IF($B313=1,AJ313,AJ312)</f>
        <v>46048.536525653333</v>
      </c>
      <c r="AK309" s="285">
        <f t="shared" ref="AK309" ca="1" si="1472">IF(AK$2=1,$B309,AJ309)*IF($B313=1,AK313,AK312)</f>
        <v>46272.680105651998</v>
      </c>
      <c r="AL309" s="285">
        <f t="shared" ref="AL309" ca="1" si="1473">IF(AL$2=1,$B309,AK309)*IF($B313=1,AL313,AL312)</f>
        <v>46497.914715860199</v>
      </c>
      <c r="AM309" s="285">
        <f t="shared" ref="AM309" ca="1" si="1474">IF(AM$2=1,$B309,AL309)*IF($B313=1,AM313,AM312)</f>
        <v>46724.245666922659</v>
      </c>
      <c r="AN309" s="285">
        <f t="shared" ref="AN309" ca="1" si="1475">IF(AN$2=1,$B309,AM309)*IF($B313=1,AN313,AN312)</f>
        <v>46951.678295333913</v>
      </c>
      <c r="AO309" s="285">
        <f t="shared" ref="AO309" ca="1" si="1476">IF(AO$2=1,$B309,AN309)*IF($B313=1,AO313,AO312)</f>
        <v>47180.217963564173</v>
      </c>
      <c r="AP309" s="285">
        <f t="shared" ref="AP309" ca="1" si="1477">IF(AP$2=1,$B309,AO309)*IF($B313=1,AP313,AP312)</f>
        <v>47409.870060185727</v>
      </c>
      <c r="AQ309" s="285">
        <f t="shared" ref="AQ309" ca="1" si="1478">IF(AQ$2=1,$B309,AP309)*IF($B313=1,AQ313,AQ312)</f>
        <v>47640.640000000021</v>
      </c>
      <c r="AR309" s="285">
        <f t="shared" ref="AR309" ca="1" si="1479">IF(AR$2=1,$B309,AQ309)*IF($B313=1,AR313,AR312)</f>
        <v>47872.533224165323</v>
      </c>
      <c r="AS309" s="285">
        <f t="shared" ref="AS309" ca="1" si="1480">IF(AS$2=1,$B309,AR309)*IF($B313=1,AS313,AS312)</f>
        <v>48105.555200325012</v>
      </c>
      <c r="AT309" s="285">
        <f t="shared" ref="AT309" ca="1" si="1481">IF(AT$2=1,$B309,AS309)*IF($B313=1,AT313,AT312)</f>
        <v>48339.711422736495</v>
      </c>
      <c r="AU309" s="285">
        <f t="shared" ref="AU309" ca="1" si="1482">IF(AU$2=1,$B309,AT309)*IF($B313=1,AU313,AU312)</f>
        <v>48575.007412400759</v>
      </c>
      <c r="AV309" s="285">
        <f t="shared" ref="AV309" ca="1" si="1483">IF(AV$2=1,$B309,AU309)*IF($B313=1,AV313,AV312)</f>
        <v>48811.448717192536</v>
      </c>
      <c r="AW309" s="285">
        <f t="shared" ref="AW309" ca="1" si="1484">IF(AW$2=1,$B309,AV309)*IF($B313=1,AW313,AW312)</f>
        <v>49049.04091199112</v>
      </c>
      <c r="AX309" s="285">
        <f t="shared" ref="AX309" ca="1" si="1485">IF(AX$2=1,$B309,AW309)*IF($B313=1,AX313,AX312)</f>
        <v>49287.789598811818</v>
      </c>
      <c r="AY309" s="285">
        <f t="shared" ref="AY309" ca="1" si="1486">IF(AY$2=1,$B309,AX309)*IF($B313=1,AY313,AY312)</f>
        <v>49527.700406938027</v>
      </c>
      <c r="AZ309" s="285">
        <f t="shared" ref="AZ309" ca="1" si="1487">IF(AZ$2=1,$B309,AY309)*IF($B313=1,AZ313,AZ312)</f>
        <v>49768.778993053958</v>
      </c>
      <c r="BA309" s="285">
        <f t="shared" ref="BA309" ca="1" si="1488">IF(BA$2=1,$B309,AZ309)*IF($B313=1,BA313,BA312)</f>
        <v>50011.031041378032</v>
      </c>
      <c r="BB309" s="285">
        <f t="shared" ref="BB309" ca="1" si="1489">IF(BB$2=1,$B309,BA309)*IF($B313=1,BB313,BB312)</f>
        <v>50254.462263796879</v>
      </c>
      <c r="BC309" s="177"/>
    </row>
    <row r="310" spans="1:56" collapsed="1" x14ac:dyDescent="0.3">
      <c r="A310" s="175" t="str">
        <f ca="1">Language!A$703</f>
        <v>заработная плата</v>
      </c>
      <c r="B310" s="205" t="str">
        <f ca="1">Language!$A$1479</f>
        <v>за период</v>
      </c>
      <c r="C310" s="176" t="str">
        <f t="shared" ref="C310" ca="1" si="1490">CHOOSE(D310,CurName1,CurName2,CurName3)</f>
        <v>руб.</v>
      </c>
      <c r="D310" s="174">
        <f>D307</f>
        <v>1</v>
      </c>
      <c r="E310" s="170" t="s">
        <v>784</v>
      </c>
      <c r="F310" s="170" t="s">
        <v>740</v>
      </c>
      <c r="G310" s="177">
        <f ca="1">G308*G309*Параметры!G$31</f>
        <v>0</v>
      </c>
      <c r="H310" s="177">
        <f ca="1">H308*H309*Параметры!H$31</f>
        <v>0</v>
      </c>
      <c r="I310" s="177">
        <f ca="1">I308*I309*Параметры!I$31</f>
        <v>0</v>
      </c>
      <c r="J310" s="177">
        <f ca="1">J308*J309*Параметры!J$31</f>
        <v>0</v>
      </c>
      <c r="K310" s="177">
        <f ca="1">K308*K309*Параметры!K$31</f>
        <v>0</v>
      </c>
      <c r="L310" s="177">
        <f ca="1">L308*L309*Параметры!L$31</f>
        <v>0</v>
      </c>
      <c r="M310" s="177">
        <f ca="1">M308*M309*Параметры!M$31</f>
        <v>247095.12338368807</v>
      </c>
      <c r="N310" s="177">
        <f ca="1">N308*N309*Параметры!N$31</f>
        <v>248297.87139120785</v>
      </c>
      <c r="O310" s="177">
        <f ca="1">O308*O309*Параметры!O$31</f>
        <v>249506.47383547158</v>
      </c>
      <c r="P310" s="177">
        <f ca="1">P308*P309*Параметры!P$31</f>
        <v>250720.95921324618</v>
      </c>
      <c r="Q310" s="177">
        <f ca="1">Q308*Q309*Параметры!Q$31</f>
        <v>251941.35616000797</v>
      </c>
      <c r="R310" s="177">
        <f ca="1">R308*R309*Параметры!R$31</f>
        <v>253167.69345061792</v>
      </c>
      <c r="S310" s="177">
        <f ca="1">S308*S309*Параметры!S$31</f>
        <v>254400.00000000009</v>
      </c>
      <c r="T310" s="177">
        <f ca="1">T308*T309*Параметры!T$31</f>
        <v>255638.30486382334</v>
      </c>
      <c r="U310" s="177">
        <f ca="1">U308*U309*Параметры!U$31</f>
        <v>256882.63723918656</v>
      </c>
      <c r="V310" s="177">
        <f ca="1">V308*V309*Параметры!V$31</f>
        <v>258133.02646530699</v>
      </c>
      <c r="W310" s="177">
        <f ca="1">W308*W309*Параметры!W$31</f>
        <v>259389.50202421192</v>
      </c>
      <c r="X310" s="177">
        <f ca="1">X308*X309*Параметры!X$31</f>
        <v>260652.09354143389</v>
      </c>
      <c r="Y310" s="177">
        <f ca="1">Y308*Y309*Параметры!Y$31</f>
        <v>261920.83078670935</v>
      </c>
      <c r="Z310" s="177">
        <f ca="1">Z308*Z309*Параметры!Z$31</f>
        <v>263195.74367468036</v>
      </c>
      <c r="AA310" s="177">
        <f ca="1">AA308*AA309*Параметры!AA$31</f>
        <v>264476.86226559995</v>
      </c>
      <c r="AB310" s="177">
        <f ca="1">AB308*AB309*Параметры!AB$31</f>
        <v>265764.21676604101</v>
      </c>
      <c r="AC310" s="177">
        <f ca="1">AC308*AC309*Параметры!AC$31</f>
        <v>267057.83752960851</v>
      </c>
      <c r="AD310" s="177">
        <f ca="1">AD308*AD309*Параметры!AD$31</f>
        <v>268357.75505765504</v>
      </c>
      <c r="AE310" s="177">
        <f ca="1">AE308*AE309*Параметры!AE$31</f>
        <v>269664.00000000012</v>
      </c>
      <c r="AF310" s="177">
        <f ca="1">AF308*AF309*Параметры!AF$31</f>
        <v>270976.60315565276</v>
      </c>
      <c r="AG310" s="177">
        <f ca="1">AG308*AG309*Параметры!AG$31</f>
        <v>272295.5954735378</v>
      </c>
      <c r="AH310" s="177">
        <f ca="1">AH308*AH309*Параметры!AH$31</f>
        <v>273621.00805322547</v>
      </c>
      <c r="AI310" s="177">
        <f ca="1">AI308*AI309*Параметры!AI$31</f>
        <v>274952.87214566465</v>
      </c>
      <c r="AJ310" s="177">
        <f ca="1">AJ308*AJ309*Параметры!AJ$31</f>
        <v>276291.21915392001</v>
      </c>
      <c r="AK310" s="177">
        <f ca="1">AK308*AK309*Параметры!AK$31</f>
        <v>277636.080633912</v>
      </c>
      <c r="AL310" s="177">
        <f ca="1">AL308*AL309*Параметры!AL$31</f>
        <v>278987.48829516117</v>
      </c>
      <c r="AM310" s="177">
        <f ca="1">AM308*AM309*Параметры!AM$31</f>
        <v>280345.47400153597</v>
      </c>
      <c r="AN310" s="177">
        <f ca="1">AN308*AN309*Параметры!AN$31</f>
        <v>281710.06977200345</v>
      </c>
      <c r="AO310" s="177">
        <f ca="1">AO308*AO309*Параметры!AO$31</f>
        <v>283081.30778138503</v>
      </c>
      <c r="AP310" s="177">
        <f ca="1">AP308*AP309*Параметры!AP$31</f>
        <v>284459.22036111436</v>
      </c>
      <c r="AQ310" s="177">
        <f ca="1">AQ308*AQ309*Параметры!AQ$31</f>
        <v>285843.84000000014</v>
      </c>
      <c r="AR310" s="177">
        <f ca="1">AR308*AR309*Параметры!AR$31</f>
        <v>287235.19934499194</v>
      </c>
      <c r="AS310" s="177">
        <f ca="1">AS308*AS309*Параметры!AS$31</f>
        <v>288633.33120195009</v>
      </c>
      <c r="AT310" s="177">
        <f ca="1">AT308*AT309*Параметры!AT$31</f>
        <v>290038.26853641897</v>
      </c>
      <c r="AU310" s="177">
        <f ca="1">AU308*AU309*Параметры!AU$31</f>
        <v>291450.04447440454</v>
      </c>
      <c r="AV310" s="177">
        <f ca="1">AV308*AV309*Параметры!AV$31</f>
        <v>292868.6923031552</v>
      </c>
      <c r="AW310" s="177">
        <f ca="1">AW308*AW309*Параметры!AW$31</f>
        <v>294294.24547194672</v>
      </c>
      <c r="AX310" s="177">
        <f ca="1">AX308*AX309*Параметры!AX$31</f>
        <v>295726.73759287089</v>
      </c>
      <c r="AY310" s="177">
        <f ca="1">AY308*AY309*Параметры!AY$31</f>
        <v>297166.20244162815</v>
      </c>
      <c r="AZ310" s="177">
        <f ca="1">AZ308*AZ309*Параметры!AZ$31</f>
        <v>298612.67395832378</v>
      </c>
      <c r="BA310" s="177">
        <f ca="1">BA308*BA309*Параметры!BA$31</f>
        <v>300066.18624826818</v>
      </c>
      <c r="BB310" s="177">
        <f ca="1">BB308*BB309*Параметры!BB$31</f>
        <v>301526.77358278126</v>
      </c>
      <c r="BC310" s="177"/>
      <c r="BD310" s="178">
        <f ca="1">SUM(G310:BC310)</f>
        <v>11484081.421632349</v>
      </c>
    </row>
    <row r="311" spans="1:56" hidden="1" outlineLevel="1" x14ac:dyDescent="0.3">
      <c r="A311" s="184" t="str">
        <f ca="1">Language!A$705</f>
        <v>темп изменения цен</v>
      </c>
      <c r="B311" s="189"/>
      <c r="C311" s="163" t="str">
        <f ca="1">Language!$A$480</f>
        <v>% в год</v>
      </c>
      <c r="D311" s="174"/>
      <c r="F311" s="170" t="s">
        <v>2346</v>
      </c>
      <c r="G311" s="290">
        <f>CHOOSE($D307,Параметры!G$50,Параметры!G$56,Параметры!G$62)</f>
        <v>0.06</v>
      </c>
      <c r="H311" s="290">
        <f>CHOOSE($D307,Параметры!H$50,Параметры!H$56,Параметры!H$62)</f>
        <v>0.06</v>
      </c>
      <c r="I311" s="290">
        <f>CHOOSE($D307,Параметры!I$50,Параметры!I$56,Параметры!I$62)</f>
        <v>0.06</v>
      </c>
      <c r="J311" s="290">
        <f>CHOOSE($D307,Параметры!J$50,Параметры!J$56,Параметры!J$62)</f>
        <v>0.06</v>
      </c>
      <c r="K311" s="290">
        <f>CHOOSE($D307,Параметры!K$50,Параметры!K$56,Параметры!K$62)</f>
        <v>0.06</v>
      </c>
      <c r="L311" s="290">
        <f>CHOOSE($D307,Параметры!L$50,Параметры!L$56,Параметры!L$62)</f>
        <v>0.06</v>
      </c>
      <c r="M311" s="290">
        <f>CHOOSE($D307,Параметры!M$50,Параметры!M$56,Параметры!M$62)</f>
        <v>0.06</v>
      </c>
      <c r="N311" s="290">
        <f>CHOOSE($D307,Параметры!N$50,Параметры!N$56,Параметры!N$62)</f>
        <v>0.06</v>
      </c>
      <c r="O311" s="290">
        <f>CHOOSE($D307,Параметры!O$50,Параметры!O$56,Параметры!O$62)</f>
        <v>0.06</v>
      </c>
      <c r="P311" s="290">
        <f>CHOOSE($D307,Параметры!P$50,Параметры!P$56,Параметры!P$62)</f>
        <v>0.06</v>
      </c>
      <c r="Q311" s="290">
        <f>CHOOSE($D307,Параметры!Q$50,Параметры!Q$56,Параметры!Q$62)</f>
        <v>0.06</v>
      </c>
      <c r="R311" s="290">
        <f>CHOOSE($D307,Параметры!R$50,Параметры!R$56,Параметры!R$62)</f>
        <v>0.06</v>
      </c>
      <c r="S311" s="290">
        <f>CHOOSE($D307,Параметры!S$50,Параметры!S$56,Параметры!S$62)</f>
        <v>0.06</v>
      </c>
      <c r="T311" s="290">
        <f>CHOOSE($D307,Параметры!T$50,Параметры!T$56,Параметры!T$62)</f>
        <v>0.06</v>
      </c>
      <c r="U311" s="290">
        <f>CHOOSE($D307,Параметры!U$50,Параметры!U$56,Параметры!U$62)</f>
        <v>0.06</v>
      </c>
      <c r="V311" s="290">
        <f>CHOOSE($D307,Параметры!V$50,Параметры!V$56,Параметры!V$62)</f>
        <v>0.06</v>
      </c>
      <c r="W311" s="290">
        <f>CHOOSE($D307,Параметры!W$50,Параметры!W$56,Параметры!W$62)</f>
        <v>0.06</v>
      </c>
      <c r="X311" s="290">
        <f>CHOOSE($D307,Параметры!X$50,Параметры!X$56,Параметры!X$62)</f>
        <v>0.06</v>
      </c>
      <c r="Y311" s="290">
        <f>CHOOSE($D307,Параметры!Y$50,Параметры!Y$56,Параметры!Y$62)</f>
        <v>0.06</v>
      </c>
      <c r="Z311" s="290">
        <f>CHOOSE($D307,Параметры!Z$50,Параметры!Z$56,Параметры!Z$62)</f>
        <v>0.06</v>
      </c>
      <c r="AA311" s="290">
        <f>CHOOSE($D307,Параметры!AA$50,Параметры!AA$56,Параметры!AA$62)</f>
        <v>0.06</v>
      </c>
      <c r="AB311" s="290">
        <f>CHOOSE($D307,Параметры!AB$50,Параметры!AB$56,Параметры!AB$62)</f>
        <v>0.06</v>
      </c>
      <c r="AC311" s="290">
        <f>CHOOSE($D307,Параметры!AC$50,Параметры!AC$56,Параметры!AC$62)</f>
        <v>0.06</v>
      </c>
      <c r="AD311" s="290">
        <f>CHOOSE($D307,Параметры!AD$50,Параметры!AD$56,Параметры!AD$62)</f>
        <v>0.06</v>
      </c>
      <c r="AE311" s="290">
        <f>CHOOSE($D307,Параметры!AE$50,Параметры!AE$56,Параметры!AE$62)</f>
        <v>0.06</v>
      </c>
      <c r="AF311" s="290">
        <f>CHOOSE($D307,Параметры!AF$50,Параметры!AF$56,Параметры!AF$62)</f>
        <v>0.06</v>
      </c>
      <c r="AG311" s="290">
        <f>CHOOSE($D307,Параметры!AG$50,Параметры!AG$56,Параметры!AG$62)</f>
        <v>0.06</v>
      </c>
      <c r="AH311" s="290">
        <f>CHOOSE($D307,Параметры!AH$50,Параметры!AH$56,Параметры!AH$62)</f>
        <v>0.06</v>
      </c>
      <c r="AI311" s="290">
        <f>CHOOSE($D307,Параметры!AI$50,Параметры!AI$56,Параметры!AI$62)</f>
        <v>0.06</v>
      </c>
      <c r="AJ311" s="290">
        <f>CHOOSE($D307,Параметры!AJ$50,Параметры!AJ$56,Параметры!AJ$62)</f>
        <v>0.06</v>
      </c>
      <c r="AK311" s="290">
        <f>CHOOSE($D307,Параметры!AK$50,Параметры!AK$56,Параметры!AK$62)</f>
        <v>0.06</v>
      </c>
      <c r="AL311" s="290">
        <f>CHOOSE($D307,Параметры!AL$50,Параметры!AL$56,Параметры!AL$62)</f>
        <v>0.06</v>
      </c>
      <c r="AM311" s="290">
        <f>CHOOSE($D307,Параметры!AM$50,Параметры!AM$56,Параметры!AM$62)</f>
        <v>0.06</v>
      </c>
      <c r="AN311" s="290">
        <f>CHOOSE($D307,Параметры!AN$50,Параметры!AN$56,Параметры!AN$62)</f>
        <v>0.06</v>
      </c>
      <c r="AO311" s="290">
        <f>CHOOSE($D307,Параметры!AO$50,Параметры!AO$56,Параметры!AO$62)</f>
        <v>0.06</v>
      </c>
      <c r="AP311" s="290">
        <f>CHOOSE($D307,Параметры!AP$50,Параметры!AP$56,Параметры!AP$62)</f>
        <v>0.06</v>
      </c>
      <c r="AQ311" s="290">
        <f>CHOOSE($D307,Параметры!AQ$50,Параметры!AQ$56,Параметры!AQ$62)</f>
        <v>0.06</v>
      </c>
      <c r="AR311" s="290">
        <f>CHOOSE($D307,Параметры!AR$50,Параметры!AR$56,Параметры!AR$62)</f>
        <v>0.06</v>
      </c>
      <c r="AS311" s="290">
        <f>CHOOSE($D307,Параметры!AS$50,Параметры!AS$56,Параметры!AS$62)</f>
        <v>0.06</v>
      </c>
      <c r="AT311" s="290">
        <f>CHOOSE($D307,Параметры!AT$50,Параметры!AT$56,Параметры!AT$62)</f>
        <v>0.06</v>
      </c>
      <c r="AU311" s="290">
        <f>CHOOSE($D307,Параметры!AU$50,Параметры!AU$56,Параметры!AU$62)</f>
        <v>0.06</v>
      </c>
      <c r="AV311" s="290">
        <f>CHOOSE($D307,Параметры!AV$50,Параметры!AV$56,Параметры!AV$62)</f>
        <v>0.06</v>
      </c>
      <c r="AW311" s="290">
        <f>CHOOSE($D307,Параметры!AW$50,Параметры!AW$56,Параметры!AW$62)</f>
        <v>0.06</v>
      </c>
      <c r="AX311" s="290">
        <f>CHOOSE($D307,Параметры!AX$50,Параметры!AX$56,Параметры!AX$62)</f>
        <v>0.06</v>
      </c>
      <c r="AY311" s="290">
        <f>CHOOSE($D307,Параметры!AY$50,Параметры!AY$56,Параметры!AY$62)</f>
        <v>0.06</v>
      </c>
      <c r="AZ311" s="290">
        <f>CHOOSE($D307,Параметры!AZ$50,Параметры!AZ$56,Параметры!AZ$62)</f>
        <v>0.06</v>
      </c>
      <c r="BA311" s="290">
        <f>CHOOSE($D307,Параметры!BA$50,Параметры!BA$56,Параметры!BA$62)</f>
        <v>0.06</v>
      </c>
      <c r="BB311" s="290">
        <f>CHOOSE($D307,Параметры!BB$50,Параметры!BB$56,Параметры!BB$62)</f>
        <v>0.06</v>
      </c>
      <c r="BC311" s="190"/>
      <c r="BD311" s="186"/>
    </row>
    <row r="312" spans="1:56" hidden="1" outlineLevel="1" x14ac:dyDescent="0.3">
      <c r="A312" s="184" t="str">
        <f ca="1">Language!A$675</f>
        <v>коэффициент прироста цен к предыдущему периоду</v>
      </c>
      <c r="B312" s="189"/>
      <c r="C312" s="163" t="str">
        <f ca="1">Language!$A$1477</f>
        <v>раз</v>
      </c>
      <c r="D312" s="174"/>
      <c r="F312" s="170" t="s">
        <v>745</v>
      </c>
      <c r="G312" s="191">
        <f ca="1">IF(G$2=1,1,IF(Prj_Inflation=1, (1+OFFSET(G311,0,-1))^(Параметры!G$30/360), 1))</f>
        <v>1</v>
      </c>
      <c r="H312" s="191">
        <f ca="1">IF(H$2=1,1,IF(Prj_Inflation=1, (1+OFFSET(H311,0,-1))^(Параметры!H$30/360), 1))</f>
        <v>1.004867550565343</v>
      </c>
      <c r="I312" s="191">
        <f ca="1">IF(I$2=1,1,IF(Prj_Inflation=1, (1+OFFSET(I311,0,-1))^(Параметры!I$30/360), 1))</f>
        <v>1.004867550565343</v>
      </c>
      <c r="J312" s="191">
        <f ca="1">IF(J$2=1,1,IF(Prj_Inflation=1, (1+OFFSET(J311,0,-1))^(Параметры!J$30/360), 1))</f>
        <v>1.004867550565343</v>
      </c>
      <c r="K312" s="191">
        <f ca="1">IF(K$2=1,1,IF(Prj_Inflation=1, (1+OFFSET(K311,0,-1))^(Параметры!K$30/360), 1))</f>
        <v>1.004867550565343</v>
      </c>
      <c r="L312" s="191">
        <f ca="1">IF(L$2=1,1,IF(Prj_Inflation=1, (1+OFFSET(L311,0,-1))^(Параметры!L$30/360), 1))</f>
        <v>1.004867550565343</v>
      </c>
      <c r="M312" s="191">
        <f ca="1">IF(M$2=1,1,IF(Prj_Inflation=1, (1+OFFSET(M311,0,-1))^(Параметры!M$30/360), 1))</f>
        <v>1.004867550565343</v>
      </c>
      <c r="N312" s="191">
        <f ca="1">IF(N$2=1,1,IF(Prj_Inflation=1, (1+OFFSET(N311,0,-1))^(Параметры!N$30/360), 1))</f>
        <v>1.004867550565343</v>
      </c>
      <c r="O312" s="191">
        <f ca="1">IF(O$2=1,1,IF(Prj_Inflation=1, (1+OFFSET(O311,0,-1))^(Параметры!O$30/360), 1))</f>
        <v>1.004867550565343</v>
      </c>
      <c r="P312" s="191">
        <f ca="1">IF(P$2=1,1,IF(Prj_Inflation=1, (1+OFFSET(P311,0,-1))^(Параметры!P$30/360), 1))</f>
        <v>1.004867550565343</v>
      </c>
      <c r="Q312" s="191">
        <f ca="1">IF(Q$2=1,1,IF(Prj_Inflation=1, (1+OFFSET(Q311,0,-1))^(Параметры!Q$30/360), 1))</f>
        <v>1.004867550565343</v>
      </c>
      <c r="R312" s="191">
        <f ca="1">IF(R$2=1,1,IF(Prj_Inflation=1, (1+OFFSET(R311,0,-1))^(Параметры!R$30/360), 1))</f>
        <v>1.004867550565343</v>
      </c>
      <c r="S312" s="191">
        <f ca="1">IF(S$2=1,1,IF(Prj_Inflation=1, (1+OFFSET(S311,0,-1))^(Параметры!S$30/360), 1))</f>
        <v>1.004867550565343</v>
      </c>
      <c r="T312" s="191">
        <f ca="1">IF(T$2=1,1,IF(Prj_Inflation=1, (1+OFFSET(T311,0,-1))^(Параметры!T$30/360), 1))</f>
        <v>1.004867550565343</v>
      </c>
      <c r="U312" s="191">
        <f ca="1">IF(U$2=1,1,IF(Prj_Inflation=1, (1+OFFSET(U311,0,-1))^(Параметры!U$30/360), 1))</f>
        <v>1.004867550565343</v>
      </c>
      <c r="V312" s="191">
        <f ca="1">IF(V$2=1,1,IF(Prj_Inflation=1, (1+OFFSET(V311,0,-1))^(Параметры!V$30/360), 1))</f>
        <v>1.004867550565343</v>
      </c>
      <c r="W312" s="191">
        <f ca="1">IF(W$2=1,1,IF(Prj_Inflation=1, (1+OFFSET(W311,0,-1))^(Параметры!W$30/360), 1))</f>
        <v>1.004867550565343</v>
      </c>
      <c r="X312" s="191">
        <f ca="1">IF(X$2=1,1,IF(Prj_Inflation=1, (1+OFFSET(X311,0,-1))^(Параметры!X$30/360), 1))</f>
        <v>1.004867550565343</v>
      </c>
      <c r="Y312" s="191">
        <f ca="1">IF(Y$2=1,1,IF(Prj_Inflation=1, (1+OFFSET(Y311,0,-1))^(Параметры!Y$30/360), 1))</f>
        <v>1.004867550565343</v>
      </c>
      <c r="Z312" s="191">
        <f ca="1">IF(Z$2=1,1,IF(Prj_Inflation=1, (1+OFFSET(Z311,0,-1))^(Параметры!Z$30/360), 1))</f>
        <v>1.004867550565343</v>
      </c>
      <c r="AA312" s="191">
        <f ca="1">IF(AA$2=1,1,IF(Prj_Inflation=1, (1+OFFSET(AA311,0,-1))^(Параметры!AA$30/360), 1))</f>
        <v>1.004867550565343</v>
      </c>
      <c r="AB312" s="191">
        <f ca="1">IF(AB$2=1,1,IF(Prj_Inflation=1, (1+OFFSET(AB311,0,-1))^(Параметры!AB$30/360), 1))</f>
        <v>1.004867550565343</v>
      </c>
      <c r="AC312" s="191">
        <f ca="1">IF(AC$2=1,1,IF(Prj_Inflation=1, (1+OFFSET(AC311,0,-1))^(Параметры!AC$30/360), 1))</f>
        <v>1.004867550565343</v>
      </c>
      <c r="AD312" s="191">
        <f ca="1">IF(AD$2=1,1,IF(Prj_Inflation=1, (1+OFFSET(AD311,0,-1))^(Параметры!AD$30/360), 1))</f>
        <v>1.004867550565343</v>
      </c>
      <c r="AE312" s="191">
        <f ca="1">IF(AE$2=1,1,IF(Prj_Inflation=1, (1+OFFSET(AE311,0,-1))^(Параметры!AE$30/360), 1))</f>
        <v>1.004867550565343</v>
      </c>
      <c r="AF312" s="191">
        <f ca="1">IF(AF$2=1,1,IF(Prj_Inflation=1, (1+OFFSET(AF311,0,-1))^(Параметры!AF$30/360), 1))</f>
        <v>1.004867550565343</v>
      </c>
      <c r="AG312" s="191">
        <f ca="1">IF(AG$2=1,1,IF(Prj_Inflation=1, (1+OFFSET(AG311,0,-1))^(Параметры!AG$30/360), 1))</f>
        <v>1.004867550565343</v>
      </c>
      <c r="AH312" s="191">
        <f ca="1">IF(AH$2=1,1,IF(Prj_Inflation=1, (1+OFFSET(AH311,0,-1))^(Параметры!AH$30/360), 1))</f>
        <v>1.004867550565343</v>
      </c>
      <c r="AI312" s="191">
        <f ca="1">IF(AI$2=1,1,IF(Prj_Inflation=1, (1+OFFSET(AI311,0,-1))^(Параметры!AI$30/360), 1))</f>
        <v>1.004867550565343</v>
      </c>
      <c r="AJ312" s="191">
        <f ca="1">IF(AJ$2=1,1,IF(Prj_Inflation=1, (1+OFFSET(AJ311,0,-1))^(Параметры!AJ$30/360), 1))</f>
        <v>1.004867550565343</v>
      </c>
      <c r="AK312" s="191">
        <f ca="1">IF(AK$2=1,1,IF(Prj_Inflation=1, (1+OFFSET(AK311,0,-1))^(Параметры!AK$30/360), 1))</f>
        <v>1.004867550565343</v>
      </c>
      <c r="AL312" s="191">
        <f ca="1">IF(AL$2=1,1,IF(Prj_Inflation=1, (1+OFFSET(AL311,0,-1))^(Параметры!AL$30/360), 1))</f>
        <v>1.004867550565343</v>
      </c>
      <c r="AM312" s="191">
        <f ca="1">IF(AM$2=1,1,IF(Prj_Inflation=1, (1+OFFSET(AM311,0,-1))^(Параметры!AM$30/360), 1))</f>
        <v>1.004867550565343</v>
      </c>
      <c r="AN312" s="191">
        <f ca="1">IF(AN$2=1,1,IF(Prj_Inflation=1, (1+OFFSET(AN311,0,-1))^(Параметры!AN$30/360), 1))</f>
        <v>1.004867550565343</v>
      </c>
      <c r="AO312" s="191">
        <f ca="1">IF(AO$2=1,1,IF(Prj_Inflation=1, (1+OFFSET(AO311,0,-1))^(Параметры!AO$30/360), 1))</f>
        <v>1.004867550565343</v>
      </c>
      <c r="AP312" s="191">
        <f ca="1">IF(AP$2=1,1,IF(Prj_Inflation=1, (1+OFFSET(AP311,0,-1))^(Параметры!AP$30/360), 1))</f>
        <v>1.004867550565343</v>
      </c>
      <c r="AQ312" s="191">
        <f ca="1">IF(AQ$2=1,1,IF(Prj_Inflation=1, (1+OFFSET(AQ311,0,-1))^(Параметры!AQ$30/360), 1))</f>
        <v>1.004867550565343</v>
      </c>
      <c r="AR312" s="191">
        <f ca="1">IF(AR$2=1,1,IF(Prj_Inflation=1, (1+OFFSET(AR311,0,-1))^(Параметры!AR$30/360), 1))</f>
        <v>1.004867550565343</v>
      </c>
      <c r="AS312" s="191">
        <f ca="1">IF(AS$2=1,1,IF(Prj_Inflation=1, (1+OFFSET(AS311,0,-1))^(Параметры!AS$30/360), 1))</f>
        <v>1.004867550565343</v>
      </c>
      <c r="AT312" s="191">
        <f ca="1">IF(AT$2=1,1,IF(Prj_Inflation=1, (1+OFFSET(AT311,0,-1))^(Параметры!AT$30/360), 1))</f>
        <v>1.004867550565343</v>
      </c>
      <c r="AU312" s="191">
        <f ca="1">IF(AU$2=1,1,IF(Prj_Inflation=1, (1+OFFSET(AU311,0,-1))^(Параметры!AU$30/360), 1))</f>
        <v>1.004867550565343</v>
      </c>
      <c r="AV312" s="191">
        <f ca="1">IF(AV$2=1,1,IF(Prj_Inflation=1, (1+OFFSET(AV311,0,-1))^(Параметры!AV$30/360), 1))</f>
        <v>1.004867550565343</v>
      </c>
      <c r="AW312" s="191">
        <f ca="1">IF(AW$2=1,1,IF(Prj_Inflation=1, (1+OFFSET(AW311,0,-1))^(Параметры!AW$30/360), 1))</f>
        <v>1.004867550565343</v>
      </c>
      <c r="AX312" s="191">
        <f ca="1">IF(AX$2=1,1,IF(Prj_Inflation=1, (1+OFFSET(AX311,0,-1))^(Параметры!AX$30/360), 1))</f>
        <v>1.004867550565343</v>
      </c>
      <c r="AY312" s="191">
        <f ca="1">IF(AY$2=1,1,IF(Prj_Inflation=1, (1+OFFSET(AY311,0,-1))^(Параметры!AY$30/360), 1))</f>
        <v>1.004867550565343</v>
      </c>
      <c r="AZ312" s="191">
        <f ca="1">IF(AZ$2=1,1,IF(Prj_Inflation=1, (1+OFFSET(AZ311,0,-1))^(Параметры!AZ$30/360), 1))</f>
        <v>1.004867550565343</v>
      </c>
      <c r="BA312" s="191">
        <f ca="1">IF(BA$2=1,1,IF(Prj_Inflation=1, (1+OFFSET(BA311,0,-1))^(Параметры!BA$30/360), 1))</f>
        <v>1.004867550565343</v>
      </c>
      <c r="BB312" s="191">
        <f ca="1">IF(BB$2=1,1,IF(Prj_Inflation=1, (1+OFFSET(BB311,0,-1))^(Параметры!BB$30/360), 1))</f>
        <v>1.004867550565343</v>
      </c>
      <c r="BC312" s="191"/>
      <c r="BD312" s="186"/>
    </row>
    <row r="313" spans="1:56" hidden="1" outlineLevel="1" x14ac:dyDescent="0.3">
      <c r="A313" s="184" t="str">
        <f ca="1">Language!A$1486</f>
        <v>индексировать в начале года</v>
      </c>
      <c r="B313" s="291">
        <v>0</v>
      </c>
      <c r="C313" s="163" t="str">
        <f ca="1">IF(B313=1,Language!$A$1475,Language!$A$1476)</f>
        <v>Нет</v>
      </c>
      <c r="D313" s="174"/>
      <c r="F313" s="170" t="s">
        <v>3408</v>
      </c>
      <c r="G313" s="192" t="str">
        <f ca="1">IF(Prj_Inflation=1,IF($B313=1,IF(G$2=1,1,IF(Параметры!G$29=1,1+OFFSET(G311,0,-1),1)),"-"),1)</f>
        <v>-</v>
      </c>
      <c r="H313" s="192" t="str">
        <f ca="1">IF(Prj_Inflation=1,IF($B313=1,IF(H$2=1,1,IF(Параметры!H$29=1,1+OFFSET(H311,0,-1),1)),"-"),1)</f>
        <v>-</v>
      </c>
      <c r="I313" s="192" t="str">
        <f ca="1">IF(Prj_Inflation=1,IF($B313=1,IF(I$2=1,1,IF(Параметры!I$29=1,1+OFFSET(I311,0,-1),1)),"-"),1)</f>
        <v>-</v>
      </c>
      <c r="J313" s="192" t="str">
        <f ca="1">IF(Prj_Inflation=1,IF($B313=1,IF(J$2=1,1,IF(Параметры!J$29=1,1+OFFSET(J311,0,-1),1)),"-"),1)</f>
        <v>-</v>
      </c>
      <c r="K313" s="192" t="str">
        <f ca="1">IF(Prj_Inflation=1,IF($B313=1,IF(K$2=1,1,IF(Параметры!K$29=1,1+OFFSET(K311,0,-1),1)),"-"),1)</f>
        <v>-</v>
      </c>
      <c r="L313" s="192" t="str">
        <f ca="1">IF(Prj_Inflation=1,IF($B313=1,IF(L$2=1,1,IF(Параметры!L$29=1,1+OFFSET(L311,0,-1),1)),"-"),1)</f>
        <v>-</v>
      </c>
      <c r="M313" s="192" t="str">
        <f ca="1">IF(Prj_Inflation=1,IF($B313=1,IF(M$2=1,1,IF(Параметры!M$29=1,1+OFFSET(M311,0,-1),1)),"-"),1)</f>
        <v>-</v>
      </c>
      <c r="N313" s="192" t="str">
        <f ca="1">IF(Prj_Inflation=1,IF($B313=1,IF(N$2=1,1,IF(Параметры!N$29=1,1+OFFSET(N311,0,-1),1)),"-"),1)</f>
        <v>-</v>
      </c>
      <c r="O313" s="192" t="str">
        <f ca="1">IF(Prj_Inflation=1,IF($B313=1,IF(O$2=1,1,IF(Параметры!O$29=1,1+OFFSET(O311,0,-1),1)),"-"),1)</f>
        <v>-</v>
      </c>
      <c r="P313" s="192" t="str">
        <f ca="1">IF(Prj_Inflation=1,IF($B313=1,IF(P$2=1,1,IF(Параметры!P$29=1,1+OFFSET(P311,0,-1),1)),"-"),1)</f>
        <v>-</v>
      </c>
      <c r="Q313" s="192" t="str">
        <f ca="1">IF(Prj_Inflation=1,IF($B313=1,IF(Q$2=1,1,IF(Параметры!Q$29=1,1+OFFSET(Q311,0,-1),1)),"-"),1)</f>
        <v>-</v>
      </c>
      <c r="R313" s="192" t="str">
        <f ca="1">IF(Prj_Inflation=1,IF($B313=1,IF(R$2=1,1,IF(Параметры!R$29=1,1+OFFSET(R311,0,-1),1)),"-"),1)</f>
        <v>-</v>
      </c>
      <c r="S313" s="192" t="str">
        <f ca="1">IF(Prj_Inflation=1,IF($B313=1,IF(S$2=1,1,IF(Параметры!S$29=1,1+OFFSET(S311,0,-1),1)),"-"),1)</f>
        <v>-</v>
      </c>
      <c r="T313" s="192" t="str">
        <f ca="1">IF(Prj_Inflation=1,IF($B313=1,IF(T$2=1,1,IF(Параметры!T$29=1,1+OFFSET(T311,0,-1),1)),"-"),1)</f>
        <v>-</v>
      </c>
      <c r="U313" s="192" t="str">
        <f ca="1">IF(Prj_Inflation=1,IF($B313=1,IF(U$2=1,1,IF(Параметры!U$29=1,1+OFFSET(U311,0,-1),1)),"-"),1)</f>
        <v>-</v>
      </c>
      <c r="V313" s="192" t="str">
        <f ca="1">IF(Prj_Inflation=1,IF($B313=1,IF(V$2=1,1,IF(Параметры!V$29=1,1+OFFSET(V311,0,-1),1)),"-"),1)</f>
        <v>-</v>
      </c>
      <c r="W313" s="192" t="str">
        <f ca="1">IF(Prj_Inflation=1,IF($B313=1,IF(W$2=1,1,IF(Параметры!W$29=1,1+OFFSET(W311,0,-1),1)),"-"),1)</f>
        <v>-</v>
      </c>
      <c r="X313" s="192" t="str">
        <f ca="1">IF(Prj_Inflation=1,IF($B313=1,IF(X$2=1,1,IF(Параметры!X$29=1,1+OFFSET(X311,0,-1),1)),"-"),1)</f>
        <v>-</v>
      </c>
      <c r="Y313" s="192" t="str">
        <f ca="1">IF(Prj_Inflation=1,IF($B313=1,IF(Y$2=1,1,IF(Параметры!Y$29=1,1+OFFSET(Y311,0,-1),1)),"-"),1)</f>
        <v>-</v>
      </c>
      <c r="Z313" s="192" t="str">
        <f ca="1">IF(Prj_Inflation=1,IF($B313=1,IF(Z$2=1,1,IF(Параметры!Z$29=1,1+OFFSET(Z311,0,-1),1)),"-"),1)</f>
        <v>-</v>
      </c>
      <c r="AA313" s="192" t="str">
        <f ca="1">IF(Prj_Inflation=1,IF($B313=1,IF(AA$2=1,1,IF(Параметры!AA$29=1,1+OFFSET(AA311,0,-1),1)),"-"),1)</f>
        <v>-</v>
      </c>
      <c r="AB313" s="192" t="str">
        <f ca="1">IF(Prj_Inflation=1,IF($B313=1,IF(AB$2=1,1,IF(Параметры!AB$29=1,1+OFFSET(AB311,0,-1),1)),"-"),1)</f>
        <v>-</v>
      </c>
      <c r="AC313" s="192" t="str">
        <f ca="1">IF(Prj_Inflation=1,IF($B313=1,IF(AC$2=1,1,IF(Параметры!AC$29=1,1+OFFSET(AC311,0,-1),1)),"-"),1)</f>
        <v>-</v>
      </c>
      <c r="AD313" s="192" t="str">
        <f ca="1">IF(Prj_Inflation=1,IF($B313=1,IF(AD$2=1,1,IF(Параметры!AD$29=1,1+OFFSET(AD311,0,-1),1)),"-"),1)</f>
        <v>-</v>
      </c>
      <c r="AE313" s="192" t="str">
        <f ca="1">IF(Prj_Inflation=1,IF($B313=1,IF(AE$2=1,1,IF(Параметры!AE$29=1,1+OFFSET(AE311,0,-1),1)),"-"),1)</f>
        <v>-</v>
      </c>
      <c r="AF313" s="192" t="str">
        <f ca="1">IF(Prj_Inflation=1,IF($B313=1,IF(AF$2=1,1,IF(Параметры!AF$29=1,1+OFFSET(AF311,0,-1),1)),"-"),1)</f>
        <v>-</v>
      </c>
      <c r="AG313" s="192" t="str">
        <f ca="1">IF(Prj_Inflation=1,IF($B313=1,IF(AG$2=1,1,IF(Параметры!AG$29=1,1+OFFSET(AG311,0,-1),1)),"-"),1)</f>
        <v>-</v>
      </c>
      <c r="AH313" s="192" t="str">
        <f ca="1">IF(Prj_Inflation=1,IF($B313=1,IF(AH$2=1,1,IF(Параметры!AH$29=1,1+OFFSET(AH311,0,-1),1)),"-"),1)</f>
        <v>-</v>
      </c>
      <c r="AI313" s="192" t="str">
        <f ca="1">IF(Prj_Inflation=1,IF($B313=1,IF(AI$2=1,1,IF(Параметры!AI$29=1,1+OFFSET(AI311,0,-1),1)),"-"),1)</f>
        <v>-</v>
      </c>
      <c r="AJ313" s="192" t="str">
        <f ca="1">IF(Prj_Inflation=1,IF($B313=1,IF(AJ$2=1,1,IF(Параметры!AJ$29=1,1+OFFSET(AJ311,0,-1),1)),"-"),1)</f>
        <v>-</v>
      </c>
      <c r="AK313" s="192" t="str">
        <f ca="1">IF(Prj_Inflation=1,IF($B313=1,IF(AK$2=1,1,IF(Параметры!AK$29=1,1+OFFSET(AK311,0,-1),1)),"-"),1)</f>
        <v>-</v>
      </c>
      <c r="AL313" s="192" t="str">
        <f ca="1">IF(Prj_Inflation=1,IF($B313=1,IF(AL$2=1,1,IF(Параметры!AL$29=1,1+OFFSET(AL311,0,-1),1)),"-"),1)</f>
        <v>-</v>
      </c>
      <c r="AM313" s="192" t="str">
        <f ca="1">IF(Prj_Inflation=1,IF($B313=1,IF(AM$2=1,1,IF(Параметры!AM$29=1,1+OFFSET(AM311,0,-1),1)),"-"),1)</f>
        <v>-</v>
      </c>
      <c r="AN313" s="192" t="str">
        <f ca="1">IF(Prj_Inflation=1,IF($B313=1,IF(AN$2=1,1,IF(Параметры!AN$29=1,1+OFFSET(AN311,0,-1),1)),"-"),1)</f>
        <v>-</v>
      </c>
      <c r="AO313" s="192" t="str">
        <f ca="1">IF(Prj_Inflation=1,IF($B313=1,IF(AO$2=1,1,IF(Параметры!AO$29=1,1+OFFSET(AO311,0,-1),1)),"-"),1)</f>
        <v>-</v>
      </c>
      <c r="AP313" s="192" t="str">
        <f ca="1">IF(Prj_Inflation=1,IF($B313=1,IF(AP$2=1,1,IF(Параметры!AP$29=1,1+OFFSET(AP311,0,-1),1)),"-"),1)</f>
        <v>-</v>
      </c>
      <c r="AQ313" s="192" t="str">
        <f ca="1">IF(Prj_Inflation=1,IF($B313=1,IF(AQ$2=1,1,IF(Параметры!AQ$29=1,1+OFFSET(AQ311,0,-1),1)),"-"),1)</f>
        <v>-</v>
      </c>
      <c r="AR313" s="192" t="str">
        <f ca="1">IF(Prj_Inflation=1,IF($B313=1,IF(AR$2=1,1,IF(Параметры!AR$29=1,1+OFFSET(AR311,0,-1),1)),"-"),1)</f>
        <v>-</v>
      </c>
      <c r="AS313" s="192" t="str">
        <f ca="1">IF(Prj_Inflation=1,IF($B313=1,IF(AS$2=1,1,IF(Параметры!AS$29=1,1+OFFSET(AS311,0,-1),1)),"-"),1)</f>
        <v>-</v>
      </c>
      <c r="AT313" s="192" t="str">
        <f ca="1">IF(Prj_Inflation=1,IF($B313=1,IF(AT$2=1,1,IF(Параметры!AT$29=1,1+OFFSET(AT311,0,-1),1)),"-"),1)</f>
        <v>-</v>
      </c>
      <c r="AU313" s="192" t="str">
        <f ca="1">IF(Prj_Inflation=1,IF($B313=1,IF(AU$2=1,1,IF(Параметры!AU$29=1,1+OFFSET(AU311,0,-1),1)),"-"),1)</f>
        <v>-</v>
      </c>
      <c r="AV313" s="192" t="str">
        <f ca="1">IF(Prj_Inflation=1,IF($B313=1,IF(AV$2=1,1,IF(Параметры!AV$29=1,1+OFFSET(AV311,0,-1),1)),"-"),1)</f>
        <v>-</v>
      </c>
      <c r="AW313" s="192" t="str">
        <f ca="1">IF(Prj_Inflation=1,IF($B313=1,IF(AW$2=1,1,IF(Параметры!AW$29=1,1+OFFSET(AW311,0,-1),1)),"-"),1)</f>
        <v>-</v>
      </c>
      <c r="AX313" s="192" t="str">
        <f ca="1">IF(Prj_Inflation=1,IF($B313=1,IF(AX$2=1,1,IF(Параметры!AX$29=1,1+OFFSET(AX311,0,-1),1)),"-"),1)</f>
        <v>-</v>
      </c>
      <c r="AY313" s="192" t="str">
        <f ca="1">IF(Prj_Inflation=1,IF($B313=1,IF(AY$2=1,1,IF(Параметры!AY$29=1,1+OFFSET(AY311,0,-1),1)),"-"),1)</f>
        <v>-</v>
      </c>
      <c r="AZ313" s="192" t="str">
        <f ca="1">IF(Prj_Inflation=1,IF($B313=1,IF(AZ$2=1,1,IF(Параметры!AZ$29=1,1+OFFSET(AZ311,0,-1),1)),"-"),1)</f>
        <v>-</v>
      </c>
      <c r="BA313" s="192" t="str">
        <f ca="1">IF(Prj_Inflation=1,IF($B313=1,IF(BA$2=1,1,IF(Параметры!BA$29=1,1+OFFSET(BA311,0,-1),1)),"-"),1)</f>
        <v>-</v>
      </c>
      <c r="BB313" s="192" t="str">
        <f ca="1">IF(Prj_Inflation=1,IF($B313=1,IF(BB$2=1,1,IF(Параметры!BB$29=1,1+OFFSET(BB311,0,-1),1)),"-"),1)</f>
        <v>-</v>
      </c>
      <c r="BC313" s="191"/>
      <c r="BD313" s="186"/>
    </row>
    <row r="314" spans="1:56" hidden="1" outlineLevel="1" x14ac:dyDescent="0.3">
      <c r="A314" s="184" t="str">
        <f ca="1">Language!A$704</f>
        <v>социальные взносы</v>
      </c>
      <c r="B314" s="189"/>
      <c r="C314" s="163" t="str">
        <f ca="1">CHOOSE(D314,CurName1,CurName2,CurName3)</f>
        <v>руб.</v>
      </c>
      <c r="D314" s="174">
        <f>D307</f>
        <v>1</v>
      </c>
      <c r="E314" s="170" t="s">
        <v>1459</v>
      </c>
      <c r="F314" s="170" t="s">
        <v>740</v>
      </c>
      <c r="G314" s="185">
        <f ca="1">G310*Параметры!G$91</f>
        <v>0</v>
      </c>
      <c r="H314" s="185">
        <f ca="1">H310*Параметры!H$91</f>
        <v>0</v>
      </c>
      <c r="I314" s="185">
        <f ca="1">I310*Параметры!I$91</f>
        <v>0</v>
      </c>
      <c r="J314" s="185">
        <f ca="1">J310*Параметры!J$91</f>
        <v>0</v>
      </c>
      <c r="K314" s="185">
        <f ca="1">K310*Параметры!K$91</f>
        <v>0</v>
      </c>
      <c r="L314" s="185">
        <f ca="1">L310*Параметры!L$91</f>
        <v>0</v>
      </c>
      <c r="M314" s="185">
        <f ca="1">M310*Параметры!M$91</f>
        <v>76599.488248943322</v>
      </c>
      <c r="N314" s="185">
        <f ca="1">N310*Параметры!N$91</f>
        <v>76972.340131274454</v>
      </c>
      <c r="O314" s="185">
        <f ca="1">O310*Параметры!O$91</f>
        <v>77347.006888996199</v>
      </c>
      <c r="P314" s="185">
        <f ca="1">P310*Параметры!P$91</f>
        <v>77723.497356106323</v>
      </c>
      <c r="Q314" s="185">
        <f ca="1">Q310*Параметры!Q$91</f>
        <v>78101.820409602486</v>
      </c>
      <c r="R314" s="185">
        <f ca="1">R310*Параметры!R$91</f>
        <v>78481.984969691577</v>
      </c>
      <c r="S314" s="185">
        <f ca="1">S310*Параметры!S$91</f>
        <v>78864.000000000044</v>
      </c>
      <c r="T314" s="185">
        <f ca="1">T310*Параметры!T$91</f>
        <v>79247.874507785251</v>
      </c>
      <c r="U314" s="185">
        <f ca="1">U310*Параметры!U$91</f>
        <v>79633.617544147841</v>
      </c>
      <c r="V314" s="185">
        <f ca="1">V310*Параметры!V$91</f>
        <v>80021.238204245179</v>
      </c>
      <c r="W314" s="185">
        <f ca="1">W310*Параметры!W$91</f>
        <v>80410.745627505705</v>
      </c>
      <c r="X314" s="185">
        <f ca="1">X310*Параметры!X$91</f>
        <v>80802.148997844517</v>
      </c>
      <c r="Y314" s="185">
        <f ca="1">Y310*Параметры!Y$91</f>
        <v>81195.457543879907</v>
      </c>
      <c r="Z314" s="185">
        <f ca="1">Z310*Параметры!Z$91</f>
        <v>81590.680539150926</v>
      </c>
      <c r="AA314" s="185">
        <f ca="1">AA310*Параметры!AA$91</f>
        <v>81987.827302335994</v>
      </c>
      <c r="AB314" s="185">
        <f ca="1">AB310*Параметры!AB$91</f>
        <v>82386.907197472727</v>
      </c>
      <c r="AC314" s="185">
        <f ca="1">AC310*Параметры!AC$91</f>
        <v>82787.929634178654</v>
      </c>
      <c r="AD314" s="185">
        <f ca="1">AD310*Параметры!AD$91</f>
        <v>83190.904067873082</v>
      </c>
      <c r="AE314" s="185">
        <f ca="1">AE310*Параметры!AE$91</f>
        <v>83595.840000000055</v>
      </c>
      <c r="AF314" s="185">
        <f ca="1">AF310*Параметры!AF$91</f>
        <v>84002.746978252369</v>
      </c>
      <c r="AG314" s="185">
        <f ca="1">AG310*Параметры!AG$91</f>
        <v>84411.634596796735</v>
      </c>
      <c r="AH314" s="185">
        <f ca="1">AH310*Параметры!AH$91</f>
        <v>84822.512496499912</v>
      </c>
      <c r="AI314" s="185">
        <f ca="1">AI310*Параметры!AI$91</f>
        <v>85235.390365156054</v>
      </c>
      <c r="AJ314" s="185">
        <f ca="1">AJ310*Параметры!AJ$91</f>
        <v>85650.277937715218</v>
      </c>
      <c r="AK314" s="185">
        <f ca="1">AK310*Параметры!AK$91</f>
        <v>86067.184996512733</v>
      </c>
      <c r="AL314" s="185">
        <f ca="1">AL310*Параметры!AL$91</f>
        <v>86486.121371499976</v>
      </c>
      <c r="AM314" s="185">
        <f ca="1">AM310*Параметры!AM$91</f>
        <v>86907.096940476171</v>
      </c>
      <c r="AN314" s="185">
        <f ca="1">AN310*Параметры!AN$91</f>
        <v>87330.121629321089</v>
      </c>
      <c r="AO314" s="185">
        <f ca="1">AO310*Параметры!AO$91</f>
        <v>87755.205412229378</v>
      </c>
      <c r="AP314" s="185">
        <f ca="1">AP310*Параметры!AP$91</f>
        <v>88182.358311945471</v>
      </c>
      <c r="AQ314" s="185">
        <f ca="1">AQ310*Параметры!AQ$91</f>
        <v>88611.590400000059</v>
      </c>
      <c r="AR314" s="185">
        <f ca="1">AR310*Параметры!AR$91</f>
        <v>89042.911796947519</v>
      </c>
      <c r="AS314" s="185">
        <f ca="1">AS310*Параметры!AS$91</f>
        <v>89476.332672604549</v>
      </c>
      <c r="AT314" s="185">
        <f ca="1">AT310*Параметры!AT$91</f>
        <v>89911.863246289897</v>
      </c>
      <c r="AU314" s="185">
        <f ca="1">AU310*Параметры!AU$91</f>
        <v>90349.513787065429</v>
      </c>
      <c r="AV314" s="185">
        <f ca="1">AV310*Параметры!AV$91</f>
        <v>90789.294613978127</v>
      </c>
      <c r="AW314" s="185">
        <f ca="1">AW310*Параметры!AW$91</f>
        <v>91231.216096303498</v>
      </c>
      <c r="AX314" s="185">
        <f ca="1">AX310*Параметры!AX$91</f>
        <v>91675.28865378999</v>
      </c>
      <c r="AY314" s="185">
        <f ca="1">AY310*Параметры!AY$91</f>
        <v>92121.522756904742</v>
      </c>
      <c r="AZ314" s="185">
        <f ca="1">AZ310*Параметры!AZ$91</f>
        <v>92569.928927080386</v>
      </c>
      <c r="BA314" s="185">
        <f ca="1">BA310*Параметры!BA$91</f>
        <v>93020.517736963156</v>
      </c>
      <c r="BB314" s="185">
        <f ca="1">BB310*Параметры!BB$91</f>
        <v>93473.299810662211</v>
      </c>
      <c r="BC314" s="185"/>
      <c r="BD314" s="193">
        <f ca="1">SUM(G314:BC314)</f>
        <v>3560065.2407060289</v>
      </c>
    </row>
    <row r="315" spans="1:56" s="173" customFormat="1" hidden="1" outlineLevel="1" x14ac:dyDescent="0.3">
      <c r="A315" s="181" t="str">
        <f ca="1">Language!A$1513</f>
        <v>затраты на персонал, с соц. взносами</v>
      </c>
      <c r="B315" s="205"/>
      <c r="C315" s="176" t="str">
        <f ca="1">CHOOSE(D315,CurName1,CurName2,CurName3)</f>
        <v>руб.</v>
      </c>
      <c r="D315" s="174">
        <f>D307</f>
        <v>1</v>
      </c>
      <c r="E315" s="170" t="s">
        <v>2312</v>
      </c>
      <c r="F315" s="170" t="s">
        <v>740</v>
      </c>
      <c r="G315" s="182">
        <f ca="1">G310+G314</f>
        <v>0</v>
      </c>
      <c r="H315" s="182">
        <f t="shared" ref="H315:BB315" ca="1" si="1491">H310+H314</f>
        <v>0</v>
      </c>
      <c r="I315" s="182">
        <f t="shared" ca="1" si="1491"/>
        <v>0</v>
      </c>
      <c r="J315" s="182">
        <f t="shared" ca="1" si="1491"/>
        <v>0</v>
      </c>
      <c r="K315" s="182">
        <f t="shared" ca="1" si="1491"/>
        <v>0</v>
      </c>
      <c r="L315" s="182">
        <f t="shared" ca="1" si="1491"/>
        <v>0</v>
      </c>
      <c r="M315" s="182">
        <f t="shared" ca="1" si="1491"/>
        <v>323694.61163263139</v>
      </c>
      <c r="N315" s="182">
        <f t="shared" ca="1" si="1491"/>
        <v>325270.21152248234</v>
      </c>
      <c r="O315" s="182">
        <f t="shared" ca="1" si="1491"/>
        <v>326853.48072446778</v>
      </c>
      <c r="P315" s="182">
        <f t="shared" ca="1" si="1491"/>
        <v>328444.45656935254</v>
      </c>
      <c r="Q315" s="182">
        <f t="shared" ca="1" si="1491"/>
        <v>330043.17656961048</v>
      </c>
      <c r="R315" s="182">
        <f t="shared" ca="1" si="1491"/>
        <v>331649.6784203095</v>
      </c>
      <c r="S315" s="182">
        <f t="shared" ca="1" si="1491"/>
        <v>333264.00000000012</v>
      </c>
      <c r="T315" s="182">
        <f t="shared" ca="1" si="1491"/>
        <v>334886.1793716086</v>
      </c>
      <c r="U315" s="182">
        <f t="shared" ca="1" si="1491"/>
        <v>336516.25478333439</v>
      </c>
      <c r="V315" s="182">
        <f t="shared" ca="1" si="1491"/>
        <v>338154.26466955215</v>
      </c>
      <c r="W315" s="182">
        <f t="shared" ca="1" si="1491"/>
        <v>339800.24765171763</v>
      </c>
      <c r="X315" s="182">
        <f t="shared" ca="1" si="1491"/>
        <v>341454.24253927841</v>
      </c>
      <c r="Y315" s="182">
        <f t="shared" ca="1" si="1491"/>
        <v>343116.28833058925</v>
      </c>
      <c r="Z315" s="182">
        <f t="shared" ca="1" si="1491"/>
        <v>344786.42421383131</v>
      </c>
      <c r="AA315" s="182">
        <f t="shared" ca="1" si="1491"/>
        <v>346464.68956793594</v>
      </c>
      <c r="AB315" s="182">
        <f t="shared" ca="1" si="1491"/>
        <v>348151.12396351376</v>
      </c>
      <c r="AC315" s="182">
        <f t="shared" ca="1" si="1491"/>
        <v>349845.76716378715</v>
      </c>
      <c r="AD315" s="182">
        <f t="shared" ca="1" si="1491"/>
        <v>351548.65912552812</v>
      </c>
      <c r="AE315" s="182">
        <f t="shared" ca="1" si="1491"/>
        <v>353259.8400000002</v>
      </c>
      <c r="AF315" s="182">
        <f t="shared" ca="1" si="1491"/>
        <v>354979.35013390513</v>
      </c>
      <c r="AG315" s="182">
        <f t="shared" ca="1" si="1491"/>
        <v>356707.23007033451</v>
      </c>
      <c r="AH315" s="182">
        <f t="shared" ca="1" si="1491"/>
        <v>358443.52054972539</v>
      </c>
      <c r="AI315" s="182">
        <f t="shared" ca="1" si="1491"/>
        <v>360188.2625108207</v>
      </c>
      <c r="AJ315" s="182">
        <f t="shared" ca="1" si="1491"/>
        <v>361941.49709163525</v>
      </c>
      <c r="AK315" s="182">
        <f t="shared" ca="1" si="1491"/>
        <v>363703.26563042472</v>
      </c>
      <c r="AL315" s="182">
        <f t="shared" ca="1" si="1491"/>
        <v>365473.60966666113</v>
      </c>
      <c r="AM315" s="182">
        <f t="shared" ca="1" si="1491"/>
        <v>367252.57094201213</v>
      </c>
      <c r="AN315" s="182">
        <f t="shared" ca="1" si="1491"/>
        <v>369040.19140132453</v>
      </c>
      <c r="AO315" s="182">
        <f t="shared" ca="1" si="1491"/>
        <v>370836.51319361443</v>
      </c>
      <c r="AP315" s="182">
        <f t="shared" ca="1" si="1491"/>
        <v>372641.57867305982</v>
      </c>
      <c r="AQ315" s="182">
        <f t="shared" ca="1" si="1491"/>
        <v>374455.43040000019</v>
      </c>
      <c r="AR315" s="182">
        <f t="shared" ca="1" si="1491"/>
        <v>376278.11114193947</v>
      </c>
      <c r="AS315" s="182">
        <f t="shared" ca="1" si="1491"/>
        <v>378109.66387455462</v>
      </c>
      <c r="AT315" s="182">
        <f t="shared" ca="1" si="1491"/>
        <v>379950.13178270886</v>
      </c>
      <c r="AU315" s="182">
        <f t="shared" ca="1" si="1491"/>
        <v>381799.55826146994</v>
      </c>
      <c r="AV315" s="182">
        <f t="shared" ca="1" si="1491"/>
        <v>383657.98691713333</v>
      </c>
      <c r="AW315" s="182">
        <f t="shared" ca="1" si="1491"/>
        <v>385525.4615682502</v>
      </c>
      <c r="AX315" s="182">
        <f t="shared" ca="1" si="1491"/>
        <v>387402.02624666085</v>
      </c>
      <c r="AY315" s="182">
        <f t="shared" ca="1" si="1491"/>
        <v>389287.72519853292</v>
      </c>
      <c r="AZ315" s="182">
        <f t="shared" ca="1" si="1491"/>
        <v>391182.60288540414</v>
      </c>
      <c r="BA315" s="182">
        <f t="shared" ca="1" si="1491"/>
        <v>393086.70398523135</v>
      </c>
      <c r="BB315" s="182">
        <f t="shared" ca="1" si="1491"/>
        <v>395000.07339344348</v>
      </c>
      <c r="BC315" s="182"/>
      <c r="BD315" s="183">
        <f ca="1">SUM(G315:BC315)</f>
        <v>15044146.662338376</v>
      </c>
    </row>
    <row r="316" spans="1:56" x14ac:dyDescent="0.3">
      <c r="A316" s="376" t="s">
        <v>3447</v>
      </c>
      <c r="B316" s="205"/>
      <c r="C316" s="176"/>
      <c r="D316" s="174">
        <v>1</v>
      </c>
      <c r="F316" s="170" t="s">
        <v>3448</v>
      </c>
      <c r="G316" s="206"/>
      <c r="H316" s="206"/>
      <c r="I316" s="206"/>
      <c r="J316" s="206"/>
      <c r="K316" s="206"/>
      <c r="L316" s="206"/>
      <c r="M316" s="206"/>
      <c r="N316" s="206"/>
      <c r="O316" s="206"/>
      <c r="P316" s="206"/>
      <c r="Q316" s="206"/>
      <c r="R316" s="206"/>
      <c r="S316" s="206"/>
      <c r="T316" s="206"/>
      <c r="U316" s="206"/>
      <c r="V316" s="206"/>
      <c r="W316" s="206"/>
      <c r="X316" s="206"/>
      <c r="Y316" s="206"/>
      <c r="Z316" s="206"/>
      <c r="AA316" s="206"/>
      <c r="AB316" s="206"/>
      <c r="AC316" s="206"/>
      <c r="AD316" s="206"/>
      <c r="AE316" s="206"/>
      <c r="AF316" s="206"/>
      <c r="AG316" s="206"/>
      <c r="AH316" s="206"/>
      <c r="AI316" s="206"/>
      <c r="AJ316" s="206"/>
      <c r="AK316" s="206"/>
      <c r="AL316" s="206"/>
      <c r="AM316" s="206"/>
      <c r="AN316" s="206"/>
      <c r="AO316" s="206"/>
      <c r="AP316" s="206"/>
      <c r="AQ316" s="206"/>
      <c r="AR316" s="206"/>
      <c r="AS316" s="206"/>
      <c r="AT316" s="206"/>
      <c r="AU316" s="206"/>
      <c r="AV316" s="206"/>
      <c r="AW316" s="206"/>
      <c r="AX316" s="206"/>
      <c r="AY316" s="206"/>
      <c r="AZ316" s="206"/>
      <c r="BA316" s="206"/>
      <c r="BB316" s="206"/>
      <c r="BC316" s="206"/>
    </row>
    <row r="317" spans="1:56" x14ac:dyDescent="0.3">
      <c r="A317" s="175" t="str">
        <f ca="1">Language!A$701</f>
        <v>численность</v>
      </c>
      <c r="B317" s="295">
        <v>4</v>
      </c>
      <c r="C317" s="176" t="str">
        <f ca="1">Language!$A$1483</f>
        <v>человек</v>
      </c>
      <c r="D317" s="174"/>
      <c r="E317" s="170" t="s">
        <v>843</v>
      </c>
      <c r="F317" s="170" t="s">
        <v>745</v>
      </c>
      <c r="G317" s="296">
        <f t="shared" ref="G317:BB317" si="1492">IF(G$2&gt;Prj_Invest, $B317, 0)</f>
        <v>0</v>
      </c>
      <c r="H317" s="296">
        <f t="shared" si="1492"/>
        <v>0</v>
      </c>
      <c r="I317" s="296">
        <f t="shared" si="1492"/>
        <v>0</v>
      </c>
      <c r="J317" s="296">
        <f t="shared" si="1492"/>
        <v>0</v>
      </c>
      <c r="K317" s="296">
        <f t="shared" si="1492"/>
        <v>0</v>
      </c>
      <c r="L317" s="296">
        <f t="shared" si="1492"/>
        <v>0</v>
      </c>
      <c r="M317" s="296">
        <f t="shared" si="1492"/>
        <v>4</v>
      </c>
      <c r="N317" s="296">
        <f t="shared" si="1492"/>
        <v>4</v>
      </c>
      <c r="O317" s="296">
        <f t="shared" si="1492"/>
        <v>4</v>
      </c>
      <c r="P317" s="296">
        <f t="shared" si="1492"/>
        <v>4</v>
      </c>
      <c r="Q317" s="296">
        <f t="shared" si="1492"/>
        <v>4</v>
      </c>
      <c r="R317" s="296">
        <f t="shared" si="1492"/>
        <v>4</v>
      </c>
      <c r="S317" s="296">
        <f t="shared" si="1492"/>
        <v>4</v>
      </c>
      <c r="T317" s="296">
        <f t="shared" si="1492"/>
        <v>4</v>
      </c>
      <c r="U317" s="296">
        <f t="shared" si="1492"/>
        <v>4</v>
      </c>
      <c r="V317" s="296">
        <f t="shared" si="1492"/>
        <v>4</v>
      </c>
      <c r="W317" s="296">
        <f t="shared" si="1492"/>
        <v>4</v>
      </c>
      <c r="X317" s="296">
        <f t="shared" si="1492"/>
        <v>4</v>
      </c>
      <c r="Y317" s="296">
        <f t="shared" si="1492"/>
        <v>4</v>
      </c>
      <c r="Z317" s="296">
        <f t="shared" si="1492"/>
        <v>4</v>
      </c>
      <c r="AA317" s="296">
        <f t="shared" si="1492"/>
        <v>4</v>
      </c>
      <c r="AB317" s="296">
        <f t="shared" si="1492"/>
        <v>4</v>
      </c>
      <c r="AC317" s="296">
        <f t="shared" si="1492"/>
        <v>4</v>
      </c>
      <c r="AD317" s="296">
        <f t="shared" si="1492"/>
        <v>4</v>
      </c>
      <c r="AE317" s="296">
        <f t="shared" si="1492"/>
        <v>4</v>
      </c>
      <c r="AF317" s="296">
        <f t="shared" si="1492"/>
        <v>4</v>
      </c>
      <c r="AG317" s="296">
        <f t="shared" si="1492"/>
        <v>4</v>
      </c>
      <c r="AH317" s="296">
        <f t="shared" si="1492"/>
        <v>4</v>
      </c>
      <c r="AI317" s="296">
        <f t="shared" si="1492"/>
        <v>4</v>
      </c>
      <c r="AJ317" s="296">
        <f t="shared" si="1492"/>
        <v>4</v>
      </c>
      <c r="AK317" s="296">
        <f t="shared" si="1492"/>
        <v>4</v>
      </c>
      <c r="AL317" s="296">
        <f t="shared" si="1492"/>
        <v>4</v>
      </c>
      <c r="AM317" s="296">
        <f t="shared" si="1492"/>
        <v>4</v>
      </c>
      <c r="AN317" s="296">
        <f t="shared" si="1492"/>
        <v>4</v>
      </c>
      <c r="AO317" s="296">
        <f t="shared" si="1492"/>
        <v>4</v>
      </c>
      <c r="AP317" s="296">
        <f t="shared" si="1492"/>
        <v>4</v>
      </c>
      <c r="AQ317" s="296">
        <f t="shared" si="1492"/>
        <v>4</v>
      </c>
      <c r="AR317" s="296">
        <f t="shared" si="1492"/>
        <v>4</v>
      </c>
      <c r="AS317" s="296">
        <f t="shared" si="1492"/>
        <v>4</v>
      </c>
      <c r="AT317" s="296">
        <f t="shared" si="1492"/>
        <v>4</v>
      </c>
      <c r="AU317" s="296">
        <f t="shared" si="1492"/>
        <v>4</v>
      </c>
      <c r="AV317" s="296">
        <f t="shared" si="1492"/>
        <v>4</v>
      </c>
      <c r="AW317" s="296">
        <f t="shared" si="1492"/>
        <v>4</v>
      </c>
      <c r="AX317" s="296">
        <f t="shared" si="1492"/>
        <v>4</v>
      </c>
      <c r="AY317" s="296">
        <f t="shared" si="1492"/>
        <v>4</v>
      </c>
      <c r="AZ317" s="296">
        <f t="shared" si="1492"/>
        <v>4</v>
      </c>
      <c r="BA317" s="296">
        <f t="shared" si="1492"/>
        <v>4</v>
      </c>
      <c r="BB317" s="296">
        <f t="shared" si="1492"/>
        <v>4</v>
      </c>
      <c r="BC317" s="202"/>
    </row>
    <row r="318" spans="1:56" x14ac:dyDescent="0.3">
      <c r="A318" s="175" t="str">
        <f ca="1">Language!A$702</f>
        <v>средний оклад, в месяц</v>
      </c>
      <c r="B318" s="284">
        <v>35000</v>
      </c>
      <c r="C318" s="176" t="str">
        <f ca="1">CHOOSE(D316,CurName1,CurName2,CurName3)</f>
        <v>руб.</v>
      </c>
      <c r="E318" s="170" t="s">
        <v>844</v>
      </c>
      <c r="F318" s="170" t="s">
        <v>2346</v>
      </c>
      <c r="G318" s="285">
        <f t="shared" ref="G318" ca="1" si="1493">IF(G$2=1,$B318,F318)*IF($B322=1,G322,G321)</f>
        <v>35000</v>
      </c>
      <c r="H318" s="285">
        <f t="shared" ref="H318" ca="1" si="1494">IF(H$2=1,$B318,G318)*IF($B322=1,H322,H321)</f>
        <v>35170.364269787009</v>
      </c>
      <c r="I318" s="285">
        <f t="shared" ref="I318" ca="1" si="1495">IF(I$2=1,$B318,H318)*IF($B322=1,I322,I321)</f>
        <v>35341.557796271729</v>
      </c>
      <c r="J318" s="285">
        <f t="shared" ref="J318" ca="1" si="1496">IF(J$2=1,$B318,I318)*IF($B322=1,J322,J321)</f>
        <v>35513.584615903077</v>
      </c>
      <c r="K318" s="285">
        <f t="shared" ref="K318" ca="1" si="1497">IF(K$2=1,$B318,J318)*IF($B322=1,K322,K321)</f>
        <v>35686.448784777574</v>
      </c>
      <c r="L318" s="285">
        <f t="shared" ref="L318" ca="1" si="1498">IF(L$2=1,$B318,K318)*IF($B322=1,L322,L321)</f>
        <v>35860.154378735002</v>
      </c>
      <c r="M318" s="285">
        <f t="shared" ref="M318" ca="1" si="1499">IF(M$2=1,$B318,L318)*IF($B322=1,M322,M321)</f>
        <v>36034.705493454501</v>
      </c>
      <c r="N318" s="285">
        <f t="shared" ref="N318" ca="1" si="1500">IF(N$2=1,$B318,M318)*IF($B322=1,N322,N321)</f>
        <v>36210.106244551134</v>
      </c>
      <c r="O318" s="285">
        <f t="shared" ref="O318" ca="1" si="1501">IF(O$2=1,$B318,N318)*IF($B322=1,O322,O321)</f>
        <v>36386.36076767293</v>
      </c>
      <c r="P318" s="285">
        <f t="shared" ref="P318" ca="1" si="1502">IF(P$2=1,$B318,O318)*IF($B322=1,P322,P321)</f>
        <v>36563.473218598396</v>
      </c>
      <c r="Q318" s="285">
        <f t="shared" ref="Q318" ca="1" si="1503">IF(Q$2=1,$B318,P318)*IF($B322=1,Q322,Q321)</f>
        <v>36741.44777333449</v>
      </c>
      <c r="R318" s="285">
        <f t="shared" ref="R318" ca="1" si="1504">IF(R$2=1,$B318,Q318)*IF($B322=1,R322,R321)</f>
        <v>36920.288628215108</v>
      </c>
      <c r="S318" s="285">
        <f t="shared" ref="S318" ca="1" si="1505">IF(S$2=1,$B318,R318)*IF($B322=1,S322,S321)</f>
        <v>37100.000000000007</v>
      </c>
      <c r="T318" s="285">
        <f t="shared" ref="T318" ca="1" si="1506">IF(T$2=1,$B318,S318)*IF($B322=1,T322,T321)</f>
        <v>37280.586125974238</v>
      </c>
      <c r="U318" s="285">
        <f t="shared" ref="U318" ca="1" si="1507">IF(U$2=1,$B318,T318)*IF($B322=1,U322,U321)</f>
        <v>37462.051264048045</v>
      </c>
      <c r="V318" s="285">
        <f t="shared" ref="V318" ca="1" si="1508">IF(V$2=1,$B318,U318)*IF($B322=1,V322,V321)</f>
        <v>37644.399692857274</v>
      </c>
      <c r="W318" s="285">
        <f t="shared" ref="W318" ca="1" si="1509">IF(W$2=1,$B318,V318)*IF($B322=1,W322,W321)</f>
        <v>37827.635711864241</v>
      </c>
      <c r="X318" s="285">
        <f t="shared" ref="X318" ca="1" si="1510">IF(X$2=1,$B318,W318)*IF($B322=1,X322,X321)</f>
        <v>38011.763641459118</v>
      </c>
      <c r="Y318" s="285">
        <f t="shared" ref="Y318" ca="1" si="1511">IF(Y$2=1,$B318,X318)*IF($B322=1,Y322,Y321)</f>
        <v>38196.787823061786</v>
      </c>
      <c r="Z318" s="285">
        <f t="shared" ref="Z318" ca="1" si="1512">IF(Z$2=1,$B318,Y318)*IF($B322=1,Z322,Z321)</f>
        <v>38382.712619224221</v>
      </c>
      <c r="AA318" s="285">
        <f t="shared" ref="AA318" ca="1" si="1513">IF(AA$2=1,$B318,Z318)*IF($B322=1,AA322,AA321)</f>
        <v>38569.542413733325</v>
      </c>
      <c r="AB318" s="285">
        <f t="shared" ref="AB318" ca="1" si="1514">IF(AB$2=1,$B318,AA318)*IF($B322=1,AB322,AB321)</f>
        <v>38757.281611714316</v>
      </c>
      <c r="AC318" s="285">
        <f t="shared" ref="AC318" ca="1" si="1515">IF(AC$2=1,$B318,AB318)*IF($B322=1,AC322,AC321)</f>
        <v>38945.934639734573</v>
      </c>
      <c r="AD318" s="285">
        <f t="shared" ref="AD318" ca="1" si="1516">IF(AD$2=1,$B318,AC318)*IF($B322=1,AD322,AD321)</f>
        <v>39135.505945908029</v>
      </c>
      <c r="AE318" s="285">
        <f t="shared" ref="AE318" ca="1" si="1517">IF(AE$2=1,$B318,AD318)*IF($B322=1,AE322,AE321)</f>
        <v>39326.000000000022</v>
      </c>
      <c r="AF318" s="285">
        <f t="shared" ref="AF318" ca="1" si="1518">IF(AF$2=1,$B318,AE318)*IF($B322=1,AF322,AF321)</f>
        <v>39517.421293532701</v>
      </c>
      <c r="AG318" s="285">
        <f t="shared" ref="AG318" ca="1" si="1519">IF(AG$2=1,$B318,AF318)*IF($B322=1,AG322,AG321)</f>
        <v>39709.774339890937</v>
      </c>
      <c r="AH318" s="285">
        <f t="shared" ref="AH318" ca="1" si="1520">IF(AH$2=1,$B318,AG318)*IF($B322=1,AH322,AH321)</f>
        <v>39903.063674428719</v>
      </c>
      <c r="AI318" s="285">
        <f t="shared" ref="AI318" ca="1" si="1521">IF(AI$2=1,$B318,AH318)*IF($B322=1,AI322,AI321)</f>
        <v>40097.293854576106</v>
      </c>
      <c r="AJ318" s="285">
        <f t="shared" ref="AJ318" ca="1" si="1522">IF(AJ$2=1,$B318,AI318)*IF($B322=1,AJ322,AJ321)</f>
        <v>40292.469459946675</v>
      </c>
      <c r="AK318" s="285">
        <f t="shared" ref="AK318" ca="1" si="1523">IF(AK$2=1,$B318,AJ318)*IF($B322=1,AK322,AK321)</f>
        <v>40488.595092445503</v>
      </c>
      <c r="AL318" s="285">
        <f t="shared" ref="AL318" ca="1" si="1524">IF(AL$2=1,$B318,AK318)*IF($B322=1,AL322,AL321)</f>
        <v>40685.67537637768</v>
      </c>
      <c r="AM318" s="285">
        <f t="shared" ref="AM318" ca="1" si="1525">IF(AM$2=1,$B318,AL318)*IF($B322=1,AM322,AM321)</f>
        <v>40883.714958557328</v>
      </c>
      <c r="AN318" s="285">
        <f t="shared" ref="AN318" ca="1" si="1526">IF(AN$2=1,$B318,AM318)*IF($B322=1,AN322,AN321)</f>
        <v>41082.71850841718</v>
      </c>
      <c r="AO318" s="285">
        <f t="shared" ref="AO318" ca="1" si="1527">IF(AO$2=1,$B318,AN318)*IF($B322=1,AO322,AO321)</f>
        <v>41282.690718118654</v>
      </c>
      <c r="AP318" s="285">
        <f t="shared" ref="AP318" ca="1" si="1528">IF(AP$2=1,$B318,AO318)*IF($B322=1,AP322,AP321)</f>
        <v>41483.636302662519</v>
      </c>
      <c r="AQ318" s="285">
        <f t="shared" ref="AQ318" ca="1" si="1529">IF(AQ$2=1,$B318,AP318)*IF($B322=1,AQ322,AQ321)</f>
        <v>41685.560000000027</v>
      </c>
      <c r="AR318" s="285">
        <f t="shared" ref="AR318" ca="1" si="1530">IF(AR$2=1,$B318,AQ318)*IF($B322=1,AR322,AR321)</f>
        <v>41888.466571144665</v>
      </c>
      <c r="AS318" s="285">
        <f t="shared" ref="AS318" ca="1" si="1531">IF(AS$2=1,$B318,AR318)*IF($B322=1,AS322,AS321)</f>
        <v>42092.36080028439</v>
      </c>
      <c r="AT318" s="285">
        <f t="shared" ref="AT318" ca="1" si="1532">IF(AT$2=1,$B318,AS318)*IF($B322=1,AT322,AT321)</f>
        <v>42297.247494894436</v>
      </c>
      <c r="AU318" s="285">
        <f t="shared" ref="AU318" ca="1" si="1533">IF(AU$2=1,$B318,AT318)*IF($B322=1,AU322,AU321)</f>
        <v>42503.131485850667</v>
      </c>
      <c r="AV318" s="285">
        <f t="shared" ref="AV318" ca="1" si="1534">IF(AV$2=1,$B318,AU318)*IF($B322=1,AV322,AV321)</f>
        <v>42710.017627543471</v>
      </c>
      <c r="AW318" s="285">
        <f t="shared" ref="AW318" ca="1" si="1535">IF(AW$2=1,$B318,AV318)*IF($B322=1,AW322,AW321)</f>
        <v>42917.910797992234</v>
      </c>
      <c r="AX318" s="285">
        <f t="shared" ref="AX318" ca="1" si="1536">IF(AX$2=1,$B318,AW318)*IF($B322=1,AX322,AX321)</f>
        <v>43126.81589896034</v>
      </c>
      <c r="AY318" s="285">
        <f t="shared" ref="AY318" ca="1" si="1537">IF(AY$2=1,$B318,AX318)*IF($B322=1,AY322,AY321)</f>
        <v>43336.737856070773</v>
      </c>
      <c r="AZ318" s="285">
        <f t="shared" ref="AZ318" ca="1" si="1538">IF(AZ$2=1,$B318,AY318)*IF($B322=1,AZ322,AZ321)</f>
        <v>43547.681618922215</v>
      </c>
      <c r="BA318" s="285">
        <f t="shared" ref="BA318" ca="1" si="1539">IF(BA$2=1,$B318,AZ318)*IF($B322=1,BA322,BA321)</f>
        <v>43759.652161205777</v>
      </c>
      <c r="BB318" s="285">
        <f t="shared" ref="BB318" ca="1" si="1540">IF(BB$2=1,$B318,BA318)*IF($B322=1,BB322,BB321)</f>
        <v>43972.654480822268</v>
      </c>
      <c r="BC318" s="177"/>
    </row>
    <row r="319" spans="1:56" collapsed="1" x14ac:dyDescent="0.3">
      <c r="A319" s="175" t="str">
        <f ca="1">Language!A$703</f>
        <v>заработная плата</v>
      </c>
      <c r="B319" s="205" t="str">
        <f ca="1">Language!$A$1479</f>
        <v>за период</v>
      </c>
      <c r="C319" s="176" t="str">
        <f t="shared" ref="C319" ca="1" si="1541">CHOOSE(D319,CurName1,CurName2,CurName3)</f>
        <v>руб.</v>
      </c>
      <c r="D319" s="174">
        <f>D316</f>
        <v>1</v>
      </c>
      <c r="E319" s="170" t="s">
        <v>784</v>
      </c>
      <c r="F319" s="170" t="s">
        <v>740</v>
      </c>
      <c r="G319" s="177">
        <f ca="1">G317*G318*Параметры!G$31</f>
        <v>0</v>
      </c>
      <c r="H319" s="177">
        <f ca="1">H317*H318*Параметры!H$31</f>
        <v>0</v>
      </c>
      <c r="I319" s="177">
        <f ca="1">I317*I318*Параметры!I$31</f>
        <v>0</v>
      </c>
      <c r="J319" s="177">
        <f ca="1">J317*J318*Параметры!J$31</f>
        <v>0</v>
      </c>
      <c r="K319" s="177">
        <f ca="1">K317*K318*Параметры!K$31</f>
        <v>0</v>
      </c>
      <c r="L319" s="177">
        <f ca="1">L317*L318*Параметры!L$31</f>
        <v>0</v>
      </c>
      <c r="M319" s="177">
        <f ca="1">M317*M318*Параметры!M$31</f>
        <v>144138.82197381801</v>
      </c>
      <c r="N319" s="177">
        <f ca="1">N317*N318*Параметры!N$31</f>
        <v>144840.42497820454</v>
      </c>
      <c r="O319" s="177">
        <f ca="1">O317*O318*Параметры!O$31</f>
        <v>145545.44307069172</v>
      </c>
      <c r="P319" s="177">
        <f ca="1">P317*P318*Параметры!P$31</f>
        <v>146253.89287439358</v>
      </c>
      <c r="Q319" s="177">
        <f ca="1">Q317*Q318*Параметры!Q$31</f>
        <v>146965.79109333796</v>
      </c>
      <c r="R319" s="177">
        <f ca="1">R317*R318*Параметры!R$31</f>
        <v>147681.15451286043</v>
      </c>
      <c r="S319" s="177">
        <f ca="1">S317*S318*Параметры!S$31</f>
        <v>148400.00000000003</v>
      </c>
      <c r="T319" s="177">
        <f ca="1">T317*T318*Параметры!T$31</f>
        <v>149122.34450389695</v>
      </c>
      <c r="U319" s="177">
        <f ca="1">U317*U318*Параметры!U$31</f>
        <v>149848.20505619218</v>
      </c>
      <c r="V319" s="177">
        <f ca="1">V317*V318*Параметры!V$31</f>
        <v>150577.5987714291</v>
      </c>
      <c r="W319" s="177">
        <f ca="1">W317*W318*Параметры!W$31</f>
        <v>151310.54284745696</v>
      </c>
      <c r="X319" s="177">
        <f ca="1">X317*X318*Параметры!X$31</f>
        <v>152047.05456583647</v>
      </c>
      <c r="Y319" s="177">
        <f ca="1">Y317*Y318*Параметры!Y$31</f>
        <v>152787.15129224714</v>
      </c>
      <c r="Z319" s="177">
        <f ca="1">Z317*Z318*Параметры!Z$31</f>
        <v>153530.85047689689</v>
      </c>
      <c r="AA319" s="177">
        <f ca="1">AA317*AA318*Параметры!AA$31</f>
        <v>154278.1696549333</v>
      </c>
      <c r="AB319" s="177">
        <f ca="1">AB317*AB318*Параметры!AB$31</f>
        <v>155029.12644685726</v>
      </c>
      <c r="AC319" s="177">
        <f ca="1">AC317*AC318*Параметры!AC$31</f>
        <v>155783.73855893829</v>
      </c>
      <c r="AD319" s="177">
        <f ca="1">AD317*AD318*Параметры!AD$31</f>
        <v>156542.02378363212</v>
      </c>
      <c r="AE319" s="177">
        <f ca="1">AE317*AE318*Параметры!AE$31</f>
        <v>157304.00000000009</v>
      </c>
      <c r="AF319" s="177">
        <f ca="1">AF317*AF318*Параметры!AF$31</f>
        <v>158069.68517413081</v>
      </c>
      <c r="AG319" s="177">
        <f ca="1">AG317*AG318*Параметры!AG$31</f>
        <v>158839.09735956375</v>
      </c>
      <c r="AH319" s="177">
        <f ca="1">AH317*AH318*Параметры!AH$31</f>
        <v>159612.25469771487</v>
      </c>
      <c r="AI319" s="177">
        <f ca="1">AI317*AI318*Параметры!AI$31</f>
        <v>160389.17541830442</v>
      </c>
      <c r="AJ319" s="177">
        <f ca="1">AJ317*AJ318*Параметры!AJ$31</f>
        <v>161169.8778397867</v>
      </c>
      <c r="AK319" s="177">
        <f ca="1">AK317*AK318*Параметры!AK$31</f>
        <v>161954.38036978201</v>
      </c>
      <c r="AL319" s="177">
        <f ca="1">AL317*AL318*Параметры!AL$31</f>
        <v>162742.70150551072</v>
      </c>
      <c r="AM319" s="177">
        <f ca="1">AM317*AM318*Параметры!AM$31</f>
        <v>163534.85983422931</v>
      </c>
      <c r="AN319" s="177">
        <f ca="1">AN317*AN318*Параметры!AN$31</f>
        <v>164330.87403366872</v>
      </c>
      <c r="AO319" s="177">
        <f ca="1">AO317*AO318*Параметры!AO$31</f>
        <v>165130.76287247462</v>
      </c>
      <c r="AP319" s="177">
        <f ca="1">AP317*AP318*Параметры!AP$31</f>
        <v>165934.54521065007</v>
      </c>
      <c r="AQ319" s="177">
        <f ca="1">AQ317*AQ318*Параметры!AQ$31</f>
        <v>166742.24000000011</v>
      </c>
      <c r="AR319" s="177">
        <f ca="1">AR317*AR318*Параметры!AR$31</f>
        <v>167553.86628457866</v>
      </c>
      <c r="AS319" s="177">
        <f ca="1">AS317*AS318*Параметры!AS$31</f>
        <v>168369.44320113756</v>
      </c>
      <c r="AT319" s="177">
        <f ca="1">AT317*AT318*Параметры!AT$31</f>
        <v>169188.98997957775</v>
      </c>
      <c r="AU319" s="177">
        <f ca="1">AU317*AU318*Параметры!AU$31</f>
        <v>170012.52594340267</v>
      </c>
      <c r="AV319" s="177">
        <f ca="1">AV317*AV318*Параметры!AV$31</f>
        <v>170840.07051017389</v>
      </c>
      <c r="AW319" s="177">
        <f ca="1">AW317*AW318*Параметры!AW$31</f>
        <v>171671.64319196893</v>
      </c>
      <c r="AX319" s="177">
        <f ca="1">AX317*AX318*Параметры!AX$31</f>
        <v>172507.26359584136</v>
      </c>
      <c r="AY319" s="177">
        <f ca="1">AY317*AY318*Параметры!AY$31</f>
        <v>173346.95142428309</v>
      </c>
      <c r="AZ319" s="177">
        <f ca="1">AZ317*AZ318*Параметры!AZ$31</f>
        <v>174190.72647568886</v>
      </c>
      <c r="BA319" s="177">
        <f ca="1">BA317*BA318*Параметры!BA$31</f>
        <v>175038.60864482311</v>
      </c>
      <c r="BB319" s="177">
        <f ca="1">BB317*BB318*Параметры!BB$31</f>
        <v>175890.61792328907</v>
      </c>
      <c r="BC319" s="177"/>
      <c r="BD319" s="178">
        <f ca="1">SUM(G319:BC319)</f>
        <v>6699047.4959522039</v>
      </c>
    </row>
    <row r="320" spans="1:56" hidden="1" outlineLevel="1" x14ac:dyDescent="0.3">
      <c r="A320" s="184" t="str">
        <f ca="1">Language!A$705</f>
        <v>темп изменения цен</v>
      </c>
      <c r="B320" s="189"/>
      <c r="C320" s="163" t="str">
        <f ca="1">Language!$A$480</f>
        <v>% в год</v>
      </c>
      <c r="D320" s="174"/>
      <c r="F320" s="170" t="s">
        <v>2346</v>
      </c>
      <c r="G320" s="290">
        <f>CHOOSE($D316,Параметры!G$50,Параметры!G$56,Параметры!G$62)</f>
        <v>0.06</v>
      </c>
      <c r="H320" s="290">
        <f>CHOOSE($D316,Параметры!H$50,Параметры!H$56,Параметры!H$62)</f>
        <v>0.06</v>
      </c>
      <c r="I320" s="290">
        <f>CHOOSE($D316,Параметры!I$50,Параметры!I$56,Параметры!I$62)</f>
        <v>0.06</v>
      </c>
      <c r="J320" s="290">
        <f>CHOOSE($D316,Параметры!J$50,Параметры!J$56,Параметры!J$62)</f>
        <v>0.06</v>
      </c>
      <c r="K320" s="290">
        <f>CHOOSE($D316,Параметры!K$50,Параметры!K$56,Параметры!K$62)</f>
        <v>0.06</v>
      </c>
      <c r="L320" s="290">
        <f>CHOOSE($D316,Параметры!L$50,Параметры!L$56,Параметры!L$62)</f>
        <v>0.06</v>
      </c>
      <c r="M320" s="290">
        <f>CHOOSE($D316,Параметры!M$50,Параметры!M$56,Параметры!M$62)</f>
        <v>0.06</v>
      </c>
      <c r="N320" s="290">
        <f>CHOOSE($D316,Параметры!N$50,Параметры!N$56,Параметры!N$62)</f>
        <v>0.06</v>
      </c>
      <c r="O320" s="290">
        <f>CHOOSE($D316,Параметры!O$50,Параметры!O$56,Параметры!O$62)</f>
        <v>0.06</v>
      </c>
      <c r="P320" s="290">
        <f>CHOOSE($D316,Параметры!P$50,Параметры!P$56,Параметры!P$62)</f>
        <v>0.06</v>
      </c>
      <c r="Q320" s="290">
        <f>CHOOSE($D316,Параметры!Q$50,Параметры!Q$56,Параметры!Q$62)</f>
        <v>0.06</v>
      </c>
      <c r="R320" s="290">
        <f>CHOOSE($D316,Параметры!R$50,Параметры!R$56,Параметры!R$62)</f>
        <v>0.06</v>
      </c>
      <c r="S320" s="290">
        <f>CHOOSE($D316,Параметры!S$50,Параметры!S$56,Параметры!S$62)</f>
        <v>0.06</v>
      </c>
      <c r="T320" s="290">
        <f>CHOOSE($D316,Параметры!T$50,Параметры!T$56,Параметры!T$62)</f>
        <v>0.06</v>
      </c>
      <c r="U320" s="290">
        <f>CHOOSE($D316,Параметры!U$50,Параметры!U$56,Параметры!U$62)</f>
        <v>0.06</v>
      </c>
      <c r="V320" s="290">
        <f>CHOOSE($D316,Параметры!V$50,Параметры!V$56,Параметры!V$62)</f>
        <v>0.06</v>
      </c>
      <c r="W320" s="290">
        <f>CHOOSE($D316,Параметры!W$50,Параметры!W$56,Параметры!W$62)</f>
        <v>0.06</v>
      </c>
      <c r="X320" s="290">
        <f>CHOOSE($D316,Параметры!X$50,Параметры!X$56,Параметры!X$62)</f>
        <v>0.06</v>
      </c>
      <c r="Y320" s="290">
        <f>CHOOSE($D316,Параметры!Y$50,Параметры!Y$56,Параметры!Y$62)</f>
        <v>0.06</v>
      </c>
      <c r="Z320" s="290">
        <f>CHOOSE($D316,Параметры!Z$50,Параметры!Z$56,Параметры!Z$62)</f>
        <v>0.06</v>
      </c>
      <c r="AA320" s="290">
        <f>CHOOSE($D316,Параметры!AA$50,Параметры!AA$56,Параметры!AA$62)</f>
        <v>0.06</v>
      </c>
      <c r="AB320" s="290">
        <f>CHOOSE($D316,Параметры!AB$50,Параметры!AB$56,Параметры!AB$62)</f>
        <v>0.06</v>
      </c>
      <c r="AC320" s="290">
        <f>CHOOSE($D316,Параметры!AC$50,Параметры!AC$56,Параметры!AC$62)</f>
        <v>0.06</v>
      </c>
      <c r="AD320" s="290">
        <f>CHOOSE($D316,Параметры!AD$50,Параметры!AD$56,Параметры!AD$62)</f>
        <v>0.06</v>
      </c>
      <c r="AE320" s="290">
        <f>CHOOSE($D316,Параметры!AE$50,Параметры!AE$56,Параметры!AE$62)</f>
        <v>0.06</v>
      </c>
      <c r="AF320" s="290">
        <f>CHOOSE($D316,Параметры!AF$50,Параметры!AF$56,Параметры!AF$62)</f>
        <v>0.06</v>
      </c>
      <c r="AG320" s="290">
        <f>CHOOSE($D316,Параметры!AG$50,Параметры!AG$56,Параметры!AG$62)</f>
        <v>0.06</v>
      </c>
      <c r="AH320" s="290">
        <f>CHOOSE($D316,Параметры!AH$50,Параметры!AH$56,Параметры!AH$62)</f>
        <v>0.06</v>
      </c>
      <c r="AI320" s="290">
        <f>CHOOSE($D316,Параметры!AI$50,Параметры!AI$56,Параметры!AI$62)</f>
        <v>0.06</v>
      </c>
      <c r="AJ320" s="290">
        <f>CHOOSE($D316,Параметры!AJ$50,Параметры!AJ$56,Параметры!AJ$62)</f>
        <v>0.06</v>
      </c>
      <c r="AK320" s="290">
        <f>CHOOSE($D316,Параметры!AK$50,Параметры!AK$56,Параметры!AK$62)</f>
        <v>0.06</v>
      </c>
      <c r="AL320" s="290">
        <f>CHOOSE($D316,Параметры!AL$50,Параметры!AL$56,Параметры!AL$62)</f>
        <v>0.06</v>
      </c>
      <c r="AM320" s="290">
        <f>CHOOSE($D316,Параметры!AM$50,Параметры!AM$56,Параметры!AM$62)</f>
        <v>0.06</v>
      </c>
      <c r="AN320" s="290">
        <f>CHOOSE($D316,Параметры!AN$50,Параметры!AN$56,Параметры!AN$62)</f>
        <v>0.06</v>
      </c>
      <c r="AO320" s="290">
        <f>CHOOSE($D316,Параметры!AO$50,Параметры!AO$56,Параметры!AO$62)</f>
        <v>0.06</v>
      </c>
      <c r="AP320" s="290">
        <f>CHOOSE($D316,Параметры!AP$50,Параметры!AP$56,Параметры!AP$62)</f>
        <v>0.06</v>
      </c>
      <c r="AQ320" s="290">
        <f>CHOOSE($D316,Параметры!AQ$50,Параметры!AQ$56,Параметры!AQ$62)</f>
        <v>0.06</v>
      </c>
      <c r="AR320" s="290">
        <f>CHOOSE($D316,Параметры!AR$50,Параметры!AR$56,Параметры!AR$62)</f>
        <v>0.06</v>
      </c>
      <c r="AS320" s="290">
        <f>CHOOSE($D316,Параметры!AS$50,Параметры!AS$56,Параметры!AS$62)</f>
        <v>0.06</v>
      </c>
      <c r="AT320" s="290">
        <f>CHOOSE($D316,Параметры!AT$50,Параметры!AT$56,Параметры!AT$62)</f>
        <v>0.06</v>
      </c>
      <c r="AU320" s="290">
        <f>CHOOSE($D316,Параметры!AU$50,Параметры!AU$56,Параметры!AU$62)</f>
        <v>0.06</v>
      </c>
      <c r="AV320" s="290">
        <f>CHOOSE($D316,Параметры!AV$50,Параметры!AV$56,Параметры!AV$62)</f>
        <v>0.06</v>
      </c>
      <c r="AW320" s="290">
        <f>CHOOSE($D316,Параметры!AW$50,Параметры!AW$56,Параметры!AW$62)</f>
        <v>0.06</v>
      </c>
      <c r="AX320" s="290">
        <f>CHOOSE($D316,Параметры!AX$50,Параметры!AX$56,Параметры!AX$62)</f>
        <v>0.06</v>
      </c>
      <c r="AY320" s="290">
        <f>CHOOSE($D316,Параметры!AY$50,Параметры!AY$56,Параметры!AY$62)</f>
        <v>0.06</v>
      </c>
      <c r="AZ320" s="290">
        <f>CHOOSE($D316,Параметры!AZ$50,Параметры!AZ$56,Параметры!AZ$62)</f>
        <v>0.06</v>
      </c>
      <c r="BA320" s="290">
        <f>CHOOSE($D316,Параметры!BA$50,Параметры!BA$56,Параметры!BA$62)</f>
        <v>0.06</v>
      </c>
      <c r="BB320" s="290">
        <f>CHOOSE($D316,Параметры!BB$50,Параметры!BB$56,Параметры!BB$62)</f>
        <v>0.06</v>
      </c>
      <c r="BC320" s="190"/>
      <c r="BD320" s="186"/>
    </row>
    <row r="321" spans="1:56" hidden="1" outlineLevel="1" x14ac:dyDescent="0.3">
      <c r="A321" s="184" t="str">
        <f ca="1">Language!A$675</f>
        <v>коэффициент прироста цен к предыдущему периоду</v>
      </c>
      <c r="B321" s="189"/>
      <c r="C321" s="163" t="str">
        <f ca="1">Language!$A$1477</f>
        <v>раз</v>
      </c>
      <c r="D321" s="174"/>
      <c r="F321" s="170" t="s">
        <v>745</v>
      </c>
      <c r="G321" s="191">
        <f ca="1">IF(G$2=1,1,IF(Prj_Inflation=1, (1+OFFSET(G320,0,-1))^(Параметры!G$30/360), 1))</f>
        <v>1</v>
      </c>
      <c r="H321" s="191">
        <f ca="1">IF(H$2=1,1,IF(Prj_Inflation=1, (1+OFFSET(H320,0,-1))^(Параметры!H$30/360), 1))</f>
        <v>1.004867550565343</v>
      </c>
      <c r="I321" s="191">
        <f ca="1">IF(I$2=1,1,IF(Prj_Inflation=1, (1+OFFSET(I320,0,-1))^(Параметры!I$30/360), 1))</f>
        <v>1.004867550565343</v>
      </c>
      <c r="J321" s="191">
        <f ca="1">IF(J$2=1,1,IF(Prj_Inflation=1, (1+OFFSET(J320,0,-1))^(Параметры!J$30/360), 1))</f>
        <v>1.004867550565343</v>
      </c>
      <c r="K321" s="191">
        <f ca="1">IF(K$2=1,1,IF(Prj_Inflation=1, (1+OFFSET(K320,0,-1))^(Параметры!K$30/360), 1))</f>
        <v>1.004867550565343</v>
      </c>
      <c r="L321" s="191">
        <f ca="1">IF(L$2=1,1,IF(Prj_Inflation=1, (1+OFFSET(L320,0,-1))^(Параметры!L$30/360), 1))</f>
        <v>1.004867550565343</v>
      </c>
      <c r="M321" s="191">
        <f ca="1">IF(M$2=1,1,IF(Prj_Inflation=1, (1+OFFSET(M320,0,-1))^(Параметры!M$30/360), 1))</f>
        <v>1.004867550565343</v>
      </c>
      <c r="N321" s="191">
        <f ca="1">IF(N$2=1,1,IF(Prj_Inflation=1, (1+OFFSET(N320,0,-1))^(Параметры!N$30/360), 1))</f>
        <v>1.004867550565343</v>
      </c>
      <c r="O321" s="191">
        <f ca="1">IF(O$2=1,1,IF(Prj_Inflation=1, (1+OFFSET(O320,0,-1))^(Параметры!O$30/360), 1))</f>
        <v>1.004867550565343</v>
      </c>
      <c r="P321" s="191">
        <f ca="1">IF(P$2=1,1,IF(Prj_Inflation=1, (1+OFFSET(P320,0,-1))^(Параметры!P$30/360), 1))</f>
        <v>1.004867550565343</v>
      </c>
      <c r="Q321" s="191">
        <f ca="1">IF(Q$2=1,1,IF(Prj_Inflation=1, (1+OFFSET(Q320,0,-1))^(Параметры!Q$30/360), 1))</f>
        <v>1.004867550565343</v>
      </c>
      <c r="R321" s="191">
        <f ca="1">IF(R$2=1,1,IF(Prj_Inflation=1, (1+OFFSET(R320,0,-1))^(Параметры!R$30/360), 1))</f>
        <v>1.004867550565343</v>
      </c>
      <c r="S321" s="191">
        <f ca="1">IF(S$2=1,1,IF(Prj_Inflation=1, (1+OFFSET(S320,0,-1))^(Параметры!S$30/360), 1))</f>
        <v>1.004867550565343</v>
      </c>
      <c r="T321" s="191">
        <f ca="1">IF(T$2=1,1,IF(Prj_Inflation=1, (1+OFFSET(T320,0,-1))^(Параметры!T$30/360), 1))</f>
        <v>1.004867550565343</v>
      </c>
      <c r="U321" s="191">
        <f ca="1">IF(U$2=1,1,IF(Prj_Inflation=1, (1+OFFSET(U320,0,-1))^(Параметры!U$30/360), 1))</f>
        <v>1.004867550565343</v>
      </c>
      <c r="V321" s="191">
        <f ca="1">IF(V$2=1,1,IF(Prj_Inflation=1, (1+OFFSET(V320,0,-1))^(Параметры!V$30/360), 1))</f>
        <v>1.004867550565343</v>
      </c>
      <c r="W321" s="191">
        <f ca="1">IF(W$2=1,1,IF(Prj_Inflation=1, (1+OFFSET(W320,0,-1))^(Параметры!W$30/360), 1))</f>
        <v>1.004867550565343</v>
      </c>
      <c r="X321" s="191">
        <f ca="1">IF(X$2=1,1,IF(Prj_Inflation=1, (1+OFFSET(X320,0,-1))^(Параметры!X$30/360), 1))</f>
        <v>1.004867550565343</v>
      </c>
      <c r="Y321" s="191">
        <f ca="1">IF(Y$2=1,1,IF(Prj_Inflation=1, (1+OFFSET(Y320,0,-1))^(Параметры!Y$30/360), 1))</f>
        <v>1.004867550565343</v>
      </c>
      <c r="Z321" s="191">
        <f ca="1">IF(Z$2=1,1,IF(Prj_Inflation=1, (1+OFFSET(Z320,0,-1))^(Параметры!Z$30/360), 1))</f>
        <v>1.004867550565343</v>
      </c>
      <c r="AA321" s="191">
        <f ca="1">IF(AA$2=1,1,IF(Prj_Inflation=1, (1+OFFSET(AA320,0,-1))^(Параметры!AA$30/360), 1))</f>
        <v>1.004867550565343</v>
      </c>
      <c r="AB321" s="191">
        <f ca="1">IF(AB$2=1,1,IF(Prj_Inflation=1, (1+OFFSET(AB320,0,-1))^(Параметры!AB$30/360), 1))</f>
        <v>1.004867550565343</v>
      </c>
      <c r="AC321" s="191">
        <f ca="1">IF(AC$2=1,1,IF(Prj_Inflation=1, (1+OFFSET(AC320,0,-1))^(Параметры!AC$30/360), 1))</f>
        <v>1.004867550565343</v>
      </c>
      <c r="AD321" s="191">
        <f ca="1">IF(AD$2=1,1,IF(Prj_Inflation=1, (1+OFFSET(AD320,0,-1))^(Параметры!AD$30/360), 1))</f>
        <v>1.004867550565343</v>
      </c>
      <c r="AE321" s="191">
        <f ca="1">IF(AE$2=1,1,IF(Prj_Inflation=1, (1+OFFSET(AE320,0,-1))^(Параметры!AE$30/360), 1))</f>
        <v>1.004867550565343</v>
      </c>
      <c r="AF321" s="191">
        <f ca="1">IF(AF$2=1,1,IF(Prj_Inflation=1, (1+OFFSET(AF320,0,-1))^(Параметры!AF$30/360), 1))</f>
        <v>1.004867550565343</v>
      </c>
      <c r="AG321" s="191">
        <f ca="1">IF(AG$2=1,1,IF(Prj_Inflation=1, (1+OFFSET(AG320,0,-1))^(Параметры!AG$30/360), 1))</f>
        <v>1.004867550565343</v>
      </c>
      <c r="AH321" s="191">
        <f ca="1">IF(AH$2=1,1,IF(Prj_Inflation=1, (1+OFFSET(AH320,0,-1))^(Параметры!AH$30/360), 1))</f>
        <v>1.004867550565343</v>
      </c>
      <c r="AI321" s="191">
        <f ca="1">IF(AI$2=1,1,IF(Prj_Inflation=1, (1+OFFSET(AI320,0,-1))^(Параметры!AI$30/360), 1))</f>
        <v>1.004867550565343</v>
      </c>
      <c r="AJ321" s="191">
        <f ca="1">IF(AJ$2=1,1,IF(Prj_Inflation=1, (1+OFFSET(AJ320,0,-1))^(Параметры!AJ$30/360), 1))</f>
        <v>1.004867550565343</v>
      </c>
      <c r="AK321" s="191">
        <f ca="1">IF(AK$2=1,1,IF(Prj_Inflation=1, (1+OFFSET(AK320,0,-1))^(Параметры!AK$30/360), 1))</f>
        <v>1.004867550565343</v>
      </c>
      <c r="AL321" s="191">
        <f ca="1">IF(AL$2=1,1,IF(Prj_Inflation=1, (1+OFFSET(AL320,0,-1))^(Параметры!AL$30/360), 1))</f>
        <v>1.004867550565343</v>
      </c>
      <c r="AM321" s="191">
        <f ca="1">IF(AM$2=1,1,IF(Prj_Inflation=1, (1+OFFSET(AM320,0,-1))^(Параметры!AM$30/360), 1))</f>
        <v>1.004867550565343</v>
      </c>
      <c r="AN321" s="191">
        <f ca="1">IF(AN$2=1,1,IF(Prj_Inflation=1, (1+OFFSET(AN320,0,-1))^(Параметры!AN$30/360), 1))</f>
        <v>1.004867550565343</v>
      </c>
      <c r="AO321" s="191">
        <f ca="1">IF(AO$2=1,1,IF(Prj_Inflation=1, (1+OFFSET(AO320,0,-1))^(Параметры!AO$30/360), 1))</f>
        <v>1.004867550565343</v>
      </c>
      <c r="AP321" s="191">
        <f ca="1">IF(AP$2=1,1,IF(Prj_Inflation=1, (1+OFFSET(AP320,0,-1))^(Параметры!AP$30/360), 1))</f>
        <v>1.004867550565343</v>
      </c>
      <c r="AQ321" s="191">
        <f ca="1">IF(AQ$2=1,1,IF(Prj_Inflation=1, (1+OFFSET(AQ320,0,-1))^(Параметры!AQ$30/360), 1))</f>
        <v>1.004867550565343</v>
      </c>
      <c r="AR321" s="191">
        <f ca="1">IF(AR$2=1,1,IF(Prj_Inflation=1, (1+OFFSET(AR320,0,-1))^(Параметры!AR$30/360), 1))</f>
        <v>1.004867550565343</v>
      </c>
      <c r="AS321" s="191">
        <f ca="1">IF(AS$2=1,1,IF(Prj_Inflation=1, (1+OFFSET(AS320,0,-1))^(Параметры!AS$30/360), 1))</f>
        <v>1.004867550565343</v>
      </c>
      <c r="AT321" s="191">
        <f ca="1">IF(AT$2=1,1,IF(Prj_Inflation=1, (1+OFFSET(AT320,0,-1))^(Параметры!AT$30/360), 1))</f>
        <v>1.004867550565343</v>
      </c>
      <c r="AU321" s="191">
        <f ca="1">IF(AU$2=1,1,IF(Prj_Inflation=1, (1+OFFSET(AU320,0,-1))^(Параметры!AU$30/360), 1))</f>
        <v>1.004867550565343</v>
      </c>
      <c r="AV321" s="191">
        <f ca="1">IF(AV$2=1,1,IF(Prj_Inflation=1, (1+OFFSET(AV320,0,-1))^(Параметры!AV$30/360), 1))</f>
        <v>1.004867550565343</v>
      </c>
      <c r="AW321" s="191">
        <f ca="1">IF(AW$2=1,1,IF(Prj_Inflation=1, (1+OFFSET(AW320,0,-1))^(Параметры!AW$30/360), 1))</f>
        <v>1.004867550565343</v>
      </c>
      <c r="AX321" s="191">
        <f ca="1">IF(AX$2=1,1,IF(Prj_Inflation=1, (1+OFFSET(AX320,0,-1))^(Параметры!AX$30/360), 1))</f>
        <v>1.004867550565343</v>
      </c>
      <c r="AY321" s="191">
        <f ca="1">IF(AY$2=1,1,IF(Prj_Inflation=1, (1+OFFSET(AY320,0,-1))^(Параметры!AY$30/360), 1))</f>
        <v>1.004867550565343</v>
      </c>
      <c r="AZ321" s="191">
        <f ca="1">IF(AZ$2=1,1,IF(Prj_Inflation=1, (1+OFFSET(AZ320,0,-1))^(Параметры!AZ$30/360), 1))</f>
        <v>1.004867550565343</v>
      </c>
      <c r="BA321" s="191">
        <f ca="1">IF(BA$2=1,1,IF(Prj_Inflation=1, (1+OFFSET(BA320,0,-1))^(Параметры!BA$30/360), 1))</f>
        <v>1.004867550565343</v>
      </c>
      <c r="BB321" s="191">
        <f ca="1">IF(BB$2=1,1,IF(Prj_Inflation=1, (1+OFFSET(BB320,0,-1))^(Параметры!BB$30/360), 1))</f>
        <v>1.004867550565343</v>
      </c>
      <c r="BC321" s="191"/>
      <c r="BD321" s="186"/>
    </row>
    <row r="322" spans="1:56" hidden="1" outlineLevel="1" x14ac:dyDescent="0.3">
      <c r="A322" s="184" t="str">
        <f ca="1">Language!A$1486</f>
        <v>индексировать в начале года</v>
      </c>
      <c r="B322" s="291">
        <v>0</v>
      </c>
      <c r="C322" s="163" t="str">
        <f ca="1">IF(B322=1,Language!$A$1475,Language!$A$1476)</f>
        <v>Нет</v>
      </c>
      <c r="D322" s="174"/>
      <c r="F322" s="170" t="s">
        <v>3408</v>
      </c>
      <c r="G322" s="192" t="str">
        <f ca="1">IF(Prj_Inflation=1,IF($B322=1,IF(G$2=1,1,IF(Параметры!G$29=1,1+OFFSET(G320,0,-1),1)),"-"),1)</f>
        <v>-</v>
      </c>
      <c r="H322" s="192" t="str">
        <f ca="1">IF(Prj_Inflation=1,IF($B322=1,IF(H$2=1,1,IF(Параметры!H$29=1,1+OFFSET(H320,0,-1),1)),"-"),1)</f>
        <v>-</v>
      </c>
      <c r="I322" s="192" t="str">
        <f ca="1">IF(Prj_Inflation=1,IF($B322=1,IF(I$2=1,1,IF(Параметры!I$29=1,1+OFFSET(I320,0,-1),1)),"-"),1)</f>
        <v>-</v>
      </c>
      <c r="J322" s="192" t="str">
        <f ca="1">IF(Prj_Inflation=1,IF($B322=1,IF(J$2=1,1,IF(Параметры!J$29=1,1+OFFSET(J320,0,-1),1)),"-"),1)</f>
        <v>-</v>
      </c>
      <c r="K322" s="192" t="str">
        <f ca="1">IF(Prj_Inflation=1,IF($B322=1,IF(K$2=1,1,IF(Параметры!K$29=1,1+OFFSET(K320,0,-1),1)),"-"),1)</f>
        <v>-</v>
      </c>
      <c r="L322" s="192" t="str">
        <f ca="1">IF(Prj_Inflation=1,IF($B322=1,IF(L$2=1,1,IF(Параметры!L$29=1,1+OFFSET(L320,0,-1),1)),"-"),1)</f>
        <v>-</v>
      </c>
      <c r="M322" s="192" t="str">
        <f ca="1">IF(Prj_Inflation=1,IF($B322=1,IF(M$2=1,1,IF(Параметры!M$29=1,1+OFFSET(M320,0,-1),1)),"-"),1)</f>
        <v>-</v>
      </c>
      <c r="N322" s="192" t="str">
        <f ca="1">IF(Prj_Inflation=1,IF($B322=1,IF(N$2=1,1,IF(Параметры!N$29=1,1+OFFSET(N320,0,-1),1)),"-"),1)</f>
        <v>-</v>
      </c>
      <c r="O322" s="192" t="str">
        <f ca="1">IF(Prj_Inflation=1,IF($B322=1,IF(O$2=1,1,IF(Параметры!O$29=1,1+OFFSET(O320,0,-1),1)),"-"),1)</f>
        <v>-</v>
      </c>
      <c r="P322" s="192" t="str">
        <f ca="1">IF(Prj_Inflation=1,IF($B322=1,IF(P$2=1,1,IF(Параметры!P$29=1,1+OFFSET(P320,0,-1),1)),"-"),1)</f>
        <v>-</v>
      </c>
      <c r="Q322" s="192" t="str">
        <f ca="1">IF(Prj_Inflation=1,IF($B322=1,IF(Q$2=1,1,IF(Параметры!Q$29=1,1+OFFSET(Q320,0,-1),1)),"-"),1)</f>
        <v>-</v>
      </c>
      <c r="R322" s="192" t="str">
        <f ca="1">IF(Prj_Inflation=1,IF($B322=1,IF(R$2=1,1,IF(Параметры!R$29=1,1+OFFSET(R320,0,-1),1)),"-"),1)</f>
        <v>-</v>
      </c>
      <c r="S322" s="192" t="str">
        <f ca="1">IF(Prj_Inflation=1,IF($B322=1,IF(S$2=1,1,IF(Параметры!S$29=1,1+OFFSET(S320,0,-1),1)),"-"),1)</f>
        <v>-</v>
      </c>
      <c r="T322" s="192" t="str">
        <f ca="1">IF(Prj_Inflation=1,IF($B322=1,IF(T$2=1,1,IF(Параметры!T$29=1,1+OFFSET(T320,0,-1),1)),"-"),1)</f>
        <v>-</v>
      </c>
      <c r="U322" s="192" t="str">
        <f ca="1">IF(Prj_Inflation=1,IF($B322=1,IF(U$2=1,1,IF(Параметры!U$29=1,1+OFFSET(U320,0,-1),1)),"-"),1)</f>
        <v>-</v>
      </c>
      <c r="V322" s="192" t="str">
        <f ca="1">IF(Prj_Inflation=1,IF($B322=1,IF(V$2=1,1,IF(Параметры!V$29=1,1+OFFSET(V320,0,-1),1)),"-"),1)</f>
        <v>-</v>
      </c>
      <c r="W322" s="192" t="str">
        <f ca="1">IF(Prj_Inflation=1,IF($B322=1,IF(W$2=1,1,IF(Параметры!W$29=1,1+OFFSET(W320,0,-1),1)),"-"),1)</f>
        <v>-</v>
      </c>
      <c r="X322" s="192" t="str">
        <f ca="1">IF(Prj_Inflation=1,IF($B322=1,IF(X$2=1,1,IF(Параметры!X$29=1,1+OFFSET(X320,0,-1),1)),"-"),1)</f>
        <v>-</v>
      </c>
      <c r="Y322" s="192" t="str">
        <f ca="1">IF(Prj_Inflation=1,IF($B322=1,IF(Y$2=1,1,IF(Параметры!Y$29=1,1+OFFSET(Y320,0,-1),1)),"-"),1)</f>
        <v>-</v>
      </c>
      <c r="Z322" s="192" t="str">
        <f ca="1">IF(Prj_Inflation=1,IF($B322=1,IF(Z$2=1,1,IF(Параметры!Z$29=1,1+OFFSET(Z320,0,-1),1)),"-"),1)</f>
        <v>-</v>
      </c>
      <c r="AA322" s="192" t="str">
        <f ca="1">IF(Prj_Inflation=1,IF($B322=1,IF(AA$2=1,1,IF(Параметры!AA$29=1,1+OFFSET(AA320,0,-1),1)),"-"),1)</f>
        <v>-</v>
      </c>
      <c r="AB322" s="192" t="str">
        <f ca="1">IF(Prj_Inflation=1,IF($B322=1,IF(AB$2=1,1,IF(Параметры!AB$29=1,1+OFFSET(AB320,0,-1),1)),"-"),1)</f>
        <v>-</v>
      </c>
      <c r="AC322" s="192" t="str">
        <f ca="1">IF(Prj_Inflation=1,IF($B322=1,IF(AC$2=1,1,IF(Параметры!AC$29=1,1+OFFSET(AC320,0,-1),1)),"-"),1)</f>
        <v>-</v>
      </c>
      <c r="AD322" s="192" t="str">
        <f ca="1">IF(Prj_Inflation=1,IF($B322=1,IF(AD$2=1,1,IF(Параметры!AD$29=1,1+OFFSET(AD320,0,-1),1)),"-"),1)</f>
        <v>-</v>
      </c>
      <c r="AE322" s="192" t="str">
        <f ca="1">IF(Prj_Inflation=1,IF($B322=1,IF(AE$2=1,1,IF(Параметры!AE$29=1,1+OFFSET(AE320,0,-1),1)),"-"),1)</f>
        <v>-</v>
      </c>
      <c r="AF322" s="192" t="str">
        <f ca="1">IF(Prj_Inflation=1,IF($B322=1,IF(AF$2=1,1,IF(Параметры!AF$29=1,1+OFFSET(AF320,0,-1),1)),"-"),1)</f>
        <v>-</v>
      </c>
      <c r="AG322" s="192" t="str">
        <f ca="1">IF(Prj_Inflation=1,IF($B322=1,IF(AG$2=1,1,IF(Параметры!AG$29=1,1+OFFSET(AG320,0,-1),1)),"-"),1)</f>
        <v>-</v>
      </c>
      <c r="AH322" s="192" t="str">
        <f ca="1">IF(Prj_Inflation=1,IF($B322=1,IF(AH$2=1,1,IF(Параметры!AH$29=1,1+OFFSET(AH320,0,-1),1)),"-"),1)</f>
        <v>-</v>
      </c>
      <c r="AI322" s="192" t="str">
        <f ca="1">IF(Prj_Inflation=1,IF($B322=1,IF(AI$2=1,1,IF(Параметры!AI$29=1,1+OFFSET(AI320,0,-1),1)),"-"),1)</f>
        <v>-</v>
      </c>
      <c r="AJ322" s="192" t="str">
        <f ca="1">IF(Prj_Inflation=1,IF($B322=1,IF(AJ$2=1,1,IF(Параметры!AJ$29=1,1+OFFSET(AJ320,0,-1),1)),"-"),1)</f>
        <v>-</v>
      </c>
      <c r="AK322" s="192" t="str">
        <f ca="1">IF(Prj_Inflation=1,IF($B322=1,IF(AK$2=1,1,IF(Параметры!AK$29=1,1+OFFSET(AK320,0,-1),1)),"-"),1)</f>
        <v>-</v>
      </c>
      <c r="AL322" s="192" t="str">
        <f ca="1">IF(Prj_Inflation=1,IF($B322=1,IF(AL$2=1,1,IF(Параметры!AL$29=1,1+OFFSET(AL320,0,-1),1)),"-"),1)</f>
        <v>-</v>
      </c>
      <c r="AM322" s="192" t="str">
        <f ca="1">IF(Prj_Inflation=1,IF($B322=1,IF(AM$2=1,1,IF(Параметры!AM$29=1,1+OFFSET(AM320,0,-1),1)),"-"),1)</f>
        <v>-</v>
      </c>
      <c r="AN322" s="192" t="str">
        <f ca="1">IF(Prj_Inflation=1,IF($B322=1,IF(AN$2=1,1,IF(Параметры!AN$29=1,1+OFFSET(AN320,0,-1),1)),"-"),1)</f>
        <v>-</v>
      </c>
      <c r="AO322" s="192" t="str">
        <f ca="1">IF(Prj_Inflation=1,IF($B322=1,IF(AO$2=1,1,IF(Параметры!AO$29=1,1+OFFSET(AO320,0,-1),1)),"-"),1)</f>
        <v>-</v>
      </c>
      <c r="AP322" s="192" t="str">
        <f ca="1">IF(Prj_Inflation=1,IF($B322=1,IF(AP$2=1,1,IF(Параметры!AP$29=1,1+OFFSET(AP320,0,-1),1)),"-"),1)</f>
        <v>-</v>
      </c>
      <c r="AQ322" s="192" t="str">
        <f ca="1">IF(Prj_Inflation=1,IF($B322=1,IF(AQ$2=1,1,IF(Параметры!AQ$29=1,1+OFFSET(AQ320,0,-1),1)),"-"),1)</f>
        <v>-</v>
      </c>
      <c r="AR322" s="192" t="str">
        <f ca="1">IF(Prj_Inflation=1,IF($B322=1,IF(AR$2=1,1,IF(Параметры!AR$29=1,1+OFFSET(AR320,0,-1),1)),"-"),1)</f>
        <v>-</v>
      </c>
      <c r="AS322" s="192" t="str">
        <f ca="1">IF(Prj_Inflation=1,IF($B322=1,IF(AS$2=1,1,IF(Параметры!AS$29=1,1+OFFSET(AS320,0,-1),1)),"-"),1)</f>
        <v>-</v>
      </c>
      <c r="AT322" s="192" t="str">
        <f ca="1">IF(Prj_Inflation=1,IF($B322=1,IF(AT$2=1,1,IF(Параметры!AT$29=1,1+OFFSET(AT320,0,-1),1)),"-"),1)</f>
        <v>-</v>
      </c>
      <c r="AU322" s="192" t="str">
        <f ca="1">IF(Prj_Inflation=1,IF($B322=1,IF(AU$2=1,1,IF(Параметры!AU$29=1,1+OFFSET(AU320,0,-1),1)),"-"),1)</f>
        <v>-</v>
      </c>
      <c r="AV322" s="192" t="str">
        <f ca="1">IF(Prj_Inflation=1,IF($B322=1,IF(AV$2=1,1,IF(Параметры!AV$29=1,1+OFFSET(AV320,0,-1),1)),"-"),1)</f>
        <v>-</v>
      </c>
      <c r="AW322" s="192" t="str">
        <f ca="1">IF(Prj_Inflation=1,IF($B322=1,IF(AW$2=1,1,IF(Параметры!AW$29=1,1+OFFSET(AW320,0,-1),1)),"-"),1)</f>
        <v>-</v>
      </c>
      <c r="AX322" s="192" t="str">
        <f ca="1">IF(Prj_Inflation=1,IF($B322=1,IF(AX$2=1,1,IF(Параметры!AX$29=1,1+OFFSET(AX320,0,-1),1)),"-"),1)</f>
        <v>-</v>
      </c>
      <c r="AY322" s="192" t="str">
        <f ca="1">IF(Prj_Inflation=1,IF($B322=1,IF(AY$2=1,1,IF(Параметры!AY$29=1,1+OFFSET(AY320,0,-1),1)),"-"),1)</f>
        <v>-</v>
      </c>
      <c r="AZ322" s="192" t="str">
        <f ca="1">IF(Prj_Inflation=1,IF($B322=1,IF(AZ$2=1,1,IF(Параметры!AZ$29=1,1+OFFSET(AZ320,0,-1),1)),"-"),1)</f>
        <v>-</v>
      </c>
      <c r="BA322" s="192" t="str">
        <f ca="1">IF(Prj_Inflation=1,IF($B322=1,IF(BA$2=1,1,IF(Параметры!BA$29=1,1+OFFSET(BA320,0,-1),1)),"-"),1)</f>
        <v>-</v>
      </c>
      <c r="BB322" s="192" t="str">
        <f ca="1">IF(Prj_Inflation=1,IF($B322=1,IF(BB$2=1,1,IF(Параметры!BB$29=1,1+OFFSET(BB320,0,-1),1)),"-"),1)</f>
        <v>-</v>
      </c>
      <c r="BC322" s="191"/>
      <c r="BD322" s="186"/>
    </row>
    <row r="323" spans="1:56" hidden="1" outlineLevel="1" x14ac:dyDescent="0.3">
      <c r="A323" s="184" t="str">
        <f ca="1">Language!A$704</f>
        <v>социальные взносы</v>
      </c>
      <c r="B323" s="189"/>
      <c r="C323" s="163" t="str">
        <f ca="1">CHOOSE(D323,CurName1,CurName2,CurName3)</f>
        <v>руб.</v>
      </c>
      <c r="D323" s="174">
        <f>D316</f>
        <v>1</v>
      </c>
      <c r="E323" s="170" t="s">
        <v>1459</v>
      </c>
      <c r="F323" s="170" t="s">
        <v>740</v>
      </c>
      <c r="G323" s="185">
        <f ca="1">G319*Параметры!G$91</f>
        <v>0</v>
      </c>
      <c r="H323" s="185">
        <f ca="1">H319*Параметры!H$91</f>
        <v>0</v>
      </c>
      <c r="I323" s="185">
        <f ca="1">I319*Параметры!I$91</f>
        <v>0</v>
      </c>
      <c r="J323" s="185">
        <f ca="1">J319*Параметры!J$91</f>
        <v>0</v>
      </c>
      <c r="K323" s="185">
        <f ca="1">K319*Параметры!K$91</f>
        <v>0</v>
      </c>
      <c r="L323" s="185">
        <f ca="1">L319*Параметры!L$91</f>
        <v>0</v>
      </c>
      <c r="M323" s="185">
        <f ca="1">M319*Параметры!M$91</f>
        <v>44683.03481188359</v>
      </c>
      <c r="N323" s="185">
        <f ca="1">N319*Параметры!N$91</f>
        <v>44900.531743243417</v>
      </c>
      <c r="O323" s="185">
        <f ca="1">O319*Параметры!O$91</f>
        <v>45119.087351914444</v>
      </c>
      <c r="P323" s="185">
        <f ca="1">P319*Параметры!P$91</f>
        <v>45338.706791062017</v>
      </c>
      <c r="Q323" s="185">
        <f ca="1">Q319*Параметры!Q$91</f>
        <v>45559.395238934776</v>
      </c>
      <c r="R323" s="185">
        <f ca="1">R319*Параметры!R$91</f>
        <v>45781.157898986741</v>
      </c>
      <c r="S323" s="185">
        <f ca="1">S319*Параметры!S$91</f>
        <v>46004.000000000015</v>
      </c>
      <c r="T323" s="185">
        <f ca="1">T319*Параметры!T$91</f>
        <v>46227.926796208063</v>
      </c>
      <c r="U323" s="185">
        <f ca="1">U319*Параметры!U$91</f>
        <v>46452.943567419585</v>
      </c>
      <c r="V323" s="185">
        <f ca="1">V319*Параметры!V$91</f>
        <v>46679.05561914303</v>
      </c>
      <c r="W323" s="185">
        <f ca="1">W319*Параметры!W$91</f>
        <v>46906.268282711666</v>
      </c>
      <c r="X323" s="185">
        <f ca="1">X319*Параметры!X$91</f>
        <v>47134.586915409316</v>
      </c>
      <c r="Y323" s="185">
        <f ca="1">Y319*Параметры!Y$91</f>
        <v>47364.016900596624</v>
      </c>
      <c r="Z323" s="185">
        <f ca="1">Z319*Параметры!Z$91</f>
        <v>47594.56364783804</v>
      </c>
      <c r="AA323" s="185">
        <f ca="1">AA319*Параметры!AA$91</f>
        <v>47826.23259302933</v>
      </c>
      <c r="AB323" s="185">
        <f ca="1">AB319*Параметры!AB$91</f>
        <v>48059.029198525757</v>
      </c>
      <c r="AC323" s="185">
        <f ca="1">AC319*Параметры!AC$91</f>
        <v>48292.958953270878</v>
      </c>
      <c r="AD323" s="185">
        <f ca="1">AD319*Параметры!AD$91</f>
        <v>48528.027372925964</v>
      </c>
      <c r="AE323" s="185">
        <f ca="1">AE319*Параметры!AE$91</f>
        <v>48764.240000000034</v>
      </c>
      <c r="AF323" s="185">
        <f ca="1">AF319*Параметры!AF$91</f>
        <v>49001.602403980556</v>
      </c>
      <c r="AG323" s="185">
        <f ca="1">AG319*Параметры!AG$91</f>
        <v>49240.120181464772</v>
      </c>
      <c r="AH323" s="185">
        <f ca="1">AH319*Параметры!AH$91</f>
        <v>49479.798956291619</v>
      </c>
      <c r="AI323" s="185">
        <f ca="1">AI319*Параметры!AI$91</f>
        <v>49720.644379674377</v>
      </c>
      <c r="AJ323" s="185">
        <f ca="1">AJ319*Параметры!AJ$91</f>
        <v>49962.662130333883</v>
      </c>
      <c r="AK323" s="185">
        <f ca="1">AK319*Параметры!AK$91</f>
        <v>50205.857914632434</v>
      </c>
      <c r="AL323" s="185">
        <f ca="1">AL319*Параметры!AL$91</f>
        <v>50450.237466708335</v>
      </c>
      <c r="AM323" s="185">
        <f ca="1">AM319*Параметры!AM$91</f>
        <v>50695.806548611094</v>
      </c>
      <c r="AN323" s="185">
        <f ca="1">AN319*Параметры!AN$91</f>
        <v>50942.570950437308</v>
      </c>
      <c r="AO323" s="185">
        <f ca="1">AO319*Параметры!AO$91</f>
        <v>51190.536490467137</v>
      </c>
      <c r="AP323" s="185">
        <f ca="1">AP319*Параметры!AP$91</f>
        <v>51439.709015301531</v>
      </c>
      <c r="AQ323" s="185">
        <f ca="1">AQ319*Параметры!AQ$91</f>
        <v>51690.094400000045</v>
      </c>
      <c r="AR323" s="185">
        <f ca="1">AR319*Параметры!AR$91</f>
        <v>51941.698548219392</v>
      </c>
      <c r="AS323" s="185">
        <f ca="1">AS319*Параметры!AS$91</f>
        <v>52194.527392352655</v>
      </c>
      <c r="AT323" s="185">
        <f ca="1">AT319*Параметры!AT$91</f>
        <v>52448.586893669111</v>
      </c>
      <c r="AU323" s="185">
        <f ca="1">AU319*Параметры!AU$91</f>
        <v>52703.883042454836</v>
      </c>
      <c r="AV323" s="185">
        <f ca="1">AV319*Параметры!AV$91</f>
        <v>52960.421858153917</v>
      </c>
      <c r="AW323" s="185">
        <f ca="1">AW319*Параметры!AW$91</f>
        <v>53218.209389510375</v>
      </c>
      <c r="AX323" s="185">
        <f ca="1">AX319*Параметры!AX$91</f>
        <v>53477.25171471083</v>
      </c>
      <c r="AY323" s="185">
        <f ca="1">AY319*Параметры!AY$91</f>
        <v>53737.554941527771</v>
      </c>
      <c r="AZ323" s="185">
        <f ca="1">AZ319*Параметры!AZ$91</f>
        <v>53999.125207463556</v>
      </c>
      <c r="BA323" s="185">
        <f ca="1">BA319*Параметры!BA$91</f>
        <v>54261.968679895173</v>
      </c>
      <c r="BB323" s="185">
        <f ca="1">BB319*Параметры!BB$91</f>
        <v>54526.091556219624</v>
      </c>
      <c r="BC323" s="185"/>
      <c r="BD323" s="193">
        <f ca="1">SUM(G323:BC323)</f>
        <v>2076704.723745184</v>
      </c>
    </row>
    <row r="324" spans="1:56" s="173" customFormat="1" hidden="1" outlineLevel="1" x14ac:dyDescent="0.3">
      <c r="A324" s="181" t="str">
        <f ca="1">Language!A$1513</f>
        <v>затраты на персонал, с соц. взносами</v>
      </c>
      <c r="B324" s="205"/>
      <c r="C324" s="176" t="str">
        <f ca="1">CHOOSE(D324,CurName1,CurName2,CurName3)</f>
        <v>руб.</v>
      </c>
      <c r="D324" s="174">
        <f>D316</f>
        <v>1</v>
      </c>
      <c r="E324" s="170" t="s">
        <v>2312</v>
      </c>
      <c r="F324" s="170" t="s">
        <v>740</v>
      </c>
      <c r="G324" s="182">
        <f ca="1">G319+G323</f>
        <v>0</v>
      </c>
      <c r="H324" s="182">
        <f t="shared" ref="H324:BB324" ca="1" si="1542">H319+H323</f>
        <v>0</v>
      </c>
      <c r="I324" s="182">
        <f t="shared" ca="1" si="1542"/>
        <v>0</v>
      </c>
      <c r="J324" s="182">
        <f t="shared" ca="1" si="1542"/>
        <v>0</v>
      </c>
      <c r="K324" s="182">
        <f t="shared" ca="1" si="1542"/>
        <v>0</v>
      </c>
      <c r="L324" s="182">
        <f t="shared" ca="1" si="1542"/>
        <v>0</v>
      </c>
      <c r="M324" s="182">
        <f t="shared" ca="1" si="1542"/>
        <v>188821.85678570159</v>
      </c>
      <c r="N324" s="182">
        <f t="shared" ca="1" si="1542"/>
        <v>189740.95672144796</v>
      </c>
      <c r="O324" s="182">
        <f t="shared" ca="1" si="1542"/>
        <v>190664.53042260616</v>
      </c>
      <c r="P324" s="182">
        <f t="shared" ca="1" si="1542"/>
        <v>191592.59966545561</v>
      </c>
      <c r="Q324" s="182">
        <f t="shared" ca="1" si="1542"/>
        <v>192525.18633227274</v>
      </c>
      <c r="R324" s="182">
        <f t="shared" ca="1" si="1542"/>
        <v>193462.31241184718</v>
      </c>
      <c r="S324" s="182">
        <f t="shared" ca="1" si="1542"/>
        <v>194404.00000000006</v>
      </c>
      <c r="T324" s="182">
        <f t="shared" ca="1" si="1542"/>
        <v>195350.27130010503</v>
      </c>
      <c r="U324" s="182">
        <f t="shared" ca="1" si="1542"/>
        <v>196301.14862361178</v>
      </c>
      <c r="V324" s="182">
        <f t="shared" ca="1" si="1542"/>
        <v>197256.65439057213</v>
      </c>
      <c r="W324" s="182">
        <f t="shared" ca="1" si="1542"/>
        <v>198216.81113016861</v>
      </c>
      <c r="X324" s="182">
        <f t="shared" ca="1" si="1542"/>
        <v>199181.64148124578</v>
      </c>
      <c r="Y324" s="182">
        <f t="shared" ca="1" si="1542"/>
        <v>200151.16819284376</v>
      </c>
      <c r="Z324" s="182">
        <f t="shared" ca="1" si="1542"/>
        <v>201125.41412473493</v>
      </c>
      <c r="AA324" s="182">
        <f t="shared" ca="1" si="1542"/>
        <v>202104.40224796263</v>
      </c>
      <c r="AB324" s="182">
        <f t="shared" ca="1" si="1542"/>
        <v>203088.15564538303</v>
      </c>
      <c r="AC324" s="182">
        <f t="shared" ca="1" si="1542"/>
        <v>204076.69751220918</v>
      </c>
      <c r="AD324" s="182">
        <f t="shared" ca="1" si="1542"/>
        <v>205070.0511565581</v>
      </c>
      <c r="AE324" s="182">
        <f t="shared" ca="1" si="1542"/>
        <v>206068.24000000011</v>
      </c>
      <c r="AF324" s="182">
        <f t="shared" ca="1" si="1542"/>
        <v>207071.28757811137</v>
      </c>
      <c r="AG324" s="182">
        <f t="shared" ca="1" si="1542"/>
        <v>208079.21754102851</v>
      </c>
      <c r="AH324" s="182">
        <f t="shared" ca="1" si="1542"/>
        <v>209092.05365400651</v>
      </c>
      <c r="AI324" s="182">
        <f t="shared" ca="1" si="1542"/>
        <v>210109.81979797879</v>
      </c>
      <c r="AJ324" s="182">
        <f t="shared" ca="1" si="1542"/>
        <v>211132.53997012059</v>
      </c>
      <c r="AK324" s="182">
        <f t="shared" ca="1" si="1542"/>
        <v>212160.23828441446</v>
      </c>
      <c r="AL324" s="182">
        <f t="shared" ca="1" si="1542"/>
        <v>213192.93897221907</v>
      </c>
      <c r="AM324" s="182">
        <f t="shared" ca="1" si="1542"/>
        <v>214230.6663828404</v>
      </c>
      <c r="AN324" s="182">
        <f t="shared" ca="1" si="1542"/>
        <v>215273.44498410603</v>
      </c>
      <c r="AO324" s="182">
        <f t="shared" ca="1" si="1542"/>
        <v>216321.29936294176</v>
      </c>
      <c r="AP324" s="182">
        <f t="shared" ca="1" si="1542"/>
        <v>217374.25422595162</v>
      </c>
      <c r="AQ324" s="182">
        <f t="shared" ca="1" si="1542"/>
        <v>218432.33440000017</v>
      </c>
      <c r="AR324" s="182">
        <f t="shared" ca="1" si="1542"/>
        <v>219495.56483279806</v>
      </c>
      <c r="AS324" s="182">
        <f t="shared" ca="1" si="1542"/>
        <v>220563.97059349023</v>
      </c>
      <c r="AT324" s="182">
        <f t="shared" ca="1" si="1542"/>
        <v>221637.57687324687</v>
      </c>
      <c r="AU324" s="182">
        <f t="shared" ca="1" si="1542"/>
        <v>222716.4089858575</v>
      </c>
      <c r="AV324" s="182">
        <f t="shared" ca="1" si="1542"/>
        <v>223800.4923683278</v>
      </c>
      <c r="AW324" s="182">
        <f t="shared" ca="1" si="1542"/>
        <v>224889.8525814793</v>
      </c>
      <c r="AX324" s="182">
        <f t="shared" ca="1" si="1542"/>
        <v>225984.5153105522</v>
      </c>
      <c r="AY324" s="182">
        <f t="shared" ca="1" si="1542"/>
        <v>227084.50636581087</v>
      </c>
      <c r="AZ324" s="182">
        <f t="shared" ca="1" si="1542"/>
        <v>228189.85168315243</v>
      </c>
      <c r="BA324" s="182">
        <f t="shared" ca="1" si="1542"/>
        <v>229300.5773247183</v>
      </c>
      <c r="BB324" s="182">
        <f t="shared" ca="1" si="1542"/>
        <v>230416.70947950869</v>
      </c>
      <c r="BC324" s="182"/>
      <c r="BD324" s="183">
        <f ca="1">SUM(G324:BC324)</f>
        <v>8775752.2196973898</v>
      </c>
    </row>
    <row r="325" spans="1:56" x14ac:dyDescent="0.3">
      <c r="A325" s="376" t="s">
        <v>3511</v>
      </c>
      <c r="B325" s="205"/>
      <c r="C325" s="176"/>
      <c r="D325" s="174">
        <v>1</v>
      </c>
      <c r="F325" s="170" t="s">
        <v>3512</v>
      </c>
      <c r="G325" s="206"/>
      <c r="H325" s="206"/>
      <c r="I325" s="206"/>
      <c r="J325" s="206"/>
      <c r="K325" s="206"/>
      <c r="L325" s="206"/>
      <c r="M325" s="206"/>
      <c r="N325" s="206"/>
      <c r="O325" s="206"/>
      <c r="P325" s="206"/>
      <c r="Q325" s="206"/>
      <c r="R325" s="206"/>
      <c r="S325" s="206"/>
      <c r="T325" s="206"/>
      <c r="U325" s="206"/>
      <c r="V325" s="206"/>
      <c r="W325" s="206"/>
      <c r="X325" s="206"/>
      <c r="Y325" s="206"/>
      <c r="Z325" s="206"/>
      <c r="AA325" s="206"/>
      <c r="AB325" s="206"/>
      <c r="AC325" s="206"/>
      <c r="AD325" s="206"/>
      <c r="AE325" s="206"/>
      <c r="AF325" s="206"/>
      <c r="AG325" s="206"/>
      <c r="AH325" s="206"/>
      <c r="AI325" s="206"/>
      <c r="AJ325" s="206"/>
      <c r="AK325" s="206"/>
      <c r="AL325" s="206"/>
      <c r="AM325" s="206"/>
      <c r="AN325" s="206"/>
      <c r="AO325" s="206"/>
      <c r="AP325" s="206"/>
      <c r="AQ325" s="206"/>
      <c r="AR325" s="206"/>
      <c r="AS325" s="206"/>
      <c r="AT325" s="206"/>
      <c r="AU325" s="206"/>
      <c r="AV325" s="206"/>
      <c r="AW325" s="206"/>
      <c r="AX325" s="206"/>
      <c r="AY325" s="206"/>
      <c r="AZ325" s="206"/>
      <c r="BA325" s="206"/>
      <c r="BB325" s="206"/>
      <c r="BC325" s="206"/>
    </row>
    <row r="326" spans="1:56" x14ac:dyDescent="0.3">
      <c r="A326" s="175" t="str">
        <f ca="1">Language!A$701</f>
        <v>численность</v>
      </c>
      <c r="B326" s="295">
        <v>1</v>
      </c>
      <c r="C326" s="176" t="str">
        <f ca="1">Language!$A$1483</f>
        <v>человек</v>
      </c>
      <c r="D326" s="174"/>
      <c r="E326" s="170" t="s">
        <v>843</v>
      </c>
      <c r="F326" s="170" t="s">
        <v>745</v>
      </c>
      <c r="G326" s="296">
        <f t="shared" ref="G326:BB326" si="1543">IF(G$2&gt;Prj_Invest, $B326, 0)</f>
        <v>0</v>
      </c>
      <c r="H326" s="296">
        <f t="shared" si="1543"/>
        <v>0</v>
      </c>
      <c r="I326" s="296">
        <f t="shared" si="1543"/>
        <v>0</v>
      </c>
      <c r="J326" s="296">
        <f t="shared" si="1543"/>
        <v>0</v>
      </c>
      <c r="K326" s="296">
        <f t="shared" si="1543"/>
        <v>0</v>
      </c>
      <c r="L326" s="296">
        <f t="shared" si="1543"/>
        <v>0</v>
      </c>
      <c r="M326" s="296">
        <f t="shared" si="1543"/>
        <v>1</v>
      </c>
      <c r="N326" s="296">
        <f t="shared" si="1543"/>
        <v>1</v>
      </c>
      <c r="O326" s="296">
        <f t="shared" si="1543"/>
        <v>1</v>
      </c>
      <c r="P326" s="296">
        <f t="shared" si="1543"/>
        <v>1</v>
      </c>
      <c r="Q326" s="296">
        <f t="shared" si="1543"/>
        <v>1</v>
      </c>
      <c r="R326" s="296">
        <f t="shared" si="1543"/>
        <v>1</v>
      </c>
      <c r="S326" s="296">
        <f t="shared" si="1543"/>
        <v>1</v>
      </c>
      <c r="T326" s="296">
        <f t="shared" si="1543"/>
        <v>1</v>
      </c>
      <c r="U326" s="296">
        <f t="shared" si="1543"/>
        <v>1</v>
      </c>
      <c r="V326" s="296">
        <f t="shared" si="1543"/>
        <v>1</v>
      </c>
      <c r="W326" s="296">
        <f t="shared" si="1543"/>
        <v>1</v>
      </c>
      <c r="X326" s="296">
        <f t="shared" si="1543"/>
        <v>1</v>
      </c>
      <c r="Y326" s="296">
        <f t="shared" si="1543"/>
        <v>1</v>
      </c>
      <c r="Z326" s="296">
        <f t="shared" si="1543"/>
        <v>1</v>
      </c>
      <c r="AA326" s="296">
        <f t="shared" si="1543"/>
        <v>1</v>
      </c>
      <c r="AB326" s="296">
        <f t="shared" si="1543"/>
        <v>1</v>
      </c>
      <c r="AC326" s="296">
        <f t="shared" si="1543"/>
        <v>1</v>
      </c>
      <c r="AD326" s="296">
        <f t="shared" si="1543"/>
        <v>1</v>
      </c>
      <c r="AE326" s="296">
        <f t="shared" si="1543"/>
        <v>1</v>
      </c>
      <c r="AF326" s="296">
        <f t="shared" si="1543"/>
        <v>1</v>
      </c>
      <c r="AG326" s="296">
        <f t="shared" si="1543"/>
        <v>1</v>
      </c>
      <c r="AH326" s="296">
        <f t="shared" si="1543"/>
        <v>1</v>
      </c>
      <c r="AI326" s="296">
        <f t="shared" si="1543"/>
        <v>1</v>
      </c>
      <c r="AJ326" s="296">
        <f t="shared" si="1543"/>
        <v>1</v>
      </c>
      <c r="AK326" s="296">
        <f t="shared" si="1543"/>
        <v>1</v>
      </c>
      <c r="AL326" s="296">
        <f t="shared" si="1543"/>
        <v>1</v>
      </c>
      <c r="AM326" s="296">
        <f t="shared" si="1543"/>
        <v>1</v>
      </c>
      <c r="AN326" s="296">
        <f t="shared" si="1543"/>
        <v>1</v>
      </c>
      <c r="AO326" s="296">
        <f t="shared" si="1543"/>
        <v>1</v>
      </c>
      <c r="AP326" s="296">
        <f t="shared" si="1543"/>
        <v>1</v>
      </c>
      <c r="AQ326" s="296">
        <f t="shared" si="1543"/>
        <v>1</v>
      </c>
      <c r="AR326" s="296">
        <f t="shared" si="1543"/>
        <v>1</v>
      </c>
      <c r="AS326" s="296">
        <f t="shared" si="1543"/>
        <v>1</v>
      </c>
      <c r="AT326" s="296">
        <f t="shared" si="1543"/>
        <v>1</v>
      </c>
      <c r="AU326" s="296">
        <f t="shared" si="1543"/>
        <v>1</v>
      </c>
      <c r="AV326" s="296">
        <f t="shared" si="1543"/>
        <v>1</v>
      </c>
      <c r="AW326" s="296">
        <f t="shared" si="1543"/>
        <v>1</v>
      </c>
      <c r="AX326" s="296">
        <f t="shared" si="1543"/>
        <v>1</v>
      </c>
      <c r="AY326" s="296">
        <f t="shared" si="1543"/>
        <v>1</v>
      </c>
      <c r="AZ326" s="296">
        <f t="shared" si="1543"/>
        <v>1</v>
      </c>
      <c r="BA326" s="296">
        <f t="shared" si="1543"/>
        <v>1</v>
      </c>
      <c r="BB326" s="296">
        <f t="shared" si="1543"/>
        <v>1</v>
      </c>
      <c r="BC326" s="202"/>
    </row>
    <row r="327" spans="1:56" x14ac:dyDescent="0.3">
      <c r="A327" s="175" t="str">
        <f ca="1">Language!A$702</f>
        <v>средний оклад, в месяц</v>
      </c>
      <c r="B327" s="284">
        <v>35000</v>
      </c>
      <c r="C327" s="176" t="str">
        <f ca="1">CHOOSE(D325,CurName1,CurName2,CurName3)</f>
        <v>руб.</v>
      </c>
      <c r="E327" s="170" t="s">
        <v>844</v>
      </c>
      <c r="F327" s="170" t="s">
        <v>2346</v>
      </c>
      <c r="G327" s="285">
        <f t="shared" ref="G327" ca="1" si="1544">IF(G$2=1,$B327,F327)*IF($B331=1,G331,G330)</f>
        <v>35000</v>
      </c>
      <c r="H327" s="285">
        <f t="shared" ref="H327" ca="1" si="1545">IF(H$2=1,$B327,G327)*IF($B331=1,H331,H330)</f>
        <v>35170.364269787009</v>
      </c>
      <c r="I327" s="285">
        <f t="shared" ref="I327" ca="1" si="1546">IF(I$2=1,$B327,H327)*IF($B331=1,I331,I330)</f>
        <v>35341.557796271729</v>
      </c>
      <c r="J327" s="285">
        <f t="shared" ref="J327" ca="1" si="1547">IF(J$2=1,$B327,I327)*IF($B331=1,J331,J330)</f>
        <v>35513.584615903077</v>
      </c>
      <c r="K327" s="285">
        <f t="shared" ref="K327" ca="1" si="1548">IF(K$2=1,$B327,J327)*IF($B331=1,K331,K330)</f>
        <v>35686.448784777574</v>
      </c>
      <c r="L327" s="285">
        <f t="shared" ref="L327" ca="1" si="1549">IF(L$2=1,$B327,K327)*IF($B331=1,L331,L330)</f>
        <v>35860.154378735002</v>
      </c>
      <c r="M327" s="285">
        <f t="shared" ref="M327" ca="1" si="1550">IF(M$2=1,$B327,L327)*IF($B331=1,M331,M330)</f>
        <v>36034.705493454501</v>
      </c>
      <c r="N327" s="285">
        <f t="shared" ref="N327" ca="1" si="1551">IF(N$2=1,$B327,M327)*IF($B331=1,N331,N330)</f>
        <v>36210.106244551134</v>
      </c>
      <c r="O327" s="285">
        <f t="shared" ref="O327" ca="1" si="1552">IF(O$2=1,$B327,N327)*IF($B331=1,O331,O330)</f>
        <v>36386.36076767293</v>
      </c>
      <c r="P327" s="285">
        <f t="shared" ref="P327" ca="1" si="1553">IF(P$2=1,$B327,O327)*IF($B331=1,P331,P330)</f>
        <v>36563.473218598396</v>
      </c>
      <c r="Q327" s="285">
        <f t="shared" ref="Q327" ca="1" si="1554">IF(Q$2=1,$B327,P327)*IF($B331=1,Q331,Q330)</f>
        <v>36741.44777333449</v>
      </c>
      <c r="R327" s="285">
        <f t="shared" ref="R327" ca="1" si="1555">IF(R$2=1,$B327,Q327)*IF($B331=1,R331,R330)</f>
        <v>36920.288628215108</v>
      </c>
      <c r="S327" s="285">
        <f t="shared" ref="S327" ca="1" si="1556">IF(S$2=1,$B327,R327)*IF($B331=1,S331,S330)</f>
        <v>37100.000000000007</v>
      </c>
      <c r="T327" s="285">
        <f t="shared" ref="T327" ca="1" si="1557">IF(T$2=1,$B327,S327)*IF($B331=1,T331,T330)</f>
        <v>37280.586125974238</v>
      </c>
      <c r="U327" s="285">
        <f t="shared" ref="U327" ca="1" si="1558">IF(U$2=1,$B327,T327)*IF($B331=1,U331,U330)</f>
        <v>37462.051264048045</v>
      </c>
      <c r="V327" s="285">
        <f t="shared" ref="V327" ca="1" si="1559">IF(V$2=1,$B327,U327)*IF($B331=1,V331,V330)</f>
        <v>37644.399692857274</v>
      </c>
      <c r="W327" s="285">
        <f t="shared" ref="W327" ca="1" si="1560">IF(W$2=1,$B327,V327)*IF($B331=1,W331,W330)</f>
        <v>37827.635711864241</v>
      </c>
      <c r="X327" s="285">
        <f t="shared" ref="X327" ca="1" si="1561">IF(X$2=1,$B327,W327)*IF($B331=1,X331,X330)</f>
        <v>38011.763641459118</v>
      </c>
      <c r="Y327" s="285">
        <f t="shared" ref="Y327" ca="1" si="1562">IF(Y$2=1,$B327,X327)*IF($B331=1,Y331,Y330)</f>
        <v>38196.787823061786</v>
      </c>
      <c r="Z327" s="285">
        <f t="shared" ref="Z327" ca="1" si="1563">IF(Z$2=1,$B327,Y327)*IF($B331=1,Z331,Z330)</f>
        <v>38382.712619224221</v>
      </c>
      <c r="AA327" s="285">
        <f t="shared" ref="AA327" ca="1" si="1564">IF(AA$2=1,$B327,Z327)*IF($B331=1,AA331,AA330)</f>
        <v>38569.542413733325</v>
      </c>
      <c r="AB327" s="285">
        <f t="shared" ref="AB327" ca="1" si="1565">IF(AB$2=1,$B327,AA327)*IF($B331=1,AB331,AB330)</f>
        <v>38757.281611714316</v>
      </c>
      <c r="AC327" s="285">
        <f t="shared" ref="AC327" ca="1" si="1566">IF(AC$2=1,$B327,AB327)*IF($B331=1,AC331,AC330)</f>
        <v>38945.934639734573</v>
      </c>
      <c r="AD327" s="285">
        <f t="shared" ref="AD327" ca="1" si="1567">IF(AD$2=1,$B327,AC327)*IF($B331=1,AD331,AD330)</f>
        <v>39135.505945908029</v>
      </c>
      <c r="AE327" s="285">
        <f t="shared" ref="AE327" ca="1" si="1568">IF(AE$2=1,$B327,AD327)*IF($B331=1,AE331,AE330)</f>
        <v>39326.000000000022</v>
      </c>
      <c r="AF327" s="285">
        <f t="shared" ref="AF327" ca="1" si="1569">IF(AF$2=1,$B327,AE327)*IF($B331=1,AF331,AF330)</f>
        <v>39517.421293532701</v>
      </c>
      <c r="AG327" s="285">
        <f t="shared" ref="AG327" ca="1" si="1570">IF(AG$2=1,$B327,AF327)*IF($B331=1,AG331,AG330)</f>
        <v>39709.774339890937</v>
      </c>
      <c r="AH327" s="285">
        <f t="shared" ref="AH327" ca="1" si="1571">IF(AH$2=1,$B327,AG327)*IF($B331=1,AH331,AH330)</f>
        <v>39903.063674428719</v>
      </c>
      <c r="AI327" s="285">
        <f t="shared" ref="AI327" ca="1" si="1572">IF(AI$2=1,$B327,AH327)*IF($B331=1,AI331,AI330)</f>
        <v>40097.293854576106</v>
      </c>
      <c r="AJ327" s="285">
        <f t="shared" ref="AJ327" ca="1" si="1573">IF(AJ$2=1,$B327,AI327)*IF($B331=1,AJ331,AJ330)</f>
        <v>40292.469459946675</v>
      </c>
      <c r="AK327" s="285">
        <f t="shared" ref="AK327" ca="1" si="1574">IF(AK$2=1,$B327,AJ327)*IF($B331=1,AK331,AK330)</f>
        <v>40488.595092445503</v>
      </c>
      <c r="AL327" s="285">
        <f t="shared" ref="AL327" ca="1" si="1575">IF(AL$2=1,$B327,AK327)*IF($B331=1,AL331,AL330)</f>
        <v>40685.67537637768</v>
      </c>
      <c r="AM327" s="285">
        <f t="shared" ref="AM327" ca="1" si="1576">IF(AM$2=1,$B327,AL327)*IF($B331=1,AM331,AM330)</f>
        <v>40883.714958557328</v>
      </c>
      <c r="AN327" s="285">
        <f t="shared" ref="AN327" ca="1" si="1577">IF(AN$2=1,$B327,AM327)*IF($B331=1,AN331,AN330)</f>
        <v>41082.71850841718</v>
      </c>
      <c r="AO327" s="285">
        <f t="shared" ref="AO327" ca="1" si="1578">IF(AO$2=1,$B327,AN327)*IF($B331=1,AO331,AO330)</f>
        <v>41282.690718118654</v>
      </c>
      <c r="AP327" s="285">
        <f t="shared" ref="AP327" ca="1" si="1579">IF(AP$2=1,$B327,AO327)*IF($B331=1,AP331,AP330)</f>
        <v>41483.636302662519</v>
      </c>
      <c r="AQ327" s="285">
        <f t="shared" ref="AQ327" ca="1" si="1580">IF(AQ$2=1,$B327,AP327)*IF($B331=1,AQ331,AQ330)</f>
        <v>41685.560000000027</v>
      </c>
      <c r="AR327" s="285">
        <f t="shared" ref="AR327" ca="1" si="1581">IF(AR$2=1,$B327,AQ327)*IF($B331=1,AR331,AR330)</f>
        <v>41888.466571144665</v>
      </c>
      <c r="AS327" s="285">
        <f t="shared" ref="AS327" ca="1" si="1582">IF(AS$2=1,$B327,AR327)*IF($B331=1,AS331,AS330)</f>
        <v>42092.36080028439</v>
      </c>
      <c r="AT327" s="285">
        <f t="shared" ref="AT327" ca="1" si="1583">IF(AT$2=1,$B327,AS327)*IF($B331=1,AT331,AT330)</f>
        <v>42297.247494894436</v>
      </c>
      <c r="AU327" s="285">
        <f t="shared" ref="AU327" ca="1" si="1584">IF(AU$2=1,$B327,AT327)*IF($B331=1,AU331,AU330)</f>
        <v>42503.131485850667</v>
      </c>
      <c r="AV327" s="285">
        <f t="shared" ref="AV327" ca="1" si="1585">IF(AV$2=1,$B327,AU327)*IF($B331=1,AV331,AV330)</f>
        <v>42710.017627543471</v>
      </c>
      <c r="AW327" s="285">
        <f t="shared" ref="AW327" ca="1" si="1586">IF(AW$2=1,$B327,AV327)*IF($B331=1,AW331,AW330)</f>
        <v>42917.910797992234</v>
      </c>
      <c r="AX327" s="285">
        <f t="shared" ref="AX327" ca="1" si="1587">IF(AX$2=1,$B327,AW327)*IF($B331=1,AX331,AX330)</f>
        <v>43126.81589896034</v>
      </c>
      <c r="AY327" s="285">
        <f t="shared" ref="AY327" ca="1" si="1588">IF(AY$2=1,$B327,AX327)*IF($B331=1,AY331,AY330)</f>
        <v>43336.737856070773</v>
      </c>
      <c r="AZ327" s="285">
        <f t="shared" ref="AZ327" ca="1" si="1589">IF(AZ$2=1,$B327,AY327)*IF($B331=1,AZ331,AZ330)</f>
        <v>43547.681618922215</v>
      </c>
      <c r="BA327" s="285">
        <f t="shared" ref="BA327" ca="1" si="1590">IF(BA$2=1,$B327,AZ327)*IF($B331=1,BA331,BA330)</f>
        <v>43759.652161205777</v>
      </c>
      <c r="BB327" s="285">
        <f t="shared" ref="BB327" ca="1" si="1591">IF(BB$2=1,$B327,BA327)*IF($B331=1,BB331,BB330)</f>
        <v>43972.654480822268</v>
      </c>
      <c r="BC327" s="177"/>
    </row>
    <row r="328" spans="1:56" collapsed="1" x14ac:dyDescent="0.3">
      <c r="A328" s="175" t="str">
        <f ca="1">Language!A$703</f>
        <v>заработная плата</v>
      </c>
      <c r="B328" s="205" t="str">
        <f ca="1">Language!$A$1479</f>
        <v>за период</v>
      </c>
      <c r="C328" s="176" t="str">
        <f t="shared" ref="C328" ca="1" si="1592">CHOOSE(D328,CurName1,CurName2,CurName3)</f>
        <v>руб.</v>
      </c>
      <c r="D328" s="174">
        <f>D325</f>
        <v>1</v>
      </c>
      <c r="E328" s="170" t="s">
        <v>784</v>
      </c>
      <c r="F328" s="170" t="s">
        <v>740</v>
      </c>
      <c r="G328" s="177">
        <f ca="1">G326*G327*Параметры!G$31</f>
        <v>0</v>
      </c>
      <c r="H328" s="177">
        <f ca="1">H326*H327*Параметры!H$31</f>
        <v>0</v>
      </c>
      <c r="I328" s="177">
        <f ca="1">I326*I327*Параметры!I$31</f>
        <v>0</v>
      </c>
      <c r="J328" s="177">
        <f ca="1">J326*J327*Параметры!J$31</f>
        <v>0</v>
      </c>
      <c r="K328" s="177">
        <f ca="1">K326*K327*Параметры!K$31</f>
        <v>0</v>
      </c>
      <c r="L328" s="177">
        <f ca="1">L326*L327*Параметры!L$31</f>
        <v>0</v>
      </c>
      <c r="M328" s="177">
        <f ca="1">M326*M327*Параметры!M$31</f>
        <v>36034.705493454501</v>
      </c>
      <c r="N328" s="177">
        <f ca="1">N326*N327*Параметры!N$31</f>
        <v>36210.106244551134</v>
      </c>
      <c r="O328" s="177">
        <f ca="1">O326*O327*Параметры!O$31</f>
        <v>36386.36076767293</v>
      </c>
      <c r="P328" s="177">
        <f ca="1">P326*P327*Параметры!P$31</f>
        <v>36563.473218598396</v>
      </c>
      <c r="Q328" s="177">
        <f ca="1">Q326*Q327*Параметры!Q$31</f>
        <v>36741.44777333449</v>
      </c>
      <c r="R328" s="177">
        <f ca="1">R326*R327*Параметры!R$31</f>
        <v>36920.288628215108</v>
      </c>
      <c r="S328" s="177">
        <f ca="1">S326*S327*Параметры!S$31</f>
        <v>37100.000000000007</v>
      </c>
      <c r="T328" s="177">
        <f ca="1">T326*T327*Параметры!T$31</f>
        <v>37280.586125974238</v>
      </c>
      <c r="U328" s="177">
        <f ca="1">U326*U327*Параметры!U$31</f>
        <v>37462.051264048045</v>
      </c>
      <c r="V328" s="177">
        <f ca="1">V326*V327*Параметры!V$31</f>
        <v>37644.399692857274</v>
      </c>
      <c r="W328" s="177">
        <f ca="1">W326*W327*Параметры!W$31</f>
        <v>37827.635711864241</v>
      </c>
      <c r="X328" s="177">
        <f ca="1">X326*X327*Параметры!X$31</f>
        <v>38011.763641459118</v>
      </c>
      <c r="Y328" s="177">
        <f ca="1">Y326*Y327*Параметры!Y$31</f>
        <v>38196.787823061786</v>
      </c>
      <c r="Z328" s="177">
        <f ca="1">Z326*Z327*Параметры!Z$31</f>
        <v>38382.712619224221</v>
      </c>
      <c r="AA328" s="177">
        <f ca="1">AA326*AA327*Параметры!AA$31</f>
        <v>38569.542413733325</v>
      </c>
      <c r="AB328" s="177">
        <f ca="1">AB326*AB327*Параметры!AB$31</f>
        <v>38757.281611714316</v>
      </c>
      <c r="AC328" s="177">
        <f ca="1">AC326*AC327*Параметры!AC$31</f>
        <v>38945.934639734573</v>
      </c>
      <c r="AD328" s="177">
        <f ca="1">AD326*AD327*Параметры!AD$31</f>
        <v>39135.505945908029</v>
      </c>
      <c r="AE328" s="177">
        <f ca="1">AE326*AE327*Параметры!AE$31</f>
        <v>39326.000000000022</v>
      </c>
      <c r="AF328" s="177">
        <f ca="1">AF326*AF327*Параметры!AF$31</f>
        <v>39517.421293532701</v>
      </c>
      <c r="AG328" s="177">
        <f ca="1">AG326*AG327*Параметры!AG$31</f>
        <v>39709.774339890937</v>
      </c>
      <c r="AH328" s="177">
        <f ca="1">AH326*AH327*Параметры!AH$31</f>
        <v>39903.063674428719</v>
      </c>
      <c r="AI328" s="177">
        <f ca="1">AI326*AI327*Параметры!AI$31</f>
        <v>40097.293854576106</v>
      </c>
      <c r="AJ328" s="177">
        <f ca="1">AJ326*AJ327*Параметры!AJ$31</f>
        <v>40292.469459946675</v>
      </c>
      <c r="AK328" s="177">
        <f ca="1">AK326*AK327*Параметры!AK$31</f>
        <v>40488.595092445503</v>
      </c>
      <c r="AL328" s="177">
        <f ca="1">AL326*AL327*Параметры!AL$31</f>
        <v>40685.67537637768</v>
      </c>
      <c r="AM328" s="177">
        <f ca="1">AM326*AM327*Параметры!AM$31</f>
        <v>40883.714958557328</v>
      </c>
      <c r="AN328" s="177">
        <f ca="1">AN326*AN327*Параметры!AN$31</f>
        <v>41082.71850841718</v>
      </c>
      <c r="AO328" s="177">
        <f ca="1">AO326*AO327*Параметры!AO$31</f>
        <v>41282.690718118654</v>
      </c>
      <c r="AP328" s="177">
        <f ca="1">AP326*AP327*Параметры!AP$31</f>
        <v>41483.636302662519</v>
      </c>
      <c r="AQ328" s="177">
        <f ca="1">AQ326*AQ327*Параметры!AQ$31</f>
        <v>41685.560000000027</v>
      </c>
      <c r="AR328" s="177">
        <f ca="1">AR326*AR327*Параметры!AR$31</f>
        <v>41888.466571144665</v>
      </c>
      <c r="AS328" s="177">
        <f ca="1">AS326*AS327*Параметры!AS$31</f>
        <v>42092.36080028439</v>
      </c>
      <c r="AT328" s="177">
        <f ca="1">AT326*AT327*Параметры!AT$31</f>
        <v>42297.247494894436</v>
      </c>
      <c r="AU328" s="177">
        <f ca="1">AU326*AU327*Параметры!AU$31</f>
        <v>42503.131485850667</v>
      </c>
      <c r="AV328" s="177">
        <f ca="1">AV326*AV327*Параметры!AV$31</f>
        <v>42710.017627543471</v>
      </c>
      <c r="AW328" s="177">
        <f ca="1">AW326*AW327*Параметры!AW$31</f>
        <v>42917.910797992234</v>
      </c>
      <c r="AX328" s="177">
        <f ca="1">AX326*AX327*Параметры!AX$31</f>
        <v>43126.81589896034</v>
      </c>
      <c r="AY328" s="177">
        <f ca="1">AY326*AY327*Параметры!AY$31</f>
        <v>43336.737856070773</v>
      </c>
      <c r="AZ328" s="177">
        <f ca="1">AZ326*AZ327*Параметры!AZ$31</f>
        <v>43547.681618922215</v>
      </c>
      <c r="BA328" s="177">
        <f ca="1">BA326*BA327*Параметры!BA$31</f>
        <v>43759.652161205777</v>
      </c>
      <c r="BB328" s="177">
        <f ca="1">BB326*BB327*Параметры!BB$31</f>
        <v>43972.654480822268</v>
      </c>
      <c r="BC328" s="177"/>
      <c r="BD328" s="178">
        <f ca="1">SUM(G328:BC328)</f>
        <v>1674761.873988051</v>
      </c>
    </row>
    <row r="329" spans="1:56" hidden="1" outlineLevel="1" x14ac:dyDescent="0.3">
      <c r="A329" s="184" t="str">
        <f ca="1">Language!A$705</f>
        <v>темп изменения цен</v>
      </c>
      <c r="B329" s="189"/>
      <c r="C329" s="163" t="str">
        <f ca="1">Language!$A$480</f>
        <v>% в год</v>
      </c>
      <c r="D329" s="174"/>
      <c r="F329" s="170" t="s">
        <v>2346</v>
      </c>
      <c r="G329" s="290">
        <f>CHOOSE($D325,Параметры!G$50,Параметры!G$56,Параметры!G$62)</f>
        <v>0.06</v>
      </c>
      <c r="H329" s="290">
        <f>CHOOSE($D325,Параметры!H$50,Параметры!H$56,Параметры!H$62)</f>
        <v>0.06</v>
      </c>
      <c r="I329" s="290">
        <f>CHOOSE($D325,Параметры!I$50,Параметры!I$56,Параметры!I$62)</f>
        <v>0.06</v>
      </c>
      <c r="J329" s="290">
        <f>CHOOSE($D325,Параметры!J$50,Параметры!J$56,Параметры!J$62)</f>
        <v>0.06</v>
      </c>
      <c r="K329" s="290">
        <f>CHOOSE($D325,Параметры!K$50,Параметры!K$56,Параметры!K$62)</f>
        <v>0.06</v>
      </c>
      <c r="L329" s="290">
        <f>CHOOSE($D325,Параметры!L$50,Параметры!L$56,Параметры!L$62)</f>
        <v>0.06</v>
      </c>
      <c r="M329" s="290">
        <f>CHOOSE($D325,Параметры!M$50,Параметры!M$56,Параметры!M$62)</f>
        <v>0.06</v>
      </c>
      <c r="N329" s="290">
        <f>CHOOSE($D325,Параметры!N$50,Параметры!N$56,Параметры!N$62)</f>
        <v>0.06</v>
      </c>
      <c r="O329" s="290">
        <f>CHOOSE($D325,Параметры!O$50,Параметры!O$56,Параметры!O$62)</f>
        <v>0.06</v>
      </c>
      <c r="P329" s="290">
        <f>CHOOSE($D325,Параметры!P$50,Параметры!P$56,Параметры!P$62)</f>
        <v>0.06</v>
      </c>
      <c r="Q329" s="290">
        <f>CHOOSE($D325,Параметры!Q$50,Параметры!Q$56,Параметры!Q$62)</f>
        <v>0.06</v>
      </c>
      <c r="R329" s="290">
        <f>CHOOSE($D325,Параметры!R$50,Параметры!R$56,Параметры!R$62)</f>
        <v>0.06</v>
      </c>
      <c r="S329" s="290">
        <f>CHOOSE($D325,Параметры!S$50,Параметры!S$56,Параметры!S$62)</f>
        <v>0.06</v>
      </c>
      <c r="T329" s="290">
        <f>CHOOSE($D325,Параметры!T$50,Параметры!T$56,Параметры!T$62)</f>
        <v>0.06</v>
      </c>
      <c r="U329" s="290">
        <f>CHOOSE($D325,Параметры!U$50,Параметры!U$56,Параметры!U$62)</f>
        <v>0.06</v>
      </c>
      <c r="V329" s="290">
        <f>CHOOSE($D325,Параметры!V$50,Параметры!V$56,Параметры!V$62)</f>
        <v>0.06</v>
      </c>
      <c r="W329" s="290">
        <f>CHOOSE($D325,Параметры!W$50,Параметры!W$56,Параметры!W$62)</f>
        <v>0.06</v>
      </c>
      <c r="X329" s="290">
        <f>CHOOSE($D325,Параметры!X$50,Параметры!X$56,Параметры!X$62)</f>
        <v>0.06</v>
      </c>
      <c r="Y329" s="290">
        <f>CHOOSE($D325,Параметры!Y$50,Параметры!Y$56,Параметры!Y$62)</f>
        <v>0.06</v>
      </c>
      <c r="Z329" s="290">
        <f>CHOOSE($D325,Параметры!Z$50,Параметры!Z$56,Параметры!Z$62)</f>
        <v>0.06</v>
      </c>
      <c r="AA329" s="290">
        <f>CHOOSE($D325,Параметры!AA$50,Параметры!AA$56,Параметры!AA$62)</f>
        <v>0.06</v>
      </c>
      <c r="AB329" s="290">
        <f>CHOOSE($D325,Параметры!AB$50,Параметры!AB$56,Параметры!AB$62)</f>
        <v>0.06</v>
      </c>
      <c r="AC329" s="290">
        <f>CHOOSE($D325,Параметры!AC$50,Параметры!AC$56,Параметры!AC$62)</f>
        <v>0.06</v>
      </c>
      <c r="AD329" s="290">
        <f>CHOOSE($D325,Параметры!AD$50,Параметры!AD$56,Параметры!AD$62)</f>
        <v>0.06</v>
      </c>
      <c r="AE329" s="290">
        <f>CHOOSE($D325,Параметры!AE$50,Параметры!AE$56,Параметры!AE$62)</f>
        <v>0.06</v>
      </c>
      <c r="AF329" s="290">
        <f>CHOOSE($D325,Параметры!AF$50,Параметры!AF$56,Параметры!AF$62)</f>
        <v>0.06</v>
      </c>
      <c r="AG329" s="290">
        <f>CHOOSE($D325,Параметры!AG$50,Параметры!AG$56,Параметры!AG$62)</f>
        <v>0.06</v>
      </c>
      <c r="AH329" s="290">
        <f>CHOOSE($D325,Параметры!AH$50,Параметры!AH$56,Параметры!AH$62)</f>
        <v>0.06</v>
      </c>
      <c r="AI329" s="290">
        <f>CHOOSE($D325,Параметры!AI$50,Параметры!AI$56,Параметры!AI$62)</f>
        <v>0.06</v>
      </c>
      <c r="AJ329" s="290">
        <f>CHOOSE($D325,Параметры!AJ$50,Параметры!AJ$56,Параметры!AJ$62)</f>
        <v>0.06</v>
      </c>
      <c r="AK329" s="290">
        <f>CHOOSE($D325,Параметры!AK$50,Параметры!AK$56,Параметры!AK$62)</f>
        <v>0.06</v>
      </c>
      <c r="AL329" s="290">
        <f>CHOOSE($D325,Параметры!AL$50,Параметры!AL$56,Параметры!AL$62)</f>
        <v>0.06</v>
      </c>
      <c r="AM329" s="290">
        <f>CHOOSE($D325,Параметры!AM$50,Параметры!AM$56,Параметры!AM$62)</f>
        <v>0.06</v>
      </c>
      <c r="AN329" s="290">
        <f>CHOOSE($D325,Параметры!AN$50,Параметры!AN$56,Параметры!AN$62)</f>
        <v>0.06</v>
      </c>
      <c r="AO329" s="290">
        <f>CHOOSE($D325,Параметры!AO$50,Параметры!AO$56,Параметры!AO$62)</f>
        <v>0.06</v>
      </c>
      <c r="AP329" s="290">
        <f>CHOOSE($D325,Параметры!AP$50,Параметры!AP$56,Параметры!AP$62)</f>
        <v>0.06</v>
      </c>
      <c r="AQ329" s="290">
        <f>CHOOSE($D325,Параметры!AQ$50,Параметры!AQ$56,Параметры!AQ$62)</f>
        <v>0.06</v>
      </c>
      <c r="AR329" s="290">
        <f>CHOOSE($D325,Параметры!AR$50,Параметры!AR$56,Параметры!AR$62)</f>
        <v>0.06</v>
      </c>
      <c r="AS329" s="290">
        <f>CHOOSE($D325,Параметры!AS$50,Параметры!AS$56,Параметры!AS$62)</f>
        <v>0.06</v>
      </c>
      <c r="AT329" s="290">
        <f>CHOOSE($D325,Параметры!AT$50,Параметры!AT$56,Параметры!AT$62)</f>
        <v>0.06</v>
      </c>
      <c r="AU329" s="290">
        <f>CHOOSE($D325,Параметры!AU$50,Параметры!AU$56,Параметры!AU$62)</f>
        <v>0.06</v>
      </c>
      <c r="AV329" s="290">
        <f>CHOOSE($D325,Параметры!AV$50,Параметры!AV$56,Параметры!AV$62)</f>
        <v>0.06</v>
      </c>
      <c r="AW329" s="290">
        <f>CHOOSE($D325,Параметры!AW$50,Параметры!AW$56,Параметры!AW$62)</f>
        <v>0.06</v>
      </c>
      <c r="AX329" s="290">
        <f>CHOOSE($D325,Параметры!AX$50,Параметры!AX$56,Параметры!AX$62)</f>
        <v>0.06</v>
      </c>
      <c r="AY329" s="290">
        <f>CHOOSE($D325,Параметры!AY$50,Параметры!AY$56,Параметры!AY$62)</f>
        <v>0.06</v>
      </c>
      <c r="AZ329" s="290">
        <f>CHOOSE($D325,Параметры!AZ$50,Параметры!AZ$56,Параметры!AZ$62)</f>
        <v>0.06</v>
      </c>
      <c r="BA329" s="290">
        <f>CHOOSE($D325,Параметры!BA$50,Параметры!BA$56,Параметры!BA$62)</f>
        <v>0.06</v>
      </c>
      <c r="BB329" s="290">
        <f>CHOOSE($D325,Параметры!BB$50,Параметры!BB$56,Параметры!BB$62)</f>
        <v>0.06</v>
      </c>
      <c r="BC329" s="190"/>
      <c r="BD329" s="186"/>
    </row>
    <row r="330" spans="1:56" hidden="1" outlineLevel="1" x14ac:dyDescent="0.3">
      <c r="A330" s="184" t="str">
        <f ca="1">Language!A$675</f>
        <v>коэффициент прироста цен к предыдущему периоду</v>
      </c>
      <c r="B330" s="189"/>
      <c r="C330" s="163" t="str">
        <f ca="1">Language!$A$1477</f>
        <v>раз</v>
      </c>
      <c r="D330" s="174"/>
      <c r="F330" s="170" t="s">
        <v>745</v>
      </c>
      <c r="G330" s="191">
        <f ca="1">IF(G$2=1,1,IF(Prj_Inflation=1, (1+OFFSET(G329,0,-1))^(Параметры!G$30/360), 1))</f>
        <v>1</v>
      </c>
      <c r="H330" s="191">
        <f ca="1">IF(H$2=1,1,IF(Prj_Inflation=1, (1+OFFSET(H329,0,-1))^(Параметры!H$30/360), 1))</f>
        <v>1.004867550565343</v>
      </c>
      <c r="I330" s="191">
        <f ca="1">IF(I$2=1,1,IF(Prj_Inflation=1, (1+OFFSET(I329,0,-1))^(Параметры!I$30/360), 1))</f>
        <v>1.004867550565343</v>
      </c>
      <c r="J330" s="191">
        <f ca="1">IF(J$2=1,1,IF(Prj_Inflation=1, (1+OFFSET(J329,0,-1))^(Параметры!J$30/360), 1))</f>
        <v>1.004867550565343</v>
      </c>
      <c r="K330" s="191">
        <f ca="1">IF(K$2=1,1,IF(Prj_Inflation=1, (1+OFFSET(K329,0,-1))^(Параметры!K$30/360), 1))</f>
        <v>1.004867550565343</v>
      </c>
      <c r="L330" s="191">
        <f ca="1">IF(L$2=1,1,IF(Prj_Inflation=1, (1+OFFSET(L329,0,-1))^(Параметры!L$30/360), 1))</f>
        <v>1.004867550565343</v>
      </c>
      <c r="M330" s="191">
        <f ca="1">IF(M$2=1,1,IF(Prj_Inflation=1, (1+OFFSET(M329,0,-1))^(Параметры!M$30/360), 1))</f>
        <v>1.004867550565343</v>
      </c>
      <c r="N330" s="191">
        <f ca="1">IF(N$2=1,1,IF(Prj_Inflation=1, (1+OFFSET(N329,0,-1))^(Параметры!N$30/360), 1))</f>
        <v>1.004867550565343</v>
      </c>
      <c r="O330" s="191">
        <f ca="1">IF(O$2=1,1,IF(Prj_Inflation=1, (1+OFFSET(O329,0,-1))^(Параметры!O$30/360), 1))</f>
        <v>1.004867550565343</v>
      </c>
      <c r="P330" s="191">
        <f ca="1">IF(P$2=1,1,IF(Prj_Inflation=1, (1+OFFSET(P329,0,-1))^(Параметры!P$30/360), 1))</f>
        <v>1.004867550565343</v>
      </c>
      <c r="Q330" s="191">
        <f ca="1">IF(Q$2=1,1,IF(Prj_Inflation=1, (1+OFFSET(Q329,0,-1))^(Параметры!Q$30/360), 1))</f>
        <v>1.004867550565343</v>
      </c>
      <c r="R330" s="191">
        <f ca="1">IF(R$2=1,1,IF(Prj_Inflation=1, (1+OFFSET(R329,0,-1))^(Параметры!R$30/360), 1))</f>
        <v>1.004867550565343</v>
      </c>
      <c r="S330" s="191">
        <f ca="1">IF(S$2=1,1,IF(Prj_Inflation=1, (1+OFFSET(S329,0,-1))^(Параметры!S$30/360), 1))</f>
        <v>1.004867550565343</v>
      </c>
      <c r="T330" s="191">
        <f ca="1">IF(T$2=1,1,IF(Prj_Inflation=1, (1+OFFSET(T329,0,-1))^(Параметры!T$30/360), 1))</f>
        <v>1.004867550565343</v>
      </c>
      <c r="U330" s="191">
        <f ca="1">IF(U$2=1,1,IF(Prj_Inflation=1, (1+OFFSET(U329,0,-1))^(Параметры!U$30/360), 1))</f>
        <v>1.004867550565343</v>
      </c>
      <c r="V330" s="191">
        <f ca="1">IF(V$2=1,1,IF(Prj_Inflation=1, (1+OFFSET(V329,0,-1))^(Параметры!V$30/360), 1))</f>
        <v>1.004867550565343</v>
      </c>
      <c r="W330" s="191">
        <f ca="1">IF(W$2=1,1,IF(Prj_Inflation=1, (1+OFFSET(W329,0,-1))^(Параметры!W$30/360), 1))</f>
        <v>1.004867550565343</v>
      </c>
      <c r="X330" s="191">
        <f ca="1">IF(X$2=1,1,IF(Prj_Inflation=1, (1+OFFSET(X329,0,-1))^(Параметры!X$30/360), 1))</f>
        <v>1.004867550565343</v>
      </c>
      <c r="Y330" s="191">
        <f ca="1">IF(Y$2=1,1,IF(Prj_Inflation=1, (1+OFFSET(Y329,0,-1))^(Параметры!Y$30/360), 1))</f>
        <v>1.004867550565343</v>
      </c>
      <c r="Z330" s="191">
        <f ca="1">IF(Z$2=1,1,IF(Prj_Inflation=1, (1+OFFSET(Z329,0,-1))^(Параметры!Z$30/360), 1))</f>
        <v>1.004867550565343</v>
      </c>
      <c r="AA330" s="191">
        <f ca="1">IF(AA$2=1,1,IF(Prj_Inflation=1, (1+OFFSET(AA329,0,-1))^(Параметры!AA$30/360), 1))</f>
        <v>1.004867550565343</v>
      </c>
      <c r="AB330" s="191">
        <f ca="1">IF(AB$2=1,1,IF(Prj_Inflation=1, (1+OFFSET(AB329,0,-1))^(Параметры!AB$30/360), 1))</f>
        <v>1.004867550565343</v>
      </c>
      <c r="AC330" s="191">
        <f ca="1">IF(AC$2=1,1,IF(Prj_Inflation=1, (1+OFFSET(AC329,0,-1))^(Параметры!AC$30/360), 1))</f>
        <v>1.004867550565343</v>
      </c>
      <c r="AD330" s="191">
        <f ca="1">IF(AD$2=1,1,IF(Prj_Inflation=1, (1+OFFSET(AD329,0,-1))^(Параметры!AD$30/360), 1))</f>
        <v>1.004867550565343</v>
      </c>
      <c r="AE330" s="191">
        <f ca="1">IF(AE$2=1,1,IF(Prj_Inflation=1, (1+OFFSET(AE329,0,-1))^(Параметры!AE$30/360), 1))</f>
        <v>1.004867550565343</v>
      </c>
      <c r="AF330" s="191">
        <f ca="1">IF(AF$2=1,1,IF(Prj_Inflation=1, (1+OFFSET(AF329,0,-1))^(Параметры!AF$30/360), 1))</f>
        <v>1.004867550565343</v>
      </c>
      <c r="AG330" s="191">
        <f ca="1">IF(AG$2=1,1,IF(Prj_Inflation=1, (1+OFFSET(AG329,0,-1))^(Параметры!AG$30/360), 1))</f>
        <v>1.004867550565343</v>
      </c>
      <c r="AH330" s="191">
        <f ca="1">IF(AH$2=1,1,IF(Prj_Inflation=1, (1+OFFSET(AH329,0,-1))^(Параметры!AH$30/360), 1))</f>
        <v>1.004867550565343</v>
      </c>
      <c r="AI330" s="191">
        <f ca="1">IF(AI$2=1,1,IF(Prj_Inflation=1, (1+OFFSET(AI329,0,-1))^(Параметры!AI$30/360), 1))</f>
        <v>1.004867550565343</v>
      </c>
      <c r="AJ330" s="191">
        <f ca="1">IF(AJ$2=1,1,IF(Prj_Inflation=1, (1+OFFSET(AJ329,0,-1))^(Параметры!AJ$30/360), 1))</f>
        <v>1.004867550565343</v>
      </c>
      <c r="AK330" s="191">
        <f ca="1">IF(AK$2=1,1,IF(Prj_Inflation=1, (1+OFFSET(AK329,0,-1))^(Параметры!AK$30/360), 1))</f>
        <v>1.004867550565343</v>
      </c>
      <c r="AL330" s="191">
        <f ca="1">IF(AL$2=1,1,IF(Prj_Inflation=1, (1+OFFSET(AL329,0,-1))^(Параметры!AL$30/360), 1))</f>
        <v>1.004867550565343</v>
      </c>
      <c r="AM330" s="191">
        <f ca="1">IF(AM$2=1,1,IF(Prj_Inflation=1, (1+OFFSET(AM329,0,-1))^(Параметры!AM$30/360), 1))</f>
        <v>1.004867550565343</v>
      </c>
      <c r="AN330" s="191">
        <f ca="1">IF(AN$2=1,1,IF(Prj_Inflation=1, (1+OFFSET(AN329,0,-1))^(Параметры!AN$30/360), 1))</f>
        <v>1.004867550565343</v>
      </c>
      <c r="AO330" s="191">
        <f ca="1">IF(AO$2=1,1,IF(Prj_Inflation=1, (1+OFFSET(AO329,0,-1))^(Параметры!AO$30/360), 1))</f>
        <v>1.004867550565343</v>
      </c>
      <c r="AP330" s="191">
        <f ca="1">IF(AP$2=1,1,IF(Prj_Inflation=1, (1+OFFSET(AP329,0,-1))^(Параметры!AP$30/360), 1))</f>
        <v>1.004867550565343</v>
      </c>
      <c r="AQ330" s="191">
        <f ca="1">IF(AQ$2=1,1,IF(Prj_Inflation=1, (1+OFFSET(AQ329,0,-1))^(Параметры!AQ$30/360), 1))</f>
        <v>1.004867550565343</v>
      </c>
      <c r="AR330" s="191">
        <f ca="1">IF(AR$2=1,1,IF(Prj_Inflation=1, (1+OFFSET(AR329,0,-1))^(Параметры!AR$30/360), 1))</f>
        <v>1.004867550565343</v>
      </c>
      <c r="AS330" s="191">
        <f ca="1">IF(AS$2=1,1,IF(Prj_Inflation=1, (1+OFFSET(AS329,0,-1))^(Параметры!AS$30/360), 1))</f>
        <v>1.004867550565343</v>
      </c>
      <c r="AT330" s="191">
        <f ca="1">IF(AT$2=1,1,IF(Prj_Inflation=1, (1+OFFSET(AT329,0,-1))^(Параметры!AT$30/360), 1))</f>
        <v>1.004867550565343</v>
      </c>
      <c r="AU330" s="191">
        <f ca="1">IF(AU$2=1,1,IF(Prj_Inflation=1, (1+OFFSET(AU329,0,-1))^(Параметры!AU$30/360), 1))</f>
        <v>1.004867550565343</v>
      </c>
      <c r="AV330" s="191">
        <f ca="1">IF(AV$2=1,1,IF(Prj_Inflation=1, (1+OFFSET(AV329,0,-1))^(Параметры!AV$30/360), 1))</f>
        <v>1.004867550565343</v>
      </c>
      <c r="AW330" s="191">
        <f ca="1">IF(AW$2=1,1,IF(Prj_Inflation=1, (1+OFFSET(AW329,0,-1))^(Параметры!AW$30/360), 1))</f>
        <v>1.004867550565343</v>
      </c>
      <c r="AX330" s="191">
        <f ca="1">IF(AX$2=1,1,IF(Prj_Inflation=1, (1+OFFSET(AX329,0,-1))^(Параметры!AX$30/360), 1))</f>
        <v>1.004867550565343</v>
      </c>
      <c r="AY330" s="191">
        <f ca="1">IF(AY$2=1,1,IF(Prj_Inflation=1, (1+OFFSET(AY329,0,-1))^(Параметры!AY$30/360), 1))</f>
        <v>1.004867550565343</v>
      </c>
      <c r="AZ330" s="191">
        <f ca="1">IF(AZ$2=1,1,IF(Prj_Inflation=1, (1+OFFSET(AZ329,0,-1))^(Параметры!AZ$30/360), 1))</f>
        <v>1.004867550565343</v>
      </c>
      <c r="BA330" s="191">
        <f ca="1">IF(BA$2=1,1,IF(Prj_Inflation=1, (1+OFFSET(BA329,0,-1))^(Параметры!BA$30/360), 1))</f>
        <v>1.004867550565343</v>
      </c>
      <c r="BB330" s="191">
        <f ca="1">IF(BB$2=1,1,IF(Prj_Inflation=1, (1+OFFSET(BB329,0,-1))^(Параметры!BB$30/360), 1))</f>
        <v>1.004867550565343</v>
      </c>
      <c r="BC330" s="191"/>
      <c r="BD330" s="186"/>
    </row>
    <row r="331" spans="1:56" hidden="1" outlineLevel="1" x14ac:dyDescent="0.3">
      <c r="A331" s="184" t="str">
        <f ca="1">Language!A$1486</f>
        <v>индексировать в начале года</v>
      </c>
      <c r="B331" s="291">
        <v>0</v>
      </c>
      <c r="C331" s="163" t="str">
        <f ca="1">IF(B331=1,Language!$A$1475,Language!$A$1476)</f>
        <v>Нет</v>
      </c>
      <c r="D331" s="174"/>
      <c r="F331" s="170" t="s">
        <v>3408</v>
      </c>
      <c r="G331" s="192" t="str">
        <f ca="1">IF(Prj_Inflation=1,IF($B331=1,IF(G$2=1,1,IF(Параметры!G$29=1,1+OFFSET(G329,0,-1),1)),"-"),1)</f>
        <v>-</v>
      </c>
      <c r="H331" s="192" t="str">
        <f ca="1">IF(Prj_Inflation=1,IF($B331=1,IF(H$2=1,1,IF(Параметры!H$29=1,1+OFFSET(H329,0,-1),1)),"-"),1)</f>
        <v>-</v>
      </c>
      <c r="I331" s="192" t="str">
        <f ca="1">IF(Prj_Inflation=1,IF($B331=1,IF(I$2=1,1,IF(Параметры!I$29=1,1+OFFSET(I329,0,-1),1)),"-"),1)</f>
        <v>-</v>
      </c>
      <c r="J331" s="192" t="str">
        <f ca="1">IF(Prj_Inflation=1,IF($B331=1,IF(J$2=1,1,IF(Параметры!J$29=1,1+OFFSET(J329,0,-1),1)),"-"),1)</f>
        <v>-</v>
      </c>
      <c r="K331" s="192" t="str">
        <f ca="1">IF(Prj_Inflation=1,IF($B331=1,IF(K$2=1,1,IF(Параметры!K$29=1,1+OFFSET(K329,0,-1),1)),"-"),1)</f>
        <v>-</v>
      </c>
      <c r="L331" s="192" t="str">
        <f ca="1">IF(Prj_Inflation=1,IF($B331=1,IF(L$2=1,1,IF(Параметры!L$29=1,1+OFFSET(L329,0,-1),1)),"-"),1)</f>
        <v>-</v>
      </c>
      <c r="M331" s="192" t="str">
        <f ca="1">IF(Prj_Inflation=1,IF($B331=1,IF(M$2=1,1,IF(Параметры!M$29=1,1+OFFSET(M329,0,-1),1)),"-"),1)</f>
        <v>-</v>
      </c>
      <c r="N331" s="192" t="str">
        <f ca="1">IF(Prj_Inflation=1,IF($B331=1,IF(N$2=1,1,IF(Параметры!N$29=1,1+OFFSET(N329,0,-1),1)),"-"),1)</f>
        <v>-</v>
      </c>
      <c r="O331" s="192" t="str">
        <f ca="1">IF(Prj_Inflation=1,IF($B331=1,IF(O$2=1,1,IF(Параметры!O$29=1,1+OFFSET(O329,0,-1),1)),"-"),1)</f>
        <v>-</v>
      </c>
      <c r="P331" s="192" t="str">
        <f ca="1">IF(Prj_Inflation=1,IF($B331=1,IF(P$2=1,1,IF(Параметры!P$29=1,1+OFFSET(P329,0,-1),1)),"-"),1)</f>
        <v>-</v>
      </c>
      <c r="Q331" s="192" t="str">
        <f ca="1">IF(Prj_Inflation=1,IF($B331=1,IF(Q$2=1,1,IF(Параметры!Q$29=1,1+OFFSET(Q329,0,-1),1)),"-"),1)</f>
        <v>-</v>
      </c>
      <c r="R331" s="192" t="str">
        <f ca="1">IF(Prj_Inflation=1,IF($B331=1,IF(R$2=1,1,IF(Параметры!R$29=1,1+OFFSET(R329,0,-1),1)),"-"),1)</f>
        <v>-</v>
      </c>
      <c r="S331" s="192" t="str">
        <f ca="1">IF(Prj_Inflation=1,IF($B331=1,IF(S$2=1,1,IF(Параметры!S$29=1,1+OFFSET(S329,0,-1),1)),"-"),1)</f>
        <v>-</v>
      </c>
      <c r="T331" s="192" t="str">
        <f ca="1">IF(Prj_Inflation=1,IF($B331=1,IF(T$2=1,1,IF(Параметры!T$29=1,1+OFFSET(T329,0,-1),1)),"-"),1)</f>
        <v>-</v>
      </c>
      <c r="U331" s="192" t="str">
        <f ca="1">IF(Prj_Inflation=1,IF($B331=1,IF(U$2=1,1,IF(Параметры!U$29=1,1+OFFSET(U329,0,-1),1)),"-"),1)</f>
        <v>-</v>
      </c>
      <c r="V331" s="192" t="str">
        <f ca="1">IF(Prj_Inflation=1,IF($B331=1,IF(V$2=1,1,IF(Параметры!V$29=1,1+OFFSET(V329,0,-1),1)),"-"),1)</f>
        <v>-</v>
      </c>
      <c r="W331" s="192" t="str">
        <f ca="1">IF(Prj_Inflation=1,IF($B331=1,IF(W$2=1,1,IF(Параметры!W$29=1,1+OFFSET(W329,0,-1),1)),"-"),1)</f>
        <v>-</v>
      </c>
      <c r="X331" s="192" t="str">
        <f ca="1">IF(Prj_Inflation=1,IF($B331=1,IF(X$2=1,1,IF(Параметры!X$29=1,1+OFFSET(X329,0,-1),1)),"-"),1)</f>
        <v>-</v>
      </c>
      <c r="Y331" s="192" t="str">
        <f ca="1">IF(Prj_Inflation=1,IF($B331=1,IF(Y$2=1,1,IF(Параметры!Y$29=1,1+OFFSET(Y329,0,-1),1)),"-"),1)</f>
        <v>-</v>
      </c>
      <c r="Z331" s="192" t="str">
        <f ca="1">IF(Prj_Inflation=1,IF($B331=1,IF(Z$2=1,1,IF(Параметры!Z$29=1,1+OFFSET(Z329,0,-1),1)),"-"),1)</f>
        <v>-</v>
      </c>
      <c r="AA331" s="192" t="str">
        <f ca="1">IF(Prj_Inflation=1,IF($B331=1,IF(AA$2=1,1,IF(Параметры!AA$29=1,1+OFFSET(AA329,0,-1),1)),"-"),1)</f>
        <v>-</v>
      </c>
      <c r="AB331" s="192" t="str">
        <f ca="1">IF(Prj_Inflation=1,IF($B331=1,IF(AB$2=1,1,IF(Параметры!AB$29=1,1+OFFSET(AB329,0,-1),1)),"-"),1)</f>
        <v>-</v>
      </c>
      <c r="AC331" s="192" t="str">
        <f ca="1">IF(Prj_Inflation=1,IF($B331=1,IF(AC$2=1,1,IF(Параметры!AC$29=1,1+OFFSET(AC329,0,-1),1)),"-"),1)</f>
        <v>-</v>
      </c>
      <c r="AD331" s="192" t="str">
        <f ca="1">IF(Prj_Inflation=1,IF($B331=1,IF(AD$2=1,1,IF(Параметры!AD$29=1,1+OFFSET(AD329,0,-1),1)),"-"),1)</f>
        <v>-</v>
      </c>
      <c r="AE331" s="192" t="str">
        <f ca="1">IF(Prj_Inflation=1,IF($B331=1,IF(AE$2=1,1,IF(Параметры!AE$29=1,1+OFFSET(AE329,0,-1),1)),"-"),1)</f>
        <v>-</v>
      </c>
      <c r="AF331" s="192" t="str">
        <f ca="1">IF(Prj_Inflation=1,IF($B331=1,IF(AF$2=1,1,IF(Параметры!AF$29=1,1+OFFSET(AF329,0,-1),1)),"-"),1)</f>
        <v>-</v>
      </c>
      <c r="AG331" s="192" t="str">
        <f ca="1">IF(Prj_Inflation=1,IF($B331=1,IF(AG$2=1,1,IF(Параметры!AG$29=1,1+OFFSET(AG329,0,-1),1)),"-"),1)</f>
        <v>-</v>
      </c>
      <c r="AH331" s="192" t="str">
        <f ca="1">IF(Prj_Inflation=1,IF($B331=1,IF(AH$2=1,1,IF(Параметры!AH$29=1,1+OFFSET(AH329,0,-1),1)),"-"),1)</f>
        <v>-</v>
      </c>
      <c r="AI331" s="192" t="str">
        <f ca="1">IF(Prj_Inflation=1,IF($B331=1,IF(AI$2=1,1,IF(Параметры!AI$29=1,1+OFFSET(AI329,0,-1),1)),"-"),1)</f>
        <v>-</v>
      </c>
      <c r="AJ331" s="192" t="str">
        <f ca="1">IF(Prj_Inflation=1,IF($B331=1,IF(AJ$2=1,1,IF(Параметры!AJ$29=1,1+OFFSET(AJ329,0,-1),1)),"-"),1)</f>
        <v>-</v>
      </c>
      <c r="AK331" s="192" t="str">
        <f ca="1">IF(Prj_Inflation=1,IF($B331=1,IF(AK$2=1,1,IF(Параметры!AK$29=1,1+OFFSET(AK329,0,-1),1)),"-"),1)</f>
        <v>-</v>
      </c>
      <c r="AL331" s="192" t="str">
        <f ca="1">IF(Prj_Inflation=1,IF($B331=1,IF(AL$2=1,1,IF(Параметры!AL$29=1,1+OFFSET(AL329,0,-1),1)),"-"),1)</f>
        <v>-</v>
      </c>
      <c r="AM331" s="192" t="str">
        <f ca="1">IF(Prj_Inflation=1,IF($B331=1,IF(AM$2=1,1,IF(Параметры!AM$29=1,1+OFFSET(AM329,0,-1),1)),"-"),1)</f>
        <v>-</v>
      </c>
      <c r="AN331" s="192" t="str">
        <f ca="1">IF(Prj_Inflation=1,IF($B331=1,IF(AN$2=1,1,IF(Параметры!AN$29=1,1+OFFSET(AN329,0,-1),1)),"-"),1)</f>
        <v>-</v>
      </c>
      <c r="AO331" s="192" t="str">
        <f ca="1">IF(Prj_Inflation=1,IF($B331=1,IF(AO$2=1,1,IF(Параметры!AO$29=1,1+OFFSET(AO329,0,-1),1)),"-"),1)</f>
        <v>-</v>
      </c>
      <c r="AP331" s="192" t="str">
        <f ca="1">IF(Prj_Inflation=1,IF($B331=1,IF(AP$2=1,1,IF(Параметры!AP$29=1,1+OFFSET(AP329,0,-1),1)),"-"),1)</f>
        <v>-</v>
      </c>
      <c r="AQ331" s="192" t="str">
        <f ca="1">IF(Prj_Inflation=1,IF($B331=1,IF(AQ$2=1,1,IF(Параметры!AQ$29=1,1+OFFSET(AQ329,0,-1),1)),"-"),1)</f>
        <v>-</v>
      </c>
      <c r="AR331" s="192" t="str">
        <f ca="1">IF(Prj_Inflation=1,IF($B331=1,IF(AR$2=1,1,IF(Параметры!AR$29=1,1+OFFSET(AR329,0,-1),1)),"-"),1)</f>
        <v>-</v>
      </c>
      <c r="AS331" s="192" t="str">
        <f ca="1">IF(Prj_Inflation=1,IF($B331=1,IF(AS$2=1,1,IF(Параметры!AS$29=1,1+OFFSET(AS329,0,-1),1)),"-"),1)</f>
        <v>-</v>
      </c>
      <c r="AT331" s="192" t="str">
        <f ca="1">IF(Prj_Inflation=1,IF($B331=1,IF(AT$2=1,1,IF(Параметры!AT$29=1,1+OFFSET(AT329,0,-1),1)),"-"),1)</f>
        <v>-</v>
      </c>
      <c r="AU331" s="192" t="str">
        <f ca="1">IF(Prj_Inflation=1,IF($B331=1,IF(AU$2=1,1,IF(Параметры!AU$29=1,1+OFFSET(AU329,0,-1),1)),"-"),1)</f>
        <v>-</v>
      </c>
      <c r="AV331" s="192" t="str">
        <f ca="1">IF(Prj_Inflation=1,IF($B331=1,IF(AV$2=1,1,IF(Параметры!AV$29=1,1+OFFSET(AV329,0,-1),1)),"-"),1)</f>
        <v>-</v>
      </c>
      <c r="AW331" s="192" t="str">
        <f ca="1">IF(Prj_Inflation=1,IF($B331=1,IF(AW$2=1,1,IF(Параметры!AW$29=1,1+OFFSET(AW329,0,-1),1)),"-"),1)</f>
        <v>-</v>
      </c>
      <c r="AX331" s="192" t="str">
        <f ca="1">IF(Prj_Inflation=1,IF($B331=1,IF(AX$2=1,1,IF(Параметры!AX$29=1,1+OFFSET(AX329,0,-1),1)),"-"),1)</f>
        <v>-</v>
      </c>
      <c r="AY331" s="192" t="str">
        <f ca="1">IF(Prj_Inflation=1,IF($B331=1,IF(AY$2=1,1,IF(Параметры!AY$29=1,1+OFFSET(AY329,0,-1),1)),"-"),1)</f>
        <v>-</v>
      </c>
      <c r="AZ331" s="192" t="str">
        <f ca="1">IF(Prj_Inflation=1,IF($B331=1,IF(AZ$2=1,1,IF(Параметры!AZ$29=1,1+OFFSET(AZ329,0,-1),1)),"-"),1)</f>
        <v>-</v>
      </c>
      <c r="BA331" s="192" t="str">
        <f ca="1">IF(Prj_Inflation=1,IF($B331=1,IF(BA$2=1,1,IF(Параметры!BA$29=1,1+OFFSET(BA329,0,-1),1)),"-"),1)</f>
        <v>-</v>
      </c>
      <c r="BB331" s="192" t="str">
        <f ca="1">IF(Prj_Inflation=1,IF($B331=1,IF(BB$2=1,1,IF(Параметры!BB$29=1,1+OFFSET(BB329,0,-1),1)),"-"),1)</f>
        <v>-</v>
      </c>
      <c r="BC331" s="191"/>
      <c r="BD331" s="186"/>
    </row>
    <row r="332" spans="1:56" hidden="1" outlineLevel="1" x14ac:dyDescent="0.3">
      <c r="A332" s="184" t="str">
        <f ca="1">Language!A$704</f>
        <v>социальные взносы</v>
      </c>
      <c r="B332" s="189"/>
      <c r="C332" s="163" t="str">
        <f ca="1">CHOOSE(D332,CurName1,CurName2,CurName3)</f>
        <v>руб.</v>
      </c>
      <c r="D332" s="174">
        <f>D325</f>
        <v>1</v>
      </c>
      <c r="E332" s="170" t="s">
        <v>1459</v>
      </c>
      <c r="F332" s="170" t="s">
        <v>740</v>
      </c>
      <c r="G332" s="185">
        <f ca="1">G328*Параметры!G$91</f>
        <v>0</v>
      </c>
      <c r="H332" s="185">
        <f ca="1">H328*Параметры!H$91</f>
        <v>0</v>
      </c>
      <c r="I332" s="185">
        <f ca="1">I328*Параметры!I$91</f>
        <v>0</v>
      </c>
      <c r="J332" s="185">
        <f ca="1">J328*Параметры!J$91</f>
        <v>0</v>
      </c>
      <c r="K332" s="185">
        <f ca="1">K328*Параметры!K$91</f>
        <v>0</v>
      </c>
      <c r="L332" s="185">
        <f ca="1">L328*Параметры!L$91</f>
        <v>0</v>
      </c>
      <c r="M332" s="185">
        <f ca="1">M328*Параметры!M$91</f>
        <v>11170.758702970898</v>
      </c>
      <c r="N332" s="185">
        <f ca="1">N328*Параметры!N$91</f>
        <v>11225.132935810854</v>
      </c>
      <c r="O332" s="185">
        <f ca="1">O328*Параметры!O$91</f>
        <v>11279.771837978611</v>
      </c>
      <c r="P332" s="185">
        <f ca="1">P328*Параметры!P$91</f>
        <v>11334.676697765504</v>
      </c>
      <c r="Q332" s="185">
        <f ca="1">Q328*Параметры!Q$91</f>
        <v>11389.848809733694</v>
      </c>
      <c r="R332" s="185">
        <f ca="1">R328*Параметры!R$91</f>
        <v>11445.289474746685</v>
      </c>
      <c r="S332" s="185">
        <f ca="1">S328*Параметры!S$91</f>
        <v>11501.000000000004</v>
      </c>
      <c r="T332" s="185">
        <f ca="1">T328*Параметры!T$91</f>
        <v>11556.981699052016</v>
      </c>
      <c r="U332" s="185">
        <f ca="1">U328*Параметры!U$91</f>
        <v>11613.235891854896</v>
      </c>
      <c r="V332" s="185">
        <f ca="1">V328*Параметры!V$91</f>
        <v>11669.763904785757</v>
      </c>
      <c r="W332" s="185">
        <f ca="1">W328*Параметры!W$91</f>
        <v>11726.567070677916</v>
      </c>
      <c r="X332" s="185">
        <f ca="1">X328*Параметры!X$91</f>
        <v>11783.646728852329</v>
      </c>
      <c r="Y332" s="185">
        <f ca="1">Y328*Параметры!Y$91</f>
        <v>11841.004225149156</v>
      </c>
      <c r="Z332" s="185">
        <f ca="1">Z328*Параметры!Z$91</f>
        <v>11898.64091195951</v>
      </c>
      <c r="AA332" s="185">
        <f ca="1">AA328*Параметры!AA$91</f>
        <v>11956.558148257333</v>
      </c>
      <c r="AB332" s="185">
        <f ca="1">AB328*Параметры!AB$91</f>
        <v>12014.757299631439</v>
      </c>
      <c r="AC332" s="185">
        <f ca="1">AC328*Параметры!AC$91</f>
        <v>12073.239738317719</v>
      </c>
      <c r="AD332" s="185">
        <f ca="1">AD328*Параметры!AD$91</f>
        <v>12132.006843231491</v>
      </c>
      <c r="AE332" s="185">
        <f ca="1">AE328*Параметры!AE$91</f>
        <v>12191.060000000009</v>
      </c>
      <c r="AF332" s="185">
        <f ca="1">AF328*Параметры!AF$91</f>
        <v>12250.400600995139</v>
      </c>
      <c r="AG332" s="185">
        <f ca="1">AG328*Параметры!AG$91</f>
        <v>12310.030045366193</v>
      </c>
      <c r="AH332" s="185">
        <f ca="1">AH328*Параметры!AH$91</f>
        <v>12369.949739072905</v>
      </c>
      <c r="AI332" s="185">
        <f ca="1">AI328*Параметры!AI$91</f>
        <v>12430.161094918594</v>
      </c>
      <c r="AJ332" s="185">
        <f ca="1">AJ328*Параметры!AJ$91</f>
        <v>12490.665532583471</v>
      </c>
      <c r="AK332" s="185">
        <f ca="1">AK328*Параметры!AK$91</f>
        <v>12551.464478658108</v>
      </c>
      <c r="AL332" s="185">
        <f ca="1">AL328*Параметры!AL$91</f>
        <v>12612.559366677084</v>
      </c>
      <c r="AM332" s="185">
        <f ca="1">AM328*Параметры!AM$91</f>
        <v>12673.951637152773</v>
      </c>
      <c r="AN332" s="185">
        <f ca="1">AN328*Параметры!AN$91</f>
        <v>12735.642737609327</v>
      </c>
      <c r="AO332" s="185">
        <f ca="1">AO328*Параметры!AO$91</f>
        <v>12797.634122616784</v>
      </c>
      <c r="AP332" s="185">
        <f ca="1">AP328*Параметры!AP$91</f>
        <v>12859.927253825383</v>
      </c>
      <c r="AQ332" s="185">
        <f ca="1">AQ328*Параметры!AQ$91</f>
        <v>12922.523600000011</v>
      </c>
      <c r="AR332" s="185">
        <f ca="1">AR328*Параметры!AR$91</f>
        <v>12985.424637054848</v>
      </c>
      <c r="AS332" s="185">
        <f ca="1">AS328*Параметры!AS$91</f>
        <v>13048.631848088164</v>
      </c>
      <c r="AT332" s="185">
        <f ca="1">AT328*Параметры!AT$91</f>
        <v>13112.146723417278</v>
      </c>
      <c r="AU332" s="185">
        <f ca="1">AU328*Параметры!AU$91</f>
        <v>13175.970760613709</v>
      </c>
      <c r="AV332" s="185">
        <f ca="1">AV328*Параметры!AV$91</f>
        <v>13240.105464538479</v>
      </c>
      <c r="AW332" s="185">
        <f ca="1">AW328*Параметры!AW$91</f>
        <v>13304.552347377594</v>
      </c>
      <c r="AX332" s="185">
        <f ca="1">AX328*Параметры!AX$91</f>
        <v>13369.312928677708</v>
      </c>
      <c r="AY332" s="185">
        <f ca="1">AY328*Параметры!AY$91</f>
        <v>13434.388735381943</v>
      </c>
      <c r="AZ332" s="185">
        <f ca="1">AZ328*Параметры!AZ$91</f>
        <v>13499.781301865889</v>
      </c>
      <c r="BA332" s="185">
        <f ca="1">BA328*Параметры!BA$91</f>
        <v>13565.492169973793</v>
      </c>
      <c r="BB332" s="185">
        <f ca="1">BB328*Параметры!BB$91</f>
        <v>13631.522889054906</v>
      </c>
      <c r="BC332" s="185"/>
      <c r="BD332" s="193">
        <f ca="1">SUM(G332:BC332)</f>
        <v>519176.180936296</v>
      </c>
    </row>
    <row r="333" spans="1:56" s="173" customFormat="1" hidden="1" outlineLevel="1" x14ac:dyDescent="0.3">
      <c r="A333" s="181" t="str">
        <f ca="1">Language!A$1513</f>
        <v>затраты на персонал, с соц. взносами</v>
      </c>
      <c r="B333" s="205"/>
      <c r="C333" s="176" t="str">
        <f ca="1">CHOOSE(D333,CurName1,CurName2,CurName3)</f>
        <v>руб.</v>
      </c>
      <c r="D333" s="174">
        <f>D325</f>
        <v>1</v>
      </c>
      <c r="E333" s="170" t="s">
        <v>2312</v>
      </c>
      <c r="F333" s="170" t="s">
        <v>740</v>
      </c>
      <c r="G333" s="182">
        <f ca="1">G328+G332</f>
        <v>0</v>
      </c>
      <c r="H333" s="182">
        <f t="shared" ref="H333:BB333" ca="1" si="1593">H328+H332</f>
        <v>0</v>
      </c>
      <c r="I333" s="182">
        <f t="shared" ca="1" si="1593"/>
        <v>0</v>
      </c>
      <c r="J333" s="182">
        <f t="shared" ca="1" si="1593"/>
        <v>0</v>
      </c>
      <c r="K333" s="182">
        <f t="shared" ca="1" si="1593"/>
        <v>0</v>
      </c>
      <c r="L333" s="182">
        <f t="shared" ca="1" si="1593"/>
        <v>0</v>
      </c>
      <c r="M333" s="182">
        <f t="shared" ca="1" si="1593"/>
        <v>47205.464196425397</v>
      </c>
      <c r="N333" s="182">
        <f t="shared" ca="1" si="1593"/>
        <v>47435.23918036199</v>
      </c>
      <c r="O333" s="182">
        <f t="shared" ca="1" si="1593"/>
        <v>47666.132605651539</v>
      </c>
      <c r="P333" s="182">
        <f t="shared" ca="1" si="1593"/>
        <v>47898.149916363902</v>
      </c>
      <c r="Q333" s="182">
        <f t="shared" ca="1" si="1593"/>
        <v>48131.296583068186</v>
      </c>
      <c r="R333" s="182">
        <f t="shared" ca="1" si="1593"/>
        <v>48365.578102961794</v>
      </c>
      <c r="S333" s="182">
        <f t="shared" ca="1" si="1593"/>
        <v>48601.000000000015</v>
      </c>
      <c r="T333" s="182">
        <f t="shared" ca="1" si="1593"/>
        <v>48837.567825026257</v>
      </c>
      <c r="U333" s="182">
        <f t="shared" ca="1" si="1593"/>
        <v>49075.287155902945</v>
      </c>
      <c r="V333" s="182">
        <f t="shared" ca="1" si="1593"/>
        <v>49314.163597643033</v>
      </c>
      <c r="W333" s="182">
        <f t="shared" ca="1" si="1593"/>
        <v>49554.202782542154</v>
      </c>
      <c r="X333" s="182">
        <f t="shared" ca="1" si="1593"/>
        <v>49795.410370311445</v>
      </c>
      <c r="Y333" s="182">
        <f t="shared" ca="1" si="1593"/>
        <v>50037.79204821094</v>
      </c>
      <c r="Z333" s="182">
        <f t="shared" ca="1" si="1593"/>
        <v>50281.353531183733</v>
      </c>
      <c r="AA333" s="182">
        <f t="shared" ca="1" si="1593"/>
        <v>50526.100561990657</v>
      </c>
      <c r="AB333" s="182">
        <f t="shared" ca="1" si="1593"/>
        <v>50772.038911345757</v>
      </c>
      <c r="AC333" s="182">
        <f t="shared" ca="1" si="1593"/>
        <v>51019.174378052296</v>
      </c>
      <c r="AD333" s="182">
        <f t="shared" ca="1" si="1593"/>
        <v>51267.512789139524</v>
      </c>
      <c r="AE333" s="182">
        <f t="shared" ca="1" si="1593"/>
        <v>51517.060000000027</v>
      </c>
      <c r="AF333" s="182">
        <f t="shared" ca="1" si="1593"/>
        <v>51767.821894527842</v>
      </c>
      <c r="AG333" s="182">
        <f t="shared" ca="1" si="1593"/>
        <v>52019.804385257128</v>
      </c>
      <c r="AH333" s="182">
        <f t="shared" ca="1" si="1593"/>
        <v>52273.013413501627</v>
      </c>
      <c r="AI333" s="182">
        <f t="shared" ca="1" si="1593"/>
        <v>52527.454949494699</v>
      </c>
      <c r="AJ333" s="182">
        <f t="shared" ca="1" si="1593"/>
        <v>52783.134992530147</v>
      </c>
      <c r="AK333" s="182">
        <f t="shared" ca="1" si="1593"/>
        <v>53040.059571103615</v>
      </c>
      <c r="AL333" s="182">
        <f t="shared" ca="1" si="1593"/>
        <v>53298.234743054767</v>
      </c>
      <c r="AM333" s="182">
        <f t="shared" ca="1" si="1593"/>
        <v>53557.6665957101</v>
      </c>
      <c r="AN333" s="182">
        <f t="shared" ca="1" si="1593"/>
        <v>53818.361246026507</v>
      </c>
      <c r="AO333" s="182">
        <f t="shared" ca="1" si="1593"/>
        <v>54080.32484073544</v>
      </c>
      <c r="AP333" s="182">
        <f t="shared" ca="1" si="1593"/>
        <v>54343.563556487905</v>
      </c>
      <c r="AQ333" s="182">
        <f t="shared" ca="1" si="1593"/>
        <v>54608.083600000042</v>
      </c>
      <c r="AR333" s="182">
        <f t="shared" ca="1" si="1593"/>
        <v>54873.891208199515</v>
      </c>
      <c r="AS333" s="182">
        <f t="shared" ca="1" si="1593"/>
        <v>55140.992648372558</v>
      </c>
      <c r="AT333" s="182">
        <f t="shared" ca="1" si="1593"/>
        <v>55409.394218311718</v>
      </c>
      <c r="AU333" s="182">
        <f t="shared" ca="1" si="1593"/>
        <v>55679.102246464376</v>
      </c>
      <c r="AV333" s="182">
        <f t="shared" ca="1" si="1593"/>
        <v>55950.123092081951</v>
      </c>
      <c r="AW333" s="182">
        <f t="shared" ca="1" si="1593"/>
        <v>56222.463145369824</v>
      </c>
      <c r="AX333" s="182">
        <f t="shared" ca="1" si="1593"/>
        <v>56496.128827638051</v>
      </c>
      <c r="AY333" s="182">
        <f t="shared" ca="1" si="1593"/>
        <v>56771.126591452718</v>
      </c>
      <c r="AZ333" s="182">
        <f t="shared" ca="1" si="1593"/>
        <v>57047.462920788108</v>
      </c>
      <c r="BA333" s="182">
        <f t="shared" ca="1" si="1593"/>
        <v>57325.144331179574</v>
      </c>
      <c r="BB333" s="182">
        <f t="shared" ca="1" si="1593"/>
        <v>57604.177369877172</v>
      </c>
      <c r="BC333" s="182"/>
      <c r="BD333" s="183">
        <f ca="1">SUM(G333:BC333)</f>
        <v>2193938.0549243474</v>
      </c>
    </row>
    <row r="334" spans="1:56" x14ac:dyDescent="0.3">
      <c r="A334" s="376" t="s">
        <v>3515</v>
      </c>
      <c r="B334" s="205"/>
      <c r="C334" s="176"/>
      <c r="D334" s="174">
        <v>1</v>
      </c>
      <c r="F334" s="170" t="s">
        <v>3516</v>
      </c>
      <c r="G334" s="206"/>
      <c r="H334" s="206"/>
      <c r="I334" s="206"/>
      <c r="J334" s="206"/>
      <c r="K334" s="206"/>
      <c r="L334" s="206"/>
      <c r="M334" s="206"/>
      <c r="N334" s="206"/>
      <c r="O334" s="206"/>
      <c r="P334" s="206"/>
      <c r="Q334" s="206"/>
      <c r="R334" s="206"/>
      <c r="S334" s="206"/>
      <c r="T334" s="206"/>
      <c r="U334" s="206"/>
      <c r="V334" s="206"/>
      <c r="W334" s="206"/>
      <c r="X334" s="206"/>
      <c r="Y334" s="206"/>
      <c r="Z334" s="206"/>
      <c r="AA334" s="206"/>
      <c r="AB334" s="206"/>
      <c r="AC334" s="206"/>
      <c r="AD334" s="206"/>
      <c r="AE334" s="206"/>
      <c r="AF334" s="206"/>
      <c r="AG334" s="206"/>
      <c r="AH334" s="206"/>
      <c r="AI334" s="206"/>
      <c r="AJ334" s="206"/>
      <c r="AK334" s="206"/>
      <c r="AL334" s="206"/>
      <c r="AM334" s="206"/>
      <c r="AN334" s="206"/>
      <c r="AO334" s="206"/>
      <c r="AP334" s="206"/>
      <c r="AQ334" s="206"/>
      <c r="AR334" s="206"/>
      <c r="AS334" s="206"/>
      <c r="AT334" s="206"/>
      <c r="AU334" s="206"/>
      <c r="AV334" s="206"/>
      <c r="AW334" s="206"/>
      <c r="AX334" s="206"/>
      <c r="AY334" s="206"/>
      <c r="AZ334" s="206"/>
      <c r="BA334" s="206"/>
      <c r="BB334" s="206"/>
      <c r="BC334" s="206"/>
    </row>
    <row r="335" spans="1:56" x14ac:dyDescent="0.3">
      <c r="A335" s="175" t="str">
        <f ca="1">Language!A$701</f>
        <v>численность</v>
      </c>
      <c r="B335" s="295">
        <v>3</v>
      </c>
      <c r="C335" s="176" t="str">
        <f ca="1">Language!$A$1483</f>
        <v>человек</v>
      </c>
      <c r="D335" s="174"/>
      <c r="E335" s="170" t="s">
        <v>843</v>
      </c>
      <c r="F335" s="170" t="s">
        <v>745</v>
      </c>
      <c r="G335" s="296">
        <f t="shared" ref="G335:BB335" si="1594">IF(G$2&gt;Prj_Invest, $B335, 0)</f>
        <v>0</v>
      </c>
      <c r="H335" s="296">
        <f t="shared" si="1594"/>
        <v>0</v>
      </c>
      <c r="I335" s="296">
        <f t="shared" si="1594"/>
        <v>0</v>
      </c>
      <c r="J335" s="296">
        <f t="shared" si="1594"/>
        <v>0</v>
      </c>
      <c r="K335" s="296">
        <f t="shared" si="1594"/>
        <v>0</v>
      </c>
      <c r="L335" s="296">
        <f t="shared" si="1594"/>
        <v>0</v>
      </c>
      <c r="M335" s="296">
        <f t="shared" si="1594"/>
        <v>3</v>
      </c>
      <c r="N335" s="296">
        <f t="shared" si="1594"/>
        <v>3</v>
      </c>
      <c r="O335" s="296">
        <f t="shared" si="1594"/>
        <v>3</v>
      </c>
      <c r="P335" s="296">
        <f t="shared" si="1594"/>
        <v>3</v>
      </c>
      <c r="Q335" s="296">
        <f t="shared" si="1594"/>
        <v>3</v>
      </c>
      <c r="R335" s="296">
        <f t="shared" si="1594"/>
        <v>3</v>
      </c>
      <c r="S335" s="296">
        <f t="shared" si="1594"/>
        <v>3</v>
      </c>
      <c r="T335" s="296">
        <f t="shared" si="1594"/>
        <v>3</v>
      </c>
      <c r="U335" s="296">
        <f t="shared" si="1594"/>
        <v>3</v>
      </c>
      <c r="V335" s="296">
        <f t="shared" si="1594"/>
        <v>3</v>
      </c>
      <c r="W335" s="296">
        <f t="shared" si="1594"/>
        <v>3</v>
      </c>
      <c r="X335" s="296">
        <f t="shared" si="1594"/>
        <v>3</v>
      </c>
      <c r="Y335" s="296">
        <f t="shared" si="1594"/>
        <v>3</v>
      </c>
      <c r="Z335" s="296">
        <f t="shared" si="1594"/>
        <v>3</v>
      </c>
      <c r="AA335" s="296">
        <f t="shared" si="1594"/>
        <v>3</v>
      </c>
      <c r="AB335" s="296">
        <f t="shared" si="1594"/>
        <v>3</v>
      </c>
      <c r="AC335" s="296">
        <f t="shared" si="1594"/>
        <v>3</v>
      </c>
      <c r="AD335" s="296">
        <f t="shared" si="1594"/>
        <v>3</v>
      </c>
      <c r="AE335" s="296">
        <f t="shared" si="1594"/>
        <v>3</v>
      </c>
      <c r="AF335" s="296">
        <f t="shared" si="1594"/>
        <v>3</v>
      </c>
      <c r="AG335" s="296">
        <f t="shared" si="1594"/>
        <v>3</v>
      </c>
      <c r="AH335" s="296">
        <f t="shared" si="1594"/>
        <v>3</v>
      </c>
      <c r="AI335" s="296">
        <f t="shared" si="1594"/>
        <v>3</v>
      </c>
      <c r="AJ335" s="296">
        <f t="shared" si="1594"/>
        <v>3</v>
      </c>
      <c r="AK335" s="296">
        <f t="shared" si="1594"/>
        <v>3</v>
      </c>
      <c r="AL335" s="296">
        <f t="shared" si="1594"/>
        <v>3</v>
      </c>
      <c r="AM335" s="296">
        <f t="shared" si="1594"/>
        <v>3</v>
      </c>
      <c r="AN335" s="296">
        <f t="shared" si="1594"/>
        <v>3</v>
      </c>
      <c r="AO335" s="296">
        <f t="shared" si="1594"/>
        <v>3</v>
      </c>
      <c r="AP335" s="296">
        <f t="shared" si="1594"/>
        <v>3</v>
      </c>
      <c r="AQ335" s="296">
        <f t="shared" si="1594"/>
        <v>3</v>
      </c>
      <c r="AR335" s="296">
        <f t="shared" si="1594"/>
        <v>3</v>
      </c>
      <c r="AS335" s="296">
        <f t="shared" si="1594"/>
        <v>3</v>
      </c>
      <c r="AT335" s="296">
        <f t="shared" si="1594"/>
        <v>3</v>
      </c>
      <c r="AU335" s="296">
        <f t="shared" si="1594"/>
        <v>3</v>
      </c>
      <c r="AV335" s="296">
        <f t="shared" si="1594"/>
        <v>3</v>
      </c>
      <c r="AW335" s="296">
        <f t="shared" si="1594"/>
        <v>3</v>
      </c>
      <c r="AX335" s="296">
        <f t="shared" si="1594"/>
        <v>3</v>
      </c>
      <c r="AY335" s="296">
        <f t="shared" si="1594"/>
        <v>3</v>
      </c>
      <c r="AZ335" s="296">
        <f t="shared" si="1594"/>
        <v>3</v>
      </c>
      <c r="BA335" s="296">
        <f t="shared" si="1594"/>
        <v>3</v>
      </c>
      <c r="BB335" s="296">
        <f t="shared" si="1594"/>
        <v>3</v>
      </c>
      <c r="BC335" s="202"/>
    </row>
    <row r="336" spans="1:56" x14ac:dyDescent="0.3">
      <c r="A336" s="175" t="str">
        <f ca="1">Language!A$702</f>
        <v>средний оклад, в месяц</v>
      </c>
      <c r="B336" s="284">
        <v>40000</v>
      </c>
      <c r="C336" s="176" t="str">
        <f ca="1">CHOOSE(D334,CurName1,CurName2,CurName3)</f>
        <v>руб.</v>
      </c>
      <c r="E336" s="170" t="s">
        <v>844</v>
      </c>
      <c r="F336" s="170" t="s">
        <v>2346</v>
      </c>
      <c r="G336" s="285">
        <f t="shared" ref="G336" ca="1" si="1595">IF(G$2=1,$B336,F336)*IF($B340=1,G340,G339)</f>
        <v>40000</v>
      </c>
      <c r="H336" s="285">
        <f t="shared" ref="H336" ca="1" si="1596">IF(H$2=1,$B336,G336)*IF($B340=1,H340,H339)</f>
        <v>40194.702022613725</v>
      </c>
      <c r="I336" s="285">
        <f t="shared" ref="I336" ca="1" si="1597">IF(I$2=1,$B336,H336)*IF($B340=1,I340,I339)</f>
        <v>40390.351767167696</v>
      </c>
      <c r="J336" s="285">
        <f t="shared" ref="J336" ca="1" si="1598">IF(J$2=1,$B336,I336)*IF($B340=1,J340,J339)</f>
        <v>40586.953846746379</v>
      </c>
      <c r="K336" s="285">
        <f t="shared" ref="K336" ca="1" si="1599">IF(K$2=1,$B336,J336)*IF($B340=1,K340,K339)</f>
        <v>40784.512896888664</v>
      </c>
      <c r="L336" s="285">
        <f t="shared" ref="L336" ca="1" si="1600">IF(L$2=1,$B336,K336)*IF($B340=1,L340,L339)</f>
        <v>40983.033575697154</v>
      </c>
      <c r="M336" s="285">
        <f t="shared" ref="M336" ca="1" si="1601">IF(M$2=1,$B336,L336)*IF($B340=1,M340,M339)</f>
        <v>41182.520563948012</v>
      </c>
      <c r="N336" s="285">
        <f t="shared" ref="N336" ca="1" si="1602">IF(N$2=1,$B336,M336)*IF($B340=1,N340,N339)</f>
        <v>41382.978565201309</v>
      </c>
      <c r="O336" s="285">
        <f t="shared" ref="O336" ca="1" si="1603">IF(O$2=1,$B336,N336)*IF($B340=1,O340,O339)</f>
        <v>41584.41230591193</v>
      </c>
      <c r="P336" s="285">
        <f t="shared" ref="P336" ca="1" si="1604">IF(P$2=1,$B336,O336)*IF($B340=1,P340,P339)</f>
        <v>41786.826535541033</v>
      </c>
      <c r="Q336" s="285">
        <f t="shared" ref="Q336" ca="1" si="1605">IF(Q$2=1,$B336,P336)*IF($B340=1,Q340,Q339)</f>
        <v>41990.226026667995</v>
      </c>
      <c r="R336" s="285">
        <f t="shared" ref="R336" ca="1" si="1606">IF(R$2=1,$B336,Q336)*IF($B340=1,R340,R339)</f>
        <v>42194.615575102987</v>
      </c>
      <c r="S336" s="285">
        <f t="shared" ref="S336" ca="1" si="1607">IF(S$2=1,$B336,R336)*IF($B340=1,S340,S339)</f>
        <v>42400.000000000015</v>
      </c>
      <c r="T336" s="285">
        <f t="shared" ref="T336" ca="1" si="1608">IF(T$2=1,$B336,S336)*IF($B340=1,T340,T339)</f>
        <v>42606.384143970557</v>
      </c>
      <c r="U336" s="285">
        <f t="shared" ref="U336" ca="1" si="1609">IF(U$2=1,$B336,T336)*IF($B340=1,U340,U339)</f>
        <v>42813.772873197762</v>
      </c>
      <c r="V336" s="285">
        <f t="shared" ref="V336" ca="1" si="1610">IF(V$2=1,$B336,U336)*IF($B340=1,V340,V339)</f>
        <v>43022.171077551167</v>
      </c>
      <c r="W336" s="285">
        <f t="shared" ref="W336" ca="1" si="1611">IF(W$2=1,$B336,V336)*IF($B340=1,W340,W339)</f>
        <v>43231.583670701984</v>
      </c>
      <c r="X336" s="285">
        <f t="shared" ref="X336" ca="1" si="1612">IF(X$2=1,$B336,W336)*IF($B340=1,X340,X339)</f>
        <v>43442.015590238982</v>
      </c>
      <c r="Y336" s="285">
        <f t="shared" ref="Y336" ca="1" si="1613">IF(Y$2=1,$B336,X336)*IF($B340=1,Y340,Y339)</f>
        <v>43653.471797784892</v>
      </c>
      <c r="Z336" s="285">
        <f t="shared" ref="Z336" ca="1" si="1614">IF(Z$2=1,$B336,Y336)*IF($B340=1,Z340,Z339)</f>
        <v>43865.957279113391</v>
      </c>
      <c r="AA336" s="285">
        <f t="shared" ref="AA336" ca="1" si="1615">IF(AA$2=1,$B336,Z336)*IF($B340=1,AA340,AA339)</f>
        <v>44079.477044266656</v>
      </c>
      <c r="AB336" s="285">
        <f t="shared" ref="AB336" ca="1" si="1616">IF(AB$2=1,$B336,AA336)*IF($B340=1,AB340,AB339)</f>
        <v>44294.036127673498</v>
      </c>
      <c r="AC336" s="285">
        <f t="shared" ref="AC336" ca="1" si="1617">IF(AC$2=1,$B336,AB336)*IF($B340=1,AC340,AC339)</f>
        <v>44509.639588268081</v>
      </c>
      <c r="AD336" s="285">
        <f t="shared" ref="AD336" ca="1" si="1618">IF(AD$2=1,$B336,AC336)*IF($B340=1,AD340,AD339)</f>
        <v>44726.292509609171</v>
      </c>
      <c r="AE336" s="285">
        <f t="shared" ref="AE336" ca="1" si="1619">IF(AE$2=1,$B336,AD336)*IF($B340=1,AE340,AE339)</f>
        <v>44944.000000000015</v>
      </c>
      <c r="AF336" s="285">
        <f t="shared" ref="AF336" ca="1" si="1620">IF(AF$2=1,$B336,AE336)*IF($B340=1,AF340,AF339)</f>
        <v>45162.767192608793</v>
      </c>
      <c r="AG336" s="285">
        <f t="shared" ref="AG336" ca="1" si="1621">IF(AG$2=1,$B336,AF336)*IF($B340=1,AG340,AG339)</f>
        <v>45382.599245589634</v>
      </c>
      <c r="AH336" s="285">
        <f t="shared" ref="AH336" ca="1" si="1622">IF(AH$2=1,$B336,AG336)*IF($B340=1,AH340,AH339)</f>
        <v>45603.501342204239</v>
      </c>
      <c r="AI336" s="285">
        <f t="shared" ref="AI336" ca="1" si="1623">IF(AI$2=1,$B336,AH336)*IF($B340=1,AI340,AI339)</f>
        <v>45825.47869094411</v>
      </c>
      <c r="AJ336" s="285">
        <f t="shared" ref="AJ336" ca="1" si="1624">IF(AJ$2=1,$B336,AI336)*IF($B340=1,AJ340,AJ339)</f>
        <v>46048.536525653333</v>
      </c>
      <c r="AK336" s="285">
        <f t="shared" ref="AK336" ca="1" si="1625">IF(AK$2=1,$B336,AJ336)*IF($B340=1,AK340,AK339)</f>
        <v>46272.680105651998</v>
      </c>
      <c r="AL336" s="285">
        <f t="shared" ref="AL336" ca="1" si="1626">IF(AL$2=1,$B336,AK336)*IF($B340=1,AL340,AL339)</f>
        <v>46497.914715860199</v>
      </c>
      <c r="AM336" s="285">
        <f t="shared" ref="AM336" ca="1" si="1627">IF(AM$2=1,$B336,AL336)*IF($B340=1,AM340,AM339)</f>
        <v>46724.245666922659</v>
      </c>
      <c r="AN336" s="285">
        <f t="shared" ref="AN336" ca="1" si="1628">IF(AN$2=1,$B336,AM336)*IF($B340=1,AN340,AN339)</f>
        <v>46951.678295333913</v>
      </c>
      <c r="AO336" s="285">
        <f t="shared" ref="AO336" ca="1" si="1629">IF(AO$2=1,$B336,AN336)*IF($B340=1,AO340,AO339)</f>
        <v>47180.217963564173</v>
      </c>
      <c r="AP336" s="285">
        <f t="shared" ref="AP336" ca="1" si="1630">IF(AP$2=1,$B336,AO336)*IF($B340=1,AP340,AP339)</f>
        <v>47409.870060185727</v>
      </c>
      <c r="AQ336" s="285">
        <f t="shared" ref="AQ336" ca="1" si="1631">IF(AQ$2=1,$B336,AP336)*IF($B340=1,AQ340,AQ339)</f>
        <v>47640.640000000021</v>
      </c>
      <c r="AR336" s="285">
        <f t="shared" ref="AR336" ca="1" si="1632">IF(AR$2=1,$B336,AQ336)*IF($B340=1,AR340,AR339)</f>
        <v>47872.533224165323</v>
      </c>
      <c r="AS336" s="285">
        <f t="shared" ref="AS336" ca="1" si="1633">IF(AS$2=1,$B336,AR336)*IF($B340=1,AS340,AS339)</f>
        <v>48105.555200325012</v>
      </c>
      <c r="AT336" s="285">
        <f t="shared" ref="AT336" ca="1" si="1634">IF(AT$2=1,$B336,AS336)*IF($B340=1,AT340,AT339)</f>
        <v>48339.711422736495</v>
      </c>
      <c r="AU336" s="285">
        <f t="shared" ref="AU336" ca="1" si="1635">IF(AU$2=1,$B336,AT336)*IF($B340=1,AU340,AU339)</f>
        <v>48575.007412400759</v>
      </c>
      <c r="AV336" s="285">
        <f t="shared" ref="AV336" ca="1" si="1636">IF(AV$2=1,$B336,AU336)*IF($B340=1,AV340,AV339)</f>
        <v>48811.448717192536</v>
      </c>
      <c r="AW336" s="285">
        <f t="shared" ref="AW336" ca="1" si="1637">IF(AW$2=1,$B336,AV336)*IF($B340=1,AW340,AW339)</f>
        <v>49049.04091199112</v>
      </c>
      <c r="AX336" s="285">
        <f t="shared" ref="AX336" ca="1" si="1638">IF(AX$2=1,$B336,AW336)*IF($B340=1,AX340,AX339)</f>
        <v>49287.789598811818</v>
      </c>
      <c r="AY336" s="285">
        <f t="shared" ref="AY336" ca="1" si="1639">IF(AY$2=1,$B336,AX336)*IF($B340=1,AY340,AY339)</f>
        <v>49527.700406938027</v>
      </c>
      <c r="AZ336" s="285">
        <f t="shared" ref="AZ336" ca="1" si="1640">IF(AZ$2=1,$B336,AY336)*IF($B340=1,AZ340,AZ339)</f>
        <v>49768.778993053958</v>
      </c>
      <c r="BA336" s="285">
        <f t="shared" ref="BA336" ca="1" si="1641">IF(BA$2=1,$B336,AZ336)*IF($B340=1,BA340,BA339)</f>
        <v>50011.031041378032</v>
      </c>
      <c r="BB336" s="285">
        <f t="shared" ref="BB336" ca="1" si="1642">IF(BB$2=1,$B336,BA336)*IF($B340=1,BB340,BB339)</f>
        <v>50254.462263796879</v>
      </c>
      <c r="BC336" s="177"/>
    </row>
    <row r="337" spans="1:56" collapsed="1" x14ac:dyDescent="0.3">
      <c r="A337" s="175" t="str">
        <f ca="1">Language!A$703</f>
        <v>заработная плата</v>
      </c>
      <c r="B337" s="205" t="str">
        <f ca="1">Language!$A$1479</f>
        <v>за период</v>
      </c>
      <c r="C337" s="176" t="str">
        <f t="shared" ref="C337" ca="1" si="1643">CHOOSE(D337,CurName1,CurName2,CurName3)</f>
        <v>руб.</v>
      </c>
      <c r="D337" s="174">
        <f>D334</f>
        <v>1</v>
      </c>
      <c r="E337" s="170" t="s">
        <v>784</v>
      </c>
      <c r="F337" s="170" t="s">
        <v>740</v>
      </c>
      <c r="G337" s="177">
        <f ca="1">G335*G336*Параметры!G$31</f>
        <v>0</v>
      </c>
      <c r="H337" s="177">
        <f ca="1">H335*H336*Параметры!H$31</f>
        <v>0</v>
      </c>
      <c r="I337" s="177">
        <f ca="1">I335*I336*Параметры!I$31</f>
        <v>0</v>
      </c>
      <c r="J337" s="177">
        <f ca="1">J335*J336*Параметры!J$31</f>
        <v>0</v>
      </c>
      <c r="K337" s="177">
        <f ca="1">K335*K336*Параметры!K$31</f>
        <v>0</v>
      </c>
      <c r="L337" s="177">
        <f ca="1">L335*L336*Параметры!L$31</f>
        <v>0</v>
      </c>
      <c r="M337" s="177">
        <f ca="1">M335*M336*Параметры!M$31</f>
        <v>123547.56169184404</v>
      </c>
      <c r="N337" s="177">
        <f ca="1">N335*N336*Параметры!N$31</f>
        <v>124148.93569560393</v>
      </c>
      <c r="O337" s="177">
        <f ca="1">O335*O336*Параметры!O$31</f>
        <v>124753.23691773579</v>
      </c>
      <c r="P337" s="177">
        <f ca="1">P335*P336*Параметры!P$31</f>
        <v>125360.47960662309</v>
      </c>
      <c r="Q337" s="177">
        <f ca="1">Q335*Q336*Параметры!Q$31</f>
        <v>125970.67808000399</v>
      </c>
      <c r="R337" s="177">
        <f ca="1">R335*R336*Параметры!R$31</f>
        <v>126583.84672530896</v>
      </c>
      <c r="S337" s="177">
        <f ca="1">S335*S336*Параметры!S$31</f>
        <v>127200.00000000004</v>
      </c>
      <c r="T337" s="177">
        <f ca="1">T335*T336*Параметры!T$31</f>
        <v>127819.15243191167</v>
      </c>
      <c r="U337" s="177">
        <f ca="1">U335*U336*Параметры!U$31</f>
        <v>128441.31861959328</v>
      </c>
      <c r="V337" s="177">
        <f ca="1">V335*V336*Параметры!V$31</f>
        <v>129066.51323265349</v>
      </c>
      <c r="W337" s="177">
        <f ca="1">W335*W336*Параметры!W$31</f>
        <v>129694.75101210596</v>
      </c>
      <c r="X337" s="177">
        <f ca="1">X335*X336*Параметры!X$31</f>
        <v>130326.04677071694</v>
      </c>
      <c r="Y337" s="177">
        <f ca="1">Y335*Y336*Параметры!Y$31</f>
        <v>130960.41539335468</v>
      </c>
      <c r="Z337" s="177">
        <f ca="1">Z335*Z336*Параметры!Z$31</f>
        <v>131597.87183734018</v>
      </c>
      <c r="AA337" s="177">
        <f ca="1">AA335*AA336*Параметры!AA$31</f>
        <v>132238.43113279997</v>
      </c>
      <c r="AB337" s="177">
        <f ca="1">AB335*AB336*Параметры!AB$31</f>
        <v>132882.1083830205</v>
      </c>
      <c r="AC337" s="177">
        <f ca="1">AC335*AC336*Параметры!AC$31</f>
        <v>133528.91876480426</v>
      </c>
      <c r="AD337" s="177">
        <f ca="1">AD335*AD336*Параметры!AD$31</f>
        <v>134178.87752882752</v>
      </c>
      <c r="AE337" s="177">
        <f ca="1">AE335*AE336*Параметры!AE$31</f>
        <v>134832.00000000006</v>
      </c>
      <c r="AF337" s="177">
        <f ca="1">AF335*AF336*Параметры!AF$31</f>
        <v>135488.30157782638</v>
      </c>
      <c r="AG337" s="177">
        <f ca="1">AG335*AG336*Параметры!AG$31</f>
        <v>136147.7977367689</v>
      </c>
      <c r="AH337" s="177">
        <f ca="1">AH335*AH336*Параметры!AH$31</f>
        <v>136810.50402661273</v>
      </c>
      <c r="AI337" s="177">
        <f ca="1">AI335*AI336*Параметры!AI$31</f>
        <v>137476.43607283232</v>
      </c>
      <c r="AJ337" s="177">
        <f ca="1">AJ335*AJ336*Параметры!AJ$31</f>
        <v>138145.60957696001</v>
      </c>
      <c r="AK337" s="177">
        <f ca="1">AK335*AK336*Параметры!AK$31</f>
        <v>138818.040316956</v>
      </c>
      <c r="AL337" s="177">
        <f ca="1">AL335*AL336*Параметры!AL$31</f>
        <v>139493.74414758058</v>
      </c>
      <c r="AM337" s="177">
        <f ca="1">AM335*AM336*Параметры!AM$31</f>
        <v>140172.73700076799</v>
      </c>
      <c r="AN337" s="177">
        <f ca="1">AN335*AN336*Параметры!AN$31</f>
        <v>140855.03488600173</v>
      </c>
      <c r="AO337" s="177">
        <f ca="1">AO335*AO336*Параметры!AO$31</f>
        <v>141540.65389069251</v>
      </c>
      <c r="AP337" s="177">
        <f ca="1">AP335*AP336*Параметры!AP$31</f>
        <v>142229.61018055718</v>
      </c>
      <c r="AQ337" s="177">
        <f ca="1">AQ335*AQ336*Параметры!AQ$31</f>
        <v>142921.92000000007</v>
      </c>
      <c r="AR337" s="177">
        <f ca="1">AR335*AR336*Параметры!AR$31</f>
        <v>143617.59967249597</v>
      </c>
      <c r="AS337" s="177">
        <f ca="1">AS335*AS336*Параметры!AS$31</f>
        <v>144316.66560097504</v>
      </c>
      <c r="AT337" s="177">
        <f ca="1">AT335*AT336*Параметры!AT$31</f>
        <v>145019.13426820948</v>
      </c>
      <c r="AU337" s="177">
        <f ca="1">AU335*AU336*Параметры!AU$31</f>
        <v>145725.02223720227</v>
      </c>
      <c r="AV337" s="177">
        <f ca="1">AV335*AV336*Параметры!AV$31</f>
        <v>146434.3461515776</v>
      </c>
      <c r="AW337" s="177">
        <f ca="1">AW335*AW336*Параметры!AW$31</f>
        <v>147147.12273597336</v>
      </c>
      <c r="AX337" s="177">
        <f ca="1">AX335*AX336*Параметры!AX$31</f>
        <v>147863.36879643545</v>
      </c>
      <c r="AY337" s="177">
        <f ca="1">AY335*AY336*Параметры!AY$31</f>
        <v>148583.10122081407</v>
      </c>
      <c r="AZ337" s="177">
        <f ca="1">AZ335*AZ336*Параметры!AZ$31</f>
        <v>149306.33697916189</v>
      </c>
      <c r="BA337" s="177">
        <f ca="1">BA335*BA336*Параметры!BA$31</f>
        <v>150033.09312413409</v>
      </c>
      <c r="BB337" s="177">
        <f ca="1">BB335*BB336*Параметры!BB$31</f>
        <v>150763.38679139063</v>
      </c>
      <c r="BC337" s="177"/>
      <c r="BD337" s="178">
        <f ca="1">SUM(G337:BC337)</f>
        <v>5742040.7108161747</v>
      </c>
    </row>
    <row r="338" spans="1:56" hidden="1" outlineLevel="1" x14ac:dyDescent="0.3">
      <c r="A338" s="184" t="str">
        <f ca="1">Language!A$705</f>
        <v>темп изменения цен</v>
      </c>
      <c r="B338" s="189"/>
      <c r="C338" s="163" t="str">
        <f ca="1">Language!$A$480</f>
        <v>% в год</v>
      </c>
      <c r="D338" s="174"/>
      <c r="F338" s="170" t="s">
        <v>2346</v>
      </c>
      <c r="G338" s="290">
        <f>CHOOSE($D334,Параметры!G$50,Параметры!G$56,Параметры!G$62)</f>
        <v>0.06</v>
      </c>
      <c r="H338" s="290">
        <f>CHOOSE($D334,Параметры!H$50,Параметры!H$56,Параметры!H$62)</f>
        <v>0.06</v>
      </c>
      <c r="I338" s="290">
        <f>CHOOSE($D334,Параметры!I$50,Параметры!I$56,Параметры!I$62)</f>
        <v>0.06</v>
      </c>
      <c r="J338" s="290">
        <f>CHOOSE($D334,Параметры!J$50,Параметры!J$56,Параметры!J$62)</f>
        <v>0.06</v>
      </c>
      <c r="K338" s="290">
        <f>CHOOSE($D334,Параметры!K$50,Параметры!K$56,Параметры!K$62)</f>
        <v>0.06</v>
      </c>
      <c r="L338" s="290">
        <f>CHOOSE($D334,Параметры!L$50,Параметры!L$56,Параметры!L$62)</f>
        <v>0.06</v>
      </c>
      <c r="M338" s="290">
        <f>CHOOSE($D334,Параметры!M$50,Параметры!M$56,Параметры!M$62)</f>
        <v>0.06</v>
      </c>
      <c r="N338" s="290">
        <f>CHOOSE($D334,Параметры!N$50,Параметры!N$56,Параметры!N$62)</f>
        <v>0.06</v>
      </c>
      <c r="O338" s="290">
        <f>CHOOSE($D334,Параметры!O$50,Параметры!O$56,Параметры!O$62)</f>
        <v>0.06</v>
      </c>
      <c r="P338" s="290">
        <f>CHOOSE($D334,Параметры!P$50,Параметры!P$56,Параметры!P$62)</f>
        <v>0.06</v>
      </c>
      <c r="Q338" s="290">
        <f>CHOOSE($D334,Параметры!Q$50,Параметры!Q$56,Параметры!Q$62)</f>
        <v>0.06</v>
      </c>
      <c r="R338" s="290">
        <f>CHOOSE($D334,Параметры!R$50,Параметры!R$56,Параметры!R$62)</f>
        <v>0.06</v>
      </c>
      <c r="S338" s="290">
        <f>CHOOSE($D334,Параметры!S$50,Параметры!S$56,Параметры!S$62)</f>
        <v>0.06</v>
      </c>
      <c r="T338" s="290">
        <f>CHOOSE($D334,Параметры!T$50,Параметры!T$56,Параметры!T$62)</f>
        <v>0.06</v>
      </c>
      <c r="U338" s="290">
        <f>CHOOSE($D334,Параметры!U$50,Параметры!U$56,Параметры!U$62)</f>
        <v>0.06</v>
      </c>
      <c r="V338" s="290">
        <f>CHOOSE($D334,Параметры!V$50,Параметры!V$56,Параметры!V$62)</f>
        <v>0.06</v>
      </c>
      <c r="W338" s="290">
        <f>CHOOSE($D334,Параметры!W$50,Параметры!W$56,Параметры!W$62)</f>
        <v>0.06</v>
      </c>
      <c r="X338" s="290">
        <f>CHOOSE($D334,Параметры!X$50,Параметры!X$56,Параметры!X$62)</f>
        <v>0.06</v>
      </c>
      <c r="Y338" s="290">
        <f>CHOOSE($D334,Параметры!Y$50,Параметры!Y$56,Параметры!Y$62)</f>
        <v>0.06</v>
      </c>
      <c r="Z338" s="290">
        <f>CHOOSE($D334,Параметры!Z$50,Параметры!Z$56,Параметры!Z$62)</f>
        <v>0.06</v>
      </c>
      <c r="AA338" s="290">
        <f>CHOOSE($D334,Параметры!AA$50,Параметры!AA$56,Параметры!AA$62)</f>
        <v>0.06</v>
      </c>
      <c r="AB338" s="290">
        <f>CHOOSE($D334,Параметры!AB$50,Параметры!AB$56,Параметры!AB$62)</f>
        <v>0.06</v>
      </c>
      <c r="AC338" s="290">
        <f>CHOOSE($D334,Параметры!AC$50,Параметры!AC$56,Параметры!AC$62)</f>
        <v>0.06</v>
      </c>
      <c r="AD338" s="290">
        <f>CHOOSE($D334,Параметры!AD$50,Параметры!AD$56,Параметры!AD$62)</f>
        <v>0.06</v>
      </c>
      <c r="AE338" s="290">
        <f>CHOOSE($D334,Параметры!AE$50,Параметры!AE$56,Параметры!AE$62)</f>
        <v>0.06</v>
      </c>
      <c r="AF338" s="290">
        <f>CHOOSE($D334,Параметры!AF$50,Параметры!AF$56,Параметры!AF$62)</f>
        <v>0.06</v>
      </c>
      <c r="AG338" s="290">
        <f>CHOOSE($D334,Параметры!AG$50,Параметры!AG$56,Параметры!AG$62)</f>
        <v>0.06</v>
      </c>
      <c r="AH338" s="290">
        <f>CHOOSE($D334,Параметры!AH$50,Параметры!AH$56,Параметры!AH$62)</f>
        <v>0.06</v>
      </c>
      <c r="AI338" s="290">
        <f>CHOOSE($D334,Параметры!AI$50,Параметры!AI$56,Параметры!AI$62)</f>
        <v>0.06</v>
      </c>
      <c r="AJ338" s="290">
        <f>CHOOSE($D334,Параметры!AJ$50,Параметры!AJ$56,Параметры!AJ$62)</f>
        <v>0.06</v>
      </c>
      <c r="AK338" s="290">
        <f>CHOOSE($D334,Параметры!AK$50,Параметры!AK$56,Параметры!AK$62)</f>
        <v>0.06</v>
      </c>
      <c r="AL338" s="290">
        <f>CHOOSE($D334,Параметры!AL$50,Параметры!AL$56,Параметры!AL$62)</f>
        <v>0.06</v>
      </c>
      <c r="AM338" s="290">
        <f>CHOOSE($D334,Параметры!AM$50,Параметры!AM$56,Параметры!AM$62)</f>
        <v>0.06</v>
      </c>
      <c r="AN338" s="290">
        <f>CHOOSE($D334,Параметры!AN$50,Параметры!AN$56,Параметры!AN$62)</f>
        <v>0.06</v>
      </c>
      <c r="AO338" s="290">
        <f>CHOOSE($D334,Параметры!AO$50,Параметры!AO$56,Параметры!AO$62)</f>
        <v>0.06</v>
      </c>
      <c r="AP338" s="290">
        <f>CHOOSE($D334,Параметры!AP$50,Параметры!AP$56,Параметры!AP$62)</f>
        <v>0.06</v>
      </c>
      <c r="AQ338" s="290">
        <f>CHOOSE($D334,Параметры!AQ$50,Параметры!AQ$56,Параметры!AQ$62)</f>
        <v>0.06</v>
      </c>
      <c r="AR338" s="290">
        <f>CHOOSE($D334,Параметры!AR$50,Параметры!AR$56,Параметры!AR$62)</f>
        <v>0.06</v>
      </c>
      <c r="AS338" s="290">
        <f>CHOOSE($D334,Параметры!AS$50,Параметры!AS$56,Параметры!AS$62)</f>
        <v>0.06</v>
      </c>
      <c r="AT338" s="290">
        <f>CHOOSE($D334,Параметры!AT$50,Параметры!AT$56,Параметры!AT$62)</f>
        <v>0.06</v>
      </c>
      <c r="AU338" s="290">
        <f>CHOOSE($D334,Параметры!AU$50,Параметры!AU$56,Параметры!AU$62)</f>
        <v>0.06</v>
      </c>
      <c r="AV338" s="290">
        <f>CHOOSE($D334,Параметры!AV$50,Параметры!AV$56,Параметры!AV$62)</f>
        <v>0.06</v>
      </c>
      <c r="AW338" s="290">
        <f>CHOOSE($D334,Параметры!AW$50,Параметры!AW$56,Параметры!AW$62)</f>
        <v>0.06</v>
      </c>
      <c r="AX338" s="290">
        <f>CHOOSE($D334,Параметры!AX$50,Параметры!AX$56,Параметры!AX$62)</f>
        <v>0.06</v>
      </c>
      <c r="AY338" s="290">
        <f>CHOOSE($D334,Параметры!AY$50,Параметры!AY$56,Параметры!AY$62)</f>
        <v>0.06</v>
      </c>
      <c r="AZ338" s="290">
        <f>CHOOSE($D334,Параметры!AZ$50,Параметры!AZ$56,Параметры!AZ$62)</f>
        <v>0.06</v>
      </c>
      <c r="BA338" s="290">
        <f>CHOOSE($D334,Параметры!BA$50,Параметры!BA$56,Параметры!BA$62)</f>
        <v>0.06</v>
      </c>
      <c r="BB338" s="290">
        <f>CHOOSE($D334,Параметры!BB$50,Параметры!BB$56,Параметры!BB$62)</f>
        <v>0.06</v>
      </c>
      <c r="BC338" s="190"/>
      <c r="BD338" s="186"/>
    </row>
    <row r="339" spans="1:56" hidden="1" outlineLevel="1" x14ac:dyDescent="0.3">
      <c r="A339" s="184" t="str">
        <f ca="1">Language!A$675</f>
        <v>коэффициент прироста цен к предыдущему периоду</v>
      </c>
      <c r="B339" s="189"/>
      <c r="C339" s="163" t="str">
        <f ca="1">Language!$A$1477</f>
        <v>раз</v>
      </c>
      <c r="D339" s="174"/>
      <c r="F339" s="170" t="s">
        <v>745</v>
      </c>
      <c r="G339" s="191">
        <f ca="1">IF(G$2=1,1,IF(Prj_Inflation=1, (1+OFFSET(G338,0,-1))^(Параметры!G$30/360), 1))</f>
        <v>1</v>
      </c>
      <c r="H339" s="191">
        <f ca="1">IF(H$2=1,1,IF(Prj_Inflation=1, (1+OFFSET(H338,0,-1))^(Параметры!H$30/360), 1))</f>
        <v>1.004867550565343</v>
      </c>
      <c r="I339" s="191">
        <f ca="1">IF(I$2=1,1,IF(Prj_Inflation=1, (1+OFFSET(I338,0,-1))^(Параметры!I$30/360), 1))</f>
        <v>1.004867550565343</v>
      </c>
      <c r="J339" s="191">
        <f ca="1">IF(J$2=1,1,IF(Prj_Inflation=1, (1+OFFSET(J338,0,-1))^(Параметры!J$30/360), 1))</f>
        <v>1.004867550565343</v>
      </c>
      <c r="K339" s="191">
        <f ca="1">IF(K$2=1,1,IF(Prj_Inflation=1, (1+OFFSET(K338,0,-1))^(Параметры!K$30/360), 1))</f>
        <v>1.004867550565343</v>
      </c>
      <c r="L339" s="191">
        <f ca="1">IF(L$2=1,1,IF(Prj_Inflation=1, (1+OFFSET(L338,0,-1))^(Параметры!L$30/360), 1))</f>
        <v>1.004867550565343</v>
      </c>
      <c r="M339" s="191">
        <f ca="1">IF(M$2=1,1,IF(Prj_Inflation=1, (1+OFFSET(M338,0,-1))^(Параметры!M$30/360), 1))</f>
        <v>1.004867550565343</v>
      </c>
      <c r="N339" s="191">
        <f ca="1">IF(N$2=1,1,IF(Prj_Inflation=1, (1+OFFSET(N338,0,-1))^(Параметры!N$30/360), 1))</f>
        <v>1.004867550565343</v>
      </c>
      <c r="O339" s="191">
        <f ca="1">IF(O$2=1,1,IF(Prj_Inflation=1, (1+OFFSET(O338,0,-1))^(Параметры!O$30/360), 1))</f>
        <v>1.004867550565343</v>
      </c>
      <c r="P339" s="191">
        <f ca="1">IF(P$2=1,1,IF(Prj_Inflation=1, (1+OFFSET(P338,0,-1))^(Параметры!P$30/360), 1))</f>
        <v>1.004867550565343</v>
      </c>
      <c r="Q339" s="191">
        <f ca="1">IF(Q$2=1,1,IF(Prj_Inflation=1, (1+OFFSET(Q338,0,-1))^(Параметры!Q$30/360), 1))</f>
        <v>1.004867550565343</v>
      </c>
      <c r="R339" s="191">
        <f ca="1">IF(R$2=1,1,IF(Prj_Inflation=1, (1+OFFSET(R338,0,-1))^(Параметры!R$30/360), 1))</f>
        <v>1.004867550565343</v>
      </c>
      <c r="S339" s="191">
        <f ca="1">IF(S$2=1,1,IF(Prj_Inflation=1, (1+OFFSET(S338,0,-1))^(Параметры!S$30/360), 1))</f>
        <v>1.004867550565343</v>
      </c>
      <c r="T339" s="191">
        <f ca="1">IF(T$2=1,1,IF(Prj_Inflation=1, (1+OFFSET(T338,0,-1))^(Параметры!T$30/360), 1))</f>
        <v>1.004867550565343</v>
      </c>
      <c r="U339" s="191">
        <f ca="1">IF(U$2=1,1,IF(Prj_Inflation=1, (1+OFFSET(U338,0,-1))^(Параметры!U$30/360), 1))</f>
        <v>1.004867550565343</v>
      </c>
      <c r="V339" s="191">
        <f ca="1">IF(V$2=1,1,IF(Prj_Inflation=1, (1+OFFSET(V338,0,-1))^(Параметры!V$30/360), 1))</f>
        <v>1.004867550565343</v>
      </c>
      <c r="W339" s="191">
        <f ca="1">IF(W$2=1,1,IF(Prj_Inflation=1, (1+OFFSET(W338,0,-1))^(Параметры!W$30/360), 1))</f>
        <v>1.004867550565343</v>
      </c>
      <c r="X339" s="191">
        <f ca="1">IF(X$2=1,1,IF(Prj_Inflation=1, (1+OFFSET(X338,0,-1))^(Параметры!X$30/360), 1))</f>
        <v>1.004867550565343</v>
      </c>
      <c r="Y339" s="191">
        <f ca="1">IF(Y$2=1,1,IF(Prj_Inflation=1, (1+OFFSET(Y338,0,-1))^(Параметры!Y$30/360), 1))</f>
        <v>1.004867550565343</v>
      </c>
      <c r="Z339" s="191">
        <f ca="1">IF(Z$2=1,1,IF(Prj_Inflation=1, (1+OFFSET(Z338,0,-1))^(Параметры!Z$30/360), 1))</f>
        <v>1.004867550565343</v>
      </c>
      <c r="AA339" s="191">
        <f ca="1">IF(AA$2=1,1,IF(Prj_Inflation=1, (1+OFFSET(AA338,0,-1))^(Параметры!AA$30/360), 1))</f>
        <v>1.004867550565343</v>
      </c>
      <c r="AB339" s="191">
        <f ca="1">IF(AB$2=1,1,IF(Prj_Inflation=1, (1+OFFSET(AB338,0,-1))^(Параметры!AB$30/360), 1))</f>
        <v>1.004867550565343</v>
      </c>
      <c r="AC339" s="191">
        <f ca="1">IF(AC$2=1,1,IF(Prj_Inflation=1, (1+OFFSET(AC338,0,-1))^(Параметры!AC$30/360), 1))</f>
        <v>1.004867550565343</v>
      </c>
      <c r="AD339" s="191">
        <f ca="1">IF(AD$2=1,1,IF(Prj_Inflation=1, (1+OFFSET(AD338,0,-1))^(Параметры!AD$30/360), 1))</f>
        <v>1.004867550565343</v>
      </c>
      <c r="AE339" s="191">
        <f ca="1">IF(AE$2=1,1,IF(Prj_Inflation=1, (1+OFFSET(AE338,0,-1))^(Параметры!AE$30/360), 1))</f>
        <v>1.004867550565343</v>
      </c>
      <c r="AF339" s="191">
        <f ca="1">IF(AF$2=1,1,IF(Prj_Inflation=1, (1+OFFSET(AF338,0,-1))^(Параметры!AF$30/360), 1))</f>
        <v>1.004867550565343</v>
      </c>
      <c r="AG339" s="191">
        <f ca="1">IF(AG$2=1,1,IF(Prj_Inflation=1, (1+OFFSET(AG338,0,-1))^(Параметры!AG$30/360), 1))</f>
        <v>1.004867550565343</v>
      </c>
      <c r="AH339" s="191">
        <f ca="1">IF(AH$2=1,1,IF(Prj_Inflation=1, (1+OFFSET(AH338,0,-1))^(Параметры!AH$30/360), 1))</f>
        <v>1.004867550565343</v>
      </c>
      <c r="AI339" s="191">
        <f ca="1">IF(AI$2=1,1,IF(Prj_Inflation=1, (1+OFFSET(AI338,0,-1))^(Параметры!AI$30/360), 1))</f>
        <v>1.004867550565343</v>
      </c>
      <c r="AJ339" s="191">
        <f ca="1">IF(AJ$2=1,1,IF(Prj_Inflation=1, (1+OFFSET(AJ338,0,-1))^(Параметры!AJ$30/360), 1))</f>
        <v>1.004867550565343</v>
      </c>
      <c r="AK339" s="191">
        <f ca="1">IF(AK$2=1,1,IF(Prj_Inflation=1, (1+OFFSET(AK338,0,-1))^(Параметры!AK$30/360), 1))</f>
        <v>1.004867550565343</v>
      </c>
      <c r="AL339" s="191">
        <f ca="1">IF(AL$2=1,1,IF(Prj_Inflation=1, (1+OFFSET(AL338,0,-1))^(Параметры!AL$30/360), 1))</f>
        <v>1.004867550565343</v>
      </c>
      <c r="AM339" s="191">
        <f ca="1">IF(AM$2=1,1,IF(Prj_Inflation=1, (1+OFFSET(AM338,0,-1))^(Параметры!AM$30/360), 1))</f>
        <v>1.004867550565343</v>
      </c>
      <c r="AN339" s="191">
        <f ca="1">IF(AN$2=1,1,IF(Prj_Inflation=1, (1+OFFSET(AN338,0,-1))^(Параметры!AN$30/360), 1))</f>
        <v>1.004867550565343</v>
      </c>
      <c r="AO339" s="191">
        <f ca="1">IF(AO$2=1,1,IF(Prj_Inflation=1, (1+OFFSET(AO338,0,-1))^(Параметры!AO$30/360), 1))</f>
        <v>1.004867550565343</v>
      </c>
      <c r="AP339" s="191">
        <f ca="1">IF(AP$2=1,1,IF(Prj_Inflation=1, (1+OFFSET(AP338,0,-1))^(Параметры!AP$30/360), 1))</f>
        <v>1.004867550565343</v>
      </c>
      <c r="AQ339" s="191">
        <f ca="1">IF(AQ$2=1,1,IF(Prj_Inflation=1, (1+OFFSET(AQ338,0,-1))^(Параметры!AQ$30/360), 1))</f>
        <v>1.004867550565343</v>
      </c>
      <c r="AR339" s="191">
        <f ca="1">IF(AR$2=1,1,IF(Prj_Inflation=1, (1+OFFSET(AR338,0,-1))^(Параметры!AR$30/360), 1))</f>
        <v>1.004867550565343</v>
      </c>
      <c r="AS339" s="191">
        <f ca="1">IF(AS$2=1,1,IF(Prj_Inflation=1, (1+OFFSET(AS338,0,-1))^(Параметры!AS$30/360), 1))</f>
        <v>1.004867550565343</v>
      </c>
      <c r="AT339" s="191">
        <f ca="1">IF(AT$2=1,1,IF(Prj_Inflation=1, (1+OFFSET(AT338,0,-1))^(Параметры!AT$30/360), 1))</f>
        <v>1.004867550565343</v>
      </c>
      <c r="AU339" s="191">
        <f ca="1">IF(AU$2=1,1,IF(Prj_Inflation=1, (1+OFFSET(AU338,0,-1))^(Параметры!AU$30/360), 1))</f>
        <v>1.004867550565343</v>
      </c>
      <c r="AV339" s="191">
        <f ca="1">IF(AV$2=1,1,IF(Prj_Inflation=1, (1+OFFSET(AV338,0,-1))^(Параметры!AV$30/360), 1))</f>
        <v>1.004867550565343</v>
      </c>
      <c r="AW339" s="191">
        <f ca="1">IF(AW$2=1,1,IF(Prj_Inflation=1, (1+OFFSET(AW338,0,-1))^(Параметры!AW$30/360), 1))</f>
        <v>1.004867550565343</v>
      </c>
      <c r="AX339" s="191">
        <f ca="1">IF(AX$2=1,1,IF(Prj_Inflation=1, (1+OFFSET(AX338,0,-1))^(Параметры!AX$30/360), 1))</f>
        <v>1.004867550565343</v>
      </c>
      <c r="AY339" s="191">
        <f ca="1">IF(AY$2=1,1,IF(Prj_Inflation=1, (1+OFFSET(AY338,0,-1))^(Параметры!AY$30/360), 1))</f>
        <v>1.004867550565343</v>
      </c>
      <c r="AZ339" s="191">
        <f ca="1">IF(AZ$2=1,1,IF(Prj_Inflation=1, (1+OFFSET(AZ338,0,-1))^(Параметры!AZ$30/360), 1))</f>
        <v>1.004867550565343</v>
      </c>
      <c r="BA339" s="191">
        <f ca="1">IF(BA$2=1,1,IF(Prj_Inflation=1, (1+OFFSET(BA338,0,-1))^(Параметры!BA$30/360), 1))</f>
        <v>1.004867550565343</v>
      </c>
      <c r="BB339" s="191">
        <f ca="1">IF(BB$2=1,1,IF(Prj_Inflation=1, (1+OFFSET(BB338,0,-1))^(Параметры!BB$30/360), 1))</f>
        <v>1.004867550565343</v>
      </c>
      <c r="BC339" s="191"/>
      <c r="BD339" s="186"/>
    </row>
    <row r="340" spans="1:56" hidden="1" outlineLevel="1" x14ac:dyDescent="0.3">
      <c r="A340" s="184" t="str">
        <f ca="1">Language!A$1486</f>
        <v>индексировать в начале года</v>
      </c>
      <c r="B340" s="291">
        <v>0</v>
      </c>
      <c r="C340" s="163" t="str">
        <f ca="1">IF(B340=1,Language!$A$1475,Language!$A$1476)</f>
        <v>Нет</v>
      </c>
      <c r="D340" s="174"/>
      <c r="F340" s="170" t="s">
        <v>3408</v>
      </c>
      <c r="G340" s="192" t="str">
        <f ca="1">IF(Prj_Inflation=1,IF($B340=1,IF(G$2=1,1,IF(Параметры!G$29=1,1+OFFSET(G338,0,-1),1)),"-"),1)</f>
        <v>-</v>
      </c>
      <c r="H340" s="192" t="str">
        <f ca="1">IF(Prj_Inflation=1,IF($B340=1,IF(H$2=1,1,IF(Параметры!H$29=1,1+OFFSET(H338,0,-1),1)),"-"),1)</f>
        <v>-</v>
      </c>
      <c r="I340" s="192" t="str">
        <f ca="1">IF(Prj_Inflation=1,IF($B340=1,IF(I$2=1,1,IF(Параметры!I$29=1,1+OFFSET(I338,0,-1),1)),"-"),1)</f>
        <v>-</v>
      </c>
      <c r="J340" s="192" t="str">
        <f ca="1">IF(Prj_Inflation=1,IF($B340=1,IF(J$2=1,1,IF(Параметры!J$29=1,1+OFFSET(J338,0,-1),1)),"-"),1)</f>
        <v>-</v>
      </c>
      <c r="K340" s="192" t="str">
        <f ca="1">IF(Prj_Inflation=1,IF($B340=1,IF(K$2=1,1,IF(Параметры!K$29=1,1+OFFSET(K338,0,-1),1)),"-"),1)</f>
        <v>-</v>
      </c>
      <c r="L340" s="192" t="str">
        <f ca="1">IF(Prj_Inflation=1,IF($B340=1,IF(L$2=1,1,IF(Параметры!L$29=1,1+OFFSET(L338,0,-1),1)),"-"),1)</f>
        <v>-</v>
      </c>
      <c r="M340" s="192" t="str">
        <f ca="1">IF(Prj_Inflation=1,IF($B340=1,IF(M$2=1,1,IF(Параметры!M$29=1,1+OFFSET(M338,0,-1),1)),"-"),1)</f>
        <v>-</v>
      </c>
      <c r="N340" s="192" t="str">
        <f ca="1">IF(Prj_Inflation=1,IF($B340=1,IF(N$2=1,1,IF(Параметры!N$29=1,1+OFFSET(N338,0,-1),1)),"-"),1)</f>
        <v>-</v>
      </c>
      <c r="O340" s="192" t="str">
        <f ca="1">IF(Prj_Inflation=1,IF($B340=1,IF(O$2=1,1,IF(Параметры!O$29=1,1+OFFSET(O338,0,-1),1)),"-"),1)</f>
        <v>-</v>
      </c>
      <c r="P340" s="192" t="str">
        <f ca="1">IF(Prj_Inflation=1,IF($B340=1,IF(P$2=1,1,IF(Параметры!P$29=1,1+OFFSET(P338,0,-1),1)),"-"),1)</f>
        <v>-</v>
      </c>
      <c r="Q340" s="192" t="str">
        <f ca="1">IF(Prj_Inflation=1,IF($B340=1,IF(Q$2=1,1,IF(Параметры!Q$29=1,1+OFFSET(Q338,0,-1),1)),"-"),1)</f>
        <v>-</v>
      </c>
      <c r="R340" s="192" t="str">
        <f ca="1">IF(Prj_Inflation=1,IF($B340=1,IF(R$2=1,1,IF(Параметры!R$29=1,1+OFFSET(R338,0,-1),1)),"-"),1)</f>
        <v>-</v>
      </c>
      <c r="S340" s="192" t="str">
        <f ca="1">IF(Prj_Inflation=1,IF($B340=1,IF(S$2=1,1,IF(Параметры!S$29=1,1+OFFSET(S338,0,-1),1)),"-"),1)</f>
        <v>-</v>
      </c>
      <c r="T340" s="192" t="str">
        <f ca="1">IF(Prj_Inflation=1,IF($B340=1,IF(T$2=1,1,IF(Параметры!T$29=1,1+OFFSET(T338,0,-1),1)),"-"),1)</f>
        <v>-</v>
      </c>
      <c r="U340" s="192" t="str">
        <f ca="1">IF(Prj_Inflation=1,IF($B340=1,IF(U$2=1,1,IF(Параметры!U$29=1,1+OFFSET(U338,0,-1),1)),"-"),1)</f>
        <v>-</v>
      </c>
      <c r="V340" s="192" t="str">
        <f ca="1">IF(Prj_Inflation=1,IF($B340=1,IF(V$2=1,1,IF(Параметры!V$29=1,1+OFFSET(V338,0,-1),1)),"-"),1)</f>
        <v>-</v>
      </c>
      <c r="W340" s="192" t="str">
        <f ca="1">IF(Prj_Inflation=1,IF($B340=1,IF(W$2=1,1,IF(Параметры!W$29=1,1+OFFSET(W338,0,-1),1)),"-"),1)</f>
        <v>-</v>
      </c>
      <c r="X340" s="192" t="str">
        <f ca="1">IF(Prj_Inflation=1,IF($B340=1,IF(X$2=1,1,IF(Параметры!X$29=1,1+OFFSET(X338,0,-1),1)),"-"),1)</f>
        <v>-</v>
      </c>
      <c r="Y340" s="192" t="str">
        <f ca="1">IF(Prj_Inflation=1,IF($B340=1,IF(Y$2=1,1,IF(Параметры!Y$29=1,1+OFFSET(Y338,0,-1),1)),"-"),1)</f>
        <v>-</v>
      </c>
      <c r="Z340" s="192" t="str">
        <f ca="1">IF(Prj_Inflation=1,IF($B340=1,IF(Z$2=1,1,IF(Параметры!Z$29=1,1+OFFSET(Z338,0,-1),1)),"-"),1)</f>
        <v>-</v>
      </c>
      <c r="AA340" s="192" t="str">
        <f ca="1">IF(Prj_Inflation=1,IF($B340=1,IF(AA$2=1,1,IF(Параметры!AA$29=1,1+OFFSET(AA338,0,-1),1)),"-"),1)</f>
        <v>-</v>
      </c>
      <c r="AB340" s="192" t="str">
        <f ca="1">IF(Prj_Inflation=1,IF($B340=1,IF(AB$2=1,1,IF(Параметры!AB$29=1,1+OFFSET(AB338,0,-1),1)),"-"),1)</f>
        <v>-</v>
      </c>
      <c r="AC340" s="192" t="str">
        <f ca="1">IF(Prj_Inflation=1,IF($B340=1,IF(AC$2=1,1,IF(Параметры!AC$29=1,1+OFFSET(AC338,0,-1),1)),"-"),1)</f>
        <v>-</v>
      </c>
      <c r="AD340" s="192" t="str">
        <f ca="1">IF(Prj_Inflation=1,IF($B340=1,IF(AD$2=1,1,IF(Параметры!AD$29=1,1+OFFSET(AD338,0,-1),1)),"-"),1)</f>
        <v>-</v>
      </c>
      <c r="AE340" s="192" t="str">
        <f ca="1">IF(Prj_Inflation=1,IF($B340=1,IF(AE$2=1,1,IF(Параметры!AE$29=1,1+OFFSET(AE338,0,-1),1)),"-"),1)</f>
        <v>-</v>
      </c>
      <c r="AF340" s="192" t="str">
        <f ca="1">IF(Prj_Inflation=1,IF($B340=1,IF(AF$2=1,1,IF(Параметры!AF$29=1,1+OFFSET(AF338,0,-1),1)),"-"),1)</f>
        <v>-</v>
      </c>
      <c r="AG340" s="192" t="str">
        <f ca="1">IF(Prj_Inflation=1,IF($B340=1,IF(AG$2=1,1,IF(Параметры!AG$29=1,1+OFFSET(AG338,0,-1),1)),"-"),1)</f>
        <v>-</v>
      </c>
      <c r="AH340" s="192" t="str">
        <f ca="1">IF(Prj_Inflation=1,IF($B340=1,IF(AH$2=1,1,IF(Параметры!AH$29=1,1+OFFSET(AH338,0,-1),1)),"-"),1)</f>
        <v>-</v>
      </c>
      <c r="AI340" s="192" t="str">
        <f ca="1">IF(Prj_Inflation=1,IF($B340=1,IF(AI$2=1,1,IF(Параметры!AI$29=1,1+OFFSET(AI338,0,-1),1)),"-"),1)</f>
        <v>-</v>
      </c>
      <c r="AJ340" s="192" t="str">
        <f ca="1">IF(Prj_Inflation=1,IF($B340=1,IF(AJ$2=1,1,IF(Параметры!AJ$29=1,1+OFFSET(AJ338,0,-1),1)),"-"),1)</f>
        <v>-</v>
      </c>
      <c r="AK340" s="192" t="str">
        <f ca="1">IF(Prj_Inflation=1,IF($B340=1,IF(AK$2=1,1,IF(Параметры!AK$29=1,1+OFFSET(AK338,0,-1),1)),"-"),1)</f>
        <v>-</v>
      </c>
      <c r="AL340" s="192" t="str">
        <f ca="1">IF(Prj_Inflation=1,IF($B340=1,IF(AL$2=1,1,IF(Параметры!AL$29=1,1+OFFSET(AL338,0,-1),1)),"-"),1)</f>
        <v>-</v>
      </c>
      <c r="AM340" s="192" t="str">
        <f ca="1">IF(Prj_Inflation=1,IF($B340=1,IF(AM$2=1,1,IF(Параметры!AM$29=1,1+OFFSET(AM338,0,-1),1)),"-"),1)</f>
        <v>-</v>
      </c>
      <c r="AN340" s="192" t="str">
        <f ca="1">IF(Prj_Inflation=1,IF($B340=1,IF(AN$2=1,1,IF(Параметры!AN$29=1,1+OFFSET(AN338,0,-1),1)),"-"),1)</f>
        <v>-</v>
      </c>
      <c r="AO340" s="192" t="str">
        <f ca="1">IF(Prj_Inflation=1,IF($B340=1,IF(AO$2=1,1,IF(Параметры!AO$29=1,1+OFFSET(AO338,0,-1),1)),"-"),1)</f>
        <v>-</v>
      </c>
      <c r="AP340" s="192" t="str">
        <f ca="1">IF(Prj_Inflation=1,IF($B340=1,IF(AP$2=1,1,IF(Параметры!AP$29=1,1+OFFSET(AP338,0,-1),1)),"-"),1)</f>
        <v>-</v>
      </c>
      <c r="AQ340" s="192" t="str">
        <f ca="1">IF(Prj_Inflation=1,IF($B340=1,IF(AQ$2=1,1,IF(Параметры!AQ$29=1,1+OFFSET(AQ338,0,-1),1)),"-"),1)</f>
        <v>-</v>
      </c>
      <c r="AR340" s="192" t="str">
        <f ca="1">IF(Prj_Inflation=1,IF($B340=1,IF(AR$2=1,1,IF(Параметры!AR$29=1,1+OFFSET(AR338,0,-1),1)),"-"),1)</f>
        <v>-</v>
      </c>
      <c r="AS340" s="192" t="str">
        <f ca="1">IF(Prj_Inflation=1,IF($B340=1,IF(AS$2=1,1,IF(Параметры!AS$29=1,1+OFFSET(AS338,0,-1),1)),"-"),1)</f>
        <v>-</v>
      </c>
      <c r="AT340" s="192" t="str">
        <f ca="1">IF(Prj_Inflation=1,IF($B340=1,IF(AT$2=1,1,IF(Параметры!AT$29=1,1+OFFSET(AT338,0,-1),1)),"-"),1)</f>
        <v>-</v>
      </c>
      <c r="AU340" s="192" t="str">
        <f ca="1">IF(Prj_Inflation=1,IF($B340=1,IF(AU$2=1,1,IF(Параметры!AU$29=1,1+OFFSET(AU338,0,-1),1)),"-"),1)</f>
        <v>-</v>
      </c>
      <c r="AV340" s="192" t="str">
        <f ca="1">IF(Prj_Inflation=1,IF($B340=1,IF(AV$2=1,1,IF(Параметры!AV$29=1,1+OFFSET(AV338,0,-1),1)),"-"),1)</f>
        <v>-</v>
      </c>
      <c r="AW340" s="192" t="str">
        <f ca="1">IF(Prj_Inflation=1,IF($B340=1,IF(AW$2=1,1,IF(Параметры!AW$29=1,1+OFFSET(AW338,0,-1),1)),"-"),1)</f>
        <v>-</v>
      </c>
      <c r="AX340" s="192" t="str">
        <f ca="1">IF(Prj_Inflation=1,IF($B340=1,IF(AX$2=1,1,IF(Параметры!AX$29=1,1+OFFSET(AX338,0,-1),1)),"-"),1)</f>
        <v>-</v>
      </c>
      <c r="AY340" s="192" t="str">
        <f ca="1">IF(Prj_Inflation=1,IF($B340=1,IF(AY$2=1,1,IF(Параметры!AY$29=1,1+OFFSET(AY338,0,-1),1)),"-"),1)</f>
        <v>-</v>
      </c>
      <c r="AZ340" s="192" t="str">
        <f ca="1">IF(Prj_Inflation=1,IF($B340=1,IF(AZ$2=1,1,IF(Параметры!AZ$29=1,1+OFFSET(AZ338,0,-1),1)),"-"),1)</f>
        <v>-</v>
      </c>
      <c r="BA340" s="192" t="str">
        <f ca="1">IF(Prj_Inflation=1,IF($B340=1,IF(BA$2=1,1,IF(Параметры!BA$29=1,1+OFFSET(BA338,0,-1),1)),"-"),1)</f>
        <v>-</v>
      </c>
      <c r="BB340" s="192" t="str">
        <f ca="1">IF(Prj_Inflation=1,IF($B340=1,IF(BB$2=1,1,IF(Параметры!BB$29=1,1+OFFSET(BB338,0,-1),1)),"-"),1)</f>
        <v>-</v>
      </c>
      <c r="BC340" s="191"/>
      <c r="BD340" s="186"/>
    </row>
    <row r="341" spans="1:56" hidden="1" outlineLevel="1" x14ac:dyDescent="0.3">
      <c r="A341" s="184" t="str">
        <f ca="1">Language!A$704</f>
        <v>социальные взносы</v>
      </c>
      <c r="B341" s="189"/>
      <c r="C341" s="163" t="str">
        <f ca="1">CHOOSE(D341,CurName1,CurName2,CurName3)</f>
        <v>руб.</v>
      </c>
      <c r="D341" s="174">
        <f>D334</f>
        <v>1</v>
      </c>
      <c r="E341" s="170" t="s">
        <v>1459</v>
      </c>
      <c r="F341" s="170" t="s">
        <v>740</v>
      </c>
      <c r="G341" s="185">
        <f ca="1">G337*Параметры!G$91</f>
        <v>0</v>
      </c>
      <c r="H341" s="185">
        <f ca="1">H337*Параметры!H$91</f>
        <v>0</v>
      </c>
      <c r="I341" s="185">
        <f ca="1">I337*Параметры!I$91</f>
        <v>0</v>
      </c>
      <c r="J341" s="185">
        <f ca="1">J337*Параметры!J$91</f>
        <v>0</v>
      </c>
      <c r="K341" s="185">
        <f ca="1">K337*Параметры!K$91</f>
        <v>0</v>
      </c>
      <c r="L341" s="185">
        <f ca="1">L337*Параметры!L$91</f>
        <v>0</v>
      </c>
      <c r="M341" s="185">
        <f ca="1">M337*Параметры!M$91</f>
        <v>38299.744124471661</v>
      </c>
      <c r="N341" s="185">
        <f ca="1">N337*Параметры!N$91</f>
        <v>38486.170065637227</v>
      </c>
      <c r="O341" s="185">
        <f ca="1">O337*Параметры!O$91</f>
        <v>38673.503444498099</v>
      </c>
      <c r="P341" s="185">
        <f ca="1">P337*Параметры!P$91</f>
        <v>38861.748678053162</v>
      </c>
      <c r="Q341" s="185">
        <f ca="1">Q337*Параметры!Q$91</f>
        <v>39050.910204801243</v>
      </c>
      <c r="R341" s="185">
        <f ca="1">R337*Параметры!R$91</f>
        <v>39240.992484845789</v>
      </c>
      <c r="S341" s="185">
        <f ca="1">S337*Параметры!S$91</f>
        <v>39432.000000000022</v>
      </c>
      <c r="T341" s="185">
        <f ca="1">T337*Параметры!T$91</f>
        <v>39623.937253892625</v>
      </c>
      <c r="U341" s="185">
        <f ca="1">U337*Параметры!U$91</f>
        <v>39816.80877207392</v>
      </c>
      <c r="V341" s="185">
        <f ca="1">V337*Параметры!V$91</f>
        <v>40010.61910212259</v>
      </c>
      <c r="W341" s="185">
        <f ca="1">W337*Параметры!W$91</f>
        <v>40205.372813752852</v>
      </c>
      <c r="X341" s="185">
        <f ca="1">X337*Параметры!X$91</f>
        <v>40401.074498922258</v>
      </c>
      <c r="Y341" s="185">
        <f ca="1">Y337*Параметры!Y$91</f>
        <v>40597.728771939954</v>
      </c>
      <c r="Z341" s="185">
        <f ca="1">Z337*Параметры!Z$91</f>
        <v>40795.340269575463</v>
      </c>
      <c r="AA341" s="185">
        <f ca="1">AA337*Параметры!AA$91</f>
        <v>40993.913651167997</v>
      </c>
      <c r="AB341" s="185">
        <f ca="1">AB337*Параметры!AB$91</f>
        <v>41193.453598736363</v>
      </c>
      <c r="AC341" s="185">
        <f ca="1">AC337*Параметры!AC$91</f>
        <v>41393.964817089327</v>
      </c>
      <c r="AD341" s="185">
        <f ca="1">AD337*Параметры!AD$91</f>
        <v>41595.452033936541</v>
      </c>
      <c r="AE341" s="185">
        <f ca="1">AE337*Параметры!AE$91</f>
        <v>41797.920000000027</v>
      </c>
      <c r="AF341" s="185">
        <f ca="1">AF337*Параметры!AF$91</f>
        <v>42001.373489126185</v>
      </c>
      <c r="AG341" s="185">
        <f ca="1">AG337*Параметры!AG$91</f>
        <v>42205.817298398368</v>
      </c>
      <c r="AH341" s="185">
        <f ca="1">AH337*Параметры!AH$91</f>
        <v>42411.256248249956</v>
      </c>
      <c r="AI341" s="185">
        <f ca="1">AI337*Параметры!AI$91</f>
        <v>42617.695182578027</v>
      </c>
      <c r="AJ341" s="185">
        <f ca="1">AJ337*Параметры!AJ$91</f>
        <v>42825.138968857609</v>
      </c>
      <c r="AK341" s="185">
        <f ca="1">AK337*Параметры!AK$91</f>
        <v>43033.592498256367</v>
      </c>
      <c r="AL341" s="185">
        <f ca="1">AL337*Параметры!AL$91</f>
        <v>43243.060685749988</v>
      </c>
      <c r="AM341" s="185">
        <f ca="1">AM337*Параметры!AM$91</f>
        <v>43453.548470238085</v>
      </c>
      <c r="AN341" s="185">
        <f ca="1">AN337*Параметры!AN$91</f>
        <v>43665.060814660545</v>
      </c>
      <c r="AO341" s="185">
        <f ca="1">AO337*Параметры!AO$91</f>
        <v>43877.602706114689</v>
      </c>
      <c r="AP341" s="185">
        <f ca="1">AP337*Параметры!AP$91</f>
        <v>44091.179155972735</v>
      </c>
      <c r="AQ341" s="185">
        <f ca="1">AQ337*Параметры!AQ$91</f>
        <v>44305.79520000003</v>
      </c>
      <c r="AR341" s="185">
        <f ca="1">AR337*Параметры!AR$91</f>
        <v>44521.45589847376</v>
      </c>
      <c r="AS341" s="185">
        <f ca="1">AS337*Параметры!AS$91</f>
        <v>44738.166336302274</v>
      </c>
      <c r="AT341" s="185">
        <f ca="1">AT337*Параметры!AT$91</f>
        <v>44955.931623144948</v>
      </c>
      <c r="AU341" s="185">
        <f ca="1">AU337*Параметры!AU$91</f>
        <v>45174.756893532714</v>
      </c>
      <c r="AV341" s="185">
        <f ca="1">AV337*Параметры!AV$91</f>
        <v>45394.647306989064</v>
      </c>
      <c r="AW341" s="185">
        <f ca="1">AW337*Параметры!AW$91</f>
        <v>45615.608048151749</v>
      </c>
      <c r="AX341" s="185">
        <f ca="1">AX337*Параметры!AX$91</f>
        <v>45837.644326894995</v>
      </c>
      <c r="AY341" s="185">
        <f ca="1">AY337*Параметры!AY$91</f>
        <v>46060.761378452371</v>
      </c>
      <c r="AZ341" s="185">
        <f ca="1">AZ337*Параметры!AZ$91</f>
        <v>46284.964463540193</v>
      </c>
      <c r="BA341" s="185">
        <f ca="1">BA337*Параметры!BA$91</f>
        <v>46510.258868481578</v>
      </c>
      <c r="BB341" s="185">
        <f ca="1">BB337*Параметры!BB$91</f>
        <v>46736.649905331105</v>
      </c>
      <c r="BC341" s="185"/>
      <c r="BD341" s="193">
        <f ca="1">SUM(G341:BC341)</f>
        <v>1780032.6203530144</v>
      </c>
    </row>
    <row r="342" spans="1:56" s="173" customFormat="1" hidden="1" outlineLevel="1" x14ac:dyDescent="0.3">
      <c r="A342" s="181" t="str">
        <f ca="1">Language!A$1513</f>
        <v>затраты на персонал, с соц. взносами</v>
      </c>
      <c r="B342" s="205"/>
      <c r="C342" s="176" t="str">
        <f ca="1">CHOOSE(D342,CurName1,CurName2,CurName3)</f>
        <v>руб.</v>
      </c>
      <c r="D342" s="174">
        <f>D334</f>
        <v>1</v>
      </c>
      <c r="E342" s="170" t="s">
        <v>2312</v>
      </c>
      <c r="F342" s="170" t="s">
        <v>740</v>
      </c>
      <c r="G342" s="182">
        <f ca="1">G337+G341</f>
        <v>0</v>
      </c>
      <c r="H342" s="182">
        <f t="shared" ref="H342:BB342" ca="1" si="1644">H337+H341</f>
        <v>0</v>
      </c>
      <c r="I342" s="182">
        <f t="shared" ca="1" si="1644"/>
        <v>0</v>
      </c>
      <c r="J342" s="182">
        <f t="shared" ca="1" si="1644"/>
        <v>0</v>
      </c>
      <c r="K342" s="182">
        <f t="shared" ca="1" si="1644"/>
        <v>0</v>
      </c>
      <c r="L342" s="182">
        <f t="shared" ca="1" si="1644"/>
        <v>0</v>
      </c>
      <c r="M342" s="182">
        <f t="shared" ca="1" si="1644"/>
        <v>161847.3058163157</v>
      </c>
      <c r="N342" s="182">
        <f t="shared" ca="1" si="1644"/>
        <v>162635.10576124117</v>
      </c>
      <c r="O342" s="182">
        <f t="shared" ca="1" si="1644"/>
        <v>163426.74036223389</v>
      </c>
      <c r="P342" s="182">
        <f t="shared" ca="1" si="1644"/>
        <v>164222.22828467627</v>
      </c>
      <c r="Q342" s="182">
        <f t="shared" ca="1" si="1644"/>
        <v>165021.58828480524</v>
      </c>
      <c r="R342" s="182">
        <f t="shared" ca="1" si="1644"/>
        <v>165824.83921015475</v>
      </c>
      <c r="S342" s="182">
        <f t="shared" ca="1" si="1644"/>
        <v>166632.00000000006</v>
      </c>
      <c r="T342" s="182">
        <f t="shared" ca="1" si="1644"/>
        <v>167443.0896858043</v>
      </c>
      <c r="U342" s="182">
        <f t="shared" ca="1" si="1644"/>
        <v>168258.12739166719</v>
      </c>
      <c r="V342" s="182">
        <f t="shared" ca="1" si="1644"/>
        <v>169077.13233477608</v>
      </c>
      <c r="W342" s="182">
        <f t="shared" ca="1" si="1644"/>
        <v>169900.12382585881</v>
      </c>
      <c r="X342" s="182">
        <f t="shared" ca="1" si="1644"/>
        <v>170727.1212696392</v>
      </c>
      <c r="Y342" s="182">
        <f t="shared" ca="1" si="1644"/>
        <v>171558.14416529462</v>
      </c>
      <c r="Z342" s="182">
        <f t="shared" ca="1" si="1644"/>
        <v>172393.21210691566</v>
      </c>
      <c r="AA342" s="182">
        <f t="shared" ca="1" si="1644"/>
        <v>173232.34478396797</v>
      </c>
      <c r="AB342" s="182">
        <f t="shared" ca="1" si="1644"/>
        <v>174075.56198175688</v>
      </c>
      <c r="AC342" s="182">
        <f t="shared" ca="1" si="1644"/>
        <v>174922.88358189358</v>
      </c>
      <c r="AD342" s="182">
        <f t="shared" ca="1" si="1644"/>
        <v>175774.32956276406</v>
      </c>
      <c r="AE342" s="182">
        <f t="shared" ca="1" si="1644"/>
        <v>176629.9200000001</v>
      </c>
      <c r="AF342" s="182">
        <f t="shared" ca="1" si="1644"/>
        <v>177489.67506695256</v>
      </c>
      <c r="AG342" s="182">
        <f t="shared" ca="1" si="1644"/>
        <v>178353.61503516725</v>
      </c>
      <c r="AH342" s="182">
        <f t="shared" ca="1" si="1644"/>
        <v>179221.7602748627</v>
      </c>
      <c r="AI342" s="182">
        <f t="shared" ca="1" si="1644"/>
        <v>180094.13125541035</v>
      </c>
      <c r="AJ342" s="182">
        <f t="shared" ca="1" si="1644"/>
        <v>180970.74854581762</v>
      </c>
      <c r="AK342" s="182">
        <f t="shared" ca="1" si="1644"/>
        <v>181851.63281521236</v>
      </c>
      <c r="AL342" s="182">
        <f t="shared" ca="1" si="1644"/>
        <v>182736.80483333056</v>
      </c>
      <c r="AM342" s="182">
        <f t="shared" ca="1" si="1644"/>
        <v>183626.28547100606</v>
      </c>
      <c r="AN342" s="182">
        <f t="shared" ca="1" si="1644"/>
        <v>184520.09570066226</v>
      </c>
      <c r="AO342" s="182">
        <f t="shared" ca="1" si="1644"/>
        <v>185418.25659680722</v>
      </c>
      <c r="AP342" s="182">
        <f t="shared" ca="1" si="1644"/>
        <v>186320.78933652991</v>
      </c>
      <c r="AQ342" s="182">
        <f t="shared" ca="1" si="1644"/>
        <v>187227.71520000009</v>
      </c>
      <c r="AR342" s="182">
        <f t="shared" ca="1" si="1644"/>
        <v>188139.05557096974</v>
      </c>
      <c r="AS342" s="182">
        <f t="shared" ca="1" si="1644"/>
        <v>189054.83193727731</v>
      </c>
      <c r="AT342" s="182">
        <f t="shared" ca="1" si="1644"/>
        <v>189975.06589135443</v>
      </c>
      <c r="AU342" s="182">
        <f t="shared" ca="1" si="1644"/>
        <v>190899.77913073497</v>
      </c>
      <c r="AV342" s="182">
        <f t="shared" ca="1" si="1644"/>
        <v>191828.99345856666</v>
      </c>
      <c r="AW342" s="182">
        <f t="shared" ca="1" si="1644"/>
        <v>192762.7307841251</v>
      </c>
      <c r="AX342" s="182">
        <f t="shared" ca="1" si="1644"/>
        <v>193701.01312333043</v>
      </c>
      <c r="AY342" s="182">
        <f t="shared" ca="1" si="1644"/>
        <v>194643.86259926646</v>
      </c>
      <c r="AZ342" s="182">
        <f t="shared" ca="1" si="1644"/>
        <v>195591.30144270207</v>
      </c>
      <c r="BA342" s="182">
        <f t="shared" ca="1" si="1644"/>
        <v>196543.35199261567</v>
      </c>
      <c r="BB342" s="182">
        <f t="shared" ca="1" si="1644"/>
        <v>197500.03669672174</v>
      </c>
      <c r="BC342" s="182"/>
      <c r="BD342" s="183">
        <f ca="1">SUM(G342:BC342)</f>
        <v>7522073.331169188</v>
      </c>
    </row>
    <row r="343" spans="1:56" x14ac:dyDescent="0.3">
      <c r="A343" s="377" t="s">
        <v>3518</v>
      </c>
      <c r="B343" s="205"/>
      <c r="C343" s="176"/>
      <c r="D343" s="174">
        <v>1</v>
      </c>
      <c r="F343" s="170" t="s">
        <v>3519</v>
      </c>
      <c r="G343" s="206"/>
      <c r="H343" s="206"/>
      <c r="I343" s="206"/>
      <c r="J343" s="206"/>
      <c r="K343" s="206"/>
      <c r="L343" s="206"/>
      <c r="M343" s="206"/>
      <c r="N343" s="206"/>
      <c r="O343" s="206"/>
      <c r="P343" s="206"/>
      <c r="Q343" s="206"/>
      <c r="R343" s="206"/>
      <c r="S343" s="206"/>
      <c r="T343" s="206"/>
      <c r="U343" s="206"/>
      <c r="V343" s="206"/>
      <c r="W343" s="206"/>
      <c r="X343" s="206"/>
      <c r="Y343" s="206"/>
      <c r="Z343" s="206"/>
      <c r="AA343" s="206"/>
      <c r="AB343" s="206"/>
      <c r="AC343" s="206"/>
      <c r="AD343" s="206"/>
      <c r="AE343" s="206"/>
      <c r="AF343" s="206"/>
      <c r="AG343" s="206"/>
      <c r="AH343" s="206"/>
      <c r="AI343" s="206"/>
      <c r="AJ343" s="206"/>
      <c r="AK343" s="206"/>
      <c r="AL343" s="206"/>
      <c r="AM343" s="206"/>
      <c r="AN343" s="206"/>
      <c r="AO343" s="206"/>
      <c r="AP343" s="206"/>
      <c r="AQ343" s="206"/>
      <c r="AR343" s="206"/>
      <c r="AS343" s="206"/>
      <c r="AT343" s="206"/>
      <c r="AU343" s="206"/>
      <c r="AV343" s="206"/>
      <c r="AW343" s="206"/>
      <c r="AX343" s="206"/>
      <c r="AY343" s="206"/>
      <c r="AZ343" s="206"/>
      <c r="BA343" s="206"/>
      <c r="BB343" s="206"/>
      <c r="BC343" s="206"/>
    </row>
    <row r="344" spans="1:56" x14ac:dyDescent="0.3">
      <c r="A344" s="175" t="str">
        <f ca="1">Language!A$701</f>
        <v>численность</v>
      </c>
      <c r="B344" s="295">
        <v>6</v>
      </c>
      <c r="C344" s="176" t="str">
        <f ca="1">Language!$A$1483</f>
        <v>человек</v>
      </c>
      <c r="D344" s="174"/>
      <c r="E344" s="170" t="s">
        <v>843</v>
      </c>
      <c r="F344" s="170" t="s">
        <v>745</v>
      </c>
      <c r="G344" s="296">
        <f t="shared" ref="G344:BB344" si="1645">IF(G$2&gt;Prj_Invest, $B344, 0)</f>
        <v>0</v>
      </c>
      <c r="H344" s="296">
        <f t="shared" si="1645"/>
        <v>0</v>
      </c>
      <c r="I344" s="296">
        <f t="shared" si="1645"/>
        <v>0</v>
      </c>
      <c r="J344" s="296">
        <f t="shared" si="1645"/>
        <v>0</v>
      </c>
      <c r="K344" s="296">
        <f t="shared" si="1645"/>
        <v>0</v>
      </c>
      <c r="L344" s="296">
        <f t="shared" si="1645"/>
        <v>0</v>
      </c>
      <c r="M344" s="296">
        <f t="shared" si="1645"/>
        <v>6</v>
      </c>
      <c r="N344" s="296">
        <f t="shared" si="1645"/>
        <v>6</v>
      </c>
      <c r="O344" s="296">
        <f t="shared" si="1645"/>
        <v>6</v>
      </c>
      <c r="P344" s="296">
        <f t="shared" si="1645"/>
        <v>6</v>
      </c>
      <c r="Q344" s="296">
        <f t="shared" si="1645"/>
        <v>6</v>
      </c>
      <c r="R344" s="296">
        <f t="shared" si="1645"/>
        <v>6</v>
      </c>
      <c r="S344" s="296">
        <f t="shared" si="1645"/>
        <v>6</v>
      </c>
      <c r="T344" s="296">
        <f t="shared" si="1645"/>
        <v>6</v>
      </c>
      <c r="U344" s="296">
        <f t="shared" si="1645"/>
        <v>6</v>
      </c>
      <c r="V344" s="296">
        <f t="shared" si="1645"/>
        <v>6</v>
      </c>
      <c r="W344" s="296">
        <f t="shared" si="1645"/>
        <v>6</v>
      </c>
      <c r="X344" s="296">
        <f t="shared" si="1645"/>
        <v>6</v>
      </c>
      <c r="Y344" s="296">
        <f t="shared" si="1645"/>
        <v>6</v>
      </c>
      <c r="Z344" s="296">
        <f t="shared" si="1645"/>
        <v>6</v>
      </c>
      <c r="AA344" s="296">
        <f t="shared" si="1645"/>
        <v>6</v>
      </c>
      <c r="AB344" s="296">
        <f t="shared" si="1645"/>
        <v>6</v>
      </c>
      <c r="AC344" s="296">
        <f t="shared" si="1645"/>
        <v>6</v>
      </c>
      <c r="AD344" s="296">
        <f t="shared" si="1645"/>
        <v>6</v>
      </c>
      <c r="AE344" s="296">
        <f t="shared" si="1645"/>
        <v>6</v>
      </c>
      <c r="AF344" s="296">
        <f t="shared" si="1645"/>
        <v>6</v>
      </c>
      <c r="AG344" s="296">
        <f t="shared" si="1645"/>
        <v>6</v>
      </c>
      <c r="AH344" s="296">
        <f t="shared" si="1645"/>
        <v>6</v>
      </c>
      <c r="AI344" s="296">
        <f t="shared" si="1645"/>
        <v>6</v>
      </c>
      <c r="AJ344" s="296">
        <f t="shared" si="1645"/>
        <v>6</v>
      </c>
      <c r="AK344" s="296">
        <f t="shared" si="1645"/>
        <v>6</v>
      </c>
      <c r="AL344" s="296">
        <f t="shared" si="1645"/>
        <v>6</v>
      </c>
      <c r="AM344" s="296">
        <f t="shared" si="1645"/>
        <v>6</v>
      </c>
      <c r="AN344" s="296">
        <f t="shared" si="1645"/>
        <v>6</v>
      </c>
      <c r="AO344" s="296">
        <f t="shared" si="1645"/>
        <v>6</v>
      </c>
      <c r="AP344" s="296">
        <f t="shared" si="1645"/>
        <v>6</v>
      </c>
      <c r="AQ344" s="296">
        <f t="shared" si="1645"/>
        <v>6</v>
      </c>
      <c r="AR344" s="296">
        <f t="shared" si="1645"/>
        <v>6</v>
      </c>
      <c r="AS344" s="296">
        <f t="shared" si="1645"/>
        <v>6</v>
      </c>
      <c r="AT344" s="296">
        <f t="shared" si="1645"/>
        <v>6</v>
      </c>
      <c r="AU344" s="296">
        <f t="shared" si="1645"/>
        <v>6</v>
      </c>
      <c r="AV344" s="296">
        <f t="shared" si="1645"/>
        <v>6</v>
      </c>
      <c r="AW344" s="296">
        <f t="shared" si="1645"/>
        <v>6</v>
      </c>
      <c r="AX344" s="296">
        <f t="shared" si="1645"/>
        <v>6</v>
      </c>
      <c r="AY344" s="296">
        <f t="shared" si="1645"/>
        <v>6</v>
      </c>
      <c r="AZ344" s="296">
        <f t="shared" si="1645"/>
        <v>6</v>
      </c>
      <c r="BA344" s="296">
        <f t="shared" si="1645"/>
        <v>6</v>
      </c>
      <c r="BB344" s="296">
        <f t="shared" si="1645"/>
        <v>6</v>
      </c>
      <c r="BC344" s="202"/>
    </row>
    <row r="345" spans="1:56" x14ac:dyDescent="0.3">
      <c r="A345" s="175" t="str">
        <f ca="1">Language!A$702</f>
        <v>средний оклад, в месяц</v>
      </c>
      <c r="B345" s="284">
        <v>35000</v>
      </c>
      <c r="C345" s="176" t="str">
        <f ca="1">CHOOSE(D343,CurName1,CurName2,CurName3)</f>
        <v>руб.</v>
      </c>
      <c r="E345" s="170" t="s">
        <v>844</v>
      </c>
      <c r="F345" s="170" t="s">
        <v>2346</v>
      </c>
      <c r="G345" s="285">
        <f t="shared" ref="G345" ca="1" si="1646">IF(G$2=1,$B345,F345)*IF($B349=1,G349,G348)</f>
        <v>35000</v>
      </c>
      <c r="H345" s="285">
        <f t="shared" ref="H345" ca="1" si="1647">IF(H$2=1,$B345,G345)*IF($B349=1,H349,H348)</f>
        <v>35170.364269787009</v>
      </c>
      <c r="I345" s="285">
        <f t="shared" ref="I345" ca="1" si="1648">IF(I$2=1,$B345,H345)*IF($B349=1,I349,I348)</f>
        <v>35341.557796271729</v>
      </c>
      <c r="J345" s="285">
        <f t="shared" ref="J345" ca="1" si="1649">IF(J$2=1,$B345,I345)*IF($B349=1,J349,J348)</f>
        <v>35513.584615903077</v>
      </c>
      <c r="K345" s="285">
        <f t="shared" ref="K345" ca="1" si="1650">IF(K$2=1,$B345,J345)*IF($B349=1,K349,K348)</f>
        <v>35686.448784777574</v>
      </c>
      <c r="L345" s="285">
        <f t="shared" ref="L345" ca="1" si="1651">IF(L$2=1,$B345,K345)*IF($B349=1,L349,L348)</f>
        <v>35860.154378735002</v>
      </c>
      <c r="M345" s="285">
        <f t="shared" ref="M345" ca="1" si="1652">IF(M$2=1,$B345,L345)*IF($B349=1,M349,M348)</f>
        <v>36034.705493454501</v>
      </c>
      <c r="N345" s="285">
        <f t="shared" ref="N345" ca="1" si="1653">IF(N$2=1,$B345,M345)*IF($B349=1,N349,N348)</f>
        <v>36210.106244551134</v>
      </c>
      <c r="O345" s="285">
        <f t="shared" ref="O345" ca="1" si="1654">IF(O$2=1,$B345,N345)*IF($B349=1,O349,O348)</f>
        <v>36386.36076767293</v>
      </c>
      <c r="P345" s="285">
        <f t="shared" ref="P345" ca="1" si="1655">IF(P$2=1,$B345,O345)*IF($B349=1,P349,P348)</f>
        <v>36563.473218598396</v>
      </c>
      <c r="Q345" s="285">
        <f t="shared" ref="Q345" ca="1" si="1656">IF(Q$2=1,$B345,P345)*IF($B349=1,Q349,Q348)</f>
        <v>36741.44777333449</v>
      </c>
      <c r="R345" s="285">
        <f t="shared" ref="R345" ca="1" si="1657">IF(R$2=1,$B345,Q345)*IF($B349=1,R349,R348)</f>
        <v>36920.288628215108</v>
      </c>
      <c r="S345" s="285">
        <f t="shared" ref="S345" ca="1" si="1658">IF(S$2=1,$B345,R345)*IF($B349=1,S349,S348)</f>
        <v>37100.000000000007</v>
      </c>
      <c r="T345" s="285">
        <f t="shared" ref="T345" ca="1" si="1659">IF(T$2=1,$B345,S345)*IF($B349=1,T349,T348)</f>
        <v>37280.586125974238</v>
      </c>
      <c r="U345" s="285">
        <f t="shared" ref="U345" ca="1" si="1660">IF(U$2=1,$B345,T345)*IF($B349=1,U349,U348)</f>
        <v>37462.051264048045</v>
      </c>
      <c r="V345" s="285">
        <f t="shared" ref="V345" ca="1" si="1661">IF(V$2=1,$B345,U345)*IF($B349=1,V349,V348)</f>
        <v>37644.399692857274</v>
      </c>
      <c r="W345" s="285">
        <f t="shared" ref="W345" ca="1" si="1662">IF(W$2=1,$B345,V345)*IF($B349=1,W349,W348)</f>
        <v>37827.635711864241</v>
      </c>
      <c r="X345" s="285">
        <f t="shared" ref="X345" ca="1" si="1663">IF(X$2=1,$B345,W345)*IF($B349=1,X349,X348)</f>
        <v>38011.763641459118</v>
      </c>
      <c r="Y345" s="285">
        <f t="shared" ref="Y345" ca="1" si="1664">IF(Y$2=1,$B345,X345)*IF($B349=1,Y349,Y348)</f>
        <v>38196.787823061786</v>
      </c>
      <c r="Z345" s="285">
        <f t="shared" ref="Z345" ca="1" si="1665">IF(Z$2=1,$B345,Y345)*IF($B349=1,Z349,Z348)</f>
        <v>38382.712619224221</v>
      </c>
      <c r="AA345" s="285">
        <f t="shared" ref="AA345" ca="1" si="1666">IF(AA$2=1,$B345,Z345)*IF($B349=1,AA349,AA348)</f>
        <v>38569.542413733325</v>
      </c>
      <c r="AB345" s="285">
        <f t="shared" ref="AB345" ca="1" si="1667">IF(AB$2=1,$B345,AA345)*IF($B349=1,AB349,AB348)</f>
        <v>38757.281611714316</v>
      </c>
      <c r="AC345" s="285">
        <f t="shared" ref="AC345" ca="1" si="1668">IF(AC$2=1,$B345,AB345)*IF($B349=1,AC349,AC348)</f>
        <v>38945.934639734573</v>
      </c>
      <c r="AD345" s="285">
        <f t="shared" ref="AD345" ca="1" si="1669">IF(AD$2=1,$B345,AC345)*IF($B349=1,AD349,AD348)</f>
        <v>39135.505945908029</v>
      </c>
      <c r="AE345" s="285">
        <f t="shared" ref="AE345" ca="1" si="1670">IF(AE$2=1,$B345,AD345)*IF($B349=1,AE349,AE348)</f>
        <v>39326.000000000022</v>
      </c>
      <c r="AF345" s="285">
        <f t="shared" ref="AF345" ca="1" si="1671">IF(AF$2=1,$B345,AE345)*IF($B349=1,AF349,AF348)</f>
        <v>39517.421293532701</v>
      </c>
      <c r="AG345" s="285">
        <f t="shared" ref="AG345" ca="1" si="1672">IF(AG$2=1,$B345,AF345)*IF($B349=1,AG349,AG348)</f>
        <v>39709.774339890937</v>
      </c>
      <c r="AH345" s="285">
        <f t="shared" ref="AH345" ca="1" si="1673">IF(AH$2=1,$B345,AG345)*IF($B349=1,AH349,AH348)</f>
        <v>39903.063674428719</v>
      </c>
      <c r="AI345" s="285">
        <f t="shared" ref="AI345" ca="1" si="1674">IF(AI$2=1,$B345,AH345)*IF($B349=1,AI349,AI348)</f>
        <v>40097.293854576106</v>
      </c>
      <c r="AJ345" s="285">
        <f t="shared" ref="AJ345" ca="1" si="1675">IF(AJ$2=1,$B345,AI345)*IF($B349=1,AJ349,AJ348)</f>
        <v>40292.469459946675</v>
      </c>
      <c r="AK345" s="285">
        <f t="shared" ref="AK345" ca="1" si="1676">IF(AK$2=1,$B345,AJ345)*IF($B349=1,AK349,AK348)</f>
        <v>40488.595092445503</v>
      </c>
      <c r="AL345" s="285">
        <f t="shared" ref="AL345" ca="1" si="1677">IF(AL$2=1,$B345,AK345)*IF($B349=1,AL349,AL348)</f>
        <v>40685.67537637768</v>
      </c>
      <c r="AM345" s="285">
        <f t="shared" ref="AM345" ca="1" si="1678">IF(AM$2=1,$B345,AL345)*IF($B349=1,AM349,AM348)</f>
        <v>40883.714958557328</v>
      </c>
      <c r="AN345" s="285">
        <f t="shared" ref="AN345" ca="1" si="1679">IF(AN$2=1,$B345,AM345)*IF($B349=1,AN349,AN348)</f>
        <v>41082.71850841718</v>
      </c>
      <c r="AO345" s="285">
        <f t="shared" ref="AO345" ca="1" si="1680">IF(AO$2=1,$B345,AN345)*IF($B349=1,AO349,AO348)</f>
        <v>41282.690718118654</v>
      </c>
      <c r="AP345" s="285">
        <f t="shared" ref="AP345" ca="1" si="1681">IF(AP$2=1,$B345,AO345)*IF($B349=1,AP349,AP348)</f>
        <v>41483.636302662519</v>
      </c>
      <c r="AQ345" s="285">
        <f t="shared" ref="AQ345" ca="1" si="1682">IF(AQ$2=1,$B345,AP345)*IF($B349=1,AQ349,AQ348)</f>
        <v>41685.560000000027</v>
      </c>
      <c r="AR345" s="285">
        <f t="shared" ref="AR345" ca="1" si="1683">IF(AR$2=1,$B345,AQ345)*IF($B349=1,AR349,AR348)</f>
        <v>41888.466571144665</v>
      </c>
      <c r="AS345" s="285">
        <f t="shared" ref="AS345" ca="1" si="1684">IF(AS$2=1,$B345,AR345)*IF($B349=1,AS349,AS348)</f>
        <v>42092.36080028439</v>
      </c>
      <c r="AT345" s="285">
        <f t="shared" ref="AT345" ca="1" si="1685">IF(AT$2=1,$B345,AS345)*IF($B349=1,AT349,AT348)</f>
        <v>42297.247494894436</v>
      </c>
      <c r="AU345" s="285">
        <f t="shared" ref="AU345" ca="1" si="1686">IF(AU$2=1,$B345,AT345)*IF($B349=1,AU349,AU348)</f>
        <v>42503.131485850667</v>
      </c>
      <c r="AV345" s="285">
        <f t="shared" ref="AV345" ca="1" si="1687">IF(AV$2=1,$B345,AU345)*IF($B349=1,AV349,AV348)</f>
        <v>42710.017627543471</v>
      </c>
      <c r="AW345" s="285">
        <f t="shared" ref="AW345" ca="1" si="1688">IF(AW$2=1,$B345,AV345)*IF($B349=1,AW349,AW348)</f>
        <v>42917.910797992234</v>
      </c>
      <c r="AX345" s="285">
        <f t="shared" ref="AX345" ca="1" si="1689">IF(AX$2=1,$B345,AW345)*IF($B349=1,AX349,AX348)</f>
        <v>43126.81589896034</v>
      </c>
      <c r="AY345" s="285">
        <f t="shared" ref="AY345" ca="1" si="1690">IF(AY$2=1,$B345,AX345)*IF($B349=1,AY349,AY348)</f>
        <v>43336.737856070773</v>
      </c>
      <c r="AZ345" s="285">
        <f t="shared" ref="AZ345" ca="1" si="1691">IF(AZ$2=1,$B345,AY345)*IF($B349=1,AZ349,AZ348)</f>
        <v>43547.681618922215</v>
      </c>
      <c r="BA345" s="285">
        <f t="shared" ref="BA345" ca="1" si="1692">IF(BA$2=1,$B345,AZ345)*IF($B349=1,BA349,BA348)</f>
        <v>43759.652161205777</v>
      </c>
      <c r="BB345" s="285">
        <f t="shared" ref="BB345" ca="1" si="1693">IF(BB$2=1,$B345,BA345)*IF($B349=1,BB349,BB348)</f>
        <v>43972.654480822268</v>
      </c>
      <c r="BC345" s="177"/>
    </row>
    <row r="346" spans="1:56" collapsed="1" x14ac:dyDescent="0.3">
      <c r="A346" s="175" t="str">
        <f ca="1">Language!A$703</f>
        <v>заработная плата</v>
      </c>
      <c r="B346" s="205" t="str">
        <f ca="1">Language!$A$1479</f>
        <v>за период</v>
      </c>
      <c r="C346" s="176" t="str">
        <f t="shared" ref="C346" ca="1" si="1694">CHOOSE(D346,CurName1,CurName2,CurName3)</f>
        <v>руб.</v>
      </c>
      <c r="D346" s="174">
        <f>D343</f>
        <v>1</v>
      </c>
      <c r="E346" s="170" t="s">
        <v>784</v>
      </c>
      <c r="F346" s="170" t="s">
        <v>740</v>
      </c>
      <c r="G346" s="177">
        <f ca="1">G344*G345*Параметры!G$31</f>
        <v>0</v>
      </c>
      <c r="H346" s="177">
        <f ca="1">H344*H345*Параметры!H$31</f>
        <v>0</v>
      </c>
      <c r="I346" s="177">
        <f ca="1">I344*I345*Параметры!I$31</f>
        <v>0</v>
      </c>
      <c r="J346" s="177">
        <f ca="1">J344*J345*Параметры!J$31</f>
        <v>0</v>
      </c>
      <c r="K346" s="177">
        <f ca="1">K344*K345*Параметры!K$31</f>
        <v>0</v>
      </c>
      <c r="L346" s="177">
        <f ca="1">L344*L345*Параметры!L$31</f>
        <v>0</v>
      </c>
      <c r="M346" s="177">
        <f ca="1">M344*M345*Параметры!M$31</f>
        <v>216208.23296072701</v>
      </c>
      <c r="N346" s="177">
        <f ca="1">N344*N345*Параметры!N$31</f>
        <v>217260.63746730681</v>
      </c>
      <c r="O346" s="177">
        <f ca="1">O344*O345*Параметры!O$31</f>
        <v>218318.16460603758</v>
      </c>
      <c r="P346" s="177">
        <f ca="1">P344*P345*Параметры!P$31</f>
        <v>219380.83931159036</v>
      </c>
      <c r="Q346" s="177">
        <f ca="1">Q344*Q345*Параметры!Q$31</f>
        <v>220448.68664000696</v>
      </c>
      <c r="R346" s="177">
        <f ca="1">R344*R345*Параметры!R$31</f>
        <v>221521.73176929064</v>
      </c>
      <c r="S346" s="177">
        <f ca="1">S344*S345*Параметры!S$31</f>
        <v>222600.00000000006</v>
      </c>
      <c r="T346" s="177">
        <f ca="1">T344*T345*Параметры!T$31</f>
        <v>223683.51675584543</v>
      </c>
      <c r="U346" s="177">
        <f ca="1">U344*U345*Параметры!U$31</f>
        <v>224772.30758428827</v>
      </c>
      <c r="V346" s="177">
        <f ca="1">V344*V345*Параметры!V$31</f>
        <v>225866.39815714365</v>
      </c>
      <c r="W346" s="177">
        <f ca="1">W344*W345*Параметры!W$31</f>
        <v>226965.81427118543</v>
      </c>
      <c r="X346" s="177">
        <f ca="1">X344*X345*Параметры!X$31</f>
        <v>228070.58184875472</v>
      </c>
      <c r="Y346" s="177">
        <f ca="1">Y344*Y345*Параметры!Y$31</f>
        <v>229180.72693837073</v>
      </c>
      <c r="Z346" s="177">
        <f ca="1">Z344*Z345*Параметры!Z$31</f>
        <v>230296.27571534534</v>
      </c>
      <c r="AA346" s="177">
        <f ca="1">AA344*AA345*Параметры!AA$31</f>
        <v>231417.25448239996</v>
      </c>
      <c r="AB346" s="177">
        <f ca="1">AB344*AB345*Параметры!AB$31</f>
        <v>232543.68967028591</v>
      </c>
      <c r="AC346" s="177">
        <f ca="1">AC344*AC345*Параметры!AC$31</f>
        <v>233675.60783840745</v>
      </c>
      <c r="AD346" s="177">
        <f ca="1">AD344*AD345*Параметры!AD$31</f>
        <v>234813.03567544819</v>
      </c>
      <c r="AE346" s="177">
        <f ca="1">AE344*AE345*Параметры!AE$31</f>
        <v>235956.00000000012</v>
      </c>
      <c r="AF346" s="177">
        <f ca="1">AF344*AF345*Параметры!AF$31</f>
        <v>237104.52776119619</v>
      </c>
      <c r="AG346" s="177">
        <f ca="1">AG344*AG345*Параметры!AG$31</f>
        <v>238258.64603934562</v>
      </c>
      <c r="AH346" s="177">
        <f ca="1">AH344*AH345*Параметры!AH$31</f>
        <v>239418.38204657231</v>
      </c>
      <c r="AI346" s="177">
        <f ca="1">AI344*AI345*Параметры!AI$31</f>
        <v>240583.76312745665</v>
      </c>
      <c r="AJ346" s="177">
        <f ca="1">AJ344*AJ345*Параметры!AJ$31</f>
        <v>241754.81675968005</v>
      </c>
      <c r="AK346" s="177">
        <f ca="1">AK344*AK345*Параметры!AK$31</f>
        <v>242931.57055467303</v>
      </c>
      <c r="AL346" s="177">
        <f ca="1">AL344*AL345*Параметры!AL$31</f>
        <v>244114.05225826608</v>
      </c>
      <c r="AM346" s="177">
        <f ca="1">AM344*AM345*Параметры!AM$31</f>
        <v>245302.28975134395</v>
      </c>
      <c r="AN346" s="177">
        <f ca="1">AN344*AN345*Параметры!AN$31</f>
        <v>246496.31105050308</v>
      </c>
      <c r="AO346" s="177">
        <f ca="1">AO344*AO345*Параметры!AO$31</f>
        <v>247696.14430871193</v>
      </c>
      <c r="AP346" s="177">
        <f ca="1">AP344*AP345*Параметры!AP$31</f>
        <v>248901.81781597511</v>
      </c>
      <c r="AQ346" s="177">
        <f ca="1">AQ344*AQ345*Параметры!AQ$31</f>
        <v>250113.36000000016</v>
      </c>
      <c r="AR346" s="177">
        <f ca="1">AR344*AR345*Параметры!AR$31</f>
        <v>251330.79942686798</v>
      </c>
      <c r="AS346" s="177">
        <f ca="1">AS344*AS345*Параметры!AS$31</f>
        <v>252554.16480170633</v>
      </c>
      <c r="AT346" s="177">
        <f ca="1">AT344*AT345*Параметры!AT$31</f>
        <v>253783.48496936663</v>
      </c>
      <c r="AU346" s="177">
        <f ca="1">AU344*AU345*Параметры!AU$31</f>
        <v>255018.788915104</v>
      </c>
      <c r="AV346" s="177">
        <f ca="1">AV344*AV345*Параметры!AV$31</f>
        <v>256260.10576526081</v>
      </c>
      <c r="AW346" s="177">
        <f ca="1">AW344*AW345*Параметры!AW$31</f>
        <v>257507.46478795342</v>
      </c>
      <c r="AX346" s="177">
        <f ca="1">AX344*AX345*Параметры!AX$31</f>
        <v>258760.89539376204</v>
      </c>
      <c r="AY346" s="177">
        <f ca="1">AY344*AY345*Параметры!AY$31</f>
        <v>260020.42713642464</v>
      </c>
      <c r="AZ346" s="177">
        <f ca="1">AZ344*AZ345*Параметры!AZ$31</f>
        <v>261286.08971353329</v>
      </c>
      <c r="BA346" s="177">
        <f ca="1">BA344*BA345*Параметры!BA$31</f>
        <v>262557.91296723468</v>
      </c>
      <c r="BB346" s="177">
        <f ca="1">BB344*BB345*Параметры!BB$31</f>
        <v>263835.92688493361</v>
      </c>
      <c r="BC346" s="177"/>
      <c r="BD346" s="178">
        <f ca="1">SUM(G346:BC346)</f>
        <v>10048571.243928308</v>
      </c>
    </row>
    <row r="347" spans="1:56" hidden="1" outlineLevel="1" x14ac:dyDescent="0.3">
      <c r="A347" s="184" t="str">
        <f ca="1">Language!A$705</f>
        <v>темп изменения цен</v>
      </c>
      <c r="B347" s="189"/>
      <c r="C347" s="163" t="str">
        <f ca="1">Language!$A$480</f>
        <v>% в год</v>
      </c>
      <c r="D347" s="174"/>
      <c r="F347" s="170" t="s">
        <v>2346</v>
      </c>
      <c r="G347" s="290">
        <f>CHOOSE($D343,Параметры!G$50,Параметры!G$56,Параметры!G$62)</f>
        <v>0.06</v>
      </c>
      <c r="H347" s="290">
        <f>CHOOSE($D343,Параметры!H$50,Параметры!H$56,Параметры!H$62)</f>
        <v>0.06</v>
      </c>
      <c r="I347" s="290">
        <f>CHOOSE($D343,Параметры!I$50,Параметры!I$56,Параметры!I$62)</f>
        <v>0.06</v>
      </c>
      <c r="J347" s="290">
        <f>CHOOSE($D343,Параметры!J$50,Параметры!J$56,Параметры!J$62)</f>
        <v>0.06</v>
      </c>
      <c r="K347" s="290">
        <f>CHOOSE($D343,Параметры!K$50,Параметры!K$56,Параметры!K$62)</f>
        <v>0.06</v>
      </c>
      <c r="L347" s="290">
        <f>CHOOSE($D343,Параметры!L$50,Параметры!L$56,Параметры!L$62)</f>
        <v>0.06</v>
      </c>
      <c r="M347" s="290">
        <f>CHOOSE($D343,Параметры!M$50,Параметры!M$56,Параметры!M$62)</f>
        <v>0.06</v>
      </c>
      <c r="N347" s="290">
        <f>CHOOSE($D343,Параметры!N$50,Параметры!N$56,Параметры!N$62)</f>
        <v>0.06</v>
      </c>
      <c r="O347" s="290">
        <f>CHOOSE($D343,Параметры!O$50,Параметры!O$56,Параметры!O$62)</f>
        <v>0.06</v>
      </c>
      <c r="P347" s="290">
        <f>CHOOSE($D343,Параметры!P$50,Параметры!P$56,Параметры!P$62)</f>
        <v>0.06</v>
      </c>
      <c r="Q347" s="290">
        <f>CHOOSE($D343,Параметры!Q$50,Параметры!Q$56,Параметры!Q$62)</f>
        <v>0.06</v>
      </c>
      <c r="R347" s="290">
        <f>CHOOSE($D343,Параметры!R$50,Параметры!R$56,Параметры!R$62)</f>
        <v>0.06</v>
      </c>
      <c r="S347" s="290">
        <f>CHOOSE($D343,Параметры!S$50,Параметры!S$56,Параметры!S$62)</f>
        <v>0.06</v>
      </c>
      <c r="T347" s="290">
        <f>CHOOSE($D343,Параметры!T$50,Параметры!T$56,Параметры!T$62)</f>
        <v>0.06</v>
      </c>
      <c r="U347" s="290">
        <f>CHOOSE($D343,Параметры!U$50,Параметры!U$56,Параметры!U$62)</f>
        <v>0.06</v>
      </c>
      <c r="V347" s="290">
        <f>CHOOSE($D343,Параметры!V$50,Параметры!V$56,Параметры!V$62)</f>
        <v>0.06</v>
      </c>
      <c r="W347" s="290">
        <f>CHOOSE($D343,Параметры!W$50,Параметры!W$56,Параметры!W$62)</f>
        <v>0.06</v>
      </c>
      <c r="X347" s="290">
        <f>CHOOSE($D343,Параметры!X$50,Параметры!X$56,Параметры!X$62)</f>
        <v>0.06</v>
      </c>
      <c r="Y347" s="290">
        <f>CHOOSE($D343,Параметры!Y$50,Параметры!Y$56,Параметры!Y$62)</f>
        <v>0.06</v>
      </c>
      <c r="Z347" s="290">
        <f>CHOOSE($D343,Параметры!Z$50,Параметры!Z$56,Параметры!Z$62)</f>
        <v>0.06</v>
      </c>
      <c r="AA347" s="290">
        <f>CHOOSE($D343,Параметры!AA$50,Параметры!AA$56,Параметры!AA$62)</f>
        <v>0.06</v>
      </c>
      <c r="AB347" s="290">
        <f>CHOOSE($D343,Параметры!AB$50,Параметры!AB$56,Параметры!AB$62)</f>
        <v>0.06</v>
      </c>
      <c r="AC347" s="290">
        <f>CHOOSE($D343,Параметры!AC$50,Параметры!AC$56,Параметры!AC$62)</f>
        <v>0.06</v>
      </c>
      <c r="AD347" s="290">
        <f>CHOOSE($D343,Параметры!AD$50,Параметры!AD$56,Параметры!AD$62)</f>
        <v>0.06</v>
      </c>
      <c r="AE347" s="290">
        <f>CHOOSE($D343,Параметры!AE$50,Параметры!AE$56,Параметры!AE$62)</f>
        <v>0.06</v>
      </c>
      <c r="AF347" s="290">
        <f>CHOOSE($D343,Параметры!AF$50,Параметры!AF$56,Параметры!AF$62)</f>
        <v>0.06</v>
      </c>
      <c r="AG347" s="290">
        <f>CHOOSE($D343,Параметры!AG$50,Параметры!AG$56,Параметры!AG$62)</f>
        <v>0.06</v>
      </c>
      <c r="AH347" s="290">
        <f>CHOOSE($D343,Параметры!AH$50,Параметры!AH$56,Параметры!AH$62)</f>
        <v>0.06</v>
      </c>
      <c r="AI347" s="290">
        <f>CHOOSE($D343,Параметры!AI$50,Параметры!AI$56,Параметры!AI$62)</f>
        <v>0.06</v>
      </c>
      <c r="AJ347" s="290">
        <f>CHOOSE($D343,Параметры!AJ$50,Параметры!AJ$56,Параметры!AJ$62)</f>
        <v>0.06</v>
      </c>
      <c r="AK347" s="290">
        <f>CHOOSE($D343,Параметры!AK$50,Параметры!AK$56,Параметры!AK$62)</f>
        <v>0.06</v>
      </c>
      <c r="AL347" s="290">
        <f>CHOOSE($D343,Параметры!AL$50,Параметры!AL$56,Параметры!AL$62)</f>
        <v>0.06</v>
      </c>
      <c r="AM347" s="290">
        <f>CHOOSE($D343,Параметры!AM$50,Параметры!AM$56,Параметры!AM$62)</f>
        <v>0.06</v>
      </c>
      <c r="AN347" s="290">
        <f>CHOOSE($D343,Параметры!AN$50,Параметры!AN$56,Параметры!AN$62)</f>
        <v>0.06</v>
      </c>
      <c r="AO347" s="290">
        <f>CHOOSE($D343,Параметры!AO$50,Параметры!AO$56,Параметры!AO$62)</f>
        <v>0.06</v>
      </c>
      <c r="AP347" s="290">
        <f>CHOOSE($D343,Параметры!AP$50,Параметры!AP$56,Параметры!AP$62)</f>
        <v>0.06</v>
      </c>
      <c r="AQ347" s="290">
        <f>CHOOSE($D343,Параметры!AQ$50,Параметры!AQ$56,Параметры!AQ$62)</f>
        <v>0.06</v>
      </c>
      <c r="AR347" s="290">
        <f>CHOOSE($D343,Параметры!AR$50,Параметры!AR$56,Параметры!AR$62)</f>
        <v>0.06</v>
      </c>
      <c r="AS347" s="290">
        <f>CHOOSE($D343,Параметры!AS$50,Параметры!AS$56,Параметры!AS$62)</f>
        <v>0.06</v>
      </c>
      <c r="AT347" s="290">
        <f>CHOOSE($D343,Параметры!AT$50,Параметры!AT$56,Параметры!AT$62)</f>
        <v>0.06</v>
      </c>
      <c r="AU347" s="290">
        <f>CHOOSE($D343,Параметры!AU$50,Параметры!AU$56,Параметры!AU$62)</f>
        <v>0.06</v>
      </c>
      <c r="AV347" s="290">
        <f>CHOOSE($D343,Параметры!AV$50,Параметры!AV$56,Параметры!AV$62)</f>
        <v>0.06</v>
      </c>
      <c r="AW347" s="290">
        <f>CHOOSE($D343,Параметры!AW$50,Параметры!AW$56,Параметры!AW$62)</f>
        <v>0.06</v>
      </c>
      <c r="AX347" s="290">
        <f>CHOOSE($D343,Параметры!AX$50,Параметры!AX$56,Параметры!AX$62)</f>
        <v>0.06</v>
      </c>
      <c r="AY347" s="290">
        <f>CHOOSE($D343,Параметры!AY$50,Параметры!AY$56,Параметры!AY$62)</f>
        <v>0.06</v>
      </c>
      <c r="AZ347" s="290">
        <f>CHOOSE($D343,Параметры!AZ$50,Параметры!AZ$56,Параметры!AZ$62)</f>
        <v>0.06</v>
      </c>
      <c r="BA347" s="290">
        <f>CHOOSE($D343,Параметры!BA$50,Параметры!BA$56,Параметры!BA$62)</f>
        <v>0.06</v>
      </c>
      <c r="BB347" s="290">
        <f>CHOOSE($D343,Параметры!BB$50,Параметры!BB$56,Параметры!BB$62)</f>
        <v>0.06</v>
      </c>
      <c r="BC347" s="190"/>
      <c r="BD347" s="186"/>
    </row>
    <row r="348" spans="1:56" hidden="1" outlineLevel="1" x14ac:dyDescent="0.3">
      <c r="A348" s="184" t="str">
        <f ca="1">Language!A$675</f>
        <v>коэффициент прироста цен к предыдущему периоду</v>
      </c>
      <c r="B348" s="189"/>
      <c r="C348" s="163" t="str">
        <f ca="1">Language!$A$1477</f>
        <v>раз</v>
      </c>
      <c r="D348" s="174"/>
      <c r="F348" s="170" t="s">
        <v>745</v>
      </c>
      <c r="G348" s="191">
        <f ca="1">IF(G$2=1,1,IF(Prj_Inflation=1, (1+OFFSET(G347,0,-1))^(Параметры!G$30/360), 1))</f>
        <v>1</v>
      </c>
      <c r="H348" s="191">
        <f ca="1">IF(H$2=1,1,IF(Prj_Inflation=1, (1+OFFSET(H347,0,-1))^(Параметры!H$30/360), 1))</f>
        <v>1.004867550565343</v>
      </c>
      <c r="I348" s="191">
        <f ca="1">IF(I$2=1,1,IF(Prj_Inflation=1, (1+OFFSET(I347,0,-1))^(Параметры!I$30/360), 1))</f>
        <v>1.004867550565343</v>
      </c>
      <c r="J348" s="191">
        <f ca="1">IF(J$2=1,1,IF(Prj_Inflation=1, (1+OFFSET(J347,0,-1))^(Параметры!J$30/360), 1))</f>
        <v>1.004867550565343</v>
      </c>
      <c r="K348" s="191">
        <f ca="1">IF(K$2=1,1,IF(Prj_Inflation=1, (1+OFFSET(K347,0,-1))^(Параметры!K$30/360), 1))</f>
        <v>1.004867550565343</v>
      </c>
      <c r="L348" s="191">
        <f ca="1">IF(L$2=1,1,IF(Prj_Inflation=1, (1+OFFSET(L347,0,-1))^(Параметры!L$30/360), 1))</f>
        <v>1.004867550565343</v>
      </c>
      <c r="M348" s="191">
        <f ca="1">IF(M$2=1,1,IF(Prj_Inflation=1, (1+OFFSET(M347,0,-1))^(Параметры!M$30/360), 1))</f>
        <v>1.004867550565343</v>
      </c>
      <c r="N348" s="191">
        <f ca="1">IF(N$2=1,1,IF(Prj_Inflation=1, (1+OFFSET(N347,0,-1))^(Параметры!N$30/360), 1))</f>
        <v>1.004867550565343</v>
      </c>
      <c r="O348" s="191">
        <f ca="1">IF(O$2=1,1,IF(Prj_Inflation=1, (1+OFFSET(O347,0,-1))^(Параметры!O$30/360), 1))</f>
        <v>1.004867550565343</v>
      </c>
      <c r="P348" s="191">
        <f ca="1">IF(P$2=1,1,IF(Prj_Inflation=1, (1+OFFSET(P347,0,-1))^(Параметры!P$30/360), 1))</f>
        <v>1.004867550565343</v>
      </c>
      <c r="Q348" s="191">
        <f ca="1">IF(Q$2=1,1,IF(Prj_Inflation=1, (1+OFFSET(Q347,0,-1))^(Параметры!Q$30/360), 1))</f>
        <v>1.004867550565343</v>
      </c>
      <c r="R348" s="191">
        <f ca="1">IF(R$2=1,1,IF(Prj_Inflation=1, (1+OFFSET(R347,0,-1))^(Параметры!R$30/360), 1))</f>
        <v>1.004867550565343</v>
      </c>
      <c r="S348" s="191">
        <f ca="1">IF(S$2=1,1,IF(Prj_Inflation=1, (1+OFFSET(S347,0,-1))^(Параметры!S$30/360), 1))</f>
        <v>1.004867550565343</v>
      </c>
      <c r="T348" s="191">
        <f ca="1">IF(T$2=1,1,IF(Prj_Inflation=1, (1+OFFSET(T347,0,-1))^(Параметры!T$30/360), 1))</f>
        <v>1.004867550565343</v>
      </c>
      <c r="U348" s="191">
        <f ca="1">IF(U$2=1,1,IF(Prj_Inflation=1, (1+OFFSET(U347,0,-1))^(Параметры!U$30/360), 1))</f>
        <v>1.004867550565343</v>
      </c>
      <c r="V348" s="191">
        <f ca="1">IF(V$2=1,1,IF(Prj_Inflation=1, (1+OFFSET(V347,0,-1))^(Параметры!V$30/360), 1))</f>
        <v>1.004867550565343</v>
      </c>
      <c r="W348" s="191">
        <f ca="1">IF(W$2=1,1,IF(Prj_Inflation=1, (1+OFFSET(W347,0,-1))^(Параметры!W$30/360), 1))</f>
        <v>1.004867550565343</v>
      </c>
      <c r="X348" s="191">
        <f ca="1">IF(X$2=1,1,IF(Prj_Inflation=1, (1+OFFSET(X347,0,-1))^(Параметры!X$30/360), 1))</f>
        <v>1.004867550565343</v>
      </c>
      <c r="Y348" s="191">
        <f ca="1">IF(Y$2=1,1,IF(Prj_Inflation=1, (1+OFFSET(Y347,0,-1))^(Параметры!Y$30/360), 1))</f>
        <v>1.004867550565343</v>
      </c>
      <c r="Z348" s="191">
        <f ca="1">IF(Z$2=1,1,IF(Prj_Inflation=1, (1+OFFSET(Z347,0,-1))^(Параметры!Z$30/360), 1))</f>
        <v>1.004867550565343</v>
      </c>
      <c r="AA348" s="191">
        <f ca="1">IF(AA$2=1,1,IF(Prj_Inflation=1, (1+OFFSET(AA347,0,-1))^(Параметры!AA$30/360), 1))</f>
        <v>1.004867550565343</v>
      </c>
      <c r="AB348" s="191">
        <f ca="1">IF(AB$2=1,1,IF(Prj_Inflation=1, (1+OFFSET(AB347,0,-1))^(Параметры!AB$30/360), 1))</f>
        <v>1.004867550565343</v>
      </c>
      <c r="AC348" s="191">
        <f ca="1">IF(AC$2=1,1,IF(Prj_Inflation=1, (1+OFFSET(AC347,0,-1))^(Параметры!AC$30/360), 1))</f>
        <v>1.004867550565343</v>
      </c>
      <c r="AD348" s="191">
        <f ca="1">IF(AD$2=1,1,IF(Prj_Inflation=1, (1+OFFSET(AD347,0,-1))^(Параметры!AD$30/360), 1))</f>
        <v>1.004867550565343</v>
      </c>
      <c r="AE348" s="191">
        <f ca="1">IF(AE$2=1,1,IF(Prj_Inflation=1, (1+OFFSET(AE347,0,-1))^(Параметры!AE$30/360), 1))</f>
        <v>1.004867550565343</v>
      </c>
      <c r="AF348" s="191">
        <f ca="1">IF(AF$2=1,1,IF(Prj_Inflation=1, (1+OFFSET(AF347,0,-1))^(Параметры!AF$30/360), 1))</f>
        <v>1.004867550565343</v>
      </c>
      <c r="AG348" s="191">
        <f ca="1">IF(AG$2=1,1,IF(Prj_Inflation=1, (1+OFFSET(AG347,0,-1))^(Параметры!AG$30/360), 1))</f>
        <v>1.004867550565343</v>
      </c>
      <c r="AH348" s="191">
        <f ca="1">IF(AH$2=1,1,IF(Prj_Inflation=1, (1+OFFSET(AH347,0,-1))^(Параметры!AH$30/360), 1))</f>
        <v>1.004867550565343</v>
      </c>
      <c r="AI348" s="191">
        <f ca="1">IF(AI$2=1,1,IF(Prj_Inflation=1, (1+OFFSET(AI347,0,-1))^(Параметры!AI$30/360), 1))</f>
        <v>1.004867550565343</v>
      </c>
      <c r="AJ348" s="191">
        <f ca="1">IF(AJ$2=1,1,IF(Prj_Inflation=1, (1+OFFSET(AJ347,0,-1))^(Параметры!AJ$30/360), 1))</f>
        <v>1.004867550565343</v>
      </c>
      <c r="AK348" s="191">
        <f ca="1">IF(AK$2=1,1,IF(Prj_Inflation=1, (1+OFFSET(AK347,0,-1))^(Параметры!AK$30/360), 1))</f>
        <v>1.004867550565343</v>
      </c>
      <c r="AL348" s="191">
        <f ca="1">IF(AL$2=1,1,IF(Prj_Inflation=1, (1+OFFSET(AL347,0,-1))^(Параметры!AL$30/360), 1))</f>
        <v>1.004867550565343</v>
      </c>
      <c r="AM348" s="191">
        <f ca="1">IF(AM$2=1,1,IF(Prj_Inflation=1, (1+OFFSET(AM347,0,-1))^(Параметры!AM$30/360), 1))</f>
        <v>1.004867550565343</v>
      </c>
      <c r="AN348" s="191">
        <f ca="1">IF(AN$2=1,1,IF(Prj_Inflation=1, (1+OFFSET(AN347,0,-1))^(Параметры!AN$30/360), 1))</f>
        <v>1.004867550565343</v>
      </c>
      <c r="AO348" s="191">
        <f ca="1">IF(AO$2=1,1,IF(Prj_Inflation=1, (1+OFFSET(AO347,0,-1))^(Параметры!AO$30/360), 1))</f>
        <v>1.004867550565343</v>
      </c>
      <c r="AP348" s="191">
        <f ca="1">IF(AP$2=1,1,IF(Prj_Inflation=1, (1+OFFSET(AP347,0,-1))^(Параметры!AP$30/360), 1))</f>
        <v>1.004867550565343</v>
      </c>
      <c r="AQ348" s="191">
        <f ca="1">IF(AQ$2=1,1,IF(Prj_Inflation=1, (1+OFFSET(AQ347,0,-1))^(Параметры!AQ$30/360), 1))</f>
        <v>1.004867550565343</v>
      </c>
      <c r="AR348" s="191">
        <f ca="1">IF(AR$2=1,1,IF(Prj_Inflation=1, (1+OFFSET(AR347,0,-1))^(Параметры!AR$30/360), 1))</f>
        <v>1.004867550565343</v>
      </c>
      <c r="AS348" s="191">
        <f ca="1">IF(AS$2=1,1,IF(Prj_Inflation=1, (1+OFFSET(AS347,0,-1))^(Параметры!AS$30/360), 1))</f>
        <v>1.004867550565343</v>
      </c>
      <c r="AT348" s="191">
        <f ca="1">IF(AT$2=1,1,IF(Prj_Inflation=1, (1+OFFSET(AT347,0,-1))^(Параметры!AT$30/360), 1))</f>
        <v>1.004867550565343</v>
      </c>
      <c r="AU348" s="191">
        <f ca="1">IF(AU$2=1,1,IF(Prj_Inflation=1, (1+OFFSET(AU347,0,-1))^(Параметры!AU$30/360), 1))</f>
        <v>1.004867550565343</v>
      </c>
      <c r="AV348" s="191">
        <f ca="1">IF(AV$2=1,1,IF(Prj_Inflation=1, (1+OFFSET(AV347,0,-1))^(Параметры!AV$30/360), 1))</f>
        <v>1.004867550565343</v>
      </c>
      <c r="AW348" s="191">
        <f ca="1">IF(AW$2=1,1,IF(Prj_Inflation=1, (1+OFFSET(AW347,0,-1))^(Параметры!AW$30/360), 1))</f>
        <v>1.004867550565343</v>
      </c>
      <c r="AX348" s="191">
        <f ca="1">IF(AX$2=1,1,IF(Prj_Inflation=1, (1+OFFSET(AX347,0,-1))^(Параметры!AX$30/360), 1))</f>
        <v>1.004867550565343</v>
      </c>
      <c r="AY348" s="191">
        <f ca="1">IF(AY$2=1,1,IF(Prj_Inflation=1, (1+OFFSET(AY347,0,-1))^(Параметры!AY$30/360), 1))</f>
        <v>1.004867550565343</v>
      </c>
      <c r="AZ348" s="191">
        <f ca="1">IF(AZ$2=1,1,IF(Prj_Inflation=1, (1+OFFSET(AZ347,0,-1))^(Параметры!AZ$30/360), 1))</f>
        <v>1.004867550565343</v>
      </c>
      <c r="BA348" s="191">
        <f ca="1">IF(BA$2=1,1,IF(Prj_Inflation=1, (1+OFFSET(BA347,0,-1))^(Параметры!BA$30/360), 1))</f>
        <v>1.004867550565343</v>
      </c>
      <c r="BB348" s="191">
        <f ca="1">IF(BB$2=1,1,IF(Prj_Inflation=1, (1+OFFSET(BB347,0,-1))^(Параметры!BB$30/360), 1))</f>
        <v>1.004867550565343</v>
      </c>
      <c r="BC348" s="191"/>
      <c r="BD348" s="186"/>
    </row>
    <row r="349" spans="1:56" hidden="1" outlineLevel="1" x14ac:dyDescent="0.3">
      <c r="A349" s="184" t="str">
        <f ca="1">Language!A$1486</f>
        <v>индексировать в начале года</v>
      </c>
      <c r="B349" s="291">
        <v>0</v>
      </c>
      <c r="C349" s="163" t="str">
        <f ca="1">IF(B349=1,Language!$A$1475,Language!$A$1476)</f>
        <v>Нет</v>
      </c>
      <c r="D349" s="174"/>
      <c r="F349" s="170" t="s">
        <v>3408</v>
      </c>
      <c r="G349" s="192" t="str">
        <f ca="1">IF(Prj_Inflation=1,IF($B349=1,IF(G$2=1,1,IF(Параметры!G$29=1,1+OFFSET(G347,0,-1),1)),"-"),1)</f>
        <v>-</v>
      </c>
      <c r="H349" s="192" t="str">
        <f ca="1">IF(Prj_Inflation=1,IF($B349=1,IF(H$2=1,1,IF(Параметры!H$29=1,1+OFFSET(H347,0,-1),1)),"-"),1)</f>
        <v>-</v>
      </c>
      <c r="I349" s="192" t="str">
        <f ca="1">IF(Prj_Inflation=1,IF($B349=1,IF(I$2=1,1,IF(Параметры!I$29=1,1+OFFSET(I347,0,-1),1)),"-"),1)</f>
        <v>-</v>
      </c>
      <c r="J349" s="192" t="str">
        <f ca="1">IF(Prj_Inflation=1,IF($B349=1,IF(J$2=1,1,IF(Параметры!J$29=1,1+OFFSET(J347,0,-1),1)),"-"),1)</f>
        <v>-</v>
      </c>
      <c r="K349" s="192" t="str">
        <f ca="1">IF(Prj_Inflation=1,IF($B349=1,IF(K$2=1,1,IF(Параметры!K$29=1,1+OFFSET(K347,0,-1),1)),"-"),1)</f>
        <v>-</v>
      </c>
      <c r="L349" s="192" t="str">
        <f ca="1">IF(Prj_Inflation=1,IF($B349=1,IF(L$2=1,1,IF(Параметры!L$29=1,1+OFFSET(L347,0,-1),1)),"-"),1)</f>
        <v>-</v>
      </c>
      <c r="M349" s="192" t="str">
        <f ca="1">IF(Prj_Inflation=1,IF($B349=1,IF(M$2=1,1,IF(Параметры!M$29=1,1+OFFSET(M347,0,-1),1)),"-"),1)</f>
        <v>-</v>
      </c>
      <c r="N349" s="192" t="str">
        <f ca="1">IF(Prj_Inflation=1,IF($B349=1,IF(N$2=1,1,IF(Параметры!N$29=1,1+OFFSET(N347,0,-1),1)),"-"),1)</f>
        <v>-</v>
      </c>
      <c r="O349" s="192" t="str">
        <f ca="1">IF(Prj_Inflation=1,IF($B349=1,IF(O$2=1,1,IF(Параметры!O$29=1,1+OFFSET(O347,0,-1),1)),"-"),1)</f>
        <v>-</v>
      </c>
      <c r="P349" s="192" t="str">
        <f ca="1">IF(Prj_Inflation=1,IF($B349=1,IF(P$2=1,1,IF(Параметры!P$29=1,1+OFFSET(P347,0,-1),1)),"-"),1)</f>
        <v>-</v>
      </c>
      <c r="Q349" s="192" t="str">
        <f ca="1">IF(Prj_Inflation=1,IF($B349=1,IF(Q$2=1,1,IF(Параметры!Q$29=1,1+OFFSET(Q347,0,-1),1)),"-"),1)</f>
        <v>-</v>
      </c>
      <c r="R349" s="192" t="str">
        <f ca="1">IF(Prj_Inflation=1,IF($B349=1,IF(R$2=1,1,IF(Параметры!R$29=1,1+OFFSET(R347,0,-1),1)),"-"),1)</f>
        <v>-</v>
      </c>
      <c r="S349" s="192" t="str">
        <f ca="1">IF(Prj_Inflation=1,IF($B349=1,IF(S$2=1,1,IF(Параметры!S$29=1,1+OFFSET(S347,0,-1),1)),"-"),1)</f>
        <v>-</v>
      </c>
      <c r="T349" s="192" t="str">
        <f ca="1">IF(Prj_Inflation=1,IF($B349=1,IF(T$2=1,1,IF(Параметры!T$29=1,1+OFFSET(T347,0,-1),1)),"-"),1)</f>
        <v>-</v>
      </c>
      <c r="U349" s="192" t="str">
        <f ca="1">IF(Prj_Inflation=1,IF($B349=1,IF(U$2=1,1,IF(Параметры!U$29=1,1+OFFSET(U347,0,-1),1)),"-"),1)</f>
        <v>-</v>
      </c>
      <c r="V349" s="192" t="str">
        <f ca="1">IF(Prj_Inflation=1,IF($B349=1,IF(V$2=1,1,IF(Параметры!V$29=1,1+OFFSET(V347,0,-1),1)),"-"),1)</f>
        <v>-</v>
      </c>
      <c r="W349" s="192" t="str">
        <f ca="1">IF(Prj_Inflation=1,IF($B349=1,IF(W$2=1,1,IF(Параметры!W$29=1,1+OFFSET(W347,0,-1),1)),"-"),1)</f>
        <v>-</v>
      </c>
      <c r="X349" s="192" t="str">
        <f ca="1">IF(Prj_Inflation=1,IF($B349=1,IF(X$2=1,1,IF(Параметры!X$29=1,1+OFFSET(X347,0,-1),1)),"-"),1)</f>
        <v>-</v>
      </c>
      <c r="Y349" s="192" t="str">
        <f ca="1">IF(Prj_Inflation=1,IF($B349=1,IF(Y$2=1,1,IF(Параметры!Y$29=1,1+OFFSET(Y347,0,-1),1)),"-"),1)</f>
        <v>-</v>
      </c>
      <c r="Z349" s="192" t="str">
        <f ca="1">IF(Prj_Inflation=1,IF($B349=1,IF(Z$2=1,1,IF(Параметры!Z$29=1,1+OFFSET(Z347,0,-1),1)),"-"),1)</f>
        <v>-</v>
      </c>
      <c r="AA349" s="192" t="str">
        <f ca="1">IF(Prj_Inflation=1,IF($B349=1,IF(AA$2=1,1,IF(Параметры!AA$29=1,1+OFFSET(AA347,0,-1),1)),"-"),1)</f>
        <v>-</v>
      </c>
      <c r="AB349" s="192" t="str">
        <f ca="1">IF(Prj_Inflation=1,IF($B349=1,IF(AB$2=1,1,IF(Параметры!AB$29=1,1+OFFSET(AB347,0,-1),1)),"-"),1)</f>
        <v>-</v>
      </c>
      <c r="AC349" s="192" t="str">
        <f ca="1">IF(Prj_Inflation=1,IF($B349=1,IF(AC$2=1,1,IF(Параметры!AC$29=1,1+OFFSET(AC347,0,-1),1)),"-"),1)</f>
        <v>-</v>
      </c>
      <c r="AD349" s="192" t="str">
        <f ca="1">IF(Prj_Inflation=1,IF($B349=1,IF(AD$2=1,1,IF(Параметры!AD$29=1,1+OFFSET(AD347,0,-1),1)),"-"),1)</f>
        <v>-</v>
      </c>
      <c r="AE349" s="192" t="str">
        <f ca="1">IF(Prj_Inflation=1,IF($B349=1,IF(AE$2=1,1,IF(Параметры!AE$29=1,1+OFFSET(AE347,0,-1),1)),"-"),1)</f>
        <v>-</v>
      </c>
      <c r="AF349" s="192" t="str">
        <f ca="1">IF(Prj_Inflation=1,IF($B349=1,IF(AF$2=1,1,IF(Параметры!AF$29=1,1+OFFSET(AF347,0,-1),1)),"-"),1)</f>
        <v>-</v>
      </c>
      <c r="AG349" s="192" t="str">
        <f ca="1">IF(Prj_Inflation=1,IF($B349=1,IF(AG$2=1,1,IF(Параметры!AG$29=1,1+OFFSET(AG347,0,-1),1)),"-"),1)</f>
        <v>-</v>
      </c>
      <c r="AH349" s="192" t="str">
        <f ca="1">IF(Prj_Inflation=1,IF($B349=1,IF(AH$2=1,1,IF(Параметры!AH$29=1,1+OFFSET(AH347,0,-1),1)),"-"),1)</f>
        <v>-</v>
      </c>
      <c r="AI349" s="192" t="str">
        <f ca="1">IF(Prj_Inflation=1,IF($B349=1,IF(AI$2=1,1,IF(Параметры!AI$29=1,1+OFFSET(AI347,0,-1),1)),"-"),1)</f>
        <v>-</v>
      </c>
      <c r="AJ349" s="192" t="str">
        <f ca="1">IF(Prj_Inflation=1,IF($B349=1,IF(AJ$2=1,1,IF(Параметры!AJ$29=1,1+OFFSET(AJ347,0,-1),1)),"-"),1)</f>
        <v>-</v>
      </c>
      <c r="AK349" s="192" t="str">
        <f ca="1">IF(Prj_Inflation=1,IF($B349=1,IF(AK$2=1,1,IF(Параметры!AK$29=1,1+OFFSET(AK347,0,-1),1)),"-"),1)</f>
        <v>-</v>
      </c>
      <c r="AL349" s="192" t="str">
        <f ca="1">IF(Prj_Inflation=1,IF($B349=1,IF(AL$2=1,1,IF(Параметры!AL$29=1,1+OFFSET(AL347,0,-1),1)),"-"),1)</f>
        <v>-</v>
      </c>
      <c r="AM349" s="192" t="str">
        <f ca="1">IF(Prj_Inflation=1,IF($B349=1,IF(AM$2=1,1,IF(Параметры!AM$29=1,1+OFFSET(AM347,0,-1),1)),"-"),1)</f>
        <v>-</v>
      </c>
      <c r="AN349" s="192" t="str">
        <f ca="1">IF(Prj_Inflation=1,IF($B349=1,IF(AN$2=1,1,IF(Параметры!AN$29=1,1+OFFSET(AN347,0,-1),1)),"-"),1)</f>
        <v>-</v>
      </c>
      <c r="AO349" s="192" t="str">
        <f ca="1">IF(Prj_Inflation=1,IF($B349=1,IF(AO$2=1,1,IF(Параметры!AO$29=1,1+OFFSET(AO347,0,-1),1)),"-"),1)</f>
        <v>-</v>
      </c>
      <c r="AP349" s="192" t="str">
        <f ca="1">IF(Prj_Inflation=1,IF($B349=1,IF(AP$2=1,1,IF(Параметры!AP$29=1,1+OFFSET(AP347,0,-1),1)),"-"),1)</f>
        <v>-</v>
      </c>
      <c r="AQ349" s="192" t="str">
        <f ca="1">IF(Prj_Inflation=1,IF($B349=1,IF(AQ$2=1,1,IF(Параметры!AQ$29=1,1+OFFSET(AQ347,0,-1),1)),"-"),1)</f>
        <v>-</v>
      </c>
      <c r="AR349" s="192" t="str">
        <f ca="1">IF(Prj_Inflation=1,IF($B349=1,IF(AR$2=1,1,IF(Параметры!AR$29=1,1+OFFSET(AR347,0,-1),1)),"-"),1)</f>
        <v>-</v>
      </c>
      <c r="AS349" s="192" t="str">
        <f ca="1">IF(Prj_Inflation=1,IF($B349=1,IF(AS$2=1,1,IF(Параметры!AS$29=1,1+OFFSET(AS347,0,-1),1)),"-"),1)</f>
        <v>-</v>
      </c>
      <c r="AT349" s="192" t="str">
        <f ca="1">IF(Prj_Inflation=1,IF($B349=1,IF(AT$2=1,1,IF(Параметры!AT$29=1,1+OFFSET(AT347,0,-1),1)),"-"),1)</f>
        <v>-</v>
      </c>
      <c r="AU349" s="192" t="str">
        <f ca="1">IF(Prj_Inflation=1,IF($B349=1,IF(AU$2=1,1,IF(Параметры!AU$29=1,1+OFFSET(AU347,0,-1),1)),"-"),1)</f>
        <v>-</v>
      </c>
      <c r="AV349" s="192" t="str">
        <f ca="1">IF(Prj_Inflation=1,IF($B349=1,IF(AV$2=1,1,IF(Параметры!AV$29=1,1+OFFSET(AV347,0,-1),1)),"-"),1)</f>
        <v>-</v>
      </c>
      <c r="AW349" s="192" t="str">
        <f ca="1">IF(Prj_Inflation=1,IF($B349=1,IF(AW$2=1,1,IF(Параметры!AW$29=1,1+OFFSET(AW347,0,-1),1)),"-"),1)</f>
        <v>-</v>
      </c>
      <c r="AX349" s="192" t="str">
        <f ca="1">IF(Prj_Inflation=1,IF($B349=1,IF(AX$2=1,1,IF(Параметры!AX$29=1,1+OFFSET(AX347,0,-1),1)),"-"),1)</f>
        <v>-</v>
      </c>
      <c r="AY349" s="192" t="str">
        <f ca="1">IF(Prj_Inflation=1,IF($B349=1,IF(AY$2=1,1,IF(Параметры!AY$29=1,1+OFFSET(AY347,0,-1),1)),"-"),1)</f>
        <v>-</v>
      </c>
      <c r="AZ349" s="192" t="str">
        <f ca="1">IF(Prj_Inflation=1,IF($B349=1,IF(AZ$2=1,1,IF(Параметры!AZ$29=1,1+OFFSET(AZ347,0,-1),1)),"-"),1)</f>
        <v>-</v>
      </c>
      <c r="BA349" s="192" t="str">
        <f ca="1">IF(Prj_Inflation=1,IF($B349=1,IF(BA$2=1,1,IF(Параметры!BA$29=1,1+OFFSET(BA347,0,-1),1)),"-"),1)</f>
        <v>-</v>
      </c>
      <c r="BB349" s="192" t="str">
        <f ca="1">IF(Prj_Inflation=1,IF($B349=1,IF(BB$2=1,1,IF(Параметры!BB$29=1,1+OFFSET(BB347,0,-1),1)),"-"),1)</f>
        <v>-</v>
      </c>
      <c r="BC349" s="191"/>
      <c r="BD349" s="186"/>
    </row>
    <row r="350" spans="1:56" hidden="1" outlineLevel="1" x14ac:dyDescent="0.3">
      <c r="A350" s="184" t="str">
        <f ca="1">Language!A$704</f>
        <v>социальные взносы</v>
      </c>
      <c r="B350" s="189"/>
      <c r="C350" s="163" t="str">
        <f ca="1">CHOOSE(D350,CurName1,CurName2,CurName3)</f>
        <v>руб.</v>
      </c>
      <c r="D350" s="174">
        <f>D343</f>
        <v>1</v>
      </c>
      <c r="E350" s="170" t="s">
        <v>1459</v>
      </c>
      <c r="F350" s="170" t="s">
        <v>740</v>
      </c>
      <c r="G350" s="185">
        <f ca="1">G346*Параметры!G$91</f>
        <v>0</v>
      </c>
      <c r="H350" s="185">
        <f ca="1">H346*Параметры!H$91</f>
        <v>0</v>
      </c>
      <c r="I350" s="185">
        <f ca="1">I346*Параметры!I$91</f>
        <v>0</v>
      </c>
      <c r="J350" s="185">
        <f ca="1">J346*Параметры!J$91</f>
        <v>0</v>
      </c>
      <c r="K350" s="185">
        <f ca="1">K346*Параметры!K$91</f>
        <v>0</v>
      </c>
      <c r="L350" s="185">
        <f ca="1">L346*Параметры!L$91</f>
        <v>0</v>
      </c>
      <c r="M350" s="185">
        <f ca="1">M346*Параметры!M$91</f>
        <v>67024.552217825389</v>
      </c>
      <c r="N350" s="185">
        <f ca="1">N346*Параметры!N$91</f>
        <v>67350.797614865121</v>
      </c>
      <c r="O350" s="185">
        <f ca="1">O346*Параметры!O$91</f>
        <v>67678.631027871656</v>
      </c>
      <c r="P350" s="185">
        <f ca="1">P346*Параметры!P$91</f>
        <v>68008.060186593022</v>
      </c>
      <c r="Q350" s="185">
        <f ca="1">Q346*Параметры!Q$91</f>
        <v>68339.092858402175</v>
      </c>
      <c r="R350" s="185">
        <f ca="1">R346*Параметры!R$91</f>
        <v>68671.736848480112</v>
      </c>
      <c r="S350" s="185">
        <f ca="1">S346*Параметры!S$91</f>
        <v>69006.000000000029</v>
      </c>
      <c r="T350" s="185">
        <f ca="1">T346*Параметры!T$91</f>
        <v>69341.890194312087</v>
      </c>
      <c r="U350" s="185">
        <f ca="1">U346*Параметры!U$91</f>
        <v>69679.41535112937</v>
      </c>
      <c r="V350" s="185">
        <f ca="1">V346*Параметры!V$91</f>
        <v>70018.583428714541</v>
      </c>
      <c r="W350" s="185">
        <f ca="1">W346*Параметры!W$91</f>
        <v>70359.402424067492</v>
      </c>
      <c r="X350" s="185">
        <f ca="1">X346*Параметры!X$91</f>
        <v>70701.880373113978</v>
      </c>
      <c r="Y350" s="185">
        <f ca="1">Y346*Параметры!Y$91</f>
        <v>71046.025350894939</v>
      </c>
      <c r="Z350" s="185">
        <f ca="1">Z346*Параметры!Z$91</f>
        <v>71391.845471757071</v>
      </c>
      <c r="AA350" s="185">
        <f ca="1">AA346*Параметры!AA$91</f>
        <v>71739.348889543995</v>
      </c>
      <c r="AB350" s="185">
        <f ca="1">AB346*Параметры!AB$91</f>
        <v>72088.543797788647</v>
      </c>
      <c r="AC350" s="185">
        <f ca="1">AC346*Параметры!AC$91</f>
        <v>72439.438429906324</v>
      </c>
      <c r="AD350" s="185">
        <f ca="1">AD346*Параметры!AD$91</f>
        <v>72792.041059388954</v>
      </c>
      <c r="AE350" s="185">
        <f ca="1">AE346*Параметры!AE$91</f>
        <v>73146.360000000044</v>
      </c>
      <c r="AF350" s="185">
        <f ca="1">AF346*Параметры!AF$91</f>
        <v>73502.403605970831</v>
      </c>
      <c r="AG350" s="185">
        <f ca="1">AG346*Параметры!AG$91</f>
        <v>73860.180272197162</v>
      </c>
      <c r="AH350" s="185">
        <f ca="1">AH346*Параметры!AH$91</f>
        <v>74219.698434437436</v>
      </c>
      <c r="AI350" s="185">
        <f ca="1">AI346*Параметры!AI$91</f>
        <v>74580.966569511569</v>
      </c>
      <c r="AJ350" s="185">
        <f ca="1">AJ346*Параметры!AJ$91</f>
        <v>74943.993195500821</v>
      </c>
      <c r="AK350" s="185">
        <f ca="1">AK346*Параметры!AK$91</f>
        <v>75308.786871948658</v>
      </c>
      <c r="AL350" s="185">
        <f ca="1">AL346*Параметры!AL$91</f>
        <v>75675.356200062495</v>
      </c>
      <c r="AM350" s="185">
        <f ca="1">AM346*Параметры!AM$91</f>
        <v>76043.709822916644</v>
      </c>
      <c r="AN350" s="185">
        <f ca="1">AN346*Параметры!AN$91</f>
        <v>76413.856425655962</v>
      </c>
      <c r="AO350" s="185">
        <f ca="1">AO346*Параметры!AO$91</f>
        <v>76785.804735700716</v>
      </c>
      <c r="AP350" s="185">
        <f ca="1">AP346*Параметры!AP$91</f>
        <v>77159.563522952303</v>
      </c>
      <c r="AQ350" s="185">
        <f ca="1">AQ346*Параметры!AQ$91</f>
        <v>77535.141600000061</v>
      </c>
      <c r="AR350" s="185">
        <f ca="1">AR346*Параметры!AR$91</f>
        <v>77912.547822329085</v>
      </c>
      <c r="AS350" s="185">
        <f ca="1">AS346*Параметры!AS$91</f>
        <v>78291.791088528975</v>
      </c>
      <c r="AT350" s="185">
        <f ca="1">AT346*Параметры!AT$91</f>
        <v>78672.880340503674</v>
      </c>
      <c r="AU350" s="185">
        <f ca="1">AU346*Параметры!AU$91</f>
        <v>79055.824563682254</v>
      </c>
      <c r="AV350" s="185">
        <f ca="1">AV346*Параметры!AV$91</f>
        <v>79440.632787230861</v>
      </c>
      <c r="AW350" s="185">
        <f ca="1">AW346*Параметры!AW$91</f>
        <v>79827.31408426557</v>
      </c>
      <c r="AX350" s="185">
        <f ca="1">AX346*Параметры!AX$91</f>
        <v>80215.877572066252</v>
      </c>
      <c r="AY350" s="185">
        <f ca="1">AY346*Параметры!AY$91</f>
        <v>80606.332412291653</v>
      </c>
      <c r="AZ350" s="185">
        <f ca="1">AZ346*Параметры!AZ$91</f>
        <v>80998.687811195341</v>
      </c>
      <c r="BA350" s="185">
        <f ca="1">BA346*Параметры!BA$91</f>
        <v>81392.953019842767</v>
      </c>
      <c r="BB350" s="185">
        <f ca="1">BB346*Параметры!BB$91</f>
        <v>81789.137334329425</v>
      </c>
      <c r="BC350" s="185"/>
      <c r="BD350" s="193">
        <f ca="1">SUM(G350:BC350)</f>
        <v>3115057.0856177756</v>
      </c>
    </row>
    <row r="351" spans="1:56" s="173" customFormat="1" hidden="1" outlineLevel="1" x14ac:dyDescent="0.3">
      <c r="A351" s="181" t="str">
        <f ca="1">Language!A$1513</f>
        <v>затраты на персонал, с соц. взносами</v>
      </c>
      <c r="B351" s="205"/>
      <c r="C351" s="176" t="str">
        <f ca="1">CHOOSE(D351,CurName1,CurName2,CurName3)</f>
        <v>руб.</v>
      </c>
      <c r="D351" s="174">
        <f>D343</f>
        <v>1</v>
      </c>
      <c r="E351" s="170" t="s">
        <v>2312</v>
      </c>
      <c r="F351" s="170" t="s">
        <v>740</v>
      </c>
      <c r="G351" s="182">
        <f ca="1">G346+G350</f>
        <v>0</v>
      </c>
      <c r="H351" s="182">
        <f t="shared" ref="H351:BB351" ca="1" si="1695">H346+H350</f>
        <v>0</v>
      </c>
      <c r="I351" s="182">
        <f t="shared" ca="1" si="1695"/>
        <v>0</v>
      </c>
      <c r="J351" s="182">
        <f t="shared" ca="1" si="1695"/>
        <v>0</v>
      </c>
      <c r="K351" s="182">
        <f t="shared" ca="1" si="1695"/>
        <v>0</v>
      </c>
      <c r="L351" s="182">
        <f t="shared" ca="1" si="1695"/>
        <v>0</v>
      </c>
      <c r="M351" s="182">
        <f t="shared" ca="1" si="1695"/>
        <v>283232.78517855238</v>
      </c>
      <c r="N351" s="182">
        <f t="shared" ca="1" si="1695"/>
        <v>284611.43508217193</v>
      </c>
      <c r="O351" s="182">
        <f t="shared" ca="1" si="1695"/>
        <v>285996.79563390923</v>
      </c>
      <c r="P351" s="182">
        <f t="shared" ca="1" si="1695"/>
        <v>287388.8994981834</v>
      </c>
      <c r="Q351" s="182">
        <f t="shared" ca="1" si="1695"/>
        <v>288787.77949840913</v>
      </c>
      <c r="R351" s="182">
        <f t="shared" ca="1" si="1695"/>
        <v>290193.46861777076</v>
      </c>
      <c r="S351" s="182">
        <f t="shared" ca="1" si="1695"/>
        <v>291606.00000000012</v>
      </c>
      <c r="T351" s="182">
        <f t="shared" ca="1" si="1695"/>
        <v>293025.40695015748</v>
      </c>
      <c r="U351" s="182">
        <f t="shared" ca="1" si="1695"/>
        <v>294451.72293541767</v>
      </c>
      <c r="V351" s="182">
        <f t="shared" ca="1" si="1695"/>
        <v>295884.98158585816</v>
      </c>
      <c r="W351" s="182">
        <f t="shared" ca="1" si="1695"/>
        <v>297325.21669525292</v>
      </c>
      <c r="X351" s="182">
        <f t="shared" ca="1" si="1695"/>
        <v>298772.46222186869</v>
      </c>
      <c r="Y351" s="182">
        <f t="shared" ca="1" si="1695"/>
        <v>300226.75228926569</v>
      </c>
      <c r="Z351" s="182">
        <f t="shared" ca="1" si="1695"/>
        <v>301688.1211871024</v>
      </c>
      <c r="AA351" s="182">
        <f t="shared" ca="1" si="1695"/>
        <v>303156.60337194393</v>
      </c>
      <c r="AB351" s="182">
        <f t="shared" ca="1" si="1695"/>
        <v>304632.23346807458</v>
      </c>
      <c r="AC351" s="182">
        <f t="shared" ca="1" si="1695"/>
        <v>306115.04626831377</v>
      </c>
      <c r="AD351" s="182">
        <f t="shared" ca="1" si="1695"/>
        <v>307605.07673483714</v>
      </c>
      <c r="AE351" s="182">
        <f t="shared" ca="1" si="1695"/>
        <v>309102.36000000016</v>
      </c>
      <c r="AF351" s="182">
        <f t="shared" ca="1" si="1695"/>
        <v>310606.93136716704</v>
      </c>
      <c r="AG351" s="182">
        <f t="shared" ca="1" si="1695"/>
        <v>312118.82631154277</v>
      </c>
      <c r="AH351" s="182">
        <f t="shared" ca="1" si="1695"/>
        <v>313638.08048100973</v>
      </c>
      <c r="AI351" s="182">
        <f t="shared" ca="1" si="1695"/>
        <v>315164.72969696822</v>
      </c>
      <c r="AJ351" s="182">
        <f t="shared" ca="1" si="1695"/>
        <v>316698.80995518086</v>
      </c>
      <c r="AK351" s="182">
        <f t="shared" ca="1" si="1695"/>
        <v>318240.35742662172</v>
      </c>
      <c r="AL351" s="182">
        <f t="shared" ca="1" si="1695"/>
        <v>319789.40845832857</v>
      </c>
      <c r="AM351" s="182">
        <f t="shared" ca="1" si="1695"/>
        <v>321345.99957426061</v>
      </c>
      <c r="AN351" s="182">
        <f t="shared" ca="1" si="1695"/>
        <v>322910.16747615905</v>
      </c>
      <c r="AO351" s="182">
        <f t="shared" ca="1" si="1695"/>
        <v>324481.94904441264</v>
      </c>
      <c r="AP351" s="182">
        <f t="shared" ca="1" si="1695"/>
        <v>326061.38133892743</v>
      </c>
      <c r="AQ351" s="182">
        <f t="shared" ca="1" si="1695"/>
        <v>327648.50160000019</v>
      </c>
      <c r="AR351" s="182">
        <f t="shared" ca="1" si="1695"/>
        <v>329243.34724919708</v>
      </c>
      <c r="AS351" s="182">
        <f t="shared" ca="1" si="1695"/>
        <v>330845.95589023532</v>
      </c>
      <c r="AT351" s="182">
        <f t="shared" ca="1" si="1695"/>
        <v>332456.36530987034</v>
      </c>
      <c r="AU351" s="182">
        <f t="shared" ca="1" si="1695"/>
        <v>334074.61347878625</v>
      </c>
      <c r="AV351" s="182">
        <f t="shared" ca="1" si="1695"/>
        <v>335700.73855249165</v>
      </c>
      <c r="AW351" s="182">
        <f t="shared" ca="1" si="1695"/>
        <v>337334.77887221897</v>
      </c>
      <c r="AX351" s="182">
        <f t="shared" ca="1" si="1695"/>
        <v>338976.77296582831</v>
      </c>
      <c r="AY351" s="182">
        <f t="shared" ca="1" si="1695"/>
        <v>340626.75954871631</v>
      </c>
      <c r="AZ351" s="182">
        <f t="shared" ca="1" si="1695"/>
        <v>342284.77752472862</v>
      </c>
      <c r="BA351" s="182">
        <f t="shared" ca="1" si="1695"/>
        <v>343950.86598707747</v>
      </c>
      <c r="BB351" s="182">
        <f t="shared" ca="1" si="1695"/>
        <v>345625.06421926303</v>
      </c>
      <c r="BC351" s="182"/>
      <c r="BD351" s="183">
        <f ca="1">SUM(G351:BC351)</f>
        <v>13163628.329546081</v>
      </c>
    </row>
    <row r="353" spans="1:56" x14ac:dyDescent="0.3">
      <c r="A353" s="207" t="str">
        <f ca="1">Language!A$708</f>
        <v>Административный персонал</v>
      </c>
      <c r="B353" s="196"/>
      <c r="C353" s="196"/>
      <c r="D353" s="197"/>
      <c r="E353" s="197" t="s">
        <v>716</v>
      </c>
      <c r="F353" s="197" t="s">
        <v>3522</v>
      </c>
      <c r="G353" s="196"/>
      <c r="H353" s="196"/>
      <c r="I353" s="196"/>
      <c r="J353" s="196"/>
      <c r="K353" s="196"/>
      <c r="L353" s="196"/>
      <c r="M353" s="196"/>
      <c r="N353" s="196"/>
      <c r="O353" s="196"/>
      <c r="P353" s="196"/>
      <c r="Q353" s="196"/>
      <c r="R353" s="196"/>
      <c r="S353" s="196"/>
      <c r="T353" s="196"/>
      <c r="U353" s="196"/>
      <c r="V353" s="196"/>
      <c r="W353" s="196"/>
      <c r="X353" s="196"/>
      <c r="Y353" s="196"/>
      <c r="Z353" s="196"/>
      <c r="AA353" s="196"/>
      <c r="AB353" s="196"/>
      <c r="AC353" s="196"/>
      <c r="AD353" s="196"/>
      <c r="AE353" s="196"/>
      <c r="AF353" s="196"/>
      <c r="AG353" s="196"/>
      <c r="AH353" s="196"/>
      <c r="AI353" s="196"/>
      <c r="AJ353" s="196"/>
      <c r="AK353" s="196"/>
      <c r="AL353" s="196"/>
      <c r="AM353" s="196"/>
      <c r="AN353" s="196"/>
      <c r="AO353" s="196"/>
      <c r="AP353" s="196"/>
      <c r="AQ353" s="196"/>
      <c r="AR353" s="196"/>
      <c r="AS353" s="196"/>
      <c r="AT353" s="196"/>
      <c r="AU353" s="196"/>
      <c r="AV353" s="196"/>
      <c r="AW353" s="196"/>
      <c r="AX353" s="196"/>
      <c r="AY353" s="196"/>
      <c r="AZ353" s="196"/>
      <c r="BA353" s="196"/>
      <c r="BB353" s="196"/>
      <c r="BC353" s="196"/>
      <c r="BD353" s="204"/>
    </row>
    <row r="355" spans="1:56" x14ac:dyDescent="0.3">
      <c r="A355" s="377" t="s">
        <v>3434</v>
      </c>
      <c r="B355" s="205"/>
      <c r="C355" s="176"/>
      <c r="D355" s="174">
        <v>1</v>
      </c>
      <c r="F355" s="170" t="s">
        <v>3435</v>
      </c>
      <c r="G355" s="206"/>
      <c r="H355" s="206"/>
      <c r="I355" s="206"/>
      <c r="J355" s="206"/>
      <c r="K355" s="206"/>
      <c r="L355" s="206"/>
      <c r="M355" s="206"/>
      <c r="N355" s="206"/>
      <c r="O355" s="206"/>
      <c r="P355" s="206"/>
      <c r="Q355" s="206"/>
      <c r="R355" s="206"/>
      <c r="S355" s="206"/>
      <c r="T355" s="206"/>
      <c r="U355" s="206"/>
      <c r="V355" s="206"/>
      <c r="W355" s="206"/>
      <c r="X355" s="206"/>
      <c r="Y355" s="206"/>
      <c r="Z355" s="206"/>
      <c r="AA355" s="206"/>
      <c r="AB355" s="206"/>
      <c r="AC355" s="206"/>
      <c r="AD355" s="206"/>
      <c r="AE355" s="206"/>
      <c r="AF355" s="206"/>
      <c r="AG355" s="206"/>
      <c r="AH355" s="206"/>
      <c r="AI355" s="206"/>
      <c r="AJ355" s="206"/>
      <c r="AK355" s="206"/>
      <c r="AL355" s="206"/>
      <c r="AM355" s="206"/>
      <c r="AN355" s="206"/>
      <c r="AO355" s="206"/>
      <c r="AP355" s="206"/>
      <c r="AQ355" s="206"/>
      <c r="AR355" s="206"/>
      <c r="AS355" s="206"/>
      <c r="AT355" s="206"/>
      <c r="AU355" s="206"/>
      <c r="AV355" s="206"/>
      <c r="AW355" s="206"/>
      <c r="AX355" s="206"/>
      <c r="AY355" s="206"/>
      <c r="AZ355" s="206"/>
      <c r="BA355" s="206"/>
      <c r="BB355" s="206"/>
      <c r="BC355" s="206"/>
    </row>
    <row r="356" spans="1:56" x14ac:dyDescent="0.3">
      <c r="A356" s="175" t="str">
        <f ca="1">Language!A$701</f>
        <v>численность</v>
      </c>
      <c r="B356" s="295">
        <v>1</v>
      </c>
      <c r="C356" s="176" t="str">
        <f ca="1">Language!$A$1483</f>
        <v>человек</v>
      </c>
      <c r="D356" s="174"/>
      <c r="E356" s="170" t="s">
        <v>843</v>
      </c>
      <c r="F356" s="170" t="s">
        <v>745</v>
      </c>
      <c r="G356" s="296">
        <f t="shared" ref="G356:BB356" si="1696">IF(G$2&gt;Prj_Invest, $B356, 0)</f>
        <v>0</v>
      </c>
      <c r="H356" s="296">
        <f t="shared" si="1696"/>
        <v>0</v>
      </c>
      <c r="I356" s="296">
        <f t="shared" si="1696"/>
        <v>0</v>
      </c>
      <c r="J356" s="296">
        <f t="shared" si="1696"/>
        <v>0</v>
      </c>
      <c r="K356" s="296">
        <f t="shared" si="1696"/>
        <v>0</v>
      </c>
      <c r="L356" s="296">
        <f t="shared" si="1696"/>
        <v>0</v>
      </c>
      <c r="M356" s="296">
        <f t="shared" si="1696"/>
        <v>1</v>
      </c>
      <c r="N356" s="296">
        <f t="shared" si="1696"/>
        <v>1</v>
      </c>
      <c r="O356" s="296">
        <f t="shared" si="1696"/>
        <v>1</v>
      </c>
      <c r="P356" s="296">
        <f t="shared" si="1696"/>
        <v>1</v>
      </c>
      <c r="Q356" s="296">
        <f t="shared" si="1696"/>
        <v>1</v>
      </c>
      <c r="R356" s="296">
        <f t="shared" si="1696"/>
        <v>1</v>
      </c>
      <c r="S356" s="296">
        <f t="shared" si="1696"/>
        <v>1</v>
      </c>
      <c r="T356" s="296">
        <f t="shared" si="1696"/>
        <v>1</v>
      </c>
      <c r="U356" s="296">
        <f t="shared" si="1696"/>
        <v>1</v>
      </c>
      <c r="V356" s="296">
        <f t="shared" si="1696"/>
        <v>1</v>
      </c>
      <c r="W356" s="296">
        <f t="shared" si="1696"/>
        <v>1</v>
      </c>
      <c r="X356" s="296">
        <f t="shared" si="1696"/>
        <v>1</v>
      </c>
      <c r="Y356" s="296">
        <f t="shared" si="1696"/>
        <v>1</v>
      </c>
      <c r="Z356" s="296">
        <f t="shared" si="1696"/>
        <v>1</v>
      </c>
      <c r="AA356" s="296">
        <f t="shared" si="1696"/>
        <v>1</v>
      </c>
      <c r="AB356" s="296">
        <f t="shared" si="1696"/>
        <v>1</v>
      </c>
      <c r="AC356" s="296">
        <f t="shared" si="1696"/>
        <v>1</v>
      </c>
      <c r="AD356" s="296">
        <f t="shared" si="1696"/>
        <v>1</v>
      </c>
      <c r="AE356" s="296">
        <f t="shared" si="1696"/>
        <v>1</v>
      </c>
      <c r="AF356" s="296">
        <f t="shared" si="1696"/>
        <v>1</v>
      </c>
      <c r="AG356" s="296">
        <f t="shared" si="1696"/>
        <v>1</v>
      </c>
      <c r="AH356" s="296">
        <f t="shared" si="1696"/>
        <v>1</v>
      </c>
      <c r="AI356" s="296">
        <f t="shared" si="1696"/>
        <v>1</v>
      </c>
      <c r="AJ356" s="296">
        <f t="shared" si="1696"/>
        <v>1</v>
      </c>
      <c r="AK356" s="296">
        <f t="shared" si="1696"/>
        <v>1</v>
      </c>
      <c r="AL356" s="296">
        <f t="shared" si="1696"/>
        <v>1</v>
      </c>
      <c r="AM356" s="296">
        <f t="shared" si="1696"/>
        <v>1</v>
      </c>
      <c r="AN356" s="296">
        <f t="shared" si="1696"/>
        <v>1</v>
      </c>
      <c r="AO356" s="296">
        <f t="shared" si="1696"/>
        <v>1</v>
      </c>
      <c r="AP356" s="296">
        <f t="shared" si="1696"/>
        <v>1</v>
      </c>
      <c r="AQ356" s="296">
        <f t="shared" si="1696"/>
        <v>1</v>
      </c>
      <c r="AR356" s="296">
        <f t="shared" si="1696"/>
        <v>1</v>
      </c>
      <c r="AS356" s="296">
        <f t="shared" si="1696"/>
        <v>1</v>
      </c>
      <c r="AT356" s="296">
        <f t="shared" si="1696"/>
        <v>1</v>
      </c>
      <c r="AU356" s="296">
        <f t="shared" si="1696"/>
        <v>1</v>
      </c>
      <c r="AV356" s="296">
        <f t="shared" si="1696"/>
        <v>1</v>
      </c>
      <c r="AW356" s="296">
        <f t="shared" si="1696"/>
        <v>1</v>
      </c>
      <c r="AX356" s="296">
        <f t="shared" si="1696"/>
        <v>1</v>
      </c>
      <c r="AY356" s="296">
        <f t="shared" si="1696"/>
        <v>1</v>
      </c>
      <c r="AZ356" s="296">
        <f t="shared" si="1696"/>
        <v>1</v>
      </c>
      <c r="BA356" s="296">
        <f t="shared" si="1696"/>
        <v>1</v>
      </c>
      <c r="BB356" s="296">
        <f t="shared" si="1696"/>
        <v>1</v>
      </c>
      <c r="BC356" s="202"/>
    </row>
    <row r="357" spans="1:56" x14ac:dyDescent="0.3">
      <c r="A357" s="175" t="str">
        <f ca="1">Language!A$702</f>
        <v>средний оклад, в месяц</v>
      </c>
      <c r="B357" s="284">
        <v>60000</v>
      </c>
      <c r="C357" s="176" t="str">
        <f ca="1">CHOOSE(D355,CurName1,CurName2,CurName3)</f>
        <v>руб.</v>
      </c>
      <c r="E357" s="170" t="s">
        <v>844</v>
      </c>
      <c r="F357" s="170" t="s">
        <v>2346</v>
      </c>
      <c r="G357" s="285">
        <f t="shared" ref="G357" ca="1" si="1697">IF(G$2=1,$B357,F357)*IF($B361=1,G361,G360)</f>
        <v>60000</v>
      </c>
      <c r="H357" s="285">
        <f t="shared" ref="H357" ca="1" si="1698">IF(H$2=1,$B357,G357)*IF($B361=1,H361,H360)</f>
        <v>60292.05303392058</v>
      </c>
      <c r="I357" s="285">
        <f t="shared" ref="I357" ca="1" si="1699">IF(I$2=1,$B357,H357)*IF($B361=1,I361,I360)</f>
        <v>60585.52765075153</v>
      </c>
      <c r="J357" s="285">
        <f t="shared" ref="J357" ca="1" si="1700">IF(J$2=1,$B357,I357)*IF($B361=1,J361,J360)</f>
        <v>60880.43077011955</v>
      </c>
      <c r="K357" s="285">
        <f t="shared" ref="K357" ca="1" si="1701">IF(K$2=1,$B357,J357)*IF($B361=1,K361,K360)</f>
        <v>61176.769345332978</v>
      </c>
      <c r="L357" s="285">
        <f t="shared" ref="L357" ca="1" si="1702">IF(L$2=1,$B357,K357)*IF($B361=1,L361,L360)</f>
        <v>61474.550363545713</v>
      </c>
      <c r="M357" s="285">
        <f t="shared" ref="M357" ca="1" si="1703">IF(M$2=1,$B357,L357)*IF($B361=1,M361,M360)</f>
        <v>61773.780845922003</v>
      </c>
      <c r="N357" s="285">
        <f t="shared" ref="N357" ca="1" si="1704">IF(N$2=1,$B357,M357)*IF($B361=1,N361,N360)</f>
        <v>62074.467847801949</v>
      </c>
      <c r="O357" s="285">
        <f t="shared" ref="O357" ca="1" si="1705">IF(O$2=1,$B357,N357)*IF($B361=1,O361,O360)</f>
        <v>62376.618458867888</v>
      </c>
      <c r="P357" s="285">
        <f t="shared" ref="P357" ca="1" si="1706">IF(P$2=1,$B357,O357)*IF($B361=1,P361,P360)</f>
        <v>62680.239803311539</v>
      </c>
      <c r="Q357" s="285">
        <f t="shared" ref="Q357" ca="1" si="1707">IF(Q$2=1,$B357,P357)*IF($B361=1,Q361,Q360)</f>
        <v>62985.339040001985</v>
      </c>
      <c r="R357" s="285">
        <f t="shared" ref="R357" ca="1" si="1708">IF(R$2=1,$B357,Q357)*IF($B361=1,R361,R360)</f>
        <v>63291.923362654474</v>
      </c>
      <c r="S357" s="285">
        <f t="shared" ref="S357" ca="1" si="1709">IF(S$2=1,$B357,R357)*IF($B361=1,S361,S360)</f>
        <v>63600.000000000015</v>
      </c>
      <c r="T357" s="285">
        <f t="shared" ref="T357" ca="1" si="1710">IF(T$2=1,$B357,S357)*IF($B361=1,T361,T360)</f>
        <v>63909.576215955829</v>
      </c>
      <c r="U357" s="285">
        <f t="shared" ref="U357" ca="1" si="1711">IF(U$2=1,$B357,T357)*IF($B361=1,U361,U360)</f>
        <v>64220.65930979664</v>
      </c>
      <c r="V357" s="285">
        <f t="shared" ref="V357" ca="1" si="1712">IF(V$2=1,$B357,U357)*IF($B361=1,V361,V360)</f>
        <v>64533.25661632674</v>
      </c>
      <c r="W357" s="285">
        <f t="shared" ref="W357" ca="1" si="1713">IF(W$2=1,$B357,V357)*IF($B361=1,W361,W360)</f>
        <v>64847.375506052973</v>
      </c>
      <c r="X357" s="285">
        <f t="shared" ref="X357" ca="1" si="1714">IF(X$2=1,$B357,W357)*IF($B361=1,X361,X360)</f>
        <v>65163.023385358472</v>
      </c>
      <c r="Y357" s="285">
        <f t="shared" ref="Y357" ca="1" si="1715">IF(Y$2=1,$B357,X357)*IF($B361=1,Y361,Y360)</f>
        <v>65480.207696677338</v>
      </c>
      <c r="Z357" s="285">
        <f t="shared" ref="Z357" ca="1" si="1716">IF(Z$2=1,$B357,Y357)*IF($B361=1,Z361,Z360)</f>
        <v>65798.935918670075</v>
      </c>
      <c r="AA357" s="285">
        <f t="shared" ref="AA357" ca="1" si="1717">IF(AA$2=1,$B357,Z357)*IF($B361=1,AA361,AA360)</f>
        <v>66119.215566399973</v>
      </c>
      <c r="AB357" s="285">
        <f t="shared" ref="AB357" ca="1" si="1718">IF(AB$2=1,$B357,AA357)*IF($B361=1,AB361,AB360)</f>
        <v>66441.054191510237</v>
      </c>
      <c r="AC357" s="285">
        <f t="shared" ref="AC357" ca="1" si="1719">IF(AC$2=1,$B357,AB357)*IF($B361=1,AC361,AC360)</f>
        <v>66764.459382402114</v>
      </c>
      <c r="AD357" s="285">
        <f t="shared" ref="AD357" ca="1" si="1720">IF(AD$2=1,$B357,AC357)*IF($B361=1,AD361,AD360)</f>
        <v>67089.438764413746</v>
      </c>
      <c r="AE357" s="285">
        <f t="shared" ref="AE357" ca="1" si="1721">IF(AE$2=1,$B357,AD357)*IF($B361=1,AE361,AE360)</f>
        <v>67416.000000000015</v>
      </c>
      <c r="AF357" s="285">
        <f t="shared" ref="AF357" ca="1" si="1722">IF(AF$2=1,$B357,AE357)*IF($B361=1,AF361,AF360)</f>
        <v>67744.150788913175</v>
      </c>
      <c r="AG357" s="285">
        <f t="shared" ref="AG357" ca="1" si="1723">IF(AG$2=1,$B357,AF357)*IF($B361=1,AG361,AG360)</f>
        <v>68073.898868384436</v>
      </c>
      <c r="AH357" s="285">
        <f t="shared" ref="AH357" ca="1" si="1724">IF(AH$2=1,$B357,AG357)*IF($B361=1,AH361,AH360)</f>
        <v>68405.252013306352</v>
      </c>
      <c r="AI357" s="285">
        <f t="shared" ref="AI357" ca="1" si="1725">IF(AI$2=1,$B357,AH357)*IF($B361=1,AI361,AI360)</f>
        <v>68738.218036416161</v>
      </c>
      <c r="AJ357" s="285">
        <f t="shared" ref="AJ357" ca="1" si="1726">IF(AJ$2=1,$B357,AI357)*IF($B361=1,AJ361,AJ360)</f>
        <v>69072.804788479989</v>
      </c>
      <c r="AK357" s="285">
        <f t="shared" ref="AK357" ca="1" si="1727">IF(AK$2=1,$B357,AJ357)*IF($B361=1,AK361,AK360)</f>
        <v>69409.020158477986</v>
      </c>
      <c r="AL357" s="285">
        <f t="shared" ref="AL357" ca="1" si="1728">IF(AL$2=1,$B357,AK357)*IF($B361=1,AL361,AL360)</f>
        <v>69746.872073790291</v>
      </c>
      <c r="AM357" s="285">
        <f t="shared" ref="AM357" ca="1" si="1729">IF(AM$2=1,$B357,AL357)*IF($B361=1,AM361,AM360)</f>
        <v>70086.368500383978</v>
      </c>
      <c r="AN357" s="285">
        <f t="shared" ref="AN357" ca="1" si="1730">IF(AN$2=1,$B357,AM357)*IF($B361=1,AN361,AN360)</f>
        <v>70427.517443000863</v>
      </c>
      <c r="AO357" s="285">
        <f t="shared" ref="AO357" ca="1" si="1731">IF(AO$2=1,$B357,AN357)*IF($B361=1,AO361,AO360)</f>
        <v>70770.326945346256</v>
      </c>
      <c r="AP357" s="285">
        <f t="shared" ref="AP357" ca="1" si="1732">IF(AP$2=1,$B357,AO357)*IF($B361=1,AP361,AP360)</f>
        <v>71114.805090278591</v>
      </c>
      <c r="AQ357" s="285">
        <f t="shared" ref="AQ357" ca="1" si="1733">IF(AQ$2=1,$B357,AP357)*IF($B361=1,AQ361,AQ360)</f>
        <v>71460.960000000036</v>
      </c>
      <c r="AR357" s="285">
        <f t="shared" ref="AR357" ca="1" si="1734">IF(AR$2=1,$B357,AQ357)*IF($B361=1,AR361,AR360)</f>
        <v>71808.799836247999</v>
      </c>
      <c r="AS357" s="285">
        <f t="shared" ref="AS357" ca="1" si="1735">IF(AS$2=1,$B357,AR357)*IF($B361=1,AS361,AS360)</f>
        <v>72158.332800487537</v>
      </c>
      <c r="AT357" s="285">
        <f t="shared" ref="AT357" ca="1" si="1736">IF(AT$2=1,$B357,AS357)*IF($B361=1,AT361,AT360)</f>
        <v>72509.567134104756</v>
      </c>
      <c r="AU357" s="285">
        <f t="shared" ref="AU357" ca="1" si="1737">IF(AU$2=1,$B357,AT357)*IF($B361=1,AU361,AU360)</f>
        <v>72862.511118601149</v>
      </c>
      <c r="AV357" s="285">
        <f t="shared" ref="AV357" ca="1" si="1738">IF(AV$2=1,$B357,AU357)*IF($B361=1,AV361,AV360)</f>
        <v>73217.173075788814</v>
      </c>
      <c r="AW357" s="285">
        <f t="shared" ref="AW357" ca="1" si="1739">IF(AW$2=1,$B357,AV357)*IF($B361=1,AW361,AW360)</f>
        <v>73573.561367986695</v>
      </c>
      <c r="AX357" s="285">
        <f t="shared" ref="AX357" ca="1" si="1740">IF(AX$2=1,$B357,AW357)*IF($B361=1,AX361,AX360)</f>
        <v>73931.684398217738</v>
      </c>
      <c r="AY357" s="285">
        <f t="shared" ref="AY357" ca="1" si="1741">IF(AY$2=1,$B357,AX357)*IF($B361=1,AY361,AY360)</f>
        <v>74291.550610407052</v>
      </c>
      <c r="AZ357" s="285">
        <f t="shared" ref="AZ357" ca="1" si="1742">IF(AZ$2=1,$B357,AY357)*IF($B361=1,AZ361,AZ360)</f>
        <v>74653.168489580945</v>
      </c>
      <c r="BA357" s="285">
        <f t="shared" ref="BA357" ca="1" si="1743">IF(BA$2=1,$B357,AZ357)*IF($B361=1,BA361,BA360)</f>
        <v>75016.546562067058</v>
      </c>
      <c r="BB357" s="285">
        <f t="shared" ref="BB357" ca="1" si="1744">IF(BB$2=1,$B357,BA357)*IF($B361=1,BB361,BB360)</f>
        <v>75381.693395695329</v>
      </c>
      <c r="BC357" s="177"/>
    </row>
    <row r="358" spans="1:56" collapsed="1" x14ac:dyDescent="0.3">
      <c r="A358" s="175" t="str">
        <f ca="1">Language!A$703</f>
        <v>заработная плата</v>
      </c>
      <c r="B358" s="205" t="str">
        <f ca="1">Language!$A$1479</f>
        <v>за период</v>
      </c>
      <c r="C358" s="176" t="str">
        <f t="shared" ref="C358" ca="1" si="1745">CHOOSE(D358,CurName1,CurName2,CurName3)</f>
        <v>руб.</v>
      </c>
      <c r="D358" s="174">
        <f>D355</f>
        <v>1</v>
      </c>
      <c r="E358" s="170" t="s">
        <v>784</v>
      </c>
      <c r="F358" s="170" t="s">
        <v>740</v>
      </c>
      <c r="G358" s="177">
        <f ca="1">G356*G357*Параметры!G$31</f>
        <v>0</v>
      </c>
      <c r="H358" s="177">
        <f ca="1">H356*H357*Параметры!H$31</f>
        <v>0</v>
      </c>
      <c r="I358" s="177">
        <f ca="1">I356*I357*Параметры!I$31</f>
        <v>0</v>
      </c>
      <c r="J358" s="177">
        <f ca="1">J356*J357*Параметры!J$31</f>
        <v>0</v>
      </c>
      <c r="K358" s="177">
        <f ca="1">K356*K357*Параметры!K$31</f>
        <v>0</v>
      </c>
      <c r="L358" s="177">
        <f ca="1">L356*L357*Параметры!L$31</f>
        <v>0</v>
      </c>
      <c r="M358" s="177">
        <f ca="1">M356*M357*Параметры!M$31</f>
        <v>61773.780845922003</v>
      </c>
      <c r="N358" s="177">
        <f ca="1">N356*N357*Параметры!N$31</f>
        <v>62074.467847801949</v>
      </c>
      <c r="O358" s="177">
        <f ca="1">O356*O357*Параметры!O$31</f>
        <v>62376.618458867888</v>
      </c>
      <c r="P358" s="177">
        <f ca="1">P356*P357*Параметры!P$31</f>
        <v>62680.239803311539</v>
      </c>
      <c r="Q358" s="177">
        <f ca="1">Q356*Q357*Параметры!Q$31</f>
        <v>62985.339040001985</v>
      </c>
      <c r="R358" s="177">
        <f ca="1">R356*R357*Параметры!R$31</f>
        <v>63291.923362654474</v>
      </c>
      <c r="S358" s="177">
        <f ca="1">S356*S357*Параметры!S$31</f>
        <v>63600.000000000015</v>
      </c>
      <c r="T358" s="177">
        <f ca="1">T356*T357*Параметры!T$31</f>
        <v>63909.576215955829</v>
      </c>
      <c r="U358" s="177">
        <f ca="1">U356*U357*Параметры!U$31</f>
        <v>64220.65930979664</v>
      </c>
      <c r="V358" s="177">
        <f ca="1">V356*V357*Параметры!V$31</f>
        <v>64533.25661632674</v>
      </c>
      <c r="W358" s="177">
        <f ca="1">W356*W357*Параметры!W$31</f>
        <v>64847.375506052973</v>
      </c>
      <c r="X358" s="177">
        <f ca="1">X356*X357*Параметры!X$31</f>
        <v>65163.023385358472</v>
      </c>
      <c r="Y358" s="177">
        <f ca="1">Y356*Y357*Параметры!Y$31</f>
        <v>65480.207696677338</v>
      </c>
      <c r="Z358" s="177">
        <f ca="1">Z356*Z357*Параметры!Z$31</f>
        <v>65798.935918670075</v>
      </c>
      <c r="AA358" s="177">
        <f ca="1">AA356*AA357*Параметры!AA$31</f>
        <v>66119.215566399973</v>
      </c>
      <c r="AB358" s="177">
        <f ca="1">AB356*AB357*Параметры!AB$31</f>
        <v>66441.054191510237</v>
      </c>
      <c r="AC358" s="177">
        <f ca="1">AC356*AC357*Параметры!AC$31</f>
        <v>66764.459382402114</v>
      </c>
      <c r="AD358" s="177">
        <f ca="1">AD356*AD357*Параметры!AD$31</f>
        <v>67089.438764413746</v>
      </c>
      <c r="AE358" s="177">
        <f ca="1">AE356*AE357*Параметры!AE$31</f>
        <v>67416.000000000015</v>
      </c>
      <c r="AF358" s="177">
        <f ca="1">AF356*AF357*Параметры!AF$31</f>
        <v>67744.150788913175</v>
      </c>
      <c r="AG358" s="177">
        <f ca="1">AG356*AG357*Параметры!AG$31</f>
        <v>68073.898868384436</v>
      </c>
      <c r="AH358" s="177">
        <f ca="1">AH356*AH357*Параметры!AH$31</f>
        <v>68405.252013306352</v>
      </c>
      <c r="AI358" s="177">
        <f ca="1">AI356*AI357*Параметры!AI$31</f>
        <v>68738.218036416161</v>
      </c>
      <c r="AJ358" s="177">
        <f ca="1">AJ356*AJ357*Параметры!AJ$31</f>
        <v>69072.804788479989</v>
      </c>
      <c r="AK358" s="177">
        <f ca="1">AK356*AK357*Параметры!AK$31</f>
        <v>69409.020158477986</v>
      </c>
      <c r="AL358" s="177">
        <f ca="1">AL356*AL357*Параметры!AL$31</f>
        <v>69746.872073790291</v>
      </c>
      <c r="AM358" s="177">
        <f ca="1">AM356*AM357*Параметры!AM$31</f>
        <v>70086.368500383978</v>
      </c>
      <c r="AN358" s="177">
        <f ca="1">AN356*AN357*Параметры!AN$31</f>
        <v>70427.517443000863</v>
      </c>
      <c r="AO358" s="177">
        <f ca="1">AO356*AO357*Параметры!AO$31</f>
        <v>70770.326945346256</v>
      </c>
      <c r="AP358" s="177">
        <f ca="1">AP356*AP357*Параметры!AP$31</f>
        <v>71114.805090278591</v>
      </c>
      <c r="AQ358" s="177">
        <f ca="1">AQ356*AQ357*Параметры!AQ$31</f>
        <v>71460.960000000036</v>
      </c>
      <c r="AR358" s="177">
        <f ca="1">AR356*AR357*Параметры!AR$31</f>
        <v>71808.799836247999</v>
      </c>
      <c r="AS358" s="177">
        <f ca="1">AS356*AS357*Параметры!AS$31</f>
        <v>72158.332800487537</v>
      </c>
      <c r="AT358" s="177">
        <f ca="1">AT356*AT357*Параметры!AT$31</f>
        <v>72509.567134104756</v>
      </c>
      <c r="AU358" s="177">
        <f ca="1">AU356*AU357*Параметры!AU$31</f>
        <v>72862.511118601149</v>
      </c>
      <c r="AV358" s="177">
        <f ca="1">AV356*AV357*Параметры!AV$31</f>
        <v>73217.173075788814</v>
      </c>
      <c r="AW358" s="177">
        <f ca="1">AW356*AW357*Параметры!AW$31</f>
        <v>73573.561367986695</v>
      </c>
      <c r="AX358" s="177">
        <f ca="1">AX356*AX357*Параметры!AX$31</f>
        <v>73931.684398217738</v>
      </c>
      <c r="AY358" s="177">
        <f ca="1">AY356*AY357*Параметры!AY$31</f>
        <v>74291.550610407052</v>
      </c>
      <c r="AZ358" s="177">
        <f ca="1">AZ356*AZ357*Параметры!AZ$31</f>
        <v>74653.168489580945</v>
      </c>
      <c r="BA358" s="177">
        <f ca="1">BA356*BA357*Параметры!BA$31</f>
        <v>75016.546562067058</v>
      </c>
      <c r="BB358" s="177">
        <f ca="1">BB356*BB357*Параметры!BB$31</f>
        <v>75381.693395695329</v>
      </c>
      <c r="BC358" s="177"/>
      <c r="BD358" s="178">
        <f ca="1">SUM(G358:BC358)</f>
        <v>2871020.3554080874</v>
      </c>
    </row>
    <row r="359" spans="1:56" hidden="1" outlineLevel="1" x14ac:dyDescent="0.3">
      <c r="A359" s="184" t="str">
        <f ca="1">Language!A$705</f>
        <v>темп изменения цен</v>
      </c>
      <c r="B359" s="189"/>
      <c r="C359" s="163" t="str">
        <f ca="1">Language!$A$480</f>
        <v>% в год</v>
      </c>
      <c r="D359" s="174"/>
      <c r="F359" s="170" t="s">
        <v>2346</v>
      </c>
      <c r="G359" s="290">
        <f>CHOOSE($D355,Параметры!G$50,Параметры!G$56,Параметры!G$62)</f>
        <v>0.06</v>
      </c>
      <c r="H359" s="290">
        <f>CHOOSE($D355,Параметры!H$50,Параметры!H$56,Параметры!H$62)</f>
        <v>0.06</v>
      </c>
      <c r="I359" s="290">
        <f>CHOOSE($D355,Параметры!I$50,Параметры!I$56,Параметры!I$62)</f>
        <v>0.06</v>
      </c>
      <c r="J359" s="290">
        <f>CHOOSE($D355,Параметры!J$50,Параметры!J$56,Параметры!J$62)</f>
        <v>0.06</v>
      </c>
      <c r="K359" s="290">
        <f>CHOOSE($D355,Параметры!K$50,Параметры!K$56,Параметры!K$62)</f>
        <v>0.06</v>
      </c>
      <c r="L359" s="290">
        <f>CHOOSE($D355,Параметры!L$50,Параметры!L$56,Параметры!L$62)</f>
        <v>0.06</v>
      </c>
      <c r="M359" s="290">
        <f>CHOOSE($D355,Параметры!M$50,Параметры!M$56,Параметры!M$62)</f>
        <v>0.06</v>
      </c>
      <c r="N359" s="290">
        <f>CHOOSE($D355,Параметры!N$50,Параметры!N$56,Параметры!N$62)</f>
        <v>0.06</v>
      </c>
      <c r="O359" s="290">
        <f>CHOOSE($D355,Параметры!O$50,Параметры!O$56,Параметры!O$62)</f>
        <v>0.06</v>
      </c>
      <c r="P359" s="290">
        <f>CHOOSE($D355,Параметры!P$50,Параметры!P$56,Параметры!P$62)</f>
        <v>0.06</v>
      </c>
      <c r="Q359" s="290">
        <f>CHOOSE($D355,Параметры!Q$50,Параметры!Q$56,Параметры!Q$62)</f>
        <v>0.06</v>
      </c>
      <c r="R359" s="290">
        <f>CHOOSE($D355,Параметры!R$50,Параметры!R$56,Параметры!R$62)</f>
        <v>0.06</v>
      </c>
      <c r="S359" s="290">
        <f>CHOOSE($D355,Параметры!S$50,Параметры!S$56,Параметры!S$62)</f>
        <v>0.06</v>
      </c>
      <c r="T359" s="290">
        <f>CHOOSE($D355,Параметры!T$50,Параметры!T$56,Параметры!T$62)</f>
        <v>0.06</v>
      </c>
      <c r="U359" s="290">
        <f>CHOOSE($D355,Параметры!U$50,Параметры!U$56,Параметры!U$62)</f>
        <v>0.06</v>
      </c>
      <c r="V359" s="290">
        <f>CHOOSE($D355,Параметры!V$50,Параметры!V$56,Параметры!V$62)</f>
        <v>0.06</v>
      </c>
      <c r="W359" s="290">
        <f>CHOOSE($D355,Параметры!W$50,Параметры!W$56,Параметры!W$62)</f>
        <v>0.06</v>
      </c>
      <c r="X359" s="290">
        <f>CHOOSE($D355,Параметры!X$50,Параметры!X$56,Параметры!X$62)</f>
        <v>0.06</v>
      </c>
      <c r="Y359" s="290">
        <f>CHOOSE($D355,Параметры!Y$50,Параметры!Y$56,Параметры!Y$62)</f>
        <v>0.06</v>
      </c>
      <c r="Z359" s="290">
        <f>CHOOSE($D355,Параметры!Z$50,Параметры!Z$56,Параметры!Z$62)</f>
        <v>0.06</v>
      </c>
      <c r="AA359" s="290">
        <f>CHOOSE($D355,Параметры!AA$50,Параметры!AA$56,Параметры!AA$62)</f>
        <v>0.06</v>
      </c>
      <c r="AB359" s="290">
        <f>CHOOSE($D355,Параметры!AB$50,Параметры!AB$56,Параметры!AB$62)</f>
        <v>0.06</v>
      </c>
      <c r="AC359" s="290">
        <f>CHOOSE($D355,Параметры!AC$50,Параметры!AC$56,Параметры!AC$62)</f>
        <v>0.06</v>
      </c>
      <c r="AD359" s="290">
        <f>CHOOSE($D355,Параметры!AD$50,Параметры!AD$56,Параметры!AD$62)</f>
        <v>0.06</v>
      </c>
      <c r="AE359" s="290">
        <f>CHOOSE($D355,Параметры!AE$50,Параметры!AE$56,Параметры!AE$62)</f>
        <v>0.06</v>
      </c>
      <c r="AF359" s="290">
        <f>CHOOSE($D355,Параметры!AF$50,Параметры!AF$56,Параметры!AF$62)</f>
        <v>0.06</v>
      </c>
      <c r="AG359" s="290">
        <f>CHOOSE($D355,Параметры!AG$50,Параметры!AG$56,Параметры!AG$62)</f>
        <v>0.06</v>
      </c>
      <c r="AH359" s="290">
        <f>CHOOSE($D355,Параметры!AH$50,Параметры!AH$56,Параметры!AH$62)</f>
        <v>0.06</v>
      </c>
      <c r="AI359" s="290">
        <f>CHOOSE($D355,Параметры!AI$50,Параметры!AI$56,Параметры!AI$62)</f>
        <v>0.06</v>
      </c>
      <c r="AJ359" s="290">
        <f>CHOOSE($D355,Параметры!AJ$50,Параметры!AJ$56,Параметры!AJ$62)</f>
        <v>0.06</v>
      </c>
      <c r="AK359" s="290">
        <f>CHOOSE($D355,Параметры!AK$50,Параметры!AK$56,Параметры!AK$62)</f>
        <v>0.06</v>
      </c>
      <c r="AL359" s="290">
        <f>CHOOSE($D355,Параметры!AL$50,Параметры!AL$56,Параметры!AL$62)</f>
        <v>0.06</v>
      </c>
      <c r="AM359" s="290">
        <f>CHOOSE($D355,Параметры!AM$50,Параметры!AM$56,Параметры!AM$62)</f>
        <v>0.06</v>
      </c>
      <c r="AN359" s="290">
        <f>CHOOSE($D355,Параметры!AN$50,Параметры!AN$56,Параметры!AN$62)</f>
        <v>0.06</v>
      </c>
      <c r="AO359" s="290">
        <f>CHOOSE($D355,Параметры!AO$50,Параметры!AO$56,Параметры!AO$62)</f>
        <v>0.06</v>
      </c>
      <c r="AP359" s="290">
        <f>CHOOSE($D355,Параметры!AP$50,Параметры!AP$56,Параметры!AP$62)</f>
        <v>0.06</v>
      </c>
      <c r="AQ359" s="290">
        <f>CHOOSE($D355,Параметры!AQ$50,Параметры!AQ$56,Параметры!AQ$62)</f>
        <v>0.06</v>
      </c>
      <c r="AR359" s="290">
        <f>CHOOSE($D355,Параметры!AR$50,Параметры!AR$56,Параметры!AR$62)</f>
        <v>0.06</v>
      </c>
      <c r="AS359" s="290">
        <f>CHOOSE($D355,Параметры!AS$50,Параметры!AS$56,Параметры!AS$62)</f>
        <v>0.06</v>
      </c>
      <c r="AT359" s="290">
        <f>CHOOSE($D355,Параметры!AT$50,Параметры!AT$56,Параметры!AT$62)</f>
        <v>0.06</v>
      </c>
      <c r="AU359" s="290">
        <f>CHOOSE($D355,Параметры!AU$50,Параметры!AU$56,Параметры!AU$62)</f>
        <v>0.06</v>
      </c>
      <c r="AV359" s="290">
        <f>CHOOSE($D355,Параметры!AV$50,Параметры!AV$56,Параметры!AV$62)</f>
        <v>0.06</v>
      </c>
      <c r="AW359" s="290">
        <f>CHOOSE($D355,Параметры!AW$50,Параметры!AW$56,Параметры!AW$62)</f>
        <v>0.06</v>
      </c>
      <c r="AX359" s="290">
        <f>CHOOSE($D355,Параметры!AX$50,Параметры!AX$56,Параметры!AX$62)</f>
        <v>0.06</v>
      </c>
      <c r="AY359" s="290">
        <f>CHOOSE($D355,Параметры!AY$50,Параметры!AY$56,Параметры!AY$62)</f>
        <v>0.06</v>
      </c>
      <c r="AZ359" s="290">
        <f>CHOOSE($D355,Параметры!AZ$50,Параметры!AZ$56,Параметры!AZ$62)</f>
        <v>0.06</v>
      </c>
      <c r="BA359" s="290">
        <f>CHOOSE($D355,Параметры!BA$50,Параметры!BA$56,Параметры!BA$62)</f>
        <v>0.06</v>
      </c>
      <c r="BB359" s="290">
        <f>CHOOSE($D355,Параметры!BB$50,Параметры!BB$56,Параметры!BB$62)</f>
        <v>0.06</v>
      </c>
      <c r="BC359" s="190"/>
      <c r="BD359" s="186"/>
    </row>
    <row r="360" spans="1:56" hidden="1" outlineLevel="1" x14ac:dyDescent="0.3">
      <c r="A360" s="184" t="str">
        <f ca="1">Language!A$675</f>
        <v>коэффициент прироста цен к предыдущему периоду</v>
      </c>
      <c r="B360" s="189"/>
      <c r="C360" s="163" t="str">
        <f ca="1">Language!$A$1477</f>
        <v>раз</v>
      </c>
      <c r="D360" s="174"/>
      <c r="F360" s="170" t="s">
        <v>745</v>
      </c>
      <c r="G360" s="191">
        <f ca="1">IF(G$2=1,1,IF(Prj_Inflation=1, (1+OFFSET(G359,0,-1))^(Параметры!G$30/360), 1))</f>
        <v>1</v>
      </c>
      <c r="H360" s="191">
        <f ca="1">IF(H$2=1,1,IF(Prj_Inflation=1, (1+OFFSET(H359,0,-1))^(Параметры!H$30/360), 1))</f>
        <v>1.004867550565343</v>
      </c>
      <c r="I360" s="191">
        <f ca="1">IF(I$2=1,1,IF(Prj_Inflation=1, (1+OFFSET(I359,0,-1))^(Параметры!I$30/360), 1))</f>
        <v>1.004867550565343</v>
      </c>
      <c r="J360" s="191">
        <f ca="1">IF(J$2=1,1,IF(Prj_Inflation=1, (1+OFFSET(J359,0,-1))^(Параметры!J$30/360), 1))</f>
        <v>1.004867550565343</v>
      </c>
      <c r="K360" s="191">
        <f ca="1">IF(K$2=1,1,IF(Prj_Inflation=1, (1+OFFSET(K359,0,-1))^(Параметры!K$30/360), 1))</f>
        <v>1.004867550565343</v>
      </c>
      <c r="L360" s="191">
        <f ca="1">IF(L$2=1,1,IF(Prj_Inflation=1, (1+OFFSET(L359,0,-1))^(Параметры!L$30/360), 1))</f>
        <v>1.004867550565343</v>
      </c>
      <c r="M360" s="191">
        <f ca="1">IF(M$2=1,1,IF(Prj_Inflation=1, (1+OFFSET(M359,0,-1))^(Параметры!M$30/360), 1))</f>
        <v>1.004867550565343</v>
      </c>
      <c r="N360" s="191">
        <f ca="1">IF(N$2=1,1,IF(Prj_Inflation=1, (1+OFFSET(N359,0,-1))^(Параметры!N$30/360), 1))</f>
        <v>1.004867550565343</v>
      </c>
      <c r="O360" s="191">
        <f ca="1">IF(O$2=1,1,IF(Prj_Inflation=1, (1+OFFSET(O359,0,-1))^(Параметры!O$30/360), 1))</f>
        <v>1.004867550565343</v>
      </c>
      <c r="P360" s="191">
        <f ca="1">IF(P$2=1,1,IF(Prj_Inflation=1, (1+OFFSET(P359,0,-1))^(Параметры!P$30/360), 1))</f>
        <v>1.004867550565343</v>
      </c>
      <c r="Q360" s="191">
        <f ca="1">IF(Q$2=1,1,IF(Prj_Inflation=1, (1+OFFSET(Q359,0,-1))^(Параметры!Q$30/360), 1))</f>
        <v>1.004867550565343</v>
      </c>
      <c r="R360" s="191">
        <f ca="1">IF(R$2=1,1,IF(Prj_Inflation=1, (1+OFFSET(R359,0,-1))^(Параметры!R$30/360), 1))</f>
        <v>1.004867550565343</v>
      </c>
      <c r="S360" s="191">
        <f ca="1">IF(S$2=1,1,IF(Prj_Inflation=1, (1+OFFSET(S359,0,-1))^(Параметры!S$30/360), 1))</f>
        <v>1.004867550565343</v>
      </c>
      <c r="T360" s="191">
        <f ca="1">IF(T$2=1,1,IF(Prj_Inflation=1, (1+OFFSET(T359,0,-1))^(Параметры!T$30/360), 1))</f>
        <v>1.004867550565343</v>
      </c>
      <c r="U360" s="191">
        <f ca="1">IF(U$2=1,1,IF(Prj_Inflation=1, (1+OFFSET(U359,0,-1))^(Параметры!U$30/360), 1))</f>
        <v>1.004867550565343</v>
      </c>
      <c r="V360" s="191">
        <f ca="1">IF(V$2=1,1,IF(Prj_Inflation=1, (1+OFFSET(V359,0,-1))^(Параметры!V$30/360), 1))</f>
        <v>1.004867550565343</v>
      </c>
      <c r="W360" s="191">
        <f ca="1">IF(W$2=1,1,IF(Prj_Inflation=1, (1+OFFSET(W359,0,-1))^(Параметры!W$30/360), 1))</f>
        <v>1.004867550565343</v>
      </c>
      <c r="X360" s="191">
        <f ca="1">IF(X$2=1,1,IF(Prj_Inflation=1, (1+OFFSET(X359,0,-1))^(Параметры!X$30/360), 1))</f>
        <v>1.004867550565343</v>
      </c>
      <c r="Y360" s="191">
        <f ca="1">IF(Y$2=1,1,IF(Prj_Inflation=1, (1+OFFSET(Y359,0,-1))^(Параметры!Y$30/360), 1))</f>
        <v>1.004867550565343</v>
      </c>
      <c r="Z360" s="191">
        <f ca="1">IF(Z$2=1,1,IF(Prj_Inflation=1, (1+OFFSET(Z359,0,-1))^(Параметры!Z$30/360), 1))</f>
        <v>1.004867550565343</v>
      </c>
      <c r="AA360" s="191">
        <f ca="1">IF(AA$2=1,1,IF(Prj_Inflation=1, (1+OFFSET(AA359,0,-1))^(Параметры!AA$30/360), 1))</f>
        <v>1.004867550565343</v>
      </c>
      <c r="AB360" s="191">
        <f ca="1">IF(AB$2=1,1,IF(Prj_Inflation=1, (1+OFFSET(AB359,0,-1))^(Параметры!AB$30/360), 1))</f>
        <v>1.004867550565343</v>
      </c>
      <c r="AC360" s="191">
        <f ca="1">IF(AC$2=1,1,IF(Prj_Inflation=1, (1+OFFSET(AC359,0,-1))^(Параметры!AC$30/360), 1))</f>
        <v>1.004867550565343</v>
      </c>
      <c r="AD360" s="191">
        <f ca="1">IF(AD$2=1,1,IF(Prj_Inflation=1, (1+OFFSET(AD359,0,-1))^(Параметры!AD$30/360), 1))</f>
        <v>1.004867550565343</v>
      </c>
      <c r="AE360" s="191">
        <f ca="1">IF(AE$2=1,1,IF(Prj_Inflation=1, (1+OFFSET(AE359,0,-1))^(Параметры!AE$30/360), 1))</f>
        <v>1.004867550565343</v>
      </c>
      <c r="AF360" s="191">
        <f ca="1">IF(AF$2=1,1,IF(Prj_Inflation=1, (1+OFFSET(AF359,0,-1))^(Параметры!AF$30/360), 1))</f>
        <v>1.004867550565343</v>
      </c>
      <c r="AG360" s="191">
        <f ca="1">IF(AG$2=1,1,IF(Prj_Inflation=1, (1+OFFSET(AG359,0,-1))^(Параметры!AG$30/360), 1))</f>
        <v>1.004867550565343</v>
      </c>
      <c r="AH360" s="191">
        <f ca="1">IF(AH$2=1,1,IF(Prj_Inflation=1, (1+OFFSET(AH359,0,-1))^(Параметры!AH$30/360), 1))</f>
        <v>1.004867550565343</v>
      </c>
      <c r="AI360" s="191">
        <f ca="1">IF(AI$2=1,1,IF(Prj_Inflation=1, (1+OFFSET(AI359,0,-1))^(Параметры!AI$30/360), 1))</f>
        <v>1.004867550565343</v>
      </c>
      <c r="AJ360" s="191">
        <f ca="1">IF(AJ$2=1,1,IF(Prj_Inflation=1, (1+OFFSET(AJ359,0,-1))^(Параметры!AJ$30/360), 1))</f>
        <v>1.004867550565343</v>
      </c>
      <c r="AK360" s="191">
        <f ca="1">IF(AK$2=1,1,IF(Prj_Inflation=1, (1+OFFSET(AK359,0,-1))^(Параметры!AK$30/360), 1))</f>
        <v>1.004867550565343</v>
      </c>
      <c r="AL360" s="191">
        <f ca="1">IF(AL$2=1,1,IF(Prj_Inflation=1, (1+OFFSET(AL359,0,-1))^(Параметры!AL$30/360), 1))</f>
        <v>1.004867550565343</v>
      </c>
      <c r="AM360" s="191">
        <f ca="1">IF(AM$2=1,1,IF(Prj_Inflation=1, (1+OFFSET(AM359,0,-1))^(Параметры!AM$30/360), 1))</f>
        <v>1.004867550565343</v>
      </c>
      <c r="AN360" s="191">
        <f ca="1">IF(AN$2=1,1,IF(Prj_Inflation=1, (1+OFFSET(AN359,0,-1))^(Параметры!AN$30/360), 1))</f>
        <v>1.004867550565343</v>
      </c>
      <c r="AO360" s="191">
        <f ca="1">IF(AO$2=1,1,IF(Prj_Inflation=1, (1+OFFSET(AO359,0,-1))^(Параметры!AO$30/360), 1))</f>
        <v>1.004867550565343</v>
      </c>
      <c r="AP360" s="191">
        <f ca="1">IF(AP$2=1,1,IF(Prj_Inflation=1, (1+OFFSET(AP359,0,-1))^(Параметры!AP$30/360), 1))</f>
        <v>1.004867550565343</v>
      </c>
      <c r="AQ360" s="191">
        <f ca="1">IF(AQ$2=1,1,IF(Prj_Inflation=1, (1+OFFSET(AQ359,0,-1))^(Параметры!AQ$30/360), 1))</f>
        <v>1.004867550565343</v>
      </c>
      <c r="AR360" s="191">
        <f ca="1">IF(AR$2=1,1,IF(Prj_Inflation=1, (1+OFFSET(AR359,0,-1))^(Параметры!AR$30/360), 1))</f>
        <v>1.004867550565343</v>
      </c>
      <c r="AS360" s="191">
        <f ca="1">IF(AS$2=1,1,IF(Prj_Inflation=1, (1+OFFSET(AS359,0,-1))^(Параметры!AS$30/360), 1))</f>
        <v>1.004867550565343</v>
      </c>
      <c r="AT360" s="191">
        <f ca="1">IF(AT$2=1,1,IF(Prj_Inflation=1, (1+OFFSET(AT359,0,-1))^(Параметры!AT$30/360), 1))</f>
        <v>1.004867550565343</v>
      </c>
      <c r="AU360" s="191">
        <f ca="1">IF(AU$2=1,1,IF(Prj_Inflation=1, (1+OFFSET(AU359,0,-1))^(Параметры!AU$30/360), 1))</f>
        <v>1.004867550565343</v>
      </c>
      <c r="AV360" s="191">
        <f ca="1">IF(AV$2=1,1,IF(Prj_Inflation=1, (1+OFFSET(AV359,0,-1))^(Параметры!AV$30/360), 1))</f>
        <v>1.004867550565343</v>
      </c>
      <c r="AW360" s="191">
        <f ca="1">IF(AW$2=1,1,IF(Prj_Inflation=1, (1+OFFSET(AW359,0,-1))^(Параметры!AW$30/360), 1))</f>
        <v>1.004867550565343</v>
      </c>
      <c r="AX360" s="191">
        <f ca="1">IF(AX$2=1,1,IF(Prj_Inflation=1, (1+OFFSET(AX359,0,-1))^(Параметры!AX$30/360), 1))</f>
        <v>1.004867550565343</v>
      </c>
      <c r="AY360" s="191">
        <f ca="1">IF(AY$2=1,1,IF(Prj_Inflation=1, (1+OFFSET(AY359,0,-1))^(Параметры!AY$30/360), 1))</f>
        <v>1.004867550565343</v>
      </c>
      <c r="AZ360" s="191">
        <f ca="1">IF(AZ$2=1,1,IF(Prj_Inflation=1, (1+OFFSET(AZ359,0,-1))^(Параметры!AZ$30/360), 1))</f>
        <v>1.004867550565343</v>
      </c>
      <c r="BA360" s="191">
        <f ca="1">IF(BA$2=1,1,IF(Prj_Inflation=1, (1+OFFSET(BA359,0,-1))^(Параметры!BA$30/360), 1))</f>
        <v>1.004867550565343</v>
      </c>
      <c r="BB360" s="191">
        <f ca="1">IF(BB$2=1,1,IF(Prj_Inflation=1, (1+OFFSET(BB359,0,-1))^(Параметры!BB$30/360), 1))</f>
        <v>1.004867550565343</v>
      </c>
      <c r="BC360" s="191"/>
      <c r="BD360" s="186"/>
    </row>
    <row r="361" spans="1:56" hidden="1" outlineLevel="1" x14ac:dyDescent="0.3">
      <c r="A361" s="184" t="str">
        <f ca="1">Language!A$1486</f>
        <v>индексировать в начале года</v>
      </c>
      <c r="B361" s="291">
        <v>0</v>
      </c>
      <c r="C361" s="163" t="str">
        <f ca="1">IF(B361=1,Language!$A$1475,Language!$A$1476)</f>
        <v>Нет</v>
      </c>
      <c r="D361" s="174"/>
      <c r="F361" s="170" t="s">
        <v>3408</v>
      </c>
      <c r="G361" s="192" t="str">
        <f ca="1">IF(Prj_Inflation=1,IF($B361=1,IF(G$2=1,1,IF(Параметры!G$29=1,1+OFFSET(G359,0,-1),1)),"-"),1)</f>
        <v>-</v>
      </c>
      <c r="H361" s="192" t="str">
        <f ca="1">IF(Prj_Inflation=1,IF($B361=1,IF(H$2=1,1,IF(Параметры!H$29=1,1+OFFSET(H359,0,-1),1)),"-"),1)</f>
        <v>-</v>
      </c>
      <c r="I361" s="192" t="str">
        <f ca="1">IF(Prj_Inflation=1,IF($B361=1,IF(I$2=1,1,IF(Параметры!I$29=1,1+OFFSET(I359,0,-1),1)),"-"),1)</f>
        <v>-</v>
      </c>
      <c r="J361" s="192" t="str">
        <f ca="1">IF(Prj_Inflation=1,IF($B361=1,IF(J$2=1,1,IF(Параметры!J$29=1,1+OFFSET(J359,0,-1),1)),"-"),1)</f>
        <v>-</v>
      </c>
      <c r="K361" s="192" t="str">
        <f ca="1">IF(Prj_Inflation=1,IF($B361=1,IF(K$2=1,1,IF(Параметры!K$29=1,1+OFFSET(K359,0,-1),1)),"-"),1)</f>
        <v>-</v>
      </c>
      <c r="L361" s="192" t="str">
        <f ca="1">IF(Prj_Inflation=1,IF($B361=1,IF(L$2=1,1,IF(Параметры!L$29=1,1+OFFSET(L359,0,-1),1)),"-"),1)</f>
        <v>-</v>
      </c>
      <c r="M361" s="192" t="str">
        <f ca="1">IF(Prj_Inflation=1,IF($B361=1,IF(M$2=1,1,IF(Параметры!M$29=1,1+OFFSET(M359,0,-1),1)),"-"),1)</f>
        <v>-</v>
      </c>
      <c r="N361" s="192" t="str">
        <f ca="1">IF(Prj_Inflation=1,IF($B361=1,IF(N$2=1,1,IF(Параметры!N$29=1,1+OFFSET(N359,0,-1),1)),"-"),1)</f>
        <v>-</v>
      </c>
      <c r="O361" s="192" t="str">
        <f ca="1">IF(Prj_Inflation=1,IF($B361=1,IF(O$2=1,1,IF(Параметры!O$29=1,1+OFFSET(O359,0,-1),1)),"-"),1)</f>
        <v>-</v>
      </c>
      <c r="P361" s="192" t="str">
        <f ca="1">IF(Prj_Inflation=1,IF($B361=1,IF(P$2=1,1,IF(Параметры!P$29=1,1+OFFSET(P359,0,-1),1)),"-"),1)</f>
        <v>-</v>
      </c>
      <c r="Q361" s="192" t="str">
        <f ca="1">IF(Prj_Inflation=1,IF($B361=1,IF(Q$2=1,1,IF(Параметры!Q$29=1,1+OFFSET(Q359,0,-1),1)),"-"),1)</f>
        <v>-</v>
      </c>
      <c r="R361" s="192" t="str">
        <f ca="1">IF(Prj_Inflation=1,IF($B361=1,IF(R$2=1,1,IF(Параметры!R$29=1,1+OFFSET(R359,0,-1),1)),"-"),1)</f>
        <v>-</v>
      </c>
      <c r="S361" s="192" t="str">
        <f ca="1">IF(Prj_Inflation=1,IF($B361=1,IF(S$2=1,1,IF(Параметры!S$29=1,1+OFFSET(S359,0,-1),1)),"-"),1)</f>
        <v>-</v>
      </c>
      <c r="T361" s="192" t="str">
        <f ca="1">IF(Prj_Inflation=1,IF($B361=1,IF(T$2=1,1,IF(Параметры!T$29=1,1+OFFSET(T359,0,-1),1)),"-"),1)</f>
        <v>-</v>
      </c>
      <c r="U361" s="192" t="str">
        <f ca="1">IF(Prj_Inflation=1,IF($B361=1,IF(U$2=1,1,IF(Параметры!U$29=1,1+OFFSET(U359,0,-1),1)),"-"),1)</f>
        <v>-</v>
      </c>
      <c r="V361" s="192" t="str">
        <f ca="1">IF(Prj_Inflation=1,IF($B361=1,IF(V$2=1,1,IF(Параметры!V$29=1,1+OFFSET(V359,0,-1),1)),"-"),1)</f>
        <v>-</v>
      </c>
      <c r="W361" s="192" t="str">
        <f ca="1">IF(Prj_Inflation=1,IF($B361=1,IF(W$2=1,1,IF(Параметры!W$29=1,1+OFFSET(W359,0,-1),1)),"-"),1)</f>
        <v>-</v>
      </c>
      <c r="X361" s="192" t="str">
        <f ca="1">IF(Prj_Inflation=1,IF($B361=1,IF(X$2=1,1,IF(Параметры!X$29=1,1+OFFSET(X359,0,-1),1)),"-"),1)</f>
        <v>-</v>
      </c>
      <c r="Y361" s="192" t="str">
        <f ca="1">IF(Prj_Inflation=1,IF($B361=1,IF(Y$2=1,1,IF(Параметры!Y$29=1,1+OFFSET(Y359,0,-1),1)),"-"),1)</f>
        <v>-</v>
      </c>
      <c r="Z361" s="192" t="str">
        <f ca="1">IF(Prj_Inflation=1,IF($B361=1,IF(Z$2=1,1,IF(Параметры!Z$29=1,1+OFFSET(Z359,0,-1),1)),"-"),1)</f>
        <v>-</v>
      </c>
      <c r="AA361" s="192" t="str">
        <f ca="1">IF(Prj_Inflation=1,IF($B361=1,IF(AA$2=1,1,IF(Параметры!AA$29=1,1+OFFSET(AA359,0,-1),1)),"-"),1)</f>
        <v>-</v>
      </c>
      <c r="AB361" s="192" t="str">
        <f ca="1">IF(Prj_Inflation=1,IF($B361=1,IF(AB$2=1,1,IF(Параметры!AB$29=1,1+OFFSET(AB359,0,-1),1)),"-"),1)</f>
        <v>-</v>
      </c>
      <c r="AC361" s="192" t="str">
        <f ca="1">IF(Prj_Inflation=1,IF($B361=1,IF(AC$2=1,1,IF(Параметры!AC$29=1,1+OFFSET(AC359,0,-1),1)),"-"),1)</f>
        <v>-</v>
      </c>
      <c r="AD361" s="192" t="str">
        <f ca="1">IF(Prj_Inflation=1,IF($B361=1,IF(AD$2=1,1,IF(Параметры!AD$29=1,1+OFFSET(AD359,0,-1),1)),"-"),1)</f>
        <v>-</v>
      </c>
      <c r="AE361" s="192" t="str">
        <f ca="1">IF(Prj_Inflation=1,IF($B361=1,IF(AE$2=1,1,IF(Параметры!AE$29=1,1+OFFSET(AE359,0,-1),1)),"-"),1)</f>
        <v>-</v>
      </c>
      <c r="AF361" s="192" t="str">
        <f ca="1">IF(Prj_Inflation=1,IF($B361=1,IF(AF$2=1,1,IF(Параметры!AF$29=1,1+OFFSET(AF359,0,-1),1)),"-"),1)</f>
        <v>-</v>
      </c>
      <c r="AG361" s="192" t="str">
        <f ca="1">IF(Prj_Inflation=1,IF($B361=1,IF(AG$2=1,1,IF(Параметры!AG$29=1,1+OFFSET(AG359,0,-1),1)),"-"),1)</f>
        <v>-</v>
      </c>
      <c r="AH361" s="192" t="str">
        <f ca="1">IF(Prj_Inflation=1,IF($B361=1,IF(AH$2=1,1,IF(Параметры!AH$29=1,1+OFFSET(AH359,0,-1),1)),"-"),1)</f>
        <v>-</v>
      </c>
      <c r="AI361" s="192" t="str">
        <f ca="1">IF(Prj_Inflation=1,IF($B361=1,IF(AI$2=1,1,IF(Параметры!AI$29=1,1+OFFSET(AI359,0,-1),1)),"-"),1)</f>
        <v>-</v>
      </c>
      <c r="AJ361" s="192" t="str">
        <f ca="1">IF(Prj_Inflation=1,IF($B361=1,IF(AJ$2=1,1,IF(Параметры!AJ$29=1,1+OFFSET(AJ359,0,-1),1)),"-"),1)</f>
        <v>-</v>
      </c>
      <c r="AK361" s="192" t="str">
        <f ca="1">IF(Prj_Inflation=1,IF($B361=1,IF(AK$2=1,1,IF(Параметры!AK$29=1,1+OFFSET(AK359,0,-1),1)),"-"),1)</f>
        <v>-</v>
      </c>
      <c r="AL361" s="192" t="str">
        <f ca="1">IF(Prj_Inflation=1,IF($B361=1,IF(AL$2=1,1,IF(Параметры!AL$29=1,1+OFFSET(AL359,0,-1),1)),"-"),1)</f>
        <v>-</v>
      </c>
      <c r="AM361" s="192" t="str">
        <f ca="1">IF(Prj_Inflation=1,IF($B361=1,IF(AM$2=1,1,IF(Параметры!AM$29=1,1+OFFSET(AM359,0,-1),1)),"-"),1)</f>
        <v>-</v>
      </c>
      <c r="AN361" s="192" t="str">
        <f ca="1">IF(Prj_Inflation=1,IF($B361=1,IF(AN$2=1,1,IF(Параметры!AN$29=1,1+OFFSET(AN359,0,-1),1)),"-"),1)</f>
        <v>-</v>
      </c>
      <c r="AO361" s="192" t="str">
        <f ca="1">IF(Prj_Inflation=1,IF($B361=1,IF(AO$2=1,1,IF(Параметры!AO$29=1,1+OFFSET(AO359,0,-1),1)),"-"),1)</f>
        <v>-</v>
      </c>
      <c r="AP361" s="192" t="str">
        <f ca="1">IF(Prj_Inflation=1,IF($B361=1,IF(AP$2=1,1,IF(Параметры!AP$29=1,1+OFFSET(AP359,0,-1),1)),"-"),1)</f>
        <v>-</v>
      </c>
      <c r="AQ361" s="192" t="str">
        <f ca="1">IF(Prj_Inflation=1,IF($B361=1,IF(AQ$2=1,1,IF(Параметры!AQ$29=1,1+OFFSET(AQ359,0,-1),1)),"-"),1)</f>
        <v>-</v>
      </c>
      <c r="AR361" s="192" t="str">
        <f ca="1">IF(Prj_Inflation=1,IF($B361=1,IF(AR$2=1,1,IF(Параметры!AR$29=1,1+OFFSET(AR359,0,-1),1)),"-"),1)</f>
        <v>-</v>
      </c>
      <c r="AS361" s="192" t="str">
        <f ca="1">IF(Prj_Inflation=1,IF($B361=1,IF(AS$2=1,1,IF(Параметры!AS$29=1,1+OFFSET(AS359,0,-1),1)),"-"),1)</f>
        <v>-</v>
      </c>
      <c r="AT361" s="192" t="str">
        <f ca="1">IF(Prj_Inflation=1,IF($B361=1,IF(AT$2=1,1,IF(Параметры!AT$29=1,1+OFFSET(AT359,0,-1),1)),"-"),1)</f>
        <v>-</v>
      </c>
      <c r="AU361" s="192" t="str">
        <f ca="1">IF(Prj_Inflation=1,IF($B361=1,IF(AU$2=1,1,IF(Параметры!AU$29=1,1+OFFSET(AU359,0,-1),1)),"-"),1)</f>
        <v>-</v>
      </c>
      <c r="AV361" s="192" t="str">
        <f ca="1">IF(Prj_Inflation=1,IF($B361=1,IF(AV$2=1,1,IF(Параметры!AV$29=1,1+OFFSET(AV359,0,-1),1)),"-"),1)</f>
        <v>-</v>
      </c>
      <c r="AW361" s="192" t="str">
        <f ca="1">IF(Prj_Inflation=1,IF($B361=1,IF(AW$2=1,1,IF(Параметры!AW$29=1,1+OFFSET(AW359,0,-1),1)),"-"),1)</f>
        <v>-</v>
      </c>
      <c r="AX361" s="192" t="str">
        <f ca="1">IF(Prj_Inflation=1,IF($B361=1,IF(AX$2=1,1,IF(Параметры!AX$29=1,1+OFFSET(AX359,0,-1),1)),"-"),1)</f>
        <v>-</v>
      </c>
      <c r="AY361" s="192" t="str">
        <f ca="1">IF(Prj_Inflation=1,IF($B361=1,IF(AY$2=1,1,IF(Параметры!AY$29=1,1+OFFSET(AY359,0,-1),1)),"-"),1)</f>
        <v>-</v>
      </c>
      <c r="AZ361" s="192" t="str">
        <f ca="1">IF(Prj_Inflation=1,IF($B361=1,IF(AZ$2=1,1,IF(Параметры!AZ$29=1,1+OFFSET(AZ359,0,-1),1)),"-"),1)</f>
        <v>-</v>
      </c>
      <c r="BA361" s="192" t="str">
        <f ca="1">IF(Prj_Inflation=1,IF($B361=1,IF(BA$2=1,1,IF(Параметры!BA$29=1,1+OFFSET(BA359,0,-1),1)),"-"),1)</f>
        <v>-</v>
      </c>
      <c r="BB361" s="192" t="str">
        <f ca="1">IF(Prj_Inflation=1,IF($B361=1,IF(BB$2=1,1,IF(Параметры!BB$29=1,1+OFFSET(BB359,0,-1),1)),"-"),1)</f>
        <v>-</v>
      </c>
      <c r="BC361" s="191"/>
      <c r="BD361" s="186"/>
    </row>
    <row r="362" spans="1:56" hidden="1" outlineLevel="1" x14ac:dyDescent="0.3">
      <c r="A362" s="184" t="str">
        <f ca="1">Language!A$704</f>
        <v>социальные взносы</v>
      </c>
      <c r="B362" s="189"/>
      <c r="C362" s="163" t="str">
        <f ca="1">CHOOSE(D362,CurName1,CurName2,CurName3)</f>
        <v>руб.</v>
      </c>
      <c r="D362" s="174">
        <f>D355</f>
        <v>1</v>
      </c>
      <c r="E362" s="170" t="s">
        <v>1459</v>
      </c>
      <c r="F362" s="170" t="s">
        <v>740</v>
      </c>
      <c r="G362" s="185">
        <f ca="1">G358*Параметры!G$91</f>
        <v>0</v>
      </c>
      <c r="H362" s="185">
        <f ca="1">H358*Параметры!H$91</f>
        <v>0</v>
      </c>
      <c r="I362" s="185">
        <f ca="1">I358*Параметры!I$91</f>
        <v>0</v>
      </c>
      <c r="J362" s="185">
        <f ca="1">J358*Параметры!J$91</f>
        <v>0</v>
      </c>
      <c r="K362" s="185">
        <f ca="1">K358*Параметры!K$91</f>
        <v>0</v>
      </c>
      <c r="L362" s="185">
        <f ca="1">L358*Параметры!L$91</f>
        <v>0</v>
      </c>
      <c r="M362" s="185">
        <f ca="1">M358*Параметры!M$91</f>
        <v>19149.872062235823</v>
      </c>
      <c r="N362" s="185">
        <f ca="1">N358*Параметры!N$91</f>
        <v>19243.085032818606</v>
      </c>
      <c r="O362" s="185">
        <f ca="1">O358*Параметры!O$91</f>
        <v>19336.75172224905</v>
      </c>
      <c r="P362" s="185">
        <f ca="1">P358*Параметры!P$91</f>
        <v>19430.874339026581</v>
      </c>
      <c r="Q362" s="185">
        <f ca="1">Q358*Параметры!Q$91</f>
        <v>19525.455102400618</v>
      </c>
      <c r="R362" s="185">
        <f ca="1">R358*Параметры!R$91</f>
        <v>19620.496242422891</v>
      </c>
      <c r="S362" s="185">
        <f ca="1">S358*Параметры!S$91</f>
        <v>19716.000000000007</v>
      </c>
      <c r="T362" s="185">
        <f ca="1">T358*Параметры!T$91</f>
        <v>19811.968626946309</v>
      </c>
      <c r="U362" s="185">
        <f ca="1">U358*Параметры!U$91</f>
        <v>19908.40438603696</v>
      </c>
      <c r="V362" s="185">
        <f ca="1">V358*Параметры!V$91</f>
        <v>20005.309551061291</v>
      </c>
      <c r="W362" s="185">
        <f ca="1">W358*Параметры!W$91</f>
        <v>20102.686406876426</v>
      </c>
      <c r="X362" s="185">
        <f ca="1">X358*Параметры!X$91</f>
        <v>20200.537249461129</v>
      </c>
      <c r="Y362" s="185">
        <f ca="1">Y358*Параметры!Y$91</f>
        <v>20298.864385969977</v>
      </c>
      <c r="Z362" s="185">
        <f ca="1">Z358*Параметры!Z$91</f>
        <v>20397.670134787728</v>
      </c>
      <c r="AA362" s="185">
        <f ca="1">AA358*Параметры!AA$91</f>
        <v>20496.956825583995</v>
      </c>
      <c r="AB362" s="185">
        <f ca="1">AB358*Параметры!AB$91</f>
        <v>20596.726799368178</v>
      </c>
      <c r="AC362" s="185">
        <f ca="1">AC358*Параметры!AC$91</f>
        <v>20696.98240854466</v>
      </c>
      <c r="AD362" s="185">
        <f ca="1">AD358*Параметры!AD$91</f>
        <v>20797.726016968263</v>
      </c>
      <c r="AE362" s="185">
        <f ca="1">AE358*Параметры!AE$91</f>
        <v>20898.960000000006</v>
      </c>
      <c r="AF362" s="185">
        <f ca="1">AF358*Параметры!AF$91</f>
        <v>21000.686744563089</v>
      </c>
      <c r="AG362" s="185">
        <f ca="1">AG358*Параметры!AG$91</f>
        <v>21102.90864919918</v>
      </c>
      <c r="AH362" s="185">
        <f ca="1">AH358*Параметры!AH$91</f>
        <v>21205.628124124974</v>
      </c>
      <c r="AI362" s="185">
        <f ca="1">AI358*Параметры!AI$91</f>
        <v>21308.847591289014</v>
      </c>
      <c r="AJ362" s="185">
        <f ca="1">AJ358*Параметры!AJ$91</f>
        <v>21412.569484428801</v>
      </c>
      <c r="AK362" s="185">
        <f ca="1">AK358*Параметры!AK$91</f>
        <v>21516.79624912818</v>
      </c>
      <c r="AL362" s="185">
        <f ca="1">AL358*Параметры!AL$91</f>
        <v>21621.530342874994</v>
      </c>
      <c r="AM362" s="185">
        <f ca="1">AM358*Параметры!AM$91</f>
        <v>21726.774235119035</v>
      </c>
      <c r="AN362" s="185">
        <f ca="1">AN358*Параметры!AN$91</f>
        <v>21832.530407330272</v>
      </c>
      <c r="AO362" s="185">
        <f ca="1">AO358*Параметры!AO$91</f>
        <v>21938.801353057344</v>
      </c>
      <c r="AP362" s="185">
        <f ca="1">AP358*Параметры!AP$91</f>
        <v>22045.589577986368</v>
      </c>
      <c r="AQ362" s="185">
        <f ca="1">AQ358*Параметры!AQ$91</f>
        <v>22152.897600000015</v>
      </c>
      <c r="AR362" s="185">
        <f ca="1">AR358*Параметры!AR$91</f>
        <v>22260.727949236883</v>
      </c>
      <c r="AS362" s="185">
        <f ca="1">AS358*Параметры!AS$91</f>
        <v>22369.083168151141</v>
      </c>
      <c r="AT362" s="185">
        <f ca="1">AT358*Параметры!AT$91</f>
        <v>22477.965811572478</v>
      </c>
      <c r="AU362" s="185">
        <f ca="1">AU358*Параметры!AU$91</f>
        <v>22587.378446766361</v>
      </c>
      <c r="AV362" s="185">
        <f ca="1">AV358*Параметры!AV$91</f>
        <v>22697.323653494535</v>
      </c>
      <c r="AW362" s="185">
        <f ca="1">AW358*Параметры!AW$91</f>
        <v>22807.804024075878</v>
      </c>
      <c r="AX362" s="185">
        <f ca="1">AX358*Параметры!AX$91</f>
        <v>22918.822163447501</v>
      </c>
      <c r="AY362" s="185">
        <f ca="1">AY358*Параметры!AY$91</f>
        <v>23030.380689226189</v>
      </c>
      <c r="AZ362" s="185">
        <f ca="1">AZ358*Параметры!AZ$91</f>
        <v>23142.482231770096</v>
      </c>
      <c r="BA362" s="185">
        <f ca="1">BA358*Параметры!BA$91</f>
        <v>23255.129434240793</v>
      </c>
      <c r="BB362" s="185">
        <f ca="1">BB358*Параметры!BB$91</f>
        <v>23368.324952665556</v>
      </c>
      <c r="BC362" s="185"/>
      <c r="BD362" s="193">
        <f ca="1">SUM(G362:BC362)</f>
        <v>890016.31017650722</v>
      </c>
    </row>
    <row r="363" spans="1:56" s="173" customFormat="1" hidden="1" outlineLevel="1" x14ac:dyDescent="0.3">
      <c r="A363" s="181" t="str">
        <f ca="1">Language!A$1513</f>
        <v>затраты на персонал, с соц. взносами</v>
      </c>
      <c r="B363" s="205"/>
      <c r="C363" s="176" t="str">
        <f ca="1">CHOOSE(D363,CurName1,CurName2,CurName3)</f>
        <v>руб.</v>
      </c>
      <c r="D363" s="174">
        <f>D355</f>
        <v>1</v>
      </c>
      <c r="E363" s="170" t="s">
        <v>2312</v>
      </c>
      <c r="F363" s="170" t="s">
        <v>740</v>
      </c>
      <c r="G363" s="182">
        <f ca="1">G358+G362</f>
        <v>0</v>
      </c>
      <c r="H363" s="182">
        <f t="shared" ref="H363:BB363" ca="1" si="1746">H358+H362</f>
        <v>0</v>
      </c>
      <c r="I363" s="182">
        <f t="shared" ca="1" si="1746"/>
        <v>0</v>
      </c>
      <c r="J363" s="182">
        <f t="shared" ca="1" si="1746"/>
        <v>0</v>
      </c>
      <c r="K363" s="182">
        <f t="shared" ca="1" si="1746"/>
        <v>0</v>
      </c>
      <c r="L363" s="182">
        <f t="shared" ca="1" si="1746"/>
        <v>0</v>
      </c>
      <c r="M363" s="182">
        <f t="shared" ca="1" si="1746"/>
        <v>80923.652908157819</v>
      </c>
      <c r="N363" s="182">
        <f t="shared" ca="1" si="1746"/>
        <v>81317.552880620555</v>
      </c>
      <c r="O363" s="182">
        <f t="shared" ca="1" si="1746"/>
        <v>81713.370181116945</v>
      </c>
      <c r="P363" s="182">
        <f t="shared" ca="1" si="1746"/>
        <v>82111.11414233812</v>
      </c>
      <c r="Q363" s="182">
        <f t="shared" ca="1" si="1746"/>
        <v>82510.794142402607</v>
      </c>
      <c r="R363" s="182">
        <f t="shared" ca="1" si="1746"/>
        <v>82912.419605077361</v>
      </c>
      <c r="S363" s="182">
        <f t="shared" ca="1" si="1746"/>
        <v>83316.000000000029</v>
      </c>
      <c r="T363" s="182">
        <f t="shared" ca="1" si="1746"/>
        <v>83721.544842902134</v>
      </c>
      <c r="U363" s="182">
        <f t="shared" ca="1" si="1746"/>
        <v>84129.063695833596</v>
      </c>
      <c r="V363" s="182">
        <f t="shared" ca="1" si="1746"/>
        <v>84538.566167388024</v>
      </c>
      <c r="W363" s="182">
        <f t="shared" ca="1" si="1746"/>
        <v>84950.061912929406</v>
      </c>
      <c r="X363" s="182">
        <f t="shared" ca="1" si="1746"/>
        <v>85363.560634819602</v>
      </c>
      <c r="Y363" s="182">
        <f t="shared" ca="1" si="1746"/>
        <v>85779.072082647312</v>
      </c>
      <c r="Z363" s="182">
        <f t="shared" ca="1" si="1746"/>
        <v>86196.606053457799</v>
      </c>
      <c r="AA363" s="182">
        <f t="shared" ca="1" si="1746"/>
        <v>86616.172391983971</v>
      </c>
      <c r="AB363" s="182">
        <f t="shared" ca="1" si="1746"/>
        <v>87037.780990878411</v>
      </c>
      <c r="AC363" s="182">
        <f t="shared" ca="1" si="1746"/>
        <v>87461.441790946774</v>
      </c>
      <c r="AD363" s="182">
        <f t="shared" ca="1" si="1746"/>
        <v>87887.164781382016</v>
      </c>
      <c r="AE363" s="182">
        <f t="shared" ca="1" si="1746"/>
        <v>88314.960000000021</v>
      </c>
      <c r="AF363" s="182">
        <f t="shared" ca="1" si="1746"/>
        <v>88744.837533476268</v>
      </c>
      <c r="AG363" s="182">
        <f t="shared" ca="1" si="1746"/>
        <v>89176.807517583613</v>
      </c>
      <c r="AH363" s="182">
        <f t="shared" ca="1" si="1746"/>
        <v>89610.880137431319</v>
      </c>
      <c r="AI363" s="182">
        <f t="shared" ca="1" si="1746"/>
        <v>90047.065627705175</v>
      </c>
      <c r="AJ363" s="182">
        <f t="shared" ca="1" si="1746"/>
        <v>90485.374272908783</v>
      </c>
      <c r="AK363" s="182">
        <f t="shared" ca="1" si="1746"/>
        <v>90925.816407606166</v>
      </c>
      <c r="AL363" s="182">
        <f t="shared" ca="1" si="1746"/>
        <v>91368.402416665282</v>
      </c>
      <c r="AM363" s="182">
        <f t="shared" ca="1" si="1746"/>
        <v>91813.142735503017</v>
      </c>
      <c r="AN363" s="182">
        <f t="shared" ca="1" si="1746"/>
        <v>92260.047850331131</v>
      </c>
      <c r="AO363" s="182">
        <f t="shared" ca="1" si="1746"/>
        <v>92709.128298403608</v>
      </c>
      <c r="AP363" s="182">
        <f t="shared" ca="1" si="1746"/>
        <v>93160.394668264955</v>
      </c>
      <c r="AQ363" s="182">
        <f t="shared" ca="1" si="1746"/>
        <v>93613.857600000047</v>
      </c>
      <c r="AR363" s="182">
        <f t="shared" ca="1" si="1746"/>
        <v>94069.527785484883</v>
      </c>
      <c r="AS363" s="182">
        <f t="shared" ca="1" si="1746"/>
        <v>94527.41596863867</v>
      </c>
      <c r="AT363" s="182">
        <f t="shared" ca="1" si="1746"/>
        <v>94987.532945677231</v>
      </c>
      <c r="AU363" s="182">
        <f t="shared" ca="1" si="1746"/>
        <v>95449.889565367514</v>
      </c>
      <c r="AV363" s="182">
        <f t="shared" ca="1" si="1746"/>
        <v>95914.496729283346</v>
      </c>
      <c r="AW363" s="182">
        <f t="shared" ca="1" si="1746"/>
        <v>96381.36539206258</v>
      </c>
      <c r="AX363" s="182">
        <f t="shared" ca="1" si="1746"/>
        <v>96850.506561665243</v>
      </c>
      <c r="AY363" s="182">
        <f t="shared" ca="1" si="1746"/>
        <v>97321.931299633245</v>
      </c>
      <c r="AZ363" s="182">
        <f t="shared" ca="1" si="1746"/>
        <v>97795.650721351034</v>
      </c>
      <c r="BA363" s="182">
        <f t="shared" ca="1" si="1746"/>
        <v>98271.675996307851</v>
      </c>
      <c r="BB363" s="182">
        <f t="shared" ca="1" si="1746"/>
        <v>98750.018348360885</v>
      </c>
      <c r="BC363" s="182"/>
      <c r="BD363" s="183">
        <f ca="1">SUM(G363:BC363)</f>
        <v>3761036.665584594</v>
      </c>
    </row>
    <row r="364" spans="1:56" x14ac:dyDescent="0.3">
      <c r="A364" s="377" t="s">
        <v>3437</v>
      </c>
      <c r="B364" s="205"/>
      <c r="C364" s="176"/>
      <c r="D364" s="174">
        <v>1</v>
      </c>
      <c r="F364" s="170" t="s">
        <v>3438</v>
      </c>
      <c r="G364" s="206"/>
      <c r="H364" s="206"/>
      <c r="I364" s="206"/>
      <c r="J364" s="206"/>
      <c r="K364" s="206"/>
      <c r="L364" s="206"/>
      <c r="M364" s="206"/>
      <c r="N364" s="206"/>
      <c r="O364" s="206"/>
      <c r="P364" s="206"/>
      <c r="Q364" s="206"/>
      <c r="R364" s="206"/>
      <c r="S364" s="206"/>
      <c r="T364" s="206"/>
      <c r="U364" s="206"/>
      <c r="V364" s="206"/>
      <c r="W364" s="206"/>
      <c r="X364" s="206"/>
      <c r="Y364" s="206"/>
      <c r="Z364" s="206"/>
      <c r="AA364" s="206"/>
      <c r="AB364" s="206"/>
      <c r="AC364" s="206"/>
      <c r="AD364" s="206"/>
      <c r="AE364" s="206"/>
      <c r="AF364" s="206"/>
      <c r="AG364" s="206"/>
      <c r="AH364" s="206"/>
      <c r="AI364" s="206"/>
      <c r="AJ364" s="206"/>
      <c r="AK364" s="206"/>
      <c r="AL364" s="206"/>
      <c r="AM364" s="206"/>
      <c r="AN364" s="206"/>
      <c r="AO364" s="206"/>
      <c r="AP364" s="206"/>
      <c r="AQ364" s="206"/>
      <c r="AR364" s="206"/>
      <c r="AS364" s="206"/>
      <c r="AT364" s="206"/>
      <c r="AU364" s="206"/>
      <c r="AV364" s="206"/>
      <c r="AW364" s="206"/>
      <c r="AX364" s="206"/>
      <c r="AY364" s="206"/>
      <c r="AZ364" s="206"/>
      <c r="BA364" s="206"/>
      <c r="BB364" s="206"/>
      <c r="BC364" s="206"/>
    </row>
    <row r="365" spans="1:56" x14ac:dyDescent="0.3">
      <c r="A365" s="175" t="str">
        <f ca="1">Language!A$701</f>
        <v>численность</v>
      </c>
      <c r="B365" s="295">
        <v>3</v>
      </c>
      <c r="C365" s="176" t="str">
        <f ca="1">Language!$A$1483</f>
        <v>человек</v>
      </c>
      <c r="D365" s="174"/>
      <c r="E365" s="170" t="s">
        <v>843</v>
      </c>
      <c r="F365" s="170" t="s">
        <v>745</v>
      </c>
      <c r="G365" s="296">
        <f t="shared" ref="G365:BB365" si="1747">IF(G$2&gt;Prj_Invest, $B365, 0)</f>
        <v>0</v>
      </c>
      <c r="H365" s="296">
        <f t="shared" si="1747"/>
        <v>0</v>
      </c>
      <c r="I365" s="296">
        <f t="shared" si="1747"/>
        <v>0</v>
      </c>
      <c r="J365" s="296">
        <f t="shared" si="1747"/>
        <v>0</v>
      </c>
      <c r="K365" s="296">
        <f t="shared" si="1747"/>
        <v>0</v>
      </c>
      <c r="L365" s="296">
        <f t="shared" si="1747"/>
        <v>0</v>
      </c>
      <c r="M365" s="296">
        <f t="shared" si="1747"/>
        <v>3</v>
      </c>
      <c r="N365" s="296">
        <f t="shared" si="1747"/>
        <v>3</v>
      </c>
      <c r="O365" s="296">
        <f t="shared" si="1747"/>
        <v>3</v>
      </c>
      <c r="P365" s="296">
        <f t="shared" si="1747"/>
        <v>3</v>
      </c>
      <c r="Q365" s="296">
        <f t="shared" si="1747"/>
        <v>3</v>
      </c>
      <c r="R365" s="296">
        <f t="shared" si="1747"/>
        <v>3</v>
      </c>
      <c r="S365" s="296">
        <f t="shared" si="1747"/>
        <v>3</v>
      </c>
      <c r="T365" s="296">
        <f t="shared" si="1747"/>
        <v>3</v>
      </c>
      <c r="U365" s="296">
        <f t="shared" si="1747"/>
        <v>3</v>
      </c>
      <c r="V365" s="296">
        <f t="shared" si="1747"/>
        <v>3</v>
      </c>
      <c r="W365" s="296">
        <f t="shared" si="1747"/>
        <v>3</v>
      </c>
      <c r="X365" s="296">
        <f t="shared" si="1747"/>
        <v>3</v>
      </c>
      <c r="Y365" s="296">
        <f t="shared" si="1747"/>
        <v>3</v>
      </c>
      <c r="Z365" s="296">
        <f t="shared" si="1747"/>
        <v>3</v>
      </c>
      <c r="AA365" s="296">
        <f t="shared" si="1747"/>
        <v>3</v>
      </c>
      <c r="AB365" s="296">
        <f t="shared" si="1747"/>
        <v>3</v>
      </c>
      <c r="AC365" s="296">
        <f t="shared" si="1747"/>
        <v>3</v>
      </c>
      <c r="AD365" s="296">
        <f t="shared" si="1747"/>
        <v>3</v>
      </c>
      <c r="AE365" s="296">
        <f t="shared" si="1747"/>
        <v>3</v>
      </c>
      <c r="AF365" s="296">
        <f t="shared" si="1747"/>
        <v>3</v>
      </c>
      <c r="AG365" s="296">
        <f t="shared" si="1747"/>
        <v>3</v>
      </c>
      <c r="AH365" s="296">
        <f t="shared" si="1747"/>
        <v>3</v>
      </c>
      <c r="AI365" s="296">
        <f t="shared" si="1747"/>
        <v>3</v>
      </c>
      <c r="AJ365" s="296">
        <f t="shared" si="1747"/>
        <v>3</v>
      </c>
      <c r="AK365" s="296">
        <f t="shared" si="1747"/>
        <v>3</v>
      </c>
      <c r="AL365" s="296">
        <f t="shared" si="1747"/>
        <v>3</v>
      </c>
      <c r="AM365" s="296">
        <f t="shared" si="1747"/>
        <v>3</v>
      </c>
      <c r="AN365" s="296">
        <f t="shared" si="1747"/>
        <v>3</v>
      </c>
      <c r="AO365" s="296">
        <f t="shared" si="1747"/>
        <v>3</v>
      </c>
      <c r="AP365" s="296">
        <f t="shared" si="1747"/>
        <v>3</v>
      </c>
      <c r="AQ365" s="296">
        <f t="shared" si="1747"/>
        <v>3</v>
      </c>
      <c r="AR365" s="296">
        <f t="shared" si="1747"/>
        <v>3</v>
      </c>
      <c r="AS365" s="296">
        <f t="shared" si="1747"/>
        <v>3</v>
      </c>
      <c r="AT365" s="296">
        <f t="shared" si="1747"/>
        <v>3</v>
      </c>
      <c r="AU365" s="296">
        <f t="shared" si="1747"/>
        <v>3</v>
      </c>
      <c r="AV365" s="296">
        <f t="shared" si="1747"/>
        <v>3</v>
      </c>
      <c r="AW365" s="296">
        <f t="shared" si="1747"/>
        <v>3</v>
      </c>
      <c r="AX365" s="296">
        <f t="shared" si="1747"/>
        <v>3</v>
      </c>
      <c r="AY365" s="296">
        <f t="shared" si="1747"/>
        <v>3</v>
      </c>
      <c r="AZ365" s="296">
        <f t="shared" si="1747"/>
        <v>3</v>
      </c>
      <c r="BA365" s="296">
        <f t="shared" si="1747"/>
        <v>3</v>
      </c>
      <c r="BB365" s="296">
        <f t="shared" si="1747"/>
        <v>3</v>
      </c>
      <c r="BC365" s="202"/>
    </row>
    <row r="366" spans="1:56" x14ac:dyDescent="0.3">
      <c r="A366" s="175" t="str">
        <f ca="1">Language!A$702</f>
        <v>средний оклад, в месяц</v>
      </c>
      <c r="B366" s="284">
        <v>45000</v>
      </c>
      <c r="C366" s="176" t="str">
        <f ca="1">CHOOSE(D364,CurName1,CurName2,CurName3)</f>
        <v>руб.</v>
      </c>
      <c r="E366" s="170" t="s">
        <v>844</v>
      </c>
      <c r="F366" s="170" t="s">
        <v>2346</v>
      </c>
      <c r="G366" s="285">
        <f t="shared" ref="G366" ca="1" si="1748">IF(G$2=1,$B366,F366)*IF($B370=1,G370,G369)</f>
        <v>45000</v>
      </c>
      <c r="H366" s="285">
        <f t="shared" ref="H366" ca="1" si="1749">IF(H$2=1,$B366,G366)*IF($B370=1,H370,H369)</f>
        <v>45219.03977544044</v>
      </c>
      <c r="I366" s="285">
        <f t="shared" ref="I366" ca="1" si="1750">IF(I$2=1,$B366,H366)*IF($B370=1,I370,I369)</f>
        <v>45439.145738063657</v>
      </c>
      <c r="J366" s="285">
        <f t="shared" ref="J366" ca="1" si="1751">IF(J$2=1,$B366,I366)*IF($B370=1,J370,J369)</f>
        <v>45660.323077589674</v>
      </c>
      <c r="K366" s="285">
        <f t="shared" ref="K366" ca="1" si="1752">IF(K$2=1,$B366,J366)*IF($B370=1,K370,K369)</f>
        <v>45882.577008999739</v>
      </c>
      <c r="L366" s="285">
        <f t="shared" ref="L366" ca="1" si="1753">IF(L$2=1,$B366,K366)*IF($B370=1,L370,L369)</f>
        <v>46105.912772659292</v>
      </c>
      <c r="M366" s="285">
        <f t="shared" ref="M366" ca="1" si="1754">IF(M$2=1,$B366,L366)*IF($B370=1,M370,M369)</f>
        <v>46330.335634441508</v>
      </c>
      <c r="N366" s="285">
        <f t="shared" ref="N366" ca="1" si="1755">IF(N$2=1,$B366,M366)*IF($B370=1,N370,N369)</f>
        <v>46555.850885851469</v>
      </c>
      <c r="O366" s="285">
        <f t="shared" ref="O366" ca="1" si="1756">IF(O$2=1,$B366,N366)*IF($B370=1,O370,O369)</f>
        <v>46782.463844150923</v>
      </c>
      <c r="P366" s="285">
        <f t="shared" ref="P366" ca="1" si="1757">IF(P$2=1,$B366,O366)*IF($B370=1,P370,P369)</f>
        <v>47010.179852483663</v>
      </c>
      <c r="Q366" s="285">
        <f t="shared" ref="Q366" ca="1" si="1758">IF(Q$2=1,$B366,P366)*IF($B370=1,Q370,Q369)</f>
        <v>47239.0042800015</v>
      </c>
      <c r="R366" s="285">
        <f t="shared" ref="R366" ca="1" si="1759">IF(R$2=1,$B366,Q366)*IF($B370=1,R370,R369)</f>
        <v>47468.942521990866</v>
      </c>
      <c r="S366" s="285">
        <f t="shared" ref="S366" ca="1" si="1760">IF(S$2=1,$B366,R366)*IF($B370=1,S370,S369)</f>
        <v>47700.000000000022</v>
      </c>
      <c r="T366" s="285">
        <f t="shared" ref="T366" ca="1" si="1761">IF(T$2=1,$B366,S366)*IF($B370=1,T370,T369)</f>
        <v>47932.182161966884</v>
      </c>
      <c r="U366" s="285">
        <f t="shared" ref="U366" ca="1" si="1762">IF(U$2=1,$B366,T366)*IF($B370=1,U370,U369)</f>
        <v>48165.494482347494</v>
      </c>
      <c r="V366" s="285">
        <f t="shared" ref="V366" ca="1" si="1763">IF(V$2=1,$B366,U366)*IF($B370=1,V370,V369)</f>
        <v>48399.942462245075</v>
      </c>
      <c r="W366" s="285">
        <f t="shared" ref="W366" ca="1" si="1764">IF(W$2=1,$B366,V366)*IF($B370=1,W370,W369)</f>
        <v>48635.53162953975</v>
      </c>
      <c r="X366" s="285">
        <f t="shared" ref="X366" ca="1" si="1765">IF(X$2=1,$B366,W366)*IF($B370=1,X370,X369)</f>
        <v>48872.267539018874</v>
      </c>
      <c r="Y366" s="285">
        <f t="shared" ref="Y366" ca="1" si="1766">IF(Y$2=1,$B366,X366)*IF($B370=1,Y370,Y369)</f>
        <v>49110.15577250802</v>
      </c>
      <c r="Z366" s="285">
        <f t="shared" ref="Z366" ca="1" si="1767">IF(Z$2=1,$B366,Y366)*IF($B370=1,Z370,Z369)</f>
        <v>49349.201939002574</v>
      </c>
      <c r="AA366" s="285">
        <f t="shared" ref="AA366" ca="1" si="1768">IF(AA$2=1,$B366,Z366)*IF($B370=1,AA370,AA369)</f>
        <v>49589.411674799994</v>
      </c>
      <c r="AB366" s="285">
        <f t="shared" ref="AB366" ca="1" si="1769">IF(AB$2=1,$B366,AA366)*IF($B370=1,AB370,AB369)</f>
        <v>49830.790643632696</v>
      </c>
      <c r="AC366" s="285">
        <f t="shared" ref="AC366" ca="1" si="1770">IF(AC$2=1,$B366,AB366)*IF($B370=1,AC370,AC369)</f>
        <v>50073.344536801604</v>
      </c>
      <c r="AD366" s="285">
        <f t="shared" ref="AD366" ca="1" si="1771">IF(AD$2=1,$B366,AC366)*IF($B370=1,AD370,AD369)</f>
        <v>50317.079073310328</v>
      </c>
      <c r="AE366" s="285">
        <f t="shared" ref="AE366" ca="1" si="1772">IF(AE$2=1,$B366,AD366)*IF($B370=1,AE370,AE369)</f>
        <v>50562.000000000029</v>
      </c>
      <c r="AF366" s="285">
        <f t="shared" ref="AF366" ca="1" si="1773">IF(AF$2=1,$B366,AE366)*IF($B370=1,AF370,AF369)</f>
        <v>50808.113091684907</v>
      </c>
      <c r="AG366" s="285">
        <f t="shared" ref="AG366" ca="1" si="1774">IF(AG$2=1,$B366,AF366)*IF($B370=1,AG370,AG369)</f>
        <v>51055.424151288353</v>
      </c>
      <c r="AH366" s="285">
        <f t="shared" ref="AH366" ca="1" si="1775">IF(AH$2=1,$B366,AG366)*IF($B370=1,AH370,AH369)</f>
        <v>51303.939009979782</v>
      </c>
      <c r="AI366" s="285">
        <f t="shared" ref="AI366" ca="1" si="1776">IF(AI$2=1,$B366,AH366)*IF($B370=1,AI370,AI369)</f>
        <v>51553.663527312136</v>
      </c>
      <c r="AJ366" s="285">
        <f t="shared" ref="AJ366" ca="1" si="1777">IF(AJ$2=1,$B366,AI366)*IF($B370=1,AJ370,AJ369)</f>
        <v>51804.603591360006</v>
      </c>
      <c r="AK366" s="285">
        <f t="shared" ref="AK366" ca="1" si="1778">IF(AK$2=1,$B366,AJ366)*IF($B370=1,AK370,AK369)</f>
        <v>52056.765118858501</v>
      </c>
      <c r="AL366" s="285">
        <f t="shared" ref="AL366" ca="1" si="1779">IF(AL$2=1,$B366,AK366)*IF($B370=1,AL370,AL369)</f>
        <v>52310.154055342733</v>
      </c>
      <c r="AM366" s="285">
        <f t="shared" ref="AM366" ca="1" si="1780">IF(AM$2=1,$B366,AL366)*IF($B370=1,AM370,AM369)</f>
        <v>52564.776375287998</v>
      </c>
      <c r="AN366" s="285">
        <f t="shared" ref="AN366" ca="1" si="1781">IF(AN$2=1,$B366,AM366)*IF($B370=1,AN370,AN369)</f>
        <v>52820.638082250662</v>
      </c>
      <c r="AO366" s="285">
        <f t="shared" ref="AO366" ca="1" si="1782">IF(AO$2=1,$B366,AN366)*IF($B370=1,AO370,AO369)</f>
        <v>53077.745209009699</v>
      </c>
      <c r="AP366" s="285">
        <f t="shared" ref="AP366" ca="1" si="1783">IF(AP$2=1,$B366,AO366)*IF($B370=1,AP370,AP369)</f>
        <v>53336.10381770895</v>
      </c>
      <c r="AQ366" s="285">
        <f t="shared" ref="AQ366" ca="1" si="1784">IF(AQ$2=1,$B366,AP366)*IF($B370=1,AQ370,AQ369)</f>
        <v>53595.720000000038</v>
      </c>
      <c r="AR366" s="285">
        <f t="shared" ref="AR366" ca="1" si="1785">IF(AR$2=1,$B366,AQ366)*IF($B370=1,AR370,AR369)</f>
        <v>53856.599877186003</v>
      </c>
      <c r="AS366" s="285">
        <f t="shared" ref="AS366" ca="1" si="1786">IF(AS$2=1,$B366,AR366)*IF($B370=1,AS370,AS369)</f>
        <v>54118.749600365656</v>
      </c>
      <c r="AT366" s="285">
        <f t="shared" ref="AT366" ca="1" si="1787">IF(AT$2=1,$B366,AS366)*IF($B370=1,AT370,AT369)</f>
        <v>54382.175350578575</v>
      </c>
      <c r="AU366" s="285">
        <f t="shared" ref="AU366" ca="1" si="1788">IF(AU$2=1,$B366,AT366)*IF($B370=1,AU370,AU369)</f>
        <v>54646.883338950865</v>
      </c>
      <c r="AV366" s="285">
        <f t="shared" ref="AV366" ca="1" si="1789">IF(AV$2=1,$B366,AU366)*IF($B370=1,AV370,AV369)</f>
        <v>54912.879806841614</v>
      </c>
      <c r="AW366" s="285">
        <f t="shared" ref="AW366" ca="1" si="1790">IF(AW$2=1,$B366,AV366)*IF($B370=1,AW370,AW369)</f>
        <v>55180.171025990021</v>
      </c>
      <c r="AX366" s="285">
        <f t="shared" ref="AX366" ca="1" si="1791">IF(AX$2=1,$B366,AW366)*IF($B370=1,AX370,AX369)</f>
        <v>55448.763298663303</v>
      </c>
      <c r="AY366" s="285">
        <f t="shared" ref="AY366" ca="1" si="1792">IF(AY$2=1,$B366,AX366)*IF($B370=1,AY370,AY369)</f>
        <v>55718.662957805282</v>
      </c>
      <c r="AZ366" s="285">
        <f t="shared" ref="AZ366" ca="1" si="1793">IF(AZ$2=1,$B366,AY366)*IF($B370=1,AZ370,AZ369)</f>
        <v>55989.876367185709</v>
      </c>
      <c r="BA366" s="285">
        <f t="shared" ref="BA366" ca="1" si="1794">IF(BA$2=1,$B366,AZ366)*IF($B370=1,BA370,BA369)</f>
        <v>56262.409921550294</v>
      </c>
      <c r="BB366" s="285">
        <f t="shared" ref="BB366" ca="1" si="1795">IF(BB$2=1,$B366,BA366)*IF($B370=1,BB370,BB369)</f>
        <v>56536.270046771497</v>
      </c>
      <c r="BC366" s="177"/>
    </row>
    <row r="367" spans="1:56" collapsed="1" x14ac:dyDescent="0.3">
      <c r="A367" s="175" t="str">
        <f ca="1">Language!A$703</f>
        <v>заработная плата</v>
      </c>
      <c r="B367" s="205" t="str">
        <f ca="1">Language!$A$1479</f>
        <v>за период</v>
      </c>
      <c r="C367" s="176" t="str">
        <f t="shared" ref="C367" ca="1" si="1796">CHOOSE(D367,CurName1,CurName2,CurName3)</f>
        <v>руб.</v>
      </c>
      <c r="D367" s="174">
        <f>D364</f>
        <v>1</v>
      </c>
      <c r="E367" s="170" t="s">
        <v>784</v>
      </c>
      <c r="F367" s="170" t="s">
        <v>740</v>
      </c>
      <c r="G367" s="177">
        <f ca="1">G365*G366*Параметры!G$31</f>
        <v>0</v>
      </c>
      <c r="H367" s="177">
        <f ca="1">H365*H366*Параметры!H$31</f>
        <v>0</v>
      </c>
      <c r="I367" s="177">
        <f ca="1">I365*I366*Параметры!I$31</f>
        <v>0</v>
      </c>
      <c r="J367" s="177">
        <f ca="1">J365*J366*Параметры!J$31</f>
        <v>0</v>
      </c>
      <c r="K367" s="177">
        <f ca="1">K365*K366*Параметры!K$31</f>
        <v>0</v>
      </c>
      <c r="L367" s="177">
        <f ca="1">L365*L366*Параметры!L$31</f>
        <v>0</v>
      </c>
      <c r="M367" s="177">
        <f ca="1">M365*M366*Параметры!M$31</f>
        <v>138991.00690332451</v>
      </c>
      <c r="N367" s="177">
        <f ca="1">N365*N366*Параметры!N$31</f>
        <v>139667.55265755439</v>
      </c>
      <c r="O367" s="177">
        <f ca="1">O365*O366*Параметры!O$31</f>
        <v>140347.39153245278</v>
      </c>
      <c r="P367" s="177">
        <f ca="1">P365*P366*Параметры!P$31</f>
        <v>141030.53955745097</v>
      </c>
      <c r="Q367" s="177">
        <f ca="1">Q365*Q366*Параметры!Q$31</f>
        <v>141717.01284000449</v>
      </c>
      <c r="R367" s="177">
        <f ca="1">R365*R366*Параметры!R$31</f>
        <v>142406.82756597261</v>
      </c>
      <c r="S367" s="177">
        <f ca="1">S365*S366*Параметры!S$31</f>
        <v>143100.00000000006</v>
      </c>
      <c r="T367" s="177">
        <f ca="1">T365*T366*Параметры!T$31</f>
        <v>143796.54648590065</v>
      </c>
      <c r="U367" s="177">
        <f ca="1">U365*U366*Параметры!U$31</f>
        <v>144496.48344704247</v>
      </c>
      <c r="V367" s="177">
        <f ca="1">V365*V366*Параметры!V$31</f>
        <v>145199.82738673524</v>
      </c>
      <c r="W367" s="177">
        <f ca="1">W365*W366*Параметры!W$31</f>
        <v>145906.59488861926</v>
      </c>
      <c r="X367" s="177">
        <f ca="1">X365*X366*Параметры!X$31</f>
        <v>146616.80261705662</v>
      </c>
      <c r="Y367" s="177">
        <f ca="1">Y365*Y366*Параметры!Y$31</f>
        <v>147330.46731752408</v>
      </c>
      <c r="Z367" s="177">
        <f ca="1">Z365*Z366*Параметры!Z$31</f>
        <v>148047.60581700772</v>
      </c>
      <c r="AA367" s="177">
        <f ca="1">AA365*AA366*Параметры!AA$31</f>
        <v>148768.2350244</v>
      </c>
      <c r="AB367" s="177">
        <f ca="1">AB365*AB366*Параметры!AB$31</f>
        <v>149492.37193089808</v>
      </c>
      <c r="AC367" s="177">
        <f ca="1">AC365*AC366*Параметры!AC$31</f>
        <v>150220.03361040482</v>
      </c>
      <c r="AD367" s="177">
        <f ca="1">AD365*AD366*Параметры!AD$31</f>
        <v>150951.23721993098</v>
      </c>
      <c r="AE367" s="177">
        <f ca="1">AE365*AE366*Параметры!AE$31</f>
        <v>151686.00000000009</v>
      </c>
      <c r="AF367" s="177">
        <f ca="1">AF365*AF366*Параметры!AF$31</f>
        <v>152424.33927505472</v>
      </c>
      <c r="AG367" s="177">
        <f ca="1">AG365*AG366*Параметры!AG$31</f>
        <v>153166.27245386507</v>
      </c>
      <c r="AH367" s="177">
        <f ca="1">AH365*AH366*Параметры!AH$31</f>
        <v>153911.81702993935</v>
      </c>
      <c r="AI367" s="177">
        <f ca="1">AI365*AI366*Параметры!AI$31</f>
        <v>154660.99058193641</v>
      </c>
      <c r="AJ367" s="177">
        <f ca="1">AJ365*AJ366*Параметры!AJ$31</f>
        <v>155413.81077408002</v>
      </c>
      <c r="AK367" s="177">
        <f ca="1">AK365*AK366*Параметры!AK$31</f>
        <v>156170.29535657552</v>
      </c>
      <c r="AL367" s="177">
        <f ca="1">AL365*AL366*Параметры!AL$31</f>
        <v>156930.46216602821</v>
      </c>
      <c r="AM367" s="177">
        <f ca="1">AM365*AM366*Параметры!AM$31</f>
        <v>157694.32912586399</v>
      </c>
      <c r="AN367" s="177">
        <f ca="1">AN365*AN366*Параметры!AN$31</f>
        <v>158461.91424675199</v>
      </c>
      <c r="AO367" s="177">
        <f ca="1">AO365*AO366*Параметры!AO$31</f>
        <v>159233.23562702909</v>
      </c>
      <c r="AP367" s="177">
        <f ca="1">AP365*AP366*Параметры!AP$31</f>
        <v>160008.31145312684</v>
      </c>
      <c r="AQ367" s="177">
        <f ca="1">AQ365*AQ366*Параметры!AQ$31</f>
        <v>160787.16000000012</v>
      </c>
      <c r="AR367" s="177">
        <f ca="1">AR365*AR366*Параметры!AR$31</f>
        <v>161569.79963155801</v>
      </c>
      <c r="AS367" s="177">
        <f ca="1">AS365*AS366*Параметры!AS$31</f>
        <v>162356.24880109698</v>
      </c>
      <c r="AT367" s="177">
        <f ca="1">AT365*AT366*Параметры!AT$31</f>
        <v>163146.52605173574</v>
      </c>
      <c r="AU367" s="177">
        <f ca="1">AU365*AU366*Параметры!AU$31</f>
        <v>163940.6500168526</v>
      </c>
      <c r="AV367" s="177">
        <f ca="1">AV365*AV366*Параметры!AV$31</f>
        <v>164738.63942052485</v>
      </c>
      <c r="AW367" s="177">
        <f ca="1">AW365*AW366*Параметры!AW$31</f>
        <v>165540.51307797007</v>
      </c>
      <c r="AX367" s="177">
        <f ca="1">AX365*AX366*Параметры!AX$31</f>
        <v>166346.2898959899</v>
      </c>
      <c r="AY367" s="177">
        <f ca="1">AY365*AY366*Параметры!AY$31</f>
        <v>167155.98887341586</v>
      </c>
      <c r="AZ367" s="177">
        <f ca="1">AZ365*AZ366*Параметры!AZ$31</f>
        <v>167969.62910155713</v>
      </c>
      <c r="BA367" s="177">
        <f ca="1">BA365*BA366*Параметры!BA$31</f>
        <v>168787.22976465087</v>
      </c>
      <c r="BB367" s="177">
        <f ca="1">BB365*BB366*Параметры!BB$31</f>
        <v>169608.81014031448</v>
      </c>
      <c r="BC367" s="177"/>
      <c r="BD367" s="178">
        <f ca="1">SUM(G367:BC367)</f>
        <v>6459795.7996681966</v>
      </c>
    </row>
    <row r="368" spans="1:56" hidden="1" outlineLevel="1" x14ac:dyDescent="0.3">
      <c r="A368" s="184" t="str">
        <f ca="1">Language!A$705</f>
        <v>темп изменения цен</v>
      </c>
      <c r="B368" s="189"/>
      <c r="C368" s="163" t="str">
        <f ca="1">Language!$A$480</f>
        <v>% в год</v>
      </c>
      <c r="D368" s="174"/>
      <c r="F368" s="170" t="s">
        <v>2346</v>
      </c>
      <c r="G368" s="290">
        <f>CHOOSE($D364,Параметры!G$50,Параметры!G$56,Параметры!G$62)</f>
        <v>0.06</v>
      </c>
      <c r="H368" s="290">
        <f>CHOOSE($D364,Параметры!H$50,Параметры!H$56,Параметры!H$62)</f>
        <v>0.06</v>
      </c>
      <c r="I368" s="290">
        <f>CHOOSE($D364,Параметры!I$50,Параметры!I$56,Параметры!I$62)</f>
        <v>0.06</v>
      </c>
      <c r="J368" s="290">
        <f>CHOOSE($D364,Параметры!J$50,Параметры!J$56,Параметры!J$62)</f>
        <v>0.06</v>
      </c>
      <c r="K368" s="290">
        <f>CHOOSE($D364,Параметры!K$50,Параметры!K$56,Параметры!K$62)</f>
        <v>0.06</v>
      </c>
      <c r="L368" s="290">
        <f>CHOOSE($D364,Параметры!L$50,Параметры!L$56,Параметры!L$62)</f>
        <v>0.06</v>
      </c>
      <c r="M368" s="290">
        <f>CHOOSE($D364,Параметры!M$50,Параметры!M$56,Параметры!M$62)</f>
        <v>0.06</v>
      </c>
      <c r="N368" s="290">
        <f>CHOOSE($D364,Параметры!N$50,Параметры!N$56,Параметры!N$62)</f>
        <v>0.06</v>
      </c>
      <c r="O368" s="290">
        <f>CHOOSE($D364,Параметры!O$50,Параметры!O$56,Параметры!O$62)</f>
        <v>0.06</v>
      </c>
      <c r="P368" s="290">
        <f>CHOOSE($D364,Параметры!P$50,Параметры!P$56,Параметры!P$62)</f>
        <v>0.06</v>
      </c>
      <c r="Q368" s="290">
        <f>CHOOSE($D364,Параметры!Q$50,Параметры!Q$56,Параметры!Q$62)</f>
        <v>0.06</v>
      </c>
      <c r="R368" s="290">
        <f>CHOOSE($D364,Параметры!R$50,Параметры!R$56,Параметры!R$62)</f>
        <v>0.06</v>
      </c>
      <c r="S368" s="290">
        <f>CHOOSE($D364,Параметры!S$50,Параметры!S$56,Параметры!S$62)</f>
        <v>0.06</v>
      </c>
      <c r="T368" s="290">
        <f>CHOOSE($D364,Параметры!T$50,Параметры!T$56,Параметры!T$62)</f>
        <v>0.06</v>
      </c>
      <c r="U368" s="290">
        <f>CHOOSE($D364,Параметры!U$50,Параметры!U$56,Параметры!U$62)</f>
        <v>0.06</v>
      </c>
      <c r="V368" s="290">
        <f>CHOOSE($D364,Параметры!V$50,Параметры!V$56,Параметры!V$62)</f>
        <v>0.06</v>
      </c>
      <c r="W368" s="290">
        <f>CHOOSE($D364,Параметры!W$50,Параметры!W$56,Параметры!W$62)</f>
        <v>0.06</v>
      </c>
      <c r="X368" s="290">
        <f>CHOOSE($D364,Параметры!X$50,Параметры!X$56,Параметры!X$62)</f>
        <v>0.06</v>
      </c>
      <c r="Y368" s="290">
        <f>CHOOSE($D364,Параметры!Y$50,Параметры!Y$56,Параметры!Y$62)</f>
        <v>0.06</v>
      </c>
      <c r="Z368" s="290">
        <f>CHOOSE($D364,Параметры!Z$50,Параметры!Z$56,Параметры!Z$62)</f>
        <v>0.06</v>
      </c>
      <c r="AA368" s="290">
        <f>CHOOSE($D364,Параметры!AA$50,Параметры!AA$56,Параметры!AA$62)</f>
        <v>0.06</v>
      </c>
      <c r="AB368" s="290">
        <f>CHOOSE($D364,Параметры!AB$50,Параметры!AB$56,Параметры!AB$62)</f>
        <v>0.06</v>
      </c>
      <c r="AC368" s="290">
        <f>CHOOSE($D364,Параметры!AC$50,Параметры!AC$56,Параметры!AC$62)</f>
        <v>0.06</v>
      </c>
      <c r="AD368" s="290">
        <f>CHOOSE($D364,Параметры!AD$50,Параметры!AD$56,Параметры!AD$62)</f>
        <v>0.06</v>
      </c>
      <c r="AE368" s="290">
        <f>CHOOSE($D364,Параметры!AE$50,Параметры!AE$56,Параметры!AE$62)</f>
        <v>0.06</v>
      </c>
      <c r="AF368" s="290">
        <f>CHOOSE($D364,Параметры!AF$50,Параметры!AF$56,Параметры!AF$62)</f>
        <v>0.06</v>
      </c>
      <c r="AG368" s="290">
        <f>CHOOSE($D364,Параметры!AG$50,Параметры!AG$56,Параметры!AG$62)</f>
        <v>0.06</v>
      </c>
      <c r="AH368" s="290">
        <f>CHOOSE($D364,Параметры!AH$50,Параметры!AH$56,Параметры!AH$62)</f>
        <v>0.06</v>
      </c>
      <c r="AI368" s="290">
        <f>CHOOSE($D364,Параметры!AI$50,Параметры!AI$56,Параметры!AI$62)</f>
        <v>0.06</v>
      </c>
      <c r="AJ368" s="290">
        <f>CHOOSE($D364,Параметры!AJ$50,Параметры!AJ$56,Параметры!AJ$62)</f>
        <v>0.06</v>
      </c>
      <c r="AK368" s="290">
        <f>CHOOSE($D364,Параметры!AK$50,Параметры!AK$56,Параметры!AK$62)</f>
        <v>0.06</v>
      </c>
      <c r="AL368" s="290">
        <f>CHOOSE($D364,Параметры!AL$50,Параметры!AL$56,Параметры!AL$62)</f>
        <v>0.06</v>
      </c>
      <c r="AM368" s="290">
        <f>CHOOSE($D364,Параметры!AM$50,Параметры!AM$56,Параметры!AM$62)</f>
        <v>0.06</v>
      </c>
      <c r="AN368" s="290">
        <f>CHOOSE($D364,Параметры!AN$50,Параметры!AN$56,Параметры!AN$62)</f>
        <v>0.06</v>
      </c>
      <c r="AO368" s="290">
        <f>CHOOSE($D364,Параметры!AO$50,Параметры!AO$56,Параметры!AO$62)</f>
        <v>0.06</v>
      </c>
      <c r="AP368" s="290">
        <f>CHOOSE($D364,Параметры!AP$50,Параметры!AP$56,Параметры!AP$62)</f>
        <v>0.06</v>
      </c>
      <c r="AQ368" s="290">
        <f>CHOOSE($D364,Параметры!AQ$50,Параметры!AQ$56,Параметры!AQ$62)</f>
        <v>0.06</v>
      </c>
      <c r="AR368" s="290">
        <f>CHOOSE($D364,Параметры!AR$50,Параметры!AR$56,Параметры!AR$62)</f>
        <v>0.06</v>
      </c>
      <c r="AS368" s="290">
        <f>CHOOSE($D364,Параметры!AS$50,Параметры!AS$56,Параметры!AS$62)</f>
        <v>0.06</v>
      </c>
      <c r="AT368" s="290">
        <f>CHOOSE($D364,Параметры!AT$50,Параметры!AT$56,Параметры!AT$62)</f>
        <v>0.06</v>
      </c>
      <c r="AU368" s="290">
        <f>CHOOSE($D364,Параметры!AU$50,Параметры!AU$56,Параметры!AU$62)</f>
        <v>0.06</v>
      </c>
      <c r="AV368" s="290">
        <f>CHOOSE($D364,Параметры!AV$50,Параметры!AV$56,Параметры!AV$62)</f>
        <v>0.06</v>
      </c>
      <c r="AW368" s="290">
        <f>CHOOSE($D364,Параметры!AW$50,Параметры!AW$56,Параметры!AW$62)</f>
        <v>0.06</v>
      </c>
      <c r="AX368" s="290">
        <f>CHOOSE($D364,Параметры!AX$50,Параметры!AX$56,Параметры!AX$62)</f>
        <v>0.06</v>
      </c>
      <c r="AY368" s="290">
        <f>CHOOSE($D364,Параметры!AY$50,Параметры!AY$56,Параметры!AY$62)</f>
        <v>0.06</v>
      </c>
      <c r="AZ368" s="290">
        <f>CHOOSE($D364,Параметры!AZ$50,Параметры!AZ$56,Параметры!AZ$62)</f>
        <v>0.06</v>
      </c>
      <c r="BA368" s="290">
        <f>CHOOSE($D364,Параметры!BA$50,Параметры!BA$56,Параметры!BA$62)</f>
        <v>0.06</v>
      </c>
      <c r="BB368" s="290">
        <f>CHOOSE($D364,Параметры!BB$50,Параметры!BB$56,Параметры!BB$62)</f>
        <v>0.06</v>
      </c>
      <c r="BC368" s="190"/>
      <c r="BD368" s="186"/>
    </row>
    <row r="369" spans="1:56" hidden="1" outlineLevel="1" x14ac:dyDescent="0.3">
      <c r="A369" s="184" t="str">
        <f ca="1">Language!A$675</f>
        <v>коэффициент прироста цен к предыдущему периоду</v>
      </c>
      <c r="B369" s="189"/>
      <c r="C369" s="163" t="str">
        <f ca="1">Language!$A$1477</f>
        <v>раз</v>
      </c>
      <c r="D369" s="174"/>
      <c r="F369" s="170" t="s">
        <v>745</v>
      </c>
      <c r="G369" s="191">
        <f ca="1">IF(G$2=1,1,IF(Prj_Inflation=1, (1+OFFSET(G368,0,-1))^(Параметры!G$30/360), 1))</f>
        <v>1</v>
      </c>
      <c r="H369" s="191">
        <f ca="1">IF(H$2=1,1,IF(Prj_Inflation=1, (1+OFFSET(H368,0,-1))^(Параметры!H$30/360), 1))</f>
        <v>1.004867550565343</v>
      </c>
      <c r="I369" s="191">
        <f ca="1">IF(I$2=1,1,IF(Prj_Inflation=1, (1+OFFSET(I368,0,-1))^(Параметры!I$30/360), 1))</f>
        <v>1.004867550565343</v>
      </c>
      <c r="J369" s="191">
        <f ca="1">IF(J$2=1,1,IF(Prj_Inflation=1, (1+OFFSET(J368,0,-1))^(Параметры!J$30/360), 1))</f>
        <v>1.004867550565343</v>
      </c>
      <c r="K369" s="191">
        <f ca="1">IF(K$2=1,1,IF(Prj_Inflation=1, (1+OFFSET(K368,0,-1))^(Параметры!K$30/360), 1))</f>
        <v>1.004867550565343</v>
      </c>
      <c r="L369" s="191">
        <f ca="1">IF(L$2=1,1,IF(Prj_Inflation=1, (1+OFFSET(L368,0,-1))^(Параметры!L$30/360), 1))</f>
        <v>1.004867550565343</v>
      </c>
      <c r="M369" s="191">
        <f ca="1">IF(M$2=1,1,IF(Prj_Inflation=1, (1+OFFSET(M368,0,-1))^(Параметры!M$30/360), 1))</f>
        <v>1.004867550565343</v>
      </c>
      <c r="N369" s="191">
        <f ca="1">IF(N$2=1,1,IF(Prj_Inflation=1, (1+OFFSET(N368,0,-1))^(Параметры!N$30/360), 1))</f>
        <v>1.004867550565343</v>
      </c>
      <c r="O369" s="191">
        <f ca="1">IF(O$2=1,1,IF(Prj_Inflation=1, (1+OFFSET(O368,0,-1))^(Параметры!O$30/360), 1))</f>
        <v>1.004867550565343</v>
      </c>
      <c r="P369" s="191">
        <f ca="1">IF(P$2=1,1,IF(Prj_Inflation=1, (1+OFFSET(P368,0,-1))^(Параметры!P$30/360), 1))</f>
        <v>1.004867550565343</v>
      </c>
      <c r="Q369" s="191">
        <f ca="1">IF(Q$2=1,1,IF(Prj_Inflation=1, (1+OFFSET(Q368,0,-1))^(Параметры!Q$30/360), 1))</f>
        <v>1.004867550565343</v>
      </c>
      <c r="R369" s="191">
        <f ca="1">IF(R$2=1,1,IF(Prj_Inflation=1, (1+OFFSET(R368,0,-1))^(Параметры!R$30/360), 1))</f>
        <v>1.004867550565343</v>
      </c>
      <c r="S369" s="191">
        <f ca="1">IF(S$2=1,1,IF(Prj_Inflation=1, (1+OFFSET(S368,0,-1))^(Параметры!S$30/360), 1))</f>
        <v>1.004867550565343</v>
      </c>
      <c r="T369" s="191">
        <f ca="1">IF(T$2=1,1,IF(Prj_Inflation=1, (1+OFFSET(T368,0,-1))^(Параметры!T$30/360), 1))</f>
        <v>1.004867550565343</v>
      </c>
      <c r="U369" s="191">
        <f ca="1">IF(U$2=1,1,IF(Prj_Inflation=1, (1+OFFSET(U368,0,-1))^(Параметры!U$30/360), 1))</f>
        <v>1.004867550565343</v>
      </c>
      <c r="V369" s="191">
        <f ca="1">IF(V$2=1,1,IF(Prj_Inflation=1, (1+OFFSET(V368,0,-1))^(Параметры!V$30/360), 1))</f>
        <v>1.004867550565343</v>
      </c>
      <c r="W369" s="191">
        <f ca="1">IF(W$2=1,1,IF(Prj_Inflation=1, (1+OFFSET(W368,0,-1))^(Параметры!W$30/360), 1))</f>
        <v>1.004867550565343</v>
      </c>
      <c r="X369" s="191">
        <f ca="1">IF(X$2=1,1,IF(Prj_Inflation=1, (1+OFFSET(X368,0,-1))^(Параметры!X$30/360), 1))</f>
        <v>1.004867550565343</v>
      </c>
      <c r="Y369" s="191">
        <f ca="1">IF(Y$2=1,1,IF(Prj_Inflation=1, (1+OFFSET(Y368,0,-1))^(Параметры!Y$30/360), 1))</f>
        <v>1.004867550565343</v>
      </c>
      <c r="Z369" s="191">
        <f ca="1">IF(Z$2=1,1,IF(Prj_Inflation=1, (1+OFFSET(Z368,0,-1))^(Параметры!Z$30/360), 1))</f>
        <v>1.004867550565343</v>
      </c>
      <c r="AA369" s="191">
        <f ca="1">IF(AA$2=1,1,IF(Prj_Inflation=1, (1+OFFSET(AA368,0,-1))^(Параметры!AA$30/360), 1))</f>
        <v>1.004867550565343</v>
      </c>
      <c r="AB369" s="191">
        <f ca="1">IF(AB$2=1,1,IF(Prj_Inflation=1, (1+OFFSET(AB368,0,-1))^(Параметры!AB$30/360), 1))</f>
        <v>1.004867550565343</v>
      </c>
      <c r="AC369" s="191">
        <f ca="1">IF(AC$2=1,1,IF(Prj_Inflation=1, (1+OFFSET(AC368,0,-1))^(Параметры!AC$30/360), 1))</f>
        <v>1.004867550565343</v>
      </c>
      <c r="AD369" s="191">
        <f ca="1">IF(AD$2=1,1,IF(Prj_Inflation=1, (1+OFFSET(AD368,0,-1))^(Параметры!AD$30/360), 1))</f>
        <v>1.004867550565343</v>
      </c>
      <c r="AE369" s="191">
        <f ca="1">IF(AE$2=1,1,IF(Prj_Inflation=1, (1+OFFSET(AE368,0,-1))^(Параметры!AE$30/360), 1))</f>
        <v>1.004867550565343</v>
      </c>
      <c r="AF369" s="191">
        <f ca="1">IF(AF$2=1,1,IF(Prj_Inflation=1, (1+OFFSET(AF368,0,-1))^(Параметры!AF$30/360), 1))</f>
        <v>1.004867550565343</v>
      </c>
      <c r="AG369" s="191">
        <f ca="1">IF(AG$2=1,1,IF(Prj_Inflation=1, (1+OFFSET(AG368,0,-1))^(Параметры!AG$30/360), 1))</f>
        <v>1.004867550565343</v>
      </c>
      <c r="AH369" s="191">
        <f ca="1">IF(AH$2=1,1,IF(Prj_Inflation=1, (1+OFFSET(AH368,0,-1))^(Параметры!AH$30/360), 1))</f>
        <v>1.004867550565343</v>
      </c>
      <c r="AI369" s="191">
        <f ca="1">IF(AI$2=1,1,IF(Prj_Inflation=1, (1+OFFSET(AI368,0,-1))^(Параметры!AI$30/360), 1))</f>
        <v>1.004867550565343</v>
      </c>
      <c r="AJ369" s="191">
        <f ca="1">IF(AJ$2=1,1,IF(Prj_Inflation=1, (1+OFFSET(AJ368,0,-1))^(Параметры!AJ$30/360), 1))</f>
        <v>1.004867550565343</v>
      </c>
      <c r="AK369" s="191">
        <f ca="1">IF(AK$2=1,1,IF(Prj_Inflation=1, (1+OFFSET(AK368,0,-1))^(Параметры!AK$30/360), 1))</f>
        <v>1.004867550565343</v>
      </c>
      <c r="AL369" s="191">
        <f ca="1">IF(AL$2=1,1,IF(Prj_Inflation=1, (1+OFFSET(AL368,0,-1))^(Параметры!AL$30/360), 1))</f>
        <v>1.004867550565343</v>
      </c>
      <c r="AM369" s="191">
        <f ca="1">IF(AM$2=1,1,IF(Prj_Inflation=1, (1+OFFSET(AM368,0,-1))^(Параметры!AM$30/360), 1))</f>
        <v>1.004867550565343</v>
      </c>
      <c r="AN369" s="191">
        <f ca="1">IF(AN$2=1,1,IF(Prj_Inflation=1, (1+OFFSET(AN368,0,-1))^(Параметры!AN$30/360), 1))</f>
        <v>1.004867550565343</v>
      </c>
      <c r="AO369" s="191">
        <f ca="1">IF(AO$2=1,1,IF(Prj_Inflation=1, (1+OFFSET(AO368,0,-1))^(Параметры!AO$30/360), 1))</f>
        <v>1.004867550565343</v>
      </c>
      <c r="AP369" s="191">
        <f ca="1">IF(AP$2=1,1,IF(Prj_Inflation=1, (1+OFFSET(AP368,0,-1))^(Параметры!AP$30/360), 1))</f>
        <v>1.004867550565343</v>
      </c>
      <c r="AQ369" s="191">
        <f ca="1">IF(AQ$2=1,1,IF(Prj_Inflation=1, (1+OFFSET(AQ368,0,-1))^(Параметры!AQ$30/360), 1))</f>
        <v>1.004867550565343</v>
      </c>
      <c r="AR369" s="191">
        <f ca="1">IF(AR$2=1,1,IF(Prj_Inflation=1, (1+OFFSET(AR368,0,-1))^(Параметры!AR$30/360), 1))</f>
        <v>1.004867550565343</v>
      </c>
      <c r="AS369" s="191">
        <f ca="1">IF(AS$2=1,1,IF(Prj_Inflation=1, (1+OFFSET(AS368,0,-1))^(Параметры!AS$30/360), 1))</f>
        <v>1.004867550565343</v>
      </c>
      <c r="AT369" s="191">
        <f ca="1">IF(AT$2=1,1,IF(Prj_Inflation=1, (1+OFFSET(AT368,0,-1))^(Параметры!AT$30/360), 1))</f>
        <v>1.004867550565343</v>
      </c>
      <c r="AU369" s="191">
        <f ca="1">IF(AU$2=1,1,IF(Prj_Inflation=1, (1+OFFSET(AU368,0,-1))^(Параметры!AU$30/360), 1))</f>
        <v>1.004867550565343</v>
      </c>
      <c r="AV369" s="191">
        <f ca="1">IF(AV$2=1,1,IF(Prj_Inflation=1, (1+OFFSET(AV368,0,-1))^(Параметры!AV$30/360), 1))</f>
        <v>1.004867550565343</v>
      </c>
      <c r="AW369" s="191">
        <f ca="1">IF(AW$2=1,1,IF(Prj_Inflation=1, (1+OFFSET(AW368,0,-1))^(Параметры!AW$30/360), 1))</f>
        <v>1.004867550565343</v>
      </c>
      <c r="AX369" s="191">
        <f ca="1">IF(AX$2=1,1,IF(Prj_Inflation=1, (1+OFFSET(AX368,0,-1))^(Параметры!AX$30/360), 1))</f>
        <v>1.004867550565343</v>
      </c>
      <c r="AY369" s="191">
        <f ca="1">IF(AY$2=1,1,IF(Prj_Inflation=1, (1+OFFSET(AY368,0,-1))^(Параметры!AY$30/360), 1))</f>
        <v>1.004867550565343</v>
      </c>
      <c r="AZ369" s="191">
        <f ca="1">IF(AZ$2=1,1,IF(Prj_Inflation=1, (1+OFFSET(AZ368,0,-1))^(Параметры!AZ$30/360), 1))</f>
        <v>1.004867550565343</v>
      </c>
      <c r="BA369" s="191">
        <f ca="1">IF(BA$2=1,1,IF(Prj_Inflation=1, (1+OFFSET(BA368,0,-1))^(Параметры!BA$30/360), 1))</f>
        <v>1.004867550565343</v>
      </c>
      <c r="BB369" s="191">
        <f ca="1">IF(BB$2=1,1,IF(Prj_Inflation=1, (1+OFFSET(BB368,0,-1))^(Параметры!BB$30/360), 1))</f>
        <v>1.004867550565343</v>
      </c>
      <c r="BC369" s="191"/>
      <c r="BD369" s="186"/>
    </row>
    <row r="370" spans="1:56" hidden="1" outlineLevel="1" x14ac:dyDescent="0.3">
      <c r="A370" s="184" t="str">
        <f ca="1">Language!A$1486</f>
        <v>индексировать в начале года</v>
      </c>
      <c r="B370" s="291">
        <v>0</v>
      </c>
      <c r="C370" s="163" t="str">
        <f ca="1">IF(B370=1,Language!$A$1475,Language!$A$1476)</f>
        <v>Нет</v>
      </c>
      <c r="D370" s="174"/>
      <c r="F370" s="170" t="s">
        <v>3408</v>
      </c>
      <c r="G370" s="192" t="str">
        <f ca="1">IF(Prj_Inflation=1,IF($B370=1,IF(G$2=1,1,IF(Параметры!G$29=1,1+OFFSET(G368,0,-1),1)),"-"),1)</f>
        <v>-</v>
      </c>
      <c r="H370" s="192" t="str">
        <f ca="1">IF(Prj_Inflation=1,IF($B370=1,IF(H$2=1,1,IF(Параметры!H$29=1,1+OFFSET(H368,0,-1),1)),"-"),1)</f>
        <v>-</v>
      </c>
      <c r="I370" s="192" t="str">
        <f ca="1">IF(Prj_Inflation=1,IF($B370=1,IF(I$2=1,1,IF(Параметры!I$29=1,1+OFFSET(I368,0,-1),1)),"-"),1)</f>
        <v>-</v>
      </c>
      <c r="J370" s="192" t="str">
        <f ca="1">IF(Prj_Inflation=1,IF($B370=1,IF(J$2=1,1,IF(Параметры!J$29=1,1+OFFSET(J368,0,-1),1)),"-"),1)</f>
        <v>-</v>
      </c>
      <c r="K370" s="192" t="str">
        <f ca="1">IF(Prj_Inflation=1,IF($B370=1,IF(K$2=1,1,IF(Параметры!K$29=1,1+OFFSET(K368,0,-1),1)),"-"),1)</f>
        <v>-</v>
      </c>
      <c r="L370" s="192" t="str">
        <f ca="1">IF(Prj_Inflation=1,IF($B370=1,IF(L$2=1,1,IF(Параметры!L$29=1,1+OFFSET(L368,0,-1),1)),"-"),1)</f>
        <v>-</v>
      </c>
      <c r="M370" s="192" t="str">
        <f ca="1">IF(Prj_Inflation=1,IF($B370=1,IF(M$2=1,1,IF(Параметры!M$29=1,1+OFFSET(M368,0,-1),1)),"-"),1)</f>
        <v>-</v>
      </c>
      <c r="N370" s="192" t="str">
        <f ca="1">IF(Prj_Inflation=1,IF($B370=1,IF(N$2=1,1,IF(Параметры!N$29=1,1+OFFSET(N368,0,-1),1)),"-"),1)</f>
        <v>-</v>
      </c>
      <c r="O370" s="192" t="str">
        <f ca="1">IF(Prj_Inflation=1,IF($B370=1,IF(O$2=1,1,IF(Параметры!O$29=1,1+OFFSET(O368,0,-1),1)),"-"),1)</f>
        <v>-</v>
      </c>
      <c r="P370" s="192" t="str">
        <f ca="1">IF(Prj_Inflation=1,IF($B370=1,IF(P$2=1,1,IF(Параметры!P$29=1,1+OFFSET(P368,0,-1),1)),"-"),1)</f>
        <v>-</v>
      </c>
      <c r="Q370" s="192" t="str">
        <f ca="1">IF(Prj_Inflation=1,IF($B370=1,IF(Q$2=1,1,IF(Параметры!Q$29=1,1+OFFSET(Q368,0,-1),1)),"-"),1)</f>
        <v>-</v>
      </c>
      <c r="R370" s="192" t="str">
        <f ca="1">IF(Prj_Inflation=1,IF($B370=1,IF(R$2=1,1,IF(Параметры!R$29=1,1+OFFSET(R368,0,-1),1)),"-"),1)</f>
        <v>-</v>
      </c>
      <c r="S370" s="192" t="str">
        <f ca="1">IF(Prj_Inflation=1,IF($B370=1,IF(S$2=1,1,IF(Параметры!S$29=1,1+OFFSET(S368,0,-1),1)),"-"),1)</f>
        <v>-</v>
      </c>
      <c r="T370" s="192" t="str">
        <f ca="1">IF(Prj_Inflation=1,IF($B370=1,IF(T$2=1,1,IF(Параметры!T$29=1,1+OFFSET(T368,0,-1),1)),"-"),1)</f>
        <v>-</v>
      </c>
      <c r="U370" s="192" t="str">
        <f ca="1">IF(Prj_Inflation=1,IF($B370=1,IF(U$2=1,1,IF(Параметры!U$29=1,1+OFFSET(U368,0,-1),1)),"-"),1)</f>
        <v>-</v>
      </c>
      <c r="V370" s="192" t="str">
        <f ca="1">IF(Prj_Inflation=1,IF($B370=1,IF(V$2=1,1,IF(Параметры!V$29=1,1+OFFSET(V368,0,-1),1)),"-"),1)</f>
        <v>-</v>
      </c>
      <c r="W370" s="192" t="str">
        <f ca="1">IF(Prj_Inflation=1,IF($B370=1,IF(W$2=1,1,IF(Параметры!W$29=1,1+OFFSET(W368,0,-1),1)),"-"),1)</f>
        <v>-</v>
      </c>
      <c r="X370" s="192" t="str">
        <f ca="1">IF(Prj_Inflation=1,IF($B370=1,IF(X$2=1,1,IF(Параметры!X$29=1,1+OFFSET(X368,0,-1),1)),"-"),1)</f>
        <v>-</v>
      </c>
      <c r="Y370" s="192" t="str">
        <f ca="1">IF(Prj_Inflation=1,IF($B370=1,IF(Y$2=1,1,IF(Параметры!Y$29=1,1+OFFSET(Y368,0,-1),1)),"-"),1)</f>
        <v>-</v>
      </c>
      <c r="Z370" s="192" t="str">
        <f ca="1">IF(Prj_Inflation=1,IF($B370=1,IF(Z$2=1,1,IF(Параметры!Z$29=1,1+OFFSET(Z368,0,-1),1)),"-"),1)</f>
        <v>-</v>
      </c>
      <c r="AA370" s="192" t="str">
        <f ca="1">IF(Prj_Inflation=1,IF($B370=1,IF(AA$2=1,1,IF(Параметры!AA$29=1,1+OFFSET(AA368,0,-1),1)),"-"),1)</f>
        <v>-</v>
      </c>
      <c r="AB370" s="192" t="str">
        <f ca="1">IF(Prj_Inflation=1,IF($B370=1,IF(AB$2=1,1,IF(Параметры!AB$29=1,1+OFFSET(AB368,0,-1),1)),"-"),1)</f>
        <v>-</v>
      </c>
      <c r="AC370" s="192" t="str">
        <f ca="1">IF(Prj_Inflation=1,IF($B370=1,IF(AC$2=1,1,IF(Параметры!AC$29=1,1+OFFSET(AC368,0,-1),1)),"-"),1)</f>
        <v>-</v>
      </c>
      <c r="AD370" s="192" t="str">
        <f ca="1">IF(Prj_Inflation=1,IF($B370=1,IF(AD$2=1,1,IF(Параметры!AD$29=1,1+OFFSET(AD368,0,-1),1)),"-"),1)</f>
        <v>-</v>
      </c>
      <c r="AE370" s="192" t="str">
        <f ca="1">IF(Prj_Inflation=1,IF($B370=1,IF(AE$2=1,1,IF(Параметры!AE$29=1,1+OFFSET(AE368,0,-1),1)),"-"),1)</f>
        <v>-</v>
      </c>
      <c r="AF370" s="192" t="str">
        <f ca="1">IF(Prj_Inflation=1,IF($B370=1,IF(AF$2=1,1,IF(Параметры!AF$29=1,1+OFFSET(AF368,0,-1),1)),"-"),1)</f>
        <v>-</v>
      </c>
      <c r="AG370" s="192" t="str">
        <f ca="1">IF(Prj_Inflation=1,IF($B370=1,IF(AG$2=1,1,IF(Параметры!AG$29=1,1+OFFSET(AG368,0,-1),1)),"-"),1)</f>
        <v>-</v>
      </c>
      <c r="AH370" s="192" t="str">
        <f ca="1">IF(Prj_Inflation=1,IF($B370=1,IF(AH$2=1,1,IF(Параметры!AH$29=1,1+OFFSET(AH368,0,-1),1)),"-"),1)</f>
        <v>-</v>
      </c>
      <c r="AI370" s="192" t="str">
        <f ca="1">IF(Prj_Inflation=1,IF($B370=1,IF(AI$2=1,1,IF(Параметры!AI$29=1,1+OFFSET(AI368,0,-1),1)),"-"),1)</f>
        <v>-</v>
      </c>
      <c r="AJ370" s="192" t="str">
        <f ca="1">IF(Prj_Inflation=1,IF($B370=1,IF(AJ$2=1,1,IF(Параметры!AJ$29=1,1+OFFSET(AJ368,0,-1),1)),"-"),1)</f>
        <v>-</v>
      </c>
      <c r="AK370" s="192" t="str">
        <f ca="1">IF(Prj_Inflation=1,IF($B370=1,IF(AK$2=1,1,IF(Параметры!AK$29=1,1+OFFSET(AK368,0,-1),1)),"-"),1)</f>
        <v>-</v>
      </c>
      <c r="AL370" s="192" t="str">
        <f ca="1">IF(Prj_Inflation=1,IF($B370=1,IF(AL$2=1,1,IF(Параметры!AL$29=1,1+OFFSET(AL368,0,-1),1)),"-"),1)</f>
        <v>-</v>
      </c>
      <c r="AM370" s="192" t="str">
        <f ca="1">IF(Prj_Inflation=1,IF($B370=1,IF(AM$2=1,1,IF(Параметры!AM$29=1,1+OFFSET(AM368,0,-1),1)),"-"),1)</f>
        <v>-</v>
      </c>
      <c r="AN370" s="192" t="str">
        <f ca="1">IF(Prj_Inflation=1,IF($B370=1,IF(AN$2=1,1,IF(Параметры!AN$29=1,1+OFFSET(AN368,0,-1),1)),"-"),1)</f>
        <v>-</v>
      </c>
      <c r="AO370" s="192" t="str">
        <f ca="1">IF(Prj_Inflation=1,IF($B370=1,IF(AO$2=1,1,IF(Параметры!AO$29=1,1+OFFSET(AO368,0,-1),1)),"-"),1)</f>
        <v>-</v>
      </c>
      <c r="AP370" s="192" t="str">
        <f ca="1">IF(Prj_Inflation=1,IF($B370=1,IF(AP$2=1,1,IF(Параметры!AP$29=1,1+OFFSET(AP368,0,-1),1)),"-"),1)</f>
        <v>-</v>
      </c>
      <c r="AQ370" s="192" t="str">
        <f ca="1">IF(Prj_Inflation=1,IF($B370=1,IF(AQ$2=1,1,IF(Параметры!AQ$29=1,1+OFFSET(AQ368,0,-1),1)),"-"),1)</f>
        <v>-</v>
      </c>
      <c r="AR370" s="192" t="str">
        <f ca="1">IF(Prj_Inflation=1,IF($B370=1,IF(AR$2=1,1,IF(Параметры!AR$29=1,1+OFFSET(AR368,0,-1),1)),"-"),1)</f>
        <v>-</v>
      </c>
      <c r="AS370" s="192" t="str">
        <f ca="1">IF(Prj_Inflation=1,IF($B370=1,IF(AS$2=1,1,IF(Параметры!AS$29=1,1+OFFSET(AS368,0,-1),1)),"-"),1)</f>
        <v>-</v>
      </c>
      <c r="AT370" s="192" t="str">
        <f ca="1">IF(Prj_Inflation=1,IF($B370=1,IF(AT$2=1,1,IF(Параметры!AT$29=1,1+OFFSET(AT368,0,-1),1)),"-"),1)</f>
        <v>-</v>
      </c>
      <c r="AU370" s="192" t="str">
        <f ca="1">IF(Prj_Inflation=1,IF($B370=1,IF(AU$2=1,1,IF(Параметры!AU$29=1,1+OFFSET(AU368,0,-1),1)),"-"),1)</f>
        <v>-</v>
      </c>
      <c r="AV370" s="192" t="str">
        <f ca="1">IF(Prj_Inflation=1,IF($B370=1,IF(AV$2=1,1,IF(Параметры!AV$29=1,1+OFFSET(AV368,0,-1),1)),"-"),1)</f>
        <v>-</v>
      </c>
      <c r="AW370" s="192" t="str">
        <f ca="1">IF(Prj_Inflation=1,IF($B370=1,IF(AW$2=1,1,IF(Параметры!AW$29=1,1+OFFSET(AW368,0,-1),1)),"-"),1)</f>
        <v>-</v>
      </c>
      <c r="AX370" s="192" t="str">
        <f ca="1">IF(Prj_Inflation=1,IF($B370=1,IF(AX$2=1,1,IF(Параметры!AX$29=1,1+OFFSET(AX368,0,-1),1)),"-"),1)</f>
        <v>-</v>
      </c>
      <c r="AY370" s="192" t="str">
        <f ca="1">IF(Prj_Inflation=1,IF($B370=1,IF(AY$2=1,1,IF(Параметры!AY$29=1,1+OFFSET(AY368,0,-1),1)),"-"),1)</f>
        <v>-</v>
      </c>
      <c r="AZ370" s="192" t="str">
        <f ca="1">IF(Prj_Inflation=1,IF($B370=1,IF(AZ$2=1,1,IF(Параметры!AZ$29=1,1+OFFSET(AZ368,0,-1),1)),"-"),1)</f>
        <v>-</v>
      </c>
      <c r="BA370" s="192" t="str">
        <f ca="1">IF(Prj_Inflation=1,IF($B370=1,IF(BA$2=1,1,IF(Параметры!BA$29=1,1+OFFSET(BA368,0,-1),1)),"-"),1)</f>
        <v>-</v>
      </c>
      <c r="BB370" s="192" t="str">
        <f ca="1">IF(Prj_Inflation=1,IF($B370=1,IF(BB$2=1,1,IF(Параметры!BB$29=1,1+OFFSET(BB368,0,-1),1)),"-"),1)</f>
        <v>-</v>
      </c>
      <c r="BC370" s="191"/>
      <c r="BD370" s="186"/>
    </row>
    <row r="371" spans="1:56" hidden="1" outlineLevel="1" x14ac:dyDescent="0.3">
      <c r="A371" s="184" t="str">
        <f ca="1">Language!A$704</f>
        <v>социальные взносы</v>
      </c>
      <c r="B371" s="189"/>
      <c r="C371" s="163" t="str">
        <f ca="1">CHOOSE(D371,CurName1,CurName2,CurName3)</f>
        <v>руб.</v>
      </c>
      <c r="D371" s="174">
        <f>D364</f>
        <v>1</v>
      </c>
      <c r="E371" s="170" t="s">
        <v>1459</v>
      </c>
      <c r="F371" s="170" t="s">
        <v>740</v>
      </c>
      <c r="G371" s="185">
        <f ca="1">G367*Параметры!G$91</f>
        <v>0</v>
      </c>
      <c r="H371" s="185">
        <f ca="1">H367*Параметры!H$91</f>
        <v>0</v>
      </c>
      <c r="I371" s="185">
        <f ca="1">I367*Параметры!I$91</f>
        <v>0</v>
      </c>
      <c r="J371" s="185">
        <f ca="1">J367*Параметры!J$91</f>
        <v>0</v>
      </c>
      <c r="K371" s="185">
        <f ca="1">K367*Параметры!K$91</f>
        <v>0</v>
      </c>
      <c r="L371" s="185">
        <f ca="1">L367*Параметры!L$91</f>
        <v>0</v>
      </c>
      <c r="M371" s="185">
        <f ca="1">M367*Параметры!M$91</f>
        <v>43087.212140030606</v>
      </c>
      <c r="N371" s="185">
        <f ca="1">N367*Параметры!N$91</f>
        <v>43296.941323841871</v>
      </c>
      <c r="O371" s="185">
        <f ca="1">O367*Параметры!O$91</f>
        <v>43507.691375060371</v>
      </c>
      <c r="P371" s="185">
        <f ca="1">P367*Параметры!P$91</f>
        <v>43719.467262809812</v>
      </c>
      <c r="Q371" s="185">
        <f ca="1">Q367*Параметры!Q$91</f>
        <v>43932.273980401398</v>
      </c>
      <c r="R371" s="185">
        <f ca="1">R367*Параметры!R$91</f>
        <v>44146.116545451514</v>
      </c>
      <c r="S371" s="185">
        <f ca="1">S367*Параметры!S$91</f>
        <v>44361.000000000029</v>
      </c>
      <c r="T371" s="185">
        <f ca="1">T367*Параметры!T$91</f>
        <v>44576.929410629207</v>
      </c>
      <c r="U371" s="185">
        <f ca="1">U367*Параметры!U$91</f>
        <v>44793.90986858317</v>
      </c>
      <c r="V371" s="185">
        <f ca="1">V367*Параметры!V$91</f>
        <v>45011.946489887931</v>
      </c>
      <c r="W371" s="185">
        <f ca="1">W367*Параметры!W$91</f>
        <v>45231.044415471981</v>
      </c>
      <c r="X371" s="185">
        <f ca="1">X367*Параметры!X$91</f>
        <v>45451.208811287557</v>
      </c>
      <c r="Y371" s="185">
        <f ca="1">Y367*Параметры!Y$91</f>
        <v>45672.444868432474</v>
      </c>
      <c r="Z371" s="185">
        <f ca="1">Z367*Параметры!Z$91</f>
        <v>45894.757803272398</v>
      </c>
      <c r="AA371" s="185">
        <f ca="1">AA367*Параметры!AA$91</f>
        <v>46118.152857564004</v>
      </c>
      <c r="AB371" s="185">
        <f ca="1">AB367*Параметры!AB$91</f>
        <v>46342.635298578411</v>
      </c>
      <c r="AC371" s="185">
        <f ca="1">AC367*Параметры!AC$91</f>
        <v>46568.210419225499</v>
      </c>
      <c r="AD371" s="185">
        <f ca="1">AD367*Параметры!AD$91</f>
        <v>46794.883538178612</v>
      </c>
      <c r="AE371" s="185">
        <f ca="1">AE367*Параметры!AE$91</f>
        <v>47022.660000000033</v>
      </c>
      <c r="AF371" s="185">
        <f ca="1">AF367*Параметры!AF$91</f>
        <v>47251.545175266969</v>
      </c>
      <c r="AG371" s="185">
        <f ca="1">AG367*Параметры!AG$91</f>
        <v>47481.544460698176</v>
      </c>
      <c r="AH371" s="185">
        <f ca="1">AH367*Параметры!AH$91</f>
        <v>47712.663279281209</v>
      </c>
      <c r="AI371" s="185">
        <f ca="1">AI367*Параметры!AI$91</f>
        <v>47944.907080400291</v>
      </c>
      <c r="AJ371" s="185">
        <f ca="1">AJ367*Параметры!AJ$91</f>
        <v>48178.281339964815</v>
      </c>
      <c r="AK371" s="185">
        <f ca="1">AK367*Параметры!AK$91</f>
        <v>48412.791560538419</v>
      </c>
      <c r="AL371" s="185">
        <f ca="1">AL367*Параметры!AL$91</f>
        <v>48648.443271468757</v>
      </c>
      <c r="AM371" s="185">
        <f ca="1">AM367*Параметры!AM$91</f>
        <v>48885.242029017849</v>
      </c>
      <c r="AN371" s="185">
        <f ca="1">AN367*Параметры!AN$91</f>
        <v>49123.193416493123</v>
      </c>
      <c r="AO371" s="185">
        <f ca="1">AO367*Параметры!AO$91</f>
        <v>49362.303044379027</v>
      </c>
      <c r="AP371" s="185">
        <f ca="1">AP367*Параметры!AP$91</f>
        <v>49602.576550469326</v>
      </c>
      <c r="AQ371" s="185">
        <f ca="1">AQ367*Параметры!AQ$91</f>
        <v>49844.019600000043</v>
      </c>
      <c r="AR371" s="185">
        <f ca="1">AR367*Параметры!AR$91</f>
        <v>50086.637885782991</v>
      </c>
      <c r="AS371" s="185">
        <f ca="1">AS367*Параметры!AS$91</f>
        <v>50330.437128340076</v>
      </c>
      <c r="AT371" s="185">
        <f ca="1">AT367*Параметры!AT$91</f>
        <v>50575.423076038089</v>
      </c>
      <c r="AU371" s="185">
        <f ca="1">AU367*Параметры!AU$91</f>
        <v>50821.601505224316</v>
      </c>
      <c r="AV371" s="185">
        <f ca="1">AV367*Параметры!AV$91</f>
        <v>51068.978220362711</v>
      </c>
      <c r="AW371" s="185">
        <f ca="1">AW367*Параметры!AW$91</f>
        <v>51317.559054170728</v>
      </c>
      <c r="AX371" s="185">
        <f ca="1">AX367*Параметры!AX$91</f>
        <v>51567.349867756879</v>
      </c>
      <c r="AY371" s="185">
        <f ca="1">AY367*Параметры!AY$91</f>
        <v>51818.356550758923</v>
      </c>
      <c r="AZ371" s="185">
        <f ca="1">AZ367*Параметры!AZ$91</f>
        <v>52070.585021482722</v>
      </c>
      <c r="BA371" s="185">
        <f ca="1">BA367*Параметры!BA$91</f>
        <v>52324.04122704178</v>
      </c>
      <c r="BB371" s="185">
        <f ca="1">BB367*Параметры!BB$91</f>
        <v>52578.731143497498</v>
      </c>
      <c r="BC371" s="185"/>
      <c r="BD371" s="193">
        <f ca="1">SUM(G371:BC371)</f>
        <v>2002536.6978971416</v>
      </c>
    </row>
    <row r="372" spans="1:56" s="173" customFormat="1" hidden="1" outlineLevel="1" x14ac:dyDescent="0.3">
      <c r="A372" s="181" t="str">
        <f ca="1">Language!A$1513</f>
        <v>затраты на персонал, с соц. взносами</v>
      </c>
      <c r="B372" s="205"/>
      <c r="C372" s="176" t="str">
        <f ca="1">CHOOSE(D372,CurName1,CurName2,CurName3)</f>
        <v>руб.</v>
      </c>
      <c r="D372" s="174">
        <f>D364</f>
        <v>1</v>
      </c>
      <c r="E372" s="170" t="s">
        <v>2312</v>
      </c>
      <c r="F372" s="170" t="s">
        <v>740</v>
      </c>
      <c r="G372" s="182">
        <f ca="1">G367+G371</f>
        <v>0</v>
      </c>
      <c r="H372" s="182">
        <f t="shared" ref="H372:BB372" ca="1" si="1797">H367+H371</f>
        <v>0</v>
      </c>
      <c r="I372" s="182">
        <f t="shared" ca="1" si="1797"/>
        <v>0</v>
      </c>
      <c r="J372" s="182">
        <f t="shared" ca="1" si="1797"/>
        <v>0</v>
      </c>
      <c r="K372" s="182">
        <f t="shared" ca="1" si="1797"/>
        <v>0</v>
      </c>
      <c r="L372" s="182">
        <f t="shared" ca="1" si="1797"/>
        <v>0</v>
      </c>
      <c r="M372" s="182">
        <f t="shared" ca="1" si="1797"/>
        <v>182078.21904335511</v>
      </c>
      <c r="N372" s="182">
        <f t="shared" ca="1" si="1797"/>
        <v>182964.49398139626</v>
      </c>
      <c r="O372" s="182">
        <f t="shared" ca="1" si="1797"/>
        <v>183855.08290751313</v>
      </c>
      <c r="P372" s="182">
        <f t="shared" ca="1" si="1797"/>
        <v>184750.00682026078</v>
      </c>
      <c r="Q372" s="182">
        <f t="shared" ca="1" si="1797"/>
        <v>185649.28682040589</v>
      </c>
      <c r="R372" s="182">
        <f t="shared" ca="1" si="1797"/>
        <v>186552.94411142412</v>
      </c>
      <c r="S372" s="182">
        <f t="shared" ca="1" si="1797"/>
        <v>187461.00000000009</v>
      </c>
      <c r="T372" s="182">
        <f t="shared" ca="1" si="1797"/>
        <v>188373.47589652985</v>
      </c>
      <c r="U372" s="182">
        <f t="shared" ca="1" si="1797"/>
        <v>189290.39331562564</v>
      </c>
      <c r="V372" s="182">
        <f t="shared" ca="1" si="1797"/>
        <v>190211.77387662316</v>
      </c>
      <c r="W372" s="182">
        <f t="shared" ca="1" si="1797"/>
        <v>191137.63930409125</v>
      </c>
      <c r="X372" s="182">
        <f t="shared" ca="1" si="1797"/>
        <v>192068.01142834418</v>
      </c>
      <c r="Y372" s="182">
        <f t="shared" ca="1" si="1797"/>
        <v>193002.91218595655</v>
      </c>
      <c r="Z372" s="182">
        <f t="shared" ca="1" si="1797"/>
        <v>193942.36362028011</v>
      </c>
      <c r="AA372" s="182">
        <f t="shared" ca="1" si="1797"/>
        <v>194886.38788196401</v>
      </c>
      <c r="AB372" s="182">
        <f t="shared" ca="1" si="1797"/>
        <v>195835.0072294765</v>
      </c>
      <c r="AC372" s="182">
        <f t="shared" ca="1" si="1797"/>
        <v>196788.24402963032</v>
      </c>
      <c r="AD372" s="182">
        <f t="shared" ca="1" si="1797"/>
        <v>197746.12075810958</v>
      </c>
      <c r="AE372" s="182">
        <f t="shared" ca="1" si="1797"/>
        <v>198708.66000000012</v>
      </c>
      <c r="AF372" s="182">
        <f t="shared" ca="1" si="1797"/>
        <v>199675.8844503217</v>
      </c>
      <c r="AG372" s="182">
        <f t="shared" ca="1" si="1797"/>
        <v>200647.81691456324</v>
      </c>
      <c r="AH372" s="182">
        <f t="shared" ca="1" si="1797"/>
        <v>201624.48030922055</v>
      </c>
      <c r="AI372" s="182">
        <f t="shared" ca="1" si="1797"/>
        <v>202605.89766233671</v>
      </c>
      <c r="AJ372" s="182">
        <f t="shared" ca="1" si="1797"/>
        <v>203592.09211404482</v>
      </c>
      <c r="AK372" s="182">
        <f t="shared" ca="1" si="1797"/>
        <v>204583.08691711392</v>
      </c>
      <c r="AL372" s="182">
        <f t="shared" ca="1" si="1797"/>
        <v>205578.90543749696</v>
      </c>
      <c r="AM372" s="182">
        <f t="shared" ca="1" si="1797"/>
        <v>206579.57115488185</v>
      </c>
      <c r="AN372" s="182">
        <f t="shared" ca="1" si="1797"/>
        <v>207585.10766324511</v>
      </c>
      <c r="AO372" s="182">
        <f t="shared" ca="1" si="1797"/>
        <v>208595.53867140811</v>
      </c>
      <c r="AP372" s="182">
        <f t="shared" ca="1" si="1797"/>
        <v>209610.88800359616</v>
      </c>
      <c r="AQ372" s="182">
        <f t="shared" ca="1" si="1797"/>
        <v>210631.17960000015</v>
      </c>
      <c r="AR372" s="182">
        <f t="shared" ca="1" si="1797"/>
        <v>211656.43751734099</v>
      </c>
      <c r="AS372" s="182">
        <f t="shared" ca="1" si="1797"/>
        <v>212686.68592943705</v>
      </c>
      <c r="AT372" s="182">
        <f t="shared" ca="1" si="1797"/>
        <v>213721.94912777381</v>
      </c>
      <c r="AU372" s="182">
        <f t="shared" ca="1" si="1797"/>
        <v>214762.2515220769</v>
      </c>
      <c r="AV372" s="182">
        <f t="shared" ca="1" si="1797"/>
        <v>215807.61764088756</v>
      </c>
      <c r="AW372" s="182">
        <f t="shared" ca="1" si="1797"/>
        <v>216858.07213214081</v>
      </c>
      <c r="AX372" s="182">
        <f t="shared" ca="1" si="1797"/>
        <v>217913.63976374679</v>
      </c>
      <c r="AY372" s="182">
        <f t="shared" ca="1" si="1797"/>
        <v>218974.3454241748</v>
      </c>
      <c r="AZ372" s="182">
        <f t="shared" ca="1" si="1797"/>
        <v>220040.21412303986</v>
      </c>
      <c r="BA372" s="182">
        <f t="shared" ca="1" si="1797"/>
        <v>221111.27099169264</v>
      </c>
      <c r="BB372" s="182">
        <f t="shared" ca="1" si="1797"/>
        <v>222187.54128381197</v>
      </c>
      <c r="BC372" s="182"/>
      <c r="BD372" s="183">
        <f ca="1">SUM(G372:BC372)</f>
        <v>8462332.4975653384</v>
      </c>
    </row>
    <row r="374" spans="1:56" x14ac:dyDescent="0.3">
      <c r="A374" s="207" t="str">
        <f ca="1">Language!A$709</f>
        <v>Коммерческий персонал</v>
      </c>
      <c r="B374" s="196"/>
      <c r="C374" s="196"/>
      <c r="D374" s="197"/>
      <c r="E374" s="197" t="s">
        <v>730</v>
      </c>
      <c r="F374" s="197" t="s">
        <v>3409</v>
      </c>
      <c r="G374" s="196"/>
      <c r="H374" s="196"/>
      <c r="I374" s="196"/>
      <c r="J374" s="196"/>
      <c r="K374" s="196"/>
      <c r="L374" s="196"/>
      <c r="M374" s="196"/>
      <c r="N374" s="196"/>
      <c r="O374" s="196"/>
      <c r="P374" s="196"/>
      <c r="Q374" s="196"/>
      <c r="R374" s="196"/>
      <c r="S374" s="196"/>
      <c r="T374" s="196"/>
      <c r="U374" s="196"/>
      <c r="V374" s="196"/>
      <c r="W374" s="196"/>
      <c r="X374" s="196"/>
      <c r="Y374" s="196"/>
      <c r="Z374" s="196"/>
      <c r="AA374" s="196"/>
      <c r="AB374" s="196"/>
      <c r="AC374" s="196"/>
      <c r="AD374" s="196"/>
      <c r="AE374" s="196"/>
      <c r="AF374" s="196"/>
      <c r="AG374" s="196"/>
      <c r="AH374" s="196"/>
      <c r="AI374" s="196"/>
      <c r="AJ374" s="196"/>
      <c r="AK374" s="196"/>
      <c r="AL374" s="196"/>
      <c r="AM374" s="196"/>
      <c r="AN374" s="196"/>
      <c r="AO374" s="196"/>
      <c r="AP374" s="196"/>
      <c r="AQ374" s="196"/>
      <c r="AR374" s="196"/>
      <c r="AS374" s="196"/>
      <c r="AT374" s="196"/>
      <c r="AU374" s="196"/>
      <c r="AV374" s="196"/>
      <c r="AW374" s="196"/>
      <c r="AX374" s="196"/>
      <c r="AY374" s="196"/>
      <c r="AZ374" s="196"/>
      <c r="BA374" s="196"/>
      <c r="BB374" s="196"/>
      <c r="BC374" s="196"/>
      <c r="BD374" s="204"/>
    </row>
    <row r="376" spans="1:56" x14ac:dyDescent="0.3">
      <c r="A376" s="283" t="s">
        <v>3441</v>
      </c>
      <c r="B376" s="205"/>
      <c r="C376" s="176"/>
      <c r="D376" s="174">
        <v>1</v>
      </c>
      <c r="F376" s="170" t="s">
        <v>3442</v>
      </c>
      <c r="G376" s="206"/>
      <c r="H376" s="206"/>
      <c r="I376" s="206"/>
      <c r="J376" s="206"/>
      <c r="K376" s="206"/>
      <c r="L376" s="206"/>
      <c r="M376" s="206"/>
      <c r="N376" s="206"/>
      <c r="O376" s="206"/>
      <c r="P376" s="206"/>
      <c r="Q376" s="206"/>
      <c r="R376" s="206"/>
      <c r="S376" s="206"/>
      <c r="T376" s="206"/>
      <c r="U376" s="206"/>
      <c r="V376" s="206"/>
      <c r="W376" s="206"/>
      <c r="X376" s="206"/>
      <c r="Y376" s="206"/>
      <c r="Z376" s="206"/>
      <c r="AA376" s="206"/>
      <c r="AB376" s="206"/>
      <c r="AC376" s="206"/>
      <c r="AD376" s="206"/>
      <c r="AE376" s="206"/>
      <c r="AF376" s="206"/>
      <c r="AG376" s="206"/>
      <c r="AH376" s="206"/>
      <c r="AI376" s="206"/>
      <c r="AJ376" s="206"/>
      <c r="AK376" s="206"/>
      <c r="AL376" s="206"/>
      <c r="AM376" s="206"/>
      <c r="AN376" s="206"/>
      <c r="AO376" s="206"/>
      <c r="AP376" s="206"/>
      <c r="AQ376" s="206"/>
      <c r="AR376" s="206"/>
      <c r="AS376" s="206"/>
      <c r="AT376" s="206"/>
      <c r="AU376" s="206"/>
      <c r="AV376" s="206"/>
      <c r="AW376" s="206"/>
      <c r="AX376" s="206"/>
      <c r="AY376" s="206"/>
      <c r="AZ376" s="206"/>
      <c r="BA376" s="206"/>
      <c r="BB376" s="206"/>
      <c r="BC376" s="206"/>
    </row>
    <row r="377" spans="1:56" x14ac:dyDescent="0.3">
      <c r="A377" s="175" t="str">
        <f ca="1">Language!A$701</f>
        <v>численность</v>
      </c>
      <c r="B377" s="295">
        <v>1</v>
      </c>
      <c r="C377" s="176" t="str">
        <f ca="1">Language!$A$1483</f>
        <v>человек</v>
      </c>
      <c r="D377" s="174"/>
      <c r="E377" s="170" t="s">
        <v>843</v>
      </c>
      <c r="F377" s="170" t="s">
        <v>745</v>
      </c>
      <c r="G377" s="296">
        <f t="shared" ref="G377:BB377" si="1798">IF(G$2&gt;Prj_Invest, $B377, 0)</f>
        <v>0</v>
      </c>
      <c r="H377" s="296">
        <f t="shared" si="1798"/>
        <v>0</v>
      </c>
      <c r="I377" s="296">
        <f t="shared" si="1798"/>
        <v>0</v>
      </c>
      <c r="J377" s="296">
        <f t="shared" si="1798"/>
        <v>0</v>
      </c>
      <c r="K377" s="296">
        <f t="shared" si="1798"/>
        <v>0</v>
      </c>
      <c r="L377" s="296">
        <f t="shared" si="1798"/>
        <v>0</v>
      </c>
      <c r="M377" s="296">
        <f t="shared" si="1798"/>
        <v>1</v>
      </c>
      <c r="N377" s="296">
        <f t="shared" si="1798"/>
        <v>1</v>
      </c>
      <c r="O377" s="296">
        <f t="shared" si="1798"/>
        <v>1</v>
      </c>
      <c r="P377" s="296">
        <f t="shared" si="1798"/>
        <v>1</v>
      </c>
      <c r="Q377" s="296">
        <f t="shared" si="1798"/>
        <v>1</v>
      </c>
      <c r="R377" s="296">
        <f t="shared" si="1798"/>
        <v>1</v>
      </c>
      <c r="S377" s="296">
        <f t="shared" si="1798"/>
        <v>1</v>
      </c>
      <c r="T377" s="296">
        <f t="shared" si="1798"/>
        <v>1</v>
      </c>
      <c r="U377" s="296">
        <f t="shared" si="1798"/>
        <v>1</v>
      </c>
      <c r="V377" s="296">
        <f t="shared" si="1798"/>
        <v>1</v>
      </c>
      <c r="W377" s="296">
        <f t="shared" si="1798"/>
        <v>1</v>
      </c>
      <c r="X377" s="296">
        <f t="shared" si="1798"/>
        <v>1</v>
      </c>
      <c r="Y377" s="296">
        <f t="shared" si="1798"/>
        <v>1</v>
      </c>
      <c r="Z377" s="296">
        <f t="shared" si="1798"/>
        <v>1</v>
      </c>
      <c r="AA377" s="296">
        <f t="shared" si="1798"/>
        <v>1</v>
      </c>
      <c r="AB377" s="296">
        <f t="shared" si="1798"/>
        <v>1</v>
      </c>
      <c r="AC377" s="296">
        <f t="shared" si="1798"/>
        <v>1</v>
      </c>
      <c r="AD377" s="296">
        <f t="shared" si="1798"/>
        <v>1</v>
      </c>
      <c r="AE377" s="296">
        <f t="shared" si="1798"/>
        <v>1</v>
      </c>
      <c r="AF377" s="296">
        <f t="shared" si="1798"/>
        <v>1</v>
      </c>
      <c r="AG377" s="296">
        <f t="shared" si="1798"/>
        <v>1</v>
      </c>
      <c r="AH377" s="296">
        <f t="shared" si="1798"/>
        <v>1</v>
      </c>
      <c r="AI377" s="296">
        <f t="shared" si="1798"/>
        <v>1</v>
      </c>
      <c r="AJ377" s="296">
        <f t="shared" si="1798"/>
        <v>1</v>
      </c>
      <c r="AK377" s="296">
        <f t="shared" si="1798"/>
        <v>1</v>
      </c>
      <c r="AL377" s="296">
        <f t="shared" si="1798"/>
        <v>1</v>
      </c>
      <c r="AM377" s="296">
        <f t="shared" si="1798"/>
        <v>1</v>
      </c>
      <c r="AN377" s="296">
        <f t="shared" si="1798"/>
        <v>1</v>
      </c>
      <c r="AO377" s="296">
        <f t="shared" si="1798"/>
        <v>1</v>
      </c>
      <c r="AP377" s="296">
        <f t="shared" si="1798"/>
        <v>1</v>
      </c>
      <c r="AQ377" s="296">
        <f t="shared" si="1798"/>
        <v>1</v>
      </c>
      <c r="AR377" s="296">
        <f t="shared" si="1798"/>
        <v>1</v>
      </c>
      <c r="AS377" s="296">
        <f t="shared" si="1798"/>
        <v>1</v>
      </c>
      <c r="AT377" s="296">
        <f t="shared" si="1798"/>
        <v>1</v>
      </c>
      <c r="AU377" s="296">
        <f t="shared" si="1798"/>
        <v>1</v>
      </c>
      <c r="AV377" s="296">
        <f t="shared" si="1798"/>
        <v>1</v>
      </c>
      <c r="AW377" s="296">
        <f t="shared" si="1798"/>
        <v>1</v>
      </c>
      <c r="AX377" s="296">
        <f t="shared" si="1798"/>
        <v>1</v>
      </c>
      <c r="AY377" s="296">
        <f t="shared" si="1798"/>
        <v>1</v>
      </c>
      <c r="AZ377" s="296">
        <f t="shared" si="1798"/>
        <v>1</v>
      </c>
      <c r="BA377" s="296">
        <f t="shared" si="1798"/>
        <v>1</v>
      </c>
      <c r="BB377" s="296">
        <f t="shared" si="1798"/>
        <v>1</v>
      </c>
      <c r="BC377" s="202"/>
    </row>
    <row r="378" spans="1:56" x14ac:dyDescent="0.3">
      <c r="A378" s="175" t="str">
        <f ca="1">Language!A$702</f>
        <v>средний оклад, в месяц</v>
      </c>
      <c r="B378" s="284">
        <v>35000</v>
      </c>
      <c r="C378" s="176" t="str">
        <f ca="1">CHOOSE(D376,CurName1,CurName2,CurName3)</f>
        <v>руб.</v>
      </c>
      <c r="E378" s="170" t="s">
        <v>844</v>
      </c>
      <c r="F378" s="170" t="s">
        <v>2346</v>
      </c>
      <c r="G378" s="285">
        <f t="shared" ref="G378" ca="1" si="1799">IF(G$2=1,$B378,F378)*IF($B382=1,G382,G381)</f>
        <v>35000</v>
      </c>
      <c r="H378" s="285">
        <f t="shared" ref="H378" ca="1" si="1800">IF(H$2=1,$B378,G378)*IF($B382=1,H382,H381)</f>
        <v>35170.364269787009</v>
      </c>
      <c r="I378" s="285">
        <f t="shared" ref="I378" ca="1" si="1801">IF(I$2=1,$B378,H378)*IF($B382=1,I382,I381)</f>
        <v>35341.557796271729</v>
      </c>
      <c r="J378" s="285">
        <f t="shared" ref="J378" ca="1" si="1802">IF(J$2=1,$B378,I378)*IF($B382=1,J382,J381)</f>
        <v>35513.584615903077</v>
      </c>
      <c r="K378" s="285">
        <f t="shared" ref="K378" ca="1" si="1803">IF(K$2=1,$B378,J378)*IF($B382=1,K382,K381)</f>
        <v>35686.448784777574</v>
      </c>
      <c r="L378" s="285">
        <f t="shared" ref="L378" ca="1" si="1804">IF(L$2=1,$B378,K378)*IF($B382=1,L382,L381)</f>
        <v>35860.154378735002</v>
      </c>
      <c r="M378" s="285">
        <f t="shared" ref="M378" ca="1" si="1805">IF(M$2=1,$B378,L378)*IF($B382=1,M382,M381)</f>
        <v>36034.705493454501</v>
      </c>
      <c r="N378" s="285">
        <f t="shared" ref="N378" ca="1" si="1806">IF(N$2=1,$B378,M378)*IF($B382=1,N382,N381)</f>
        <v>36210.106244551134</v>
      </c>
      <c r="O378" s="285">
        <f t="shared" ref="O378" ca="1" si="1807">IF(O$2=1,$B378,N378)*IF($B382=1,O382,O381)</f>
        <v>36386.36076767293</v>
      </c>
      <c r="P378" s="285">
        <f t="shared" ref="P378" ca="1" si="1808">IF(P$2=1,$B378,O378)*IF($B382=1,P382,P381)</f>
        <v>36563.473218598396</v>
      </c>
      <c r="Q378" s="285">
        <f t="shared" ref="Q378" ca="1" si="1809">IF(Q$2=1,$B378,P378)*IF($B382=1,Q382,Q381)</f>
        <v>36741.44777333449</v>
      </c>
      <c r="R378" s="285">
        <f t="shared" ref="R378" ca="1" si="1810">IF(R$2=1,$B378,Q378)*IF($B382=1,R382,R381)</f>
        <v>36920.288628215108</v>
      </c>
      <c r="S378" s="285">
        <f t="shared" ref="S378" ca="1" si="1811">IF(S$2=1,$B378,R378)*IF($B382=1,S382,S381)</f>
        <v>37100.000000000007</v>
      </c>
      <c r="T378" s="285">
        <f t="shared" ref="T378" ca="1" si="1812">IF(T$2=1,$B378,S378)*IF($B382=1,T382,T381)</f>
        <v>37280.586125974238</v>
      </c>
      <c r="U378" s="285">
        <f t="shared" ref="U378" ca="1" si="1813">IF(U$2=1,$B378,T378)*IF($B382=1,U382,U381)</f>
        <v>37462.051264048045</v>
      </c>
      <c r="V378" s="285">
        <f t="shared" ref="V378" ca="1" si="1814">IF(V$2=1,$B378,U378)*IF($B382=1,V382,V381)</f>
        <v>37644.399692857274</v>
      </c>
      <c r="W378" s="285">
        <f t="shared" ref="W378" ca="1" si="1815">IF(W$2=1,$B378,V378)*IF($B382=1,W382,W381)</f>
        <v>37827.635711864241</v>
      </c>
      <c r="X378" s="285">
        <f t="shared" ref="X378" ca="1" si="1816">IF(X$2=1,$B378,W378)*IF($B382=1,X382,X381)</f>
        <v>38011.763641459118</v>
      </c>
      <c r="Y378" s="285">
        <f t="shared" ref="Y378" ca="1" si="1817">IF(Y$2=1,$B378,X378)*IF($B382=1,Y382,Y381)</f>
        <v>38196.787823061786</v>
      </c>
      <c r="Z378" s="285">
        <f t="shared" ref="Z378" ca="1" si="1818">IF(Z$2=1,$B378,Y378)*IF($B382=1,Z382,Z381)</f>
        <v>38382.712619224221</v>
      </c>
      <c r="AA378" s="285">
        <f t="shared" ref="AA378" ca="1" si="1819">IF(AA$2=1,$B378,Z378)*IF($B382=1,AA382,AA381)</f>
        <v>38569.542413733325</v>
      </c>
      <c r="AB378" s="285">
        <f t="shared" ref="AB378" ca="1" si="1820">IF(AB$2=1,$B378,AA378)*IF($B382=1,AB382,AB381)</f>
        <v>38757.281611714316</v>
      </c>
      <c r="AC378" s="285">
        <f t="shared" ref="AC378" ca="1" si="1821">IF(AC$2=1,$B378,AB378)*IF($B382=1,AC382,AC381)</f>
        <v>38945.934639734573</v>
      </c>
      <c r="AD378" s="285">
        <f t="shared" ref="AD378" ca="1" si="1822">IF(AD$2=1,$B378,AC378)*IF($B382=1,AD382,AD381)</f>
        <v>39135.505945908029</v>
      </c>
      <c r="AE378" s="285">
        <f t="shared" ref="AE378" ca="1" si="1823">IF(AE$2=1,$B378,AD378)*IF($B382=1,AE382,AE381)</f>
        <v>39326.000000000022</v>
      </c>
      <c r="AF378" s="285">
        <f t="shared" ref="AF378" ca="1" si="1824">IF(AF$2=1,$B378,AE378)*IF($B382=1,AF382,AF381)</f>
        <v>39517.421293532701</v>
      </c>
      <c r="AG378" s="285">
        <f t="shared" ref="AG378" ca="1" si="1825">IF(AG$2=1,$B378,AF378)*IF($B382=1,AG382,AG381)</f>
        <v>39709.774339890937</v>
      </c>
      <c r="AH378" s="285">
        <f t="shared" ref="AH378" ca="1" si="1826">IF(AH$2=1,$B378,AG378)*IF($B382=1,AH382,AH381)</f>
        <v>39903.063674428719</v>
      </c>
      <c r="AI378" s="285">
        <f t="shared" ref="AI378" ca="1" si="1827">IF(AI$2=1,$B378,AH378)*IF($B382=1,AI382,AI381)</f>
        <v>40097.293854576106</v>
      </c>
      <c r="AJ378" s="285">
        <f t="shared" ref="AJ378" ca="1" si="1828">IF(AJ$2=1,$B378,AI378)*IF($B382=1,AJ382,AJ381)</f>
        <v>40292.469459946675</v>
      </c>
      <c r="AK378" s="285">
        <f t="shared" ref="AK378" ca="1" si="1829">IF(AK$2=1,$B378,AJ378)*IF($B382=1,AK382,AK381)</f>
        <v>40488.595092445503</v>
      </c>
      <c r="AL378" s="285">
        <f t="shared" ref="AL378" ca="1" si="1830">IF(AL$2=1,$B378,AK378)*IF($B382=1,AL382,AL381)</f>
        <v>40685.67537637768</v>
      </c>
      <c r="AM378" s="285">
        <f t="shared" ref="AM378" ca="1" si="1831">IF(AM$2=1,$B378,AL378)*IF($B382=1,AM382,AM381)</f>
        <v>40883.714958557328</v>
      </c>
      <c r="AN378" s="285">
        <f t="shared" ref="AN378" ca="1" si="1832">IF(AN$2=1,$B378,AM378)*IF($B382=1,AN382,AN381)</f>
        <v>41082.71850841718</v>
      </c>
      <c r="AO378" s="285">
        <f t="shared" ref="AO378" ca="1" si="1833">IF(AO$2=1,$B378,AN378)*IF($B382=1,AO382,AO381)</f>
        <v>41282.690718118654</v>
      </c>
      <c r="AP378" s="285">
        <f t="shared" ref="AP378" ca="1" si="1834">IF(AP$2=1,$B378,AO378)*IF($B382=1,AP382,AP381)</f>
        <v>41483.636302662519</v>
      </c>
      <c r="AQ378" s="285">
        <f t="shared" ref="AQ378" ca="1" si="1835">IF(AQ$2=1,$B378,AP378)*IF($B382=1,AQ382,AQ381)</f>
        <v>41685.560000000027</v>
      </c>
      <c r="AR378" s="285">
        <f t="shared" ref="AR378" ca="1" si="1836">IF(AR$2=1,$B378,AQ378)*IF($B382=1,AR382,AR381)</f>
        <v>41888.466571144665</v>
      </c>
      <c r="AS378" s="285">
        <f t="shared" ref="AS378" ca="1" si="1837">IF(AS$2=1,$B378,AR378)*IF($B382=1,AS382,AS381)</f>
        <v>42092.36080028439</v>
      </c>
      <c r="AT378" s="285">
        <f t="shared" ref="AT378" ca="1" si="1838">IF(AT$2=1,$B378,AS378)*IF($B382=1,AT382,AT381)</f>
        <v>42297.247494894436</v>
      </c>
      <c r="AU378" s="285">
        <f t="shared" ref="AU378" ca="1" si="1839">IF(AU$2=1,$B378,AT378)*IF($B382=1,AU382,AU381)</f>
        <v>42503.131485850667</v>
      </c>
      <c r="AV378" s="285">
        <f t="shared" ref="AV378" ca="1" si="1840">IF(AV$2=1,$B378,AU378)*IF($B382=1,AV382,AV381)</f>
        <v>42710.017627543471</v>
      </c>
      <c r="AW378" s="285">
        <f t="shared" ref="AW378" ca="1" si="1841">IF(AW$2=1,$B378,AV378)*IF($B382=1,AW382,AW381)</f>
        <v>42917.910797992234</v>
      </c>
      <c r="AX378" s="285">
        <f t="shared" ref="AX378" ca="1" si="1842">IF(AX$2=1,$B378,AW378)*IF($B382=1,AX382,AX381)</f>
        <v>43126.81589896034</v>
      </c>
      <c r="AY378" s="285">
        <f t="shared" ref="AY378" ca="1" si="1843">IF(AY$2=1,$B378,AX378)*IF($B382=1,AY382,AY381)</f>
        <v>43336.737856070773</v>
      </c>
      <c r="AZ378" s="285">
        <f t="shared" ref="AZ378" ca="1" si="1844">IF(AZ$2=1,$B378,AY378)*IF($B382=1,AZ382,AZ381)</f>
        <v>43547.681618922215</v>
      </c>
      <c r="BA378" s="285">
        <f t="shared" ref="BA378" ca="1" si="1845">IF(BA$2=1,$B378,AZ378)*IF($B382=1,BA382,BA381)</f>
        <v>43759.652161205777</v>
      </c>
      <c r="BB378" s="285">
        <f t="shared" ref="BB378" ca="1" si="1846">IF(BB$2=1,$B378,BA378)*IF($B382=1,BB382,BB381)</f>
        <v>43972.654480822268</v>
      </c>
      <c r="BC378" s="177"/>
    </row>
    <row r="379" spans="1:56" collapsed="1" x14ac:dyDescent="0.3">
      <c r="A379" s="175" t="str">
        <f ca="1">Language!A$703</f>
        <v>заработная плата</v>
      </c>
      <c r="B379" s="205" t="str">
        <f ca="1">Language!$A$1479</f>
        <v>за период</v>
      </c>
      <c r="C379" s="176" t="str">
        <f t="shared" ref="C379" ca="1" si="1847">CHOOSE(D379,CurName1,CurName2,CurName3)</f>
        <v>руб.</v>
      </c>
      <c r="D379" s="174">
        <f>D376</f>
        <v>1</v>
      </c>
      <c r="E379" s="170" t="s">
        <v>784</v>
      </c>
      <c r="F379" s="170" t="s">
        <v>740</v>
      </c>
      <c r="G379" s="177">
        <f ca="1">G377*G378*Параметры!G$31</f>
        <v>0</v>
      </c>
      <c r="H379" s="177">
        <f ca="1">H377*H378*Параметры!H$31</f>
        <v>0</v>
      </c>
      <c r="I379" s="177">
        <f ca="1">I377*I378*Параметры!I$31</f>
        <v>0</v>
      </c>
      <c r="J379" s="177">
        <f ca="1">J377*J378*Параметры!J$31</f>
        <v>0</v>
      </c>
      <c r="K379" s="177">
        <f ca="1">K377*K378*Параметры!K$31</f>
        <v>0</v>
      </c>
      <c r="L379" s="177">
        <f ca="1">L377*L378*Параметры!L$31</f>
        <v>0</v>
      </c>
      <c r="M379" s="177">
        <f ca="1">M377*M378*Параметры!M$31</f>
        <v>36034.705493454501</v>
      </c>
      <c r="N379" s="177">
        <f ca="1">N377*N378*Параметры!N$31</f>
        <v>36210.106244551134</v>
      </c>
      <c r="O379" s="177">
        <f ca="1">O377*O378*Параметры!O$31</f>
        <v>36386.36076767293</v>
      </c>
      <c r="P379" s="177">
        <f ca="1">P377*P378*Параметры!P$31</f>
        <v>36563.473218598396</v>
      </c>
      <c r="Q379" s="177">
        <f ca="1">Q377*Q378*Параметры!Q$31</f>
        <v>36741.44777333449</v>
      </c>
      <c r="R379" s="177">
        <f ca="1">R377*R378*Параметры!R$31</f>
        <v>36920.288628215108</v>
      </c>
      <c r="S379" s="177">
        <f ca="1">S377*S378*Параметры!S$31</f>
        <v>37100.000000000007</v>
      </c>
      <c r="T379" s="177">
        <f ca="1">T377*T378*Параметры!T$31</f>
        <v>37280.586125974238</v>
      </c>
      <c r="U379" s="177">
        <f ca="1">U377*U378*Параметры!U$31</f>
        <v>37462.051264048045</v>
      </c>
      <c r="V379" s="177">
        <f ca="1">V377*V378*Параметры!V$31</f>
        <v>37644.399692857274</v>
      </c>
      <c r="W379" s="177">
        <f ca="1">W377*W378*Параметры!W$31</f>
        <v>37827.635711864241</v>
      </c>
      <c r="X379" s="177">
        <f ca="1">X377*X378*Параметры!X$31</f>
        <v>38011.763641459118</v>
      </c>
      <c r="Y379" s="177">
        <f ca="1">Y377*Y378*Параметры!Y$31</f>
        <v>38196.787823061786</v>
      </c>
      <c r="Z379" s="177">
        <f ca="1">Z377*Z378*Параметры!Z$31</f>
        <v>38382.712619224221</v>
      </c>
      <c r="AA379" s="177">
        <f ca="1">AA377*AA378*Параметры!AA$31</f>
        <v>38569.542413733325</v>
      </c>
      <c r="AB379" s="177">
        <f ca="1">AB377*AB378*Параметры!AB$31</f>
        <v>38757.281611714316</v>
      </c>
      <c r="AC379" s="177">
        <f ca="1">AC377*AC378*Параметры!AC$31</f>
        <v>38945.934639734573</v>
      </c>
      <c r="AD379" s="177">
        <f ca="1">AD377*AD378*Параметры!AD$31</f>
        <v>39135.505945908029</v>
      </c>
      <c r="AE379" s="177">
        <f ca="1">AE377*AE378*Параметры!AE$31</f>
        <v>39326.000000000022</v>
      </c>
      <c r="AF379" s="177">
        <f ca="1">AF377*AF378*Параметры!AF$31</f>
        <v>39517.421293532701</v>
      </c>
      <c r="AG379" s="177">
        <f ca="1">AG377*AG378*Параметры!AG$31</f>
        <v>39709.774339890937</v>
      </c>
      <c r="AH379" s="177">
        <f ca="1">AH377*AH378*Параметры!AH$31</f>
        <v>39903.063674428719</v>
      </c>
      <c r="AI379" s="177">
        <f ca="1">AI377*AI378*Параметры!AI$31</f>
        <v>40097.293854576106</v>
      </c>
      <c r="AJ379" s="177">
        <f ca="1">AJ377*AJ378*Параметры!AJ$31</f>
        <v>40292.469459946675</v>
      </c>
      <c r="AK379" s="177">
        <f ca="1">AK377*AK378*Параметры!AK$31</f>
        <v>40488.595092445503</v>
      </c>
      <c r="AL379" s="177">
        <f ca="1">AL377*AL378*Параметры!AL$31</f>
        <v>40685.67537637768</v>
      </c>
      <c r="AM379" s="177">
        <f ca="1">AM377*AM378*Параметры!AM$31</f>
        <v>40883.714958557328</v>
      </c>
      <c r="AN379" s="177">
        <f ca="1">AN377*AN378*Параметры!AN$31</f>
        <v>41082.71850841718</v>
      </c>
      <c r="AO379" s="177">
        <f ca="1">AO377*AO378*Параметры!AO$31</f>
        <v>41282.690718118654</v>
      </c>
      <c r="AP379" s="177">
        <f ca="1">AP377*AP378*Параметры!AP$31</f>
        <v>41483.636302662519</v>
      </c>
      <c r="AQ379" s="177">
        <f ca="1">AQ377*AQ378*Параметры!AQ$31</f>
        <v>41685.560000000027</v>
      </c>
      <c r="AR379" s="177">
        <f ca="1">AR377*AR378*Параметры!AR$31</f>
        <v>41888.466571144665</v>
      </c>
      <c r="AS379" s="177">
        <f ca="1">AS377*AS378*Параметры!AS$31</f>
        <v>42092.36080028439</v>
      </c>
      <c r="AT379" s="177">
        <f ca="1">AT377*AT378*Параметры!AT$31</f>
        <v>42297.247494894436</v>
      </c>
      <c r="AU379" s="177">
        <f ca="1">AU377*AU378*Параметры!AU$31</f>
        <v>42503.131485850667</v>
      </c>
      <c r="AV379" s="177">
        <f ca="1">AV377*AV378*Параметры!AV$31</f>
        <v>42710.017627543471</v>
      </c>
      <c r="AW379" s="177">
        <f ca="1">AW377*AW378*Параметры!AW$31</f>
        <v>42917.910797992234</v>
      </c>
      <c r="AX379" s="177">
        <f ca="1">AX377*AX378*Параметры!AX$31</f>
        <v>43126.81589896034</v>
      </c>
      <c r="AY379" s="177">
        <f ca="1">AY377*AY378*Параметры!AY$31</f>
        <v>43336.737856070773</v>
      </c>
      <c r="AZ379" s="177">
        <f ca="1">AZ377*AZ378*Параметры!AZ$31</f>
        <v>43547.681618922215</v>
      </c>
      <c r="BA379" s="177">
        <f ca="1">BA377*BA378*Параметры!BA$31</f>
        <v>43759.652161205777</v>
      </c>
      <c r="BB379" s="177">
        <f ca="1">BB377*BB378*Параметры!BB$31</f>
        <v>43972.654480822268</v>
      </c>
      <c r="BC379" s="177"/>
      <c r="BD379" s="178">
        <f ca="1">SUM(G379:BC379)</f>
        <v>1674761.873988051</v>
      </c>
    </row>
    <row r="380" spans="1:56" hidden="1" outlineLevel="1" x14ac:dyDescent="0.3">
      <c r="A380" s="184" t="str">
        <f ca="1">Language!A$705</f>
        <v>темп изменения цен</v>
      </c>
      <c r="B380" s="189"/>
      <c r="C380" s="163" t="str">
        <f ca="1">Language!$A$480</f>
        <v>% в год</v>
      </c>
      <c r="D380" s="174"/>
      <c r="F380" s="170" t="s">
        <v>2346</v>
      </c>
      <c r="G380" s="290">
        <f>CHOOSE($D376,Параметры!G$50,Параметры!G$56,Параметры!G$62)</f>
        <v>0.06</v>
      </c>
      <c r="H380" s="290">
        <f>CHOOSE($D376,Параметры!H$50,Параметры!H$56,Параметры!H$62)</f>
        <v>0.06</v>
      </c>
      <c r="I380" s="290">
        <f>CHOOSE($D376,Параметры!I$50,Параметры!I$56,Параметры!I$62)</f>
        <v>0.06</v>
      </c>
      <c r="J380" s="290">
        <f>CHOOSE($D376,Параметры!J$50,Параметры!J$56,Параметры!J$62)</f>
        <v>0.06</v>
      </c>
      <c r="K380" s="290">
        <f>CHOOSE($D376,Параметры!K$50,Параметры!K$56,Параметры!K$62)</f>
        <v>0.06</v>
      </c>
      <c r="L380" s="290">
        <f>CHOOSE($D376,Параметры!L$50,Параметры!L$56,Параметры!L$62)</f>
        <v>0.06</v>
      </c>
      <c r="M380" s="290">
        <f>CHOOSE($D376,Параметры!M$50,Параметры!M$56,Параметры!M$62)</f>
        <v>0.06</v>
      </c>
      <c r="N380" s="290">
        <f>CHOOSE($D376,Параметры!N$50,Параметры!N$56,Параметры!N$62)</f>
        <v>0.06</v>
      </c>
      <c r="O380" s="290">
        <f>CHOOSE($D376,Параметры!O$50,Параметры!O$56,Параметры!O$62)</f>
        <v>0.06</v>
      </c>
      <c r="P380" s="290">
        <f>CHOOSE($D376,Параметры!P$50,Параметры!P$56,Параметры!P$62)</f>
        <v>0.06</v>
      </c>
      <c r="Q380" s="290">
        <f>CHOOSE($D376,Параметры!Q$50,Параметры!Q$56,Параметры!Q$62)</f>
        <v>0.06</v>
      </c>
      <c r="R380" s="290">
        <f>CHOOSE($D376,Параметры!R$50,Параметры!R$56,Параметры!R$62)</f>
        <v>0.06</v>
      </c>
      <c r="S380" s="290">
        <f>CHOOSE($D376,Параметры!S$50,Параметры!S$56,Параметры!S$62)</f>
        <v>0.06</v>
      </c>
      <c r="T380" s="290">
        <f>CHOOSE($D376,Параметры!T$50,Параметры!T$56,Параметры!T$62)</f>
        <v>0.06</v>
      </c>
      <c r="U380" s="290">
        <f>CHOOSE($D376,Параметры!U$50,Параметры!U$56,Параметры!U$62)</f>
        <v>0.06</v>
      </c>
      <c r="V380" s="290">
        <f>CHOOSE($D376,Параметры!V$50,Параметры!V$56,Параметры!V$62)</f>
        <v>0.06</v>
      </c>
      <c r="W380" s="290">
        <f>CHOOSE($D376,Параметры!W$50,Параметры!W$56,Параметры!W$62)</f>
        <v>0.06</v>
      </c>
      <c r="X380" s="290">
        <f>CHOOSE($D376,Параметры!X$50,Параметры!X$56,Параметры!X$62)</f>
        <v>0.06</v>
      </c>
      <c r="Y380" s="290">
        <f>CHOOSE($D376,Параметры!Y$50,Параметры!Y$56,Параметры!Y$62)</f>
        <v>0.06</v>
      </c>
      <c r="Z380" s="290">
        <f>CHOOSE($D376,Параметры!Z$50,Параметры!Z$56,Параметры!Z$62)</f>
        <v>0.06</v>
      </c>
      <c r="AA380" s="290">
        <f>CHOOSE($D376,Параметры!AA$50,Параметры!AA$56,Параметры!AA$62)</f>
        <v>0.06</v>
      </c>
      <c r="AB380" s="290">
        <f>CHOOSE($D376,Параметры!AB$50,Параметры!AB$56,Параметры!AB$62)</f>
        <v>0.06</v>
      </c>
      <c r="AC380" s="290">
        <f>CHOOSE($D376,Параметры!AC$50,Параметры!AC$56,Параметры!AC$62)</f>
        <v>0.06</v>
      </c>
      <c r="AD380" s="290">
        <f>CHOOSE($D376,Параметры!AD$50,Параметры!AD$56,Параметры!AD$62)</f>
        <v>0.06</v>
      </c>
      <c r="AE380" s="290">
        <f>CHOOSE($D376,Параметры!AE$50,Параметры!AE$56,Параметры!AE$62)</f>
        <v>0.06</v>
      </c>
      <c r="AF380" s="290">
        <f>CHOOSE($D376,Параметры!AF$50,Параметры!AF$56,Параметры!AF$62)</f>
        <v>0.06</v>
      </c>
      <c r="AG380" s="290">
        <f>CHOOSE($D376,Параметры!AG$50,Параметры!AG$56,Параметры!AG$62)</f>
        <v>0.06</v>
      </c>
      <c r="AH380" s="290">
        <f>CHOOSE($D376,Параметры!AH$50,Параметры!AH$56,Параметры!AH$62)</f>
        <v>0.06</v>
      </c>
      <c r="AI380" s="290">
        <f>CHOOSE($D376,Параметры!AI$50,Параметры!AI$56,Параметры!AI$62)</f>
        <v>0.06</v>
      </c>
      <c r="AJ380" s="290">
        <f>CHOOSE($D376,Параметры!AJ$50,Параметры!AJ$56,Параметры!AJ$62)</f>
        <v>0.06</v>
      </c>
      <c r="AK380" s="290">
        <f>CHOOSE($D376,Параметры!AK$50,Параметры!AK$56,Параметры!AK$62)</f>
        <v>0.06</v>
      </c>
      <c r="AL380" s="290">
        <f>CHOOSE($D376,Параметры!AL$50,Параметры!AL$56,Параметры!AL$62)</f>
        <v>0.06</v>
      </c>
      <c r="AM380" s="290">
        <f>CHOOSE($D376,Параметры!AM$50,Параметры!AM$56,Параметры!AM$62)</f>
        <v>0.06</v>
      </c>
      <c r="AN380" s="290">
        <f>CHOOSE($D376,Параметры!AN$50,Параметры!AN$56,Параметры!AN$62)</f>
        <v>0.06</v>
      </c>
      <c r="AO380" s="290">
        <f>CHOOSE($D376,Параметры!AO$50,Параметры!AO$56,Параметры!AO$62)</f>
        <v>0.06</v>
      </c>
      <c r="AP380" s="290">
        <f>CHOOSE($D376,Параметры!AP$50,Параметры!AP$56,Параметры!AP$62)</f>
        <v>0.06</v>
      </c>
      <c r="AQ380" s="290">
        <f>CHOOSE($D376,Параметры!AQ$50,Параметры!AQ$56,Параметры!AQ$62)</f>
        <v>0.06</v>
      </c>
      <c r="AR380" s="290">
        <f>CHOOSE($D376,Параметры!AR$50,Параметры!AR$56,Параметры!AR$62)</f>
        <v>0.06</v>
      </c>
      <c r="AS380" s="290">
        <f>CHOOSE($D376,Параметры!AS$50,Параметры!AS$56,Параметры!AS$62)</f>
        <v>0.06</v>
      </c>
      <c r="AT380" s="290">
        <f>CHOOSE($D376,Параметры!AT$50,Параметры!AT$56,Параметры!AT$62)</f>
        <v>0.06</v>
      </c>
      <c r="AU380" s="290">
        <f>CHOOSE($D376,Параметры!AU$50,Параметры!AU$56,Параметры!AU$62)</f>
        <v>0.06</v>
      </c>
      <c r="AV380" s="290">
        <f>CHOOSE($D376,Параметры!AV$50,Параметры!AV$56,Параметры!AV$62)</f>
        <v>0.06</v>
      </c>
      <c r="AW380" s="290">
        <f>CHOOSE($D376,Параметры!AW$50,Параметры!AW$56,Параметры!AW$62)</f>
        <v>0.06</v>
      </c>
      <c r="AX380" s="290">
        <f>CHOOSE($D376,Параметры!AX$50,Параметры!AX$56,Параметры!AX$62)</f>
        <v>0.06</v>
      </c>
      <c r="AY380" s="290">
        <f>CHOOSE($D376,Параметры!AY$50,Параметры!AY$56,Параметры!AY$62)</f>
        <v>0.06</v>
      </c>
      <c r="AZ380" s="290">
        <f>CHOOSE($D376,Параметры!AZ$50,Параметры!AZ$56,Параметры!AZ$62)</f>
        <v>0.06</v>
      </c>
      <c r="BA380" s="290">
        <f>CHOOSE($D376,Параметры!BA$50,Параметры!BA$56,Параметры!BA$62)</f>
        <v>0.06</v>
      </c>
      <c r="BB380" s="290">
        <f>CHOOSE($D376,Параметры!BB$50,Параметры!BB$56,Параметры!BB$62)</f>
        <v>0.06</v>
      </c>
      <c r="BC380" s="190"/>
      <c r="BD380" s="186"/>
    </row>
    <row r="381" spans="1:56" hidden="1" outlineLevel="1" x14ac:dyDescent="0.3">
      <c r="A381" s="184" t="str">
        <f ca="1">Language!A$675</f>
        <v>коэффициент прироста цен к предыдущему периоду</v>
      </c>
      <c r="B381" s="189"/>
      <c r="C381" s="163" t="str">
        <f ca="1">Language!$A$1477</f>
        <v>раз</v>
      </c>
      <c r="D381" s="174"/>
      <c r="F381" s="170" t="s">
        <v>745</v>
      </c>
      <c r="G381" s="191">
        <f ca="1">IF(G$2=1,1,IF(Prj_Inflation=1, (1+OFFSET(G380,0,-1))^(Параметры!G$30/360), 1))</f>
        <v>1</v>
      </c>
      <c r="H381" s="191">
        <f ca="1">IF(H$2=1,1,IF(Prj_Inflation=1, (1+OFFSET(H380,0,-1))^(Параметры!H$30/360), 1))</f>
        <v>1.004867550565343</v>
      </c>
      <c r="I381" s="191">
        <f ca="1">IF(I$2=1,1,IF(Prj_Inflation=1, (1+OFFSET(I380,0,-1))^(Параметры!I$30/360), 1))</f>
        <v>1.004867550565343</v>
      </c>
      <c r="J381" s="191">
        <f ca="1">IF(J$2=1,1,IF(Prj_Inflation=1, (1+OFFSET(J380,0,-1))^(Параметры!J$30/360), 1))</f>
        <v>1.004867550565343</v>
      </c>
      <c r="K381" s="191">
        <f ca="1">IF(K$2=1,1,IF(Prj_Inflation=1, (1+OFFSET(K380,0,-1))^(Параметры!K$30/360), 1))</f>
        <v>1.004867550565343</v>
      </c>
      <c r="L381" s="191">
        <f ca="1">IF(L$2=1,1,IF(Prj_Inflation=1, (1+OFFSET(L380,0,-1))^(Параметры!L$30/360), 1))</f>
        <v>1.004867550565343</v>
      </c>
      <c r="M381" s="191">
        <f ca="1">IF(M$2=1,1,IF(Prj_Inflation=1, (1+OFFSET(M380,0,-1))^(Параметры!M$30/360), 1))</f>
        <v>1.004867550565343</v>
      </c>
      <c r="N381" s="191">
        <f ca="1">IF(N$2=1,1,IF(Prj_Inflation=1, (1+OFFSET(N380,0,-1))^(Параметры!N$30/360), 1))</f>
        <v>1.004867550565343</v>
      </c>
      <c r="O381" s="191">
        <f ca="1">IF(O$2=1,1,IF(Prj_Inflation=1, (1+OFFSET(O380,0,-1))^(Параметры!O$30/360), 1))</f>
        <v>1.004867550565343</v>
      </c>
      <c r="P381" s="191">
        <f ca="1">IF(P$2=1,1,IF(Prj_Inflation=1, (1+OFFSET(P380,0,-1))^(Параметры!P$30/360), 1))</f>
        <v>1.004867550565343</v>
      </c>
      <c r="Q381" s="191">
        <f ca="1">IF(Q$2=1,1,IF(Prj_Inflation=1, (1+OFFSET(Q380,0,-1))^(Параметры!Q$30/360), 1))</f>
        <v>1.004867550565343</v>
      </c>
      <c r="R381" s="191">
        <f ca="1">IF(R$2=1,1,IF(Prj_Inflation=1, (1+OFFSET(R380,0,-1))^(Параметры!R$30/360), 1))</f>
        <v>1.004867550565343</v>
      </c>
      <c r="S381" s="191">
        <f ca="1">IF(S$2=1,1,IF(Prj_Inflation=1, (1+OFFSET(S380,0,-1))^(Параметры!S$30/360), 1))</f>
        <v>1.004867550565343</v>
      </c>
      <c r="T381" s="191">
        <f ca="1">IF(T$2=1,1,IF(Prj_Inflation=1, (1+OFFSET(T380,0,-1))^(Параметры!T$30/360), 1))</f>
        <v>1.004867550565343</v>
      </c>
      <c r="U381" s="191">
        <f ca="1">IF(U$2=1,1,IF(Prj_Inflation=1, (1+OFFSET(U380,0,-1))^(Параметры!U$30/360), 1))</f>
        <v>1.004867550565343</v>
      </c>
      <c r="V381" s="191">
        <f ca="1">IF(V$2=1,1,IF(Prj_Inflation=1, (1+OFFSET(V380,0,-1))^(Параметры!V$30/360), 1))</f>
        <v>1.004867550565343</v>
      </c>
      <c r="W381" s="191">
        <f ca="1">IF(W$2=1,1,IF(Prj_Inflation=1, (1+OFFSET(W380,0,-1))^(Параметры!W$30/360), 1))</f>
        <v>1.004867550565343</v>
      </c>
      <c r="X381" s="191">
        <f ca="1">IF(X$2=1,1,IF(Prj_Inflation=1, (1+OFFSET(X380,0,-1))^(Параметры!X$30/360), 1))</f>
        <v>1.004867550565343</v>
      </c>
      <c r="Y381" s="191">
        <f ca="1">IF(Y$2=1,1,IF(Prj_Inflation=1, (1+OFFSET(Y380,0,-1))^(Параметры!Y$30/360), 1))</f>
        <v>1.004867550565343</v>
      </c>
      <c r="Z381" s="191">
        <f ca="1">IF(Z$2=1,1,IF(Prj_Inflation=1, (1+OFFSET(Z380,0,-1))^(Параметры!Z$30/360), 1))</f>
        <v>1.004867550565343</v>
      </c>
      <c r="AA381" s="191">
        <f ca="1">IF(AA$2=1,1,IF(Prj_Inflation=1, (1+OFFSET(AA380,0,-1))^(Параметры!AA$30/360), 1))</f>
        <v>1.004867550565343</v>
      </c>
      <c r="AB381" s="191">
        <f ca="1">IF(AB$2=1,1,IF(Prj_Inflation=1, (1+OFFSET(AB380,0,-1))^(Параметры!AB$30/360), 1))</f>
        <v>1.004867550565343</v>
      </c>
      <c r="AC381" s="191">
        <f ca="1">IF(AC$2=1,1,IF(Prj_Inflation=1, (1+OFFSET(AC380,0,-1))^(Параметры!AC$30/360), 1))</f>
        <v>1.004867550565343</v>
      </c>
      <c r="AD381" s="191">
        <f ca="1">IF(AD$2=1,1,IF(Prj_Inflation=1, (1+OFFSET(AD380,0,-1))^(Параметры!AD$30/360), 1))</f>
        <v>1.004867550565343</v>
      </c>
      <c r="AE381" s="191">
        <f ca="1">IF(AE$2=1,1,IF(Prj_Inflation=1, (1+OFFSET(AE380,0,-1))^(Параметры!AE$30/360), 1))</f>
        <v>1.004867550565343</v>
      </c>
      <c r="AF381" s="191">
        <f ca="1">IF(AF$2=1,1,IF(Prj_Inflation=1, (1+OFFSET(AF380,0,-1))^(Параметры!AF$30/360), 1))</f>
        <v>1.004867550565343</v>
      </c>
      <c r="AG381" s="191">
        <f ca="1">IF(AG$2=1,1,IF(Prj_Inflation=1, (1+OFFSET(AG380,0,-1))^(Параметры!AG$30/360), 1))</f>
        <v>1.004867550565343</v>
      </c>
      <c r="AH381" s="191">
        <f ca="1">IF(AH$2=1,1,IF(Prj_Inflation=1, (1+OFFSET(AH380,0,-1))^(Параметры!AH$30/360), 1))</f>
        <v>1.004867550565343</v>
      </c>
      <c r="AI381" s="191">
        <f ca="1">IF(AI$2=1,1,IF(Prj_Inflation=1, (1+OFFSET(AI380,0,-1))^(Параметры!AI$30/360), 1))</f>
        <v>1.004867550565343</v>
      </c>
      <c r="AJ381" s="191">
        <f ca="1">IF(AJ$2=1,1,IF(Prj_Inflation=1, (1+OFFSET(AJ380,0,-1))^(Параметры!AJ$30/360), 1))</f>
        <v>1.004867550565343</v>
      </c>
      <c r="AK381" s="191">
        <f ca="1">IF(AK$2=1,1,IF(Prj_Inflation=1, (1+OFFSET(AK380,0,-1))^(Параметры!AK$30/360), 1))</f>
        <v>1.004867550565343</v>
      </c>
      <c r="AL381" s="191">
        <f ca="1">IF(AL$2=1,1,IF(Prj_Inflation=1, (1+OFFSET(AL380,0,-1))^(Параметры!AL$30/360), 1))</f>
        <v>1.004867550565343</v>
      </c>
      <c r="AM381" s="191">
        <f ca="1">IF(AM$2=1,1,IF(Prj_Inflation=1, (1+OFFSET(AM380,0,-1))^(Параметры!AM$30/360), 1))</f>
        <v>1.004867550565343</v>
      </c>
      <c r="AN381" s="191">
        <f ca="1">IF(AN$2=1,1,IF(Prj_Inflation=1, (1+OFFSET(AN380,0,-1))^(Параметры!AN$30/360), 1))</f>
        <v>1.004867550565343</v>
      </c>
      <c r="AO381" s="191">
        <f ca="1">IF(AO$2=1,1,IF(Prj_Inflation=1, (1+OFFSET(AO380,0,-1))^(Параметры!AO$30/360), 1))</f>
        <v>1.004867550565343</v>
      </c>
      <c r="AP381" s="191">
        <f ca="1">IF(AP$2=1,1,IF(Prj_Inflation=1, (1+OFFSET(AP380,0,-1))^(Параметры!AP$30/360), 1))</f>
        <v>1.004867550565343</v>
      </c>
      <c r="AQ381" s="191">
        <f ca="1">IF(AQ$2=1,1,IF(Prj_Inflation=1, (1+OFFSET(AQ380,0,-1))^(Параметры!AQ$30/360), 1))</f>
        <v>1.004867550565343</v>
      </c>
      <c r="AR381" s="191">
        <f ca="1">IF(AR$2=1,1,IF(Prj_Inflation=1, (1+OFFSET(AR380,0,-1))^(Параметры!AR$30/360), 1))</f>
        <v>1.004867550565343</v>
      </c>
      <c r="AS381" s="191">
        <f ca="1">IF(AS$2=1,1,IF(Prj_Inflation=1, (1+OFFSET(AS380,0,-1))^(Параметры!AS$30/360), 1))</f>
        <v>1.004867550565343</v>
      </c>
      <c r="AT381" s="191">
        <f ca="1">IF(AT$2=1,1,IF(Prj_Inflation=1, (1+OFFSET(AT380,0,-1))^(Параметры!AT$30/360), 1))</f>
        <v>1.004867550565343</v>
      </c>
      <c r="AU381" s="191">
        <f ca="1">IF(AU$2=1,1,IF(Prj_Inflation=1, (1+OFFSET(AU380,0,-1))^(Параметры!AU$30/360), 1))</f>
        <v>1.004867550565343</v>
      </c>
      <c r="AV381" s="191">
        <f ca="1">IF(AV$2=1,1,IF(Prj_Inflation=1, (1+OFFSET(AV380,0,-1))^(Параметры!AV$30/360), 1))</f>
        <v>1.004867550565343</v>
      </c>
      <c r="AW381" s="191">
        <f ca="1">IF(AW$2=1,1,IF(Prj_Inflation=1, (1+OFFSET(AW380,0,-1))^(Параметры!AW$30/360), 1))</f>
        <v>1.004867550565343</v>
      </c>
      <c r="AX381" s="191">
        <f ca="1">IF(AX$2=1,1,IF(Prj_Inflation=1, (1+OFFSET(AX380,0,-1))^(Параметры!AX$30/360), 1))</f>
        <v>1.004867550565343</v>
      </c>
      <c r="AY381" s="191">
        <f ca="1">IF(AY$2=1,1,IF(Prj_Inflation=1, (1+OFFSET(AY380,0,-1))^(Параметры!AY$30/360), 1))</f>
        <v>1.004867550565343</v>
      </c>
      <c r="AZ381" s="191">
        <f ca="1">IF(AZ$2=1,1,IF(Prj_Inflation=1, (1+OFFSET(AZ380,0,-1))^(Параметры!AZ$30/360), 1))</f>
        <v>1.004867550565343</v>
      </c>
      <c r="BA381" s="191">
        <f ca="1">IF(BA$2=1,1,IF(Prj_Inflation=1, (1+OFFSET(BA380,0,-1))^(Параметры!BA$30/360), 1))</f>
        <v>1.004867550565343</v>
      </c>
      <c r="BB381" s="191">
        <f ca="1">IF(BB$2=1,1,IF(Prj_Inflation=1, (1+OFFSET(BB380,0,-1))^(Параметры!BB$30/360), 1))</f>
        <v>1.004867550565343</v>
      </c>
      <c r="BC381" s="191"/>
      <c r="BD381" s="186"/>
    </row>
    <row r="382" spans="1:56" hidden="1" outlineLevel="1" x14ac:dyDescent="0.3">
      <c r="A382" s="184" t="str">
        <f ca="1">Language!A$1486</f>
        <v>индексировать в начале года</v>
      </c>
      <c r="B382" s="291">
        <v>0</v>
      </c>
      <c r="C382" s="163" t="str">
        <f ca="1">IF(B382=1,Language!$A$1475,Language!$A$1476)</f>
        <v>Нет</v>
      </c>
      <c r="D382" s="174"/>
      <c r="F382" s="170" t="s">
        <v>3408</v>
      </c>
      <c r="G382" s="192" t="str">
        <f ca="1">IF(Prj_Inflation=1,IF($B382=1,IF(G$2=1,1,IF(Параметры!G$29=1,1+OFFSET(G380,0,-1),1)),"-"),1)</f>
        <v>-</v>
      </c>
      <c r="H382" s="192" t="str">
        <f ca="1">IF(Prj_Inflation=1,IF($B382=1,IF(H$2=1,1,IF(Параметры!H$29=1,1+OFFSET(H380,0,-1),1)),"-"),1)</f>
        <v>-</v>
      </c>
      <c r="I382" s="192" t="str">
        <f ca="1">IF(Prj_Inflation=1,IF($B382=1,IF(I$2=1,1,IF(Параметры!I$29=1,1+OFFSET(I380,0,-1),1)),"-"),1)</f>
        <v>-</v>
      </c>
      <c r="J382" s="192" t="str">
        <f ca="1">IF(Prj_Inflation=1,IF($B382=1,IF(J$2=1,1,IF(Параметры!J$29=1,1+OFFSET(J380,0,-1),1)),"-"),1)</f>
        <v>-</v>
      </c>
      <c r="K382" s="192" t="str">
        <f ca="1">IF(Prj_Inflation=1,IF($B382=1,IF(K$2=1,1,IF(Параметры!K$29=1,1+OFFSET(K380,0,-1),1)),"-"),1)</f>
        <v>-</v>
      </c>
      <c r="L382" s="192" t="str">
        <f ca="1">IF(Prj_Inflation=1,IF($B382=1,IF(L$2=1,1,IF(Параметры!L$29=1,1+OFFSET(L380,0,-1),1)),"-"),1)</f>
        <v>-</v>
      </c>
      <c r="M382" s="192" t="str">
        <f ca="1">IF(Prj_Inflation=1,IF($B382=1,IF(M$2=1,1,IF(Параметры!M$29=1,1+OFFSET(M380,0,-1),1)),"-"),1)</f>
        <v>-</v>
      </c>
      <c r="N382" s="192" t="str">
        <f ca="1">IF(Prj_Inflation=1,IF($B382=1,IF(N$2=1,1,IF(Параметры!N$29=1,1+OFFSET(N380,0,-1),1)),"-"),1)</f>
        <v>-</v>
      </c>
      <c r="O382" s="192" t="str">
        <f ca="1">IF(Prj_Inflation=1,IF($B382=1,IF(O$2=1,1,IF(Параметры!O$29=1,1+OFFSET(O380,0,-1),1)),"-"),1)</f>
        <v>-</v>
      </c>
      <c r="P382" s="192" t="str">
        <f ca="1">IF(Prj_Inflation=1,IF($B382=1,IF(P$2=1,1,IF(Параметры!P$29=1,1+OFFSET(P380,0,-1),1)),"-"),1)</f>
        <v>-</v>
      </c>
      <c r="Q382" s="192" t="str">
        <f ca="1">IF(Prj_Inflation=1,IF($B382=1,IF(Q$2=1,1,IF(Параметры!Q$29=1,1+OFFSET(Q380,0,-1),1)),"-"),1)</f>
        <v>-</v>
      </c>
      <c r="R382" s="192" t="str">
        <f ca="1">IF(Prj_Inflation=1,IF($B382=1,IF(R$2=1,1,IF(Параметры!R$29=1,1+OFFSET(R380,0,-1),1)),"-"),1)</f>
        <v>-</v>
      </c>
      <c r="S382" s="192" t="str">
        <f ca="1">IF(Prj_Inflation=1,IF($B382=1,IF(S$2=1,1,IF(Параметры!S$29=1,1+OFFSET(S380,0,-1),1)),"-"),1)</f>
        <v>-</v>
      </c>
      <c r="T382" s="192" t="str">
        <f ca="1">IF(Prj_Inflation=1,IF($B382=1,IF(T$2=1,1,IF(Параметры!T$29=1,1+OFFSET(T380,0,-1),1)),"-"),1)</f>
        <v>-</v>
      </c>
      <c r="U382" s="192" t="str">
        <f ca="1">IF(Prj_Inflation=1,IF($B382=1,IF(U$2=1,1,IF(Параметры!U$29=1,1+OFFSET(U380,0,-1),1)),"-"),1)</f>
        <v>-</v>
      </c>
      <c r="V382" s="192" t="str">
        <f ca="1">IF(Prj_Inflation=1,IF($B382=1,IF(V$2=1,1,IF(Параметры!V$29=1,1+OFFSET(V380,0,-1),1)),"-"),1)</f>
        <v>-</v>
      </c>
      <c r="W382" s="192" t="str">
        <f ca="1">IF(Prj_Inflation=1,IF($B382=1,IF(W$2=1,1,IF(Параметры!W$29=1,1+OFFSET(W380,0,-1),1)),"-"),1)</f>
        <v>-</v>
      </c>
      <c r="X382" s="192" t="str">
        <f ca="1">IF(Prj_Inflation=1,IF($B382=1,IF(X$2=1,1,IF(Параметры!X$29=1,1+OFFSET(X380,0,-1),1)),"-"),1)</f>
        <v>-</v>
      </c>
      <c r="Y382" s="192" t="str">
        <f ca="1">IF(Prj_Inflation=1,IF($B382=1,IF(Y$2=1,1,IF(Параметры!Y$29=1,1+OFFSET(Y380,0,-1),1)),"-"),1)</f>
        <v>-</v>
      </c>
      <c r="Z382" s="192" t="str">
        <f ca="1">IF(Prj_Inflation=1,IF($B382=1,IF(Z$2=1,1,IF(Параметры!Z$29=1,1+OFFSET(Z380,0,-1),1)),"-"),1)</f>
        <v>-</v>
      </c>
      <c r="AA382" s="192" t="str">
        <f ca="1">IF(Prj_Inflation=1,IF($B382=1,IF(AA$2=1,1,IF(Параметры!AA$29=1,1+OFFSET(AA380,0,-1),1)),"-"),1)</f>
        <v>-</v>
      </c>
      <c r="AB382" s="192" t="str">
        <f ca="1">IF(Prj_Inflation=1,IF($B382=1,IF(AB$2=1,1,IF(Параметры!AB$29=1,1+OFFSET(AB380,0,-1),1)),"-"),1)</f>
        <v>-</v>
      </c>
      <c r="AC382" s="192" t="str">
        <f ca="1">IF(Prj_Inflation=1,IF($B382=1,IF(AC$2=1,1,IF(Параметры!AC$29=1,1+OFFSET(AC380,0,-1),1)),"-"),1)</f>
        <v>-</v>
      </c>
      <c r="AD382" s="192" t="str">
        <f ca="1">IF(Prj_Inflation=1,IF($B382=1,IF(AD$2=1,1,IF(Параметры!AD$29=1,1+OFFSET(AD380,0,-1),1)),"-"),1)</f>
        <v>-</v>
      </c>
      <c r="AE382" s="192" t="str">
        <f ca="1">IF(Prj_Inflation=1,IF($B382=1,IF(AE$2=1,1,IF(Параметры!AE$29=1,1+OFFSET(AE380,0,-1),1)),"-"),1)</f>
        <v>-</v>
      </c>
      <c r="AF382" s="192" t="str">
        <f ca="1">IF(Prj_Inflation=1,IF($B382=1,IF(AF$2=1,1,IF(Параметры!AF$29=1,1+OFFSET(AF380,0,-1),1)),"-"),1)</f>
        <v>-</v>
      </c>
      <c r="AG382" s="192" t="str">
        <f ca="1">IF(Prj_Inflation=1,IF($B382=1,IF(AG$2=1,1,IF(Параметры!AG$29=1,1+OFFSET(AG380,0,-1),1)),"-"),1)</f>
        <v>-</v>
      </c>
      <c r="AH382" s="192" t="str">
        <f ca="1">IF(Prj_Inflation=1,IF($B382=1,IF(AH$2=1,1,IF(Параметры!AH$29=1,1+OFFSET(AH380,0,-1),1)),"-"),1)</f>
        <v>-</v>
      </c>
      <c r="AI382" s="192" t="str">
        <f ca="1">IF(Prj_Inflation=1,IF($B382=1,IF(AI$2=1,1,IF(Параметры!AI$29=1,1+OFFSET(AI380,0,-1),1)),"-"),1)</f>
        <v>-</v>
      </c>
      <c r="AJ382" s="192" t="str">
        <f ca="1">IF(Prj_Inflation=1,IF($B382=1,IF(AJ$2=1,1,IF(Параметры!AJ$29=1,1+OFFSET(AJ380,0,-1),1)),"-"),1)</f>
        <v>-</v>
      </c>
      <c r="AK382" s="192" t="str">
        <f ca="1">IF(Prj_Inflation=1,IF($B382=1,IF(AK$2=1,1,IF(Параметры!AK$29=1,1+OFFSET(AK380,0,-1),1)),"-"),1)</f>
        <v>-</v>
      </c>
      <c r="AL382" s="192" t="str">
        <f ca="1">IF(Prj_Inflation=1,IF($B382=1,IF(AL$2=1,1,IF(Параметры!AL$29=1,1+OFFSET(AL380,0,-1),1)),"-"),1)</f>
        <v>-</v>
      </c>
      <c r="AM382" s="192" t="str">
        <f ca="1">IF(Prj_Inflation=1,IF($B382=1,IF(AM$2=1,1,IF(Параметры!AM$29=1,1+OFFSET(AM380,0,-1),1)),"-"),1)</f>
        <v>-</v>
      </c>
      <c r="AN382" s="192" t="str">
        <f ca="1">IF(Prj_Inflation=1,IF($B382=1,IF(AN$2=1,1,IF(Параметры!AN$29=1,1+OFFSET(AN380,0,-1),1)),"-"),1)</f>
        <v>-</v>
      </c>
      <c r="AO382" s="192" t="str">
        <f ca="1">IF(Prj_Inflation=1,IF($B382=1,IF(AO$2=1,1,IF(Параметры!AO$29=1,1+OFFSET(AO380,0,-1),1)),"-"),1)</f>
        <v>-</v>
      </c>
      <c r="AP382" s="192" t="str">
        <f ca="1">IF(Prj_Inflation=1,IF($B382=1,IF(AP$2=1,1,IF(Параметры!AP$29=1,1+OFFSET(AP380,0,-1),1)),"-"),1)</f>
        <v>-</v>
      </c>
      <c r="AQ382" s="192" t="str">
        <f ca="1">IF(Prj_Inflation=1,IF($B382=1,IF(AQ$2=1,1,IF(Параметры!AQ$29=1,1+OFFSET(AQ380,0,-1),1)),"-"),1)</f>
        <v>-</v>
      </c>
      <c r="AR382" s="192" t="str">
        <f ca="1">IF(Prj_Inflation=1,IF($B382=1,IF(AR$2=1,1,IF(Параметры!AR$29=1,1+OFFSET(AR380,0,-1),1)),"-"),1)</f>
        <v>-</v>
      </c>
      <c r="AS382" s="192" t="str">
        <f ca="1">IF(Prj_Inflation=1,IF($B382=1,IF(AS$2=1,1,IF(Параметры!AS$29=1,1+OFFSET(AS380,0,-1),1)),"-"),1)</f>
        <v>-</v>
      </c>
      <c r="AT382" s="192" t="str">
        <f ca="1">IF(Prj_Inflation=1,IF($B382=1,IF(AT$2=1,1,IF(Параметры!AT$29=1,1+OFFSET(AT380,0,-1),1)),"-"),1)</f>
        <v>-</v>
      </c>
      <c r="AU382" s="192" t="str">
        <f ca="1">IF(Prj_Inflation=1,IF($B382=1,IF(AU$2=1,1,IF(Параметры!AU$29=1,1+OFFSET(AU380,0,-1),1)),"-"),1)</f>
        <v>-</v>
      </c>
      <c r="AV382" s="192" t="str">
        <f ca="1">IF(Prj_Inflation=1,IF($B382=1,IF(AV$2=1,1,IF(Параметры!AV$29=1,1+OFFSET(AV380,0,-1),1)),"-"),1)</f>
        <v>-</v>
      </c>
      <c r="AW382" s="192" t="str">
        <f ca="1">IF(Prj_Inflation=1,IF($B382=1,IF(AW$2=1,1,IF(Параметры!AW$29=1,1+OFFSET(AW380,0,-1),1)),"-"),1)</f>
        <v>-</v>
      </c>
      <c r="AX382" s="192" t="str">
        <f ca="1">IF(Prj_Inflation=1,IF($B382=1,IF(AX$2=1,1,IF(Параметры!AX$29=1,1+OFFSET(AX380,0,-1),1)),"-"),1)</f>
        <v>-</v>
      </c>
      <c r="AY382" s="192" t="str">
        <f ca="1">IF(Prj_Inflation=1,IF($B382=1,IF(AY$2=1,1,IF(Параметры!AY$29=1,1+OFFSET(AY380,0,-1),1)),"-"),1)</f>
        <v>-</v>
      </c>
      <c r="AZ382" s="192" t="str">
        <f ca="1">IF(Prj_Inflation=1,IF($B382=1,IF(AZ$2=1,1,IF(Параметры!AZ$29=1,1+OFFSET(AZ380,0,-1),1)),"-"),1)</f>
        <v>-</v>
      </c>
      <c r="BA382" s="192" t="str">
        <f ca="1">IF(Prj_Inflation=1,IF($B382=1,IF(BA$2=1,1,IF(Параметры!BA$29=1,1+OFFSET(BA380,0,-1),1)),"-"),1)</f>
        <v>-</v>
      </c>
      <c r="BB382" s="192" t="str">
        <f ca="1">IF(Prj_Inflation=1,IF($B382=1,IF(BB$2=1,1,IF(Параметры!BB$29=1,1+OFFSET(BB380,0,-1),1)),"-"),1)</f>
        <v>-</v>
      </c>
      <c r="BC382" s="191"/>
      <c r="BD382" s="186"/>
    </row>
    <row r="383" spans="1:56" hidden="1" outlineLevel="1" x14ac:dyDescent="0.3">
      <c r="A383" s="184" t="str">
        <f ca="1">Language!A$704</f>
        <v>социальные взносы</v>
      </c>
      <c r="B383" s="189"/>
      <c r="C383" s="163" t="str">
        <f ca="1">CHOOSE(D383,CurName1,CurName2,CurName3)</f>
        <v>руб.</v>
      </c>
      <c r="D383" s="174">
        <f>D376</f>
        <v>1</v>
      </c>
      <c r="E383" s="170" t="s">
        <v>1459</v>
      </c>
      <c r="F383" s="170" t="s">
        <v>740</v>
      </c>
      <c r="G383" s="185">
        <f ca="1">G379*Параметры!G$91</f>
        <v>0</v>
      </c>
      <c r="H383" s="185">
        <f ca="1">H379*Параметры!H$91</f>
        <v>0</v>
      </c>
      <c r="I383" s="185">
        <f ca="1">I379*Параметры!I$91</f>
        <v>0</v>
      </c>
      <c r="J383" s="185">
        <f ca="1">J379*Параметры!J$91</f>
        <v>0</v>
      </c>
      <c r="K383" s="185">
        <f ca="1">K379*Параметры!K$91</f>
        <v>0</v>
      </c>
      <c r="L383" s="185">
        <f ca="1">L379*Параметры!L$91</f>
        <v>0</v>
      </c>
      <c r="M383" s="185">
        <f ca="1">M379*Параметры!M$91</f>
        <v>11170.758702970898</v>
      </c>
      <c r="N383" s="185">
        <f ca="1">N379*Параметры!N$91</f>
        <v>11225.132935810854</v>
      </c>
      <c r="O383" s="185">
        <f ca="1">O379*Параметры!O$91</f>
        <v>11279.771837978611</v>
      </c>
      <c r="P383" s="185">
        <f ca="1">P379*Параметры!P$91</f>
        <v>11334.676697765504</v>
      </c>
      <c r="Q383" s="185">
        <f ca="1">Q379*Параметры!Q$91</f>
        <v>11389.848809733694</v>
      </c>
      <c r="R383" s="185">
        <f ca="1">R379*Параметры!R$91</f>
        <v>11445.289474746685</v>
      </c>
      <c r="S383" s="185">
        <f ca="1">S379*Параметры!S$91</f>
        <v>11501.000000000004</v>
      </c>
      <c r="T383" s="185">
        <f ca="1">T379*Параметры!T$91</f>
        <v>11556.981699052016</v>
      </c>
      <c r="U383" s="185">
        <f ca="1">U379*Параметры!U$91</f>
        <v>11613.235891854896</v>
      </c>
      <c r="V383" s="185">
        <f ca="1">V379*Параметры!V$91</f>
        <v>11669.763904785757</v>
      </c>
      <c r="W383" s="185">
        <f ca="1">W379*Параметры!W$91</f>
        <v>11726.567070677916</v>
      </c>
      <c r="X383" s="185">
        <f ca="1">X379*Параметры!X$91</f>
        <v>11783.646728852329</v>
      </c>
      <c r="Y383" s="185">
        <f ca="1">Y379*Параметры!Y$91</f>
        <v>11841.004225149156</v>
      </c>
      <c r="Z383" s="185">
        <f ca="1">Z379*Параметры!Z$91</f>
        <v>11898.64091195951</v>
      </c>
      <c r="AA383" s="185">
        <f ca="1">AA379*Параметры!AA$91</f>
        <v>11956.558148257333</v>
      </c>
      <c r="AB383" s="185">
        <f ca="1">AB379*Параметры!AB$91</f>
        <v>12014.757299631439</v>
      </c>
      <c r="AC383" s="185">
        <f ca="1">AC379*Параметры!AC$91</f>
        <v>12073.239738317719</v>
      </c>
      <c r="AD383" s="185">
        <f ca="1">AD379*Параметры!AD$91</f>
        <v>12132.006843231491</v>
      </c>
      <c r="AE383" s="185">
        <f ca="1">AE379*Параметры!AE$91</f>
        <v>12191.060000000009</v>
      </c>
      <c r="AF383" s="185">
        <f ca="1">AF379*Параметры!AF$91</f>
        <v>12250.400600995139</v>
      </c>
      <c r="AG383" s="185">
        <f ca="1">AG379*Параметры!AG$91</f>
        <v>12310.030045366193</v>
      </c>
      <c r="AH383" s="185">
        <f ca="1">AH379*Параметры!AH$91</f>
        <v>12369.949739072905</v>
      </c>
      <c r="AI383" s="185">
        <f ca="1">AI379*Параметры!AI$91</f>
        <v>12430.161094918594</v>
      </c>
      <c r="AJ383" s="185">
        <f ca="1">AJ379*Параметры!AJ$91</f>
        <v>12490.665532583471</v>
      </c>
      <c r="AK383" s="185">
        <f ca="1">AK379*Параметры!AK$91</f>
        <v>12551.464478658108</v>
      </c>
      <c r="AL383" s="185">
        <f ca="1">AL379*Параметры!AL$91</f>
        <v>12612.559366677084</v>
      </c>
      <c r="AM383" s="185">
        <f ca="1">AM379*Параметры!AM$91</f>
        <v>12673.951637152773</v>
      </c>
      <c r="AN383" s="185">
        <f ca="1">AN379*Параметры!AN$91</f>
        <v>12735.642737609327</v>
      </c>
      <c r="AO383" s="185">
        <f ca="1">AO379*Параметры!AO$91</f>
        <v>12797.634122616784</v>
      </c>
      <c r="AP383" s="185">
        <f ca="1">AP379*Параметры!AP$91</f>
        <v>12859.927253825383</v>
      </c>
      <c r="AQ383" s="185">
        <f ca="1">AQ379*Параметры!AQ$91</f>
        <v>12922.523600000011</v>
      </c>
      <c r="AR383" s="185">
        <f ca="1">AR379*Параметры!AR$91</f>
        <v>12985.424637054848</v>
      </c>
      <c r="AS383" s="185">
        <f ca="1">AS379*Параметры!AS$91</f>
        <v>13048.631848088164</v>
      </c>
      <c r="AT383" s="185">
        <f ca="1">AT379*Параметры!AT$91</f>
        <v>13112.146723417278</v>
      </c>
      <c r="AU383" s="185">
        <f ca="1">AU379*Параметры!AU$91</f>
        <v>13175.970760613709</v>
      </c>
      <c r="AV383" s="185">
        <f ca="1">AV379*Параметры!AV$91</f>
        <v>13240.105464538479</v>
      </c>
      <c r="AW383" s="185">
        <f ca="1">AW379*Параметры!AW$91</f>
        <v>13304.552347377594</v>
      </c>
      <c r="AX383" s="185">
        <f ca="1">AX379*Параметры!AX$91</f>
        <v>13369.312928677708</v>
      </c>
      <c r="AY383" s="185">
        <f ca="1">AY379*Параметры!AY$91</f>
        <v>13434.388735381943</v>
      </c>
      <c r="AZ383" s="185">
        <f ca="1">AZ379*Параметры!AZ$91</f>
        <v>13499.781301865889</v>
      </c>
      <c r="BA383" s="185">
        <f ca="1">BA379*Параметры!BA$91</f>
        <v>13565.492169973793</v>
      </c>
      <c r="BB383" s="185">
        <f ca="1">BB379*Параметры!BB$91</f>
        <v>13631.522889054906</v>
      </c>
      <c r="BC383" s="185"/>
      <c r="BD383" s="193">
        <f ca="1">SUM(G383:BC383)</f>
        <v>519176.180936296</v>
      </c>
    </row>
    <row r="384" spans="1:56" s="173" customFormat="1" hidden="1" outlineLevel="1" x14ac:dyDescent="0.3">
      <c r="A384" s="181" t="str">
        <f ca="1">Language!A$1513</f>
        <v>затраты на персонал, с соц. взносами</v>
      </c>
      <c r="B384" s="205"/>
      <c r="C384" s="176" t="str">
        <f ca="1">CHOOSE(D384,CurName1,CurName2,CurName3)</f>
        <v>руб.</v>
      </c>
      <c r="D384" s="174">
        <f>D376</f>
        <v>1</v>
      </c>
      <c r="E384" s="170" t="s">
        <v>2312</v>
      </c>
      <c r="F384" s="170" t="s">
        <v>740</v>
      </c>
      <c r="G384" s="182">
        <f ca="1">G379+G383</f>
        <v>0</v>
      </c>
      <c r="H384" s="182">
        <f t="shared" ref="H384:BB384" ca="1" si="1848">H379+H383</f>
        <v>0</v>
      </c>
      <c r="I384" s="182">
        <f t="shared" ca="1" si="1848"/>
        <v>0</v>
      </c>
      <c r="J384" s="182">
        <f t="shared" ca="1" si="1848"/>
        <v>0</v>
      </c>
      <c r="K384" s="182">
        <f t="shared" ca="1" si="1848"/>
        <v>0</v>
      </c>
      <c r="L384" s="182">
        <f t="shared" ca="1" si="1848"/>
        <v>0</v>
      </c>
      <c r="M384" s="182">
        <f t="shared" ca="1" si="1848"/>
        <v>47205.464196425397</v>
      </c>
      <c r="N384" s="182">
        <f t="shared" ca="1" si="1848"/>
        <v>47435.23918036199</v>
      </c>
      <c r="O384" s="182">
        <f t="shared" ca="1" si="1848"/>
        <v>47666.132605651539</v>
      </c>
      <c r="P384" s="182">
        <f t="shared" ca="1" si="1848"/>
        <v>47898.149916363902</v>
      </c>
      <c r="Q384" s="182">
        <f t="shared" ca="1" si="1848"/>
        <v>48131.296583068186</v>
      </c>
      <c r="R384" s="182">
        <f t="shared" ca="1" si="1848"/>
        <v>48365.578102961794</v>
      </c>
      <c r="S384" s="182">
        <f t="shared" ca="1" si="1848"/>
        <v>48601.000000000015</v>
      </c>
      <c r="T384" s="182">
        <f t="shared" ca="1" si="1848"/>
        <v>48837.567825026257</v>
      </c>
      <c r="U384" s="182">
        <f t="shared" ca="1" si="1848"/>
        <v>49075.287155902945</v>
      </c>
      <c r="V384" s="182">
        <f t="shared" ca="1" si="1848"/>
        <v>49314.163597643033</v>
      </c>
      <c r="W384" s="182">
        <f t="shared" ca="1" si="1848"/>
        <v>49554.202782542154</v>
      </c>
      <c r="X384" s="182">
        <f t="shared" ca="1" si="1848"/>
        <v>49795.410370311445</v>
      </c>
      <c r="Y384" s="182">
        <f t="shared" ca="1" si="1848"/>
        <v>50037.79204821094</v>
      </c>
      <c r="Z384" s="182">
        <f t="shared" ca="1" si="1848"/>
        <v>50281.353531183733</v>
      </c>
      <c r="AA384" s="182">
        <f t="shared" ca="1" si="1848"/>
        <v>50526.100561990657</v>
      </c>
      <c r="AB384" s="182">
        <f t="shared" ca="1" si="1848"/>
        <v>50772.038911345757</v>
      </c>
      <c r="AC384" s="182">
        <f t="shared" ca="1" si="1848"/>
        <v>51019.174378052296</v>
      </c>
      <c r="AD384" s="182">
        <f t="shared" ca="1" si="1848"/>
        <v>51267.512789139524</v>
      </c>
      <c r="AE384" s="182">
        <f t="shared" ca="1" si="1848"/>
        <v>51517.060000000027</v>
      </c>
      <c r="AF384" s="182">
        <f t="shared" ca="1" si="1848"/>
        <v>51767.821894527842</v>
      </c>
      <c r="AG384" s="182">
        <f t="shared" ca="1" si="1848"/>
        <v>52019.804385257128</v>
      </c>
      <c r="AH384" s="182">
        <f t="shared" ca="1" si="1848"/>
        <v>52273.013413501627</v>
      </c>
      <c r="AI384" s="182">
        <f t="shared" ca="1" si="1848"/>
        <v>52527.454949494699</v>
      </c>
      <c r="AJ384" s="182">
        <f t="shared" ca="1" si="1848"/>
        <v>52783.134992530147</v>
      </c>
      <c r="AK384" s="182">
        <f t="shared" ca="1" si="1848"/>
        <v>53040.059571103615</v>
      </c>
      <c r="AL384" s="182">
        <f t="shared" ca="1" si="1848"/>
        <v>53298.234743054767</v>
      </c>
      <c r="AM384" s="182">
        <f t="shared" ca="1" si="1848"/>
        <v>53557.6665957101</v>
      </c>
      <c r="AN384" s="182">
        <f t="shared" ca="1" si="1848"/>
        <v>53818.361246026507</v>
      </c>
      <c r="AO384" s="182">
        <f t="shared" ca="1" si="1848"/>
        <v>54080.32484073544</v>
      </c>
      <c r="AP384" s="182">
        <f t="shared" ca="1" si="1848"/>
        <v>54343.563556487905</v>
      </c>
      <c r="AQ384" s="182">
        <f t="shared" ca="1" si="1848"/>
        <v>54608.083600000042</v>
      </c>
      <c r="AR384" s="182">
        <f t="shared" ca="1" si="1848"/>
        <v>54873.891208199515</v>
      </c>
      <c r="AS384" s="182">
        <f t="shared" ca="1" si="1848"/>
        <v>55140.992648372558</v>
      </c>
      <c r="AT384" s="182">
        <f t="shared" ca="1" si="1848"/>
        <v>55409.394218311718</v>
      </c>
      <c r="AU384" s="182">
        <f t="shared" ca="1" si="1848"/>
        <v>55679.102246464376</v>
      </c>
      <c r="AV384" s="182">
        <f t="shared" ca="1" si="1848"/>
        <v>55950.123092081951</v>
      </c>
      <c r="AW384" s="182">
        <f t="shared" ca="1" si="1848"/>
        <v>56222.463145369824</v>
      </c>
      <c r="AX384" s="182">
        <f t="shared" ca="1" si="1848"/>
        <v>56496.128827638051</v>
      </c>
      <c r="AY384" s="182">
        <f t="shared" ca="1" si="1848"/>
        <v>56771.126591452718</v>
      </c>
      <c r="AZ384" s="182">
        <f t="shared" ca="1" si="1848"/>
        <v>57047.462920788108</v>
      </c>
      <c r="BA384" s="182">
        <f t="shared" ca="1" si="1848"/>
        <v>57325.144331179574</v>
      </c>
      <c r="BB384" s="182">
        <f t="shared" ca="1" si="1848"/>
        <v>57604.177369877172</v>
      </c>
      <c r="BC384" s="182"/>
      <c r="BD384" s="183">
        <f ca="1">SUM(G384:BC384)</f>
        <v>2193938.0549243474</v>
      </c>
    </row>
    <row r="385" spans="1:56" x14ac:dyDescent="0.3">
      <c r="E385" s="170" t="s">
        <v>712</v>
      </c>
    </row>
    <row r="386" spans="1:56" collapsed="1" x14ac:dyDescent="0.3">
      <c r="A386" s="169" t="str">
        <f ca="1">Language!A$710</f>
        <v>Затраты на производственный персонал, с соц. взносами</v>
      </c>
      <c r="B386" s="208"/>
      <c r="C386" s="194" t="str">
        <f t="shared" ref="C386:C419" ca="1" si="1849">CurName1</f>
        <v>руб.</v>
      </c>
      <c r="D386" s="174">
        <v>1</v>
      </c>
      <c r="F386" s="170" t="s">
        <v>740</v>
      </c>
      <c r="G386" s="177">
        <f ca="1">G387+G388</f>
        <v>0</v>
      </c>
      <c r="H386" s="177">
        <f t="shared" ref="H386:K386" ca="1" si="1850">H387+H388</f>
        <v>0</v>
      </c>
      <c r="I386" s="177">
        <f t="shared" ca="1" si="1850"/>
        <v>0</v>
      </c>
      <c r="J386" s="177">
        <f t="shared" ca="1" si="1850"/>
        <v>0</v>
      </c>
      <c r="K386" s="177">
        <f t="shared" ca="1" si="1850"/>
        <v>0</v>
      </c>
      <c r="L386" s="177">
        <f t="shared" ref="L386:M386" ca="1" si="1851">L387+L388</f>
        <v>0</v>
      </c>
      <c r="M386" s="177">
        <f t="shared" ca="1" si="1851"/>
        <v>1004802.0236096263</v>
      </c>
      <c r="N386" s="177">
        <f t="shared" ref="N386:O386" ca="1" si="1852">N387+N388</f>
        <v>1009692.9482677053</v>
      </c>
      <c r="O386" s="177">
        <f t="shared" ca="1" si="1852"/>
        <v>1014607.6797488687</v>
      </c>
      <c r="P386" s="177">
        <f t="shared" ref="P386:Q386" ca="1" si="1853">P387+P388</f>
        <v>1019546.3339340317</v>
      </c>
      <c r="Q386" s="177">
        <f t="shared" ca="1" si="1853"/>
        <v>1024509.0272681657</v>
      </c>
      <c r="R386" s="177">
        <f t="shared" ref="R386:S386" ca="1" si="1854">R387+R388</f>
        <v>1029495.8767630439</v>
      </c>
      <c r="S386" s="177">
        <f t="shared" ca="1" si="1854"/>
        <v>1034507.0000000003</v>
      </c>
      <c r="T386" s="177">
        <f t="shared" ref="T386:U386" ca="1" si="1855">T387+T388</f>
        <v>1039542.5151327017</v>
      </c>
      <c r="U386" s="177">
        <f t="shared" ca="1" si="1855"/>
        <v>1044602.5408899339</v>
      </c>
      <c r="V386" s="177">
        <f t="shared" ref="V386:W386" ca="1" si="1856">V387+V388</f>
        <v>1049687.1965784016</v>
      </c>
      <c r="W386" s="177">
        <f t="shared" ca="1" si="1856"/>
        <v>1054796.6020855401</v>
      </c>
      <c r="X386" s="177">
        <f t="shared" ref="X386:Y386" ca="1" si="1857">X387+X388</f>
        <v>1059930.8778823437</v>
      </c>
      <c r="Y386" s="177">
        <f t="shared" ca="1" si="1857"/>
        <v>1065090.1450262042</v>
      </c>
      <c r="Z386" s="177">
        <f t="shared" ref="Z386:AA386" ca="1" si="1858">Z387+Z388</f>
        <v>1070274.5251637679</v>
      </c>
      <c r="AA386" s="177">
        <f t="shared" ca="1" si="1858"/>
        <v>1075484.1405338012</v>
      </c>
      <c r="AB386" s="177">
        <f t="shared" ref="AB386:AC386" ca="1" si="1859">AB387+AB388</f>
        <v>1080719.1139700739</v>
      </c>
      <c r="AC386" s="177">
        <f t="shared" ca="1" si="1859"/>
        <v>1085979.568904256</v>
      </c>
      <c r="AD386" s="177">
        <f t="shared" ref="AD386:AE386" ca="1" si="1860">AD387+AD388</f>
        <v>1091265.6293688267</v>
      </c>
      <c r="AE386" s="177">
        <f t="shared" ca="1" si="1860"/>
        <v>1096577.4200000004</v>
      </c>
      <c r="AF386" s="177">
        <f t="shared" ref="AF386:AG386" ca="1" si="1861">AF387+AF388</f>
        <v>1101915.066040664</v>
      </c>
      <c r="AG386" s="177">
        <f t="shared" ca="1" si="1861"/>
        <v>1107278.6933433302</v>
      </c>
      <c r="AH386" s="177">
        <f t="shared" ref="AH386:AI386" ca="1" si="1862">AH387+AH388</f>
        <v>1112668.4283731061</v>
      </c>
      <c r="AI386" s="177">
        <f t="shared" ca="1" si="1862"/>
        <v>1118084.3982106727</v>
      </c>
      <c r="AJ386" s="177">
        <f t="shared" ref="AJ386:AK386" ca="1" si="1863">AJ387+AJ388</f>
        <v>1123526.7305552843</v>
      </c>
      <c r="AK386" s="177">
        <f t="shared" ca="1" si="1863"/>
        <v>1128995.5537277767</v>
      </c>
      <c r="AL386" s="177">
        <f t="shared" ref="AL386:AM386" ca="1" si="1864">AL387+AL388</f>
        <v>1134490.9966735942</v>
      </c>
      <c r="AM386" s="177">
        <f t="shared" ca="1" si="1864"/>
        <v>1140013.1889658293</v>
      </c>
      <c r="AN386" s="177">
        <f t="shared" ref="AN386:AO386" ca="1" si="1865">AN387+AN388</f>
        <v>1145562.2608082783</v>
      </c>
      <c r="AO386" s="177">
        <f t="shared" ca="1" si="1865"/>
        <v>1151138.3430385115</v>
      </c>
      <c r="AP386" s="177">
        <f t="shared" ref="AP386:AQ386" ca="1" si="1866">AP387+AP388</f>
        <v>1156741.5671309568</v>
      </c>
      <c r="AQ386" s="177">
        <f t="shared" ca="1" si="1866"/>
        <v>1162372.0652000005</v>
      </c>
      <c r="AR386" s="177">
        <f t="shared" ref="AR386:AS386" ca="1" si="1867">AR387+AR388</f>
        <v>1168029.9700031038</v>
      </c>
      <c r="AS386" s="177">
        <f t="shared" ca="1" si="1867"/>
        <v>1173715.41494393</v>
      </c>
      <c r="AT386" s="177">
        <f t="shared" ref="AT386:AU386" ca="1" si="1868">AT387+AT388</f>
        <v>1179428.5340754921</v>
      </c>
      <c r="AU386" s="177">
        <f t="shared" ca="1" si="1868"/>
        <v>1185169.4621033131</v>
      </c>
      <c r="AV386" s="177">
        <f t="shared" ref="AV386:AW386" ca="1" si="1869">AV387+AV388</f>
        <v>1190938.3343886016</v>
      </c>
      <c r="AW386" s="177">
        <f t="shared" ca="1" si="1869"/>
        <v>1196735.2869514434</v>
      </c>
      <c r="AX386" s="177">
        <f t="shared" ref="AX386:AY386" ca="1" si="1870">AX387+AX388</f>
        <v>1202560.4564740099</v>
      </c>
      <c r="AY386" s="177">
        <f t="shared" ca="1" si="1870"/>
        <v>1208413.9803037792</v>
      </c>
      <c r="AZ386" s="177">
        <f t="shared" ref="AZ386:BA386" ca="1" si="1871">AZ387+AZ388</f>
        <v>1214295.9964567753</v>
      </c>
      <c r="BA386" s="177">
        <f t="shared" ca="1" si="1871"/>
        <v>1220206.6436208223</v>
      </c>
      <c r="BB386" s="177">
        <f t="shared" ref="BB386" ca="1" si="1872">BB387+BB388</f>
        <v>1226146.061158814</v>
      </c>
      <c r="BC386" s="177"/>
      <c r="BD386" s="178">
        <f ca="1">SUM(G386:BC386)</f>
        <v>46699538.597675376</v>
      </c>
    </row>
    <row r="387" spans="1:56" hidden="1" outlineLevel="1" x14ac:dyDescent="0.3">
      <c r="A387" s="175" t="str">
        <f ca="1">Language!A$711</f>
        <v>заработная плата</v>
      </c>
      <c r="B387" s="208"/>
      <c r="C387" s="194" t="str">
        <f t="shared" ca="1" si="1849"/>
        <v>руб.</v>
      </c>
      <c r="D387" s="174">
        <v>1</v>
      </c>
      <c r="F387" s="170" t="s">
        <v>1107</v>
      </c>
      <c r="G387" s="177">
        <f t="shared" ref="G387:BB387" ca="1" si="1873">SUM(G$310,G$319,G$328,G$337,G$346)</f>
        <v>0</v>
      </c>
      <c r="H387" s="177">
        <f t="shared" ca="1" si="1873"/>
        <v>0</v>
      </c>
      <c r="I387" s="177">
        <f t="shared" ca="1" si="1873"/>
        <v>0</v>
      </c>
      <c r="J387" s="177">
        <f t="shared" ca="1" si="1873"/>
        <v>0</v>
      </c>
      <c r="K387" s="177">
        <f t="shared" ca="1" si="1873"/>
        <v>0</v>
      </c>
      <c r="L387" s="177">
        <f t="shared" ca="1" si="1873"/>
        <v>0</v>
      </c>
      <c r="M387" s="177">
        <f t="shared" ca="1" si="1873"/>
        <v>767024.44550353149</v>
      </c>
      <c r="N387" s="177">
        <f t="shared" ca="1" si="1873"/>
        <v>770757.97577687423</v>
      </c>
      <c r="O387" s="177">
        <f t="shared" ca="1" si="1873"/>
        <v>774509.67919760966</v>
      </c>
      <c r="P387" s="177">
        <f t="shared" ca="1" si="1873"/>
        <v>778279.64422445162</v>
      </c>
      <c r="Q387" s="177">
        <f t="shared" ca="1" si="1873"/>
        <v>782067.9597466914</v>
      </c>
      <c r="R387" s="177">
        <f t="shared" ca="1" si="1873"/>
        <v>785874.71508629306</v>
      </c>
      <c r="S387" s="177">
        <f t="shared" ca="1" si="1873"/>
        <v>789700.00000000023</v>
      </c>
      <c r="T387" s="177">
        <f t="shared" ca="1" si="1873"/>
        <v>793543.90468145162</v>
      </c>
      <c r="U387" s="177">
        <f t="shared" ca="1" si="1873"/>
        <v>797406.51976330834</v>
      </c>
      <c r="V387" s="177">
        <f t="shared" ca="1" si="1873"/>
        <v>801287.93631939043</v>
      </c>
      <c r="W387" s="177">
        <f t="shared" ca="1" si="1873"/>
        <v>805188.24586682452</v>
      </c>
      <c r="X387" s="177">
        <f t="shared" ca="1" si="1873"/>
        <v>809107.54036820121</v>
      </c>
      <c r="Y387" s="177">
        <f t="shared" ca="1" si="1873"/>
        <v>813045.9122337437</v>
      </c>
      <c r="Z387" s="177">
        <f t="shared" ca="1" si="1873"/>
        <v>817003.45432348689</v>
      </c>
      <c r="AA387" s="177">
        <f t="shared" ca="1" si="1873"/>
        <v>820980.25994946645</v>
      </c>
      <c r="AB387" s="177">
        <f t="shared" ca="1" si="1873"/>
        <v>824976.42287791893</v>
      </c>
      <c r="AC387" s="177">
        <f t="shared" ca="1" si="1873"/>
        <v>828992.03733149311</v>
      </c>
      <c r="AD387" s="177">
        <f t="shared" ca="1" si="1873"/>
        <v>833027.19799147081</v>
      </c>
      <c r="AE387" s="177">
        <f t="shared" ca="1" si="1873"/>
        <v>837082.00000000035</v>
      </c>
      <c r="AF387" s="177">
        <f t="shared" ca="1" si="1873"/>
        <v>841156.53896233882</v>
      </c>
      <c r="AG387" s="177">
        <f t="shared" ca="1" si="1873"/>
        <v>845250.91094910703</v>
      </c>
      <c r="AH387" s="177">
        <f t="shared" ca="1" si="1873"/>
        <v>849365.21249855414</v>
      </c>
      <c r="AI387" s="177">
        <f t="shared" ca="1" si="1873"/>
        <v>853499.54061883409</v>
      </c>
      <c r="AJ387" s="177">
        <f t="shared" ca="1" si="1873"/>
        <v>857653.99279029341</v>
      </c>
      <c r="AK387" s="177">
        <f t="shared" ca="1" si="1873"/>
        <v>861828.66696776845</v>
      </c>
      <c r="AL387" s="177">
        <f t="shared" ca="1" si="1873"/>
        <v>866023.66158289625</v>
      </c>
      <c r="AM387" s="177">
        <f t="shared" ca="1" si="1873"/>
        <v>870239.07554643461</v>
      </c>
      <c r="AN387" s="177">
        <f t="shared" ca="1" si="1873"/>
        <v>874475.00825059414</v>
      </c>
      <c r="AO387" s="177">
        <f t="shared" ca="1" si="1873"/>
        <v>878731.55957138282</v>
      </c>
      <c r="AP387" s="177">
        <f t="shared" ca="1" si="1873"/>
        <v>883008.82987095928</v>
      </c>
      <c r="AQ387" s="177">
        <f t="shared" ca="1" si="1873"/>
        <v>887306.92000000039</v>
      </c>
      <c r="AR387" s="177">
        <f t="shared" ca="1" si="1873"/>
        <v>891625.93130007922</v>
      </c>
      <c r="AS387" s="177">
        <f t="shared" ca="1" si="1873"/>
        <v>895965.96560605336</v>
      </c>
      <c r="AT387" s="177">
        <f t="shared" ca="1" si="1873"/>
        <v>900327.12524846732</v>
      </c>
      <c r="AU387" s="177">
        <f t="shared" ca="1" si="1873"/>
        <v>904709.51305596414</v>
      </c>
      <c r="AV387" s="177">
        <f t="shared" ca="1" si="1873"/>
        <v>909113.23235771107</v>
      </c>
      <c r="AW387" s="177">
        <f t="shared" ca="1" si="1873"/>
        <v>913538.38698583469</v>
      </c>
      <c r="AX387" s="177">
        <f t="shared" ca="1" si="1873"/>
        <v>917985.08127787011</v>
      </c>
      <c r="AY387" s="177">
        <f t="shared" ca="1" si="1873"/>
        <v>922453.42007922078</v>
      </c>
      <c r="AZ387" s="177">
        <f t="shared" ca="1" si="1873"/>
        <v>926943.50874563004</v>
      </c>
      <c r="BA387" s="177">
        <f t="shared" ca="1" si="1873"/>
        <v>931455.45314566582</v>
      </c>
      <c r="BB387" s="177">
        <f t="shared" ca="1" si="1873"/>
        <v>935989.35966321686</v>
      </c>
      <c r="BC387" s="177"/>
      <c r="BD387" s="178">
        <f ca="1">SUM(G387:BC387)</f>
        <v>35648502.746317081</v>
      </c>
    </row>
    <row r="388" spans="1:56" hidden="1" outlineLevel="1" x14ac:dyDescent="0.3">
      <c r="A388" s="175" t="str">
        <f ca="1">Language!A$712</f>
        <v>социальные взносы</v>
      </c>
      <c r="B388" s="208"/>
      <c r="C388" s="194" t="str">
        <f t="shared" ca="1" si="1849"/>
        <v>руб.</v>
      </c>
      <c r="D388" s="174">
        <v>1</v>
      </c>
      <c r="F388" s="170" t="s">
        <v>1460</v>
      </c>
      <c r="G388" s="177">
        <f t="shared" ref="G388:BB388" ca="1" si="1874">SUM(G$314,G$323,G$332,G$341,G$350)</f>
        <v>0</v>
      </c>
      <c r="H388" s="177">
        <f t="shared" ca="1" si="1874"/>
        <v>0</v>
      </c>
      <c r="I388" s="177">
        <f t="shared" ca="1" si="1874"/>
        <v>0</v>
      </c>
      <c r="J388" s="177">
        <f t="shared" ca="1" si="1874"/>
        <v>0</v>
      </c>
      <c r="K388" s="177">
        <f t="shared" ca="1" si="1874"/>
        <v>0</v>
      </c>
      <c r="L388" s="177">
        <f t="shared" ca="1" si="1874"/>
        <v>0</v>
      </c>
      <c r="M388" s="177">
        <f t="shared" ca="1" si="1874"/>
        <v>237777.57810609485</v>
      </c>
      <c r="N388" s="177">
        <f t="shared" ca="1" si="1874"/>
        <v>238934.9724908311</v>
      </c>
      <c r="O388" s="177">
        <f t="shared" ca="1" si="1874"/>
        <v>240098.000551259</v>
      </c>
      <c r="P388" s="177">
        <f t="shared" ca="1" si="1874"/>
        <v>241266.68970958004</v>
      </c>
      <c r="Q388" s="177">
        <f t="shared" ca="1" si="1874"/>
        <v>242441.06752147438</v>
      </c>
      <c r="R388" s="177">
        <f t="shared" ca="1" si="1874"/>
        <v>243621.16167675093</v>
      </c>
      <c r="S388" s="177">
        <f t="shared" ca="1" si="1874"/>
        <v>244807.00000000012</v>
      </c>
      <c r="T388" s="177">
        <f t="shared" ca="1" si="1874"/>
        <v>245998.61045125005</v>
      </c>
      <c r="U388" s="177">
        <f t="shared" ca="1" si="1874"/>
        <v>247196.02112662559</v>
      </c>
      <c r="V388" s="177">
        <f t="shared" ca="1" si="1874"/>
        <v>248399.26025901109</v>
      </c>
      <c r="W388" s="177">
        <f t="shared" ca="1" si="1874"/>
        <v>249608.35621871563</v>
      </c>
      <c r="X388" s="177">
        <f t="shared" ca="1" si="1874"/>
        <v>250823.33751414239</v>
      </c>
      <c r="Y388" s="177">
        <f t="shared" ca="1" si="1874"/>
        <v>252044.23279246059</v>
      </c>
      <c r="Z388" s="177">
        <f t="shared" ca="1" si="1874"/>
        <v>253271.07084028103</v>
      </c>
      <c r="AA388" s="177">
        <f t="shared" ca="1" si="1874"/>
        <v>254503.88058433463</v>
      </c>
      <c r="AB388" s="177">
        <f t="shared" ca="1" si="1874"/>
        <v>255742.69109215491</v>
      </c>
      <c r="AC388" s="177">
        <f t="shared" ca="1" si="1874"/>
        <v>256987.53157276291</v>
      </c>
      <c r="AD388" s="177">
        <f t="shared" ca="1" si="1874"/>
        <v>258238.43137735603</v>
      </c>
      <c r="AE388" s="177">
        <f t="shared" ca="1" si="1874"/>
        <v>259495.42000000016</v>
      </c>
      <c r="AF388" s="177">
        <f t="shared" ca="1" si="1874"/>
        <v>260758.5270783251</v>
      </c>
      <c r="AG388" s="177">
        <f t="shared" ca="1" si="1874"/>
        <v>262027.78239422326</v>
      </c>
      <c r="AH388" s="177">
        <f t="shared" ca="1" si="1874"/>
        <v>263303.21587455185</v>
      </c>
      <c r="AI388" s="177">
        <f t="shared" ca="1" si="1874"/>
        <v>264584.85759183858</v>
      </c>
      <c r="AJ388" s="177">
        <f t="shared" ca="1" si="1874"/>
        <v>265872.737764991</v>
      </c>
      <c r="AK388" s="177">
        <f t="shared" ca="1" si="1874"/>
        <v>267166.88676000829</v>
      </c>
      <c r="AL388" s="177">
        <f t="shared" ca="1" si="1874"/>
        <v>268467.33509069786</v>
      </c>
      <c r="AM388" s="177">
        <f t="shared" ca="1" si="1874"/>
        <v>269774.11341939477</v>
      </c>
      <c r="AN388" s="177">
        <f t="shared" ca="1" si="1874"/>
        <v>271087.25255768426</v>
      </c>
      <c r="AO388" s="177">
        <f t="shared" ca="1" si="1874"/>
        <v>272406.7834671287</v>
      </c>
      <c r="AP388" s="177">
        <f t="shared" ca="1" si="1874"/>
        <v>273732.7372599974</v>
      </c>
      <c r="AQ388" s="177">
        <f t="shared" ca="1" si="1874"/>
        <v>275065.1452000002</v>
      </c>
      <c r="AR388" s="177">
        <f t="shared" ca="1" si="1874"/>
        <v>276404.03870302462</v>
      </c>
      <c r="AS388" s="177">
        <f t="shared" ca="1" si="1874"/>
        <v>277749.44933787663</v>
      </c>
      <c r="AT388" s="177">
        <f t="shared" ca="1" si="1874"/>
        <v>279101.40882702486</v>
      </c>
      <c r="AU388" s="177">
        <f t="shared" ca="1" si="1874"/>
        <v>280459.94904734893</v>
      </c>
      <c r="AV388" s="177">
        <f t="shared" ca="1" si="1874"/>
        <v>281825.10203089041</v>
      </c>
      <c r="AW388" s="177">
        <f t="shared" ca="1" si="1874"/>
        <v>283196.89996560878</v>
      </c>
      <c r="AX388" s="177">
        <f t="shared" ca="1" si="1874"/>
        <v>284575.37519613979</v>
      </c>
      <c r="AY388" s="177">
        <f t="shared" ca="1" si="1874"/>
        <v>285960.56022455852</v>
      </c>
      <c r="AZ388" s="177">
        <f t="shared" ca="1" si="1874"/>
        <v>287352.48771114531</v>
      </c>
      <c r="BA388" s="177">
        <f t="shared" ca="1" si="1874"/>
        <v>288751.19047515647</v>
      </c>
      <c r="BB388" s="177">
        <f t="shared" ca="1" si="1874"/>
        <v>290156.70149559726</v>
      </c>
      <c r="BC388" s="177"/>
      <c r="BD388" s="178">
        <f ca="1">SUM(G388:BC388)</f>
        <v>11051035.851358298</v>
      </c>
    </row>
    <row r="389" spans="1:56" s="170" customFormat="1" hidden="1" outlineLevel="1" x14ac:dyDescent="0.3">
      <c r="A389" s="184" t="str">
        <f ca="1">Language!A$714</f>
        <v>затраты в запасах готовой продукции</v>
      </c>
      <c r="B389" s="163"/>
      <c r="C389" s="163" t="str">
        <f t="shared" ca="1" si="1849"/>
        <v>руб.</v>
      </c>
      <c r="D389" s="174"/>
      <c r="F389" s="170" t="s">
        <v>2350</v>
      </c>
      <c r="G389" s="287">
        <f ca="1">IF(AND($B390=0,G$2&gt;1),F389,G386*$B390/Параметры!G$30)</f>
        <v>0</v>
      </c>
      <c r="H389" s="287">
        <f ca="1">IF(AND($B390=0,H$2&gt;1),G389,H386*$B390/Параметры!H$30)</f>
        <v>0</v>
      </c>
      <c r="I389" s="287">
        <f ca="1">IF(AND($B390=0,I$2&gt;1),H389,I386*$B390/Параметры!I$30)</f>
        <v>0</v>
      </c>
      <c r="J389" s="287">
        <f ca="1">IF(AND($B390=0,J$2&gt;1),I389,J386*$B390/Параметры!J$30)</f>
        <v>0</v>
      </c>
      <c r="K389" s="287">
        <f ca="1">IF(AND($B390=0,K$2&gt;1),J389,K386*$B390/Параметры!K$30)</f>
        <v>0</v>
      </c>
      <c r="L389" s="287">
        <f ca="1">IF(AND($B390=0,L$2&gt;1),K389,L386*$B390/Параметры!L$30)</f>
        <v>0</v>
      </c>
      <c r="M389" s="287">
        <f ca="1">IF(AND($B390=0,M$2&gt;1),L389,M386*$B390/Параметры!M$30)</f>
        <v>0</v>
      </c>
      <c r="N389" s="287">
        <f ca="1">IF(AND($B390=0,N$2&gt;1),M389,N386*$B390/Параметры!N$30)</f>
        <v>0</v>
      </c>
      <c r="O389" s="287">
        <f ca="1">IF(AND($B390=0,O$2&gt;1),N389,O386*$B390/Параметры!O$30)</f>
        <v>0</v>
      </c>
      <c r="P389" s="287">
        <f ca="1">IF(AND($B390=0,P$2&gt;1),O389,P386*$B390/Параметры!P$30)</f>
        <v>0</v>
      </c>
      <c r="Q389" s="287">
        <f ca="1">IF(AND($B390=0,Q$2&gt;1),P389,Q386*$B390/Параметры!Q$30)</f>
        <v>0</v>
      </c>
      <c r="R389" s="287">
        <f ca="1">IF(AND($B390=0,R$2&gt;1),Q389,R386*$B390/Параметры!R$30)</f>
        <v>0</v>
      </c>
      <c r="S389" s="287">
        <f ca="1">IF(AND($B390=0,S$2&gt;1),R389,S386*$B390/Параметры!S$30)</f>
        <v>0</v>
      </c>
      <c r="T389" s="287">
        <f ca="1">IF(AND($B390=0,T$2&gt;1),S389,T386*$B390/Параметры!T$30)</f>
        <v>0</v>
      </c>
      <c r="U389" s="287">
        <f ca="1">IF(AND($B390=0,U$2&gt;1),T389,U386*$B390/Параметры!U$30)</f>
        <v>0</v>
      </c>
      <c r="V389" s="287">
        <f ca="1">IF(AND($B390=0,V$2&gt;1),U389,V386*$B390/Параметры!V$30)</f>
        <v>0</v>
      </c>
      <c r="W389" s="287">
        <f ca="1">IF(AND($B390=0,W$2&gt;1),V389,W386*$B390/Параметры!W$30)</f>
        <v>0</v>
      </c>
      <c r="X389" s="287">
        <f ca="1">IF(AND($B390=0,X$2&gt;1),W389,X386*$B390/Параметры!X$30)</f>
        <v>0</v>
      </c>
      <c r="Y389" s="287">
        <f ca="1">IF(AND($B390=0,Y$2&gt;1),X389,Y386*$B390/Параметры!Y$30)</f>
        <v>0</v>
      </c>
      <c r="Z389" s="287">
        <f ca="1">IF(AND($B390=0,Z$2&gt;1),Y389,Z386*$B390/Параметры!Z$30)</f>
        <v>0</v>
      </c>
      <c r="AA389" s="287">
        <f ca="1">IF(AND($B390=0,AA$2&gt;1),Z389,AA386*$B390/Параметры!AA$30)</f>
        <v>0</v>
      </c>
      <c r="AB389" s="287">
        <f ca="1">IF(AND($B390=0,AB$2&gt;1),AA389,AB386*$B390/Параметры!AB$30)</f>
        <v>0</v>
      </c>
      <c r="AC389" s="287">
        <f ca="1">IF(AND($B390=0,AC$2&gt;1),AB389,AC386*$B390/Параметры!AC$30)</f>
        <v>0</v>
      </c>
      <c r="AD389" s="287">
        <f ca="1">IF(AND($B390=0,AD$2&gt;1),AC389,AD386*$B390/Параметры!AD$30)</f>
        <v>0</v>
      </c>
      <c r="AE389" s="287">
        <f ca="1">IF(AND($B390=0,AE$2&gt;1),AD389,AE386*$B390/Параметры!AE$30)</f>
        <v>0</v>
      </c>
      <c r="AF389" s="287">
        <f ca="1">IF(AND($B390=0,AF$2&gt;1),AE389,AF386*$B390/Параметры!AF$30)</f>
        <v>0</v>
      </c>
      <c r="AG389" s="287">
        <f ca="1">IF(AND($B390=0,AG$2&gt;1),AF389,AG386*$B390/Параметры!AG$30)</f>
        <v>0</v>
      </c>
      <c r="AH389" s="287">
        <f ca="1">IF(AND($B390=0,AH$2&gt;1),AG389,AH386*$B390/Параметры!AH$30)</f>
        <v>0</v>
      </c>
      <c r="AI389" s="287">
        <f ca="1">IF(AND($B390=0,AI$2&gt;1),AH389,AI386*$B390/Параметры!AI$30)</f>
        <v>0</v>
      </c>
      <c r="AJ389" s="287">
        <f ca="1">IF(AND($B390=0,AJ$2&gt;1),AI389,AJ386*$B390/Параметры!AJ$30)</f>
        <v>0</v>
      </c>
      <c r="AK389" s="287">
        <f ca="1">IF(AND($B390=0,AK$2&gt;1),AJ389,AK386*$B390/Параметры!AK$30)</f>
        <v>0</v>
      </c>
      <c r="AL389" s="287">
        <f ca="1">IF(AND($B390=0,AL$2&gt;1),AK389,AL386*$B390/Параметры!AL$30)</f>
        <v>0</v>
      </c>
      <c r="AM389" s="287">
        <f ca="1">IF(AND($B390=0,AM$2&gt;1),AL389,AM386*$B390/Параметры!AM$30)</f>
        <v>0</v>
      </c>
      <c r="AN389" s="287">
        <f ca="1">IF(AND($B390=0,AN$2&gt;1),AM389,AN386*$B390/Параметры!AN$30)</f>
        <v>0</v>
      </c>
      <c r="AO389" s="287">
        <f ca="1">IF(AND($B390=0,AO$2&gt;1),AN389,AO386*$B390/Параметры!AO$30)</f>
        <v>0</v>
      </c>
      <c r="AP389" s="287">
        <f ca="1">IF(AND($B390=0,AP$2&gt;1),AO389,AP386*$B390/Параметры!AP$30)</f>
        <v>0</v>
      </c>
      <c r="AQ389" s="287">
        <f ca="1">IF(AND($B390=0,AQ$2&gt;1),AP389,AQ386*$B390/Параметры!AQ$30)</f>
        <v>0</v>
      </c>
      <c r="AR389" s="287">
        <f ca="1">IF(AND($B390=0,AR$2&gt;1),AQ389,AR386*$B390/Параметры!AR$30)</f>
        <v>0</v>
      </c>
      <c r="AS389" s="287">
        <f ca="1">IF(AND($B390=0,AS$2&gt;1),AR389,AS386*$B390/Параметры!AS$30)</f>
        <v>0</v>
      </c>
      <c r="AT389" s="287">
        <f ca="1">IF(AND($B390=0,AT$2&gt;1),AS389,AT386*$B390/Параметры!AT$30)</f>
        <v>0</v>
      </c>
      <c r="AU389" s="287">
        <f ca="1">IF(AND($B390=0,AU$2&gt;1),AT389,AU386*$B390/Параметры!AU$30)</f>
        <v>0</v>
      </c>
      <c r="AV389" s="287">
        <f ca="1">IF(AND($B390=0,AV$2&gt;1),AU389,AV386*$B390/Параметры!AV$30)</f>
        <v>0</v>
      </c>
      <c r="AW389" s="287">
        <f ca="1">IF(AND($B390=0,AW$2&gt;1),AV389,AW386*$B390/Параметры!AW$30)</f>
        <v>0</v>
      </c>
      <c r="AX389" s="287">
        <f ca="1">IF(AND($B390=0,AX$2&gt;1),AW389,AX386*$B390/Параметры!AX$30)</f>
        <v>0</v>
      </c>
      <c r="AY389" s="287">
        <f ca="1">IF(AND($B390=0,AY$2&gt;1),AX389,AY386*$B390/Параметры!AY$30)</f>
        <v>0</v>
      </c>
      <c r="AZ389" s="287">
        <f ca="1">IF(AND($B390=0,AZ$2&gt;1),AY389,AZ386*$B390/Параметры!AZ$30)</f>
        <v>0</v>
      </c>
      <c r="BA389" s="287">
        <f ca="1">IF(AND($B390=0,BA$2&gt;1),AZ389,BA386*$B390/Параметры!BA$30)</f>
        <v>0</v>
      </c>
      <c r="BB389" s="287">
        <f ca="1">IF(AND($B390=0,BB$2&gt;1),BA389,BB386*$B390/Параметры!BB$30)</f>
        <v>0</v>
      </c>
      <c r="BC389" s="185"/>
      <c r="BD389" s="193"/>
    </row>
    <row r="390" spans="1:56" s="170" customFormat="1" hidden="1" outlineLevel="1" x14ac:dyDescent="0.3">
      <c r="A390" s="187" t="str">
        <f ca="1">Language!A$713</f>
        <v>периодичность отгрузки</v>
      </c>
      <c r="B390" s="288">
        <v>0</v>
      </c>
      <c r="C390" s="163" t="str">
        <f ca="1">Language!$A$1474</f>
        <v>дней</v>
      </c>
      <c r="D390" s="174"/>
      <c r="F390" s="170" t="s">
        <v>2347</v>
      </c>
      <c r="G390" s="185"/>
      <c r="H390" s="185"/>
      <c r="I390" s="185"/>
      <c r="J390" s="185"/>
      <c r="K390" s="185"/>
      <c r="L390" s="185"/>
      <c r="M390" s="185"/>
      <c r="N390" s="185"/>
      <c r="O390" s="185"/>
      <c r="P390" s="185"/>
      <c r="Q390" s="185"/>
      <c r="R390" s="185"/>
      <c r="S390" s="185"/>
      <c r="T390" s="185"/>
      <c r="U390" s="185"/>
      <c r="V390" s="185"/>
      <c r="W390" s="185"/>
      <c r="X390" s="185"/>
      <c r="Y390" s="185"/>
      <c r="Z390" s="185"/>
      <c r="AA390" s="185"/>
      <c r="AB390" s="185"/>
      <c r="AC390" s="185"/>
      <c r="AD390" s="185"/>
      <c r="AE390" s="185"/>
      <c r="AF390" s="185"/>
      <c r="AG390" s="185"/>
      <c r="AH390" s="185"/>
      <c r="AI390" s="185"/>
      <c r="AJ390" s="185"/>
      <c r="AK390" s="185"/>
      <c r="AL390" s="185"/>
      <c r="AM390" s="185"/>
      <c r="AN390" s="185"/>
      <c r="AO390" s="185"/>
      <c r="AP390" s="185"/>
      <c r="AQ390" s="185"/>
      <c r="AR390" s="185"/>
      <c r="AS390" s="185"/>
      <c r="AT390" s="185"/>
      <c r="AU390" s="185"/>
      <c r="AV390" s="185"/>
      <c r="AW390" s="185"/>
      <c r="AX390" s="185"/>
      <c r="AY390" s="185"/>
      <c r="AZ390" s="185"/>
      <c r="BA390" s="185"/>
      <c r="BB390" s="185"/>
      <c r="BC390" s="185"/>
      <c r="BD390" s="193"/>
    </row>
    <row r="391" spans="1:56" s="170" customFormat="1" hidden="1" outlineLevel="1" x14ac:dyDescent="0.3">
      <c r="A391" s="184" t="str">
        <f ca="1">Language!A$716</f>
        <v>затраты в незавершенном производстве</v>
      </c>
      <c r="B391" s="163"/>
      <c r="C391" s="163" t="str">
        <f t="shared" ca="1" si="1849"/>
        <v>руб.</v>
      </c>
      <c r="D391" s="174"/>
      <c r="F391" s="170" t="s">
        <v>2350</v>
      </c>
      <c r="G391" s="287">
        <f ca="1">IF(AND($B392=0,G$2&gt;1),F391,G386*$B392/Параметры!G$30)</f>
        <v>0</v>
      </c>
      <c r="H391" s="287">
        <f ca="1">IF(AND($B392=0,H$2&gt;1),G391,H386*$B392/Параметры!H$30)</f>
        <v>0</v>
      </c>
      <c r="I391" s="287">
        <f ca="1">IF(AND($B392=0,I$2&gt;1),H391,I386*$B392/Параметры!I$30)</f>
        <v>0</v>
      </c>
      <c r="J391" s="287">
        <f ca="1">IF(AND($B392=0,J$2&gt;1),I391,J386*$B392/Параметры!J$30)</f>
        <v>0</v>
      </c>
      <c r="K391" s="287">
        <f ca="1">IF(AND($B392=0,K$2&gt;1),J391,K386*$B392/Параметры!K$30)</f>
        <v>0</v>
      </c>
      <c r="L391" s="287">
        <f ca="1">IF(AND($B392=0,L$2&gt;1),K391,L386*$B392/Параметры!L$30)</f>
        <v>0</v>
      </c>
      <c r="M391" s="287">
        <f ca="1">IF(AND($B392=0,M$2&gt;1),L391,M386*$B392/Параметры!M$30)</f>
        <v>0</v>
      </c>
      <c r="N391" s="287">
        <f ca="1">IF(AND($B392=0,N$2&gt;1),M391,N386*$B392/Параметры!N$30)</f>
        <v>0</v>
      </c>
      <c r="O391" s="287">
        <f ca="1">IF(AND($B392=0,O$2&gt;1),N391,O386*$B392/Параметры!O$30)</f>
        <v>0</v>
      </c>
      <c r="P391" s="287">
        <f ca="1">IF(AND($B392=0,P$2&gt;1),O391,P386*$B392/Параметры!P$30)</f>
        <v>0</v>
      </c>
      <c r="Q391" s="287">
        <f ca="1">IF(AND($B392=0,Q$2&gt;1),P391,Q386*$B392/Параметры!Q$30)</f>
        <v>0</v>
      </c>
      <c r="R391" s="287">
        <f ca="1">IF(AND($B392=0,R$2&gt;1),Q391,R386*$B392/Параметры!R$30)</f>
        <v>0</v>
      </c>
      <c r="S391" s="287">
        <f ca="1">IF(AND($B392=0,S$2&gt;1),R391,S386*$B392/Параметры!S$30)</f>
        <v>0</v>
      </c>
      <c r="T391" s="287">
        <f ca="1">IF(AND($B392=0,T$2&gt;1),S391,T386*$B392/Параметры!T$30)</f>
        <v>0</v>
      </c>
      <c r="U391" s="287">
        <f ca="1">IF(AND($B392=0,U$2&gt;1),T391,U386*$B392/Параметры!U$30)</f>
        <v>0</v>
      </c>
      <c r="V391" s="287">
        <f ca="1">IF(AND($B392=0,V$2&gt;1),U391,V386*$B392/Параметры!V$30)</f>
        <v>0</v>
      </c>
      <c r="W391" s="287">
        <f ca="1">IF(AND($B392=0,W$2&gt;1),V391,W386*$B392/Параметры!W$30)</f>
        <v>0</v>
      </c>
      <c r="X391" s="287">
        <f ca="1">IF(AND($B392=0,X$2&gt;1),W391,X386*$B392/Параметры!X$30)</f>
        <v>0</v>
      </c>
      <c r="Y391" s="287">
        <f ca="1">IF(AND($B392=0,Y$2&gt;1),X391,Y386*$B392/Параметры!Y$30)</f>
        <v>0</v>
      </c>
      <c r="Z391" s="287">
        <f ca="1">IF(AND($B392=0,Z$2&gt;1),Y391,Z386*$B392/Параметры!Z$30)</f>
        <v>0</v>
      </c>
      <c r="AA391" s="287">
        <f ca="1">IF(AND($B392=0,AA$2&gt;1),Z391,AA386*$B392/Параметры!AA$30)</f>
        <v>0</v>
      </c>
      <c r="AB391" s="287">
        <f ca="1">IF(AND($B392=0,AB$2&gt;1),AA391,AB386*$B392/Параметры!AB$30)</f>
        <v>0</v>
      </c>
      <c r="AC391" s="287">
        <f ca="1">IF(AND($B392=0,AC$2&gt;1),AB391,AC386*$B392/Параметры!AC$30)</f>
        <v>0</v>
      </c>
      <c r="AD391" s="287">
        <f ca="1">IF(AND($B392=0,AD$2&gt;1),AC391,AD386*$B392/Параметры!AD$30)</f>
        <v>0</v>
      </c>
      <c r="AE391" s="287">
        <f ca="1">IF(AND($B392=0,AE$2&gt;1),AD391,AE386*$B392/Параметры!AE$30)</f>
        <v>0</v>
      </c>
      <c r="AF391" s="287">
        <f ca="1">IF(AND($B392=0,AF$2&gt;1),AE391,AF386*$B392/Параметры!AF$30)</f>
        <v>0</v>
      </c>
      <c r="AG391" s="287">
        <f ca="1">IF(AND($B392=0,AG$2&gt;1),AF391,AG386*$B392/Параметры!AG$30)</f>
        <v>0</v>
      </c>
      <c r="AH391" s="287">
        <f ca="1">IF(AND($B392=0,AH$2&gt;1),AG391,AH386*$B392/Параметры!AH$30)</f>
        <v>0</v>
      </c>
      <c r="AI391" s="287">
        <f ca="1">IF(AND($B392=0,AI$2&gt;1),AH391,AI386*$B392/Параметры!AI$30)</f>
        <v>0</v>
      </c>
      <c r="AJ391" s="287">
        <f ca="1">IF(AND($B392=0,AJ$2&gt;1),AI391,AJ386*$B392/Параметры!AJ$30)</f>
        <v>0</v>
      </c>
      <c r="AK391" s="287">
        <f ca="1">IF(AND($B392=0,AK$2&gt;1),AJ391,AK386*$B392/Параметры!AK$30)</f>
        <v>0</v>
      </c>
      <c r="AL391" s="287">
        <f ca="1">IF(AND($B392=0,AL$2&gt;1),AK391,AL386*$B392/Параметры!AL$30)</f>
        <v>0</v>
      </c>
      <c r="AM391" s="287">
        <f ca="1">IF(AND($B392=0,AM$2&gt;1),AL391,AM386*$B392/Параметры!AM$30)</f>
        <v>0</v>
      </c>
      <c r="AN391" s="287">
        <f ca="1">IF(AND($B392=0,AN$2&gt;1),AM391,AN386*$B392/Параметры!AN$30)</f>
        <v>0</v>
      </c>
      <c r="AO391" s="287">
        <f ca="1">IF(AND($B392=0,AO$2&gt;1),AN391,AO386*$B392/Параметры!AO$30)</f>
        <v>0</v>
      </c>
      <c r="AP391" s="287">
        <f ca="1">IF(AND($B392=0,AP$2&gt;1),AO391,AP386*$B392/Параметры!AP$30)</f>
        <v>0</v>
      </c>
      <c r="AQ391" s="287">
        <f ca="1">IF(AND($B392=0,AQ$2&gt;1),AP391,AQ386*$B392/Параметры!AQ$30)</f>
        <v>0</v>
      </c>
      <c r="AR391" s="287">
        <f ca="1">IF(AND($B392=0,AR$2&gt;1),AQ391,AR386*$B392/Параметры!AR$30)</f>
        <v>0</v>
      </c>
      <c r="AS391" s="287">
        <f ca="1">IF(AND($B392=0,AS$2&gt;1),AR391,AS386*$B392/Параметры!AS$30)</f>
        <v>0</v>
      </c>
      <c r="AT391" s="287">
        <f ca="1">IF(AND($B392=0,AT$2&gt;1),AS391,AT386*$B392/Параметры!AT$30)</f>
        <v>0</v>
      </c>
      <c r="AU391" s="287">
        <f ca="1">IF(AND($B392=0,AU$2&gt;1),AT391,AU386*$B392/Параметры!AU$30)</f>
        <v>0</v>
      </c>
      <c r="AV391" s="287">
        <f ca="1">IF(AND($B392=0,AV$2&gt;1),AU391,AV386*$B392/Параметры!AV$30)</f>
        <v>0</v>
      </c>
      <c r="AW391" s="287">
        <f ca="1">IF(AND($B392=0,AW$2&gt;1),AV391,AW386*$B392/Параметры!AW$30)</f>
        <v>0</v>
      </c>
      <c r="AX391" s="287">
        <f ca="1">IF(AND($B392=0,AX$2&gt;1),AW391,AX386*$B392/Параметры!AX$30)</f>
        <v>0</v>
      </c>
      <c r="AY391" s="287">
        <f ca="1">IF(AND($B392=0,AY$2&gt;1),AX391,AY386*$B392/Параметры!AY$30)</f>
        <v>0</v>
      </c>
      <c r="AZ391" s="287">
        <f ca="1">IF(AND($B392=0,AZ$2&gt;1),AY391,AZ386*$B392/Параметры!AZ$30)</f>
        <v>0</v>
      </c>
      <c r="BA391" s="287">
        <f ca="1">IF(AND($B392=0,BA$2&gt;1),AZ391,BA386*$B392/Параметры!BA$30)</f>
        <v>0</v>
      </c>
      <c r="BB391" s="287">
        <f ca="1">IF(AND($B392=0,BB$2&gt;1),BA391,BB386*$B392/Параметры!BB$30)</f>
        <v>0</v>
      </c>
      <c r="BC391" s="185"/>
      <c r="BD391" s="193"/>
    </row>
    <row r="392" spans="1:56" s="170" customFormat="1" hidden="1" outlineLevel="1" x14ac:dyDescent="0.3">
      <c r="A392" s="187" t="str">
        <f ca="1">Language!A$715</f>
        <v>длительность производственного цикла</v>
      </c>
      <c r="B392" s="288">
        <v>0</v>
      </c>
      <c r="C392" s="163" t="str">
        <f ca="1">Language!$A$1474</f>
        <v>дней</v>
      </c>
      <c r="D392" s="174"/>
      <c r="F392" s="170" t="s">
        <v>2347</v>
      </c>
      <c r="G392" s="185"/>
      <c r="H392" s="185"/>
      <c r="I392" s="185"/>
      <c r="J392" s="185"/>
      <c r="K392" s="185"/>
      <c r="L392" s="185"/>
      <c r="M392" s="185"/>
      <c r="N392" s="185"/>
      <c r="O392" s="185"/>
      <c r="P392" s="185"/>
      <c r="Q392" s="185"/>
      <c r="R392" s="185"/>
      <c r="S392" s="185"/>
      <c r="T392" s="185"/>
      <c r="U392" s="185"/>
      <c r="V392" s="185"/>
      <c r="W392" s="185"/>
      <c r="X392" s="185"/>
      <c r="Y392" s="185"/>
      <c r="Z392" s="185"/>
      <c r="AA392" s="185"/>
      <c r="AB392" s="185"/>
      <c r="AC392" s="185"/>
      <c r="AD392" s="185"/>
      <c r="AE392" s="185"/>
      <c r="AF392" s="185"/>
      <c r="AG392" s="185"/>
      <c r="AH392" s="185"/>
      <c r="AI392" s="185"/>
      <c r="AJ392" s="185"/>
      <c r="AK392" s="185"/>
      <c r="AL392" s="185"/>
      <c r="AM392" s="185"/>
      <c r="AN392" s="185"/>
      <c r="AO392" s="185"/>
      <c r="AP392" s="185"/>
      <c r="AQ392" s="185"/>
      <c r="AR392" s="185"/>
      <c r="AS392" s="185"/>
      <c r="AT392" s="185"/>
      <c r="AU392" s="185"/>
      <c r="AV392" s="185"/>
      <c r="AW392" s="185"/>
      <c r="AX392" s="185"/>
      <c r="AY392" s="185"/>
      <c r="AZ392" s="185"/>
      <c r="BA392" s="185"/>
      <c r="BB392" s="185"/>
      <c r="BC392" s="185"/>
      <c r="BD392" s="193"/>
    </row>
    <row r="393" spans="1:56" hidden="1" outlineLevel="1" x14ac:dyDescent="0.3">
      <c r="A393" s="175" t="str">
        <f ca="1">Language!A$717</f>
        <v>списано на продажи в отчете о прибылях и убытках</v>
      </c>
      <c r="B393" s="163"/>
      <c r="C393" s="194" t="str">
        <f t="shared" ca="1" si="1849"/>
        <v>руб.</v>
      </c>
      <c r="D393" s="174"/>
      <c r="F393" s="170" t="s">
        <v>740</v>
      </c>
      <c r="G393" s="201">
        <f t="shared" ref="G393:BB393" ca="1" si="1875">G386-IF(G$2=1, G389+G391, G389+G391-F389-F391)</f>
        <v>0</v>
      </c>
      <c r="H393" s="201">
        <f t="shared" ca="1" si="1875"/>
        <v>0</v>
      </c>
      <c r="I393" s="201">
        <f t="shared" ca="1" si="1875"/>
        <v>0</v>
      </c>
      <c r="J393" s="201">
        <f t="shared" ca="1" si="1875"/>
        <v>0</v>
      </c>
      <c r="K393" s="201">
        <f t="shared" ca="1" si="1875"/>
        <v>0</v>
      </c>
      <c r="L393" s="201">
        <f t="shared" ca="1" si="1875"/>
        <v>0</v>
      </c>
      <c r="M393" s="201">
        <f t="shared" ca="1" si="1875"/>
        <v>1004802.0236096263</v>
      </c>
      <c r="N393" s="201">
        <f t="shared" ca="1" si="1875"/>
        <v>1009692.9482677053</v>
      </c>
      <c r="O393" s="201">
        <f t="shared" ca="1" si="1875"/>
        <v>1014607.6797488687</v>
      </c>
      <c r="P393" s="201">
        <f t="shared" ca="1" si="1875"/>
        <v>1019546.3339340317</v>
      </c>
      <c r="Q393" s="201">
        <f t="shared" ca="1" si="1875"/>
        <v>1024509.0272681657</v>
      </c>
      <c r="R393" s="201">
        <f t="shared" ca="1" si="1875"/>
        <v>1029495.8767630439</v>
      </c>
      <c r="S393" s="201">
        <f t="shared" ca="1" si="1875"/>
        <v>1034507.0000000003</v>
      </c>
      <c r="T393" s="201">
        <f t="shared" ca="1" si="1875"/>
        <v>1039542.5151327017</v>
      </c>
      <c r="U393" s="201">
        <f t="shared" ca="1" si="1875"/>
        <v>1044602.5408899339</v>
      </c>
      <c r="V393" s="201">
        <f t="shared" ca="1" si="1875"/>
        <v>1049687.1965784016</v>
      </c>
      <c r="W393" s="201">
        <f t="shared" ca="1" si="1875"/>
        <v>1054796.6020855401</v>
      </c>
      <c r="X393" s="201">
        <f t="shared" ca="1" si="1875"/>
        <v>1059930.8778823437</v>
      </c>
      <c r="Y393" s="201">
        <f t="shared" ca="1" si="1875"/>
        <v>1065090.1450262042</v>
      </c>
      <c r="Z393" s="201">
        <f t="shared" ca="1" si="1875"/>
        <v>1070274.5251637679</v>
      </c>
      <c r="AA393" s="201">
        <f t="shared" ca="1" si="1875"/>
        <v>1075484.1405338012</v>
      </c>
      <c r="AB393" s="201">
        <f t="shared" ca="1" si="1875"/>
        <v>1080719.1139700739</v>
      </c>
      <c r="AC393" s="201">
        <f t="shared" ca="1" si="1875"/>
        <v>1085979.568904256</v>
      </c>
      <c r="AD393" s="201">
        <f t="shared" ca="1" si="1875"/>
        <v>1091265.6293688267</v>
      </c>
      <c r="AE393" s="201">
        <f t="shared" ca="1" si="1875"/>
        <v>1096577.4200000004</v>
      </c>
      <c r="AF393" s="201">
        <f t="shared" ca="1" si="1875"/>
        <v>1101915.066040664</v>
      </c>
      <c r="AG393" s="201">
        <f t="shared" ca="1" si="1875"/>
        <v>1107278.6933433302</v>
      </c>
      <c r="AH393" s="201">
        <f t="shared" ca="1" si="1875"/>
        <v>1112668.4283731061</v>
      </c>
      <c r="AI393" s="201">
        <f t="shared" ca="1" si="1875"/>
        <v>1118084.3982106727</v>
      </c>
      <c r="AJ393" s="201">
        <f t="shared" ca="1" si="1875"/>
        <v>1123526.7305552843</v>
      </c>
      <c r="AK393" s="201">
        <f t="shared" ca="1" si="1875"/>
        <v>1128995.5537277767</v>
      </c>
      <c r="AL393" s="201">
        <f t="shared" ca="1" si="1875"/>
        <v>1134490.9966735942</v>
      </c>
      <c r="AM393" s="201">
        <f t="shared" ca="1" si="1875"/>
        <v>1140013.1889658293</v>
      </c>
      <c r="AN393" s="201">
        <f t="shared" ca="1" si="1875"/>
        <v>1145562.2608082783</v>
      </c>
      <c r="AO393" s="201">
        <f t="shared" ca="1" si="1875"/>
        <v>1151138.3430385115</v>
      </c>
      <c r="AP393" s="201">
        <f t="shared" ca="1" si="1875"/>
        <v>1156741.5671309568</v>
      </c>
      <c r="AQ393" s="201">
        <f t="shared" ca="1" si="1875"/>
        <v>1162372.0652000005</v>
      </c>
      <c r="AR393" s="201">
        <f t="shared" ca="1" si="1875"/>
        <v>1168029.9700031038</v>
      </c>
      <c r="AS393" s="201">
        <f t="shared" ca="1" si="1875"/>
        <v>1173715.41494393</v>
      </c>
      <c r="AT393" s="201">
        <f t="shared" ca="1" si="1875"/>
        <v>1179428.5340754921</v>
      </c>
      <c r="AU393" s="201">
        <f t="shared" ca="1" si="1875"/>
        <v>1185169.4621033131</v>
      </c>
      <c r="AV393" s="201">
        <f t="shared" ca="1" si="1875"/>
        <v>1190938.3343886016</v>
      </c>
      <c r="AW393" s="201">
        <f t="shared" ca="1" si="1875"/>
        <v>1196735.2869514434</v>
      </c>
      <c r="AX393" s="201">
        <f t="shared" ca="1" si="1875"/>
        <v>1202560.4564740099</v>
      </c>
      <c r="AY393" s="201">
        <f t="shared" ca="1" si="1875"/>
        <v>1208413.9803037792</v>
      </c>
      <c r="AZ393" s="201">
        <f t="shared" ca="1" si="1875"/>
        <v>1214295.9964567753</v>
      </c>
      <c r="BA393" s="201">
        <f t="shared" ca="1" si="1875"/>
        <v>1220206.6436208223</v>
      </c>
      <c r="BB393" s="201">
        <f t="shared" ca="1" si="1875"/>
        <v>1226146.061158814</v>
      </c>
      <c r="BC393" s="201"/>
      <c r="BD393" s="178">
        <f ca="1">SUM(G393:BC393)</f>
        <v>46699538.597675376</v>
      </c>
    </row>
    <row r="394" spans="1:56" collapsed="1" x14ac:dyDescent="0.3">
      <c r="A394" s="169" t="str">
        <f ca="1">Language!A$718</f>
        <v>Затраты на административный персонал, с соц. взносами</v>
      </c>
      <c r="B394" s="189"/>
      <c r="C394" s="194" t="str">
        <f t="shared" ca="1" si="1849"/>
        <v>руб.</v>
      </c>
      <c r="D394" s="174">
        <v>1</v>
      </c>
      <c r="F394" s="170" t="s">
        <v>740</v>
      </c>
      <c r="G394" s="177">
        <f ca="1">G395+G396</f>
        <v>0</v>
      </c>
      <c r="H394" s="177">
        <f t="shared" ref="H394:K394" ca="1" si="1876">H395+H396</f>
        <v>0</v>
      </c>
      <c r="I394" s="177">
        <f t="shared" ca="1" si="1876"/>
        <v>0</v>
      </c>
      <c r="J394" s="177">
        <f t="shared" ca="1" si="1876"/>
        <v>0</v>
      </c>
      <c r="K394" s="177">
        <f t="shared" ca="1" si="1876"/>
        <v>0</v>
      </c>
      <c r="L394" s="177">
        <f t="shared" ref="L394:M394" ca="1" si="1877">L395+L396</f>
        <v>0</v>
      </c>
      <c r="M394" s="177">
        <f t="shared" ca="1" si="1877"/>
        <v>263001.87195151293</v>
      </c>
      <c r="N394" s="177">
        <f t="shared" ref="N394:O394" ca="1" si="1878">N395+N396</f>
        <v>264282.04686201684</v>
      </c>
      <c r="O394" s="177">
        <f t="shared" ca="1" si="1878"/>
        <v>265568.45308863011</v>
      </c>
      <c r="P394" s="177">
        <f t="shared" ref="P394:Q394" ca="1" si="1879">P395+P396</f>
        <v>266861.12096259888</v>
      </c>
      <c r="Q394" s="177">
        <f t="shared" ca="1" si="1879"/>
        <v>268160.08096280851</v>
      </c>
      <c r="R394" s="177">
        <f t="shared" ref="R394:S394" ca="1" si="1880">R395+R396</f>
        <v>269465.36371650151</v>
      </c>
      <c r="S394" s="177">
        <f t="shared" ca="1" si="1880"/>
        <v>270777.00000000012</v>
      </c>
      <c r="T394" s="177">
        <f t="shared" ref="T394:U394" ca="1" si="1881">T395+T396</f>
        <v>272095.02073943202</v>
      </c>
      <c r="U394" s="177">
        <f t="shared" ca="1" si="1881"/>
        <v>273419.45701145922</v>
      </c>
      <c r="V394" s="177">
        <f t="shared" ref="V394:W394" ca="1" si="1882">V395+V396</f>
        <v>274750.34004401119</v>
      </c>
      <c r="W394" s="177">
        <f t="shared" ca="1" si="1882"/>
        <v>276087.70121702063</v>
      </c>
      <c r="X394" s="177">
        <f t="shared" ref="X394:Y394" ca="1" si="1883">X395+X396</f>
        <v>277431.5720631638</v>
      </c>
      <c r="Y394" s="177">
        <f t="shared" ca="1" si="1883"/>
        <v>278781.98426860385</v>
      </c>
      <c r="Z394" s="177">
        <f t="shared" ref="Z394:AA394" ca="1" si="1884">Z395+Z396</f>
        <v>280138.96967373794</v>
      </c>
      <c r="AA394" s="177">
        <f t="shared" ca="1" si="1884"/>
        <v>281502.56027394795</v>
      </c>
      <c r="AB394" s="177">
        <f t="shared" ref="AB394:AC394" ca="1" si="1885">AB395+AB396</f>
        <v>282872.78822035488</v>
      </c>
      <c r="AC394" s="177">
        <f t="shared" ca="1" si="1885"/>
        <v>284249.68582057708</v>
      </c>
      <c r="AD394" s="177">
        <f t="shared" ref="AD394:AE394" ca="1" si="1886">AD395+AD396</f>
        <v>285633.28553949163</v>
      </c>
      <c r="AE394" s="177">
        <f t="shared" ca="1" si="1886"/>
        <v>287023.62000000017</v>
      </c>
      <c r="AF394" s="177">
        <f t="shared" ref="AF394:AG394" ca="1" si="1887">AF395+AF396</f>
        <v>288420.72198379796</v>
      </c>
      <c r="AG394" s="177">
        <f t="shared" ca="1" si="1887"/>
        <v>289824.6244321469</v>
      </c>
      <c r="AH394" s="177">
        <f t="shared" ref="AH394:AI394" ca="1" si="1888">AH395+AH396</f>
        <v>291235.36044665187</v>
      </c>
      <c r="AI394" s="177">
        <f t="shared" ca="1" si="1888"/>
        <v>292652.96329004189</v>
      </c>
      <c r="AJ394" s="177">
        <f t="shared" ref="AJ394:AK394" ca="1" si="1889">AJ395+AJ396</f>
        <v>294077.4663869536</v>
      </c>
      <c r="AK394" s="177">
        <f t="shared" ca="1" si="1889"/>
        <v>295508.9033247201</v>
      </c>
      <c r="AL394" s="177">
        <f t="shared" ref="AL394:AM394" ca="1" si="1890">AL395+AL396</f>
        <v>296947.30785416224</v>
      </c>
      <c r="AM394" s="177">
        <f t="shared" ca="1" si="1890"/>
        <v>298392.71389038488</v>
      </c>
      <c r="AN394" s="177">
        <f t="shared" ref="AN394:AO394" ca="1" si="1891">AN395+AN396</f>
        <v>299845.15551357623</v>
      </c>
      <c r="AO394" s="177">
        <f t="shared" ca="1" si="1891"/>
        <v>301304.66696981172</v>
      </c>
      <c r="AP394" s="177">
        <f t="shared" ref="AP394:AQ394" ca="1" si="1892">AP395+AP396</f>
        <v>302771.28267186112</v>
      </c>
      <c r="AQ394" s="177">
        <f t="shared" ca="1" si="1892"/>
        <v>304245.03720000025</v>
      </c>
      <c r="AR394" s="177">
        <f t="shared" ref="AR394:AS394" ca="1" si="1893">AR395+AR396</f>
        <v>305725.96530282591</v>
      </c>
      <c r="AS394" s="177">
        <f t="shared" ca="1" si="1893"/>
        <v>307214.10189807572</v>
      </c>
      <c r="AT394" s="177">
        <f t="shared" ref="AT394:AU394" ca="1" si="1894">AT395+AT396</f>
        <v>308709.48207345104</v>
      </c>
      <c r="AU394" s="177">
        <f t="shared" ca="1" si="1894"/>
        <v>310212.14108744438</v>
      </c>
      <c r="AV394" s="177">
        <f t="shared" ref="AV394:AW394" ca="1" si="1895">AV395+AV396</f>
        <v>311722.11437017086</v>
      </c>
      <c r="AW394" s="177">
        <f t="shared" ca="1" si="1895"/>
        <v>313239.43752420339</v>
      </c>
      <c r="AX394" s="177">
        <f t="shared" ref="AX394:AY394" ca="1" si="1896">AX395+AX396</f>
        <v>314764.14632541203</v>
      </c>
      <c r="AY394" s="177">
        <f t="shared" ca="1" si="1896"/>
        <v>316296.27672380803</v>
      </c>
      <c r="AZ394" s="177">
        <f t="shared" ref="AZ394:BA394" ca="1" si="1897">AZ395+AZ396</f>
        <v>317835.86484439089</v>
      </c>
      <c r="BA394" s="177">
        <f t="shared" ca="1" si="1897"/>
        <v>319382.94698800053</v>
      </c>
      <c r="BB394" s="177">
        <f t="shared" ref="BB394" ca="1" si="1898">BB395+BB396</f>
        <v>320937.55963217287</v>
      </c>
      <c r="BC394" s="177"/>
      <c r="BD394" s="178">
        <f ca="1">SUM(G394:BC394)</f>
        <v>12223369.163149932</v>
      </c>
    </row>
    <row r="395" spans="1:56" hidden="1" outlineLevel="1" x14ac:dyDescent="0.3">
      <c r="A395" s="175" t="str">
        <f ca="1">Language!A$719</f>
        <v>заработная плата</v>
      </c>
      <c r="B395" s="189"/>
      <c r="C395" s="194" t="str">
        <f t="shared" ca="1" si="1849"/>
        <v>руб.</v>
      </c>
      <c r="D395" s="174">
        <v>1</v>
      </c>
      <c r="F395" s="170" t="s">
        <v>1108</v>
      </c>
      <c r="G395" s="177">
        <f t="shared" ref="G395:BB395" ca="1" si="1899">SUM(G$358,G$367)</f>
        <v>0</v>
      </c>
      <c r="H395" s="177">
        <f t="shared" ca="1" si="1899"/>
        <v>0</v>
      </c>
      <c r="I395" s="177">
        <f t="shared" ca="1" si="1899"/>
        <v>0</v>
      </c>
      <c r="J395" s="177">
        <f t="shared" ca="1" si="1899"/>
        <v>0</v>
      </c>
      <c r="K395" s="177">
        <f t="shared" ca="1" si="1899"/>
        <v>0</v>
      </c>
      <c r="L395" s="177">
        <f t="shared" ca="1" si="1899"/>
        <v>0</v>
      </c>
      <c r="M395" s="177">
        <f t="shared" ca="1" si="1899"/>
        <v>200764.78774924652</v>
      </c>
      <c r="N395" s="177">
        <f t="shared" ca="1" si="1899"/>
        <v>201742.02050535634</v>
      </c>
      <c r="O395" s="177">
        <f t="shared" ca="1" si="1899"/>
        <v>202724.00999132066</v>
      </c>
      <c r="P395" s="177">
        <f t="shared" ca="1" si="1899"/>
        <v>203710.77936076251</v>
      </c>
      <c r="Q395" s="177">
        <f t="shared" ca="1" si="1899"/>
        <v>204702.35188000649</v>
      </c>
      <c r="R395" s="177">
        <f t="shared" ca="1" si="1899"/>
        <v>205698.75092862709</v>
      </c>
      <c r="S395" s="177">
        <f t="shared" ca="1" si="1899"/>
        <v>206700.00000000006</v>
      </c>
      <c r="T395" s="177">
        <f t="shared" ca="1" si="1899"/>
        <v>207706.12270185648</v>
      </c>
      <c r="U395" s="177">
        <f t="shared" ca="1" si="1899"/>
        <v>208717.14275683911</v>
      </c>
      <c r="V395" s="177">
        <f t="shared" ca="1" si="1899"/>
        <v>209733.08400306199</v>
      </c>
      <c r="W395" s="177">
        <f t="shared" ca="1" si="1899"/>
        <v>210753.97039467224</v>
      </c>
      <c r="X395" s="177">
        <f t="shared" ca="1" si="1899"/>
        <v>211779.82600241509</v>
      </c>
      <c r="Y395" s="177">
        <f t="shared" ca="1" si="1899"/>
        <v>212810.67501420141</v>
      </c>
      <c r="Z395" s="177">
        <f t="shared" ca="1" si="1899"/>
        <v>213846.54173567781</v>
      </c>
      <c r="AA395" s="177">
        <f t="shared" ca="1" si="1899"/>
        <v>214887.45059079997</v>
      </c>
      <c r="AB395" s="177">
        <f t="shared" ca="1" si="1899"/>
        <v>215933.4261224083</v>
      </c>
      <c r="AC395" s="177">
        <f t="shared" ca="1" si="1899"/>
        <v>216984.49299280695</v>
      </c>
      <c r="AD395" s="177">
        <f t="shared" ca="1" si="1899"/>
        <v>218040.67598434474</v>
      </c>
      <c r="AE395" s="177">
        <f t="shared" ca="1" si="1899"/>
        <v>219102.00000000012</v>
      </c>
      <c r="AF395" s="177">
        <f t="shared" ca="1" si="1899"/>
        <v>220168.49006396788</v>
      </c>
      <c r="AG395" s="177">
        <f t="shared" ca="1" si="1899"/>
        <v>221240.17132224952</v>
      </c>
      <c r="AH395" s="177">
        <f t="shared" ca="1" si="1899"/>
        <v>222317.06904324569</v>
      </c>
      <c r="AI395" s="177">
        <f t="shared" ca="1" si="1899"/>
        <v>223399.20861835257</v>
      </c>
      <c r="AJ395" s="177">
        <f t="shared" ca="1" si="1899"/>
        <v>224486.61556256001</v>
      </c>
      <c r="AK395" s="177">
        <f t="shared" ca="1" si="1899"/>
        <v>225579.31551505352</v>
      </c>
      <c r="AL395" s="177">
        <f t="shared" ca="1" si="1899"/>
        <v>226677.33423981851</v>
      </c>
      <c r="AM395" s="177">
        <f t="shared" ca="1" si="1899"/>
        <v>227780.69762624797</v>
      </c>
      <c r="AN395" s="177">
        <f t="shared" ca="1" si="1899"/>
        <v>228889.43168975285</v>
      </c>
      <c r="AO395" s="177">
        <f t="shared" ca="1" si="1899"/>
        <v>230003.56257237535</v>
      </c>
      <c r="AP395" s="177">
        <f t="shared" ca="1" si="1899"/>
        <v>231123.11654340543</v>
      </c>
      <c r="AQ395" s="177">
        <f t="shared" ca="1" si="1899"/>
        <v>232248.12000000017</v>
      </c>
      <c r="AR395" s="177">
        <f t="shared" ca="1" si="1899"/>
        <v>233378.59946780599</v>
      </c>
      <c r="AS395" s="177">
        <f t="shared" ca="1" si="1899"/>
        <v>234514.5816015845</v>
      </c>
      <c r="AT395" s="177">
        <f t="shared" ca="1" si="1899"/>
        <v>235656.09318584049</v>
      </c>
      <c r="AU395" s="177">
        <f t="shared" ca="1" si="1899"/>
        <v>236803.16113545373</v>
      </c>
      <c r="AV395" s="177">
        <f t="shared" ca="1" si="1899"/>
        <v>237955.81249631365</v>
      </c>
      <c r="AW395" s="177">
        <f t="shared" ca="1" si="1899"/>
        <v>239114.07444595676</v>
      </c>
      <c r="AX395" s="177">
        <f t="shared" ca="1" si="1899"/>
        <v>240277.97429420764</v>
      </c>
      <c r="AY395" s="177">
        <f t="shared" ca="1" si="1899"/>
        <v>241447.53948382291</v>
      </c>
      <c r="AZ395" s="177">
        <f t="shared" ca="1" si="1899"/>
        <v>242622.79759113808</v>
      </c>
      <c r="BA395" s="177">
        <f t="shared" ca="1" si="1899"/>
        <v>243803.77632671793</v>
      </c>
      <c r="BB395" s="177">
        <f t="shared" ca="1" si="1899"/>
        <v>244990.50353600981</v>
      </c>
      <c r="BC395" s="177"/>
      <c r="BD395" s="178">
        <f ca="1">SUM(G395:BC395)</f>
        <v>9330816.1550762858</v>
      </c>
    </row>
    <row r="396" spans="1:56" hidden="1" outlineLevel="1" x14ac:dyDescent="0.3">
      <c r="A396" s="175" t="str">
        <f ca="1">Language!A$720</f>
        <v>социальные взносы</v>
      </c>
      <c r="B396" s="189"/>
      <c r="C396" s="194" t="str">
        <f t="shared" ca="1" si="1849"/>
        <v>руб.</v>
      </c>
      <c r="D396" s="174">
        <v>1</v>
      </c>
      <c r="F396" s="170" t="s">
        <v>1461</v>
      </c>
      <c r="G396" s="177">
        <f t="shared" ref="G396:BB396" ca="1" si="1900">SUM(G$362,G$371)</f>
        <v>0</v>
      </c>
      <c r="H396" s="177">
        <f t="shared" ca="1" si="1900"/>
        <v>0</v>
      </c>
      <c r="I396" s="177">
        <f t="shared" ca="1" si="1900"/>
        <v>0</v>
      </c>
      <c r="J396" s="177">
        <f t="shared" ca="1" si="1900"/>
        <v>0</v>
      </c>
      <c r="K396" s="177">
        <f t="shared" ca="1" si="1900"/>
        <v>0</v>
      </c>
      <c r="L396" s="177">
        <f t="shared" ca="1" si="1900"/>
        <v>0</v>
      </c>
      <c r="M396" s="177">
        <f t="shared" ca="1" si="1900"/>
        <v>62237.084202266429</v>
      </c>
      <c r="N396" s="177">
        <f t="shared" ca="1" si="1900"/>
        <v>62540.026356660477</v>
      </c>
      <c r="O396" s="177">
        <f t="shared" ca="1" si="1900"/>
        <v>62844.44309730942</v>
      </c>
      <c r="P396" s="177">
        <f t="shared" ca="1" si="1900"/>
        <v>63150.341601836393</v>
      </c>
      <c r="Q396" s="177">
        <f t="shared" ca="1" si="1900"/>
        <v>63457.72908280202</v>
      </c>
      <c r="R396" s="177">
        <f t="shared" ca="1" si="1900"/>
        <v>63766.612787874401</v>
      </c>
      <c r="S396" s="177">
        <f t="shared" ca="1" si="1900"/>
        <v>64077.000000000036</v>
      </c>
      <c r="T396" s="177">
        <f t="shared" ca="1" si="1900"/>
        <v>64388.89803757552</v>
      </c>
      <c r="U396" s="177">
        <f t="shared" ca="1" si="1900"/>
        <v>64702.314254620127</v>
      </c>
      <c r="V396" s="177">
        <f t="shared" ca="1" si="1900"/>
        <v>65017.256040949222</v>
      </c>
      <c r="W396" s="177">
        <f t="shared" ca="1" si="1900"/>
        <v>65333.730822348407</v>
      </c>
      <c r="X396" s="177">
        <f t="shared" ca="1" si="1900"/>
        <v>65651.746060748686</v>
      </c>
      <c r="Y396" s="177">
        <f t="shared" ca="1" si="1900"/>
        <v>65971.309254402455</v>
      </c>
      <c r="Z396" s="177">
        <f t="shared" ca="1" si="1900"/>
        <v>66292.427938060122</v>
      </c>
      <c r="AA396" s="177">
        <f t="shared" ca="1" si="1900"/>
        <v>66615.109683147995</v>
      </c>
      <c r="AB396" s="177">
        <f t="shared" ca="1" si="1900"/>
        <v>66939.362097946592</v>
      </c>
      <c r="AC396" s="177">
        <f t="shared" ca="1" si="1900"/>
        <v>67265.192827770166</v>
      </c>
      <c r="AD396" s="177">
        <f t="shared" ca="1" si="1900"/>
        <v>67592.609555146875</v>
      </c>
      <c r="AE396" s="177">
        <f t="shared" ca="1" si="1900"/>
        <v>67921.620000000039</v>
      </c>
      <c r="AF396" s="177">
        <f t="shared" ca="1" si="1900"/>
        <v>68252.231919830054</v>
      </c>
      <c r="AG396" s="177">
        <f t="shared" ca="1" si="1900"/>
        <v>68584.453109897353</v>
      </c>
      <c r="AH396" s="177">
        <f t="shared" ca="1" si="1900"/>
        <v>68918.291403406183</v>
      </c>
      <c r="AI396" s="177">
        <f t="shared" ca="1" si="1900"/>
        <v>69253.754671689298</v>
      </c>
      <c r="AJ396" s="177">
        <f t="shared" ca="1" si="1900"/>
        <v>69590.850824393623</v>
      </c>
      <c r="AK396" s="177">
        <f t="shared" ca="1" si="1900"/>
        <v>69929.587809666598</v>
      </c>
      <c r="AL396" s="177">
        <f t="shared" ca="1" si="1900"/>
        <v>70269.973614343748</v>
      </c>
      <c r="AM396" s="177">
        <f t="shared" ca="1" si="1900"/>
        <v>70612.016264136881</v>
      </c>
      <c r="AN396" s="177">
        <f t="shared" ca="1" si="1900"/>
        <v>70955.723823823399</v>
      </c>
      <c r="AO396" s="177">
        <f t="shared" ca="1" si="1900"/>
        <v>71301.104397436371</v>
      </c>
      <c r="AP396" s="177">
        <f t="shared" ca="1" si="1900"/>
        <v>71648.16612845569</v>
      </c>
      <c r="AQ396" s="177">
        <f t="shared" ca="1" si="1900"/>
        <v>71996.917200000054</v>
      </c>
      <c r="AR396" s="177">
        <f t="shared" ca="1" si="1900"/>
        <v>72347.365835019882</v>
      </c>
      <c r="AS396" s="177">
        <f t="shared" ca="1" si="1900"/>
        <v>72699.520296491217</v>
      </c>
      <c r="AT396" s="177">
        <f t="shared" ca="1" si="1900"/>
        <v>73053.388887610563</v>
      </c>
      <c r="AU396" s="177">
        <f t="shared" ca="1" si="1900"/>
        <v>73408.979951990681</v>
      </c>
      <c r="AV396" s="177">
        <f t="shared" ca="1" si="1900"/>
        <v>73766.301873857243</v>
      </c>
      <c r="AW396" s="177">
        <f t="shared" ca="1" si="1900"/>
        <v>74125.363078246606</v>
      </c>
      <c r="AX396" s="177">
        <f t="shared" ca="1" si="1900"/>
        <v>74486.172031204376</v>
      </c>
      <c r="AY396" s="177">
        <f t="shared" ca="1" si="1900"/>
        <v>74848.737239985116</v>
      </c>
      <c r="AZ396" s="177">
        <f t="shared" ca="1" si="1900"/>
        <v>75213.067253252811</v>
      </c>
      <c r="BA396" s="177">
        <f t="shared" ca="1" si="1900"/>
        <v>75579.17066128258</v>
      </c>
      <c r="BB396" s="177">
        <f t="shared" ca="1" si="1900"/>
        <v>75947.056096163054</v>
      </c>
      <c r="BC396" s="177"/>
      <c r="BD396" s="178">
        <f ca="1">SUM(G396:BC396)</f>
        <v>2892553.0080736494</v>
      </c>
    </row>
    <row r="397" spans="1:56" s="170" customFormat="1" hidden="1" outlineLevel="1" x14ac:dyDescent="0.3">
      <c r="A397" s="184" t="str">
        <f ca="1">Language!A$722</f>
        <v>затраты в запасах готовой продукции</v>
      </c>
      <c r="B397" s="163"/>
      <c r="C397" s="163" t="str">
        <f t="shared" ca="1" si="1849"/>
        <v>руб.</v>
      </c>
      <c r="D397" s="174"/>
      <c r="F397" s="170" t="s">
        <v>2350</v>
      </c>
      <c r="G397" s="287">
        <f ca="1">IF(AND($B398=0,G$2&gt;1),F397,G394*$B398/Параметры!G$30)</f>
        <v>0</v>
      </c>
      <c r="H397" s="287">
        <f ca="1">IF(AND($B398=0,H$2&gt;1),G397,H394*$B398/Параметры!H$30)</f>
        <v>0</v>
      </c>
      <c r="I397" s="287">
        <f ca="1">IF(AND($B398=0,I$2&gt;1),H397,I394*$B398/Параметры!I$30)</f>
        <v>0</v>
      </c>
      <c r="J397" s="287">
        <f ca="1">IF(AND($B398=0,J$2&gt;1),I397,J394*$B398/Параметры!J$30)</f>
        <v>0</v>
      </c>
      <c r="K397" s="287">
        <f ca="1">IF(AND($B398=0,K$2&gt;1),J397,K394*$B398/Параметры!K$30)</f>
        <v>0</v>
      </c>
      <c r="L397" s="287">
        <f ca="1">IF(AND($B398=0,L$2&gt;1),K397,L394*$B398/Параметры!L$30)</f>
        <v>0</v>
      </c>
      <c r="M397" s="287">
        <f ca="1">IF(AND($B398=0,M$2&gt;1),L397,M394*$B398/Параметры!M$30)</f>
        <v>0</v>
      </c>
      <c r="N397" s="287">
        <f ca="1">IF(AND($B398=0,N$2&gt;1),M397,N394*$B398/Параметры!N$30)</f>
        <v>0</v>
      </c>
      <c r="O397" s="287">
        <f ca="1">IF(AND($B398=0,O$2&gt;1),N397,O394*$B398/Параметры!O$30)</f>
        <v>0</v>
      </c>
      <c r="P397" s="287">
        <f ca="1">IF(AND($B398=0,P$2&gt;1),O397,P394*$B398/Параметры!P$30)</f>
        <v>0</v>
      </c>
      <c r="Q397" s="287">
        <f ca="1">IF(AND($B398=0,Q$2&gt;1),P397,Q394*$B398/Параметры!Q$30)</f>
        <v>0</v>
      </c>
      <c r="R397" s="287">
        <f ca="1">IF(AND($B398=0,R$2&gt;1),Q397,R394*$B398/Параметры!R$30)</f>
        <v>0</v>
      </c>
      <c r="S397" s="287">
        <f ca="1">IF(AND($B398=0,S$2&gt;1),R397,S394*$B398/Параметры!S$30)</f>
        <v>0</v>
      </c>
      <c r="T397" s="287">
        <f ca="1">IF(AND($B398=0,T$2&gt;1),S397,T394*$B398/Параметры!T$30)</f>
        <v>0</v>
      </c>
      <c r="U397" s="287">
        <f ca="1">IF(AND($B398=0,U$2&gt;1),T397,U394*$B398/Параметры!U$30)</f>
        <v>0</v>
      </c>
      <c r="V397" s="287">
        <f ca="1">IF(AND($B398=0,V$2&gt;1),U397,V394*$B398/Параметры!V$30)</f>
        <v>0</v>
      </c>
      <c r="W397" s="287">
        <f ca="1">IF(AND($B398=0,W$2&gt;1),V397,W394*$B398/Параметры!W$30)</f>
        <v>0</v>
      </c>
      <c r="X397" s="287">
        <f ca="1">IF(AND($B398=0,X$2&gt;1),W397,X394*$B398/Параметры!X$30)</f>
        <v>0</v>
      </c>
      <c r="Y397" s="287">
        <f ca="1">IF(AND($B398=0,Y$2&gt;1),X397,Y394*$B398/Параметры!Y$30)</f>
        <v>0</v>
      </c>
      <c r="Z397" s="287">
        <f ca="1">IF(AND($B398=0,Z$2&gt;1),Y397,Z394*$B398/Параметры!Z$30)</f>
        <v>0</v>
      </c>
      <c r="AA397" s="287">
        <f ca="1">IF(AND($B398=0,AA$2&gt;1),Z397,AA394*$B398/Параметры!AA$30)</f>
        <v>0</v>
      </c>
      <c r="AB397" s="287">
        <f ca="1">IF(AND($B398=0,AB$2&gt;1),AA397,AB394*$B398/Параметры!AB$30)</f>
        <v>0</v>
      </c>
      <c r="AC397" s="287">
        <f ca="1">IF(AND($B398=0,AC$2&gt;1),AB397,AC394*$B398/Параметры!AC$30)</f>
        <v>0</v>
      </c>
      <c r="AD397" s="287">
        <f ca="1">IF(AND($B398=0,AD$2&gt;1),AC397,AD394*$B398/Параметры!AD$30)</f>
        <v>0</v>
      </c>
      <c r="AE397" s="287">
        <f ca="1">IF(AND($B398=0,AE$2&gt;1),AD397,AE394*$B398/Параметры!AE$30)</f>
        <v>0</v>
      </c>
      <c r="AF397" s="287">
        <f ca="1">IF(AND($B398=0,AF$2&gt;1),AE397,AF394*$B398/Параметры!AF$30)</f>
        <v>0</v>
      </c>
      <c r="AG397" s="287">
        <f ca="1">IF(AND($B398=0,AG$2&gt;1),AF397,AG394*$B398/Параметры!AG$30)</f>
        <v>0</v>
      </c>
      <c r="AH397" s="287">
        <f ca="1">IF(AND($B398=0,AH$2&gt;1),AG397,AH394*$B398/Параметры!AH$30)</f>
        <v>0</v>
      </c>
      <c r="AI397" s="287">
        <f ca="1">IF(AND($B398=0,AI$2&gt;1),AH397,AI394*$B398/Параметры!AI$30)</f>
        <v>0</v>
      </c>
      <c r="AJ397" s="287">
        <f ca="1">IF(AND($B398=0,AJ$2&gt;1),AI397,AJ394*$B398/Параметры!AJ$30)</f>
        <v>0</v>
      </c>
      <c r="AK397" s="287">
        <f ca="1">IF(AND($B398=0,AK$2&gt;1),AJ397,AK394*$B398/Параметры!AK$30)</f>
        <v>0</v>
      </c>
      <c r="AL397" s="287">
        <f ca="1">IF(AND($B398=0,AL$2&gt;1),AK397,AL394*$B398/Параметры!AL$30)</f>
        <v>0</v>
      </c>
      <c r="AM397" s="287">
        <f ca="1">IF(AND($B398=0,AM$2&gt;1),AL397,AM394*$B398/Параметры!AM$30)</f>
        <v>0</v>
      </c>
      <c r="AN397" s="287">
        <f ca="1">IF(AND($B398=0,AN$2&gt;1),AM397,AN394*$B398/Параметры!AN$30)</f>
        <v>0</v>
      </c>
      <c r="AO397" s="287">
        <f ca="1">IF(AND($B398=0,AO$2&gt;1),AN397,AO394*$B398/Параметры!AO$30)</f>
        <v>0</v>
      </c>
      <c r="AP397" s="287">
        <f ca="1">IF(AND($B398=0,AP$2&gt;1),AO397,AP394*$B398/Параметры!AP$30)</f>
        <v>0</v>
      </c>
      <c r="AQ397" s="287">
        <f ca="1">IF(AND($B398=0,AQ$2&gt;1),AP397,AQ394*$B398/Параметры!AQ$30)</f>
        <v>0</v>
      </c>
      <c r="AR397" s="287">
        <f ca="1">IF(AND($B398=0,AR$2&gt;1),AQ397,AR394*$B398/Параметры!AR$30)</f>
        <v>0</v>
      </c>
      <c r="AS397" s="287">
        <f ca="1">IF(AND($B398=0,AS$2&gt;1),AR397,AS394*$B398/Параметры!AS$30)</f>
        <v>0</v>
      </c>
      <c r="AT397" s="287">
        <f ca="1">IF(AND($B398=0,AT$2&gt;1),AS397,AT394*$B398/Параметры!AT$30)</f>
        <v>0</v>
      </c>
      <c r="AU397" s="287">
        <f ca="1">IF(AND($B398=0,AU$2&gt;1),AT397,AU394*$B398/Параметры!AU$30)</f>
        <v>0</v>
      </c>
      <c r="AV397" s="287">
        <f ca="1">IF(AND($B398=0,AV$2&gt;1),AU397,AV394*$B398/Параметры!AV$30)</f>
        <v>0</v>
      </c>
      <c r="AW397" s="287">
        <f ca="1">IF(AND($B398=0,AW$2&gt;1),AV397,AW394*$B398/Параметры!AW$30)</f>
        <v>0</v>
      </c>
      <c r="AX397" s="287">
        <f ca="1">IF(AND($B398=0,AX$2&gt;1),AW397,AX394*$B398/Параметры!AX$30)</f>
        <v>0</v>
      </c>
      <c r="AY397" s="287">
        <f ca="1">IF(AND($B398=0,AY$2&gt;1),AX397,AY394*$B398/Параметры!AY$30)</f>
        <v>0</v>
      </c>
      <c r="AZ397" s="287">
        <f ca="1">IF(AND($B398=0,AZ$2&gt;1),AY397,AZ394*$B398/Параметры!AZ$30)</f>
        <v>0</v>
      </c>
      <c r="BA397" s="287">
        <f ca="1">IF(AND($B398=0,BA$2&gt;1),AZ397,BA394*$B398/Параметры!BA$30)</f>
        <v>0</v>
      </c>
      <c r="BB397" s="287">
        <f ca="1">IF(AND($B398=0,BB$2&gt;1),BA397,BB394*$B398/Параметры!BB$30)</f>
        <v>0</v>
      </c>
      <c r="BC397" s="185"/>
      <c r="BD397" s="193"/>
    </row>
    <row r="398" spans="1:56" s="170" customFormat="1" hidden="1" outlineLevel="1" x14ac:dyDescent="0.3">
      <c r="A398" s="187" t="str">
        <f ca="1">Language!A$721</f>
        <v>периодичность отгрузки</v>
      </c>
      <c r="B398" s="288">
        <v>0</v>
      </c>
      <c r="C398" s="163" t="str">
        <f ca="1">Language!$A$1474</f>
        <v>дней</v>
      </c>
      <c r="D398" s="174"/>
      <c r="F398" s="170" t="s">
        <v>2347</v>
      </c>
      <c r="G398" s="185"/>
      <c r="H398" s="185"/>
      <c r="I398" s="185"/>
      <c r="J398" s="185"/>
      <c r="K398" s="185"/>
      <c r="L398" s="185"/>
      <c r="M398" s="185"/>
      <c r="N398" s="185"/>
      <c r="O398" s="185"/>
      <c r="P398" s="185"/>
      <c r="Q398" s="185"/>
      <c r="R398" s="185"/>
      <c r="S398" s="185"/>
      <c r="T398" s="185"/>
      <c r="U398" s="185"/>
      <c r="V398" s="185"/>
      <c r="W398" s="185"/>
      <c r="X398" s="185"/>
      <c r="Y398" s="185"/>
      <c r="Z398" s="185"/>
      <c r="AA398" s="185"/>
      <c r="AB398" s="185"/>
      <c r="AC398" s="185"/>
      <c r="AD398" s="185"/>
      <c r="AE398" s="185"/>
      <c r="AF398" s="185"/>
      <c r="AG398" s="185"/>
      <c r="AH398" s="185"/>
      <c r="AI398" s="185"/>
      <c r="AJ398" s="185"/>
      <c r="AK398" s="185"/>
      <c r="AL398" s="185"/>
      <c r="AM398" s="185"/>
      <c r="AN398" s="185"/>
      <c r="AO398" s="185"/>
      <c r="AP398" s="185"/>
      <c r="AQ398" s="185"/>
      <c r="AR398" s="185"/>
      <c r="AS398" s="185"/>
      <c r="AT398" s="185"/>
      <c r="AU398" s="185"/>
      <c r="AV398" s="185"/>
      <c r="AW398" s="185"/>
      <c r="AX398" s="185"/>
      <c r="AY398" s="185"/>
      <c r="AZ398" s="185"/>
      <c r="BA398" s="185"/>
      <c r="BB398" s="185"/>
      <c r="BC398" s="185"/>
      <c r="BD398" s="193"/>
    </row>
    <row r="399" spans="1:56" s="170" customFormat="1" hidden="1" outlineLevel="1" x14ac:dyDescent="0.3">
      <c r="A399" s="184" t="str">
        <f ca="1">Language!A$724</f>
        <v>затраты в незавершенном производстве</v>
      </c>
      <c r="B399" s="163"/>
      <c r="C399" s="163" t="str">
        <f t="shared" ca="1" si="1849"/>
        <v>руб.</v>
      </c>
      <c r="D399" s="174"/>
      <c r="F399" s="170" t="s">
        <v>2350</v>
      </c>
      <c r="G399" s="287">
        <f ca="1">IF(AND($B400=0,G$2&gt;1),F399,G394*$B400/Параметры!G$30)</f>
        <v>0</v>
      </c>
      <c r="H399" s="287">
        <f ca="1">IF(AND($B400=0,H$2&gt;1),G399,H394*$B400/Параметры!H$30)</f>
        <v>0</v>
      </c>
      <c r="I399" s="287">
        <f ca="1">IF(AND($B400=0,I$2&gt;1),H399,I394*$B400/Параметры!I$30)</f>
        <v>0</v>
      </c>
      <c r="J399" s="287">
        <f ca="1">IF(AND($B400=0,J$2&gt;1),I399,J394*$B400/Параметры!J$30)</f>
        <v>0</v>
      </c>
      <c r="K399" s="287">
        <f ca="1">IF(AND($B400=0,K$2&gt;1),J399,K394*$B400/Параметры!K$30)</f>
        <v>0</v>
      </c>
      <c r="L399" s="287">
        <f ca="1">IF(AND($B400=0,L$2&gt;1),K399,L394*$B400/Параметры!L$30)</f>
        <v>0</v>
      </c>
      <c r="M399" s="287">
        <f ca="1">IF(AND($B400=0,M$2&gt;1),L399,M394*$B400/Параметры!M$30)</f>
        <v>0</v>
      </c>
      <c r="N399" s="287">
        <f ca="1">IF(AND($B400=0,N$2&gt;1),M399,N394*$B400/Параметры!N$30)</f>
        <v>0</v>
      </c>
      <c r="O399" s="287">
        <f ca="1">IF(AND($B400=0,O$2&gt;1),N399,O394*$B400/Параметры!O$30)</f>
        <v>0</v>
      </c>
      <c r="P399" s="287">
        <f ca="1">IF(AND($B400=0,P$2&gt;1),O399,P394*$B400/Параметры!P$30)</f>
        <v>0</v>
      </c>
      <c r="Q399" s="287">
        <f ca="1">IF(AND($B400=0,Q$2&gt;1),P399,Q394*$B400/Параметры!Q$30)</f>
        <v>0</v>
      </c>
      <c r="R399" s="287">
        <f ca="1">IF(AND($B400=0,R$2&gt;1),Q399,R394*$B400/Параметры!R$30)</f>
        <v>0</v>
      </c>
      <c r="S399" s="287">
        <f ca="1">IF(AND($B400=0,S$2&gt;1),R399,S394*$B400/Параметры!S$30)</f>
        <v>0</v>
      </c>
      <c r="T399" s="287">
        <f ca="1">IF(AND($B400=0,T$2&gt;1),S399,T394*$B400/Параметры!T$30)</f>
        <v>0</v>
      </c>
      <c r="U399" s="287">
        <f ca="1">IF(AND($B400=0,U$2&gt;1),T399,U394*$B400/Параметры!U$30)</f>
        <v>0</v>
      </c>
      <c r="V399" s="287">
        <f ca="1">IF(AND($B400=0,V$2&gt;1),U399,V394*$B400/Параметры!V$30)</f>
        <v>0</v>
      </c>
      <c r="W399" s="287">
        <f ca="1">IF(AND($B400=0,W$2&gt;1),V399,W394*$B400/Параметры!W$30)</f>
        <v>0</v>
      </c>
      <c r="X399" s="287">
        <f ca="1">IF(AND($B400=0,X$2&gt;1),W399,X394*$B400/Параметры!X$30)</f>
        <v>0</v>
      </c>
      <c r="Y399" s="287">
        <f ca="1">IF(AND($B400=0,Y$2&gt;1),X399,Y394*$B400/Параметры!Y$30)</f>
        <v>0</v>
      </c>
      <c r="Z399" s="287">
        <f ca="1">IF(AND($B400=0,Z$2&gt;1),Y399,Z394*$B400/Параметры!Z$30)</f>
        <v>0</v>
      </c>
      <c r="AA399" s="287">
        <f ca="1">IF(AND($B400=0,AA$2&gt;1),Z399,AA394*$B400/Параметры!AA$30)</f>
        <v>0</v>
      </c>
      <c r="AB399" s="287">
        <f ca="1">IF(AND($B400=0,AB$2&gt;1),AA399,AB394*$B400/Параметры!AB$30)</f>
        <v>0</v>
      </c>
      <c r="AC399" s="287">
        <f ca="1">IF(AND($B400=0,AC$2&gt;1),AB399,AC394*$B400/Параметры!AC$30)</f>
        <v>0</v>
      </c>
      <c r="AD399" s="287">
        <f ca="1">IF(AND($B400=0,AD$2&gt;1),AC399,AD394*$B400/Параметры!AD$30)</f>
        <v>0</v>
      </c>
      <c r="AE399" s="287">
        <f ca="1">IF(AND($B400=0,AE$2&gt;1),AD399,AE394*$B400/Параметры!AE$30)</f>
        <v>0</v>
      </c>
      <c r="AF399" s="287">
        <f ca="1">IF(AND($B400=0,AF$2&gt;1),AE399,AF394*$B400/Параметры!AF$30)</f>
        <v>0</v>
      </c>
      <c r="AG399" s="287">
        <f ca="1">IF(AND($B400=0,AG$2&gt;1),AF399,AG394*$B400/Параметры!AG$30)</f>
        <v>0</v>
      </c>
      <c r="AH399" s="287">
        <f ca="1">IF(AND($B400=0,AH$2&gt;1),AG399,AH394*$B400/Параметры!AH$30)</f>
        <v>0</v>
      </c>
      <c r="AI399" s="287">
        <f ca="1">IF(AND($B400=0,AI$2&gt;1),AH399,AI394*$B400/Параметры!AI$30)</f>
        <v>0</v>
      </c>
      <c r="AJ399" s="287">
        <f ca="1">IF(AND($B400=0,AJ$2&gt;1),AI399,AJ394*$B400/Параметры!AJ$30)</f>
        <v>0</v>
      </c>
      <c r="AK399" s="287">
        <f ca="1">IF(AND($B400=0,AK$2&gt;1),AJ399,AK394*$B400/Параметры!AK$30)</f>
        <v>0</v>
      </c>
      <c r="AL399" s="287">
        <f ca="1">IF(AND($B400=0,AL$2&gt;1),AK399,AL394*$B400/Параметры!AL$30)</f>
        <v>0</v>
      </c>
      <c r="AM399" s="287">
        <f ca="1">IF(AND($B400=0,AM$2&gt;1),AL399,AM394*$B400/Параметры!AM$30)</f>
        <v>0</v>
      </c>
      <c r="AN399" s="287">
        <f ca="1">IF(AND($B400=0,AN$2&gt;1),AM399,AN394*$B400/Параметры!AN$30)</f>
        <v>0</v>
      </c>
      <c r="AO399" s="287">
        <f ca="1">IF(AND($B400=0,AO$2&gt;1),AN399,AO394*$B400/Параметры!AO$30)</f>
        <v>0</v>
      </c>
      <c r="AP399" s="287">
        <f ca="1">IF(AND($B400=0,AP$2&gt;1),AO399,AP394*$B400/Параметры!AP$30)</f>
        <v>0</v>
      </c>
      <c r="AQ399" s="287">
        <f ca="1">IF(AND($B400=0,AQ$2&gt;1),AP399,AQ394*$B400/Параметры!AQ$30)</f>
        <v>0</v>
      </c>
      <c r="AR399" s="287">
        <f ca="1">IF(AND($B400=0,AR$2&gt;1),AQ399,AR394*$B400/Параметры!AR$30)</f>
        <v>0</v>
      </c>
      <c r="AS399" s="287">
        <f ca="1">IF(AND($B400=0,AS$2&gt;1),AR399,AS394*$B400/Параметры!AS$30)</f>
        <v>0</v>
      </c>
      <c r="AT399" s="287">
        <f ca="1">IF(AND($B400=0,AT$2&gt;1),AS399,AT394*$B400/Параметры!AT$30)</f>
        <v>0</v>
      </c>
      <c r="AU399" s="287">
        <f ca="1">IF(AND($B400=0,AU$2&gt;1),AT399,AU394*$B400/Параметры!AU$30)</f>
        <v>0</v>
      </c>
      <c r="AV399" s="287">
        <f ca="1">IF(AND($B400=0,AV$2&gt;1),AU399,AV394*$B400/Параметры!AV$30)</f>
        <v>0</v>
      </c>
      <c r="AW399" s="287">
        <f ca="1">IF(AND($B400=0,AW$2&gt;1),AV399,AW394*$B400/Параметры!AW$30)</f>
        <v>0</v>
      </c>
      <c r="AX399" s="287">
        <f ca="1">IF(AND($B400=0,AX$2&gt;1),AW399,AX394*$B400/Параметры!AX$30)</f>
        <v>0</v>
      </c>
      <c r="AY399" s="287">
        <f ca="1">IF(AND($B400=0,AY$2&gt;1),AX399,AY394*$B400/Параметры!AY$30)</f>
        <v>0</v>
      </c>
      <c r="AZ399" s="287">
        <f ca="1">IF(AND($B400=0,AZ$2&gt;1),AY399,AZ394*$B400/Параметры!AZ$30)</f>
        <v>0</v>
      </c>
      <c r="BA399" s="287">
        <f ca="1">IF(AND($B400=0,BA$2&gt;1),AZ399,BA394*$B400/Параметры!BA$30)</f>
        <v>0</v>
      </c>
      <c r="BB399" s="287">
        <f ca="1">IF(AND($B400=0,BB$2&gt;1),BA399,BB394*$B400/Параметры!BB$30)</f>
        <v>0</v>
      </c>
      <c r="BC399" s="185"/>
      <c r="BD399" s="193"/>
    </row>
    <row r="400" spans="1:56" s="170" customFormat="1" hidden="1" outlineLevel="1" x14ac:dyDescent="0.3">
      <c r="A400" s="187" t="str">
        <f ca="1">Language!A$723</f>
        <v>длительность производственного цикла</v>
      </c>
      <c r="B400" s="288">
        <v>0</v>
      </c>
      <c r="C400" s="163" t="str">
        <f ca="1">Language!$A$1474</f>
        <v>дней</v>
      </c>
      <c r="D400" s="174"/>
      <c r="F400" s="170" t="s">
        <v>2347</v>
      </c>
      <c r="G400" s="185"/>
      <c r="H400" s="185"/>
      <c r="I400" s="185"/>
      <c r="J400" s="185"/>
      <c r="K400" s="185"/>
      <c r="L400" s="185"/>
      <c r="M400" s="185"/>
      <c r="N400" s="185"/>
      <c r="O400" s="185"/>
      <c r="P400" s="185"/>
      <c r="Q400" s="185"/>
      <c r="R400" s="185"/>
      <c r="S400" s="185"/>
      <c r="T400" s="185"/>
      <c r="U400" s="185"/>
      <c r="V400" s="185"/>
      <c r="W400" s="185"/>
      <c r="X400" s="185"/>
      <c r="Y400" s="185"/>
      <c r="Z400" s="185"/>
      <c r="AA400" s="185"/>
      <c r="AB400" s="185"/>
      <c r="AC400" s="185"/>
      <c r="AD400" s="185"/>
      <c r="AE400" s="185"/>
      <c r="AF400" s="185"/>
      <c r="AG400" s="185"/>
      <c r="AH400" s="185"/>
      <c r="AI400" s="185"/>
      <c r="AJ400" s="185"/>
      <c r="AK400" s="185"/>
      <c r="AL400" s="185"/>
      <c r="AM400" s="185"/>
      <c r="AN400" s="185"/>
      <c r="AO400" s="185"/>
      <c r="AP400" s="185"/>
      <c r="AQ400" s="185"/>
      <c r="AR400" s="185"/>
      <c r="AS400" s="185"/>
      <c r="AT400" s="185"/>
      <c r="AU400" s="185"/>
      <c r="AV400" s="185"/>
      <c r="AW400" s="185"/>
      <c r="AX400" s="185"/>
      <c r="AY400" s="185"/>
      <c r="AZ400" s="185"/>
      <c r="BA400" s="185"/>
      <c r="BB400" s="185"/>
      <c r="BC400" s="185"/>
      <c r="BD400" s="193"/>
    </row>
    <row r="401" spans="1:56" hidden="1" outlineLevel="1" x14ac:dyDescent="0.3">
      <c r="A401" s="175" t="str">
        <f ca="1">Language!A$725</f>
        <v>списано на продажи в отчете о прибылях и убытках</v>
      </c>
      <c r="B401" s="163"/>
      <c r="C401" s="194" t="str">
        <f t="shared" ca="1" si="1849"/>
        <v>руб.</v>
      </c>
      <c r="D401" s="174"/>
      <c r="F401" s="170" t="s">
        <v>740</v>
      </c>
      <c r="G401" s="201">
        <f t="shared" ref="G401:BB401" ca="1" si="1901">G394-IF(G$2=1, G397+G399, G397+G399-F397-F399)</f>
        <v>0</v>
      </c>
      <c r="H401" s="201">
        <f t="shared" ca="1" si="1901"/>
        <v>0</v>
      </c>
      <c r="I401" s="201">
        <f t="shared" ca="1" si="1901"/>
        <v>0</v>
      </c>
      <c r="J401" s="201">
        <f t="shared" ca="1" si="1901"/>
        <v>0</v>
      </c>
      <c r="K401" s="201">
        <f t="shared" ca="1" si="1901"/>
        <v>0</v>
      </c>
      <c r="L401" s="201">
        <f t="shared" ca="1" si="1901"/>
        <v>0</v>
      </c>
      <c r="M401" s="201">
        <f t="shared" ca="1" si="1901"/>
        <v>263001.87195151293</v>
      </c>
      <c r="N401" s="201">
        <f t="shared" ca="1" si="1901"/>
        <v>264282.04686201684</v>
      </c>
      <c r="O401" s="201">
        <f t="shared" ca="1" si="1901"/>
        <v>265568.45308863011</v>
      </c>
      <c r="P401" s="201">
        <f t="shared" ca="1" si="1901"/>
        <v>266861.12096259888</v>
      </c>
      <c r="Q401" s="201">
        <f t="shared" ca="1" si="1901"/>
        <v>268160.08096280851</v>
      </c>
      <c r="R401" s="201">
        <f t="shared" ca="1" si="1901"/>
        <v>269465.36371650151</v>
      </c>
      <c r="S401" s="201">
        <f t="shared" ca="1" si="1901"/>
        <v>270777.00000000012</v>
      </c>
      <c r="T401" s="201">
        <f t="shared" ca="1" si="1901"/>
        <v>272095.02073943202</v>
      </c>
      <c r="U401" s="201">
        <f t="shared" ca="1" si="1901"/>
        <v>273419.45701145922</v>
      </c>
      <c r="V401" s="201">
        <f t="shared" ca="1" si="1901"/>
        <v>274750.34004401119</v>
      </c>
      <c r="W401" s="201">
        <f t="shared" ca="1" si="1901"/>
        <v>276087.70121702063</v>
      </c>
      <c r="X401" s="201">
        <f t="shared" ca="1" si="1901"/>
        <v>277431.5720631638</v>
      </c>
      <c r="Y401" s="201">
        <f t="shared" ca="1" si="1901"/>
        <v>278781.98426860385</v>
      </c>
      <c r="Z401" s="201">
        <f t="shared" ca="1" si="1901"/>
        <v>280138.96967373794</v>
      </c>
      <c r="AA401" s="201">
        <f t="shared" ca="1" si="1901"/>
        <v>281502.56027394795</v>
      </c>
      <c r="AB401" s="201">
        <f t="shared" ca="1" si="1901"/>
        <v>282872.78822035488</v>
      </c>
      <c r="AC401" s="201">
        <f t="shared" ca="1" si="1901"/>
        <v>284249.68582057708</v>
      </c>
      <c r="AD401" s="201">
        <f t="shared" ca="1" si="1901"/>
        <v>285633.28553949163</v>
      </c>
      <c r="AE401" s="201">
        <f t="shared" ca="1" si="1901"/>
        <v>287023.62000000017</v>
      </c>
      <c r="AF401" s="201">
        <f t="shared" ca="1" si="1901"/>
        <v>288420.72198379796</v>
      </c>
      <c r="AG401" s="201">
        <f t="shared" ca="1" si="1901"/>
        <v>289824.6244321469</v>
      </c>
      <c r="AH401" s="201">
        <f t="shared" ca="1" si="1901"/>
        <v>291235.36044665187</v>
      </c>
      <c r="AI401" s="201">
        <f t="shared" ca="1" si="1901"/>
        <v>292652.96329004189</v>
      </c>
      <c r="AJ401" s="201">
        <f t="shared" ca="1" si="1901"/>
        <v>294077.4663869536</v>
      </c>
      <c r="AK401" s="201">
        <f t="shared" ca="1" si="1901"/>
        <v>295508.9033247201</v>
      </c>
      <c r="AL401" s="201">
        <f t="shared" ca="1" si="1901"/>
        <v>296947.30785416224</v>
      </c>
      <c r="AM401" s="201">
        <f t="shared" ca="1" si="1901"/>
        <v>298392.71389038488</v>
      </c>
      <c r="AN401" s="201">
        <f t="shared" ca="1" si="1901"/>
        <v>299845.15551357623</v>
      </c>
      <c r="AO401" s="201">
        <f t="shared" ca="1" si="1901"/>
        <v>301304.66696981172</v>
      </c>
      <c r="AP401" s="201">
        <f t="shared" ca="1" si="1901"/>
        <v>302771.28267186112</v>
      </c>
      <c r="AQ401" s="201">
        <f t="shared" ca="1" si="1901"/>
        <v>304245.03720000025</v>
      </c>
      <c r="AR401" s="201">
        <f t="shared" ca="1" si="1901"/>
        <v>305725.96530282591</v>
      </c>
      <c r="AS401" s="201">
        <f t="shared" ca="1" si="1901"/>
        <v>307214.10189807572</v>
      </c>
      <c r="AT401" s="201">
        <f t="shared" ca="1" si="1901"/>
        <v>308709.48207345104</v>
      </c>
      <c r="AU401" s="201">
        <f t="shared" ca="1" si="1901"/>
        <v>310212.14108744438</v>
      </c>
      <c r="AV401" s="201">
        <f t="shared" ca="1" si="1901"/>
        <v>311722.11437017086</v>
      </c>
      <c r="AW401" s="201">
        <f t="shared" ca="1" si="1901"/>
        <v>313239.43752420339</v>
      </c>
      <c r="AX401" s="201">
        <f t="shared" ca="1" si="1901"/>
        <v>314764.14632541203</v>
      </c>
      <c r="AY401" s="201">
        <f t="shared" ca="1" si="1901"/>
        <v>316296.27672380803</v>
      </c>
      <c r="AZ401" s="201">
        <f t="shared" ca="1" si="1901"/>
        <v>317835.86484439089</v>
      </c>
      <c r="BA401" s="201">
        <f t="shared" ca="1" si="1901"/>
        <v>319382.94698800053</v>
      </c>
      <c r="BB401" s="201">
        <f t="shared" ca="1" si="1901"/>
        <v>320937.55963217287</v>
      </c>
      <c r="BC401" s="201"/>
      <c r="BD401" s="178">
        <f ca="1">SUM(G401:BC401)</f>
        <v>12223369.163149932</v>
      </c>
    </row>
    <row r="402" spans="1:56" collapsed="1" x14ac:dyDescent="0.3">
      <c r="A402" s="169" t="str">
        <f ca="1">Language!A$726</f>
        <v>Затраты на коммерческий персонал, с соц. взносами</v>
      </c>
      <c r="B402" s="189"/>
      <c r="C402" s="194" t="str">
        <f t="shared" ca="1" si="1849"/>
        <v>руб.</v>
      </c>
      <c r="D402" s="174">
        <v>1</v>
      </c>
      <c r="F402" s="170" t="s">
        <v>740</v>
      </c>
      <c r="G402" s="177">
        <f ca="1">G403+G404</f>
        <v>0</v>
      </c>
      <c r="H402" s="177">
        <f t="shared" ref="H402:K402" ca="1" si="1902">H403+H404</f>
        <v>0</v>
      </c>
      <c r="I402" s="177">
        <f t="shared" ca="1" si="1902"/>
        <v>0</v>
      </c>
      <c r="J402" s="177">
        <f t="shared" ca="1" si="1902"/>
        <v>0</v>
      </c>
      <c r="K402" s="177">
        <f t="shared" ca="1" si="1902"/>
        <v>0</v>
      </c>
      <c r="L402" s="177">
        <f t="shared" ref="L402:M402" ca="1" si="1903">L403+L404</f>
        <v>0</v>
      </c>
      <c r="M402" s="177">
        <f t="shared" ca="1" si="1903"/>
        <v>47205.464196425397</v>
      </c>
      <c r="N402" s="177">
        <f t="shared" ref="N402:O402" ca="1" si="1904">N403+N404</f>
        <v>47435.23918036199</v>
      </c>
      <c r="O402" s="177">
        <f t="shared" ca="1" si="1904"/>
        <v>47666.132605651539</v>
      </c>
      <c r="P402" s="177">
        <f t="shared" ref="P402:Q402" ca="1" si="1905">P403+P404</f>
        <v>47898.149916363902</v>
      </c>
      <c r="Q402" s="177">
        <f t="shared" ca="1" si="1905"/>
        <v>48131.296583068186</v>
      </c>
      <c r="R402" s="177">
        <f t="shared" ref="R402:S402" ca="1" si="1906">R403+R404</f>
        <v>48365.578102961794</v>
      </c>
      <c r="S402" s="177">
        <f t="shared" ca="1" si="1906"/>
        <v>48601.000000000015</v>
      </c>
      <c r="T402" s="177">
        <f t="shared" ref="T402:U402" ca="1" si="1907">T403+T404</f>
        <v>48837.567825026257</v>
      </c>
      <c r="U402" s="177">
        <f t="shared" ca="1" si="1907"/>
        <v>49075.287155902945</v>
      </c>
      <c r="V402" s="177">
        <f t="shared" ref="V402:W402" ca="1" si="1908">V403+V404</f>
        <v>49314.163597643033</v>
      </c>
      <c r="W402" s="177">
        <f t="shared" ca="1" si="1908"/>
        <v>49554.202782542154</v>
      </c>
      <c r="X402" s="177">
        <f t="shared" ref="X402:Y402" ca="1" si="1909">X403+X404</f>
        <v>49795.410370311445</v>
      </c>
      <c r="Y402" s="177">
        <f t="shared" ca="1" si="1909"/>
        <v>50037.79204821094</v>
      </c>
      <c r="Z402" s="177">
        <f t="shared" ref="Z402:AA402" ca="1" si="1910">Z403+Z404</f>
        <v>50281.353531183733</v>
      </c>
      <c r="AA402" s="177">
        <f t="shared" ca="1" si="1910"/>
        <v>50526.100561990657</v>
      </c>
      <c r="AB402" s="177">
        <f t="shared" ref="AB402:AC402" ca="1" si="1911">AB403+AB404</f>
        <v>50772.038911345757</v>
      </c>
      <c r="AC402" s="177">
        <f t="shared" ca="1" si="1911"/>
        <v>51019.174378052296</v>
      </c>
      <c r="AD402" s="177">
        <f t="shared" ref="AD402:AE402" ca="1" si="1912">AD403+AD404</f>
        <v>51267.512789139524</v>
      </c>
      <c r="AE402" s="177">
        <f t="shared" ca="1" si="1912"/>
        <v>51517.060000000027</v>
      </c>
      <c r="AF402" s="177">
        <f t="shared" ref="AF402:AG402" ca="1" si="1913">AF403+AF404</f>
        <v>51767.821894527842</v>
      </c>
      <c r="AG402" s="177">
        <f t="shared" ca="1" si="1913"/>
        <v>52019.804385257128</v>
      </c>
      <c r="AH402" s="177">
        <f t="shared" ref="AH402:AI402" ca="1" si="1914">AH403+AH404</f>
        <v>52273.013413501627</v>
      </c>
      <c r="AI402" s="177">
        <f t="shared" ca="1" si="1914"/>
        <v>52527.454949494699</v>
      </c>
      <c r="AJ402" s="177">
        <f t="shared" ref="AJ402:AK402" ca="1" si="1915">AJ403+AJ404</f>
        <v>52783.134992530147</v>
      </c>
      <c r="AK402" s="177">
        <f t="shared" ca="1" si="1915"/>
        <v>53040.059571103615</v>
      </c>
      <c r="AL402" s="177">
        <f t="shared" ref="AL402:AM402" ca="1" si="1916">AL403+AL404</f>
        <v>53298.234743054767</v>
      </c>
      <c r="AM402" s="177">
        <f t="shared" ca="1" si="1916"/>
        <v>53557.6665957101</v>
      </c>
      <c r="AN402" s="177">
        <f t="shared" ref="AN402:AO402" ca="1" si="1917">AN403+AN404</f>
        <v>53818.361246026507</v>
      </c>
      <c r="AO402" s="177">
        <f t="shared" ca="1" si="1917"/>
        <v>54080.32484073544</v>
      </c>
      <c r="AP402" s="177">
        <f t="shared" ref="AP402:AQ402" ca="1" si="1918">AP403+AP404</f>
        <v>54343.563556487905</v>
      </c>
      <c r="AQ402" s="177">
        <f t="shared" ca="1" si="1918"/>
        <v>54608.083600000042</v>
      </c>
      <c r="AR402" s="177">
        <f t="shared" ref="AR402:AS402" ca="1" si="1919">AR403+AR404</f>
        <v>54873.891208199515</v>
      </c>
      <c r="AS402" s="177">
        <f t="shared" ca="1" si="1919"/>
        <v>55140.992648372558</v>
      </c>
      <c r="AT402" s="177">
        <f t="shared" ref="AT402:AU402" ca="1" si="1920">AT403+AT404</f>
        <v>55409.394218311718</v>
      </c>
      <c r="AU402" s="177">
        <f t="shared" ca="1" si="1920"/>
        <v>55679.102246464376</v>
      </c>
      <c r="AV402" s="177">
        <f t="shared" ref="AV402:AW402" ca="1" si="1921">AV403+AV404</f>
        <v>55950.123092081951</v>
      </c>
      <c r="AW402" s="177">
        <f t="shared" ca="1" si="1921"/>
        <v>56222.463145369824</v>
      </c>
      <c r="AX402" s="177">
        <f t="shared" ref="AX402:AY402" ca="1" si="1922">AX403+AX404</f>
        <v>56496.128827638051</v>
      </c>
      <c r="AY402" s="177">
        <f t="shared" ca="1" si="1922"/>
        <v>56771.126591452718</v>
      </c>
      <c r="AZ402" s="177">
        <f t="shared" ref="AZ402:BA402" ca="1" si="1923">AZ403+AZ404</f>
        <v>57047.462920788108</v>
      </c>
      <c r="BA402" s="177">
        <f t="shared" ca="1" si="1923"/>
        <v>57325.144331179574</v>
      </c>
      <c r="BB402" s="177">
        <f t="shared" ref="BB402" ca="1" si="1924">BB403+BB404</f>
        <v>57604.177369877172</v>
      </c>
      <c r="BC402" s="177"/>
      <c r="BD402" s="178">
        <f ca="1">SUM(G402:BC402)</f>
        <v>2193938.0549243474</v>
      </c>
    </row>
    <row r="403" spans="1:56" hidden="1" outlineLevel="1" x14ac:dyDescent="0.3">
      <c r="A403" s="175" t="str">
        <f ca="1">Language!A$727</f>
        <v>заработная плата</v>
      </c>
      <c r="B403" s="189"/>
      <c r="C403" s="194" t="str">
        <f t="shared" ca="1" si="1849"/>
        <v>руб.</v>
      </c>
      <c r="D403" s="174">
        <v>1</v>
      </c>
      <c r="F403" s="170" t="s">
        <v>1109</v>
      </c>
      <c r="G403" s="177">
        <f t="shared" ref="G403:AL403" ca="1" si="1925">SUM(G$379)</f>
        <v>0</v>
      </c>
      <c r="H403" s="177">
        <f t="shared" ca="1" si="1925"/>
        <v>0</v>
      </c>
      <c r="I403" s="177">
        <f t="shared" ca="1" si="1925"/>
        <v>0</v>
      </c>
      <c r="J403" s="177">
        <f t="shared" ca="1" si="1925"/>
        <v>0</v>
      </c>
      <c r="K403" s="177">
        <f t="shared" ca="1" si="1925"/>
        <v>0</v>
      </c>
      <c r="L403" s="177">
        <f t="shared" ca="1" si="1925"/>
        <v>0</v>
      </c>
      <c r="M403" s="177">
        <f t="shared" ca="1" si="1925"/>
        <v>36034.705493454501</v>
      </c>
      <c r="N403" s="177">
        <f t="shared" ca="1" si="1925"/>
        <v>36210.106244551134</v>
      </c>
      <c r="O403" s="177">
        <f t="shared" ca="1" si="1925"/>
        <v>36386.36076767293</v>
      </c>
      <c r="P403" s="177">
        <f t="shared" ca="1" si="1925"/>
        <v>36563.473218598396</v>
      </c>
      <c r="Q403" s="177">
        <f t="shared" ca="1" si="1925"/>
        <v>36741.44777333449</v>
      </c>
      <c r="R403" s="177">
        <f t="shared" ca="1" si="1925"/>
        <v>36920.288628215108</v>
      </c>
      <c r="S403" s="177">
        <f t="shared" ca="1" si="1925"/>
        <v>37100.000000000007</v>
      </c>
      <c r="T403" s="177">
        <f t="shared" ca="1" si="1925"/>
        <v>37280.586125974238</v>
      </c>
      <c r="U403" s="177">
        <f t="shared" ca="1" si="1925"/>
        <v>37462.051264048045</v>
      </c>
      <c r="V403" s="177">
        <f t="shared" ca="1" si="1925"/>
        <v>37644.399692857274</v>
      </c>
      <c r="W403" s="177">
        <f t="shared" ca="1" si="1925"/>
        <v>37827.635711864241</v>
      </c>
      <c r="X403" s="177">
        <f t="shared" ca="1" si="1925"/>
        <v>38011.763641459118</v>
      </c>
      <c r="Y403" s="177">
        <f t="shared" ca="1" si="1925"/>
        <v>38196.787823061786</v>
      </c>
      <c r="Z403" s="177">
        <f t="shared" ca="1" si="1925"/>
        <v>38382.712619224221</v>
      </c>
      <c r="AA403" s="177">
        <f t="shared" ca="1" si="1925"/>
        <v>38569.542413733325</v>
      </c>
      <c r="AB403" s="177">
        <f t="shared" ca="1" si="1925"/>
        <v>38757.281611714316</v>
      </c>
      <c r="AC403" s="177">
        <f t="shared" ca="1" si="1925"/>
        <v>38945.934639734573</v>
      </c>
      <c r="AD403" s="177">
        <f t="shared" ca="1" si="1925"/>
        <v>39135.505945908029</v>
      </c>
      <c r="AE403" s="177">
        <f t="shared" ca="1" si="1925"/>
        <v>39326.000000000022</v>
      </c>
      <c r="AF403" s="177">
        <f t="shared" ca="1" si="1925"/>
        <v>39517.421293532701</v>
      </c>
      <c r="AG403" s="177">
        <f t="shared" ca="1" si="1925"/>
        <v>39709.774339890937</v>
      </c>
      <c r="AH403" s="177">
        <f t="shared" ca="1" si="1925"/>
        <v>39903.063674428719</v>
      </c>
      <c r="AI403" s="177">
        <f t="shared" ca="1" si="1925"/>
        <v>40097.293854576106</v>
      </c>
      <c r="AJ403" s="177">
        <f t="shared" ca="1" si="1925"/>
        <v>40292.469459946675</v>
      </c>
      <c r="AK403" s="177">
        <f t="shared" ca="1" si="1925"/>
        <v>40488.595092445503</v>
      </c>
      <c r="AL403" s="177">
        <f t="shared" ca="1" si="1925"/>
        <v>40685.67537637768</v>
      </c>
      <c r="AM403" s="177">
        <f t="shared" ref="AM403:BB403" ca="1" si="1926">SUM(AM$379)</f>
        <v>40883.714958557328</v>
      </c>
      <c r="AN403" s="177">
        <f t="shared" ca="1" si="1926"/>
        <v>41082.71850841718</v>
      </c>
      <c r="AO403" s="177">
        <f t="shared" ca="1" si="1926"/>
        <v>41282.690718118654</v>
      </c>
      <c r="AP403" s="177">
        <f t="shared" ca="1" si="1926"/>
        <v>41483.636302662519</v>
      </c>
      <c r="AQ403" s="177">
        <f t="shared" ca="1" si="1926"/>
        <v>41685.560000000027</v>
      </c>
      <c r="AR403" s="177">
        <f t="shared" ca="1" si="1926"/>
        <v>41888.466571144665</v>
      </c>
      <c r="AS403" s="177">
        <f t="shared" ca="1" si="1926"/>
        <v>42092.36080028439</v>
      </c>
      <c r="AT403" s="177">
        <f t="shared" ca="1" si="1926"/>
        <v>42297.247494894436</v>
      </c>
      <c r="AU403" s="177">
        <f t="shared" ca="1" si="1926"/>
        <v>42503.131485850667</v>
      </c>
      <c r="AV403" s="177">
        <f t="shared" ca="1" si="1926"/>
        <v>42710.017627543471</v>
      </c>
      <c r="AW403" s="177">
        <f t="shared" ca="1" si="1926"/>
        <v>42917.910797992234</v>
      </c>
      <c r="AX403" s="177">
        <f t="shared" ca="1" si="1926"/>
        <v>43126.81589896034</v>
      </c>
      <c r="AY403" s="177">
        <f t="shared" ca="1" si="1926"/>
        <v>43336.737856070773</v>
      </c>
      <c r="AZ403" s="177">
        <f t="shared" ca="1" si="1926"/>
        <v>43547.681618922215</v>
      </c>
      <c r="BA403" s="177">
        <f t="shared" ca="1" si="1926"/>
        <v>43759.652161205777</v>
      </c>
      <c r="BB403" s="177">
        <f t="shared" ca="1" si="1926"/>
        <v>43972.654480822268</v>
      </c>
      <c r="BC403" s="177"/>
      <c r="BD403" s="178">
        <f ca="1">SUM(G403:BC403)</f>
        <v>1674761.873988051</v>
      </c>
    </row>
    <row r="404" spans="1:56" hidden="1" outlineLevel="1" x14ac:dyDescent="0.3">
      <c r="A404" s="175" t="str">
        <f ca="1">Language!A$728</f>
        <v>социальные взносы</v>
      </c>
      <c r="B404" s="189"/>
      <c r="C404" s="194" t="str">
        <f t="shared" ca="1" si="1849"/>
        <v>руб.</v>
      </c>
      <c r="D404" s="174">
        <v>1</v>
      </c>
      <c r="F404" s="170" t="s">
        <v>1462</v>
      </c>
      <c r="G404" s="177">
        <f t="shared" ref="G404:AL404" ca="1" si="1927">SUM(G$383)</f>
        <v>0</v>
      </c>
      <c r="H404" s="177">
        <f t="shared" ca="1" si="1927"/>
        <v>0</v>
      </c>
      <c r="I404" s="177">
        <f t="shared" ca="1" si="1927"/>
        <v>0</v>
      </c>
      <c r="J404" s="177">
        <f t="shared" ca="1" si="1927"/>
        <v>0</v>
      </c>
      <c r="K404" s="177">
        <f t="shared" ca="1" si="1927"/>
        <v>0</v>
      </c>
      <c r="L404" s="177">
        <f t="shared" ca="1" si="1927"/>
        <v>0</v>
      </c>
      <c r="M404" s="177">
        <f t="shared" ca="1" si="1927"/>
        <v>11170.758702970898</v>
      </c>
      <c r="N404" s="177">
        <f t="shared" ca="1" si="1927"/>
        <v>11225.132935810854</v>
      </c>
      <c r="O404" s="177">
        <f t="shared" ca="1" si="1927"/>
        <v>11279.771837978611</v>
      </c>
      <c r="P404" s="177">
        <f t="shared" ca="1" si="1927"/>
        <v>11334.676697765504</v>
      </c>
      <c r="Q404" s="177">
        <f t="shared" ca="1" si="1927"/>
        <v>11389.848809733694</v>
      </c>
      <c r="R404" s="177">
        <f t="shared" ca="1" si="1927"/>
        <v>11445.289474746685</v>
      </c>
      <c r="S404" s="177">
        <f t="shared" ca="1" si="1927"/>
        <v>11501.000000000004</v>
      </c>
      <c r="T404" s="177">
        <f t="shared" ca="1" si="1927"/>
        <v>11556.981699052016</v>
      </c>
      <c r="U404" s="177">
        <f t="shared" ca="1" si="1927"/>
        <v>11613.235891854896</v>
      </c>
      <c r="V404" s="177">
        <f t="shared" ca="1" si="1927"/>
        <v>11669.763904785757</v>
      </c>
      <c r="W404" s="177">
        <f t="shared" ca="1" si="1927"/>
        <v>11726.567070677916</v>
      </c>
      <c r="X404" s="177">
        <f t="shared" ca="1" si="1927"/>
        <v>11783.646728852329</v>
      </c>
      <c r="Y404" s="177">
        <f t="shared" ca="1" si="1927"/>
        <v>11841.004225149156</v>
      </c>
      <c r="Z404" s="177">
        <f t="shared" ca="1" si="1927"/>
        <v>11898.64091195951</v>
      </c>
      <c r="AA404" s="177">
        <f t="shared" ca="1" si="1927"/>
        <v>11956.558148257333</v>
      </c>
      <c r="AB404" s="177">
        <f t="shared" ca="1" si="1927"/>
        <v>12014.757299631439</v>
      </c>
      <c r="AC404" s="177">
        <f t="shared" ca="1" si="1927"/>
        <v>12073.239738317719</v>
      </c>
      <c r="AD404" s="177">
        <f t="shared" ca="1" si="1927"/>
        <v>12132.006843231491</v>
      </c>
      <c r="AE404" s="177">
        <f t="shared" ca="1" si="1927"/>
        <v>12191.060000000009</v>
      </c>
      <c r="AF404" s="177">
        <f t="shared" ca="1" si="1927"/>
        <v>12250.400600995139</v>
      </c>
      <c r="AG404" s="177">
        <f t="shared" ca="1" si="1927"/>
        <v>12310.030045366193</v>
      </c>
      <c r="AH404" s="177">
        <f t="shared" ca="1" si="1927"/>
        <v>12369.949739072905</v>
      </c>
      <c r="AI404" s="177">
        <f t="shared" ca="1" si="1927"/>
        <v>12430.161094918594</v>
      </c>
      <c r="AJ404" s="177">
        <f t="shared" ca="1" si="1927"/>
        <v>12490.665532583471</v>
      </c>
      <c r="AK404" s="177">
        <f t="shared" ca="1" si="1927"/>
        <v>12551.464478658108</v>
      </c>
      <c r="AL404" s="177">
        <f t="shared" ca="1" si="1927"/>
        <v>12612.559366677084</v>
      </c>
      <c r="AM404" s="177">
        <f t="shared" ref="AM404:BB404" ca="1" si="1928">SUM(AM$383)</f>
        <v>12673.951637152773</v>
      </c>
      <c r="AN404" s="177">
        <f t="shared" ca="1" si="1928"/>
        <v>12735.642737609327</v>
      </c>
      <c r="AO404" s="177">
        <f t="shared" ca="1" si="1928"/>
        <v>12797.634122616784</v>
      </c>
      <c r="AP404" s="177">
        <f t="shared" ca="1" si="1928"/>
        <v>12859.927253825383</v>
      </c>
      <c r="AQ404" s="177">
        <f t="shared" ca="1" si="1928"/>
        <v>12922.523600000011</v>
      </c>
      <c r="AR404" s="177">
        <f t="shared" ca="1" si="1928"/>
        <v>12985.424637054848</v>
      </c>
      <c r="AS404" s="177">
        <f t="shared" ca="1" si="1928"/>
        <v>13048.631848088164</v>
      </c>
      <c r="AT404" s="177">
        <f t="shared" ca="1" si="1928"/>
        <v>13112.146723417278</v>
      </c>
      <c r="AU404" s="177">
        <f t="shared" ca="1" si="1928"/>
        <v>13175.970760613709</v>
      </c>
      <c r="AV404" s="177">
        <f t="shared" ca="1" si="1928"/>
        <v>13240.105464538479</v>
      </c>
      <c r="AW404" s="177">
        <f t="shared" ca="1" si="1928"/>
        <v>13304.552347377594</v>
      </c>
      <c r="AX404" s="177">
        <f t="shared" ca="1" si="1928"/>
        <v>13369.312928677708</v>
      </c>
      <c r="AY404" s="177">
        <f t="shared" ca="1" si="1928"/>
        <v>13434.388735381943</v>
      </c>
      <c r="AZ404" s="177">
        <f t="shared" ca="1" si="1928"/>
        <v>13499.781301865889</v>
      </c>
      <c r="BA404" s="177">
        <f t="shared" ca="1" si="1928"/>
        <v>13565.492169973793</v>
      </c>
      <c r="BB404" s="177">
        <f t="shared" ca="1" si="1928"/>
        <v>13631.522889054906</v>
      </c>
      <c r="BC404" s="177"/>
      <c r="BD404" s="178">
        <f ca="1">SUM(G404:BC404)</f>
        <v>519176.180936296</v>
      </c>
    </row>
    <row r="405" spans="1:56" s="170" customFormat="1" hidden="1" outlineLevel="1" x14ac:dyDescent="0.3">
      <c r="A405" s="184" t="str">
        <f ca="1">Language!A$730</f>
        <v>затраты в запасах готовой продукции</v>
      </c>
      <c r="B405" s="163"/>
      <c r="C405" s="163" t="str">
        <f t="shared" ca="1" si="1849"/>
        <v>руб.</v>
      </c>
      <c r="D405" s="174"/>
      <c r="F405" s="170" t="s">
        <v>2350</v>
      </c>
      <c r="G405" s="287">
        <f ca="1">IF(AND($B406=0,G$2&gt;1),F405,G402*$B406/Параметры!G$30)</f>
        <v>0</v>
      </c>
      <c r="H405" s="287">
        <f ca="1">IF(AND($B406=0,H$2&gt;1),G405,H402*$B406/Параметры!H$30)</f>
        <v>0</v>
      </c>
      <c r="I405" s="287">
        <f ca="1">IF(AND($B406=0,I$2&gt;1),H405,I402*$B406/Параметры!I$30)</f>
        <v>0</v>
      </c>
      <c r="J405" s="287">
        <f ca="1">IF(AND($B406=0,J$2&gt;1),I405,J402*$B406/Параметры!J$30)</f>
        <v>0</v>
      </c>
      <c r="K405" s="287">
        <f ca="1">IF(AND($B406=0,K$2&gt;1),J405,K402*$B406/Параметры!K$30)</f>
        <v>0</v>
      </c>
      <c r="L405" s="287">
        <f ca="1">IF(AND($B406=0,L$2&gt;1),K405,L402*$B406/Параметры!L$30)</f>
        <v>0</v>
      </c>
      <c r="M405" s="287">
        <f ca="1">IF(AND($B406=0,M$2&gt;1),L405,M402*$B406/Параметры!M$30)</f>
        <v>0</v>
      </c>
      <c r="N405" s="287">
        <f ca="1">IF(AND($B406=0,N$2&gt;1),M405,N402*$B406/Параметры!N$30)</f>
        <v>0</v>
      </c>
      <c r="O405" s="287">
        <f ca="1">IF(AND($B406=0,O$2&gt;1),N405,O402*$B406/Параметры!O$30)</f>
        <v>0</v>
      </c>
      <c r="P405" s="287">
        <f ca="1">IF(AND($B406=0,P$2&gt;1),O405,P402*$B406/Параметры!P$30)</f>
        <v>0</v>
      </c>
      <c r="Q405" s="287">
        <f ca="1">IF(AND($B406=0,Q$2&gt;1),P405,Q402*$B406/Параметры!Q$30)</f>
        <v>0</v>
      </c>
      <c r="R405" s="287">
        <f ca="1">IF(AND($B406=0,R$2&gt;1),Q405,R402*$B406/Параметры!R$30)</f>
        <v>0</v>
      </c>
      <c r="S405" s="287">
        <f ca="1">IF(AND($B406=0,S$2&gt;1),R405,S402*$B406/Параметры!S$30)</f>
        <v>0</v>
      </c>
      <c r="T405" s="287">
        <f ca="1">IF(AND($B406=0,T$2&gt;1),S405,T402*$B406/Параметры!T$30)</f>
        <v>0</v>
      </c>
      <c r="U405" s="287">
        <f ca="1">IF(AND($B406=0,U$2&gt;1),T405,U402*$B406/Параметры!U$30)</f>
        <v>0</v>
      </c>
      <c r="V405" s="287">
        <f ca="1">IF(AND($B406=0,V$2&gt;1),U405,V402*$B406/Параметры!V$30)</f>
        <v>0</v>
      </c>
      <c r="W405" s="287">
        <f ca="1">IF(AND($B406=0,W$2&gt;1),V405,W402*$B406/Параметры!W$30)</f>
        <v>0</v>
      </c>
      <c r="X405" s="287">
        <f ca="1">IF(AND($B406=0,X$2&gt;1),W405,X402*$B406/Параметры!X$30)</f>
        <v>0</v>
      </c>
      <c r="Y405" s="287">
        <f ca="1">IF(AND($B406=0,Y$2&gt;1),X405,Y402*$B406/Параметры!Y$30)</f>
        <v>0</v>
      </c>
      <c r="Z405" s="287">
        <f ca="1">IF(AND($B406=0,Z$2&gt;1),Y405,Z402*$B406/Параметры!Z$30)</f>
        <v>0</v>
      </c>
      <c r="AA405" s="287">
        <f ca="1">IF(AND($B406=0,AA$2&gt;1),Z405,AA402*$B406/Параметры!AA$30)</f>
        <v>0</v>
      </c>
      <c r="AB405" s="287">
        <f ca="1">IF(AND($B406=0,AB$2&gt;1),AA405,AB402*$B406/Параметры!AB$30)</f>
        <v>0</v>
      </c>
      <c r="AC405" s="287">
        <f ca="1">IF(AND($B406=0,AC$2&gt;1),AB405,AC402*$B406/Параметры!AC$30)</f>
        <v>0</v>
      </c>
      <c r="AD405" s="287">
        <f ca="1">IF(AND($B406=0,AD$2&gt;1),AC405,AD402*$B406/Параметры!AD$30)</f>
        <v>0</v>
      </c>
      <c r="AE405" s="287">
        <f ca="1">IF(AND($B406=0,AE$2&gt;1),AD405,AE402*$B406/Параметры!AE$30)</f>
        <v>0</v>
      </c>
      <c r="AF405" s="287">
        <f ca="1">IF(AND($B406=0,AF$2&gt;1),AE405,AF402*$B406/Параметры!AF$30)</f>
        <v>0</v>
      </c>
      <c r="AG405" s="287">
        <f ca="1">IF(AND($B406=0,AG$2&gt;1),AF405,AG402*$B406/Параметры!AG$30)</f>
        <v>0</v>
      </c>
      <c r="AH405" s="287">
        <f ca="1">IF(AND($B406=0,AH$2&gt;1),AG405,AH402*$B406/Параметры!AH$30)</f>
        <v>0</v>
      </c>
      <c r="AI405" s="287">
        <f ca="1">IF(AND($B406=0,AI$2&gt;1),AH405,AI402*$B406/Параметры!AI$30)</f>
        <v>0</v>
      </c>
      <c r="AJ405" s="287">
        <f ca="1">IF(AND($B406=0,AJ$2&gt;1),AI405,AJ402*$B406/Параметры!AJ$30)</f>
        <v>0</v>
      </c>
      <c r="AK405" s="287">
        <f ca="1">IF(AND($B406=0,AK$2&gt;1),AJ405,AK402*$B406/Параметры!AK$30)</f>
        <v>0</v>
      </c>
      <c r="AL405" s="287">
        <f ca="1">IF(AND($B406=0,AL$2&gt;1),AK405,AL402*$B406/Параметры!AL$30)</f>
        <v>0</v>
      </c>
      <c r="AM405" s="287">
        <f ca="1">IF(AND($B406=0,AM$2&gt;1),AL405,AM402*$B406/Параметры!AM$30)</f>
        <v>0</v>
      </c>
      <c r="AN405" s="287">
        <f ca="1">IF(AND($B406=0,AN$2&gt;1),AM405,AN402*$B406/Параметры!AN$30)</f>
        <v>0</v>
      </c>
      <c r="AO405" s="287">
        <f ca="1">IF(AND($B406=0,AO$2&gt;1),AN405,AO402*$B406/Параметры!AO$30)</f>
        <v>0</v>
      </c>
      <c r="AP405" s="287">
        <f ca="1">IF(AND($B406=0,AP$2&gt;1),AO405,AP402*$B406/Параметры!AP$30)</f>
        <v>0</v>
      </c>
      <c r="AQ405" s="287">
        <f ca="1">IF(AND($B406=0,AQ$2&gt;1),AP405,AQ402*$B406/Параметры!AQ$30)</f>
        <v>0</v>
      </c>
      <c r="AR405" s="287">
        <f ca="1">IF(AND($B406=0,AR$2&gt;1),AQ405,AR402*$B406/Параметры!AR$30)</f>
        <v>0</v>
      </c>
      <c r="AS405" s="287">
        <f ca="1">IF(AND($B406=0,AS$2&gt;1),AR405,AS402*$B406/Параметры!AS$30)</f>
        <v>0</v>
      </c>
      <c r="AT405" s="287">
        <f ca="1">IF(AND($B406=0,AT$2&gt;1),AS405,AT402*$B406/Параметры!AT$30)</f>
        <v>0</v>
      </c>
      <c r="AU405" s="287">
        <f ca="1">IF(AND($B406=0,AU$2&gt;1),AT405,AU402*$B406/Параметры!AU$30)</f>
        <v>0</v>
      </c>
      <c r="AV405" s="287">
        <f ca="1">IF(AND($B406=0,AV$2&gt;1),AU405,AV402*$B406/Параметры!AV$30)</f>
        <v>0</v>
      </c>
      <c r="AW405" s="287">
        <f ca="1">IF(AND($B406=0,AW$2&gt;1),AV405,AW402*$B406/Параметры!AW$30)</f>
        <v>0</v>
      </c>
      <c r="AX405" s="287">
        <f ca="1">IF(AND($B406=0,AX$2&gt;1),AW405,AX402*$B406/Параметры!AX$30)</f>
        <v>0</v>
      </c>
      <c r="AY405" s="287">
        <f ca="1">IF(AND($B406=0,AY$2&gt;1),AX405,AY402*$B406/Параметры!AY$30)</f>
        <v>0</v>
      </c>
      <c r="AZ405" s="287">
        <f ca="1">IF(AND($B406=0,AZ$2&gt;1),AY405,AZ402*$B406/Параметры!AZ$30)</f>
        <v>0</v>
      </c>
      <c r="BA405" s="287">
        <f ca="1">IF(AND($B406=0,BA$2&gt;1),AZ405,BA402*$B406/Параметры!BA$30)</f>
        <v>0</v>
      </c>
      <c r="BB405" s="287">
        <f ca="1">IF(AND($B406=0,BB$2&gt;1),BA405,BB402*$B406/Параметры!BB$30)</f>
        <v>0</v>
      </c>
      <c r="BC405" s="185"/>
      <c r="BD405" s="193"/>
    </row>
    <row r="406" spans="1:56" s="170" customFormat="1" hidden="1" outlineLevel="1" x14ac:dyDescent="0.3">
      <c r="A406" s="187" t="str">
        <f ca="1">Language!A$729</f>
        <v>периодичность отгрузки</v>
      </c>
      <c r="B406" s="288">
        <v>0</v>
      </c>
      <c r="C406" s="163" t="str">
        <f ca="1">Language!$A$1474</f>
        <v>дней</v>
      </c>
      <c r="D406" s="174"/>
      <c r="F406" s="170" t="s">
        <v>2347</v>
      </c>
      <c r="G406" s="185"/>
      <c r="H406" s="185"/>
      <c r="I406" s="185"/>
      <c r="J406" s="185"/>
      <c r="K406" s="185"/>
      <c r="L406" s="185"/>
      <c r="M406" s="185"/>
      <c r="N406" s="185"/>
      <c r="O406" s="185"/>
      <c r="P406" s="185"/>
      <c r="Q406" s="185"/>
      <c r="R406" s="185"/>
      <c r="S406" s="185"/>
      <c r="T406" s="185"/>
      <c r="U406" s="185"/>
      <c r="V406" s="185"/>
      <c r="W406" s="185"/>
      <c r="X406" s="185"/>
      <c r="Y406" s="185"/>
      <c r="Z406" s="185"/>
      <c r="AA406" s="185"/>
      <c r="AB406" s="185"/>
      <c r="AC406" s="185"/>
      <c r="AD406" s="185"/>
      <c r="AE406" s="185"/>
      <c r="AF406" s="185"/>
      <c r="AG406" s="185"/>
      <c r="AH406" s="185"/>
      <c r="AI406" s="185"/>
      <c r="AJ406" s="185"/>
      <c r="AK406" s="185"/>
      <c r="AL406" s="185"/>
      <c r="AM406" s="185"/>
      <c r="AN406" s="185"/>
      <c r="AO406" s="185"/>
      <c r="AP406" s="185"/>
      <c r="AQ406" s="185"/>
      <c r="AR406" s="185"/>
      <c r="AS406" s="185"/>
      <c r="AT406" s="185"/>
      <c r="AU406" s="185"/>
      <c r="AV406" s="185"/>
      <c r="AW406" s="185"/>
      <c r="AX406" s="185"/>
      <c r="AY406" s="185"/>
      <c r="AZ406" s="185"/>
      <c r="BA406" s="185"/>
      <c r="BB406" s="185"/>
      <c r="BC406" s="185"/>
      <c r="BD406" s="193"/>
    </row>
    <row r="407" spans="1:56" s="170" customFormat="1" hidden="1" outlineLevel="1" x14ac:dyDescent="0.3">
      <c r="A407" s="184" t="str">
        <f ca="1">Language!A$732</f>
        <v>затраты в незавершенном производстве</v>
      </c>
      <c r="B407" s="163"/>
      <c r="C407" s="163" t="str">
        <f t="shared" ca="1" si="1849"/>
        <v>руб.</v>
      </c>
      <c r="D407" s="174"/>
      <c r="F407" s="170" t="s">
        <v>2350</v>
      </c>
      <c r="G407" s="287">
        <f ca="1">IF(AND($B408=0,G$2&gt;1),F407,G402*$B408/Параметры!G$30)</f>
        <v>0</v>
      </c>
      <c r="H407" s="287">
        <f ca="1">IF(AND($B408=0,H$2&gt;1),G407,H402*$B408/Параметры!H$30)</f>
        <v>0</v>
      </c>
      <c r="I407" s="287">
        <f ca="1">IF(AND($B408=0,I$2&gt;1),H407,I402*$B408/Параметры!I$30)</f>
        <v>0</v>
      </c>
      <c r="J407" s="287">
        <f ca="1">IF(AND($B408=0,J$2&gt;1),I407,J402*$B408/Параметры!J$30)</f>
        <v>0</v>
      </c>
      <c r="K407" s="287">
        <f ca="1">IF(AND($B408=0,K$2&gt;1),J407,K402*$B408/Параметры!K$30)</f>
        <v>0</v>
      </c>
      <c r="L407" s="287">
        <f ca="1">IF(AND($B408=0,L$2&gt;1),K407,L402*$B408/Параметры!L$30)</f>
        <v>0</v>
      </c>
      <c r="M407" s="287">
        <f ca="1">IF(AND($B408=0,M$2&gt;1),L407,M402*$B408/Параметры!M$30)</f>
        <v>0</v>
      </c>
      <c r="N407" s="287">
        <f ca="1">IF(AND($B408=0,N$2&gt;1),M407,N402*$B408/Параметры!N$30)</f>
        <v>0</v>
      </c>
      <c r="O407" s="287">
        <f ca="1">IF(AND($B408=0,O$2&gt;1),N407,O402*$B408/Параметры!O$30)</f>
        <v>0</v>
      </c>
      <c r="P407" s="287">
        <f ca="1">IF(AND($B408=0,P$2&gt;1),O407,P402*$B408/Параметры!P$30)</f>
        <v>0</v>
      </c>
      <c r="Q407" s="287">
        <f ca="1">IF(AND($B408=0,Q$2&gt;1),P407,Q402*$B408/Параметры!Q$30)</f>
        <v>0</v>
      </c>
      <c r="R407" s="287">
        <f ca="1">IF(AND($B408=0,R$2&gt;1),Q407,R402*$B408/Параметры!R$30)</f>
        <v>0</v>
      </c>
      <c r="S407" s="287">
        <f ca="1">IF(AND($B408=0,S$2&gt;1),R407,S402*$B408/Параметры!S$30)</f>
        <v>0</v>
      </c>
      <c r="T407" s="287">
        <f ca="1">IF(AND($B408=0,T$2&gt;1),S407,T402*$B408/Параметры!T$30)</f>
        <v>0</v>
      </c>
      <c r="U407" s="287">
        <f ca="1">IF(AND($B408=0,U$2&gt;1),T407,U402*$B408/Параметры!U$30)</f>
        <v>0</v>
      </c>
      <c r="V407" s="287">
        <f ca="1">IF(AND($B408=0,V$2&gt;1),U407,V402*$B408/Параметры!V$30)</f>
        <v>0</v>
      </c>
      <c r="W407" s="287">
        <f ca="1">IF(AND($B408=0,W$2&gt;1),V407,W402*$B408/Параметры!W$30)</f>
        <v>0</v>
      </c>
      <c r="X407" s="287">
        <f ca="1">IF(AND($B408=0,X$2&gt;1),W407,X402*$B408/Параметры!X$30)</f>
        <v>0</v>
      </c>
      <c r="Y407" s="287">
        <f ca="1">IF(AND($B408=0,Y$2&gt;1),X407,Y402*$B408/Параметры!Y$30)</f>
        <v>0</v>
      </c>
      <c r="Z407" s="287">
        <f ca="1">IF(AND($B408=0,Z$2&gt;1),Y407,Z402*$B408/Параметры!Z$30)</f>
        <v>0</v>
      </c>
      <c r="AA407" s="287">
        <f ca="1">IF(AND($B408=0,AA$2&gt;1),Z407,AA402*$B408/Параметры!AA$30)</f>
        <v>0</v>
      </c>
      <c r="AB407" s="287">
        <f ca="1">IF(AND($B408=0,AB$2&gt;1),AA407,AB402*$B408/Параметры!AB$30)</f>
        <v>0</v>
      </c>
      <c r="AC407" s="287">
        <f ca="1">IF(AND($B408=0,AC$2&gt;1),AB407,AC402*$B408/Параметры!AC$30)</f>
        <v>0</v>
      </c>
      <c r="AD407" s="287">
        <f ca="1">IF(AND($B408=0,AD$2&gt;1),AC407,AD402*$B408/Параметры!AD$30)</f>
        <v>0</v>
      </c>
      <c r="AE407" s="287">
        <f ca="1">IF(AND($B408=0,AE$2&gt;1),AD407,AE402*$B408/Параметры!AE$30)</f>
        <v>0</v>
      </c>
      <c r="AF407" s="287">
        <f ca="1">IF(AND($B408=0,AF$2&gt;1),AE407,AF402*$B408/Параметры!AF$30)</f>
        <v>0</v>
      </c>
      <c r="AG407" s="287">
        <f ca="1">IF(AND($B408=0,AG$2&gt;1),AF407,AG402*$B408/Параметры!AG$30)</f>
        <v>0</v>
      </c>
      <c r="AH407" s="287">
        <f ca="1">IF(AND($B408=0,AH$2&gt;1),AG407,AH402*$B408/Параметры!AH$30)</f>
        <v>0</v>
      </c>
      <c r="AI407" s="287">
        <f ca="1">IF(AND($B408=0,AI$2&gt;1),AH407,AI402*$B408/Параметры!AI$30)</f>
        <v>0</v>
      </c>
      <c r="AJ407" s="287">
        <f ca="1">IF(AND($B408=0,AJ$2&gt;1),AI407,AJ402*$B408/Параметры!AJ$30)</f>
        <v>0</v>
      </c>
      <c r="AK407" s="287">
        <f ca="1">IF(AND($B408=0,AK$2&gt;1),AJ407,AK402*$B408/Параметры!AK$30)</f>
        <v>0</v>
      </c>
      <c r="AL407" s="287">
        <f ca="1">IF(AND($B408=0,AL$2&gt;1),AK407,AL402*$B408/Параметры!AL$30)</f>
        <v>0</v>
      </c>
      <c r="AM407" s="287">
        <f ca="1">IF(AND($B408=0,AM$2&gt;1),AL407,AM402*$B408/Параметры!AM$30)</f>
        <v>0</v>
      </c>
      <c r="AN407" s="287">
        <f ca="1">IF(AND($B408=0,AN$2&gt;1),AM407,AN402*$B408/Параметры!AN$30)</f>
        <v>0</v>
      </c>
      <c r="AO407" s="287">
        <f ca="1">IF(AND($B408=0,AO$2&gt;1),AN407,AO402*$B408/Параметры!AO$30)</f>
        <v>0</v>
      </c>
      <c r="AP407" s="287">
        <f ca="1">IF(AND($B408=0,AP$2&gt;1),AO407,AP402*$B408/Параметры!AP$30)</f>
        <v>0</v>
      </c>
      <c r="AQ407" s="287">
        <f ca="1">IF(AND($B408=0,AQ$2&gt;1),AP407,AQ402*$B408/Параметры!AQ$30)</f>
        <v>0</v>
      </c>
      <c r="AR407" s="287">
        <f ca="1">IF(AND($B408=0,AR$2&gt;1),AQ407,AR402*$B408/Параметры!AR$30)</f>
        <v>0</v>
      </c>
      <c r="AS407" s="287">
        <f ca="1">IF(AND($B408=0,AS$2&gt;1),AR407,AS402*$B408/Параметры!AS$30)</f>
        <v>0</v>
      </c>
      <c r="AT407" s="287">
        <f ca="1">IF(AND($B408=0,AT$2&gt;1),AS407,AT402*$B408/Параметры!AT$30)</f>
        <v>0</v>
      </c>
      <c r="AU407" s="287">
        <f ca="1">IF(AND($B408=0,AU$2&gt;1),AT407,AU402*$B408/Параметры!AU$30)</f>
        <v>0</v>
      </c>
      <c r="AV407" s="287">
        <f ca="1">IF(AND($B408=0,AV$2&gt;1),AU407,AV402*$B408/Параметры!AV$30)</f>
        <v>0</v>
      </c>
      <c r="AW407" s="287">
        <f ca="1">IF(AND($B408=0,AW$2&gt;1),AV407,AW402*$B408/Параметры!AW$30)</f>
        <v>0</v>
      </c>
      <c r="AX407" s="287">
        <f ca="1">IF(AND($B408=0,AX$2&gt;1),AW407,AX402*$B408/Параметры!AX$30)</f>
        <v>0</v>
      </c>
      <c r="AY407" s="287">
        <f ca="1">IF(AND($B408=0,AY$2&gt;1),AX407,AY402*$B408/Параметры!AY$30)</f>
        <v>0</v>
      </c>
      <c r="AZ407" s="287">
        <f ca="1">IF(AND($B408=0,AZ$2&gt;1),AY407,AZ402*$B408/Параметры!AZ$30)</f>
        <v>0</v>
      </c>
      <c r="BA407" s="287">
        <f ca="1">IF(AND($B408=0,BA$2&gt;1),AZ407,BA402*$B408/Параметры!BA$30)</f>
        <v>0</v>
      </c>
      <c r="BB407" s="287">
        <f ca="1">IF(AND($B408=0,BB$2&gt;1),BA407,BB402*$B408/Параметры!BB$30)</f>
        <v>0</v>
      </c>
      <c r="BC407" s="185"/>
      <c r="BD407" s="193"/>
    </row>
    <row r="408" spans="1:56" s="170" customFormat="1" hidden="1" outlineLevel="1" x14ac:dyDescent="0.3">
      <c r="A408" s="187" t="str">
        <f ca="1">Language!A$731</f>
        <v>длительность производственного цикла</v>
      </c>
      <c r="B408" s="288">
        <v>0</v>
      </c>
      <c r="C408" s="163" t="str">
        <f ca="1">Language!$A$1474</f>
        <v>дней</v>
      </c>
      <c r="D408" s="174"/>
      <c r="F408" s="170" t="s">
        <v>2347</v>
      </c>
      <c r="G408" s="185"/>
      <c r="H408" s="185"/>
      <c r="I408" s="185"/>
      <c r="J408" s="185"/>
      <c r="K408" s="185"/>
      <c r="L408" s="185"/>
      <c r="M408" s="185"/>
      <c r="N408" s="185"/>
      <c r="O408" s="185"/>
      <c r="P408" s="185"/>
      <c r="Q408" s="185"/>
      <c r="R408" s="185"/>
      <c r="S408" s="185"/>
      <c r="T408" s="185"/>
      <c r="U408" s="185"/>
      <c r="V408" s="185"/>
      <c r="W408" s="185"/>
      <c r="X408" s="185"/>
      <c r="Y408" s="185"/>
      <c r="Z408" s="185"/>
      <c r="AA408" s="185"/>
      <c r="AB408" s="185"/>
      <c r="AC408" s="185"/>
      <c r="AD408" s="185"/>
      <c r="AE408" s="185"/>
      <c r="AF408" s="185"/>
      <c r="AG408" s="185"/>
      <c r="AH408" s="185"/>
      <c r="AI408" s="185"/>
      <c r="AJ408" s="185"/>
      <c r="AK408" s="185"/>
      <c r="AL408" s="185"/>
      <c r="AM408" s="185"/>
      <c r="AN408" s="185"/>
      <c r="AO408" s="185"/>
      <c r="AP408" s="185"/>
      <c r="AQ408" s="185"/>
      <c r="AR408" s="185"/>
      <c r="AS408" s="185"/>
      <c r="AT408" s="185"/>
      <c r="AU408" s="185"/>
      <c r="AV408" s="185"/>
      <c r="AW408" s="185"/>
      <c r="AX408" s="185"/>
      <c r="AY408" s="185"/>
      <c r="AZ408" s="185"/>
      <c r="BA408" s="185"/>
      <c r="BB408" s="185"/>
      <c r="BC408" s="185"/>
      <c r="BD408" s="193"/>
    </row>
    <row r="409" spans="1:56" hidden="1" outlineLevel="1" x14ac:dyDescent="0.3">
      <c r="A409" s="175" t="str">
        <f ca="1">Language!A$733</f>
        <v>списано на продажи в отчете о прибылях и убытках</v>
      </c>
      <c r="B409" s="163"/>
      <c r="C409" s="194" t="str">
        <f t="shared" ca="1" si="1849"/>
        <v>руб.</v>
      </c>
      <c r="D409" s="174"/>
      <c r="F409" s="170" t="s">
        <v>740</v>
      </c>
      <c r="G409" s="201">
        <f t="shared" ref="G409:BB409" ca="1" si="1929">G402-IF(G$2=1, G405+G407, G405+G407-F405-F407)</f>
        <v>0</v>
      </c>
      <c r="H409" s="201">
        <f t="shared" ca="1" si="1929"/>
        <v>0</v>
      </c>
      <c r="I409" s="201">
        <f t="shared" ca="1" si="1929"/>
        <v>0</v>
      </c>
      <c r="J409" s="201">
        <f t="shared" ca="1" si="1929"/>
        <v>0</v>
      </c>
      <c r="K409" s="201">
        <f t="shared" ca="1" si="1929"/>
        <v>0</v>
      </c>
      <c r="L409" s="201">
        <f t="shared" ca="1" si="1929"/>
        <v>0</v>
      </c>
      <c r="M409" s="201">
        <f t="shared" ca="1" si="1929"/>
        <v>47205.464196425397</v>
      </c>
      <c r="N409" s="201">
        <f t="shared" ca="1" si="1929"/>
        <v>47435.23918036199</v>
      </c>
      <c r="O409" s="201">
        <f t="shared" ca="1" si="1929"/>
        <v>47666.132605651539</v>
      </c>
      <c r="P409" s="201">
        <f t="shared" ca="1" si="1929"/>
        <v>47898.149916363902</v>
      </c>
      <c r="Q409" s="201">
        <f t="shared" ca="1" si="1929"/>
        <v>48131.296583068186</v>
      </c>
      <c r="R409" s="201">
        <f t="shared" ca="1" si="1929"/>
        <v>48365.578102961794</v>
      </c>
      <c r="S409" s="201">
        <f t="shared" ca="1" si="1929"/>
        <v>48601.000000000015</v>
      </c>
      <c r="T409" s="201">
        <f t="shared" ca="1" si="1929"/>
        <v>48837.567825026257</v>
      </c>
      <c r="U409" s="201">
        <f t="shared" ca="1" si="1929"/>
        <v>49075.287155902945</v>
      </c>
      <c r="V409" s="201">
        <f t="shared" ca="1" si="1929"/>
        <v>49314.163597643033</v>
      </c>
      <c r="W409" s="201">
        <f t="shared" ca="1" si="1929"/>
        <v>49554.202782542154</v>
      </c>
      <c r="X409" s="201">
        <f t="shared" ca="1" si="1929"/>
        <v>49795.410370311445</v>
      </c>
      <c r="Y409" s="201">
        <f t="shared" ca="1" si="1929"/>
        <v>50037.79204821094</v>
      </c>
      <c r="Z409" s="201">
        <f t="shared" ca="1" si="1929"/>
        <v>50281.353531183733</v>
      </c>
      <c r="AA409" s="201">
        <f t="shared" ca="1" si="1929"/>
        <v>50526.100561990657</v>
      </c>
      <c r="AB409" s="201">
        <f t="shared" ca="1" si="1929"/>
        <v>50772.038911345757</v>
      </c>
      <c r="AC409" s="201">
        <f t="shared" ca="1" si="1929"/>
        <v>51019.174378052296</v>
      </c>
      <c r="AD409" s="201">
        <f t="shared" ca="1" si="1929"/>
        <v>51267.512789139524</v>
      </c>
      <c r="AE409" s="201">
        <f t="shared" ca="1" si="1929"/>
        <v>51517.060000000027</v>
      </c>
      <c r="AF409" s="201">
        <f t="shared" ca="1" si="1929"/>
        <v>51767.821894527842</v>
      </c>
      <c r="AG409" s="201">
        <f t="shared" ca="1" si="1929"/>
        <v>52019.804385257128</v>
      </c>
      <c r="AH409" s="201">
        <f t="shared" ca="1" si="1929"/>
        <v>52273.013413501627</v>
      </c>
      <c r="AI409" s="201">
        <f t="shared" ca="1" si="1929"/>
        <v>52527.454949494699</v>
      </c>
      <c r="AJ409" s="201">
        <f t="shared" ca="1" si="1929"/>
        <v>52783.134992530147</v>
      </c>
      <c r="AK409" s="201">
        <f t="shared" ca="1" si="1929"/>
        <v>53040.059571103615</v>
      </c>
      <c r="AL409" s="201">
        <f t="shared" ca="1" si="1929"/>
        <v>53298.234743054767</v>
      </c>
      <c r="AM409" s="201">
        <f t="shared" ca="1" si="1929"/>
        <v>53557.6665957101</v>
      </c>
      <c r="AN409" s="201">
        <f t="shared" ca="1" si="1929"/>
        <v>53818.361246026507</v>
      </c>
      <c r="AO409" s="201">
        <f t="shared" ca="1" si="1929"/>
        <v>54080.32484073544</v>
      </c>
      <c r="AP409" s="201">
        <f t="shared" ca="1" si="1929"/>
        <v>54343.563556487905</v>
      </c>
      <c r="AQ409" s="201">
        <f t="shared" ca="1" si="1929"/>
        <v>54608.083600000042</v>
      </c>
      <c r="AR409" s="201">
        <f t="shared" ca="1" si="1929"/>
        <v>54873.891208199515</v>
      </c>
      <c r="AS409" s="201">
        <f t="shared" ca="1" si="1929"/>
        <v>55140.992648372558</v>
      </c>
      <c r="AT409" s="201">
        <f t="shared" ca="1" si="1929"/>
        <v>55409.394218311718</v>
      </c>
      <c r="AU409" s="201">
        <f t="shared" ca="1" si="1929"/>
        <v>55679.102246464376</v>
      </c>
      <c r="AV409" s="201">
        <f t="shared" ca="1" si="1929"/>
        <v>55950.123092081951</v>
      </c>
      <c r="AW409" s="201">
        <f t="shared" ca="1" si="1929"/>
        <v>56222.463145369824</v>
      </c>
      <c r="AX409" s="201">
        <f t="shared" ca="1" si="1929"/>
        <v>56496.128827638051</v>
      </c>
      <c r="AY409" s="201">
        <f t="shared" ca="1" si="1929"/>
        <v>56771.126591452718</v>
      </c>
      <c r="AZ409" s="201">
        <f t="shared" ca="1" si="1929"/>
        <v>57047.462920788108</v>
      </c>
      <c r="BA409" s="201">
        <f t="shared" ca="1" si="1929"/>
        <v>57325.144331179574</v>
      </c>
      <c r="BB409" s="201">
        <f t="shared" ca="1" si="1929"/>
        <v>57604.177369877172</v>
      </c>
      <c r="BC409" s="201"/>
      <c r="BD409" s="178">
        <f ca="1">SUM(G409:BC409)</f>
        <v>2193938.0549243474</v>
      </c>
    </row>
    <row r="410" spans="1:56" x14ac:dyDescent="0.3">
      <c r="A410" s="195" t="str">
        <f ca="1">Language!A$734</f>
        <v>Итого: затраты на персонал, с соц. взносами</v>
      </c>
      <c r="B410" s="209"/>
      <c r="C410" s="194" t="str">
        <f t="shared" ca="1" si="1849"/>
        <v>руб.</v>
      </c>
      <c r="D410" s="174">
        <v>1</v>
      </c>
      <c r="F410" s="170" t="s">
        <v>740</v>
      </c>
      <c r="G410" s="210">
        <f t="shared" ref="G410:M410" ca="1" si="1930">G386+G394+G402</f>
        <v>0</v>
      </c>
      <c r="H410" s="210">
        <f t="shared" ca="1" si="1930"/>
        <v>0</v>
      </c>
      <c r="I410" s="210">
        <f t="shared" ca="1" si="1930"/>
        <v>0</v>
      </c>
      <c r="J410" s="210">
        <f t="shared" ca="1" si="1930"/>
        <v>0</v>
      </c>
      <c r="K410" s="210">
        <f t="shared" ca="1" si="1930"/>
        <v>0</v>
      </c>
      <c r="L410" s="210">
        <f t="shared" ca="1" si="1930"/>
        <v>0</v>
      </c>
      <c r="M410" s="210">
        <f t="shared" ca="1" si="1930"/>
        <v>1315009.3597575647</v>
      </c>
      <c r="N410" s="210">
        <f t="shared" ref="N410:O410" ca="1" si="1931">N386+N394+N402</f>
        <v>1321410.2343100843</v>
      </c>
      <c r="O410" s="210">
        <f t="shared" ca="1" si="1931"/>
        <v>1327842.2654431504</v>
      </c>
      <c r="P410" s="210">
        <f t="shared" ref="P410:Q410" ca="1" si="1932">P386+P394+P402</f>
        <v>1334305.6048129944</v>
      </c>
      <c r="Q410" s="210">
        <f t="shared" ca="1" si="1932"/>
        <v>1340800.4048140424</v>
      </c>
      <c r="R410" s="210">
        <f t="shared" ref="R410:S410" ca="1" si="1933">R386+R394+R402</f>
        <v>1347326.8185825073</v>
      </c>
      <c r="S410" s="210">
        <f t="shared" ca="1" si="1933"/>
        <v>1353885.0000000005</v>
      </c>
      <c r="T410" s="210">
        <f t="shared" ref="T410:U410" ca="1" si="1934">T386+T394+T402</f>
        <v>1360475.10369716</v>
      </c>
      <c r="U410" s="210">
        <f t="shared" ca="1" si="1934"/>
        <v>1367097.285057296</v>
      </c>
      <c r="V410" s="210">
        <f t="shared" ref="V410:W410" ca="1" si="1935">V386+V394+V402</f>
        <v>1373751.7002200559</v>
      </c>
      <c r="W410" s="210">
        <f t="shared" ca="1" si="1935"/>
        <v>1380438.5060851029</v>
      </c>
      <c r="X410" s="210">
        <f t="shared" ref="X410:Y410" ca="1" si="1936">X386+X394+X402</f>
        <v>1387157.860315819</v>
      </c>
      <c r="Y410" s="210">
        <f t="shared" ca="1" si="1936"/>
        <v>1393909.921343019</v>
      </c>
      <c r="Z410" s="210">
        <f t="shared" ref="Z410:AA410" ca="1" si="1937">Z386+Z394+Z402</f>
        <v>1400694.8483686894</v>
      </c>
      <c r="AA410" s="210">
        <f t="shared" ca="1" si="1937"/>
        <v>1407512.8013697397</v>
      </c>
      <c r="AB410" s="210">
        <f t="shared" ref="AB410:AC410" ca="1" si="1938">AB386+AB394+AB402</f>
        <v>1414363.9411017743</v>
      </c>
      <c r="AC410" s="210">
        <f t="shared" ca="1" si="1938"/>
        <v>1421248.4291028855</v>
      </c>
      <c r="AD410" s="210">
        <f t="shared" ref="AD410:AE410" ca="1" si="1939">AD386+AD394+AD402</f>
        <v>1428166.4276974578</v>
      </c>
      <c r="AE410" s="210">
        <f t="shared" ca="1" si="1939"/>
        <v>1435118.1000000006</v>
      </c>
      <c r="AF410" s="210">
        <f t="shared" ref="AF410:AG410" ca="1" si="1940">AF386+AF394+AF402</f>
        <v>1442103.6099189897</v>
      </c>
      <c r="AG410" s="210">
        <f t="shared" ca="1" si="1940"/>
        <v>1449123.1221607344</v>
      </c>
      <c r="AH410" s="210">
        <f t="shared" ref="AH410:AI410" ca="1" si="1941">AH386+AH394+AH402</f>
        <v>1456176.8022332597</v>
      </c>
      <c r="AI410" s="210">
        <f t="shared" ca="1" si="1941"/>
        <v>1463264.8164502091</v>
      </c>
      <c r="AJ410" s="210">
        <f t="shared" ref="AJ410:AK410" ca="1" si="1942">AJ386+AJ394+AJ402</f>
        <v>1470387.331934768</v>
      </c>
      <c r="AK410" s="210">
        <f t="shared" ca="1" si="1942"/>
        <v>1477544.5166236004</v>
      </c>
      <c r="AL410" s="210">
        <f t="shared" ref="AL410:AM410" ca="1" si="1943">AL386+AL394+AL402</f>
        <v>1484736.5392708112</v>
      </c>
      <c r="AM410" s="210">
        <f t="shared" ca="1" si="1943"/>
        <v>1491963.5694519244</v>
      </c>
      <c r="AN410" s="210">
        <f t="shared" ref="AN410:AO410" ca="1" si="1944">AN386+AN394+AN402</f>
        <v>1499225.7775678812</v>
      </c>
      <c r="AO410" s="210">
        <f t="shared" ca="1" si="1944"/>
        <v>1506523.3348490587</v>
      </c>
      <c r="AP410" s="210">
        <f t="shared" ref="AP410:AQ410" ca="1" si="1945">AP386+AP394+AP402</f>
        <v>1513856.4133593058</v>
      </c>
      <c r="AQ410" s="210">
        <f t="shared" ca="1" si="1945"/>
        <v>1521225.1860000007</v>
      </c>
      <c r="AR410" s="210">
        <f t="shared" ref="AR410:AS410" ca="1" si="1946">AR386+AR394+AR402</f>
        <v>1528629.8265141293</v>
      </c>
      <c r="AS410" s="210">
        <f t="shared" ca="1" si="1946"/>
        <v>1536070.5094903784</v>
      </c>
      <c r="AT410" s="210">
        <f t="shared" ref="AT410:AU410" ca="1" si="1947">AT386+AT394+AT402</f>
        <v>1543547.4103672546</v>
      </c>
      <c r="AU410" s="210">
        <f t="shared" ca="1" si="1947"/>
        <v>1551060.7054372218</v>
      </c>
      <c r="AV410" s="210">
        <f t="shared" ref="AV410:AW410" ca="1" si="1948">AV386+AV394+AV402</f>
        <v>1558610.5718508544</v>
      </c>
      <c r="AW410" s="210">
        <f t="shared" ca="1" si="1948"/>
        <v>1566197.1876210168</v>
      </c>
      <c r="AX410" s="210">
        <f t="shared" ref="AX410:AY410" ca="1" si="1949">AX386+AX394+AX402</f>
        <v>1573820.7316270599</v>
      </c>
      <c r="AY410" s="210">
        <f t="shared" ca="1" si="1949"/>
        <v>1581481.38361904</v>
      </c>
      <c r="AZ410" s="210">
        <f t="shared" ref="AZ410:BA410" ca="1" si="1950">AZ386+AZ394+AZ402</f>
        <v>1589179.3242219544</v>
      </c>
      <c r="BA410" s="210">
        <f t="shared" ca="1" si="1950"/>
        <v>1596914.7349400024</v>
      </c>
      <c r="BB410" s="210">
        <f t="shared" ref="BB410" ca="1" si="1951">BB386+BB394+BB402</f>
        <v>1604687.798160864</v>
      </c>
      <c r="BC410" s="210"/>
      <c r="BD410" s="211">
        <f ca="1">SUM(G410:BC410)</f>
        <v>61116845.81574966</v>
      </c>
    </row>
    <row r="411" spans="1:56" collapsed="1" x14ac:dyDescent="0.3">
      <c r="A411" s="169" t="str">
        <f ca="1">Language!A$735</f>
        <v>Численность персонала</v>
      </c>
      <c r="B411" s="189"/>
      <c r="C411" s="194" t="str">
        <f ca="1">Language!$A$1483</f>
        <v>человек</v>
      </c>
      <c r="D411" s="174"/>
      <c r="F411" s="170" t="s">
        <v>1110</v>
      </c>
      <c r="G411" s="177">
        <f t="shared" ref="G411:BB411" si="1952">SUM(G$308,G$317,G$326,G$335,G$344,G$356,G$365,G$377)</f>
        <v>0</v>
      </c>
      <c r="H411" s="177">
        <f t="shared" si="1952"/>
        <v>0</v>
      </c>
      <c r="I411" s="177">
        <f t="shared" si="1952"/>
        <v>0</v>
      </c>
      <c r="J411" s="177">
        <f t="shared" si="1952"/>
        <v>0</v>
      </c>
      <c r="K411" s="177">
        <f t="shared" si="1952"/>
        <v>0</v>
      </c>
      <c r="L411" s="177">
        <f t="shared" si="1952"/>
        <v>0</v>
      </c>
      <c r="M411" s="177">
        <f t="shared" si="1952"/>
        <v>25</v>
      </c>
      <c r="N411" s="177">
        <f t="shared" si="1952"/>
        <v>25</v>
      </c>
      <c r="O411" s="177">
        <f t="shared" si="1952"/>
        <v>25</v>
      </c>
      <c r="P411" s="177">
        <f t="shared" si="1952"/>
        <v>25</v>
      </c>
      <c r="Q411" s="177">
        <f t="shared" si="1952"/>
        <v>25</v>
      </c>
      <c r="R411" s="177">
        <f t="shared" si="1952"/>
        <v>25</v>
      </c>
      <c r="S411" s="177">
        <f t="shared" si="1952"/>
        <v>25</v>
      </c>
      <c r="T411" s="177">
        <f t="shared" si="1952"/>
        <v>25</v>
      </c>
      <c r="U411" s="177">
        <f t="shared" si="1952"/>
        <v>25</v>
      </c>
      <c r="V411" s="177">
        <f t="shared" si="1952"/>
        <v>25</v>
      </c>
      <c r="W411" s="177">
        <f t="shared" si="1952"/>
        <v>25</v>
      </c>
      <c r="X411" s="177">
        <f t="shared" si="1952"/>
        <v>25</v>
      </c>
      <c r="Y411" s="177">
        <f t="shared" si="1952"/>
        <v>25</v>
      </c>
      <c r="Z411" s="177">
        <f t="shared" si="1952"/>
        <v>25</v>
      </c>
      <c r="AA411" s="177">
        <f t="shared" si="1952"/>
        <v>25</v>
      </c>
      <c r="AB411" s="177">
        <f t="shared" si="1952"/>
        <v>25</v>
      </c>
      <c r="AC411" s="177">
        <f t="shared" si="1952"/>
        <v>25</v>
      </c>
      <c r="AD411" s="177">
        <f t="shared" si="1952"/>
        <v>25</v>
      </c>
      <c r="AE411" s="177">
        <f t="shared" si="1952"/>
        <v>25</v>
      </c>
      <c r="AF411" s="177">
        <f t="shared" si="1952"/>
        <v>25</v>
      </c>
      <c r="AG411" s="177">
        <f t="shared" si="1952"/>
        <v>25</v>
      </c>
      <c r="AH411" s="177">
        <f t="shared" si="1952"/>
        <v>25</v>
      </c>
      <c r="AI411" s="177">
        <f t="shared" si="1952"/>
        <v>25</v>
      </c>
      <c r="AJ411" s="177">
        <f t="shared" si="1952"/>
        <v>25</v>
      </c>
      <c r="AK411" s="177">
        <f t="shared" si="1952"/>
        <v>25</v>
      </c>
      <c r="AL411" s="177">
        <f t="shared" si="1952"/>
        <v>25</v>
      </c>
      <c r="AM411" s="177">
        <f t="shared" si="1952"/>
        <v>25</v>
      </c>
      <c r="AN411" s="177">
        <f t="shared" si="1952"/>
        <v>25</v>
      </c>
      <c r="AO411" s="177">
        <f t="shared" si="1952"/>
        <v>25</v>
      </c>
      <c r="AP411" s="177">
        <f t="shared" si="1952"/>
        <v>25</v>
      </c>
      <c r="AQ411" s="177">
        <f t="shared" si="1952"/>
        <v>25</v>
      </c>
      <c r="AR411" s="177">
        <f t="shared" si="1952"/>
        <v>25</v>
      </c>
      <c r="AS411" s="177">
        <f t="shared" si="1952"/>
        <v>25</v>
      </c>
      <c r="AT411" s="177">
        <f t="shared" si="1952"/>
        <v>25</v>
      </c>
      <c r="AU411" s="177">
        <f t="shared" si="1952"/>
        <v>25</v>
      </c>
      <c r="AV411" s="177">
        <f t="shared" si="1952"/>
        <v>25</v>
      </c>
      <c r="AW411" s="177">
        <f t="shared" si="1952"/>
        <v>25</v>
      </c>
      <c r="AX411" s="177">
        <f t="shared" si="1952"/>
        <v>25</v>
      </c>
      <c r="AY411" s="177">
        <f t="shared" si="1952"/>
        <v>25</v>
      </c>
      <c r="AZ411" s="177">
        <f t="shared" si="1952"/>
        <v>25</v>
      </c>
      <c r="BA411" s="177">
        <f t="shared" si="1952"/>
        <v>25</v>
      </c>
      <c r="BB411" s="177">
        <f t="shared" si="1952"/>
        <v>25</v>
      </c>
      <c r="BC411" s="177"/>
      <c r="BD411" s="178"/>
    </row>
    <row r="412" spans="1:56" hidden="1" outlineLevel="1" x14ac:dyDescent="0.3">
      <c r="A412" s="175" t="str">
        <f ca="1">Language!A$736</f>
        <v>заработная плата</v>
      </c>
      <c r="B412" s="189"/>
      <c r="C412" s="194" t="str">
        <f t="shared" ca="1" si="1849"/>
        <v>руб.</v>
      </c>
      <c r="D412" s="174">
        <v>1</v>
      </c>
      <c r="F412" s="170" t="s">
        <v>740</v>
      </c>
      <c r="G412" s="177">
        <f t="shared" ref="G412:K413" ca="1" si="1953">G387+G395+G403</f>
        <v>0</v>
      </c>
      <c r="H412" s="177">
        <f t="shared" ca="1" si="1953"/>
        <v>0</v>
      </c>
      <c r="I412" s="177">
        <f t="shared" ca="1" si="1953"/>
        <v>0</v>
      </c>
      <c r="J412" s="177">
        <f t="shared" ca="1" si="1953"/>
        <v>0</v>
      </c>
      <c r="K412" s="177">
        <f t="shared" ca="1" si="1953"/>
        <v>0</v>
      </c>
      <c r="L412" s="177">
        <f t="shared" ref="L412:M412" ca="1" si="1954">L387+L395+L403</f>
        <v>0</v>
      </c>
      <c r="M412" s="177">
        <f t="shared" ca="1" si="1954"/>
        <v>1003823.9387462324</v>
      </c>
      <c r="N412" s="177">
        <f t="shared" ref="N412:O412" ca="1" si="1955">N387+N395+N403</f>
        <v>1008710.1025267817</v>
      </c>
      <c r="O412" s="177">
        <f t="shared" ca="1" si="1955"/>
        <v>1013620.0499566032</v>
      </c>
      <c r="P412" s="177">
        <f t="shared" ref="P412:Q412" ca="1" si="1956">P387+P395+P403</f>
        <v>1018553.8968038126</v>
      </c>
      <c r="Q412" s="177">
        <f t="shared" ca="1" si="1956"/>
        <v>1023511.7594000323</v>
      </c>
      <c r="R412" s="177">
        <f t="shared" ref="R412:S412" ca="1" si="1957">R387+R395+R403</f>
        <v>1028493.7546431352</v>
      </c>
      <c r="S412" s="177">
        <f t="shared" ca="1" si="1957"/>
        <v>1033500.0000000002</v>
      </c>
      <c r="T412" s="177">
        <f t="shared" ref="T412:U412" ca="1" si="1958">T387+T395+T403</f>
        <v>1038530.6135092824</v>
      </c>
      <c r="U412" s="177">
        <f t="shared" ca="1" si="1958"/>
        <v>1043585.7137841955</v>
      </c>
      <c r="V412" s="177">
        <f t="shared" ref="V412:W412" ca="1" si="1959">V387+V395+V403</f>
        <v>1048665.4200153097</v>
      </c>
      <c r="W412" s="177">
        <f t="shared" ca="1" si="1959"/>
        <v>1053769.8519733611</v>
      </c>
      <c r="X412" s="177">
        <f t="shared" ref="X412:Y412" ca="1" si="1960">X387+X395+X403</f>
        <v>1058899.1300120754</v>
      </c>
      <c r="Y412" s="177">
        <f t="shared" ca="1" si="1960"/>
        <v>1064053.3750710068</v>
      </c>
      <c r="Z412" s="177">
        <f t="shared" ref="Z412:AA412" ca="1" si="1961">Z387+Z395+Z403</f>
        <v>1069232.708678389</v>
      </c>
      <c r="AA412" s="177">
        <f t="shared" ca="1" si="1961"/>
        <v>1074437.2529539999</v>
      </c>
      <c r="AB412" s="177">
        <f t="shared" ref="AB412:AC412" ca="1" si="1962">AB387+AB395+AB403</f>
        <v>1079667.1306120416</v>
      </c>
      <c r="AC412" s="177">
        <f t="shared" ca="1" si="1962"/>
        <v>1084922.4649640347</v>
      </c>
      <c r="AD412" s="177">
        <f t="shared" ref="AD412:AE412" ca="1" si="1963">AD387+AD395+AD403</f>
        <v>1090203.3799217236</v>
      </c>
      <c r="AE412" s="177">
        <f t="shared" ca="1" si="1963"/>
        <v>1095510.0000000005</v>
      </c>
      <c r="AF412" s="177">
        <f t="shared" ref="AF412:AG412" ca="1" si="1964">AF387+AF395+AF403</f>
        <v>1100842.4503198394</v>
      </c>
      <c r="AG412" s="177">
        <f t="shared" ca="1" si="1964"/>
        <v>1106200.8566112476</v>
      </c>
      <c r="AH412" s="177">
        <f t="shared" ref="AH412:AI412" ca="1" si="1965">AH387+AH395+AH403</f>
        <v>1111585.3452162286</v>
      </c>
      <c r="AI412" s="177">
        <f t="shared" ca="1" si="1965"/>
        <v>1116996.0430917628</v>
      </c>
      <c r="AJ412" s="177">
        <f t="shared" ref="AJ412:AK412" ca="1" si="1966">AJ387+AJ395+AJ403</f>
        <v>1122433.0778128002</v>
      </c>
      <c r="AK412" s="177">
        <f t="shared" ca="1" si="1966"/>
        <v>1127896.5775752675</v>
      </c>
      <c r="AL412" s="177">
        <f t="shared" ref="AL412:AM412" ca="1" si="1967">AL387+AL395+AL403</f>
        <v>1133386.6711990924</v>
      </c>
      <c r="AM412" s="177">
        <f t="shared" ca="1" si="1967"/>
        <v>1138903.48813124</v>
      </c>
      <c r="AN412" s="177">
        <f t="shared" ref="AN412:AO412" ca="1" si="1968">AN387+AN395+AN403</f>
        <v>1144447.1584487641</v>
      </c>
      <c r="AO412" s="177">
        <f t="shared" ca="1" si="1968"/>
        <v>1150017.8128618768</v>
      </c>
      <c r="AP412" s="177">
        <f t="shared" ref="AP412:AQ412" ca="1" si="1969">AP387+AP395+AP403</f>
        <v>1155615.5827170273</v>
      </c>
      <c r="AQ412" s="177">
        <f t="shared" ca="1" si="1969"/>
        <v>1161240.6000000006</v>
      </c>
      <c r="AR412" s="177">
        <f t="shared" ref="AR412:AS412" ca="1" si="1970">AR387+AR395+AR403</f>
        <v>1166892.99733903</v>
      </c>
      <c r="AS412" s="177">
        <f t="shared" ca="1" si="1970"/>
        <v>1172572.9080079223</v>
      </c>
      <c r="AT412" s="177">
        <f t="shared" ref="AT412:AU412" ca="1" si="1971">AT387+AT395+AT403</f>
        <v>1178280.4659292023</v>
      </c>
      <c r="AU412" s="177">
        <f t="shared" ca="1" si="1971"/>
        <v>1184015.8056772687</v>
      </c>
      <c r="AV412" s="177">
        <f t="shared" ref="AV412:AW412" ca="1" si="1972">AV387+AV395+AV403</f>
        <v>1189779.0624815682</v>
      </c>
      <c r="AW412" s="177">
        <f t="shared" ca="1" si="1972"/>
        <v>1195570.3722297838</v>
      </c>
      <c r="AX412" s="177">
        <f t="shared" ref="AX412:AY412" ca="1" si="1973">AX387+AX395+AX403</f>
        <v>1201389.8714710381</v>
      </c>
      <c r="AY412" s="177">
        <f t="shared" ca="1" si="1973"/>
        <v>1207237.6974191144</v>
      </c>
      <c r="AZ412" s="177">
        <f t="shared" ref="AZ412:BA412" ca="1" si="1974">AZ387+AZ395+AZ403</f>
        <v>1213113.9879556904</v>
      </c>
      <c r="BA412" s="177">
        <f t="shared" ca="1" si="1974"/>
        <v>1219018.8816335897</v>
      </c>
      <c r="BB412" s="177">
        <f t="shared" ref="BB412" ca="1" si="1975">BB387+BB395+BB403</f>
        <v>1224952.5176800489</v>
      </c>
      <c r="BC412" s="177"/>
      <c r="BD412" s="178">
        <f ca="1">SUM(G412:BC412)</f>
        <v>46654080.775381424</v>
      </c>
    </row>
    <row r="413" spans="1:56" hidden="1" outlineLevel="1" x14ac:dyDescent="0.3">
      <c r="A413" s="175" t="str">
        <f ca="1">Language!A$737</f>
        <v>социальные взносы</v>
      </c>
      <c r="B413" s="189"/>
      <c r="C413" s="194" t="str">
        <f t="shared" ca="1" si="1849"/>
        <v>руб.</v>
      </c>
      <c r="D413" s="174">
        <v>1</v>
      </c>
      <c r="F413" s="170" t="s">
        <v>740</v>
      </c>
      <c r="G413" s="177">
        <f t="shared" ca="1" si="1953"/>
        <v>0</v>
      </c>
      <c r="H413" s="177">
        <f t="shared" ca="1" si="1953"/>
        <v>0</v>
      </c>
      <c r="I413" s="177">
        <f t="shared" ca="1" si="1953"/>
        <v>0</v>
      </c>
      <c r="J413" s="177">
        <f t="shared" ca="1" si="1953"/>
        <v>0</v>
      </c>
      <c r="K413" s="177">
        <f t="shared" ca="1" si="1953"/>
        <v>0</v>
      </c>
      <c r="L413" s="177">
        <f t="shared" ref="L413:M413" ca="1" si="1976">L388+L396+L404</f>
        <v>0</v>
      </c>
      <c r="M413" s="177">
        <f t="shared" ca="1" si="1976"/>
        <v>311185.42101133219</v>
      </c>
      <c r="N413" s="177">
        <f t="shared" ref="N413:O413" ca="1" si="1977">N388+N396+N404</f>
        <v>312700.13178330241</v>
      </c>
      <c r="O413" s="177">
        <f t="shared" ca="1" si="1977"/>
        <v>314222.21548654704</v>
      </c>
      <c r="P413" s="177">
        <f t="shared" ref="P413:Q413" ca="1" si="1978">P388+P396+P404</f>
        <v>315751.70800918189</v>
      </c>
      <c r="Q413" s="177">
        <f t="shared" ca="1" si="1978"/>
        <v>317288.6454140101</v>
      </c>
      <c r="R413" s="177">
        <f t="shared" ref="R413:S413" ca="1" si="1979">R388+R396+R404</f>
        <v>318833.06393937202</v>
      </c>
      <c r="S413" s="177">
        <f t="shared" ca="1" si="1979"/>
        <v>320385.00000000017</v>
      </c>
      <c r="T413" s="177">
        <f t="shared" ref="T413:U413" ca="1" si="1980">T388+T396+T404</f>
        <v>321944.49018787761</v>
      </c>
      <c r="U413" s="177">
        <f t="shared" ca="1" si="1980"/>
        <v>323511.57127310062</v>
      </c>
      <c r="V413" s="177">
        <f t="shared" ref="V413:W413" ca="1" si="1981">V388+V396+V404</f>
        <v>325086.28020474606</v>
      </c>
      <c r="W413" s="177">
        <f t="shared" ca="1" si="1981"/>
        <v>326668.65411174198</v>
      </c>
      <c r="X413" s="177">
        <f t="shared" ref="X413:Y413" ca="1" si="1982">X388+X396+X404</f>
        <v>328258.73030374345</v>
      </c>
      <c r="Y413" s="177">
        <f t="shared" ca="1" si="1982"/>
        <v>329856.54627201223</v>
      </c>
      <c r="Z413" s="177">
        <f t="shared" ref="Z413:AA413" ca="1" si="1983">Z388+Z396+Z404</f>
        <v>331462.13969030068</v>
      </c>
      <c r="AA413" s="177">
        <f t="shared" ca="1" si="1983"/>
        <v>333075.54841573996</v>
      </c>
      <c r="AB413" s="177">
        <f t="shared" ref="AB413:AC413" ca="1" si="1984">AB388+AB396+AB404</f>
        <v>334696.81048973295</v>
      </c>
      <c r="AC413" s="177">
        <f t="shared" ca="1" si="1984"/>
        <v>336325.9641388508</v>
      </c>
      <c r="AD413" s="177">
        <f t="shared" ref="AD413:AE413" ca="1" si="1985">AD388+AD396+AD404</f>
        <v>337963.04777573439</v>
      </c>
      <c r="AE413" s="177">
        <f t="shared" ca="1" si="1985"/>
        <v>339608.10000000021</v>
      </c>
      <c r="AF413" s="177">
        <f t="shared" ref="AF413:AG413" ca="1" si="1986">AF388+AF396+AF404</f>
        <v>341261.15959915024</v>
      </c>
      <c r="AG413" s="177">
        <f t="shared" ca="1" si="1986"/>
        <v>342922.26554948679</v>
      </c>
      <c r="AH413" s="177">
        <f t="shared" ref="AH413:AI413" ca="1" si="1987">AH388+AH396+AH404</f>
        <v>344591.45701703092</v>
      </c>
      <c r="AI413" s="177">
        <f t="shared" ca="1" si="1987"/>
        <v>346268.77335844649</v>
      </c>
      <c r="AJ413" s="177">
        <f t="shared" ref="AJ413:AK413" ca="1" si="1988">AJ388+AJ396+AJ404</f>
        <v>347954.25412196812</v>
      </c>
      <c r="AK413" s="177">
        <f t="shared" ca="1" si="1988"/>
        <v>349647.93904833298</v>
      </c>
      <c r="AL413" s="177">
        <f t="shared" ref="AL413:AM413" ca="1" si="1989">AL388+AL396+AL404</f>
        <v>351349.86807171867</v>
      </c>
      <c r="AM413" s="177">
        <f t="shared" ca="1" si="1989"/>
        <v>353060.0813206844</v>
      </c>
      <c r="AN413" s="177">
        <f t="shared" ref="AN413:AO413" ca="1" si="1990">AN388+AN396+AN404</f>
        <v>354778.61911911698</v>
      </c>
      <c r="AO413" s="177">
        <f t="shared" ca="1" si="1990"/>
        <v>356505.52198718186</v>
      </c>
      <c r="AP413" s="177">
        <f t="shared" ref="AP413:AQ413" ca="1" si="1991">AP388+AP396+AP404</f>
        <v>358240.83064227842</v>
      </c>
      <c r="AQ413" s="177">
        <f t="shared" ca="1" si="1991"/>
        <v>359984.5860000003</v>
      </c>
      <c r="AR413" s="177">
        <f t="shared" ref="AR413:AS413" ca="1" si="1992">AR388+AR396+AR404</f>
        <v>361736.82917509932</v>
      </c>
      <c r="AS413" s="177">
        <f t="shared" ca="1" si="1992"/>
        <v>363497.60148245603</v>
      </c>
      <c r="AT413" s="177">
        <f t="shared" ref="AT413:AU413" ca="1" si="1993">AT388+AT396+AT404</f>
        <v>365266.94443805271</v>
      </c>
      <c r="AU413" s="177">
        <f t="shared" ca="1" si="1993"/>
        <v>367044.89975995326</v>
      </c>
      <c r="AV413" s="177">
        <f t="shared" ref="AV413:AW413" ca="1" si="1994">AV388+AV396+AV404</f>
        <v>368831.50936928618</v>
      </c>
      <c r="AW413" s="177">
        <f t="shared" ca="1" si="1994"/>
        <v>370626.81539123296</v>
      </c>
      <c r="AX413" s="177">
        <f t="shared" ref="AX413:AY413" ca="1" si="1995">AX388+AX396+AX404</f>
        <v>372430.8601560219</v>
      </c>
      <c r="AY413" s="177">
        <f t="shared" ca="1" si="1995"/>
        <v>374243.68619992555</v>
      </c>
      <c r="AZ413" s="177">
        <f t="shared" ref="AZ413:BA413" ca="1" si="1996">AZ388+AZ396+AZ404</f>
        <v>376065.33626626403</v>
      </c>
      <c r="BA413" s="177">
        <f t="shared" ca="1" si="1996"/>
        <v>377895.85330641281</v>
      </c>
      <c r="BB413" s="177">
        <f t="shared" ref="BB413" ca="1" si="1997">BB388+BB396+BB404</f>
        <v>379735.28048081521</v>
      </c>
      <c r="BC413" s="177"/>
      <c r="BD413" s="178">
        <f ca="1">SUM(G413:BC413)</f>
        <v>14462765.040368246</v>
      </c>
    </row>
    <row r="414" spans="1:56" s="170" customFormat="1" hidden="1" outlineLevel="1" x14ac:dyDescent="0.3">
      <c r="A414" s="184" t="str">
        <f ca="1">Language!A$739</f>
        <v>задолженность по заработной плате</v>
      </c>
      <c r="B414" s="163"/>
      <c r="C414" s="163" t="str">
        <f t="shared" ca="1" si="1849"/>
        <v>руб.</v>
      </c>
      <c r="D414" s="174"/>
      <c r="F414" s="170" t="s">
        <v>2350</v>
      </c>
      <c r="G414" s="289">
        <f ca="1">IF(AND($B415=0,G$2&gt;1),F414,G412*$B415/Параметры!G$30)</f>
        <v>0</v>
      </c>
      <c r="H414" s="289">
        <f ca="1">IF(AND($B415=0,H$2&gt;1),G414,H412*$B415/Параметры!H$30)</f>
        <v>0</v>
      </c>
      <c r="I414" s="289">
        <f ca="1">IF(AND($B415=0,I$2&gt;1),H414,I412*$B415/Параметры!I$30)</f>
        <v>0</v>
      </c>
      <c r="J414" s="289">
        <f ca="1">IF(AND($B415=0,J$2&gt;1),I414,J412*$B415/Параметры!J$30)</f>
        <v>0</v>
      </c>
      <c r="K414" s="289">
        <f ca="1">IF(AND($B415=0,K$2&gt;1),J414,K412*$B415/Параметры!K$30)</f>
        <v>0</v>
      </c>
      <c r="L414" s="289">
        <f ca="1">IF(AND($B415=0,L$2&gt;1),K414,L412*$B415/Параметры!L$30)</f>
        <v>0</v>
      </c>
      <c r="M414" s="289">
        <f ca="1">IF(AND($B415=0,M$2&gt;1),L414,M412*$B415/Параметры!M$30)</f>
        <v>501911.96937311621</v>
      </c>
      <c r="N414" s="289">
        <f ca="1">IF(AND($B415=0,N$2&gt;1),M414,N412*$B415/Параметры!N$30)</f>
        <v>504355.05126339087</v>
      </c>
      <c r="O414" s="289">
        <f ca="1">IF(AND($B415=0,O$2&gt;1),N414,O412*$B415/Параметры!O$30)</f>
        <v>506810.0249783016</v>
      </c>
      <c r="P414" s="289">
        <f ca="1">IF(AND($B415=0,P$2&gt;1),O414,P412*$B415/Параметры!P$30)</f>
        <v>509276.94840190629</v>
      </c>
      <c r="Q414" s="289">
        <f ca="1">IF(AND($B415=0,Q$2&gt;1),P414,Q412*$B415/Параметры!Q$30)</f>
        <v>511755.87970001617</v>
      </c>
      <c r="R414" s="289">
        <f ca="1">IF(AND($B415=0,R$2&gt;1),Q414,R412*$B415/Параметры!R$30)</f>
        <v>514246.87732156762</v>
      </c>
      <c r="S414" s="289">
        <f ca="1">IF(AND($B415=0,S$2&gt;1),R414,S412*$B415/Параметры!S$30)</f>
        <v>516750.00000000012</v>
      </c>
      <c r="T414" s="289">
        <f ca="1">IF(AND($B415=0,T$2&gt;1),S414,T412*$B415/Параметры!T$30)</f>
        <v>519265.30675464118</v>
      </c>
      <c r="U414" s="289">
        <f ca="1">IF(AND($B415=0,U$2&gt;1),T414,U412*$B415/Параметры!U$30)</f>
        <v>521792.85689209774</v>
      </c>
      <c r="V414" s="289">
        <f ca="1">IF(AND($B415=0,V$2&gt;1),U414,V412*$B415/Параметры!V$30)</f>
        <v>524332.71000765485</v>
      </c>
      <c r="W414" s="289">
        <f ca="1">IF(AND($B415=0,W$2&gt;1),V414,W412*$B415/Параметры!W$30)</f>
        <v>526884.92598668055</v>
      </c>
      <c r="X414" s="289">
        <f ca="1">IF(AND($B415=0,X$2&gt;1),W414,X412*$B415/Параметры!X$30)</f>
        <v>529449.56500603771</v>
      </c>
      <c r="Y414" s="289">
        <f ca="1">IF(AND($B415=0,Y$2&gt;1),X414,Y412*$B415/Параметры!Y$30)</f>
        <v>532026.68753550341</v>
      </c>
      <c r="Z414" s="289">
        <f ca="1">IF(AND($B415=0,Z$2&gt;1),Y414,Z412*$B415/Параметры!Z$30)</f>
        <v>534616.35433919448</v>
      </c>
      <c r="AA414" s="289">
        <f ca="1">IF(AND($B415=0,AA$2&gt;1),Z414,AA412*$B415/Параметры!AA$30)</f>
        <v>537218.62647699995</v>
      </c>
      <c r="AB414" s="289">
        <f ca="1">IF(AND($B415=0,AB$2&gt;1),AA414,AB412*$B415/Параметры!AB$30)</f>
        <v>539833.56530602078</v>
      </c>
      <c r="AC414" s="289">
        <f ca="1">IF(AND($B415=0,AC$2&gt;1),AB414,AC412*$B415/Параметры!AC$30)</f>
        <v>542461.23248201737</v>
      </c>
      <c r="AD414" s="289">
        <f ca="1">IF(AND($B415=0,AD$2&gt;1),AC414,AD412*$B415/Параметры!AD$30)</f>
        <v>545101.68996086181</v>
      </c>
      <c r="AE414" s="289">
        <f ca="1">IF(AND($B415=0,AE$2&gt;1),AD414,AE412*$B415/Параметры!AE$30)</f>
        <v>547755.00000000023</v>
      </c>
      <c r="AF414" s="289">
        <f ca="1">IF(AND($B415=0,AF$2&gt;1),AE414,AF412*$B415/Параметры!AF$30)</f>
        <v>550421.2251599197</v>
      </c>
      <c r="AG414" s="289">
        <f ca="1">IF(AND($B415=0,AG$2&gt;1),AF414,AG412*$B415/Параметры!AG$30)</f>
        <v>553100.42830562382</v>
      </c>
      <c r="AH414" s="289">
        <f ca="1">IF(AND($B415=0,AH$2&gt;1),AG414,AH412*$B415/Параметры!AH$30)</f>
        <v>555792.67260811431</v>
      </c>
      <c r="AI414" s="289">
        <f ca="1">IF(AND($B415=0,AI$2&gt;1),AH414,AI412*$B415/Параметры!AI$30)</f>
        <v>558498.02154588141</v>
      </c>
      <c r="AJ414" s="289">
        <f ca="1">IF(AND($B415=0,AJ$2&gt;1),AI414,AJ412*$B415/Параметры!AJ$30)</f>
        <v>561216.53890640021</v>
      </c>
      <c r="AK414" s="289">
        <f ca="1">IF(AND($B415=0,AK$2&gt;1),AJ414,AK412*$B415/Параметры!AK$30)</f>
        <v>563948.28878763376</v>
      </c>
      <c r="AL414" s="289">
        <f ca="1">IF(AND($B415=0,AL$2&gt;1),AK414,AL412*$B415/Параметры!AL$30)</f>
        <v>566693.3355995462</v>
      </c>
      <c r="AM414" s="289">
        <f ca="1">IF(AND($B415=0,AM$2&gt;1),AL414,AM412*$B415/Параметры!AM$30)</f>
        <v>569451.74406562001</v>
      </c>
      <c r="AN414" s="289">
        <f ca="1">IF(AND($B415=0,AN$2&gt;1),AM414,AN412*$B415/Параметры!AN$30)</f>
        <v>572223.57922438206</v>
      </c>
      <c r="AO414" s="289">
        <f ca="1">IF(AND($B415=0,AO$2&gt;1),AN414,AO412*$B415/Параметры!AO$30)</f>
        <v>575008.9064309384</v>
      </c>
      <c r="AP414" s="289">
        <f ca="1">IF(AND($B415=0,AP$2&gt;1),AO414,AP412*$B415/Параметры!AP$30)</f>
        <v>577807.79135851364</v>
      </c>
      <c r="AQ414" s="289">
        <f ca="1">IF(AND($B415=0,AQ$2&gt;1),AP414,AQ412*$B415/Параметры!AQ$30)</f>
        <v>580620.30000000028</v>
      </c>
      <c r="AR414" s="289">
        <f ca="1">IF(AND($B415=0,AR$2&gt;1),AQ414,AR412*$B415/Параметры!AR$30)</f>
        <v>583446.49866951501</v>
      </c>
      <c r="AS414" s="289">
        <f ca="1">IF(AND($B415=0,AS$2&gt;1),AR414,AS412*$B415/Параметры!AS$30)</f>
        <v>586286.45400396117</v>
      </c>
      <c r="AT414" s="289">
        <f ca="1">IF(AND($B415=0,AT$2&gt;1),AS414,AT412*$B415/Параметры!AT$30)</f>
        <v>589140.23296460113</v>
      </c>
      <c r="AU414" s="289">
        <f ca="1">IF(AND($B415=0,AU$2&gt;1),AT414,AU412*$B415/Параметры!AU$30)</f>
        <v>592007.90283863433</v>
      </c>
      <c r="AV414" s="289">
        <f ca="1">IF(AND($B415=0,AV$2&gt;1),AU414,AV412*$B415/Параметры!AV$30)</f>
        <v>594889.5312407841</v>
      </c>
      <c r="AW414" s="289">
        <f ca="1">IF(AND($B415=0,AW$2&gt;1),AV414,AW412*$B415/Параметры!AW$30)</f>
        <v>597785.1861148919</v>
      </c>
      <c r="AX414" s="289">
        <f ca="1">IF(AND($B415=0,AX$2&gt;1),AW414,AX412*$B415/Параметры!AX$30)</f>
        <v>600694.93573551893</v>
      </c>
      <c r="AY414" s="289">
        <f ca="1">IF(AND($B415=0,AY$2&gt;1),AX414,AY412*$B415/Параметры!AY$30)</f>
        <v>603618.84870955721</v>
      </c>
      <c r="AZ414" s="289">
        <f ca="1">IF(AND($B415=0,AZ$2&gt;1),AY414,AZ412*$B415/Параметры!AZ$30)</f>
        <v>606556.99397784518</v>
      </c>
      <c r="BA414" s="289">
        <f ca="1">IF(AND($B415=0,BA$2&gt;1),AZ414,BA412*$B415/Параметры!BA$30)</f>
        <v>609509.44081679487</v>
      </c>
      <c r="BB414" s="289">
        <f ca="1">IF(AND($B415=0,BB$2&gt;1),BA414,BB412*$B415/Параметры!BB$30)</f>
        <v>612476.25884002447</v>
      </c>
      <c r="BC414" s="188"/>
      <c r="BD414" s="186"/>
    </row>
    <row r="415" spans="1:56" s="170" customFormat="1" hidden="1" outlineLevel="1" x14ac:dyDescent="0.3">
      <c r="A415" s="187" t="str">
        <f ca="1">Language!A$738</f>
        <v>периодичность выплаты заработной платы</v>
      </c>
      <c r="B415" s="212">
        <f>B616</f>
        <v>15</v>
      </c>
      <c r="C415" s="163" t="str">
        <f ca="1">Language!$A$1474</f>
        <v>дней</v>
      </c>
      <c r="D415" s="174"/>
      <c r="G415" s="185"/>
      <c r="H415" s="185"/>
      <c r="I415" s="185"/>
      <c r="J415" s="185"/>
      <c r="K415" s="185"/>
      <c r="L415" s="185"/>
      <c r="M415" s="185"/>
      <c r="N415" s="185"/>
      <c r="O415" s="185"/>
      <c r="P415" s="185"/>
      <c r="Q415" s="185"/>
      <c r="R415" s="185"/>
      <c r="S415" s="185"/>
      <c r="T415" s="185"/>
      <c r="U415" s="185"/>
      <c r="V415" s="185"/>
      <c r="W415" s="185"/>
      <c r="X415" s="185"/>
      <c r="Y415" s="185"/>
      <c r="Z415" s="185"/>
      <c r="AA415" s="185"/>
      <c r="AB415" s="185"/>
      <c r="AC415" s="185"/>
      <c r="AD415" s="185"/>
      <c r="AE415" s="185"/>
      <c r="AF415" s="185"/>
      <c r="AG415" s="185"/>
      <c r="AH415" s="185"/>
      <c r="AI415" s="185"/>
      <c r="AJ415" s="185"/>
      <c r="AK415" s="185"/>
      <c r="AL415" s="185"/>
      <c r="AM415" s="185"/>
      <c r="AN415" s="185"/>
      <c r="AO415" s="185"/>
      <c r="AP415" s="185"/>
      <c r="AQ415" s="185"/>
      <c r="AR415" s="185"/>
      <c r="AS415" s="185"/>
      <c r="AT415" s="185"/>
      <c r="AU415" s="185"/>
      <c r="AV415" s="185"/>
      <c r="AW415" s="185"/>
      <c r="AX415" s="185"/>
      <c r="AY415" s="185"/>
      <c r="AZ415" s="185"/>
      <c r="BA415" s="185"/>
      <c r="BB415" s="185"/>
      <c r="BC415" s="185"/>
      <c r="BD415" s="186"/>
    </row>
    <row r="416" spans="1:56" s="170" customFormat="1" hidden="1" outlineLevel="1" x14ac:dyDescent="0.3">
      <c r="A416" s="184" t="str">
        <f ca="1">Language!A$741</f>
        <v>задолженность перед внебюджетными фондами</v>
      </c>
      <c r="B416" s="163"/>
      <c r="C416" s="163" t="str">
        <f t="shared" ca="1" si="1849"/>
        <v>руб.</v>
      </c>
      <c r="D416" s="174"/>
      <c r="F416" s="170" t="s">
        <v>2350</v>
      </c>
      <c r="G416" s="289">
        <f ca="1">IF(AND($B417=0,G$2&gt;1),F416,G413*$B417/Параметры!G$30)</f>
        <v>0</v>
      </c>
      <c r="H416" s="289">
        <f ca="1">IF(AND($B417=0,H$2&gt;1),G416,H413*$B417/Параметры!H$30)</f>
        <v>0</v>
      </c>
      <c r="I416" s="289">
        <f ca="1">IF(AND($B417=0,I$2&gt;1),H416,I413*$B417/Параметры!I$30)</f>
        <v>0</v>
      </c>
      <c r="J416" s="289">
        <f ca="1">IF(AND($B417=0,J$2&gt;1),I416,J413*$B417/Параметры!J$30)</f>
        <v>0</v>
      </c>
      <c r="K416" s="289">
        <f ca="1">IF(AND($B417=0,K$2&gt;1),J416,K413*$B417/Параметры!K$30)</f>
        <v>0</v>
      </c>
      <c r="L416" s="289">
        <f ca="1">IF(AND($B417=0,L$2&gt;1),K416,L413*$B417/Параметры!L$30)</f>
        <v>0</v>
      </c>
      <c r="M416" s="289">
        <f ca="1">IF(AND($B417=0,M$2&gt;1),L416,M413*$B417/Параметры!M$30)</f>
        <v>311185.42101133219</v>
      </c>
      <c r="N416" s="289">
        <f ca="1">IF(AND($B417=0,N$2&gt;1),M416,N413*$B417/Параметры!N$30)</f>
        <v>312700.13178330235</v>
      </c>
      <c r="O416" s="289">
        <f ca="1">IF(AND($B417=0,O$2&gt;1),N416,O413*$B417/Параметры!O$30)</f>
        <v>314222.21548654704</v>
      </c>
      <c r="P416" s="289">
        <f ca="1">IF(AND($B417=0,P$2&gt;1),O416,P413*$B417/Параметры!P$30)</f>
        <v>315751.70800918189</v>
      </c>
      <c r="Q416" s="289">
        <f ca="1">IF(AND($B417=0,Q$2&gt;1),P416,Q413*$B417/Параметры!Q$30)</f>
        <v>317288.6454140101</v>
      </c>
      <c r="R416" s="289">
        <f ca="1">IF(AND($B417=0,R$2&gt;1),Q416,R413*$B417/Параметры!R$30)</f>
        <v>318833.06393937202</v>
      </c>
      <c r="S416" s="289">
        <f ca="1">IF(AND($B417=0,S$2&gt;1),R416,S413*$B417/Параметры!S$30)</f>
        <v>320385.00000000017</v>
      </c>
      <c r="T416" s="289">
        <f ca="1">IF(AND($B417=0,T$2&gt;1),S416,T413*$B417/Параметры!T$30)</f>
        <v>321944.49018787761</v>
      </c>
      <c r="U416" s="289">
        <f ca="1">IF(AND($B417=0,U$2&gt;1),T416,U413*$B417/Параметры!U$30)</f>
        <v>323511.57127310062</v>
      </c>
      <c r="V416" s="289">
        <f ca="1">IF(AND($B417=0,V$2&gt;1),U416,V413*$B417/Параметры!V$30)</f>
        <v>325086.28020474606</v>
      </c>
      <c r="W416" s="289">
        <f ca="1">IF(AND($B417=0,W$2&gt;1),V416,W413*$B417/Параметры!W$30)</f>
        <v>326668.65411174198</v>
      </c>
      <c r="X416" s="289">
        <f ca="1">IF(AND($B417=0,X$2&gt;1),W416,X413*$B417/Параметры!X$30)</f>
        <v>328258.73030374345</v>
      </c>
      <c r="Y416" s="289">
        <f ca="1">IF(AND($B417=0,Y$2&gt;1),X416,Y413*$B417/Параметры!Y$30)</f>
        <v>329856.54627201223</v>
      </c>
      <c r="Z416" s="289">
        <f ca="1">IF(AND($B417=0,Z$2&gt;1),Y416,Z413*$B417/Параметры!Z$30)</f>
        <v>331462.13969030068</v>
      </c>
      <c r="AA416" s="289">
        <f ca="1">IF(AND($B417=0,AA$2&gt;1),Z416,AA413*$B417/Параметры!AA$30)</f>
        <v>333075.54841573996</v>
      </c>
      <c r="AB416" s="289">
        <f ca="1">IF(AND($B417=0,AB$2&gt;1),AA416,AB413*$B417/Параметры!AB$30)</f>
        <v>334696.81048973295</v>
      </c>
      <c r="AC416" s="289">
        <f ca="1">IF(AND($B417=0,AC$2&gt;1),AB416,AC413*$B417/Параметры!AC$30)</f>
        <v>336325.9641388508</v>
      </c>
      <c r="AD416" s="289">
        <f ca="1">IF(AND($B417=0,AD$2&gt;1),AC416,AD413*$B417/Параметры!AD$30)</f>
        <v>337963.04777573439</v>
      </c>
      <c r="AE416" s="289">
        <f ca="1">IF(AND($B417=0,AE$2&gt;1),AD416,AE413*$B417/Параметры!AE$30)</f>
        <v>339608.10000000021</v>
      </c>
      <c r="AF416" s="289">
        <f ca="1">IF(AND($B417=0,AF$2&gt;1),AE416,AF413*$B417/Параметры!AF$30)</f>
        <v>341261.15959915024</v>
      </c>
      <c r="AG416" s="289">
        <f ca="1">IF(AND($B417=0,AG$2&gt;1),AF416,AG413*$B417/Параметры!AG$30)</f>
        <v>342922.26554948679</v>
      </c>
      <c r="AH416" s="289">
        <f ca="1">IF(AND($B417=0,AH$2&gt;1),AG416,AH413*$B417/Параметры!AH$30)</f>
        <v>344591.45701703092</v>
      </c>
      <c r="AI416" s="289">
        <f ca="1">IF(AND($B417=0,AI$2&gt;1),AH416,AI413*$B417/Параметры!AI$30)</f>
        <v>346268.77335844649</v>
      </c>
      <c r="AJ416" s="289">
        <f ca="1">IF(AND($B417=0,AJ$2&gt;1),AI416,AJ413*$B417/Параметры!AJ$30)</f>
        <v>347954.25412196812</v>
      </c>
      <c r="AK416" s="289">
        <f ca="1">IF(AND($B417=0,AK$2&gt;1),AJ416,AK413*$B417/Параметры!AK$30)</f>
        <v>349647.93904833298</v>
      </c>
      <c r="AL416" s="289">
        <f ca="1">IF(AND($B417=0,AL$2&gt;1),AK416,AL413*$B417/Параметры!AL$30)</f>
        <v>351349.86807171867</v>
      </c>
      <c r="AM416" s="289">
        <f ca="1">IF(AND($B417=0,AM$2&gt;1),AL416,AM413*$B417/Параметры!AM$30)</f>
        <v>353060.0813206844</v>
      </c>
      <c r="AN416" s="289">
        <f ca="1">IF(AND($B417=0,AN$2&gt;1),AM416,AN413*$B417/Параметры!AN$30)</f>
        <v>354778.61911911698</v>
      </c>
      <c r="AO416" s="289">
        <f ca="1">IF(AND($B417=0,AO$2&gt;1),AN416,AO413*$B417/Параметры!AO$30)</f>
        <v>356505.52198718186</v>
      </c>
      <c r="AP416" s="289">
        <f ca="1">IF(AND($B417=0,AP$2&gt;1),AO416,AP413*$B417/Параметры!AP$30)</f>
        <v>358240.83064227842</v>
      </c>
      <c r="AQ416" s="289">
        <f ca="1">IF(AND($B417=0,AQ$2&gt;1),AP416,AQ413*$B417/Параметры!AQ$30)</f>
        <v>359984.5860000003</v>
      </c>
      <c r="AR416" s="289">
        <f ca="1">IF(AND($B417=0,AR$2&gt;1),AQ416,AR413*$B417/Параметры!AR$30)</f>
        <v>361736.82917509932</v>
      </c>
      <c r="AS416" s="289">
        <f ca="1">IF(AND($B417=0,AS$2&gt;1),AR416,AS413*$B417/Параметры!AS$30)</f>
        <v>363497.60148245603</v>
      </c>
      <c r="AT416" s="289">
        <f ca="1">IF(AND($B417=0,AT$2&gt;1),AS416,AT413*$B417/Параметры!AT$30)</f>
        <v>365266.94443805271</v>
      </c>
      <c r="AU416" s="289">
        <f ca="1">IF(AND($B417=0,AU$2&gt;1),AT416,AU413*$B417/Параметры!AU$30)</f>
        <v>367044.89975995326</v>
      </c>
      <c r="AV416" s="289">
        <f ca="1">IF(AND($B417=0,AV$2&gt;1),AU416,AV413*$B417/Параметры!AV$30)</f>
        <v>368831.50936928618</v>
      </c>
      <c r="AW416" s="289">
        <f ca="1">IF(AND($B417=0,AW$2&gt;1),AV416,AW413*$B417/Параметры!AW$30)</f>
        <v>370626.81539123296</v>
      </c>
      <c r="AX416" s="289">
        <f ca="1">IF(AND($B417=0,AX$2&gt;1),AW416,AX413*$B417/Параметры!AX$30)</f>
        <v>372430.8601560219</v>
      </c>
      <c r="AY416" s="289">
        <f ca="1">IF(AND($B417=0,AY$2&gt;1),AX416,AY413*$B417/Параметры!AY$30)</f>
        <v>374243.68619992555</v>
      </c>
      <c r="AZ416" s="289">
        <f ca="1">IF(AND($B417=0,AZ$2&gt;1),AY416,AZ413*$B417/Параметры!AZ$30)</f>
        <v>376065.33626626403</v>
      </c>
      <c r="BA416" s="289">
        <f ca="1">IF(AND($B417=0,BA$2&gt;1),AZ416,BA413*$B417/Параметры!BA$30)</f>
        <v>377895.85330641281</v>
      </c>
      <c r="BB416" s="289">
        <f ca="1">IF(AND($B417=0,BB$2&gt;1),BA416,BB413*$B417/Параметры!BB$30)</f>
        <v>379735.28048081521</v>
      </c>
      <c r="BC416" s="188"/>
      <c r="BD416" s="186"/>
    </row>
    <row r="417" spans="1:56" s="170" customFormat="1" hidden="1" outlineLevel="1" x14ac:dyDescent="0.3">
      <c r="A417" s="187" t="str">
        <f ca="1">Language!A$740</f>
        <v>периодичность социальных взносов</v>
      </c>
      <c r="B417" s="212">
        <f>Параметры!B92</f>
        <v>30</v>
      </c>
      <c r="C417" s="163" t="str">
        <f ca="1">Language!$A$1474</f>
        <v>дней</v>
      </c>
      <c r="D417" s="174"/>
      <c r="G417" s="185"/>
      <c r="H417" s="185"/>
      <c r="I417" s="185"/>
      <c r="J417" s="185"/>
      <c r="K417" s="185"/>
      <c r="L417" s="185"/>
      <c r="M417" s="185"/>
      <c r="N417" s="185"/>
      <c r="O417" s="185"/>
      <c r="P417" s="185"/>
      <c r="Q417" s="185"/>
      <c r="R417" s="185"/>
      <c r="S417" s="185"/>
      <c r="T417" s="185"/>
      <c r="U417" s="185"/>
      <c r="V417" s="185"/>
      <c r="W417" s="185"/>
      <c r="X417" s="185"/>
      <c r="Y417" s="185"/>
      <c r="Z417" s="185"/>
      <c r="AA417" s="185"/>
      <c r="AB417" s="185"/>
      <c r="AC417" s="185"/>
      <c r="AD417" s="185"/>
      <c r="AE417" s="185"/>
      <c r="AF417" s="185"/>
      <c r="AG417" s="185"/>
      <c r="AH417" s="185"/>
      <c r="AI417" s="185"/>
      <c r="AJ417" s="185"/>
      <c r="AK417" s="185"/>
      <c r="AL417" s="185"/>
      <c r="AM417" s="185"/>
      <c r="AN417" s="185"/>
      <c r="AO417" s="185"/>
      <c r="AP417" s="185"/>
      <c r="AQ417" s="185"/>
      <c r="AR417" s="185"/>
      <c r="AS417" s="185"/>
      <c r="AT417" s="185"/>
      <c r="AU417" s="185"/>
      <c r="AV417" s="185"/>
      <c r="AW417" s="185"/>
      <c r="AX417" s="185"/>
      <c r="AY417" s="185"/>
      <c r="AZ417" s="185"/>
      <c r="BA417" s="185"/>
      <c r="BB417" s="185"/>
      <c r="BC417" s="185"/>
      <c r="BD417" s="186"/>
    </row>
    <row r="418" spans="1:56" hidden="1" outlineLevel="1" x14ac:dyDescent="0.3">
      <c r="A418" s="175" t="str">
        <f ca="1">Language!A$742</f>
        <v>оплата расходов на заработную плату</v>
      </c>
      <c r="C418" s="194" t="str">
        <f t="shared" ca="1" si="1849"/>
        <v>руб.</v>
      </c>
      <c r="D418" s="174"/>
      <c r="F418" s="170" t="s">
        <v>740</v>
      </c>
      <c r="G418" s="177">
        <f t="shared" ref="G418:BB418" ca="1" si="1998">G412 - IF(G$2=1, G414, G414-F414)</f>
        <v>0</v>
      </c>
      <c r="H418" s="177">
        <f t="shared" ca="1" si="1998"/>
        <v>0</v>
      </c>
      <c r="I418" s="177">
        <f t="shared" ca="1" si="1998"/>
        <v>0</v>
      </c>
      <c r="J418" s="177">
        <f t="shared" ca="1" si="1998"/>
        <v>0</v>
      </c>
      <c r="K418" s="177">
        <f t="shared" ca="1" si="1998"/>
        <v>0</v>
      </c>
      <c r="L418" s="177">
        <f t="shared" ca="1" si="1998"/>
        <v>0</v>
      </c>
      <c r="M418" s="177">
        <f t="shared" ca="1" si="1998"/>
        <v>501911.96937311621</v>
      </c>
      <c r="N418" s="177">
        <f t="shared" ca="1" si="1998"/>
        <v>1006267.0206365071</v>
      </c>
      <c r="O418" s="177">
        <f t="shared" ca="1" si="1998"/>
        <v>1011165.0762416925</v>
      </c>
      <c r="P418" s="177">
        <f t="shared" ca="1" si="1998"/>
        <v>1016086.9733802079</v>
      </c>
      <c r="Q418" s="177">
        <f t="shared" ca="1" si="1998"/>
        <v>1021032.8281019225</v>
      </c>
      <c r="R418" s="177">
        <f t="shared" ca="1" si="1998"/>
        <v>1026002.7570215838</v>
      </c>
      <c r="S418" s="177">
        <f t="shared" ca="1" si="1998"/>
        <v>1030996.8773215677</v>
      </c>
      <c r="T418" s="177">
        <f t="shared" ca="1" si="1998"/>
        <v>1036015.3067546412</v>
      </c>
      <c r="U418" s="177">
        <f t="shared" ca="1" si="1998"/>
        <v>1041058.163646739</v>
      </c>
      <c r="V418" s="177">
        <f t="shared" ca="1" si="1998"/>
        <v>1046125.5668997526</v>
      </c>
      <c r="W418" s="177">
        <f t="shared" ca="1" si="1998"/>
        <v>1051217.6359943354</v>
      </c>
      <c r="X418" s="177">
        <f t="shared" ca="1" si="1998"/>
        <v>1056334.4909927184</v>
      </c>
      <c r="Y418" s="177">
        <f t="shared" ca="1" si="1998"/>
        <v>1061476.2525415411</v>
      </c>
      <c r="Z418" s="177">
        <f t="shared" ca="1" si="1998"/>
        <v>1066643.0418746979</v>
      </c>
      <c r="AA418" s="177">
        <f t="shared" ca="1" si="1998"/>
        <v>1071834.9808161943</v>
      </c>
      <c r="AB418" s="177">
        <f t="shared" ca="1" si="1998"/>
        <v>1077052.1917830207</v>
      </c>
      <c r="AC418" s="177">
        <f t="shared" ca="1" si="1998"/>
        <v>1082294.7977880382</v>
      </c>
      <c r="AD418" s="177">
        <f t="shared" ca="1" si="1998"/>
        <v>1087562.9224428791</v>
      </c>
      <c r="AE418" s="177">
        <f t="shared" ca="1" si="1998"/>
        <v>1092856.689960862</v>
      </c>
      <c r="AF418" s="177">
        <f t="shared" ca="1" si="1998"/>
        <v>1098176.2251599198</v>
      </c>
      <c r="AG418" s="177">
        <f t="shared" ca="1" si="1998"/>
        <v>1103521.6534655434</v>
      </c>
      <c r="AH418" s="177">
        <f t="shared" ca="1" si="1998"/>
        <v>1108893.1009137381</v>
      </c>
      <c r="AI418" s="177">
        <f t="shared" ca="1" si="1998"/>
        <v>1114290.6941539957</v>
      </c>
      <c r="AJ418" s="177">
        <f t="shared" ca="1" si="1998"/>
        <v>1119714.5604522815</v>
      </c>
      <c r="AK418" s="177">
        <f t="shared" ca="1" si="1998"/>
        <v>1125164.827694034</v>
      </c>
      <c r="AL418" s="177">
        <f t="shared" ca="1" si="1998"/>
        <v>1130641.62438718</v>
      </c>
      <c r="AM418" s="177">
        <f t="shared" ca="1" si="1998"/>
        <v>1136145.0796651663</v>
      </c>
      <c r="AN418" s="177">
        <f t="shared" ca="1" si="1998"/>
        <v>1141675.3232900021</v>
      </c>
      <c r="AO418" s="177">
        <f t="shared" ca="1" si="1998"/>
        <v>1147232.4856553203</v>
      </c>
      <c r="AP418" s="177">
        <f t="shared" ca="1" si="1998"/>
        <v>1152816.697789452</v>
      </c>
      <c r="AQ418" s="177">
        <f t="shared" ca="1" si="1998"/>
        <v>1158428.091358514</v>
      </c>
      <c r="AR418" s="177">
        <f t="shared" ca="1" si="1998"/>
        <v>1164066.7986695152</v>
      </c>
      <c r="AS418" s="177">
        <f t="shared" ca="1" si="1998"/>
        <v>1169732.9526734762</v>
      </c>
      <c r="AT418" s="177">
        <f t="shared" ca="1" si="1998"/>
        <v>1175426.6869685622</v>
      </c>
      <c r="AU418" s="177">
        <f t="shared" ca="1" si="1998"/>
        <v>1181148.1358032355</v>
      </c>
      <c r="AV418" s="177">
        <f t="shared" ca="1" si="1998"/>
        <v>1186897.4340794184</v>
      </c>
      <c r="AW418" s="177">
        <f t="shared" ca="1" si="1998"/>
        <v>1192674.717355676</v>
      </c>
      <c r="AX418" s="177">
        <f t="shared" ca="1" si="1998"/>
        <v>1198480.1218504109</v>
      </c>
      <c r="AY418" s="177">
        <f t="shared" ca="1" si="1998"/>
        <v>1204313.7844450762</v>
      </c>
      <c r="AZ418" s="177">
        <f t="shared" ca="1" si="1998"/>
        <v>1210175.8426874024</v>
      </c>
      <c r="BA418" s="177">
        <f t="shared" ca="1" si="1998"/>
        <v>1216066.4347946402</v>
      </c>
      <c r="BB418" s="177">
        <f t="shared" ca="1" si="1998"/>
        <v>1221985.6996568195</v>
      </c>
      <c r="BC418" s="177"/>
      <c r="BD418" s="178">
        <f ca="1">SUM(G418:BC418)</f>
        <v>46041604.516541407</v>
      </c>
    </row>
    <row r="419" spans="1:56" hidden="1" outlineLevel="1" x14ac:dyDescent="0.3">
      <c r="A419" s="175" t="str">
        <f ca="1">Language!A$743</f>
        <v>оплата социальных взносов</v>
      </c>
      <c r="C419" s="194" t="str">
        <f t="shared" ca="1" si="1849"/>
        <v>руб.</v>
      </c>
      <c r="D419" s="174"/>
      <c r="F419" s="170" t="s">
        <v>740</v>
      </c>
      <c r="G419" s="177">
        <f t="shared" ref="G419:BB419" ca="1" si="1999">G413 - IF(G$2=1, G416, G416-F416)</f>
        <v>0</v>
      </c>
      <c r="H419" s="177">
        <f t="shared" ca="1" si="1999"/>
        <v>0</v>
      </c>
      <c r="I419" s="177">
        <f t="shared" ca="1" si="1999"/>
        <v>0</v>
      </c>
      <c r="J419" s="177">
        <f t="shared" ca="1" si="1999"/>
        <v>0</v>
      </c>
      <c r="K419" s="177">
        <f t="shared" ca="1" si="1999"/>
        <v>0</v>
      </c>
      <c r="L419" s="177">
        <f t="shared" ca="1" si="1999"/>
        <v>0</v>
      </c>
      <c r="M419" s="177">
        <f t="shared" ca="1" si="1999"/>
        <v>0</v>
      </c>
      <c r="N419" s="177">
        <f t="shared" ca="1" si="1999"/>
        <v>311185.42101133225</v>
      </c>
      <c r="O419" s="177">
        <f t="shared" ca="1" si="1999"/>
        <v>312700.13178330235</v>
      </c>
      <c r="P419" s="177">
        <f t="shared" ca="1" si="1999"/>
        <v>314222.21548654704</v>
      </c>
      <c r="Q419" s="177">
        <f t="shared" ca="1" si="1999"/>
        <v>315751.70800918189</v>
      </c>
      <c r="R419" s="177">
        <f t="shared" ca="1" si="1999"/>
        <v>317288.6454140101</v>
      </c>
      <c r="S419" s="177">
        <f t="shared" ca="1" si="1999"/>
        <v>318833.06393937202</v>
      </c>
      <c r="T419" s="177">
        <f t="shared" ca="1" si="1999"/>
        <v>320385.00000000017</v>
      </c>
      <c r="U419" s="177">
        <f t="shared" ca="1" si="1999"/>
        <v>321944.49018787761</v>
      </c>
      <c r="V419" s="177">
        <f t="shared" ca="1" si="1999"/>
        <v>323511.57127310062</v>
      </c>
      <c r="W419" s="177">
        <f t="shared" ca="1" si="1999"/>
        <v>325086.28020474606</v>
      </c>
      <c r="X419" s="177">
        <f t="shared" ca="1" si="1999"/>
        <v>326668.65411174198</v>
      </c>
      <c r="Y419" s="177">
        <f t="shared" ca="1" si="1999"/>
        <v>328258.73030374345</v>
      </c>
      <c r="Z419" s="177">
        <f t="shared" ca="1" si="1999"/>
        <v>329856.54627201223</v>
      </c>
      <c r="AA419" s="177">
        <f t="shared" ca="1" si="1999"/>
        <v>331462.13969030068</v>
      </c>
      <c r="AB419" s="177">
        <f t="shared" ca="1" si="1999"/>
        <v>333075.54841573996</v>
      </c>
      <c r="AC419" s="177">
        <f t="shared" ca="1" si="1999"/>
        <v>334696.81048973295</v>
      </c>
      <c r="AD419" s="177">
        <f t="shared" ca="1" si="1999"/>
        <v>336325.9641388508</v>
      </c>
      <c r="AE419" s="177">
        <f t="shared" ca="1" si="1999"/>
        <v>337963.04777573439</v>
      </c>
      <c r="AF419" s="177">
        <f t="shared" ca="1" si="1999"/>
        <v>339608.10000000021</v>
      </c>
      <c r="AG419" s="177">
        <f t="shared" ca="1" si="1999"/>
        <v>341261.15959915024</v>
      </c>
      <c r="AH419" s="177">
        <f t="shared" ca="1" si="1999"/>
        <v>342922.26554948679</v>
      </c>
      <c r="AI419" s="177">
        <f t="shared" ca="1" si="1999"/>
        <v>344591.45701703092</v>
      </c>
      <c r="AJ419" s="177">
        <f t="shared" ca="1" si="1999"/>
        <v>346268.77335844649</v>
      </c>
      <c r="AK419" s="177">
        <f t="shared" ca="1" si="1999"/>
        <v>347954.25412196812</v>
      </c>
      <c r="AL419" s="177">
        <f t="shared" ca="1" si="1999"/>
        <v>349647.93904833298</v>
      </c>
      <c r="AM419" s="177">
        <f t="shared" ca="1" si="1999"/>
        <v>351349.86807171867</v>
      </c>
      <c r="AN419" s="177">
        <f t="shared" ca="1" si="1999"/>
        <v>353060.0813206844</v>
      </c>
      <c r="AO419" s="177">
        <f t="shared" ca="1" si="1999"/>
        <v>354778.61911911698</v>
      </c>
      <c r="AP419" s="177">
        <f t="shared" ca="1" si="1999"/>
        <v>356505.52198718186</v>
      </c>
      <c r="AQ419" s="177">
        <f t="shared" ca="1" si="1999"/>
        <v>358240.83064227842</v>
      </c>
      <c r="AR419" s="177">
        <f t="shared" ca="1" si="1999"/>
        <v>359984.5860000003</v>
      </c>
      <c r="AS419" s="177">
        <f t="shared" ca="1" si="1999"/>
        <v>361736.82917509932</v>
      </c>
      <c r="AT419" s="177">
        <f t="shared" ca="1" si="1999"/>
        <v>363497.60148245603</v>
      </c>
      <c r="AU419" s="177">
        <f t="shared" ca="1" si="1999"/>
        <v>365266.94443805271</v>
      </c>
      <c r="AV419" s="177">
        <f t="shared" ca="1" si="1999"/>
        <v>367044.89975995326</v>
      </c>
      <c r="AW419" s="177">
        <f t="shared" ca="1" si="1999"/>
        <v>368831.50936928618</v>
      </c>
      <c r="AX419" s="177">
        <f t="shared" ca="1" si="1999"/>
        <v>370626.81539123296</v>
      </c>
      <c r="AY419" s="177">
        <f t="shared" ca="1" si="1999"/>
        <v>372430.8601560219</v>
      </c>
      <c r="AZ419" s="177">
        <f t="shared" ca="1" si="1999"/>
        <v>374243.68619992555</v>
      </c>
      <c r="BA419" s="177">
        <f t="shared" ca="1" si="1999"/>
        <v>376065.33626626403</v>
      </c>
      <c r="BB419" s="177">
        <f t="shared" ca="1" si="1999"/>
        <v>377895.85330641281</v>
      </c>
      <c r="BC419" s="177"/>
      <c r="BD419" s="178">
        <f ca="1">SUM(G419:BC419)</f>
        <v>14083029.759887431</v>
      </c>
    </row>
    <row r="420" spans="1:56" x14ac:dyDescent="0.3">
      <c r="A420" s="196"/>
      <c r="B420" s="196"/>
      <c r="C420" s="196"/>
      <c r="D420" s="197"/>
      <c r="E420" s="197" t="s">
        <v>783</v>
      </c>
      <c r="F420" s="197"/>
      <c r="G420" s="196"/>
      <c r="H420" s="196"/>
      <c r="I420" s="196"/>
      <c r="J420" s="196"/>
      <c r="K420" s="196"/>
      <c r="L420" s="196"/>
      <c r="M420" s="196"/>
      <c r="N420" s="196"/>
      <c r="O420" s="196"/>
      <c r="P420" s="196"/>
      <c r="Q420" s="196"/>
      <c r="R420" s="196"/>
      <c r="S420" s="196"/>
      <c r="T420" s="196"/>
      <c r="U420" s="196"/>
      <c r="V420" s="196"/>
      <c r="W420" s="196"/>
      <c r="X420" s="196"/>
      <c r="Y420" s="196"/>
      <c r="Z420" s="196"/>
      <c r="AA420" s="196"/>
      <c r="AB420" s="196"/>
      <c r="AC420" s="196"/>
      <c r="AD420" s="196"/>
      <c r="AE420" s="196"/>
      <c r="AF420" s="196"/>
      <c r="AG420" s="196"/>
      <c r="AH420" s="196"/>
      <c r="AI420" s="196"/>
      <c r="AJ420" s="196"/>
      <c r="AK420" s="196"/>
      <c r="AL420" s="196"/>
      <c r="AM420" s="196"/>
      <c r="AN420" s="196"/>
      <c r="AO420" s="196"/>
      <c r="AP420" s="196"/>
      <c r="AQ420" s="196"/>
      <c r="AR420" s="196"/>
      <c r="AS420" s="196"/>
      <c r="AT420" s="196"/>
      <c r="AU420" s="196"/>
      <c r="AV420" s="196"/>
      <c r="AW420" s="196"/>
      <c r="AX420" s="196"/>
      <c r="AY420" s="196"/>
      <c r="AZ420" s="196"/>
      <c r="BA420" s="196"/>
      <c r="BB420" s="196"/>
      <c r="BC420" s="196"/>
      <c r="BD420" s="204"/>
    </row>
    <row r="423" spans="1:56" s="168" customFormat="1" ht="25.5" customHeight="1" thickBot="1" x14ac:dyDescent="0.35">
      <c r="A423" s="330" t="str">
        <f ca="1">Language!A1498</f>
        <v>ОПЕРАЦИОННЫЕ РАСХОДЫ</v>
      </c>
      <c r="B423" s="331"/>
      <c r="C423" s="332"/>
      <c r="D423" s="333"/>
      <c r="E423" s="333" t="s">
        <v>891</v>
      </c>
      <c r="F423" s="333"/>
      <c r="G423" s="334" t="str">
        <f ca="1">Параметры!G$34</f>
        <v>янв.25</v>
      </c>
      <c r="H423" s="334" t="str">
        <f ca="1">Параметры!H$34</f>
        <v>фев.25</v>
      </c>
      <c r="I423" s="334" t="str">
        <f ca="1">Параметры!I$34</f>
        <v>мар.25</v>
      </c>
      <c r="J423" s="334" t="str">
        <f ca="1">Параметры!J$34</f>
        <v>апр.25</v>
      </c>
      <c r="K423" s="334" t="str">
        <f ca="1">Параметры!K$34</f>
        <v>май.25</v>
      </c>
      <c r="L423" s="334" t="str">
        <f ca="1">Параметры!L$34</f>
        <v>июн.25</v>
      </c>
      <c r="M423" s="335" t="str">
        <f ca="1">Параметры!M$34</f>
        <v>июл.25</v>
      </c>
      <c r="N423" s="335" t="str">
        <f ca="1">Параметры!N$34</f>
        <v>авг.25</v>
      </c>
      <c r="O423" s="335" t="str">
        <f ca="1">Параметры!O$34</f>
        <v>сен.25</v>
      </c>
      <c r="P423" s="335" t="str">
        <f ca="1">Параметры!P$34</f>
        <v>окт.25</v>
      </c>
      <c r="Q423" s="335" t="str">
        <f ca="1">Параметры!Q$34</f>
        <v>ноя.25</v>
      </c>
      <c r="R423" s="335" t="str">
        <f ca="1">Параметры!R$34</f>
        <v>дек.25</v>
      </c>
      <c r="S423" s="335" t="str">
        <f ca="1">Параметры!S$34</f>
        <v>янв.26</v>
      </c>
      <c r="T423" s="335" t="str">
        <f ca="1">Параметры!T$34</f>
        <v>фев.26</v>
      </c>
      <c r="U423" s="335" t="str">
        <f ca="1">Параметры!U$34</f>
        <v>мар.26</v>
      </c>
      <c r="V423" s="335" t="str">
        <f ca="1">Параметры!V$34</f>
        <v>апр.26</v>
      </c>
      <c r="W423" s="335" t="str">
        <f ca="1">Параметры!W$34</f>
        <v>май.26</v>
      </c>
      <c r="X423" s="335" t="str">
        <f ca="1">Параметры!X$34</f>
        <v>июн.26</v>
      </c>
      <c r="Y423" s="335" t="str">
        <f ca="1">Параметры!Y$34</f>
        <v>июл.26</v>
      </c>
      <c r="Z423" s="335" t="str">
        <f ca="1">Параметры!Z$34</f>
        <v>авг.26</v>
      </c>
      <c r="AA423" s="335" t="str">
        <f ca="1">Параметры!AA$34</f>
        <v>сен.26</v>
      </c>
      <c r="AB423" s="335" t="str">
        <f ca="1">Параметры!AB$34</f>
        <v>окт.26</v>
      </c>
      <c r="AC423" s="335" t="str">
        <f ca="1">Параметры!AC$34</f>
        <v>ноя.26</v>
      </c>
      <c r="AD423" s="335" t="str">
        <f ca="1">Параметры!AD$34</f>
        <v>дек.26</v>
      </c>
      <c r="AE423" s="335" t="str">
        <f ca="1">Параметры!AE$34</f>
        <v>янв.27</v>
      </c>
      <c r="AF423" s="335" t="str">
        <f ca="1">Параметры!AF$34</f>
        <v>фев.27</v>
      </c>
      <c r="AG423" s="335" t="str">
        <f ca="1">Параметры!AG$34</f>
        <v>мар.27</v>
      </c>
      <c r="AH423" s="335" t="str">
        <f ca="1">Параметры!AH$34</f>
        <v>апр.27</v>
      </c>
      <c r="AI423" s="335" t="str">
        <f ca="1">Параметры!AI$34</f>
        <v>май.27</v>
      </c>
      <c r="AJ423" s="335" t="str">
        <f ca="1">Параметры!AJ$34</f>
        <v>июн.27</v>
      </c>
      <c r="AK423" s="335" t="str">
        <f ca="1">Параметры!AK$34</f>
        <v>июл.27</v>
      </c>
      <c r="AL423" s="335" t="str">
        <f ca="1">Параметры!AL$34</f>
        <v>авг.27</v>
      </c>
      <c r="AM423" s="335" t="str">
        <f ca="1">Параметры!AM$34</f>
        <v>сен.27</v>
      </c>
      <c r="AN423" s="335" t="str">
        <f ca="1">Параметры!AN$34</f>
        <v>окт.27</v>
      </c>
      <c r="AO423" s="335" t="str">
        <f ca="1">Параметры!AO$34</f>
        <v>ноя.27</v>
      </c>
      <c r="AP423" s="335" t="str">
        <f ca="1">Параметры!AP$34</f>
        <v>дек.27</v>
      </c>
      <c r="AQ423" s="335" t="str">
        <f ca="1">Параметры!AQ$34</f>
        <v>янв.28</v>
      </c>
      <c r="AR423" s="335" t="str">
        <f ca="1">Параметры!AR$34</f>
        <v>фев.28</v>
      </c>
      <c r="AS423" s="335" t="str">
        <f ca="1">Параметры!AS$34</f>
        <v>мар.28</v>
      </c>
      <c r="AT423" s="335" t="str">
        <f ca="1">Параметры!AT$34</f>
        <v>апр.28</v>
      </c>
      <c r="AU423" s="335" t="str">
        <f ca="1">Параметры!AU$34</f>
        <v>май.28</v>
      </c>
      <c r="AV423" s="335" t="str">
        <f ca="1">Параметры!AV$34</f>
        <v>июн.28</v>
      </c>
      <c r="AW423" s="335" t="str">
        <f ca="1">Параметры!AW$34</f>
        <v>июл.28</v>
      </c>
      <c r="AX423" s="335" t="str">
        <f ca="1">Параметры!AX$34</f>
        <v>авг.28</v>
      </c>
      <c r="AY423" s="335" t="str">
        <f ca="1">Параметры!AY$34</f>
        <v>сен.28</v>
      </c>
      <c r="AZ423" s="335" t="str">
        <f ca="1">Параметры!AZ$34</f>
        <v>окт.28</v>
      </c>
      <c r="BA423" s="335" t="str">
        <f ca="1">Параметры!BA$34</f>
        <v>ноя.28</v>
      </c>
      <c r="BB423" s="335" t="str">
        <f ca="1">Параметры!BB$34</f>
        <v>дек.28</v>
      </c>
      <c r="BC423" s="335"/>
      <c r="BD423" s="336" t="str">
        <f ca="1">Language!$A$1473</f>
        <v>ИТОГО</v>
      </c>
    </row>
    <row r="424" spans="1:56" ht="14.4" hidden="1" thickTop="1" x14ac:dyDescent="0.3">
      <c r="E424" s="170" t="s">
        <v>642</v>
      </c>
      <c r="F424" s="170" t="s">
        <v>643</v>
      </c>
    </row>
    <row r="425" spans="1:56" ht="14.4" hidden="1" thickTop="1" x14ac:dyDescent="0.3">
      <c r="A425" s="283" t="str">
        <f ca="1">Language!A$745</f>
        <v>Шаблон издержки без единиц</v>
      </c>
      <c r="B425" s="205"/>
      <c r="C425" s="176"/>
      <c r="D425" s="174">
        <v>1</v>
      </c>
      <c r="F425" s="170" t="s">
        <v>2235</v>
      </c>
      <c r="G425" s="206"/>
      <c r="H425" s="206"/>
      <c r="I425" s="206"/>
      <c r="J425" s="206"/>
      <c r="K425" s="206"/>
      <c r="L425" s="206"/>
      <c r="M425" s="206"/>
      <c r="N425" s="206"/>
      <c r="O425" s="206"/>
      <c r="P425" s="206"/>
      <c r="Q425" s="206"/>
      <c r="R425" s="206"/>
      <c r="S425" s="206"/>
      <c r="T425" s="206"/>
      <c r="U425" s="206"/>
      <c r="V425" s="206"/>
      <c r="W425" s="206"/>
      <c r="X425" s="206"/>
      <c r="Y425" s="206"/>
      <c r="Z425" s="206"/>
      <c r="AA425" s="206"/>
      <c r="AB425" s="206"/>
      <c r="AC425" s="206"/>
      <c r="AD425" s="206"/>
      <c r="AE425" s="206"/>
      <c r="AF425" s="206"/>
      <c r="AG425" s="206"/>
      <c r="AH425" s="206"/>
      <c r="AI425" s="206"/>
      <c r="AJ425" s="206"/>
      <c r="AK425" s="206"/>
      <c r="AL425" s="206"/>
      <c r="AM425" s="206"/>
      <c r="AN425" s="206"/>
      <c r="AO425" s="206"/>
      <c r="AP425" s="206"/>
      <c r="AQ425" s="206"/>
      <c r="AR425" s="206"/>
      <c r="AS425" s="206"/>
      <c r="AT425" s="206"/>
      <c r="AU425" s="206"/>
      <c r="AV425" s="206"/>
      <c r="AW425" s="206"/>
      <c r="AX425" s="206"/>
      <c r="AY425" s="206"/>
      <c r="AZ425" s="206"/>
      <c r="BA425" s="206"/>
      <c r="BB425" s="206"/>
      <c r="BC425" s="206"/>
    </row>
    <row r="426" spans="1:56" ht="14.4" hidden="1" thickTop="1" x14ac:dyDescent="0.3">
      <c r="A426" s="175" t="str">
        <f ca="1">Language!A$746</f>
        <v>период появления затрат</v>
      </c>
      <c r="B426" s="284">
        <f>Prj_Invest+1</f>
        <v>7</v>
      </c>
      <c r="C426" s="176" t="str">
        <f ca="1">Language!$A$1480</f>
        <v>период</v>
      </c>
      <c r="D426" s="174"/>
      <c r="F426" s="170" t="s">
        <v>753</v>
      </c>
      <c r="G426" s="177"/>
      <c r="H426" s="177"/>
      <c r="I426" s="177"/>
      <c r="J426" s="177"/>
      <c r="K426" s="177"/>
      <c r="L426" s="177"/>
      <c r="M426" s="177"/>
      <c r="N426" s="177"/>
      <c r="O426" s="177"/>
      <c r="P426" s="177"/>
      <c r="Q426" s="177"/>
      <c r="R426" s="177"/>
      <c r="S426" s="177"/>
      <c r="T426" s="177"/>
      <c r="U426" s="177"/>
      <c r="V426" s="177"/>
      <c r="W426" s="177"/>
      <c r="X426" s="177"/>
      <c r="Y426" s="177"/>
      <c r="Z426" s="177"/>
      <c r="AA426" s="177"/>
      <c r="AB426" s="177"/>
      <c r="AC426" s="177"/>
      <c r="AD426" s="177"/>
      <c r="AE426" s="177"/>
      <c r="AF426" s="177"/>
      <c r="AG426" s="177"/>
      <c r="AH426" s="177"/>
      <c r="AI426" s="177"/>
      <c r="AJ426" s="177"/>
      <c r="AK426" s="177"/>
      <c r="AL426" s="177"/>
      <c r="AM426" s="177"/>
      <c r="AN426" s="177"/>
      <c r="AO426" s="177"/>
      <c r="AP426" s="177"/>
      <c r="AQ426" s="177"/>
      <c r="AR426" s="177"/>
      <c r="AS426" s="177"/>
      <c r="AT426" s="177"/>
      <c r="AU426" s="177"/>
      <c r="AV426" s="177"/>
      <c r="AW426" s="177"/>
      <c r="AX426" s="177"/>
      <c r="AY426" s="177"/>
      <c r="AZ426" s="177"/>
      <c r="BA426" s="177"/>
      <c r="BB426" s="177"/>
      <c r="BC426" s="177"/>
      <c r="BD426" s="178"/>
    </row>
    <row r="427" spans="1:56" ht="14.4" hidden="1" thickTop="1" x14ac:dyDescent="0.3">
      <c r="A427" s="175" t="str">
        <f ca="1">Language!A$747&amp;" ("&amp;Параметры!B$19&amp;"), "&amp;Language!A$748</f>
        <v>затраты за период (месяц), без НДС</v>
      </c>
      <c r="B427" s="284">
        <v>0</v>
      </c>
      <c r="C427" s="176" t="str">
        <f t="shared" ref="C427:C429" ca="1" si="2000">CHOOSE(D427,CurName1,CurName2,CurName3)</f>
        <v>руб.</v>
      </c>
      <c r="D427" s="174">
        <f>D425</f>
        <v>1</v>
      </c>
      <c r="F427" s="170" t="s">
        <v>2341</v>
      </c>
      <c r="G427" s="285">
        <f>IF(G$2=1,$B427,F427)</f>
        <v>0</v>
      </c>
      <c r="H427" s="285">
        <f t="shared" ref="H427:BB427" si="2001">IF(H$2=1,$B427,G427)</f>
        <v>0</v>
      </c>
      <c r="I427" s="285">
        <f t="shared" si="2001"/>
        <v>0</v>
      </c>
      <c r="J427" s="285">
        <f t="shared" si="2001"/>
        <v>0</v>
      </c>
      <c r="K427" s="285">
        <f t="shared" si="2001"/>
        <v>0</v>
      </c>
      <c r="L427" s="285">
        <f t="shared" si="2001"/>
        <v>0</v>
      </c>
      <c r="M427" s="285">
        <f t="shared" si="2001"/>
        <v>0</v>
      </c>
      <c r="N427" s="285">
        <f t="shared" si="2001"/>
        <v>0</v>
      </c>
      <c r="O427" s="285">
        <f t="shared" si="2001"/>
        <v>0</v>
      </c>
      <c r="P427" s="285">
        <f t="shared" si="2001"/>
        <v>0</v>
      </c>
      <c r="Q427" s="285">
        <f t="shared" si="2001"/>
        <v>0</v>
      </c>
      <c r="R427" s="285">
        <f t="shared" si="2001"/>
        <v>0</v>
      </c>
      <c r="S427" s="285">
        <f t="shared" si="2001"/>
        <v>0</v>
      </c>
      <c r="T427" s="285">
        <f t="shared" si="2001"/>
        <v>0</v>
      </c>
      <c r="U427" s="285">
        <f t="shared" si="2001"/>
        <v>0</v>
      </c>
      <c r="V427" s="285">
        <f t="shared" si="2001"/>
        <v>0</v>
      </c>
      <c r="W427" s="285">
        <f t="shared" si="2001"/>
        <v>0</v>
      </c>
      <c r="X427" s="285">
        <f t="shared" si="2001"/>
        <v>0</v>
      </c>
      <c r="Y427" s="285">
        <f t="shared" si="2001"/>
        <v>0</v>
      </c>
      <c r="Z427" s="285">
        <f t="shared" si="2001"/>
        <v>0</v>
      </c>
      <c r="AA427" s="285">
        <f t="shared" si="2001"/>
        <v>0</v>
      </c>
      <c r="AB427" s="285">
        <f t="shared" si="2001"/>
        <v>0</v>
      </c>
      <c r="AC427" s="285">
        <f t="shared" si="2001"/>
        <v>0</v>
      </c>
      <c r="AD427" s="285">
        <f t="shared" si="2001"/>
        <v>0</v>
      </c>
      <c r="AE427" s="285">
        <f t="shared" si="2001"/>
        <v>0</v>
      </c>
      <c r="AF427" s="285">
        <f t="shared" si="2001"/>
        <v>0</v>
      </c>
      <c r="AG427" s="285">
        <f t="shared" si="2001"/>
        <v>0</v>
      </c>
      <c r="AH427" s="285">
        <f t="shared" si="2001"/>
        <v>0</v>
      </c>
      <c r="AI427" s="285">
        <f t="shared" si="2001"/>
        <v>0</v>
      </c>
      <c r="AJ427" s="285">
        <f t="shared" si="2001"/>
        <v>0</v>
      </c>
      <c r="AK427" s="285">
        <f t="shared" si="2001"/>
        <v>0</v>
      </c>
      <c r="AL427" s="285">
        <f t="shared" si="2001"/>
        <v>0</v>
      </c>
      <c r="AM427" s="285">
        <f t="shared" si="2001"/>
        <v>0</v>
      </c>
      <c r="AN427" s="285">
        <f t="shared" si="2001"/>
        <v>0</v>
      </c>
      <c r="AO427" s="285">
        <f t="shared" si="2001"/>
        <v>0</v>
      </c>
      <c r="AP427" s="285">
        <f t="shared" si="2001"/>
        <v>0</v>
      </c>
      <c r="AQ427" s="285">
        <f t="shared" si="2001"/>
        <v>0</v>
      </c>
      <c r="AR427" s="285">
        <f t="shared" si="2001"/>
        <v>0</v>
      </c>
      <c r="AS427" s="285">
        <f t="shared" si="2001"/>
        <v>0</v>
      </c>
      <c r="AT427" s="285">
        <f t="shared" si="2001"/>
        <v>0</v>
      </c>
      <c r="AU427" s="285">
        <f t="shared" si="2001"/>
        <v>0</v>
      </c>
      <c r="AV427" s="285">
        <f t="shared" si="2001"/>
        <v>0</v>
      </c>
      <c r="AW427" s="285">
        <f t="shared" si="2001"/>
        <v>0</v>
      </c>
      <c r="AX427" s="285">
        <f t="shared" si="2001"/>
        <v>0</v>
      </c>
      <c r="AY427" s="285">
        <f t="shared" si="2001"/>
        <v>0</v>
      </c>
      <c r="AZ427" s="285">
        <f t="shared" si="2001"/>
        <v>0</v>
      </c>
      <c r="BA427" s="285">
        <f t="shared" si="2001"/>
        <v>0</v>
      </c>
      <c r="BB427" s="285">
        <f t="shared" si="2001"/>
        <v>0</v>
      </c>
      <c r="BC427" s="177"/>
      <c r="BD427" s="178"/>
    </row>
    <row r="428" spans="1:56" ht="14.4" hidden="1" thickTop="1" x14ac:dyDescent="0.3">
      <c r="A428" s="175" t="str">
        <f ca="1">Language!A$695</f>
        <v>коэффициент расходов</v>
      </c>
      <c r="B428" s="199"/>
      <c r="C428" s="176" t="s">
        <v>1</v>
      </c>
      <c r="F428" s="170" t="s">
        <v>749</v>
      </c>
      <c r="G428" s="286">
        <f>IF(G$2&gt;=$B426,Параметры!G$33,0)</f>
        <v>0</v>
      </c>
      <c r="H428" s="286">
        <f>IF(H$2&gt;=$B426,Параметры!H$33,0)</f>
        <v>0</v>
      </c>
      <c r="I428" s="286">
        <f>IF(I$2&gt;=$B426,Параметры!I$33,0)</f>
        <v>0</v>
      </c>
      <c r="J428" s="286">
        <f>IF(J$2&gt;=$B426,Параметры!J$33,0)</f>
        <v>0</v>
      </c>
      <c r="K428" s="286">
        <f>IF(K$2&gt;=$B426,Параметры!K$33,0)</f>
        <v>0</v>
      </c>
      <c r="L428" s="286">
        <f>IF(L$2&gt;=$B426,Параметры!L$33,0)</f>
        <v>0</v>
      </c>
      <c r="M428" s="286">
        <f>IF(M$2&gt;=$B426,Параметры!M$33,0)</f>
        <v>1</v>
      </c>
      <c r="N428" s="286">
        <f>IF(N$2&gt;=$B426,Параметры!N$33,0)</f>
        <v>1</v>
      </c>
      <c r="O428" s="286">
        <f>IF(O$2&gt;=$B426,Параметры!O$33,0)</f>
        <v>1</v>
      </c>
      <c r="P428" s="286">
        <f>IF(P$2&gt;=$B426,Параметры!P$33,0)</f>
        <v>1</v>
      </c>
      <c r="Q428" s="286">
        <f>IF(Q$2&gt;=$B426,Параметры!Q$33,0)</f>
        <v>1</v>
      </c>
      <c r="R428" s="286">
        <f>IF(R$2&gt;=$B426,Параметры!R$33,0)</f>
        <v>1</v>
      </c>
      <c r="S428" s="286">
        <f>IF(S$2&gt;=$B426,Параметры!S$33,0)</f>
        <v>1</v>
      </c>
      <c r="T428" s="286">
        <f>IF(T$2&gt;=$B426,Параметры!T$33,0)</f>
        <v>1</v>
      </c>
      <c r="U428" s="286">
        <f>IF(U$2&gt;=$B426,Параметры!U$33,0)</f>
        <v>1</v>
      </c>
      <c r="V428" s="286">
        <f>IF(V$2&gt;=$B426,Параметры!V$33,0)</f>
        <v>1</v>
      </c>
      <c r="W428" s="286">
        <f>IF(W$2&gt;=$B426,Параметры!W$33,0)</f>
        <v>1</v>
      </c>
      <c r="X428" s="286">
        <f>IF(X$2&gt;=$B426,Параметры!X$33,0)</f>
        <v>1</v>
      </c>
      <c r="Y428" s="286">
        <f>IF(Y$2&gt;=$B426,Параметры!Y$33,0)</f>
        <v>1</v>
      </c>
      <c r="Z428" s="286">
        <f>IF(Z$2&gt;=$B426,Параметры!Z$33,0)</f>
        <v>1</v>
      </c>
      <c r="AA428" s="286">
        <f>IF(AA$2&gt;=$B426,Параметры!AA$33,0)</f>
        <v>1</v>
      </c>
      <c r="AB428" s="286">
        <f>IF(AB$2&gt;=$B426,Параметры!AB$33,0)</f>
        <v>1</v>
      </c>
      <c r="AC428" s="286">
        <f>IF(AC$2&gt;=$B426,Параметры!AC$33,0)</f>
        <v>1</v>
      </c>
      <c r="AD428" s="286">
        <f>IF(AD$2&gt;=$B426,Параметры!AD$33,0)</f>
        <v>1</v>
      </c>
      <c r="AE428" s="286">
        <f>IF(AE$2&gt;=$B426,Параметры!AE$33,0)</f>
        <v>1</v>
      </c>
      <c r="AF428" s="286">
        <f>IF(AF$2&gt;=$B426,Параметры!AF$33,0)</f>
        <v>1</v>
      </c>
      <c r="AG428" s="286">
        <f>IF(AG$2&gt;=$B426,Параметры!AG$33,0)</f>
        <v>1</v>
      </c>
      <c r="AH428" s="286">
        <f>IF(AH$2&gt;=$B426,Параметры!AH$33,0)</f>
        <v>1</v>
      </c>
      <c r="AI428" s="286">
        <f>IF(AI$2&gt;=$B426,Параметры!AI$33,0)</f>
        <v>1</v>
      </c>
      <c r="AJ428" s="286">
        <f>IF(AJ$2&gt;=$B426,Параметры!AJ$33,0)</f>
        <v>1</v>
      </c>
      <c r="AK428" s="286">
        <f>IF(AK$2&gt;=$B426,Параметры!AK$33,0)</f>
        <v>1</v>
      </c>
      <c r="AL428" s="286">
        <f>IF(AL$2&gt;=$B426,Параметры!AL$33,0)</f>
        <v>1</v>
      </c>
      <c r="AM428" s="286">
        <f>IF(AM$2&gt;=$B426,Параметры!AM$33,0)</f>
        <v>1</v>
      </c>
      <c r="AN428" s="286">
        <f>IF(AN$2&gt;=$B426,Параметры!AN$33,0)</f>
        <v>1</v>
      </c>
      <c r="AO428" s="286">
        <f>IF(AO$2&gt;=$B426,Параметры!AO$33,0)</f>
        <v>1</v>
      </c>
      <c r="AP428" s="286">
        <f>IF(AP$2&gt;=$B426,Параметры!AP$33,0)</f>
        <v>1</v>
      </c>
      <c r="AQ428" s="286">
        <f>IF(AQ$2&gt;=$B426,Параметры!AQ$33,0)</f>
        <v>1</v>
      </c>
      <c r="AR428" s="286">
        <f>IF(AR$2&gt;=$B426,Параметры!AR$33,0)</f>
        <v>1</v>
      </c>
      <c r="AS428" s="286">
        <f>IF(AS$2&gt;=$B426,Параметры!AS$33,0)</f>
        <v>1</v>
      </c>
      <c r="AT428" s="286">
        <f>IF(AT$2&gt;=$B426,Параметры!AT$33,0)</f>
        <v>1</v>
      </c>
      <c r="AU428" s="286">
        <f>IF(AU$2&gt;=$B426,Параметры!AU$33,0)</f>
        <v>1</v>
      </c>
      <c r="AV428" s="286">
        <f>IF(AV$2&gt;=$B426,Параметры!AV$33,0)</f>
        <v>1</v>
      </c>
      <c r="AW428" s="286">
        <f>IF(AW$2&gt;=$B426,Параметры!AW$33,0)</f>
        <v>1</v>
      </c>
      <c r="AX428" s="286">
        <f>IF(AX$2&gt;=$B426,Параметры!AX$33,0)</f>
        <v>1</v>
      </c>
      <c r="AY428" s="286">
        <f>IF(AY$2&gt;=$B426,Параметры!AY$33,0)</f>
        <v>1</v>
      </c>
      <c r="AZ428" s="286">
        <f>IF(AZ$2&gt;=$B426,Параметры!AZ$33,0)</f>
        <v>1</v>
      </c>
      <c r="BA428" s="286">
        <f>IF(BA$2&gt;=$B426,Параметры!BA$33,0)</f>
        <v>1</v>
      </c>
      <c r="BB428" s="286">
        <f>IF(BB$2&gt;=$B426,Параметры!BB$33,0)</f>
        <v>1</v>
      </c>
      <c r="BC428" s="177"/>
    </row>
    <row r="429" spans="1:56" ht="14.4" hidden="1" thickTop="1" x14ac:dyDescent="0.3">
      <c r="A429" s="175" t="str">
        <f ca="1">Language!A$752</f>
        <v>затраты с учетом инфляции, без НДС</v>
      </c>
      <c r="B429" s="199"/>
      <c r="C429" s="176" t="str">
        <f t="shared" ca="1" si="2000"/>
        <v>руб.</v>
      </c>
      <c r="D429" s="174">
        <f>D425</f>
        <v>1</v>
      </c>
      <c r="E429" s="170" t="s">
        <v>751</v>
      </c>
      <c r="F429" s="170" t="s">
        <v>742</v>
      </c>
      <c r="G429" s="177">
        <f ca="1">G427*G428*IF($B433=1,PRODUCT($G433:G433),PRODUCT($G432:G432))</f>
        <v>0</v>
      </c>
      <c r="H429" s="177">
        <f ca="1">H427*H428*IF($B433=1,PRODUCT($G433:H433),PRODUCT($G432:H432))</f>
        <v>0</v>
      </c>
      <c r="I429" s="177">
        <f ca="1">I427*I428*IF($B433=1,PRODUCT($G433:I433),PRODUCT($G432:I432))</f>
        <v>0</v>
      </c>
      <c r="J429" s="177">
        <f ca="1">J427*J428*IF($B433=1,PRODUCT($G433:J433),PRODUCT($G432:J432))</f>
        <v>0</v>
      </c>
      <c r="K429" s="177">
        <f ca="1">K427*K428*IF($B433=1,PRODUCT($G433:K433),PRODUCT($G432:K432))</f>
        <v>0</v>
      </c>
      <c r="L429" s="177">
        <f ca="1">L427*L428*IF($B433=1,PRODUCT($G433:L433),PRODUCT($G432:L432))</f>
        <v>0</v>
      </c>
      <c r="M429" s="177">
        <f ca="1">M427*M428*IF($B433=1,PRODUCT($G433:M433),PRODUCT($G432:M432))</f>
        <v>0</v>
      </c>
      <c r="N429" s="177">
        <f ca="1">N427*N428*IF($B433=1,PRODUCT($G433:N433),PRODUCT($G432:N432))</f>
        <v>0</v>
      </c>
      <c r="O429" s="177">
        <f ca="1">O427*O428*IF($B433=1,PRODUCT($G433:O433),PRODUCT($G432:O432))</f>
        <v>0</v>
      </c>
      <c r="P429" s="177">
        <f ca="1">P427*P428*IF($B433=1,PRODUCT($G433:P433),PRODUCT($G432:P432))</f>
        <v>0</v>
      </c>
      <c r="Q429" s="177">
        <f ca="1">Q427*Q428*IF($B433=1,PRODUCT($G433:Q433),PRODUCT($G432:Q432))</f>
        <v>0</v>
      </c>
      <c r="R429" s="177">
        <f ca="1">R427*R428*IF($B433=1,PRODUCT($G433:R433),PRODUCT($G432:R432))</f>
        <v>0</v>
      </c>
      <c r="S429" s="177">
        <f ca="1">S427*S428*IF($B433=1,PRODUCT($G433:S433),PRODUCT($G432:S432))</f>
        <v>0</v>
      </c>
      <c r="T429" s="177">
        <f ca="1">T427*T428*IF($B433=1,PRODUCT($G433:T433),PRODUCT($G432:T432))</f>
        <v>0</v>
      </c>
      <c r="U429" s="177">
        <f ca="1">U427*U428*IF($B433=1,PRODUCT($G433:U433),PRODUCT($G432:U432))</f>
        <v>0</v>
      </c>
      <c r="V429" s="177">
        <f ca="1">V427*V428*IF($B433=1,PRODUCT($G433:V433),PRODUCT($G432:V432))</f>
        <v>0</v>
      </c>
      <c r="W429" s="177">
        <f ca="1">W427*W428*IF($B433=1,PRODUCT($G433:W433),PRODUCT($G432:W432))</f>
        <v>0</v>
      </c>
      <c r="X429" s="177">
        <f ca="1">X427*X428*IF($B433=1,PRODUCT($G433:X433),PRODUCT($G432:X432))</f>
        <v>0</v>
      </c>
      <c r="Y429" s="177">
        <f ca="1">Y427*Y428*IF($B433=1,PRODUCT($G433:Y433),PRODUCT($G432:Y432))</f>
        <v>0</v>
      </c>
      <c r="Z429" s="177">
        <f ca="1">Z427*Z428*IF($B433=1,PRODUCT($G433:Z433),PRODUCT($G432:Z432))</f>
        <v>0</v>
      </c>
      <c r="AA429" s="177">
        <f ca="1">AA427*AA428*IF($B433=1,PRODUCT($G433:AA433),PRODUCT($G432:AA432))</f>
        <v>0</v>
      </c>
      <c r="AB429" s="177">
        <f ca="1">AB427*AB428*IF($B433=1,PRODUCT($G433:AB433),PRODUCT($G432:AB432))</f>
        <v>0</v>
      </c>
      <c r="AC429" s="177">
        <f ca="1">AC427*AC428*IF($B433=1,PRODUCT($G433:AC433),PRODUCT($G432:AC432))</f>
        <v>0</v>
      </c>
      <c r="AD429" s="177">
        <f ca="1">AD427*AD428*IF($B433=1,PRODUCT($G433:AD433),PRODUCT($G432:AD432))</f>
        <v>0</v>
      </c>
      <c r="AE429" s="177">
        <f ca="1">AE427*AE428*IF($B433=1,PRODUCT($G433:AE433),PRODUCT($G432:AE432))</f>
        <v>0</v>
      </c>
      <c r="AF429" s="177">
        <f ca="1">AF427*AF428*IF($B433=1,PRODUCT($G433:AF433),PRODUCT($G432:AF432))</f>
        <v>0</v>
      </c>
      <c r="AG429" s="177">
        <f ca="1">AG427*AG428*IF($B433=1,PRODUCT($G433:AG433),PRODUCT($G432:AG432))</f>
        <v>0</v>
      </c>
      <c r="AH429" s="177">
        <f ca="1">AH427*AH428*IF($B433=1,PRODUCT($G433:AH433),PRODUCT($G432:AH432))</f>
        <v>0</v>
      </c>
      <c r="AI429" s="177">
        <f ca="1">AI427*AI428*IF($B433=1,PRODUCT($G433:AI433),PRODUCT($G432:AI432))</f>
        <v>0</v>
      </c>
      <c r="AJ429" s="177">
        <f ca="1">AJ427*AJ428*IF($B433=1,PRODUCT($G433:AJ433),PRODUCT($G432:AJ432))</f>
        <v>0</v>
      </c>
      <c r="AK429" s="177">
        <f ca="1">AK427*AK428*IF($B433=1,PRODUCT($G433:AK433),PRODUCT($G432:AK432))</f>
        <v>0</v>
      </c>
      <c r="AL429" s="177">
        <f ca="1">AL427*AL428*IF($B433=1,PRODUCT($G433:AL433),PRODUCT($G432:AL432))</f>
        <v>0</v>
      </c>
      <c r="AM429" s="177">
        <f ca="1">AM427*AM428*IF($B433=1,PRODUCT($G433:AM433),PRODUCT($G432:AM432))</f>
        <v>0</v>
      </c>
      <c r="AN429" s="177">
        <f ca="1">AN427*AN428*IF($B433=1,PRODUCT($G433:AN433),PRODUCT($G432:AN432))</f>
        <v>0</v>
      </c>
      <c r="AO429" s="177">
        <f ca="1">AO427*AO428*IF($B433=1,PRODUCT($G433:AO433),PRODUCT($G432:AO432))</f>
        <v>0</v>
      </c>
      <c r="AP429" s="177">
        <f ca="1">AP427*AP428*IF($B433=1,PRODUCT($G433:AP433),PRODUCT($G432:AP432))</f>
        <v>0</v>
      </c>
      <c r="AQ429" s="177">
        <f ca="1">AQ427*AQ428*IF($B433=1,PRODUCT($G433:AQ433),PRODUCT($G432:AQ432))</f>
        <v>0</v>
      </c>
      <c r="AR429" s="177">
        <f ca="1">AR427*AR428*IF($B433=1,PRODUCT($G433:AR433),PRODUCT($G432:AR432))</f>
        <v>0</v>
      </c>
      <c r="AS429" s="177">
        <f ca="1">AS427*AS428*IF($B433=1,PRODUCT($G433:AS433),PRODUCT($G432:AS432))</f>
        <v>0</v>
      </c>
      <c r="AT429" s="177">
        <f ca="1">AT427*AT428*IF($B433=1,PRODUCT($G433:AT433),PRODUCT($G432:AT432))</f>
        <v>0</v>
      </c>
      <c r="AU429" s="177">
        <f ca="1">AU427*AU428*IF($B433=1,PRODUCT($G433:AU433),PRODUCT($G432:AU432))</f>
        <v>0</v>
      </c>
      <c r="AV429" s="177">
        <f ca="1">AV427*AV428*IF($B433=1,PRODUCT($G433:AV433),PRODUCT($G432:AV432))</f>
        <v>0</v>
      </c>
      <c r="AW429" s="177">
        <f ca="1">AW427*AW428*IF($B433=1,PRODUCT($G433:AW433),PRODUCT($G432:AW432))</f>
        <v>0</v>
      </c>
      <c r="AX429" s="177">
        <f ca="1">AX427*AX428*IF($B433=1,PRODUCT($G433:AX433),PRODUCT($G432:AX432))</f>
        <v>0</v>
      </c>
      <c r="AY429" s="177">
        <f ca="1">AY427*AY428*IF($B433=1,PRODUCT($G433:AY433),PRODUCT($G432:AY432))</f>
        <v>0</v>
      </c>
      <c r="AZ429" s="177">
        <f ca="1">AZ427*AZ428*IF($B433=1,PRODUCT($G433:AZ433),PRODUCT($G432:AZ432))</f>
        <v>0</v>
      </c>
      <c r="BA429" s="177">
        <f ca="1">BA427*BA428*IF($B433=1,PRODUCT($G433:BA433),PRODUCT($G432:BA432))</f>
        <v>0</v>
      </c>
      <c r="BB429" s="177">
        <f ca="1">BB427*BB428*IF($B433=1,PRODUCT($G433:BB433),PRODUCT($G432:BB432))</f>
        <v>0</v>
      </c>
      <c r="BC429" s="177"/>
      <c r="BD429" s="178">
        <f ca="1">SUM(G429:BC429)</f>
        <v>0</v>
      </c>
    </row>
    <row r="430" spans="1:56" ht="14.4" hidden="1" thickTop="1" x14ac:dyDescent="0.3">
      <c r="A430" s="184" t="str">
        <f ca="1">Language!A$749</f>
        <v>темп изменения цен</v>
      </c>
      <c r="B430" s="189"/>
      <c r="C430" s="163" t="str">
        <f ca="1">Language!$A$480</f>
        <v>% в год</v>
      </c>
      <c r="D430" s="174"/>
      <c r="F430" s="170" t="s">
        <v>2344</v>
      </c>
      <c r="G430" s="290">
        <f>CHOOSE($D427,Параметры!G$49,Параметры!G$56,Параметры!G$62)</f>
        <v>0.06</v>
      </c>
      <c r="H430" s="290">
        <f>CHOOSE($D427,Параметры!H$49,Параметры!H$56,Параметры!H$62)</f>
        <v>0.06</v>
      </c>
      <c r="I430" s="290">
        <f>CHOOSE($D427,Параметры!I$49,Параметры!I$56,Параметры!I$62)</f>
        <v>0.06</v>
      </c>
      <c r="J430" s="290">
        <f>CHOOSE($D427,Параметры!J$49,Параметры!J$56,Параметры!J$62)</f>
        <v>0.06</v>
      </c>
      <c r="K430" s="290">
        <f>CHOOSE($D427,Параметры!K$49,Параметры!K$56,Параметры!K$62)</f>
        <v>0.06</v>
      </c>
      <c r="L430" s="290">
        <f>CHOOSE($D427,Параметры!L$49,Параметры!L$56,Параметры!L$62)</f>
        <v>0.06</v>
      </c>
      <c r="M430" s="290">
        <f>CHOOSE($D427,Параметры!M$49,Параметры!M$56,Параметры!M$62)</f>
        <v>0.06</v>
      </c>
      <c r="N430" s="290">
        <f>CHOOSE($D427,Параметры!N$49,Параметры!N$56,Параметры!N$62)</f>
        <v>0.06</v>
      </c>
      <c r="O430" s="290">
        <f>CHOOSE($D427,Параметры!O$49,Параметры!O$56,Параметры!O$62)</f>
        <v>0.06</v>
      </c>
      <c r="P430" s="290">
        <f>CHOOSE($D427,Параметры!P$49,Параметры!P$56,Параметры!P$62)</f>
        <v>0.06</v>
      </c>
      <c r="Q430" s="290">
        <f>CHOOSE($D427,Параметры!Q$49,Параметры!Q$56,Параметры!Q$62)</f>
        <v>0.06</v>
      </c>
      <c r="R430" s="290">
        <f>CHOOSE($D427,Параметры!R$49,Параметры!R$56,Параметры!R$62)</f>
        <v>0.06</v>
      </c>
      <c r="S430" s="290">
        <f>CHOOSE($D427,Параметры!S$49,Параметры!S$56,Параметры!S$62)</f>
        <v>0.06</v>
      </c>
      <c r="T430" s="290">
        <f>CHOOSE($D427,Параметры!T$49,Параметры!T$56,Параметры!T$62)</f>
        <v>0.06</v>
      </c>
      <c r="U430" s="290">
        <f>CHOOSE($D427,Параметры!U$49,Параметры!U$56,Параметры!U$62)</f>
        <v>0.06</v>
      </c>
      <c r="V430" s="290">
        <f>CHOOSE($D427,Параметры!V$49,Параметры!V$56,Параметры!V$62)</f>
        <v>0.06</v>
      </c>
      <c r="W430" s="290">
        <f>CHOOSE($D427,Параметры!W$49,Параметры!W$56,Параметры!W$62)</f>
        <v>0.06</v>
      </c>
      <c r="X430" s="290">
        <f>CHOOSE($D427,Параметры!X$49,Параметры!X$56,Параметры!X$62)</f>
        <v>0.06</v>
      </c>
      <c r="Y430" s="290">
        <f>CHOOSE($D427,Параметры!Y$49,Параметры!Y$56,Параметры!Y$62)</f>
        <v>0.06</v>
      </c>
      <c r="Z430" s="290">
        <f>CHOOSE($D427,Параметры!Z$49,Параметры!Z$56,Параметры!Z$62)</f>
        <v>0.06</v>
      </c>
      <c r="AA430" s="290">
        <f>CHOOSE($D427,Параметры!AA$49,Параметры!AA$56,Параметры!AA$62)</f>
        <v>0.06</v>
      </c>
      <c r="AB430" s="290">
        <f>CHOOSE($D427,Параметры!AB$49,Параметры!AB$56,Параметры!AB$62)</f>
        <v>0.06</v>
      </c>
      <c r="AC430" s="290">
        <f>CHOOSE($D427,Параметры!AC$49,Параметры!AC$56,Параметры!AC$62)</f>
        <v>0.06</v>
      </c>
      <c r="AD430" s="290">
        <f>CHOOSE($D427,Параметры!AD$49,Параметры!AD$56,Параметры!AD$62)</f>
        <v>0.06</v>
      </c>
      <c r="AE430" s="290">
        <f>CHOOSE($D427,Параметры!AE$49,Параметры!AE$56,Параметры!AE$62)</f>
        <v>0.06</v>
      </c>
      <c r="AF430" s="290">
        <f>CHOOSE($D427,Параметры!AF$49,Параметры!AF$56,Параметры!AF$62)</f>
        <v>0.06</v>
      </c>
      <c r="AG430" s="290">
        <f>CHOOSE($D427,Параметры!AG$49,Параметры!AG$56,Параметры!AG$62)</f>
        <v>0.06</v>
      </c>
      <c r="AH430" s="290">
        <f>CHOOSE($D427,Параметры!AH$49,Параметры!AH$56,Параметры!AH$62)</f>
        <v>0.06</v>
      </c>
      <c r="AI430" s="290">
        <f>CHOOSE($D427,Параметры!AI$49,Параметры!AI$56,Параметры!AI$62)</f>
        <v>0.06</v>
      </c>
      <c r="AJ430" s="290">
        <f>CHOOSE($D427,Параметры!AJ$49,Параметры!AJ$56,Параметры!AJ$62)</f>
        <v>0.06</v>
      </c>
      <c r="AK430" s="290">
        <f>CHOOSE($D427,Параметры!AK$49,Параметры!AK$56,Параметры!AK$62)</f>
        <v>0.06</v>
      </c>
      <c r="AL430" s="290">
        <f>CHOOSE($D427,Параметры!AL$49,Параметры!AL$56,Параметры!AL$62)</f>
        <v>0.06</v>
      </c>
      <c r="AM430" s="290">
        <f>CHOOSE($D427,Параметры!AM$49,Параметры!AM$56,Параметры!AM$62)</f>
        <v>0.06</v>
      </c>
      <c r="AN430" s="290">
        <f>CHOOSE($D427,Параметры!AN$49,Параметры!AN$56,Параметры!AN$62)</f>
        <v>0.06</v>
      </c>
      <c r="AO430" s="290">
        <f>CHOOSE($D427,Параметры!AO$49,Параметры!AO$56,Параметры!AO$62)</f>
        <v>0.06</v>
      </c>
      <c r="AP430" s="290">
        <f>CHOOSE($D427,Параметры!AP$49,Параметры!AP$56,Параметры!AP$62)</f>
        <v>0.06</v>
      </c>
      <c r="AQ430" s="290">
        <f>CHOOSE($D427,Параметры!AQ$49,Параметры!AQ$56,Параметры!AQ$62)</f>
        <v>0.06</v>
      </c>
      <c r="AR430" s="290">
        <f>CHOOSE($D427,Параметры!AR$49,Параметры!AR$56,Параметры!AR$62)</f>
        <v>0.06</v>
      </c>
      <c r="AS430" s="290">
        <f>CHOOSE($D427,Параметры!AS$49,Параметры!AS$56,Параметры!AS$62)</f>
        <v>0.06</v>
      </c>
      <c r="AT430" s="290">
        <f>CHOOSE($D427,Параметры!AT$49,Параметры!AT$56,Параметры!AT$62)</f>
        <v>0.06</v>
      </c>
      <c r="AU430" s="290">
        <f>CHOOSE($D427,Параметры!AU$49,Параметры!AU$56,Параметры!AU$62)</f>
        <v>0.06</v>
      </c>
      <c r="AV430" s="290">
        <f>CHOOSE($D427,Параметры!AV$49,Параметры!AV$56,Параметры!AV$62)</f>
        <v>0.06</v>
      </c>
      <c r="AW430" s="290">
        <f>CHOOSE($D427,Параметры!AW$49,Параметры!AW$56,Параметры!AW$62)</f>
        <v>0.06</v>
      </c>
      <c r="AX430" s="290">
        <f>CHOOSE($D427,Параметры!AX$49,Параметры!AX$56,Параметры!AX$62)</f>
        <v>0.06</v>
      </c>
      <c r="AY430" s="290">
        <f>CHOOSE($D427,Параметры!AY$49,Параметры!AY$56,Параметры!AY$62)</f>
        <v>0.06</v>
      </c>
      <c r="AZ430" s="290">
        <f>CHOOSE($D427,Параметры!AZ$49,Параметры!AZ$56,Параметры!AZ$62)</f>
        <v>0.06</v>
      </c>
      <c r="BA430" s="290">
        <f>CHOOSE($D427,Параметры!BA$49,Параметры!BA$56,Параметры!BA$62)</f>
        <v>0.06</v>
      </c>
      <c r="BB430" s="290">
        <f>CHOOSE($D427,Параметры!BB$49,Параметры!BB$56,Параметры!BB$62)</f>
        <v>0.06</v>
      </c>
      <c r="BC430" s="190"/>
      <c r="BD430" s="186"/>
    </row>
    <row r="431" spans="1:56" ht="14.4" hidden="1" thickTop="1" x14ac:dyDescent="0.3">
      <c r="A431" s="184" t="str">
        <f ca="1">Language!A$750</f>
        <v>ставка НДС</v>
      </c>
      <c r="B431" s="189"/>
      <c r="C431" s="163" t="s">
        <v>1</v>
      </c>
      <c r="D431" s="174"/>
      <c r="F431" s="170" t="s">
        <v>2344</v>
      </c>
      <c r="G431" s="290">
        <f>IF(G$2=1,Параметры!G$72,IF(F431=Параметры!F$72,Параметры!F$72,F431))</f>
        <v>0</v>
      </c>
      <c r="H431" s="290">
        <f>IF(H$2=1,Параметры!H$72,IF(G431=Параметры!G$72,Параметры!G$72,G431))</f>
        <v>0</v>
      </c>
      <c r="I431" s="290">
        <f>IF(I$2=1,Параметры!I$72,IF(H431=Параметры!H$72,Параметры!H$72,H431))</f>
        <v>0</v>
      </c>
      <c r="J431" s="290">
        <f>IF(J$2=1,Параметры!J$72,IF(I431=Параметры!I$72,Параметры!I$72,I431))</f>
        <v>0</v>
      </c>
      <c r="K431" s="290">
        <f>IF(K$2=1,Параметры!K$72,IF(J431=Параметры!J$72,Параметры!J$72,J431))</f>
        <v>0</v>
      </c>
      <c r="L431" s="290">
        <f>IF(L$2=1,Параметры!L$72,IF(K431=Параметры!K$72,Параметры!K$72,K431))</f>
        <v>0</v>
      </c>
      <c r="M431" s="290">
        <f>IF(M$2=1,Параметры!M$72,IF(L431=Параметры!L$72,Параметры!L$72,L431))</f>
        <v>0</v>
      </c>
      <c r="N431" s="290">
        <f>IF(N$2=1,Параметры!N$72,IF(M431=Параметры!M$72,Параметры!M$72,M431))</f>
        <v>0</v>
      </c>
      <c r="O431" s="290">
        <f>IF(O$2=1,Параметры!O$72,IF(N431=Параметры!N$72,Параметры!N$72,N431))</f>
        <v>0</v>
      </c>
      <c r="P431" s="290">
        <f>IF(P$2=1,Параметры!P$72,IF(O431=Параметры!O$72,Параметры!O$72,O431))</f>
        <v>0</v>
      </c>
      <c r="Q431" s="290">
        <f>IF(Q$2=1,Параметры!Q$72,IF(P431=Параметры!P$72,Параметры!P$72,P431))</f>
        <v>0</v>
      </c>
      <c r="R431" s="290">
        <f>IF(R$2=1,Параметры!R$72,IF(Q431=Параметры!Q$72,Параметры!Q$72,Q431))</f>
        <v>0</v>
      </c>
      <c r="S431" s="290">
        <f>IF(S$2=1,Параметры!S$72,IF(R431=Параметры!R$72,Параметры!R$72,R431))</f>
        <v>0</v>
      </c>
      <c r="T431" s="290">
        <f>IF(T$2=1,Параметры!T$72,IF(S431=Параметры!S$72,Параметры!S$72,S431))</f>
        <v>0</v>
      </c>
      <c r="U431" s="290">
        <f>IF(U$2=1,Параметры!U$72,IF(T431=Параметры!T$72,Параметры!T$72,T431))</f>
        <v>0</v>
      </c>
      <c r="V431" s="290">
        <f>IF(V$2=1,Параметры!V$72,IF(U431=Параметры!U$72,Параметры!U$72,U431))</f>
        <v>0</v>
      </c>
      <c r="W431" s="290">
        <f>IF(W$2=1,Параметры!W$72,IF(V431=Параметры!V$72,Параметры!V$72,V431))</f>
        <v>0</v>
      </c>
      <c r="X431" s="290">
        <f>IF(X$2=1,Параметры!X$72,IF(W431=Параметры!W$72,Параметры!W$72,W431))</f>
        <v>0</v>
      </c>
      <c r="Y431" s="290">
        <f>IF(Y$2=1,Параметры!Y$72,IF(X431=Параметры!X$72,Параметры!X$72,X431))</f>
        <v>0</v>
      </c>
      <c r="Z431" s="290">
        <f>IF(Z$2=1,Параметры!Z$72,IF(Y431=Параметры!Y$72,Параметры!Y$72,Y431))</f>
        <v>0</v>
      </c>
      <c r="AA431" s="290">
        <f>IF(AA$2=1,Параметры!AA$72,IF(Z431=Параметры!Z$72,Параметры!Z$72,Z431))</f>
        <v>0</v>
      </c>
      <c r="AB431" s="290">
        <f>IF(AB$2=1,Параметры!AB$72,IF(AA431=Параметры!AA$72,Параметры!AA$72,AA431))</f>
        <v>0</v>
      </c>
      <c r="AC431" s="290">
        <f>IF(AC$2=1,Параметры!AC$72,IF(AB431=Параметры!AB$72,Параметры!AB$72,AB431))</f>
        <v>0</v>
      </c>
      <c r="AD431" s="290">
        <f>IF(AD$2=1,Параметры!AD$72,IF(AC431=Параметры!AC$72,Параметры!AC$72,AC431))</f>
        <v>0</v>
      </c>
      <c r="AE431" s="290">
        <f>IF(AE$2=1,Параметры!AE$72,IF(AD431=Параметры!AD$72,Параметры!AD$72,AD431))</f>
        <v>0</v>
      </c>
      <c r="AF431" s="290">
        <f>IF(AF$2=1,Параметры!AF$72,IF(AE431=Параметры!AE$72,Параметры!AE$72,AE431))</f>
        <v>0</v>
      </c>
      <c r="AG431" s="290">
        <f>IF(AG$2=1,Параметры!AG$72,IF(AF431=Параметры!AF$72,Параметры!AF$72,AF431))</f>
        <v>0</v>
      </c>
      <c r="AH431" s="290">
        <f>IF(AH$2=1,Параметры!AH$72,IF(AG431=Параметры!AG$72,Параметры!AG$72,AG431))</f>
        <v>0</v>
      </c>
      <c r="AI431" s="290">
        <f>IF(AI$2=1,Параметры!AI$72,IF(AH431=Параметры!AH$72,Параметры!AH$72,AH431))</f>
        <v>0</v>
      </c>
      <c r="AJ431" s="290">
        <f>IF(AJ$2=1,Параметры!AJ$72,IF(AI431=Параметры!AI$72,Параметры!AI$72,AI431))</f>
        <v>0</v>
      </c>
      <c r="AK431" s="290">
        <f>IF(AK$2=1,Параметры!AK$72,IF(AJ431=Параметры!AJ$72,Параметры!AJ$72,AJ431))</f>
        <v>0</v>
      </c>
      <c r="AL431" s="290">
        <f>IF(AL$2=1,Параметры!AL$72,IF(AK431=Параметры!AK$72,Параметры!AK$72,AK431))</f>
        <v>0</v>
      </c>
      <c r="AM431" s="290">
        <f>IF(AM$2=1,Параметры!AM$72,IF(AL431=Параметры!AL$72,Параметры!AL$72,AL431))</f>
        <v>0</v>
      </c>
      <c r="AN431" s="290">
        <f>IF(AN$2=1,Параметры!AN$72,IF(AM431=Параметры!AM$72,Параметры!AM$72,AM431))</f>
        <v>0</v>
      </c>
      <c r="AO431" s="290">
        <f>IF(AO$2=1,Параметры!AO$72,IF(AN431=Параметры!AN$72,Параметры!AN$72,AN431))</f>
        <v>0</v>
      </c>
      <c r="AP431" s="290">
        <f>IF(AP$2=1,Параметры!AP$72,IF(AO431=Параметры!AO$72,Параметры!AO$72,AO431))</f>
        <v>0</v>
      </c>
      <c r="AQ431" s="290">
        <f>IF(AQ$2=1,Параметры!AQ$72,IF(AP431=Параметры!AP$72,Параметры!AP$72,AP431))</f>
        <v>0</v>
      </c>
      <c r="AR431" s="290">
        <f>IF(AR$2=1,Параметры!AR$72,IF(AQ431=Параметры!AQ$72,Параметры!AQ$72,AQ431))</f>
        <v>0</v>
      </c>
      <c r="AS431" s="290">
        <f>IF(AS$2=1,Параметры!AS$72,IF(AR431=Параметры!AR$72,Параметры!AR$72,AR431))</f>
        <v>0</v>
      </c>
      <c r="AT431" s="290">
        <f>IF(AT$2=1,Параметры!AT$72,IF(AS431=Параметры!AS$72,Параметры!AS$72,AS431))</f>
        <v>0</v>
      </c>
      <c r="AU431" s="290">
        <f>IF(AU$2=1,Параметры!AU$72,IF(AT431=Параметры!AT$72,Параметры!AT$72,AT431))</f>
        <v>0</v>
      </c>
      <c r="AV431" s="290">
        <f>IF(AV$2=1,Параметры!AV$72,IF(AU431=Параметры!AU$72,Параметры!AU$72,AU431))</f>
        <v>0</v>
      </c>
      <c r="AW431" s="290">
        <f>IF(AW$2=1,Параметры!AW$72,IF(AV431=Параметры!AV$72,Параметры!AV$72,AV431))</f>
        <v>0</v>
      </c>
      <c r="AX431" s="290">
        <f>IF(AX$2=1,Параметры!AX$72,IF(AW431=Параметры!AW$72,Параметры!AW$72,AW431))</f>
        <v>0</v>
      </c>
      <c r="AY431" s="290">
        <f>IF(AY$2=1,Параметры!AY$72,IF(AX431=Параметры!AX$72,Параметры!AX$72,AX431))</f>
        <v>0</v>
      </c>
      <c r="AZ431" s="290">
        <f>IF(AZ$2=1,Параметры!AZ$72,IF(AY431=Параметры!AY$72,Параметры!AY$72,AY431))</f>
        <v>0</v>
      </c>
      <c r="BA431" s="290">
        <f>IF(BA$2=1,Параметры!BA$72,IF(AZ431=Параметры!AZ$72,Параметры!AZ$72,AZ431))</f>
        <v>0</v>
      </c>
      <c r="BB431" s="290">
        <f>IF(BB$2=1,Параметры!BB$72,IF(BA431=Параметры!BA$72,Параметры!BA$72,BA431))</f>
        <v>0</v>
      </c>
      <c r="BC431" s="190"/>
      <c r="BD431" s="186"/>
    </row>
    <row r="432" spans="1:56" ht="14.4" hidden="1" thickTop="1" x14ac:dyDescent="0.3">
      <c r="A432" s="184" t="str">
        <f ca="1">Language!A$675</f>
        <v>коэффициент прироста цен к предыдущему периоду</v>
      </c>
      <c r="B432" s="189"/>
      <c r="C432" s="163" t="str">
        <f ca="1">Language!$A$1477</f>
        <v>раз</v>
      </c>
      <c r="D432" s="174"/>
      <c r="F432" s="170" t="s">
        <v>748</v>
      </c>
      <c r="G432" s="191">
        <f ca="1">IF(G$2=1,1,IF(Prj_Inflation=1, (1+OFFSET(G430,0,-1))^(Параметры!G$30/360), 1))</f>
        <v>1</v>
      </c>
      <c r="H432" s="191">
        <f ca="1">IF(H$2=1,1,IF(Prj_Inflation=1, (1+OFFSET(H430,0,-1))^(Параметры!H$30/360), 1))</f>
        <v>1.004867550565343</v>
      </c>
      <c r="I432" s="191">
        <f ca="1">IF(I$2=1,1,IF(Prj_Inflation=1, (1+OFFSET(I430,0,-1))^(Параметры!I$30/360), 1))</f>
        <v>1.004867550565343</v>
      </c>
      <c r="J432" s="191">
        <f ca="1">IF(J$2=1,1,IF(Prj_Inflation=1, (1+OFFSET(J430,0,-1))^(Параметры!J$30/360), 1))</f>
        <v>1.004867550565343</v>
      </c>
      <c r="K432" s="191">
        <f ca="1">IF(K$2=1,1,IF(Prj_Inflation=1, (1+OFFSET(K430,0,-1))^(Параметры!K$30/360), 1))</f>
        <v>1.004867550565343</v>
      </c>
      <c r="L432" s="191">
        <f ca="1">IF(L$2=1,1,IF(Prj_Inflation=1, (1+OFFSET(L430,0,-1))^(Параметры!L$30/360), 1))</f>
        <v>1.004867550565343</v>
      </c>
      <c r="M432" s="191">
        <f ca="1">IF(M$2=1,1,IF(Prj_Inflation=1, (1+OFFSET(M430,0,-1))^(Параметры!M$30/360), 1))</f>
        <v>1.004867550565343</v>
      </c>
      <c r="N432" s="191">
        <f ca="1">IF(N$2=1,1,IF(Prj_Inflation=1, (1+OFFSET(N430,0,-1))^(Параметры!N$30/360), 1))</f>
        <v>1.004867550565343</v>
      </c>
      <c r="O432" s="191">
        <f ca="1">IF(O$2=1,1,IF(Prj_Inflation=1, (1+OFFSET(O430,0,-1))^(Параметры!O$30/360), 1))</f>
        <v>1.004867550565343</v>
      </c>
      <c r="P432" s="191">
        <f ca="1">IF(P$2=1,1,IF(Prj_Inflation=1, (1+OFFSET(P430,0,-1))^(Параметры!P$30/360), 1))</f>
        <v>1.004867550565343</v>
      </c>
      <c r="Q432" s="191">
        <f ca="1">IF(Q$2=1,1,IF(Prj_Inflation=1, (1+OFFSET(Q430,0,-1))^(Параметры!Q$30/360), 1))</f>
        <v>1.004867550565343</v>
      </c>
      <c r="R432" s="191">
        <f ca="1">IF(R$2=1,1,IF(Prj_Inflation=1, (1+OFFSET(R430,0,-1))^(Параметры!R$30/360), 1))</f>
        <v>1.004867550565343</v>
      </c>
      <c r="S432" s="191">
        <f ca="1">IF(S$2=1,1,IF(Prj_Inflation=1, (1+OFFSET(S430,0,-1))^(Параметры!S$30/360), 1))</f>
        <v>1.004867550565343</v>
      </c>
      <c r="T432" s="191">
        <f ca="1">IF(T$2=1,1,IF(Prj_Inflation=1, (1+OFFSET(T430,0,-1))^(Параметры!T$30/360), 1))</f>
        <v>1.004867550565343</v>
      </c>
      <c r="U432" s="191">
        <f ca="1">IF(U$2=1,1,IF(Prj_Inflation=1, (1+OFFSET(U430,0,-1))^(Параметры!U$30/360), 1))</f>
        <v>1.004867550565343</v>
      </c>
      <c r="V432" s="191">
        <f ca="1">IF(V$2=1,1,IF(Prj_Inflation=1, (1+OFFSET(V430,0,-1))^(Параметры!V$30/360), 1))</f>
        <v>1.004867550565343</v>
      </c>
      <c r="W432" s="191">
        <f ca="1">IF(W$2=1,1,IF(Prj_Inflation=1, (1+OFFSET(W430,0,-1))^(Параметры!W$30/360), 1))</f>
        <v>1.004867550565343</v>
      </c>
      <c r="X432" s="191">
        <f ca="1">IF(X$2=1,1,IF(Prj_Inflation=1, (1+OFFSET(X430,0,-1))^(Параметры!X$30/360), 1))</f>
        <v>1.004867550565343</v>
      </c>
      <c r="Y432" s="191">
        <f ca="1">IF(Y$2=1,1,IF(Prj_Inflation=1, (1+OFFSET(Y430,0,-1))^(Параметры!Y$30/360), 1))</f>
        <v>1.004867550565343</v>
      </c>
      <c r="Z432" s="191">
        <f ca="1">IF(Z$2=1,1,IF(Prj_Inflation=1, (1+OFFSET(Z430,0,-1))^(Параметры!Z$30/360), 1))</f>
        <v>1.004867550565343</v>
      </c>
      <c r="AA432" s="191">
        <f ca="1">IF(AA$2=1,1,IF(Prj_Inflation=1, (1+OFFSET(AA430,0,-1))^(Параметры!AA$30/360), 1))</f>
        <v>1.004867550565343</v>
      </c>
      <c r="AB432" s="191">
        <f ca="1">IF(AB$2=1,1,IF(Prj_Inflation=1, (1+OFFSET(AB430,0,-1))^(Параметры!AB$30/360), 1))</f>
        <v>1.004867550565343</v>
      </c>
      <c r="AC432" s="191">
        <f ca="1">IF(AC$2=1,1,IF(Prj_Inflation=1, (1+OFFSET(AC430,0,-1))^(Параметры!AC$30/360), 1))</f>
        <v>1.004867550565343</v>
      </c>
      <c r="AD432" s="191">
        <f ca="1">IF(AD$2=1,1,IF(Prj_Inflation=1, (1+OFFSET(AD430,0,-1))^(Параметры!AD$30/360), 1))</f>
        <v>1.004867550565343</v>
      </c>
      <c r="AE432" s="191">
        <f ca="1">IF(AE$2=1,1,IF(Prj_Inflation=1, (1+OFFSET(AE430,0,-1))^(Параметры!AE$30/360), 1))</f>
        <v>1.004867550565343</v>
      </c>
      <c r="AF432" s="191">
        <f ca="1">IF(AF$2=1,1,IF(Prj_Inflation=1, (1+OFFSET(AF430,0,-1))^(Параметры!AF$30/360), 1))</f>
        <v>1.004867550565343</v>
      </c>
      <c r="AG432" s="191">
        <f ca="1">IF(AG$2=1,1,IF(Prj_Inflation=1, (1+OFFSET(AG430,0,-1))^(Параметры!AG$30/360), 1))</f>
        <v>1.004867550565343</v>
      </c>
      <c r="AH432" s="191">
        <f ca="1">IF(AH$2=1,1,IF(Prj_Inflation=1, (1+OFFSET(AH430,0,-1))^(Параметры!AH$30/360), 1))</f>
        <v>1.004867550565343</v>
      </c>
      <c r="AI432" s="191">
        <f ca="1">IF(AI$2=1,1,IF(Prj_Inflation=1, (1+OFFSET(AI430,0,-1))^(Параметры!AI$30/360), 1))</f>
        <v>1.004867550565343</v>
      </c>
      <c r="AJ432" s="191">
        <f ca="1">IF(AJ$2=1,1,IF(Prj_Inflation=1, (1+OFFSET(AJ430,0,-1))^(Параметры!AJ$30/360), 1))</f>
        <v>1.004867550565343</v>
      </c>
      <c r="AK432" s="191">
        <f ca="1">IF(AK$2=1,1,IF(Prj_Inflation=1, (1+OFFSET(AK430,0,-1))^(Параметры!AK$30/360), 1))</f>
        <v>1.004867550565343</v>
      </c>
      <c r="AL432" s="191">
        <f ca="1">IF(AL$2=1,1,IF(Prj_Inflation=1, (1+OFFSET(AL430,0,-1))^(Параметры!AL$30/360), 1))</f>
        <v>1.004867550565343</v>
      </c>
      <c r="AM432" s="191">
        <f ca="1">IF(AM$2=1,1,IF(Prj_Inflation=1, (1+OFFSET(AM430,0,-1))^(Параметры!AM$30/360), 1))</f>
        <v>1.004867550565343</v>
      </c>
      <c r="AN432" s="191">
        <f ca="1">IF(AN$2=1,1,IF(Prj_Inflation=1, (1+OFFSET(AN430,0,-1))^(Параметры!AN$30/360), 1))</f>
        <v>1.004867550565343</v>
      </c>
      <c r="AO432" s="191">
        <f ca="1">IF(AO$2=1,1,IF(Prj_Inflation=1, (1+OFFSET(AO430,0,-1))^(Параметры!AO$30/360), 1))</f>
        <v>1.004867550565343</v>
      </c>
      <c r="AP432" s="191">
        <f ca="1">IF(AP$2=1,1,IF(Prj_Inflation=1, (1+OFFSET(AP430,0,-1))^(Параметры!AP$30/360), 1))</f>
        <v>1.004867550565343</v>
      </c>
      <c r="AQ432" s="191">
        <f ca="1">IF(AQ$2=1,1,IF(Prj_Inflation=1, (1+OFFSET(AQ430,0,-1))^(Параметры!AQ$30/360), 1))</f>
        <v>1.004867550565343</v>
      </c>
      <c r="AR432" s="191">
        <f ca="1">IF(AR$2=1,1,IF(Prj_Inflation=1, (1+OFFSET(AR430,0,-1))^(Параметры!AR$30/360), 1))</f>
        <v>1.004867550565343</v>
      </c>
      <c r="AS432" s="191">
        <f ca="1">IF(AS$2=1,1,IF(Prj_Inflation=1, (1+OFFSET(AS430,0,-1))^(Параметры!AS$30/360), 1))</f>
        <v>1.004867550565343</v>
      </c>
      <c r="AT432" s="191">
        <f ca="1">IF(AT$2=1,1,IF(Prj_Inflation=1, (1+OFFSET(AT430,0,-1))^(Параметры!AT$30/360), 1))</f>
        <v>1.004867550565343</v>
      </c>
      <c r="AU432" s="191">
        <f ca="1">IF(AU$2=1,1,IF(Prj_Inflation=1, (1+OFFSET(AU430,0,-1))^(Параметры!AU$30/360), 1))</f>
        <v>1.004867550565343</v>
      </c>
      <c r="AV432" s="191">
        <f ca="1">IF(AV$2=1,1,IF(Prj_Inflation=1, (1+OFFSET(AV430,0,-1))^(Параметры!AV$30/360), 1))</f>
        <v>1.004867550565343</v>
      </c>
      <c r="AW432" s="191">
        <f ca="1">IF(AW$2=1,1,IF(Prj_Inflation=1, (1+OFFSET(AW430,0,-1))^(Параметры!AW$30/360), 1))</f>
        <v>1.004867550565343</v>
      </c>
      <c r="AX432" s="191">
        <f ca="1">IF(AX$2=1,1,IF(Prj_Inflation=1, (1+OFFSET(AX430,0,-1))^(Параметры!AX$30/360), 1))</f>
        <v>1.004867550565343</v>
      </c>
      <c r="AY432" s="191">
        <f ca="1">IF(AY$2=1,1,IF(Prj_Inflation=1, (1+OFFSET(AY430,0,-1))^(Параметры!AY$30/360), 1))</f>
        <v>1.004867550565343</v>
      </c>
      <c r="AZ432" s="191">
        <f ca="1">IF(AZ$2=1,1,IF(Prj_Inflation=1, (1+OFFSET(AZ430,0,-1))^(Параметры!AZ$30/360), 1))</f>
        <v>1.004867550565343</v>
      </c>
      <c r="BA432" s="191">
        <f ca="1">IF(BA$2=1,1,IF(Prj_Inflation=1, (1+OFFSET(BA430,0,-1))^(Параметры!BA$30/360), 1))</f>
        <v>1.004867550565343</v>
      </c>
      <c r="BB432" s="191">
        <f ca="1">IF(BB$2=1,1,IF(Prj_Inflation=1, (1+OFFSET(BB430,0,-1))^(Параметры!BB$30/360), 1))</f>
        <v>1.004867550565343</v>
      </c>
      <c r="BC432" s="191"/>
      <c r="BD432" s="186"/>
    </row>
    <row r="433" spans="1:56" ht="14.4" hidden="1" thickTop="1" x14ac:dyDescent="0.3">
      <c r="A433" s="184" t="str">
        <f ca="1">Language!A$1486</f>
        <v>индексировать в начале года</v>
      </c>
      <c r="B433" s="291">
        <v>0</v>
      </c>
      <c r="C433" s="163" t="str">
        <f ca="1">IF(B433=1,Language!$A$1475,Language!$A$1476)</f>
        <v>Нет</v>
      </c>
      <c r="D433" s="174"/>
      <c r="F433" s="170" t="s">
        <v>2345</v>
      </c>
      <c r="G433" s="192" t="str">
        <f ca="1">IF(Prj_Inflation=1,IF($B433=1,IF(G$2=1,1,IF(Параметры!G$29=1,1+OFFSET(G430,0,-1),1)),"-"),1)</f>
        <v>-</v>
      </c>
      <c r="H433" s="192" t="str">
        <f ca="1">IF(Prj_Inflation=1,IF($B433=1,IF(H$2=1,1,IF(Параметры!H$29=1,1+OFFSET(H430,0,-1),1)),"-"),1)</f>
        <v>-</v>
      </c>
      <c r="I433" s="192" t="str">
        <f ca="1">IF(Prj_Inflation=1,IF($B433=1,IF(I$2=1,1,IF(Параметры!I$29=1,1+OFFSET(I430,0,-1),1)),"-"),1)</f>
        <v>-</v>
      </c>
      <c r="J433" s="192" t="str">
        <f ca="1">IF(Prj_Inflation=1,IF($B433=1,IF(J$2=1,1,IF(Параметры!J$29=1,1+OFFSET(J430,0,-1),1)),"-"),1)</f>
        <v>-</v>
      </c>
      <c r="K433" s="192" t="str">
        <f ca="1">IF(Prj_Inflation=1,IF($B433=1,IF(K$2=1,1,IF(Параметры!K$29=1,1+OFFSET(K430,0,-1),1)),"-"),1)</f>
        <v>-</v>
      </c>
      <c r="L433" s="192" t="str">
        <f ca="1">IF(Prj_Inflation=1,IF($B433=1,IF(L$2=1,1,IF(Параметры!L$29=1,1+OFFSET(L430,0,-1),1)),"-"),1)</f>
        <v>-</v>
      </c>
      <c r="M433" s="192" t="str">
        <f ca="1">IF(Prj_Inflation=1,IF($B433=1,IF(M$2=1,1,IF(Параметры!M$29=1,1+OFFSET(M430,0,-1),1)),"-"),1)</f>
        <v>-</v>
      </c>
      <c r="N433" s="192" t="str">
        <f ca="1">IF(Prj_Inflation=1,IF($B433=1,IF(N$2=1,1,IF(Параметры!N$29=1,1+OFFSET(N430,0,-1),1)),"-"),1)</f>
        <v>-</v>
      </c>
      <c r="O433" s="192" t="str">
        <f ca="1">IF(Prj_Inflation=1,IF($B433=1,IF(O$2=1,1,IF(Параметры!O$29=1,1+OFFSET(O430,0,-1),1)),"-"),1)</f>
        <v>-</v>
      </c>
      <c r="P433" s="192" t="str">
        <f ca="1">IF(Prj_Inflation=1,IF($B433=1,IF(P$2=1,1,IF(Параметры!P$29=1,1+OFFSET(P430,0,-1),1)),"-"),1)</f>
        <v>-</v>
      </c>
      <c r="Q433" s="192" t="str">
        <f ca="1">IF(Prj_Inflation=1,IF($B433=1,IF(Q$2=1,1,IF(Параметры!Q$29=1,1+OFFSET(Q430,0,-1),1)),"-"),1)</f>
        <v>-</v>
      </c>
      <c r="R433" s="192" t="str">
        <f ca="1">IF(Prj_Inflation=1,IF($B433=1,IF(R$2=1,1,IF(Параметры!R$29=1,1+OFFSET(R430,0,-1),1)),"-"),1)</f>
        <v>-</v>
      </c>
      <c r="S433" s="192" t="str">
        <f ca="1">IF(Prj_Inflation=1,IF($B433=1,IF(S$2=1,1,IF(Параметры!S$29=1,1+OFFSET(S430,0,-1),1)),"-"),1)</f>
        <v>-</v>
      </c>
      <c r="T433" s="192" t="str">
        <f ca="1">IF(Prj_Inflation=1,IF($B433=1,IF(T$2=1,1,IF(Параметры!T$29=1,1+OFFSET(T430,0,-1),1)),"-"),1)</f>
        <v>-</v>
      </c>
      <c r="U433" s="192" t="str">
        <f ca="1">IF(Prj_Inflation=1,IF($B433=1,IF(U$2=1,1,IF(Параметры!U$29=1,1+OFFSET(U430,0,-1),1)),"-"),1)</f>
        <v>-</v>
      </c>
      <c r="V433" s="192" t="str">
        <f ca="1">IF(Prj_Inflation=1,IF($B433=1,IF(V$2=1,1,IF(Параметры!V$29=1,1+OFFSET(V430,0,-1),1)),"-"),1)</f>
        <v>-</v>
      </c>
      <c r="W433" s="192" t="str">
        <f ca="1">IF(Prj_Inflation=1,IF($B433=1,IF(W$2=1,1,IF(Параметры!W$29=1,1+OFFSET(W430,0,-1),1)),"-"),1)</f>
        <v>-</v>
      </c>
      <c r="X433" s="192" t="str">
        <f ca="1">IF(Prj_Inflation=1,IF($B433=1,IF(X$2=1,1,IF(Параметры!X$29=1,1+OFFSET(X430,0,-1),1)),"-"),1)</f>
        <v>-</v>
      </c>
      <c r="Y433" s="192" t="str">
        <f ca="1">IF(Prj_Inflation=1,IF($B433=1,IF(Y$2=1,1,IF(Параметры!Y$29=1,1+OFFSET(Y430,0,-1),1)),"-"),1)</f>
        <v>-</v>
      </c>
      <c r="Z433" s="192" t="str">
        <f ca="1">IF(Prj_Inflation=1,IF($B433=1,IF(Z$2=1,1,IF(Параметры!Z$29=1,1+OFFSET(Z430,0,-1),1)),"-"),1)</f>
        <v>-</v>
      </c>
      <c r="AA433" s="192" t="str">
        <f ca="1">IF(Prj_Inflation=1,IF($B433=1,IF(AA$2=1,1,IF(Параметры!AA$29=1,1+OFFSET(AA430,0,-1),1)),"-"),1)</f>
        <v>-</v>
      </c>
      <c r="AB433" s="192" t="str">
        <f ca="1">IF(Prj_Inflation=1,IF($B433=1,IF(AB$2=1,1,IF(Параметры!AB$29=1,1+OFFSET(AB430,0,-1),1)),"-"),1)</f>
        <v>-</v>
      </c>
      <c r="AC433" s="192" t="str">
        <f ca="1">IF(Prj_Inflation=1,IF($B433=1,IF(AC$2=1,1,IF(Параметры!AC$29=1,1+OFFSET(AC430,0,-1),1)),"-"),1)</f>
        <v>-</v>
      </c>
      <c r="AD433" s="192" t="str">
        <f ca="1">IF(Prj_Inflation=1,IF($B433=1,IF(AD$2=1,1,IF(Параметры!AD$29=1,1+OFFSET(AD430,0,-1),1)),"-"),1)</f>
        <v>-</v>
      </c>
      <c r="AE433" s="192" t="str">
        <f ca="1">IF(Prj_Inflation=1,IF($B433=1,IF(AE$2=1,1,IF(Параметры!AE$29=1,1+OFFSET(AE430,0,-1),1)),"-"),1)</f>
        <v>-</v>
      </c>
      <c r="AF433" s="192" t="str">
        <f ca="1">IF(Prj_Inflation=1,IF($B433=1,IF(AF$2=1,1,IF(Параметры!AF$29=1,1+OFFSET(AF430,0,-1),1)),"-"),1)</f>
        <v>-</v>
      </c>
      <c r="AG433" s="192" t="str">
        <f ca="1">IF(Prj_Inflation=1,IF($B433=1,IF(AG$2=1,1,IF(Параметры!AG$29=1,1+OFFSET(AG430,0,-1),1)),"-"),1)</f>
        <v>-</v>
      </c>
      <c r="AH433" s="192" t="str">
        <f ca="1">IF(Prj_Inflation=1,IF($B433=1,IF(AH$2=1,1,IF(Параметры!AH$29=1,1+OFFSET(AH430,0,-1),1)),"-"),1)</f>
        <v>-</v>
      </c>
      <c r="AI433" s="192" t="str">
        <f ca="1">IF(Prj_Inflation=1,IF($B433=1,IF(AI$2=1,1,IF(Параметры!AI$29=1,1+OFFSET(AI430,0,-1),1)),"-"),1)</f>
        <v>-</v>
      </c>
      <c r="AJ433" s="192" t="str">
        <f ca="1">IF(Prj_Inflation=1,IF($B433=1,IF(AJ$2=1,1,IF(Параметры!AJ$29=1,1+OFFSET(AJ430,0,-1),1)),"-"),1)</f>
        <v>-</v>
      </c>
      <c r="AK433" s="192" t="str">
        <f ca="1">IF(Prj_Inflation=1,IF($B433=1,IF(AK$2=1,1,IF(Параметры!AK$29=1,1+OFFSET(AK430,0,-1),1)),"-"),1)</f>
        <v>-</v>
      </c>
      <c r="AL433" s="192" t="str">
        <f ca="1">IF(Prj_Inflation=1,IF($B433=1,IF(AL$2=1,1,IF(Параметры!AL$29=1,1+OFFSET(AL430,0,-1),1)),"-"),1)</f>
        <v>-</v>
      </c>
      <c r="AM433" s="192" t="str">
        <f ca="1">IF(Prj_Inflation=1,IF($B433=1,IF(AM$2=1,1,IF(Параметры!AM$29=1,1+OFFSET(AM430,0,-1),1)),"-"),1)</f>
        <v>-</v>
      </c>
      <c r="AN433" s="192" t="str">
        <f ca="1">IF(Prj_Inflation=1,IF($B433=1,IF(AN$2=1,1,IF(Параметры!AN$29=1,1+OFFSET(AN430,0,-1),1)),"-"),1)</f>
        <v>-</v>
      </c>
      <c r="AO433" s="192" t="str">
        <f ca="1">IF(Prj_Inflation=1,IF($B433=1,IF(AO$2=1,1,IF(Параметры!AO$29=1,1+OFFSET(AO430,0,-1),1)),"-"),1)</f>
        <v>-</v>
      </c>
      <c r="AP433" s="192" t="str">
        <f ca="1">IF(Prj_Inflation=1,IF($B433=1,IF(AP$2=1,1,IF(Параметры!AP$29=1,1+OFFSET(AP430,0,-1),1)),"-"),1)</f>
        <v>-</v>
      </c>
      <c r="AQ433" s="192" t="str">
        <f ca="1">IF(Prj_Inflation=1,IF($B433=1,IF(AQ$2=1,1,IF(Параметры!AQ$29=1,1+OFFSET(AQ430,0,-1),1)),"-"),1)</f>
        <v>-</v>
      </c>
      <c r="AR433" s="192" t="str">
        <f ca="1">IF(Prj_Inflation=1,IF($B433=1,IF(AR$2=1,1,IF(Параметры!AR$29=1,1+OFFSET(AR430,0,-1),1)),"-"),1)</f>
        <v>-</v>
      </c>
      <c r="AS433" s="192" t="str">
        <f ca="1">IF(Prj_Inflation=1,IF($B433=1,IF(AS$2=1,1,IF(Параметры!AS$29=1,1+OFFSET(AS430,0,-1),1)),"-"),1)</f>
        <v>-</v>
      </c>
      <c r="AT433" s="192" t="str">
        <f ca="1">IF(Prj_Inflation=1,IF($B433=1,IF(AT$2=1,1,IF(Параметры!AT$29=1,1+OFFSET(AT430,0,-1),1)),"-"),1)</f>
        <v>-</v>
      </c>
      <c r="AU433" s="192" t="str">
        <f ca="1">IF(Prj_Inflation=1,IF($B433=1,IF(AU$2=1,1,IF(Параметры!AU$29=1,1+OFFSET(AU430,0,-1),1)),"-"),1)</f>
        <v>-</v>
      </c>
      <c r="AV433" s="192" t="str">
        <f ca="1">IF(Prj_Inflation=1,IF($B433=1,IF(AV$2=1,1,IF(Параметры!AV$29=1,1+OFFSET(AV430,0,-1),1)),"-"),1)</f>
        <v>-</v>
      </c>
      <c r="AW433" s="192" t="str">
        <f ca="1">IF(Prj_Inflation=1,IF($B433=1,IF(AW$2=1,1,IF(Параметры!AW$29=1,1+OFFSET(AW430,0,-1),1)),"-"),1)</f>
        <v>-</v>
      </c>
      <c r="AX433" s="192" t="str">
        <f ca="1">IF(Prj_Inflation=1,IF($B433=1,IF(AX$2=1,1,IF(Параметры!AX$29=1,1+OFFSET(AX430,0,-1),1)),"-"),1)</f>
        <v>-</v>
      </c>
      <c r="AY433" s="192" t="str">
        <f ca="1">IF(Prj_Inflation=1,IF($B433=1,IF(AY$2=1,1,IF(Параметры!AY$29=1,1+OFFSET(AY430,0,-1),1)),"-"),1)</f>
        <v>-</v>
      </c>
      <c r="AZ433" s="192" t="str">
        <f ca="1">IF(Prj_Inflation=1,IF($B433=1,IF(AZ$2=1,1,IF(Параметры!AZ$29=1,1+OFFSET(AZ430,0,-1),1)),"-"),1)</f>
        <v>-</v>
      </c>
      <c r="BA433" s="192" t="str">
        <f ca="1">IF(Prj_Inflation=1,IF($B433=1,IF(BA$2=1,1,IF(Параметры!BA$29=1,1+OFFSET(BA430,0,-1),1)),"-"),1)</f>
        <v>-</v>
      </c>
      <c r="BB433" s="192" t="str">
        <f ca="1">IF(Prj_Inflation=1,IF($B433=1,IF(BB$2=1,1,IF(Параметры!BB$29=1,1+OFFSET(BB430,0,-1),1)),"-"),1)</f>
        <v>-</v>
      </c>
      <c r="BC433" s="191"/>
      <c r="BD433" s="186"/>
    </row>
    <row r="434" spans="1:56" ht="14.4" hidden="1" thickTop="1" x14ac:dyDescent="0.3">
      <c r="A434" s="184" t="str">
        <f ca="1">Language!A$753</f>
        <v>НДС начисленный</v>
      </c>
      <c r="B434" s="163"/>
      <c r="C434" s="163" t="str">
        <f ca="1">CHOOSE(D434,CurName1,CurName2,CurName3)</f>
        <v>руб.</v>
      </c>
      <c r="D434" s="174">
        <f>D425</f>
        <v>1</v>
      </c>
      <c r="E434" s="170" t="s">
        <v>785</v>
      </c>
      <c r="F434" s="170" t="s">
        <v>743</v>
      </c>
      <c r="G434" s="185">
        <f ca="1">G429*G431</f>
        <v>0</v>
      </c>
      <c r="H434" s="185">
        <f t="shared" ref="H434:K434" ca="1" si="2002">H429*H431</f>
        <v>0</v>
      </c>
      <c r="I434" s="185">
        <f t="shared" ca="1" si="2002"/>
        <v>0</v>
      </c>
      <c r="J434" s="185">
        <f t="shared" ca="1" si="2002"/>
        <v>0</v>
      </c>
      <c r="K434" s="185">
        <f t="shared" ca="1" si="2002"/>
        <v>0</v>
      </c>
      <c r="L434" s="185">
        <f t="shared" ref="L434:M434" ca="1" si="2003">L429*L431</f>
        <v>0</v>
      </c>
      <c r="M434" s="185">
        <f t="shared" ca="1" si="2003"/>
        <v>0</v>
      </c>
      <c r="N434" s="185">
        <f t="shared" ref="N434:O434" ca="1" si="2004">N429*N431</f>
        <v>0</v>
      </c>
      <c r="O434" s="185">
        <f t="shared" ca="1" si="2004"/>
        <v>0</v>
      </c>
      <c r="P434" s="185">
        <f t="shared" ref="P434:Q434" ca="1" si="2005">P429*P431</f>
        <v>0</v>
      </c>
      <c r="Q434" s="185">
        <f t="shared" ca="1" si="2005"/>
        <v>0</v>
      </c>
      <c r="R434" s="185">
        <f t="shared" ref="R434:S434" ca="1" si="2006">R429*R431</f>
        <v>0</v>
      </c>
      <c r="S434" s="185">
        <f t="shared" ca="1" si="2006"/>
        <v>0</v>
      </c>
      <c r="T434" s="185">
        <f t="shared" ref="T434:U434" ca="1" si="2007">T429*T431</f>
        <v>0</v>
      </c>
      <c r="U434" s="185">
        <f t="shared" ca="1" si="2007"/>
        <v>0</v>
      </c>
      <c r="V434" s="185">
        <f t="shared" ref="V434:W434" ca="1" si="2008">V429*V431</f>
        <v>0</v>
      </c>
      <c r="W434" s="185">
        <f t="shared" ca="1" si="2008"/>
        <v>0</v>
      </c>
      <c r="X434" s="185">
        <f t="shared" ref="X434:Y434" ca="1" si="2009">X429*X431</f>
        <v>0</v>
      </c>
      <c r="Y434" s="185">
        <f t="shared" ca="1" si="2009"/>
        <v>0</v>
      </c>
      <c r="Z434" s="185">
        <f t="shared" ref="Z434:AA434" ca="1" si="2010">Z429*Z431</f>
        <v>0</v>
      </c>
      <c r="AA434" s="185">
        <f t="shared" ca="1" si="2010"/>
        <v>0</v>
      </c>
      <c r="AB434" s="185">
        <f t="shared" ref="AB434:AC434" ca="1" si="2011">AB429*AB431</f>
        <v>0</v>
      </c>
      <c r="AC434" s="185">
        <f t="shared" ca="1" si="2011"/>
        <v>0</v>
      </c>
      <c r="AD434" s="185">
        <f t="shared" ref="AD434:AE434" ca="1" si="2012">AD429*AD431</f>
        <v>0</v>
      </c>
      <c r="AE434" s="185">
        <f t="shared" ca="1" si="2012"/>
        <v>0</v>
      </c>
      <c r="AF434" s="185">
        <f t="shared" ref="AF434:AG434" ca="1" si="2013">AF429*AF431</f>
        <v>0</v>
      </c>
      <c r="AG434" s="185">
        <f t="shared" ca="1" si="2013"/>
        <v>0</v>
      </c>
      <c r="AH434" s="185">
        <f t="shared" ref="AH434:AI434" ca="1" si="2014">AH429*AH431</f>
        <v>0</v>
      </c>
      <c r="AI434" s="185">
        <f t="shared" ca="1" si="2014"/>
        <v>0</v>
      </c>
      <c r="AJ434" s="185">
        <f t="shared" ref="AJ434:AK434" ca="1" si="2015">AJ429*AJ431</f>
        <v>0</v>
      </c>
      <c r="AK434" s="185">
        <f t="shared" ca="1" si="2015"/>
        <v>0</v>
      </c>
      <c r="AL434" s="185">
        <f t="shared" ref="AL434:AM434" ca="1" si="2016">AL429*AL431</f>
        <v>0</v>
      </c>
      <c r="AM434" s="185">
        <f t="shared" ca="1" si="2016"/>
        <v>0</v>
      </c>
      <c r="AN434" s="185">
        <f t="shared" ref="AN434:AO434" ca="1" si="2017">AN429*AN431</f>
        <v>0</v>
      </c>
      <c r="AO434" s="185">
        <f t="shared" ca="1" si="2017"/>
        <v>0</v>
      </c>
      <c r="AP434" s="185">
        <f t="shared" ref="AP434:AQ434" ca="1" si="2018">AP429*AP431</f>
        <v>0</v>
      </c>
      <c r="AQ434" s="185">
        <f t="shared" ca="1" si="2018"/>
        <v>0</v>
      </c>
      <c r="AR434" s="185">
        <f t="shared" ref="AR434:AS434" ca="1" si="2019">AR429*AR431</f>
        <v>0</v>
      </c>
      <c r="AS434" s="185">
        <f t="shared" ca="1" si="2019"/>
        <v>0</v>
      </c>
      <c r="AT434" s="185">
        <f t="shared" ref="AT434:AU434" ca="1" si="2020">AT429*AT431</f>
        <v>0</v>
      </c>
      <c r="AU434" s="185">
        <f t="shared" ca="1" si="2020"/>
        <v>0</v>
      </c>
      <c r="AV434" s="185">
        <f t="shared" ref="AV434:AW434" ca="1" si="2021">AV429*AV431</f>
        <v>0</v>
      </c>
      <c r="AW434" s="185">
        <f t="shared" ca="1" si="2021"/>
        <v>0</v>
      </c>
      <c r="AX434" s="185">
        <f t="shared" ref="AX434:AY434" ca="1" si="2022">AX429*AX431</f>
        <v>0</v>
      </c>
      <c r="AY434" s="185">
        <f t="shared" ca="1" si="2022"/>
        <v>0</v>
      </c>
      <c r="AZ434" s="185">
        <f t="shared" ref="AZ434:BA434" ca="1" si="2023">AZ429*AZ431</f>
        <v>0</v>
      </c>
      <c r="BA434" s="185">
        <f t="shared" ca="1" si="2023"/>
        <v>0</v>
      </c>
      <c r="BB434" s="185">
        <f t="shared" ref="BB434" ca="1" si="2024">BB429*BB431</f>
        <v>0</v>
      </c>
      <c r="BC434" s="185"/>
      <c r="BD434" s="193">
        <f ca="1">SUM(G434:BC434)</f>
        <v>0</v>
      </c>
    </row>
    <row r="435" spans="1:56" ht="14.4" hidden="1" thickTop="1" x14ac:dyDescent="0.3">
      <c r="A435" s="283" t="str">
        <f ca="1">Language!A$754</f>
        <v>Шаблон издержки с единицами</v>
      </c>
      <c r="B435" s="205"/>
      <c r="C435" s="176"/>
      <c r="D435" s="174">
        <v>1</v>
      </c>
      <c r="F435" s="170" t="s">
        <v>2335</v>
      </c>
      <c r="G435" s="206"/>
      <c r="H435" s="206"/>
      <c r="I435" s="206"/>
      <c r="J435" s="206"/>
      <c r="K435" s="206"/>
      <c r="L435" s="206"/>
      <c r="M435" s="206"/>
      <c r="N435" s="206"/>
      <c r="O435" s="206"/>
      <c r="P435" s="206"/>
      <c r="Q435" s="206"/>
      <c r="R435" s="206"/>
      <c r="S435" s="206"/>
      <c r="T435" s="206"/>
      <c r="U435" s="206"/>
      <c r="V435" s="206"/>
      <c r="W435" s="206"/>
      <c r="X435" s="206"/>
      <c r="Y435" s="206"/>
      <c r="Z435" s="206"/>
      <c r="AA435" s="206"/>
      <c r="AB435" s="206"/>
      <c r="AC435" s="206"/>
      <c r="AD435" s="206"/>
      <c r="AE435" s="206"/>
      <c r="AF435" s="206"/>
      <c r="AG435" s="206"/>
      <c r="AH435" s="206"/>
      <c r="AI435" s="206"/>
      <c r="AJ435" s="206"/>
      <c r="AK435" s="206"/>
      <c r="AL435" s="206"/>
      <c r="AM435" s="206"/>
      <c r="AN435" s="206"/>
      <c r="AO435" s="206"/>
      <c r="AP435" s="206"/>
      <c r="AQ435" s="206"/>
      <c r="AR435" s="206"/>
      <c r="AS435" s="206"/>
      <c r="AT435" s="206"/>
      <c r="AU435" s="206"/>
      <c r="AV435" s="206"/>
      <c r="AW435" s="206"/>
      <c r="AX435" s="206"/>
      <c r="AY435" s="206"/>
      <c r="AZ435" s="206"/>
      <c r="BA435" s="206"/>
      <c r="BB435" s="206"/>
      <c r="BC435" s="206"/>
    </row>
    <row r="436" spans="1:56" ht="14.4" hidden="1" thickTop="1" x14ac:dyDescent="0.3">
      <c r="A436" s="175" t="str">
        <f ca="1">Language!A$755</f>
        <v>период появления затрат</v>
      </c>
      <c r="B436" s="284">
        <f>Prj_Invest+1</f>
        <v>7</v>
      </c>
      <c r="C436" s="176" t="str">
        <f ca="1">Language!$A$1480</f>
        <v>период</v>
      </c>
      <c r="D436" s="174"/>
      <c r="F436" s="170" t="s">
        <v>753</v>
      </c>
      <c r="G436" s="177"/>
      <c r="H436" s="177"/>
      <c r="I436" s="177"/>
      <c r="J436" s="177"/>
      <c r="K436" s="177"/>
      <c r="L436" s="177"/>
      <c r="M436" s="177"/>
      <c r="N436" s="177"/>
      <c r="O436" s="177"/>
      <c r="P436" s="177"/>
      <c r="Q436" s="177"/>
      <c r="R436" s="177"/>
      <c r="S436" s="177"/>
      <c r="T436" s="177"/>
      <c r="U436" s="177"/>
      <c r="V436" s="177"/>
      <c r="W436" s="177"/>
      <c r="X436" s="177"/>
      <c r="Y436" s="177"/>
      <c r="Z436" s="177"/>
      <c r="AA436" s="177"/>
      <c r="AB436" s="177"/>
      <c r="AC436" s="177"/>
      <c r="AD436" s="177"/>
      <c r="AE436" s="177"/>
      <c r="AF436" s="177"/>
      <c r="AG436" s="177"/>
      <c r="AH436" s="177"/>
      <c r="AI436" s="177"/>
      <c r="AJ436" s="177"/>
      <c r="AK436" s="177"/>
      <c r="AL436" s="177"/>
      <c r="AM436" s="177"/>
      <c r="AN436" s="177"/>
      <c r="AO436" s="177"/>
      <c r="AP436" s="177"/>
      <c r="AQ436" s="177"/>
      <c r="AR436" s="177"/>
      <c r="AS436" s="177"/>
      <c r="AT436" s="177"/>
      <c r="AU436" s="177"/>
      <c r="AV436" s="177"/>
      <c r="AW436" s="177"/>
      <c r="AX436" s="177"/>
      <c r="AY436" s="177"/>
      <c r="AZ436" s="177"/>
      <c r="BA436" s="177"/>
      <c r="BB436" s="177"/>
      <c r="BC436" s="177"/>
      <c r="BD436" s="178"/>
    </row>
    <row r="437" spans="1:56" ht="14.4" hidden="1" thickTop="1" x14ac:dyDescent="0.3">
      <c r="A437" s="175" t="str">
        <f ca="1">Language!A$756&amp;" ("&amp;Параметры!B$19&amp;") "</f>
        <v xml:space="preserve">расход в единицах за период (месяц) </v>
      </c>
      <c r="B437" s="284">
        <v>0</v>
      </c>
      <c r="C437" s="284" t="s">
        <v>521</v>
      </c>
      <c r="E437" s="170" t="s">
        <v>945</v>
      </c>
      <c r="F437" s="170" t="s">
        <v>2341</v>
      </c>
      <c r="G437" s="285">
        <f>$B437*G438</f>
        <v>0</v>
      </c>
      <c r="H437" s="285">
        <f t="shared" ref="H437:BB437" si="2025">$B437*H438</f>
        <v>0</v>
      </c>
      <c r="I437" s="285">
        <f t="shared" si="2025"/>
        <v>0</v>
      </c>
      <c r="J437" s="285">
        <f t="shared" si="2025"/>
        <v>0</v>
      </c>
      <c r="K437" s="285">
        <f t="shared" si="2025"/>
        <v>0</v>
      </c>
      <c r="L437" s="285">
        <f t="shared" si="2025"/>
        <v>0</v>
      </c>
      <c r="M437" s="285">
        <f t="shared" si="2025"/>
        <v>0</v>
      </c>
      <c r="N437" s="285">
        <f t="shared" si="2025"/>
        <v>0</v>
      </c>
      <c r="O437" s="285">
        <f t="shared" si="2025"/>
        <v>0</v>
      </c>
      <c r="P437" s="285">
        <f t="shared" si="2025"/>
        <v>0</v>
      </c>
      <c r="Q437" s="285">
        <f t="shared" si="2025"/>
        <v>0</v>
      </c>
      <c r="R437" s="285">
        <f t="shared" si="2025"/>
        <v>0</v>
      </c>
      <c r="S437" s="285">
        <f t="shared" si="2025"/>
        <v>0</v>
      </c>
      <c r="T437" s="285">
        <f t="shared" si="2025"/>
        <v>0</v>
      </c>
      <c r="U437" s="285">
        <f t="shared" si="2025"/>
        <v>0</v>
      </c>
      <c r="V437" s="285">
        <f t="shared" si="2025"/>
        <v>0</v>
      </c>
      <c r="W437" s="285">
        <f t="shared" si="2025"/>
        <v>0</v>
      </c>
      <c r="X437" s="285">
        <f t="shared" si="2025"/>
        <v>0</v>
      </c>
      <c r="Y437" s="285">
        <f t="shared" si="2025"/>
        <v>0</v>
      </c>
      <c r="Z437" s="285">
        <f t="shared" si="2025"/>
        <v>0</v>
      </c>
      <c r="AA437" s="285">
        <f t="shared" si="2025"/>
        <v>0</v>
      </c>
      <c r="AB437" s="285">
        <f t="shared" si="2025"/>
        <v>0</v>
      </c>
      <c r="AC437" s="285">
        <f t="shared" si="2025"/>
        <v>0</v>
      </c>
      <c r="AD437" s="285">
        <f t="shared" si="2025"/>
        <v>0</v>
      </c>
      <c r="AE437" s="285">
        <f t="shared" si="2025"/>
        <v>0</v>
      </c>
      <c r="AF437" s="285">
        <f t="shared" si="2025"/>
        <v>0</v>
      </c>
      <c r="AG437" s="285">
        <f t="shared" si="2025"/>
        <v>0</v>
      </c>
      <c r="AH437" s="285">
        <f t="shared" si="2025"/>
        <v>0</v>
      </c>
      <c r="AI437" s="285">
        <f t="shared" si="2025"/>
        <v>0</v>
      </c>
      <c r="AJ437" s="285">
        <f t="shared" si="2025"/>
        <v>0</v>
      </c>
      <c r="AK437" s="285">
        <f t="shared" si="2025"/>
        <v>0</v>
      </c>
      <c r="AL437" s="285">
        <f t="shared" si="2025"/>
        <v>0</v>
      </c>
      <c r="AM437" s="285">
        <f t="shared" si="2025"/>
        <v>0</v>
      </c>
      <c r="AN437" s="285">
        <f t="shared" si="2025"/>
        <v>0</v>
      </c>
      <c r="AO437" s="285">
        <f t="shared" si="2025"/>
        <v>0</v>
      </c>
      <c r="AP437" s="285">
        <f t="shared" si="2025"/>
        <v>0</v>
      </c>
      <c r="AQ437" s="285">
        <f t="shared" si="2025"/>
        <v>0</v>
      </c>
      <c r="AR437" s="285">
        <f t="shared" si="2025"/>
        <v>0</v>
      </c>
      <c r="AS437" s="285">
        <f t="shared" si="2025"/>
        <v>0</v>
      </c>
      <c r="AT437" s="285">
        <f t="shared" si="2025"/>
        <v>0</v>
      </c>
      <c r="AU437" s="285">
        <f t="shared" si="2025"/>
        <v>0</v>
      </c>
      <c r="AV437" s="285">
        <f t="shared" si="2025"/>
        <v>0</v>
      </c>
      <c r="AW437" s="285">
        <f t="shared" si="2025"/>
        <v>0</v>
      </c>
      <c r="AX437" s="285">
        <f t="shared" si="2025"/>
        <v>0</v>
      </c>
      <c r="AY437" s="285">
        <f t="shared" si="2025"/>
        <v>0</v>
      </c>
      <c r="AZ437" s="285">
        <f t="shared" si="2025"/>
        <v>0</v>
      </c>
      <c r="BA437" s="285">
        <f t="shared" si="2025"/>
        <v>0</v>
      </c>
      <c r="BB437" s="285">
        <f t="shared" si="2025"/>
        <v>0</v>
      </c>
      <c r="BC437" s="177"/>
      <c r="BD437" s="178">
        <f>SUM(G437:BC437)</f>
        <v>0</v>
      </c>
    </row>
    <row r="438" spans="1:56" ht="14.4" hidden="1" thickTop="1" x14ac:dyDescent="0.3">
      <c r="A438" s="175" t="str">
        <f ca="1">Language!A$695</f>
        <v>коэффициент расходов</v>
      </c>
      <c r="B438" s="199"/>
      <c r="C438" s="176" t="s">
        <v>1</v>
      </c>
      <c r="F438" s="170" t="s">
        <v>749</v>
      </c>
      <c r="G438" s="286">
        <f>IF(G$2&gt;=$B436,Параметры!G$33,0)</f>
        <v>0</v>
      </c>
      <c r="H438" s="286">
        <f>IF(H$2&gt;=$B436,Параметры!H$33,0)</f>
        <v>0</v>
      </c>
      <c r="I438" s="286">
        <f>IF(I$2&gt;=$B436,Параметры!I$33,0)</f>
        <v>0</v>
      </c>
      <c r="J438" s="286">
        <f>IF(J$2&gt;=$B436,Параметры!J$33,0)</f>
        <v>0</v>
      </c>
      <c r="K438" s="286">
        <f>IF(K$2&gt;=$B436,Параметры!K$33,0)</f>
        <v>0</v>
      </c>
      <c r="L438" s="286">
        <f>IF(L$2&gt;=$B436,Параметры!L$33,0)</f>
        <v>0</v>
      </c>
      <c r="M438" s="286">
        <f>IF(M$2&gt;=$B436,Параметры!M$33,0)</f>
        <v>1</v>
      </c>
      <c r="N438" s="286">
        <f>IF(N$2&gt;=$B436,Параметры!N$33,0)</f>
        <v>1</v>
      </c>
      <c r="O438" s="286">
        <f>IF(O$2&gt;=$B436,Параметры!O$33,0)</f>
        <v>1</v>
      </c>
      <c r="P438" s="286">
        <f>IF(P$2&gt;=$B436,Параметры!P$33,0)</f>
        <v>1</v>
      </c>
      <c r="Q438" s="286">
        <f>IF(Q$2&gt;=$B436,Параметры!Q$33,0)</f>
        <v>1</v>
      </c>
      <c r="R438" s="286">
        <f>IF(R$2&gt;=$B436,Параметры!R$33,0)</f>
        <v>1</v>
      </c>
      <c r="S438" s="286">
        <f>IF(S$2&gt;=$B436,Параметры!S$33,0)</f>
        <v>1</v>
      </c>
      <c r="T438" s="286">
        <f>IF(T$2&gt;=$B436,Параметры!T$33,0)</f>
        <v>1</v>
      </c>
      <c r="U438" s="286">
        <f>IF(U$2&gt;=$B436,Параметры!U$33,0)</f>
        <v>1</v>
      </c>
      <c r="V438" s="286">
        <f>IF(V$2&gt;=$B436,Параметры!V$33,0)</f>
        <v>1</v>
      </c>
      <c r="W438" s="286">
        <f>IF(W$2&gt;=$B436,Параметры!W$33,0)</f>
        <v>1</v>
      </c>
      <c r="X438" s="286">
        <f>IF(X$2&gt;=$B436,Параметры!X$33,0)</f>
        <v>1</v>
      </c>
      <c r="Y438" s="286">
        <f>IF(Y$2&gt;=$B436,Параметры!Y$33,0)</f>
        <v>1</v>
      </c>
      <c r="Z438" s="286">
        <f>IF(Z$2&gt;=$B436,Параметры!Z$33,0)</f>
        <v>1</v>
      </c>
      <c r="AA438" s="286">
        <f>IF(AA$2&gt;=$B436,Параметры!AA$33,0)</f>
        <v>1</v>
      </c>
      <c r="AB438" s="286">
        <f>IF(AB$2&gt;=$B436,Параметры!AB$33,0)</f>
        <v>1</v>
      </c>
      <c r="AC438" s="286">
        <f>IF(AC$2&gt;=$B436,Параметры!AC$33,0)</f>
        <v>1</v>
      </c>
      <c r="AD438" s="286">
        <f>IF(AD$2&gt;=$B436,Параметры!AD$33,0)</f>
        <v>1</v>
      </c>
      <c r="AE438" s="286">
        <f>IF(AE$2&gt;=$B436,Параметры!AE$33,0)</f>
        <v>1</v>
      </c>
      <c r="AF438" s="286">
        <f>IF(AF$2&gt;=$B436,Параметры!AF$33,0)</f>
        <v>1</v>
      </c>
      <c r="AG438" s="286">
        <f>IF(AG$2&gt;=$B436,Параметры!AG$33,0)</f>
        <v>1</v>
      </c>
      <c r="AH438" s="286">
        <f>IF(AH$2&gt;=$B436,Параметры!AH$33,0)</f>
        <v>1</v>
      </c>
      <c r="AI438" s="286">
        <f>IF(AI$2&gt;=$B436,Параметры!AI$33,0)</f>
        <v>1</v>
      </c>
      <c r="AJ438" s="286">
        <f>IF(AJ$2&gt;=$B436,Параметры!AJ$33,0)</f>
        <v>1</v>
      </c>
      <c r="AK438" s="286">
        <f>IF(AK$2&gt;=$B436,Параметры!AK$33,0)</f>
        <v>1</v>
      </c>
      <c r="AL438" s="286">
        <f>IF(AL$2&gt;=$B436,Параметры!AL$33,0)</f>
        <v>1</v>
      </c>
      <c r="AM438" s="286">
        <f>IF(AM$2&gt;=$B436,Параметры!AM$33,0)</f>
        <v>1</v>
      </c>
      <c r="AN438" s="286">
        <f>IF(AN$2&gt;=$B436,Параметры!AN$33,0)</f>
        <v>1</v>
      </c>
      <c r="AO438" s="286">
        <f>IF(AO$2&gt;=$B436,Параметры!AO$33,0)</f>
        <v>1</v>
      </c>
      <c r="AP438" s="286">
        <f>IF(AP$2&gt;=$B436,Параметры!AP$33,0)</f>
        <v>1</v>
      </c>
      <c r="AQ438" s="286">
        <f>IF(AQ$2&gt;=$B436,Параметры!AQ$33,0)</f>
        <v>1</v>
      </c>
      <c r="AR438" s="286">
        <f>IF(AR$2&gt;=$B436,Параметры!AR$33,0)</f>
        <v>1</v>
      </c>
      <c r="AS438" s="286">
        <f>IF(AS$2&gt;=$B436,Параметры!AS$33,0)</f>
        <v>1</v>
      </c>
      <c r="AT438" s="286">
        <f>IF(AT$2&gt;=$B436,Параметры!AT$33,0)</f>
        <v>1</v>
      </c>
      <c r="AU438" s="286">
        <f>IF(AU$2&gt;=$B436,Параметры!AU$33,0)</f>
        <v>1</v>
      </c>
      <c r="AV438" s="286">
        <f>IF(AV$2&gt;=$B436,Параметры!AV$33,0)</f>
        <v>1</v>
      </c>
      <c r="AW438" s="286">
        <f>IF(AW$2&gt;=$B436,Параметры!AW$33,0)</f>
        <v>1</v>
      </c>
      <c r="AX438" s="286">
        <f>IF(AX$2&gt;=$B436,Параметры!AX$33,0)</f>
        <v>1</v>
      </c>
      <c r="AY438" s="286">
        <f>IF(AY$2&gt;=$B436,Параметры!AY$33,0)</f>
        <v>1</v>
      </c>
      <c r="AZ438" s="286">
        <f>IF(AZ$2&gt;=$B436,Параметры!AZ$33,0)</f>
        <v>1</v>
      </c>
      <c r="BA438" s="286">
        <f>IF(BA$2&gt;=$B436,Параметры!BA$33,0)</f>
        <v>1</v>
      </c>
      <c r="BB438" s="286">
        <f>IF(BB$2&gt;=$B436,Параметры!BB$33,0)</f>
        <v>1</v>
      </c>
      <c r="BC438" s="177"/>
    </row>
    <row r="439" spans="1:56" ht="14.4" hidden="1" thickTop="1" x14ac:dyDescent="0.3">
      <c r="A439" s="181" t="str">
        <f ca="1">Language!A$757 &amp; C437 &amp; Language!A$1485</f>
        <v>цена за единицу (ед.), без НДС</v>
      </c>
      <c r="B439" s="293">
        <v>0</v>
      </c>
      <c r="C439" s="176" t="str">
        <f t="shared" ref="C439:C440" ca="1" si="2026">CHOOSE(D439,CurName1,CurName2,CurName3)</f>
        <v>руб.</v>
      </c>
      <c r="D439" s="174">
        <f>D435</f>
        <v>1</v>
      </c>
      <c r="E439" s="170" t="s">
        <v>842</v>
      </c>
      <c r="F439" s="170" t="s">
        <v>2349</v>
      </c>
      <c r="G439" s="294">
        <f ca="1">IF(G$2=1,$B439,F439)*IF($B444=1,G444,G443)</f>
        <v>0</v>
      </c>
      <c r="H439" s="294">
        <f t="shared" ref="H439:BB439" ca="1" si="2027">IF(H$2=1,$B439,G439)*IF($B444=1,H444,H443)</f>
        <v>0</v>
      </c>
      <c r="I439" s="294">
        <f t="shared" ca="1" si="2027"/>
        <v>0</v>
      </c>
      <c r="J439" s="294">
        <f t="shared" ca="1" si="2027"/>
        <v>0</v>
      </c>
      <c r="K439" s="294">
        <f t="shared" ca="1" si="2027"/>
        <v>0</v>
      </c>
      <c r="L439" s="294">
        <f t="shared" ca="1" si="2027"/>
        <v>0</v>
      </c>
      <c r="M439" s="294">
        <f t="shared" ca="1" si="2027"/>
        <v>0</v>
      </c>
      <c r="N439" s="294">
        <f t="shared" ca="1" si="2027"/>
        <v>0</v>
      </c>
      <c r="O439" s="294">
        <f t="shared" ca="1" si="2027"/>
        <v>0</v>
      </c>
      <c r="P439" s="294">
        <f t="shared" ca="1" si="2027"/>
        <v>0</v>
      </c>
      <c r="Q439" s="294">
        <f t="shared" ca="1" si="2027"/>
        <v>0</v>
      </c>
      <c r="R439" s="294">
        <f t="shared" ca="1" si="2027"/>
        <v>0</v>
      </c>
      <c r="S439" s="294">
        <f t="shared" ca="1" si="2027"/>
        <v>0</v>
      </c>
      <c r="T439" s="294">
        <f t="shared" ca="1" si="2027"/>
        <v>0</v>
      </c>
      <c r="U439" s="294">
        <f t="shared" ca="1" si="2027"/>
        <v>0</v>
      </c>
      <c r="V439" s="294">
        <f t="shared" ca="1" si="2027"/>
        <v>0</v>
      </c>
      <c r="W439" s="294">
        <f t="shared" ca="1" si="2027"/>
        <v>0</v>
      </c>
      <c r="X439" s="294">
        <f t="shared" ca="1" si="2027"/>
        <v>0</v>
      </c>
      <c r="Y439" s="294">
        <f t="shared" ca="1" si="2027"/>
        <v>0</v>
      </c>
      <c r="Z439" s="294">
        <f t="shared" ca="1" si="2027"/>
        <v>0</v>
      </c>
      <c r="AA439" s="294">
        <f t="shared" ca="1" si="2027"/>
        <v>0</v>
      </c>
      <c r="AB439" s="294">
        <f t="shared" ca="1" si="2027"/>
        <v>0</v>
      </c>
      <c r="AC439" s="294">
        <f t="shared" ca="1" si="2027"/>
        <v>0</v>
      </c>
      <c r="AD439" s="294">
        <f t="shared" ca="1" si="2027"/>
        <v>0</v>
      </c>
      <c r="AE439" s="294">
        <f t="shared" ca="1" si="2027"/>
        <v>0</v>
      </c>
      <c r="AF439" s="294">
        <f t="shared" ca="1" si="2027"/>
        <v>0</v>
      </c>
      <c r="AG439" s="294">
        <f t="shared" ca="1" si="2027"/>
        <v>0</v>
      </c>
      <c r="AH439" s="294">
        <f t="shared" ca="1" si="2027"/>
        <v>0</v>
      </c>
      <c r="AI439" s="294">
        <f t="shared" ca="1" si="2027"/>
        <v>0</v>
      </c>
      <c r="AJ439" s="294">
        <f t="shared" ca="1" si="2027"/>
        <v>0</v>
      </c>
      <c r="AK439" s="294">
        <f t="shared" ca="1" si="2027"/>
        <v>0</v>
      </c>
      <c r="AL439" s="294">
        <f t="shared" ca="1" si="2027"/>
        <v>0</v>
      </c>
      <c r="AM439" s="294">
        <f t="shared" ca="1" si="2027"/>
        <v>0</v>
      </c>
      <c r="AN439" s="294">
        <f t="shared" ca="1" si="2027"/>
        <v>0</v>
      </c>
      <c r="AO439" s="294">
        <f t="shared" ca="1" si="2027"/>
        <v>0</v>
      </c>
      <c r="AP439" s="294">
        <f t="shared" ca="1" si="2027"/>
        <v>0</v>
      </c>
      <c r="AQ439" s="294">
        <f t="shared" ca="1" si="2027"/>
        <v>0</v>
      </c>
      <c r="AR439" s="294">
        <f t="shared" ca="1" si="2027"/>
        <v>0</v>
      </c>
      <c r="AS439" s="294">
        <f t="shared" ca="1" si="2027"/>
        <v>0</v>
      </c>
      <c r="AT439" s="294">
        <f t="shared" ca="1" si="2027"/>
        <v>0</v>
      </c>
      <c r="AU439" s="294">
        <f t="shared" ca="1" si="2027"/>
        <v>0</v>
      </c>
      <c r="AV439" s="294">
        <f t="shared" ca="1" si="2027"/>
        <v>0</v>
      </c>
      <c r="AW439" s="294">
        <f t="shared" ca="1" si="2027"/>
        <v>0</v>
      </c>
      <c r="AX439" s="294">
        <f t="shared" ca="1" si="2027"/>
        <v>0</v>
      </c>
      <c r="AY439" s="294">
        <f t="shared" ca="1" si="2027"/>
        <v>0</v>
      </c>
      <c r="AZ439" s="294">
        <f t="shared" ca="1" si="2027"/>
        <v>0</v>
      </c>
      <c r="BA439" s="294">
        <f t="shared" ca="1" si="2027"/>
        <v>0</v>
      </c>
      <c r="BB439" s="294">
        <f t="shared" ca="1" si="2027"/>
        <v>0</v>
      </c>
      <c r="BC439" s="177"/>
    </row>
    <row r="440" spans="1:56" ht="14.4" hidden="1" thickTop="1" x14ac:dyDescent="0.3">
      <c r="A440" s="175" t="str">
        <f ca="1">Language!A$747&amp;" ("&amp;Параметры!B$19&amp;"), "&amp;Language!A$748</f>
        <v>затраты за период (месяц), без НДС</v>
      </c>
      <c r="B440" s="176"/>
      <c r="C440" s="176" t="str">
        <f t="shared" ca="1" si="2026"/>
        <v>руб.</v>
      </c>
      <c r="D440" s="174">
        <f>D435</f>
        <v>1</v>
      </c>
      <c r="E440" s="170" t="s">
        <v>751</v>
      </c>
      <c r="F440" s="170" t="s">
        <v>742</v>
      </c>
      <c r="G440" s="177">
        <f t="shared" ref="G440:K440" ca="1" si="2028">G437*G439</f>
        <v>0</v>
      </c>
      <c r="H440" s="177">
        <f t="shared" ca="1" si="2028"/>
        <v>0</v>
      </c>
      <c r="I440" s="177">
        <f t="shared" ca="1" si="2028"/>
        <v>0</v>
      </c>
      <c r="J440" s="177">
        <f t="shared" ca="1" si="2028"/>
        <v>0</v>
      </c>
      <c r="K440" s="177">
        <f t="shared" ca="1" si="2028"/>
        <v>0</v>
      </c>
      <c r="L440" s="177">
        <f t="shared" ref="L440:M440" ca="1" si="2029">L437*L439</f>
        <v>0</v>
      </c>
      <c r="M440" s="177">
        <f t="shared" ca="1" si="2029"/>
        <v>0</v>
      </c>
      <c r="N440" s="177">
        <f t="shared" ref="N440:O440" ca="1" si="2030">N437*N439</f>
        <v>0</v>
      </c>
      <c r="O440" s="177">
        <f t="shared" ca="1" si="2030"/>
        <v>0</v>
      </c>
      <c r="P440" s="177">
        <f t="shared" ref="P440:Q440" ca="1" si="2031">P437*P439</f>
        <v>0</v>
      </c>
      <c r="Q440" s="177">
        <f t="shared" ca="1" si="2031"/>
        <v>0</v>
      </c>
      <c r="R440" s="177">
        <f t="shared" ref="R440:S440" ca="1" si="2032">R437*R439</f>
        <v>0</v>
      </c>
      <c r="S440" s="177">
        <f t="shared" ca="1" si="2032"/>
        <v>0</v>
      </c>
      <c r="T440" s="177">
        <f t="shared" ref="T440:U440" ca="1" si="2033">T437*T439</f>
        <v>0</v>
      </c>
      <c r="U440" s="177">
        <f t="shared" ca="1" si="2033"/>
        <v>0</v>
      </c>
      <c r="V440" s="177">
        <f t="shared" ref="V440:W440" ca="1" si="2034">V437*V439</f>
        <v>0</v>
      </c>
      <c r="W440" s="177">
        <f t="shared" ca="1" si="2034"/>
        <v>0</v>
      </c>
      <c r="X440" s="177">
        <f t="shared" ref="X440:Y440" ca="1" si="2035">X437*X439</f>
        <v>0</v>
      </c>
      <c r="Y440" s="177">
        <f t="shared" ca="1" si="2035"/>
        <v>0</v>
      </c>
      <c r="Z440" s="177">
        <f t="shared" ref="Z440:AA440" ca="1" si="2036">Z437*Z439</f>
        <v>0</v>
      </c>
      <c r="AA440" s="177">
        <f t="shared" ca="1" si="2036"/>
        <v>0</v>
      </c>
      <c r="AB440" s="177">
        <f t="shared" ref="AB440:AC440" ca="1" si="2037">AB437*AB439</f>
        <v>0</v>
      </c>
      <c r="AC440" s="177">
        <f t="shared" ca="1" si="2037"/>
        <v>0</v>
      </c>
      <c r="AD440" s="177">
        <f t="shared" ref="AD440:AE440" ca="1" si="2038">AD437*AD439</f>
        <v>0</v>
      </c>
      <c r="AE440" s="177">
        <f t="shared" ca="1" si="2038"/>
        <v>0</v>
      </c>
      <c r="AF440" s="177">
        <f t="shared" ref="AF440:AG440" ca="1" si="2039">AF437*AF439</f>
        <v>0</v>
      </c>
      <c r="AG440" s="177">
        <f t="shared" ca="1" si="2039"/>
        <v>0</v>
      </c>
      <c r="AH440" s="177">
        <f t="shared" ref="AH440:AI440" ca="1" si="2040">AH437*AH439</f>
        <v>0</v>
      </c>
      <c r="AI440" s="177">
        <f t="shared" ca="1" si="2040"/>
        <v>0</v>
      </c>
      <c r="AJ440" s="177">
        <f t="shared" ref="AJ440:AK440" ca="1" si="2041">AJ437*AJ439</f>
        <v>0</v>
      </c>
      <c r="AK440" s="177">
        <f t="shared" ca="1" si="2041"/>
        <v>0</v>
      </c>
      <c r="AL440" s="177">
        <f t="shared" ref="AL440:AM440" ca="1" si="2042">AL437*AL439</f>
        <v>0</v>
      </c>
      <c r="AM440" s="177">
        <f t="shared" ca="1" si="2042"/>
        <v>0</v>
      </c>
      <c r="AN440" s="177">
        <f t="shared" ref="AN440:AO440" ca="1" si="2043">AN437*AN439</f>
        <v>0</v>
      </c>
      <c r="AO440" s="177">
        <f t="shared" ca="1" si="2043"/>
        <v>0</v>
      </c>
      <c r="AP440" s="177">
        <f t="shared" ref="AP440:AQ440" ca="1" si="2044">AP437*AP439</f>
        <v>0</v>
      </c>
      <c r="AQ440" s="177">
        <f t="shared" ca="1" si="2044"/>
        <v>0</v>
      </c>
      <c r="AR440" s="177">
        <f t="shared" ref="AR440:AS440" ca="1" si="2045">AR437*AR439</f>
        <v>0</v>
      </c>
      <c r="AS440" s="177">
        <f t="shared" ca="1" si="2045"/>
        <v>0</v>
      </c>
      <c r="AT440" s="177">
        <f t="shared" ref="AT440:AU440" ca="1" si="2046">AT437*AT439</f>
        <v>0</v>
      </c>
      <c r="AU440" s="177">
        <f t="shared" ca="1" si="2046"/>
        <v>0</v>
      </c>
      <c r="AV440" s="177">
        <f t="shared" ref="AV440:AW440" ca="1" si="2047">AV437*AV439</f>
        <v>0</v>
      </c>
      <c r="AW440" s="177">
        <f t="shared" ca="1" si="2047"/>
        <v>0</v>
      </c>
      <c r="AX440" s="177">
        <f t="shared" ref="AX440:AY440" ca="1" si="2048">AX437*AX439</f>
        <v>0</v>
      </c>
      <c r="AY440" s="177">
        <f t="shared" ca="1" si="2048"/>
        <v>0</v>
      </c>
      <c r="AZ440" s="177">
        <f t="shared" ref="AZ440:BA440" ca="1" si="2049">AZ437*AZ439</f>
        <v>0</v>
      </c>
      <c r="BA440" s="177">
        <f t="shared" ca="1" si="2049"/>
        <v>0</v>
      </c>
      <c r="BB440" s="177">
        <f t="shared" ref="BB440" ca="1" si="2050">BB437*BB439</f>
        <v>0</v>
      </c>
      <c r="BC440" s="177"/>
      <c r="BD440" s="178">
        <f ca="1">SUM(G440:BC440)</f>
        <v>0</v>
      </c>
    </row>
    <row r="441" spans="1:56" ht="14.4" hidden="1" thickTop="1" x14ac:dyDescent="0.3">
      <c r="A441" s="184" t="str">
        <f ca="1">Language!A$758</f>
        <v>темп изменения цен</v>
      </c>
      <c r="B441" s="189"/>
      <c r="C441" s="163" t="str">
        <f ca="1">Language!$A$480</f>
        <v>% в год</v>
      </c>
      <c r="D441" s="174"/>
      <c r="F441" s="170" t="s">
        <v>2344</v>
      </c>
      <c r="G441" s="290">
        <f>CHOOSE($D439,Параметры!G$49,Параметры!G$56,Параметры!G$62)</f>
        <v>0.06</v>
      </c>
      <c r="H441" s="290">
        <f>CHOOSE($D439,Параметры!H$49,Параметры!H$56,Параметры!H$62)</f>
        <v>0.06</v>
      </c>
      <c r="I441" s="290">
        <f>CHOOSE($D439,Параметры!I$49,Параметры!I$56,Параметры!I$62)</f>
        <v>0.06</v>
      </c>
      <c r="J441" s="290">
        <f>CHOOSE($D439,Параметры!J$49,Параметры!J$56,Параметры!J$62)</f>
        <v>0.06</v>
      </c>
      <c r="K441" s="290">
        <f>CHOOSE($D439,Параметры!K$49,Параметры!K$56,Параметры!K$62)</f>
        <v>0.06</v>
      </c>
      <c r="L441" s="290">
        <f>CHOOSE($D439,Параметры!L$49,Параметры!L$56,Параметры!L$62)</f>
        <v>0.06</v>
      </c>
      <c r="M441" s="290">
        <f>CHOOSE($D439,Параметры!M$49,Параметры!M$56,Параметры!M$62)</f>
        <v>0.06</v>
      </c>
      <c r="N441" s="290">
        <f>CHOOSE($D439,Параметры!N$49,Параметры!N$56,Параметры!N$62)</f>
        <v>0.06</v>
      </c>
      <c r="O441" s="290">
        <f>CHOOSE($D439,Параметры!O$49,Параметры!O$56,Параметры!O$62)</f>
        <v>0.06</v>
      </c>
      <c r="P441" s="290">
        <f>CHOOSE($D439,Параметры!P$49,Параметры!P$56,Параметры!P$62)</f>
        <v>0.06</v>
      </c>
      <c r="Q441" s="290">
        <f>CHOOSE($D439,Параметры!Q$49,Параметры!Q$56,Параметры!Q$62)</f>
        <v>0.06</v>
      </c>
      <c r="R441" s="290">
        <f>CHOOSE($D439,Параметры!R$49,Параметры!R$56,Параметры!R$62)</f>
        <v>0.06</v>
      </c>
      <c r="S441" s="290">
        <f>CHOOSE($D439,Параметры!S$49,Параметры!S$56,Параметры!S$62)</f>
        <v>0.06</v>
      </c>
      <c r="T441" s="290">
        <f>CHOOSE($D439,Параметры!T$49,Параметры!T$56,Параметры!T$62)</f>
        <v>0.06</v>
      </c>
      <c r="U441" s="290">
        <f>CHOOSE($D439,Параметры!U$49,Параметры!U$56,Параметры!U$62)</f>
        <v>0.06</v>
      </c>
      <c r="V441" s="290">
        <f>CHOOSE($D439,Параметры!V$49,Параметры!V$56,Параметры!V$62)</f>
        <v>0.06</v>
      </c>
      <c r="W441" s="290">
        <f>CHOOSE($D439,Параметры!W$49,Параметры!W$56,Параметры!W$62)</f>
        <v>0.06</v>
      </c>
      <c r="X441" s="290">
        <f>CHOOSE($D439,Параметры!X$49,Параметры!X$56,Параметры!X$62)</f>
        <v>0.06</v>
      </c>
      <c r="Y441" s="290">
        <f>CHOOSE($D439,Параметры!Y$49,Параметры!Y$56,Параметры!Y$62)</f>
        <v>0.06</v>
      </c>
      <c r="Z441" s="290">
        <f>CHOOSE($D439,Параметры!Z$49,Параметры!Z$56,Параметры!Z$62)</f>
        <v>0.06</v>
      </c>
      <c r="AA441" s="290">
        <f>CHOOSE($D439,Параметры!AA$49,Параметры!AA$56,Параметры!AA$62)</f>
        <v>0.06</v>
      </c>
      <c r="AB441" s="290">
        <f>CHOOSE($D439,Параметры!AB$49,Параметры!AB$56,Параметры!AB$62)</f>
        <v>0.06</v>
      </c>
      <c r="AC441" s="290">
        <f>CHOOSE($D439,Параметры!AC$49,Параметры!AC$56,Параметры!AC$62)</f>
        <v>0.06</v>
      </c>
      <c r="AD441" s="290">
        <f>CHOOSE($D439,Параметры!AD$49,Параметры!AD$56,Параметры!AD$62)</f>
        <v>0.06</v>
      </c>
      <c r="AE441" s="290">
        <f>CHOOSE($D439,Параметры!AE$49,Параметры!AE$56,Параметры!AE$62)</f>
        <v>0.06</v>
      </c>
      <c r="AF441" s="290">
        <f>CHOOSE($D439,Параметры!AF$49,Параметры!AF$56,Параметры!AF$62)</f>
        <v>0.06</v>
      </c>
      <c r="AG441" s="290">
        <f>CHOOSE($D439,Параметры!AG$49,Параметры!AG$56,Параметры!AG$62)</f>
        <v>0.06</v>
      </c>
      <c r="AH441" s="290">
        <f>CHOOSE($D439,Параметры!AH$49,Параметры!AH$56,Параметры!AH$62)</f>
        <v>0.06</v>
      </c>
      <c r="AI441" s="290">
        <f>CHOOSE($D439,Параметры!AI$49,Параметры!AI$56,Параметры!AI$62)</f>
        <v>0.06</v>
      </c>
      <c r="AJ441" s="290">
        <f>CHOOSE($D439,Параметры!AJ$49,Параметры!AJ$56,Параметры!AJ$62)</f>
        <v>0.06</v>
      </c>
      <c r="AK441" s="290">
        <f>CHOOSE($D439,Параметры!AK$49,Параметры!AK$56,Параметры!AK$62)</f>
        <v>0.06</v>
      </c>
      <c r="AL441" s="290">
        <f>CHOOSE($D439,Параметры!AL$49,Параметры!AL$56,Параметры!AL$62)</f>
        <v>0.06</v>
      </c>
      <c r="AM441" s="290">
        <f>CHOOSE($D439,Параметры!AM$49,Параметры!AM$56,Параметры!AM$62)</f>
        <v>0.06</v>
      </c>
      <c r="AN441" s="290">
        <f>CHOOSE($D439,Параметры!AN$49,Параметры!AN$56,Параметры!AN$62)</f>
        <v>0.06</v>
      </c>
      <c r="AO441" s="290">
        <f>CHOOSE($D439,Параметры!AO$49,Параметры!AO$56,Параметры!AO$62)</f>
        <v>0.06</v>
      </c>
      <c r="AP441" s="290">
        <f>CHOOSE($D439,Параметры!AP$49,Параметры!AP$56,Параметры!AP$62)</f>
        <v>0.06</v>
      </c>
      <c r="AQ441" s="290">
        <f>CHOOSE($D439,Параметры!AQ$49,Параметры!AQ$56,Параметры!AQ$62)</f>
        <v>0.06</v>
      </c>
      <c r="AR441" s="290">
        <f>CHOOSE($D439,Параметры!AR$49,Параметры!AR$56,Параметры!AR$62)</f>
        <v>0.06</v>
      </c>
      <c r="AS441" s="290">
        <f>CHOOSE($D439,Параметры!AS$49,Параметры!AS$56,Параметры!AS$62)</f>
        <v>0.06</v>
      </c>
      <c r="AT441" s="290">
        <f>CHOOSE($D439,Параметры!AT$49,Параметры!AT$56,Параметры!AT$62)</f>
        <v>0.06</v>
      </c>
      <c r="AU441" s="290">
        <f>CHOOSE($D439,Параметры!AU$49,Параметры!AU$56,Параметры!AU$62)</f>
        <v>0.06</v>
      </c>
      <c r="AV441" s="290">
        <f>CHOOSE($D439,Параметры!AV$49,Параметры!AV$56,Параметры!AV$62)</f>
        <v>0.06</v>
      </c>
      <c r="AW441" s="290">
        <f>CHOOSE($D439,Параметры!AW$49,Параметры!AW$56,Параметры!AW$62)</f>
        <v>0.06</v>
      </c>
      <c r="AX441" s="290">
        <f>CHOOSE($D439,Параметры!AX$49,Параметры!AX$56,Параметры!AX$62)</f>
        <v>0.06</v>
      </c>
      <c r="AY441" s="290">
        <f>CHOOSE($D439,Параметры!AY$49,Параметры!AY$56,Параметры!AY$62)</f>
        <v>0.06</v>
      </c>
      <c r="AZ441" s="290">
        <f>CHOOSE($D439,Параметры!AZ$49,Параметры!AZ$56,Параметры!AZ$62)</f>
        <v>0.06</v>
      </c>
      <c r="BA441" s="290">
        <f>CHOOSE($D439,Параметры!BA$49,Параметры!BA$56,Параметры!BA$62)</f>
        <v>0.06</v>
      </c>
      <c r="BB441" s="290">
        <f>CHOOSE($D439,Параметры!BB$49,Параметры!BB$56,Параметры!BB$62)</f>
        <v>0.06</v>
      </c>
      <c r="BC441" s="190"/>
      <c r="BD441" s="186"/>
    </row>
    <row r="442" spans="1:56" ht="14.4" hidden="1" thickTop="1" x14ac:dyDescent="0.3">
      <c r="A442" s="184" t="str">
        <f ca="1">Language!A$759</f>
        <v>ставка НДС</v>
      </c>
      <c r="B442" s="189"/>
      <c r="C442" s="163" t="s">
        <v>1</v>
      </c>
      <c r="D442" s="174"/>
      <c r="F442" s="170" t="s">
        <v>2344</v>
      </c>
      <c r="G442" s="290">
        <f>IF(G$2=1,Параметры!G$72,IF(F442=Параметры!F$72,Параметры!F$72,F442))</f>
        <v>0</v>
      </c>
      <c r="H442" s="290">
        <f>IF(H$2=1,Параметры!H$72,IF(G442=Параметры!G$72,Параметры!G$72,G442))</f>
        <v>0</v>
      </c>
      <c r="I442" s="290">
        <f>IF(I$2=1,Параметры!I$72,IF(H442=Параметры!H$72,Параметры!H$72,H442))</f>
        <v>0</v>
      </c>
      <c r="J442" s="290">
        <f>IF(J$2=1,Параметры!J$72,IF(I442=Параметры!I$72,Параметры!I$72,I442))</f>
        <v>0</v>
      </c>
      <c r="K442" s="290">
        <f>IF(K$2=1,Параметры!K$72,IF(J442=Параметры!J$72,Параметры!J$72,J442))</f>
        <v>0</v>
      </c>
      <c r="L442" s="290">
        <f>IF(L$2=1,Параметры!L$72,IF(K442=Параметры!K$72,Параметры!K$72,K442))</f>
        <v>0</v>
      </c>
      <c r="M442" s="290">
        <f>IF(M$2=1,Параметры!M$72,IF(L442=Параметры!L$72,Параметры!L$72,L442))</f>
        <v>0</v>
      </c>
      <c r="N442" s="290">
        <f>IF(N$2=1,Параметры!N$72,IF(M442=Параметры!M$72,Параметры!M$72,M442))</f>
        <v>0</v>
      </c>
      <c r="O442" s="290">
        <f>IF(O$2=1,Параметры!O$72,IF(N442=Параметры!N$72,Параметры!N$72,N442))</f>
        <v>0</v>
      </c>
      <c r="P442" s="290">
        <f>IF(P$2=1,Параметры!P$72,IF(O442=Параметры!O$72,Параметры!O$72,O442))</f>
        <v>0</v>
      </c>
      <c r="Q442" s="290">
        <f>IF(Q$2=1,Параметры!Q$72,IF(P442=Параметры!P$72,Параметры!P$72,P442))</f>
        <v>0</v>
      </c>
      <c r="R442" s="290">
        <f>IF(R$2=1,Параметры!R$72,IF(Q442=Параметры!Q$72,Параметры!Q$72,Q442))</f>
        <v>0</v>
      </c>
      <c r="S442" s="290">
        <f>IF(S$2=1,Параметры!S$72,IF(R442=Параметры!R$72,Параметры!R$72,R442))</f>
        <v>0</v>
      </c>
      <c r="T442" s="290">
        <f>IF(T$2=1,Параметры!T$72,IF(S442=Параметры!S$72,Параметры!S$72,S442))</f>
        <v>0</v>
      </c>
      <c r="U442" s="290">
        <f>IF(U$2=1,Параметры!U$72,IF(T442=Параметры!T$72,Параметры!T$72,T442))</f>
        <v>0</v>
      </c>
      <c r="V442" s="290">
        <f>IF(V$2=1,Параметры!V$72,IF(U442=Параметры!U$72,Параметры!U$72,U442))</f>
        <v>0</v>
      </c>
      <c r="W442" s="290">
        <f>IF(W$2=1,Параметры!W$72,IF(V442=Параметры!V$72,Параметры!V$72,V442))</f>
        <v>0</v>
      </c>
      <c r="X442" s="290">
        <f>IF(X$2=1,Параметры!X$72,IF(W442=Параметры!W$72,Параметры!W$72,W442))</f>
        <v>0</v>
      </c>
      <c r="Y442" s="290">
        <f>IF(Y$2=1,Параметры!Y$72,IF(X442=Параметры!X$72,Параметры!X$72,X442))</f>
        <v>0</v>
      </c>
      <c r="Z442" s="290">
        <f>IF(Z$2=1,Параметры!Z$72,IF(Y442=Параметры!Y$72,Параметры!Y$72,Y442))</f>
        <v>0</v>
      </c>
      <c r="AA442" s="290">
        <f>IF(AA$2=1,Параметры!AA$72,IF(Z442=Параметры!Z$72,Параметры!Z$72,Z442))</f>
        <v>0</v>
      </c>
      <c r="AB442" s="290">
        <f>IF(AB$2=1,Параметры!AB$72,IF(AA442=Параметры!AA$72,Параметры!AA$72,AA442))</f>
        <v>0</v>
      </c>
      <c r="AC442" s="290">
        <f>IF(AC$2=1,Параметры!AC$72,IF(AB442=Параметры!AB$72,Параметры!AB$72,AB442))</f>
        <v>0</v>
      </c>
      <c r="AD442" s="290">
        <f>IF(AD$2=1,Параметры!AD$72,IF(AC442=Параметры!AC$72,Параметры!AC$72,AC442))</f>
        <v>0</v>
      </c>
      <c r="AE442" s="290">
        <f>IF(AE$2=1,Параметры!AE$72,IF(AD442=Параметры!AD$72,Параметры!AD$72,AD442))</f>
        <v>0</v>
      </c>
      <c r="AF442" s="290">
        <f>IF(AF$2=1,Параметры!AF$72,IF(AE442=Параметры!AE$72,Параметры!AE$72,AE442))</f>
        <v>0</v>
      </c>
      <c r="AG442" s="290">
        <f>IF(AG$2=1,Параметры!AG$72,IF(AF442=Параметры!AF$72,Параметры!AF$72,AF442))</f>
        <v>0</v>
      </c>
      <c r="AH442" s="290">
        <f>IF(AH$2=1,Параметры!AH$72,IF(AG442=Параметры!AG$72,Параметры!AG$72,AG442))</f>
        <v>0</v>
      </c>
      <c r="AI442" s="290">
        <f>IF(AI$2=1,Параметры!AI$72,IF(AH442=Параметры!AH$72,Параметры!AH$72,AH442))</f>
        <v>0</v>
      </c>
      <c r="AJ442" s="290">
        <f>IF(AJ$2=1,Параметры!AJ$72,IF(AI442=Параметры!AI$72,Параметры!AI$72,AI442))</f>
        <v>0</v>
      </c>
      <c r="AK442" s="290">
        <f>IF(AK$2=1,Параметры!AK$72,IF(AJ442=Параметры!AJ$72,Параметры!AJ$72,AJ442))</f>
        <v>0</v>
      </c>
      <c r="AL442" s="290">
        <f>IF(AL$2=1,Параметры!AL$72,IF(AK442=Параметры!AK$72,Параметры!AK$72,AK442))</f>
        <v>0</v>
      </c>
      <c r="AM442" s="290">
        <f>IF(AM$2=1,Параметры!AM$72,IF(AL442=Параметры!AL$72,Параметры!AL$72,AL442))</f>
        <v>0</v>
      </c>
      <c r="AN442" s="290">
        <f>IF(AN$2=1,Параметры!AN$72,IF(AM442=Параметры!AM$72,Параметры!AM$72,AM442))</f>
        <v>0</v>
      </c>
      <c r="AO442" s="290">
        <f>IF(AO$2=1,Параметры!AO$72,IF(AN442=Параметры!AN$72,Параметры!AN$72,AN442))</f>
        <v>0</v>
      </c>
      <c r="AP442" s="290">
        <f>IF(AP$2=1,Параметры!AP$72,IF(AO442=Параметры!AO$72,Параметры!AO$72,AO442))</f>
        <v>0</v>
      </c>
      <c r="AQ442" s="290">
        <f>IF(AQ$2=1,Параметры!AQ$72,IF(AP442=Параметры!AP$72,Параметры!AP$72,AP442))</f>
        <v>0</v>
      </c>
      <c r="AR442" s="290">
        <f>IF(AR$2=1,Параметры!AR$72,IF(AQ442=Параметры!AQ$72,Параметры!AQ$72,AQ442))</f>
        <v>0</v>
      </c>
      <c r="AS442" s="290">
        <f>IF(AS$2=1,Параметры!AS$72,IF(AR442=Параметры!AR$72,Параметры!AR$72,AR442))</f>
        <v>0</v>
      </c>
      <c r="AT442" s="290">
        <f>IF(AT$2=1,Параметры!AT$72,IF(AS442=Параметры!AS$72,Параметры!AS$72,AS442))</f>
        <v>0</v>
      </c>
      <c r="AU442" s="290">
        <f>IF(AU$2=1,Параметры!AU$72,IF(AT442=Параметры!AT$72,Параметры!AT$72,AT442))</f>
        <v>0</v>
      </c>
      <c r="AV442" s="290">
        <f>IF(AV$2=1,Параметры!AV$72,IF(AU442=Параметры!AU$72,Параметры!AU$72,AU442))</f>
        <v>0</v>
      </c>
      <c r="AW442" s="290">
        <f>IF(AW$2=1,Параметры!AW$72,IF(AV442=Параметры!AV$72,Параметры!AV$72,AV442))</f>
        <v>0</v>
      </c>
      <c r="AX442" s="290">
        <f>IF(AX$2=1,Параметры!AX$72,IF(AW442=Параметры!AW$72,Параметры!AW$72,AW442))</f>
        <v>0</v>
      </c>
      <c r="AY442" s="290">
        <f>IF(AY$2=1,Параметры!AY$72,IF(AX442=Параметры!AX$72,Параметры!AX$72,AX442))</f>
        <v>0</v>
      </c>
      <c r="AZ442" s="290">
        <f>IF(AZ$2=1,Параметры!AZ$72,IF(AY442=Параметры!AY$72,Параметры!AY$72,AY442))</f>
        <v>0</v>
      </c>
      <c r="BA442" s="290">
        <f>IF(BA$2=1,Параметры!BA$72,IF(AZ442=Параметры!AZ$72,Параметры!AZ$72,AZ442))</f>
        <v>0</v>
      </c>
      <c r="BB442" s="290">
        <f>IF(BB$2=1,Параметры!BB$72,IF(BA442=Параметры!BA$72,Параметры!BA$72,BA442))</f>
        <v>0</v>
      </c>
      <c r="BC442" s="190"/>
      <c r="BD442" s="186"/>
    </row>
    <row r="443" spans="1:56" ht="14.4" hidden="1" thickTop="1" x14ac:dyDescent="0.3">
      <c r="A443" s="184" t="str">
        <f ca="1">Language!A$675</f>
        <v>коэффициент прироста цен к предыдущему периоду</v>
      </c>
      <c r="B443" s="189"/>
      <c r="C443" s="163" t="str">
        <f ca="1">Language!$A$1477</f>
        <v>раз</v>
      </c>
      <c r="D443" s="174"/>
      <c r="F443" s="170" t="s">
        <v>748</v>
      </c>
      <c r="G443" s="191">
        <f ca="1">IF(G$2=1,1,IF(Prj_Inflation=1, (1+OFFSET(G441,0,-1))^(Параметры!G$30/360), 1))</f>
        <v>1</v>
      </c>
      <c r="H443" s="191">
        <f ca="1">IF(H$2=1,1,IF(Prj_Inflation=1, (1+OFFSET(H441,0,-1))^(Параметры!H$30/360), 1))</f>
        <v>1.004867550565343</v>
      </c>
      <c r="I443" s="191">
        <f ca="1">IF(I$2=1,1,IF(Prj_Inflation=1, (1+OFFSET(I441,0,-1))^(Параметры!I$30/360), 1))</f>
        <v>1.004867550565343</v>
      </c>
      <c r="J443" s="191">
        <f ca="1">IF(J$2=1,1,IF(Prj_Inflation=1, (1+OFFSET(J441,0,-1))^(Параметры!J$30/360), 1))</f>
        <v>1.004867550565343</v>
      </c>
      <c r="K443" s="191">
        <f ca="1">IF(K$2=1,1,IF(Prj_Inflation=1, (1+OFFSET(K441,0,-1))^(Параметры!K$30/360), 1))</f>
        <v>1.004867550565343</v>
      </c>
      <c r="L443" s="191">
        <f ca="1">IF(L$2=1,1,IF(Prj_Inflation=1, (1+OFFSET(L441,0,-1))^(Параметры!L$30/360), 1))</f>
        <v>1.004867550565343</v>
      </c>
      <c r="M443" s="191">
        <f ca="1">IF(M$2=1,1,IF(Prj_Inflation=1, (1+OFFSET(M441,0,-1))^(Параметры!M$30/360), 1))</f>
        <v>1.004867550565343</v>
      </c>
      <c r="N443" s="191">
        <f ca="1">IF(N$2=1,1,IF(Prj_Inflation=1, (1+OFFSET(N441,0,-1))^(Параметры!N$30/360), 1))</f>
        <v>1.004867550565343</v>
      </c>
      <c r="O443" s="191">
        <f ca="1">IF(O$2=1,1,IF(Prj_Inflation=1, (1+OFFSET(O441,0,-1))^(Параметры!O$30/360), 1))</f>
        <v>1.004867550565343</v>
      </c>
      <c r="P443" s="191">
        <f ca="1">IF(P$2=1,1,IF(Prj_Inflation=1, (1+OFFSET(P441,0,-1))^(Параметры!P$30/360), 1))</f>
        <v>1.004867550565343</v>
      </c>
      <c r="Q443" s="191">
        <f ca="1">IF(Q$2=1,1,IF(Prj_Inflation=1, (1+OFFSET(Q441,0,-1))^(Параметры!Q$30/360), 1))</f>
        <v>1.004867550565343</v>
      </c>
      <c r="R443" s="191">
        <f ca="1">IF(R$2=1,1,IF(Prj_Inflation=1, (1+OFFSET(R441,0,-1))^(Параметры!R$30/360), 1))</f>
        <v>1.004867550565343</v>
      </c>
      <c r="S443" s="191">
        <f ca="1">IF(S$2=1,1,IF(Prj_Inflation=1, (1+OFFSET(S441,0,-1))^(Параметры!S$30/360), 1))</f>
        <v>1.004867550565343</v>
      </c>
      <c r="T443" s="191">
        <f ca="1">IF(T$2=1,1,IF(Prj_Inflation=1, (1+OFFSET(T441,0,-1))^(Параметры!T$30/360), 1))</f>
        <v>1.004867550565343</v>
      </c>
      <c r="U443" s="191">
        <f ca="1">IF(U$2=1,1,IF(Prj_Inflation=1, (1+OFFSET(U441,0,-1))^(Параметры!U$30/360), 1))</f>
        <v>1.004867550565343</v>
      </c>
      <c r="V443" s="191">
        <f ca="1">IF(V$2=1,1,IF(Prj_Inflation=1, (1+OFFSET(V441,0,-1))^(Параметры!V$30/360), 1))</f>
        <v>1.004867550565343</v>
      </c>
      <c r="W443" s="191">
        <f ca="1">IF(W$2=1,1,IF(Prj_Inflation=1, (1+OFFSET(W441,0,-1))^(Параметры!W$30/360), 1))</f>
        <v>1.004867550565343</v>
      </c>
      <c r="X443" s="191">
        <f ca="1">IF(X$2=1,1,IF(Prj_Inflation=1, (1+OFFSET(X441,0,-1))^(Параметры!X$30/360), 1))</f>
        <v>1.004867550565343</v>
      </c>
      <c r="Y443" s="191">
        <f ca="1">IF(Y$2=1,1,IF(Prj_Inflation=1, (1+OFFSET(Y441,0,-1))^(Параметры!Y$30/360), 1))</f>
        <v>1.004867550565343</v>
      </c>
      <c r="Z443" s="191">
        <f ca="1">IF(Z$2=1,1,IF(Prj_Inflation=1, (1+OFFSET(Z441,0,-1))^(Параметры!Z$30/360), 1))</f>
        <v>1.004867550565343</v>
      </c>
      <c r="AA443" s="191">
        <f ca="1">IF(AA$2=1,1,IF(Prj_Inflation=1, (1+OFFSET(AA441,0,-1))^(Параметры!AA$30/360), 1))</f>
        <v>1.004867550565343</v>
      </c>
      <c r="AB443" s="191">
        <f ca="1">IF(AB$2=1,1,IF(Prj_Inflation=1, (1+OFFSET(AB441,0,-1))^(Параметры!AB$30/360), 1))</f>
        <v>1.004867550565343</v>
      </c>
      <c r="AC443" s="191">
        <f ca="1">IF(AC$2=1,1,IF(Prj_Inflation=1, (1+OFFSET(AC441,0,-1))^(Параметры!AC$30/360), 1))</f>
        <v>1.004867550565343</v>
      </c>
      <c r="AD443" s="191">
        <f ca="1">IF(AD$2=1,1,IF(Prj_Inflation=1, (1+OFFSET(AD441,0,-1))^(Параметры!AD$30/360), 1))</f>
        <v>1.004867550565343</v>
      </c>
      <c r="AE443" s="191">
        <f ca="1">IF(AE$2=1,1,IF(Prj_Inflation=1, (1+OFFSET(AE441,0,-1))^(Параметры!AE$30/360), 1))</f>
        <v>1.004867550565343</v>
      </c>
      <c r="AF443" s="191">
        <f ca="1">IF(AF$2=1,1,IF(Prj_Inflation=1, (1+OFFSET(AF441,0,-1))^(Параметры!AF$30/360), 1))</f>
        <v>1.004867550565343</v>
      </c>
      <c r="AG443" s="191">
        <f ca="1">IF(AG$2=1,1,IF(Prj_Inflation=1, (1+OFFSET(AG441,0,-1))^(Параметры!AG$30/360), 1))</f>
        <v>1.004867550565343</v>
      </c>
      <c r="AH443" s="191">
        <f ca="1">IF(AH$2=1,1,IF(Prj_Inflation=1, (1+OFFSET(AH441,0,-1))^(Параметры!AH$30/360), 1))</f>
        <v>1.004867550565343</v>
      </c>
      <c r="AI443" s="191">
        <f ca="1">IF(AI$2=1,1,IF(Prj_Inflation=1, (1+OFFSET(AI441,0,-1))^(Параметры!AI$30/360), 1))</f>
        <v>1.004867550565343</v>
      </c>
      <c r="AJ443" s="191">
        <f ca="1">IF(AJ$2=1,1,IF(Prj_Inflation=1, (1+OFFSET(AJ441,0,-1))^(Параметры!AJ$30/360), 1))</f>
        <v>1.004867550565343</v>
      </c>
      <c r="AK443" s="191">
        <f ca="1">IF(AK$2=1,1,IF(Prj_Inflation=1, (1+OFFSET(AK441,0,-1))^(Параметры!AK$30/360), 1))</f>
        <v>1.004867550565343</v>
      </c>
      <c r="AL443" s="191">
        <f ca="1">IF(AL$2=1,1,IF(Prj_Inflation=1, (1+OFFSET(AL441,0,-1))^(Параметры!AL$30/360), 1))</f>
        <v>1.004867550565343</v>
      </c>
      <c r="AM443" s="191">
        <f ca="1">IF(AM$2=1,1,IF(Prj_Inflation=1, (1+OFFSET(AM441,0,-1))^(Параметры!AM$30/360), 1))</f>
        <v>1.004867550565343</v>
      </c>
      <c r="AN443" s="191">
        <f ca="1">IF(AN$2=1,1,IF(Prj_Inflation=1, (1+OFFSET(AN441,0,-1))^(Параметры!AN$30/360), 1))</f>
        <v>1.004867550565343</v>
      </c>
      <c r="AO443" s="191">
        <f ca="1">IF(AO$2=1,1,IF(Prj_Inflation=1, (1+OFFSET(AO441,0,-1))^(Параметры!AO$30/360), 1))</f>
        <v>1.004867550565343</v>
      </c>
      <c r="AP443" s="191">
        <f ca="1">IF(AP$2=1,1,IF(Prj_Inflation=1, (1+OFFSET(AP441,0,-1))^(Параметры!AP$30/360), 1))</f>
        <v>1.004867550565343</v>
      </c>
      <c r="AQ443" s="191">
        <f ca="1">IF(AQ$2=1,1,IF(Prj_Inflation=1, (1+OFFSET(AQ441,0,-1))^(Параметры!AQ$30/360), 1))</f>
        <v>1.004867550565343</v>
      </c>
      <c r="AR443" s="191">
        <f ca="1">IF(AR$2=1,1,IF(Prj_Inflation=1, (1+OFFSET(AR441,0,-1))^(Параметры!AR$30/360), 1))</f>
        <v>1.004867550565343</v>
      </c>
      <c r="AS443" s="191">
        <f ca="1">IF(AS$2=1,1,IF(Prj_Inflation=1, (1+OFFSET(AS441,0,-1))^(Параметры!AS$30/360), 1))</f>
        <v>1.004867550565343</v>
      </c>
      <c r="AT443" s="191">
        <f ca="1">IF(AT$2=1,1,IF(Prj_Inflation=1, (1+OFFSET(AT441,0,-1))^(Параметры!AT$30/360), 1))</f>
        <v>1.004867550565343</v>
      </c>
      <c r="AU443" s="191">
        <f ca="1">IF(AU$2=1,1,IF(Prj_Inflation=1, (1+OFFSET(AU441,0,-1))^(Параметры!AU$30/360), 1))</f>
        <v>1.004867550565343</v>
      </c>
      <c r="AV443" s="191">
        <f ca="1">IF(AV$2=1,1,IF(Prj_Inflation=1, (1+OFFSET(AV441,0,-1))^(Параметры!AV$30/360), 1))</f>
        <v>1.004867550565343</v>
      </c>
      <c r="AW443" s="191">
        <f ca="1">IF(AW$2=1,1,IF(Prj_Inflation=1, (1+OFFSET(AW441,0,-1))^(Параметры!AW$30/360), 1))</f>
        <v>1.004867550565343</v>
      </c>
      <c r="AX443" s="191">
        <f ca="1">IF(AX$2=1,1,IF(Prj_Inflation=1, (1+OFFSET(AX441,0,-1))^(Параметры!AX$30/360), 1))</f>
        <v>1.004867550565343</v>
      </c>
      <c r="AY443" s="191">
        <f ca="1">IF(AY$2=1,1,IF(Prj_Inflation=1, (1+OFFSET(AY441,0,-1))^(Параметры!AY$30/360), 1))</f>
        <v>1.004867550565343</v>
      </c>
      <c r="AZ443" s="191">
        <f ca="1">IF(AZ$2=1,1,IF(Prj_Inflation=1, (1+OFFSET(AZ441,0,-1))^(Параметры!AZ$30/360), 1))</f>
        <v>1.004867550565343</v>
      </c>
      <c r="BA443" s="191">
        <f ca="1">IF(BA$2=1,1,IF(Prj_Inflation=1, (1+OFFSET(BA441,0,-1))^(Параметры!BA$30/360), 1))</f>
        <v>1.004867550565343</v>
      </c>
      <c r="BB443" s="191">
        <f ca="1">IF(BB$2=1,1,IF(Prj_Inflation=1, (1+OFFSET(BB441,0,-1))^(Параметры!BB$30/360), 1))</f>
        <v>1.004867550565343</v>
      </c>
      <c r="BC443" s="191"/>
      <c r="BD443" s="186"/>
    </row>
    <row r="444" spans="1:56" ht="14.4" hidden="1" thickTop="1" x14ac:dyDescent="0.3">
      <c r="A444" s="184" t="str">
        <f ca="1">Language!A$1486</f>
        <v>индексировать в начале года</v>
      </c>
      <c r="B444" s="291">
        <v>0</v>
      </c>
      <c r="C444" s="163" t="str">
        <f ca="1">IF(B444=1,Language!$A$1475,Language!$A$1476)</f>
        <v>Нет</v>
      </c>
      <c r="D444" s="174"/>
      <c r="F444" s="170" t="s">
        <v>2345</v>
      </c>
      <c r="G444" s="192" t="str">
        <f ca="1">IF(Prj_Inflation=1,IF($B444=1,IF(G$2=1,1,IF(Параметры!G$29=1,1+OFFSET(G441,0,-1),1)),"-"),1)</f>
        <v>-</v>
      </c>
      <c r="H444" s="192" t="str">
        <f ca="1">IF(Prj_Inflation=1,IF($B444=1,IF(H$2=1,1,IF(Параметры!H$29=1,1+OFFSET(H441,0,-1),1)),"-"),1)</f>
        <v>-</v>
      </c>
      <c r="I444" s="192" t="str">
        <f ca="1">IF(Prj_Inflation=1,IF($B444=1,IF(I$2=1,1,IF(Параметры!I$29=1,1+OFFSET(I441,0,-1),1)),"-"),1)</f>
        <v>-</v>
      </c>
      <c r="J444" s="192" t="str">
        <f ca="1">IF(Prj_Inflation=1,IF($B444=1,IF(J$2=1,1,IF(Параметры!J$29=1,1+OFFSET(J441,0,-1),1)),"-"),1)</f>
        <v>-</v>
      </c>
      <c r="K444" s="192" t="str">
        <f ca="1">IF(Prj_Inflation=1,IF($B444=1,IF(K$2=1,1,IF(Параметры!K$29=1,1+OFFSET(K441,0,-1),1)),"-"),1)</f>
        <v>-</v>
      </c>
      <c r="L444" s="192" t="str">
        <f ca="1">IF(Prj_Inflation=1,IF($B444=1,IF(L$2=1,1,IF(Параметры!L$29=1,1+OFFSET(L441,0,-1),1)),"-"),1)</f>
        <v>-</v>
      </c>
      <c r="M444" s="192" t="str">
        <f ca="1">IF(Prj_Inflation=1,IF($B444=1,IF(M$2=1,1,IF(Параметры!M$29=1,1+OFFSET(M441,0,-1),1)),"-"),1)</f>
        <v>-</v>
      </c>
      <c r="N444" s="192" t="str">
        <f ca="1">IF(Prj_Inflation=1,IF($B444=1,IF(N$2=1,1,IF(Параметры!N$29=1,1+OFFSET(N441,0,-1),1)),"-"),1)</f>
        <v>-</v>
      </c>
      <c r="O444" s="192" t="str">
        <f ca="1">IF(Prj_Inflation=1,IF($B444=1,IF(O$2=1,1,IF(Параметры!O$29=1,1+OFFSET(O441,0,-1),1)),"-"),1)</f>
        <v>-</v>
      </c>
      <c r="P444" s="192" t="str">
        <f ca="1">IF(Prj_Inflation=1,IF($B444=1,IF(P$2=1,1,IF(Параметры!P$29=1,1+OFFSET(P441,0,-1),1)),"-"),1)</f>
        <v>-</v>
      </c>
      <c r="Q444" s="192" t="str">
        <f ca="1">IF(Prj_Inflation=1,IF($B444=1,IF(Q$2=1,1,IF(Параметры!Q$29=1,1+OFFSET(Q441,0,-1),1)),"-"),1)</f>
        <v>-</v>
      </c>
      <c r="R444" s="192" t="str">
        <f ca="1">IF(Prj_Inflation=1,IF($B444=1,IF(R$2=1,1,IF(Параметры!R$29=1,1+OFFSET(R441,0,-1),1)),"-"),1)</f>
        <v>-</v>
      </c>
      <c r="S444" s="192" t="str">
        <f ca="1">IF(Prj_Inflation=1,IF($B444=1,IF(S$2=1,1,IF(Параметры!S$29=1,1+OFFSET(S441,0,-1),1)),"-"),1)</f>
        <v>-</v>
      </c>
      <c r="T444" s="192" t="str">
        <f ca="1">IF(Prj_Inflation=1,IF($B444=1,IF(T$2=1,1,IF(Параметры!T$29=1,1+OFFSET(T441,0,-1),1)),"-"),1)</f>
        <v>-</v>
      </c>
      <c r="U444" s="192" t="str">
        <f ca="1">IF(Prj_Inflation=1,IF($B444=1,IF(U$2=1,1,IF(Параметры!U$29=1,1+OFFSET(U441,0,-1),1)),"-"),1)</f>
        <v>-</v>
      </c>
      <c r="V444" s="192" t="str">
        <f ca="1">IF(Prj_Inflation=1,IF($B444=1,IF(V$2=1,1,IF(Параметры!V$29=1,1+OFFSET(V441,0,-1),1)),"-"),1)</f>
        <v>-</v>
      </c>
      <c r="W444" s="192" t="str">
        <f ca="1">IF(Prj_Inflation=1,IF($B444=1,IF(W$2=1,1,IF(Параметры!W$29=1,1+OFFSET(W441,0,-1),1)),"-"),1)</f>
        <v>-</v>
      </c>
      <c r="X444" s="192" t="str">
        <f ca="1">IF(Prj_Inflation=1,IF($B444=1,IF(X$2=1,1,IF(Параметры!X$29=1,1+OFFSET(X441,0,-1),1)),"-"),1)</f>
        <v>-</v>
      </c>
      <c r="Y444" s="192" t="str">
        <f ca="1">IF(Prj_Inflation=1,IF($B444=1,IF(Y$2=1,1,IF(Параметры!Y$29=1,1+OFFSET(Y441,0,-1),1)),"-"),1)</f>
        <v>-</v>
      </c>
      <c r="Z444" s="192" t="str">
        <f ca="1">IF(Prj_Inflation=1,IF($B444=1,IF(Z$2=1,1,IF(Параметры!Z$29=1,1+OFFSET(Z441,0,-1),1)),"-"),1)</f>
        <v>-</v>
      </c>
      <c r="AA444" s="192" t="str">
        <f ca="1">IF(Prj_Inflation=1,IF($B444=1,IF(AA$2=1,1,IF(Параметры!AA$29=1,1+OFFSET(AA441,0,-1),1)),"-"),1)</f>
        <v>-</v>
      </c>
      <c r="AB444" s="192" t="str">
        <f ca="1">IF(Prj_Inflation=1,IF($B444=1,IF(AB$2=1,1,IF(Параметры!AB$29=1,1+OFFSET(AB441,0,-1),1)),"-"),1)</f>
        <v>-</v>
      </c>
      <c r="AC444" s="192" t="str">
        <f ca="1">IF(Prj_Inflation=1,IF($B444=1,IF(AC$2=1,1,IF(Параметры!AC$29=1,1+OFFSET(AC441,0,-1),1)),"-"),1)</f>
        <v>-</v>
      </c>
      <c r="AD444" s="192" t="str">
        <f ca="1">IF(Prj_Inflation=1,IF($B444=1,IF(AD$2=1,1,IF(Параметры!AD$29=1,1+OFFSET(AD441,0,-1),1)),"-"),1)</f>
        <v>-</v>
      </c>
      <c r="AE444" s="192" t="str">
        <f ca="1">IF(Prj_Inflation=1,IF($B444=1,IF(AE$2=1,1,IF(Параметры!AE$29=1,1+OFFSET(AE441,0,-1),1)),"-"),1)</f>
        <v>-</v>
      </c>
      <c r="AF444" s="192" t="str">
        <f ca="1">IF(Prj_Inflation=1,IF($B444=1,IF(AF$2=1,1,IF(Параметры!AF$29=1,1+OFFSET(AF441,0,-1),1)),"-"),1)</f>
        <v>-</v>
      </c>
      <c r="AG444" s="192" t="str">
        <f ca="1">IF(Prj_Inflation=1,IF($B444=1,IF(AG$2=1,1,IF(Параметры!AG$29=1,1+OFFSET(AG441,0,-1),1)),"-"),1)</f>
        <v>-</v>
      </c>
      <c r="AH444" s="192" t="str">
        <f ca="1">IF(Prj_Inflation=1,IF($B444=1,IF(AH$2=1,1,IF(Параметры!AH$29=1,1+OFFSET(AH441,0,-1),1)),"-"),1)</f>
        <v>-</v>
      </c>
      <c r="AI444" s="192" t="str">
        <f ca="1">IF(Prj_Inflation=1,IF($B444=1,IF(AI$2=1,1,IF(Параметры!AI$29=1,1+OFFSET(AI441,0,-1),1)),"-"),1)</f>
        <v>-</v>
      </c>
      <c r="AJ444" s="192" t="str">
        <f ca="1">IF(Prj_Inflation=1,IF($B444=1,IF(AJ$2=1,1,IF(Параметры!AJ$29=1,1+OFFSET(AJ441,0,-1),1)),"-"),1)</f>
        <v>-</v>
      </c>
      <c r="AK444" s="192" t="str">
        <f ca="1">IF(Prj_Inflation=1,IF($B444=1,IF(AK$2=1,1,IF(Параметры!AK$29=1,1+OFFSET(AK441,0,-1),1)),"-"),1)</f>
        <v>-</v>
      </c>
      <c r="AL444" s="192" t="str">
        <f ca="1">IF(Prj_Inflation=1,IF($B444=1,IF(AL$2=1,1,IF(Параметры!AL$29=1,1+OFFSET(AL441,0,-1),1)),"-"),1)</f>
        <v>-</v>
      </c>
      <c r="AM444" s="192" t="str">
        <f ca="1">IF(Prj_Inflation=1,IF($B444=1,IF(AM$2=1,1,IF(Параметры!AM$29=1,1+OFFSET(AM441,0,-1),1)),"-"),1)</f>
        <v>-</v>
      </c>
      <c r="AN444" s="192" t="str">
        <f ca="1">IF(Prj_Inflation=1,IF($B444=1,IF(AN$2=1,1,IF(Параметры!AN$29=1,1+OFFSET(AN441,0,-1),1)),"-"),1)</f>
        <v>-</v>
      </c>
      <c r="AO444" s="192" t="str">
        <f ca="1">IF(Prj_Inflation=1,IF($B444=1,IF(AO$2=1,1,IF(Параметры!AO$29=1,1+OFFSET(AO441,0,-1),1)),"-"),1)</f>
        <v>-</v>
      </c>
      <c r="AP444" s="192" t="str">
        <f ca="1">IF(Prj_Inflation=1,IF($B444=1,IF(AP$2=1,1,IF(Параметры!AP$29=1,1+OFFSET(AP441,0,-1),1)),"-"),1)</f>
        <v>-</v>
      </c>
      <c r="AQ444" s="192" t="str">
        <f ca="1">IF(Prj_Inflation=1,IF($B444=1,IF(AQ$2=1,1,IF(Параметры!AQ$29=1,1+OFFSET(AQ441,0,-1),1)),"-"),1)</f>
        <v>-</v>
      </c>
      <c r="AR444" s="192" t="str">
        <f ca="1">IF(Prj_Inflation=1,IF($B444=1,IF(AR$2=1,1,IF(Параметры!AR$29=1,1+OFFSET(AR441,0,-1),1)),"-"),1)</f>
        <v>-</v>
      </c>
      <c r="AS444" s="192" t="str">
        <f ca="1">IF(Prj_Inflation=1,IF($B444=1,IF(AS$2=1,1,IF(Параметры!AS$29=1,1+OFFSET(AS441,0,-1),1)),"-"),1)</f>
        <v>-</v>
      </c>
      <c r="AT444" s="192" t="str">
        <f ca="1">IF(Prj_Inflation=1,IF($B444=1,IF(AT$2=1,1,IF(Параметры!AT$29=1,1+OFFSET(AT441,0,-1),1)),"-"),1)</f>
        <v>-</v>
      </c>
      <c r="AU444" s="192" t="str">
        <f ca="1">IF(Prj_Inflation=1,IF($B444=1,IF(AU$2=1,1,IF(Параметры!AU$29=1,1+OFFSET(AU441,0,-1),1)),"-"),1)</f>
        <v>-</v>
      </c>
      <c r="AV444" s="192" t="str">
        <f ca="1">IF(Prj_Inflation=1,IF($B444=1,IF(AV$2=1,1,IF(Параметры!AV$29=1,1+OFFSET(AV441,0,-1),1)),"-"),1)</f>
        <v>-</v>
      </c>
      <c r="AW444" s="192" t="str">
        <f ca="1">IF(Prj_Inflation=1,IF($B444=1,IF(AW$2=1,1,IF(Параметры!AW$29=1,1+OFFSET(AW441,0,-1),1)),"-"),1)</f>
        <v>-</v>
      </c>
      <c r="AX444" s="192" t="str">
        <f ca="1">IF(Prj_Inflation=1,IF($B444=1,IF(AX$2=1,1,IF(Параметры!AX$29=1,1+OFFSET(AX441,0,-1),1)),"-"),1)</f>
        <v>-</v>
      </c>
      <c r="AY444" s="192" t="str">
        <f ca="1">IF(Prj_Inflation=1,IF($B444=1,IF(AY$2=1,1,IF(Параметры!AY$29=1,1+OFFSET(AY441,0,-1),1)),"-"),1)</f>
        <v>-</v>
      </c>
      <c r="AZ444" s="192" t="str">
        <f ca="1">IF(Prj_Inflation=1,IF($B444=1,IF(AZ$2=1,1,IF(Параметры!AZ$29=1,1+OFFSET(AZ441,0,-1),1)),"-"),1)</f>
        <v>-</v>
      </c>
      <c r="BA444" s="192" t="str">
        <f ca="1">IF(Prj_Inflation=1,IF($B444=1,IF(BA$2=1,1,IF(Параметры!BA$29=1,1+OFFSET(BA441,0,-1),1)),"-"),1)</f>
        <v>-</v>
      </c>
      <c r="BB444" s="192" t="str">
        <f ca="1">IF(Prj_Inflation=1,IF($B444=1,IF(BB$2=1,1,IF(Параметры!BB$29=1,1+OFFSET(BB441,0,-1),1)),"-"),1)</f>
        <v>-</v>
      </c>
      <c r="BC444" s="191"/>
      <c r="BD444" s="186"/>
    </row>
    <row r="445" spans="1:56" ht="14.4" hidden="1" thickTop="1" x14ac:dyDescent="0.3">
      <c r="A445" s="184" t="str">
        <f ca="1">Language!A$761</f>
        <v>НДС начисленный</v>
      </c>
      <c r="B445" s="163"/>
      <c r="C445" s="163" t="str">
        <f ca="1">CHOOSE(D445,CurName1,CurName2,CurName3)</f>
        <v>руб.</v>
      </c>
      <c r="D445" s="174">
        <f>D435</f>
        <v>1</v>
      </c>
      <c r="E445" s="170" t="s">
        <v>785</v>
      </c>
      <c r="F445" s="170" t="s">
        <v>743</v>
      </c>
      <c r="G445" s="185">
        <f t="shared" ref="G445:K445" ca="1" si="2051">G440*G442</f>
        <v>0</v>
      </c>
      <c r="H445" s="185">
        <f t="shared" ca="1" si="2051"/>
        <v>0</v>
      </c>
      <c r="I445" s="185">
        <f t="shared" ca="1" si="2051"/>
        <v>0</v>
      </c>
      <c r="J445" s="185">
        <f t="shared" ca="1" si="2051"/>
        <v>0</v>
      </c>
      <c r="K445" s="185">
        <f t="shared" ca="1" si="2051"/>
        <v>0</v>
      </c>
      <c r="L445" s="185">
        <f t="shared" ref="L445:M445" ca="1" si="2052">L440*L442</f>
        <v>0</v>
      </c>
      <c r="M445" s="185">
        <f t="shared" ca="1" si="2052"/>
        <v>0</v>
      </c>
      <c r="N445" s="185">
        <f t="shared" ref="N445:O445" ca="1" si="2053">N440*N442</f>
        <v>0</v>
      </c>
      <c r="O445" s="185">
        <f t="shared" ca="1" si="2053"/>
        <v>0</v>
      </c>
      <c r="P445" s="185">
        <f t="shared" ref="P445:Q445" ca="1" si="2054">P440*P442</f>
        <v>0</v>
      </c>
      <c r="Q445" s="185">
        <f t="shared" ca="1" si="2054"/>
        <v>0</v>
      </c>
      <c r="R445" s="185">
        <f t="shared" ref="R445:S445" ca="1" si="2055">R440*R442</f>
        <v>0</v>
      </c>
      <c r="S445" s="185">
        <f t="shared" ca="1" si="2055"/>
        <v>0</v>
      </c>
      <c r="T445" s="185">
        <f t="shared" ref="T445:U445" ca="1" si="2056">T440*T442</f>
        <v>0</v>
      </c>
      <c r="U445" s="185">
        <f t="shared" ca="1" si="2056"/>
        <v>0</v>
      </c>
      <c r="V445" s="185">
        <f t="shared" ref="V445:W445" ca="1" si="2057">V440*V442</f>
        <v>0</v>
      </c>
      <c r="W445" s="185">
        <f t="shared" ca="1" si="2057"/>
        <v>0</v>
      </c>
      <c r="X445" s="185">
        <f t="shared" ref="X445:Y445" ca="1" si="2058">X440*X442</f>
        <v>0</v>
      </c>
      <c r="Y445" s="185">
        <f t="shared" ca="1" si="2058"/>
        <v>0</v>
      </c>
      <c r="Z445" s="185">
        <f t="shared" ref="Z445:AA445" ca="1" si="2059">Z440*Z442</f>
        <v>0</v>
      </c>
      <c r="AA445" s="185">
        <f t="shared" ca="1" si="2059"/>
        <v>0</v>
      </c>
      <c r="AB445" s="185">
        <f t="shared" ref="AB445:AC445" ca="1" si="2060">AB440*AB442</f>
        <v>0</v>
      </c>
      <c r="AC445" s="185">
        <f t="shared" ca="1" si="2060"/>
        <v>0</v>
      </c>
      <c r="AD445" s="185">
        <f t="shared" ref="AD445:AE445" ca="1" si="2061">AD440*AD442</f>
        <v>0</v>
      </c>
      <c r="AE445" s="185">
        <f t="shared" ca="1" si="2061"/>
        <v>0</v>
      </c>
      <c r="AF445" s="185">
        <f t="shared" ref="AF445:AG445" ca="1" si="2062">AF440*AF442</f>
        <v>0</v>
      </c>
      <c r="AG445" s="185">
        <f t="shared" ca="1" si="2062"/>
        <v>0</v>
      </c>
      <c r="AH445" s="185">
        <f t="shared" ref="AH445:AI445" ca="1" si="2063">AH440*AH442</f>
        <v>0</v>
      </c>
      <c r="AI445" s="185">
        <f t="shared" ca="1" si="2063"/>
        <v>0</v>
      </c>
      <c r="AJ445" s="185">
        <f t="shared" ref="AJ445:AK445" ca="1" si="2064">AJ440*AJ442</f>
        <v>0</v>
      </c>
      <c r="AK445" s="185">
        <f t="shared" ca="1" si="2064"/>
        <v>0</v>
      </c>
      <c r="AL445" s="185">
        <f t="shared" ref="AL445:AM445" ca="1" si="2065">AL440*AL442</f>
        <v>0</v>
      </c>
      <c r="AM445" s="185">
        <f t="shared" ca="1" si="2065"/>
        <v>0</v>
      </c>
      <c r="AN445" s="185">
        <f t="shared" ref="AN445:AO445" ca="1" si="2066">AN440*AN442</f>
        <v>0</v>
      </c>
      <c r="AO445" s="185">
        <f t="shared" ca="1" si="2066"/>
        <v>0</v>
      </c>
      <c r="AP445" s="185">
        <f t="shared" ref="AP445:AQ445" ca="1" si="2067">AP440*AP442</f>
        <v>0</v>
      </c>
      <c r="AQ445" s="185">
        <f t="shared" ca="1" si="2067"/>
        <v>0</v>
      </c>
      <c r="AR445" s="185">
        <f t="shared" ref="AR445:AS445" ca="1" si="2068">AR440*AR442</f>
        <v>0</v>
      </c>
      <c r="AS445" s="185">
        <f t="shared" ca="1" si="2068"/>
        <v>0</v>
      </c>
      <c r="AT445" s="185">
        <f t="shared" ref="AT445:AU445" ca="1" si="2069">AT440*AT442</f>
        <v>0</v>
      </c>
      <c r="AU445" s="185">
        <f t="shared" ca="1" si="2069"/>
        <v>0</v>
      </c>
      <c r="AV445" s="185">
        <f t="shared" ref="AV445:AW445" ca="1" si="2070">AV440*AV442</f>
        <v>0</v>
      </c>
      <c r="AW445" s="185">
        <f t="shared" ca="1" si="2070"/>
        <v>0</v>
      </c>
      <c r="AX445" s="185">
        <f t="shared" ref="AX445:AY445" ca="1" si="2071">AX440*AX442</f>
        <v>0</v>
      </c>
      <c r="AY445" s="185">
        <f t="shared" ca="1" si="2071"/>
        <v>0</v>
      </c>
      <c r="AZ445" s="185">
        <f t="shared" ref="AZ445:BA445" ca="1" si="2072">AZ440*AZ442</f>
        <v>0</v>
      </c>
      <c r="BA445" s="185">
        <f t="shared" ca="1" si="2072"/>
        <v>0</v>
      </c>
      <c r="BB445" s="185">
        <f t="shared" ref="BB445" ca="1" si="2073">BB440*BB442</f>
        <v>0</v>
      </c>
      <c r="BC445" s="185"/>
      <c r="BD445" s="193">
        <f ca="1">SUM(G445:BC445)</f>
        <v>0</v>
      </c>
    </row>
    <row r="446" spans="1:56" ht="14.4" thickTop="1" x14ac:dyDescent="0.3">
      <c r="A446" s="244"/>
    </row>
    <row r="447" spans="1:56" x14ac:dyDescent="0.3">
      <c r="A447" s="207" t="str">
        <f ca="1">Language!A$762</f>
        <v>Производственные издержки</v>
      </c>
      <c r="B447" s="196"/>
      <c r="C447" s="196"/>
      <c r="D447" s="197"/>
      <c r="E447" s="197" t="s">
        <v>715</v>
      </c>
      <c r="F447" s="197" t="s">
        <v>3514</v>
      </c>
      <c r="G447" s="196"/>
      <c r="H447" s="196"/>
      <c r="I447" s="196"/>
      <c r="J447" s="196"/>
      <c r="K447" s="196"/>
      <c r="L447" s="196"/>
      <c r="M447" s="196"/>
      <c r="N447" s="196"/>
      <c r="O447" s="196"/>
      <c r="P447" s="196"/>
      <c r="Q447" s="196"/>
      <c r="R447" s="196"/>
      <c r="S447" s="196"/>
      <c r="T447" s="196"/>
      <c r="U447" s="196"/>
      <c r="V447" s="196"/>
      <c r="W447" s="196"/>
      <c r="X447" s="196"/>
      <c r="Y447" s="196"/>
      <c r="Z447" s="196"/>
      <c r="AA447" s="196"/>
      <c r="AB447" s="196"/>
      <c r="AC447" s="196"/>
      <c r="AD447" s="196"/>
      <c r="AE447" s="196"/>
      <c r="AF447" s="196"/>
      <c r="AG447" s="196"/>
      <c r="AH447" s="196"/>
      <c r="AI447" s="196"/>
      <c r="AJ447" s="196"/>
      <c r="AK447" s="196"/>
      <c r="AL447" s="196"/>
      <c r="AM447" s="196"/>
      <c r="AN447" s="196"/>
      <c r="AO447" s="196"/>
      <c r="AP447" s="196"/>
      <c r="AQ447" s="196"/>
      <c r="AR447" s="196"/>
      <c r="AS447" s="196"/>
      <c r="AT447" s="196"/>
      <c r="AU447" s="196"/>
      <c r="AV447" s="196"/>
      <c r="AW447" s="196"/>
      <c r="AX447" s="196"/>
      <c r="AY447" s="196"/>
      <c r="AZ447" s="196"/>
      <c r="BA447" s="196"/>
      <c r="BB447" s="196"/>
      <c r="BC447" s="196"/>
      <c r="BD447" s="204"/>
    </row>
    <row r="448" spans="1:56" x14ac:dyDescent="0.3">
      <c r="G448" s="378" t="s">
        <v>3527</v>
      </c>
    </row>
    <row r="449" spans="1:56" x14ac:dyDescent="0.3">
      <c r="A449" s="376" t="s">
        <v>3451</v>
      </c>
      <c r="B449" s="205"/>
      <c r="C449" s="176"/>
      <c r="D449" s="174">
        <v>1</v>
      </c>
      <c r="F449" s="170" t="s">
        <v>3452</v>
      </c>
      <c r="G449" s="206"/>
      <c r="H449" s="206"/>
      <c r="I449" s="206"/>
      <c r="J449" s="206"/>
      <c r="K449" s="206"/>
      <c r="L449" s="206"/>
      <c r="M449" s="206"/>
      <c r="N449" s="206"/>
      <c r="O449" s="206"/>
      <c r="P449" s="206"/>
      <c r="Q449" s="206"/>
      <c r="R449" s="206"/>
      <c r="S449" s="206"/>
      <c r="T449" s="206"/>
      <c r="U449" s="206"/>
      <c r="V449" s="206"/>
      <c r="W449" s="206"/>
      <c r="X449" s="206"/>
      <c r="Y449" s="206"/>
      <c r="Z449" s="206"/>
      <c r="AA449" s="206"/>
      <c r="AB449" s="206"/>
      <c r="AC449" s="206"/>
      <c r="AD449" s="206"/>
      <c r="AE449" s="206"/>
      <c r="AF449" s="206"/>
      <c r="AG449" s="206"/>
      <c r="AH449" s="206"/>
      <c r="AI449" s="206"/>
      <c r="AJ449" s="206"/>
      <c r="AK449" s="206"/>
      <c r="AL449" s="206"/>
      <c r="AM449" s="206"/>
      <c r="AN449" s="206"/>
      <c r="AO449" s="206"/>
      <c r="AP449" s="206"/>
      <c r="AQ449" s="206"/>
      <c r="AR449" s="206"/>
      <c r="AS449" s="206"/>
      <c r="AT449" s="206"/>
      <c r="AU449" s="206"/>
      <c r="AV449" s="206"/>
      <c r="AW449" s="206"/>
      <c r="AX449" s="206"/>
      <c r="AY449" s="206"/>
      <c r="AZ449" s="206"/>
      <c r="BA449" s="206"/>
      <c r="BB449" s="206"/>
      <c r="BC449" s="206"/>
    </row>
    <row r="450" spans="1:56" x14ac:dyDescent="0.3">
      <c r="A450" s="175" t="str">
        <f ca="1">Language!A$746</f>
        <v>период появления затрат</v>
      </c>
      <c r="B450" s="284">
        <f>Prj_Invest+1</f>
        <v>7</v>
      </c>
      <c r="C450" s="176" t="str">
        <f ca="1">Language!$A$1480</f>
        <v>период</v>
      </c>
      <c r="D450" s="174"/>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8"/>
    </row>
    <row r="451" spans="1:56" x14ac:dyDescent="0.3">
      <c r="A451" s="175" t="str">
        <f ca="1">Language!A$747&amp;" ("&amp;Параметры!B$19&amp;"), "&amp;Language!A$748</f>
        <v>затраты за период (месяц), без НДС</v>
      </c>
      <c r="B451" s="199"/>
      <c r="C451" s="176" t="str">
        <f t="shared" ref="C451" ca="1" si="2074">CHOOSE(D451,CurName1,CurName2,CurName3)</f>
        <v>руб.</v>
      </c>
      <c r="D451" s="174">
        <f>D449</f>
        <v>1</v>
      </c>
      <c r="F451" s="170" t="s">
        <v>2353</v>
      </c>
      <c r="G451" s="285">
        <f>IF(G$2=1,$B451,F451)</f>
        <v>0</v>
      </c>
      <c r="H451" s="285">
        <f t="shared" ref="H451" si="2075">IF(H$2=1,$B451,G451)</f>
        <v>0</v>
      </c>
      <c r="I451" s="285">
        <f t="shared" ref="I451" si="2076">IF(I$2=1,$B451,H451)</f>
        <v>0</v>
      </c>
      <c r="J451" s="285">
        <f t="shared" ref="J451" si="2077">IF(J$2=1,$B451,I451)</f>
        <v>0</v>
      </c>
      <c r="K451" s="285">
        <f t="shared" ref="K451" si="2078">IF(K$2=1,$B451,J451)</f>
        <v>0</v>
      </c>
      <c r="L451" s="285">
        <f t="shared" ref="L451" si="2079">IF(L$2=1,$B451,K451)</f>
        <v>0</v>
      </c>
      <c r="M451" s="285">
        <v>40000</v>
      </c>
      <c r="N451" s="285">
        <v>50000</v>
      </c>
      <c r="O451" s="285">
        <v>60000</v>
      </c>
      <c r="P451" s="285">
        <v>80000</v>
      </c>
      <c r="Q451" s="285">
        <v>80000</v>
      </c>
      <c r="R451" s="285">
        <v>120000</v>
      </c>
      <c r="S451" s="285">
        <v>120000</v>
      </c>
      <c r="T451" s="285">
        <v>120000</v>
      </c>
      <c r="U451" s="285">
        <v>100000</v>
      </c>
      <c r="V451" s="285">
        <v>90000</v>
      </c>
      <c r="W451" s="285">
        <v>75000</v>
      </c>
      <c r="X451" s="285">
        <v>60000</v>
      </c>
      <c r="Y451" s="285">
        <v>40000</v>
      </c>
      <c r="Z451" s="285">
        <v>40000</v>
      </c>
      <c r="AA451" s="285">
        <v>60000</v>
      </c>
      <c r="AB451" s="285">
        <v>80000</v>
      </c>
      <c r="AC451" s="285">
        <v>80000</v>
      </c>
      <c r="AD451" s="285">
        <v>120000</v>
      </c>
      <c r="AE451" s="285">
        <v>120000</v>
      </c>
      <c r="AF451" s="285">
        <v>120000</v>
      </c>
      <c r="AG451" s="285">
        <v>100000</v>
      </c>
      <c r="AH451" s="285">
        <v>90000</v>
      </c>
      <c r="AI451" s="285">
        <v>75000</v>
      </c>
      <c r="AJ451" s="285">
        <v>60000</v>
      </c>
      <c r="AK451" s="285">
        <v>40000</v>
      </c>
      <c r="AL451" s="285">
        <v>40000</v>
      </c>
      <c r="AM451" s="285">
        <v>60000</v>
      </c>
      <c r="AN451" s="285">
        <v>80000</v>
      </c>
      <c r="AO451" s="285">
        <v>80000</v>
      </c>
      <c r="AP451" s="285">
        <v>120000</v>
      </c>
      <c r="AQ451" s="285">
        <v>120000</v>
      </c>
      <c r="AR451" s="285">
        <v>120000</v>
      </c>
      <c r="AS451" s="285">
        <v>100000</v>
      </c>
      <c r="AT451" s="285">
        <v>90000</v>
      </c>
      <c r="AU451" s="285">
        <v>75000</v>
      </c>
      <c r="AV451" s="285">
        <v>60000</v>
      </c>
      <c r="AW451" s="285">
        <v>40000</v>
      </c>
      <c r="AX451" s="285">
        <v>40000</v>
      </c>
      <c r="AY451" s="285">
        <v>60000</v>
      </c>
      <c r="AZ451" s="285">
        <v>80000</v>
      </c>
      <c r="BA451" s="285">
        <v>80000</v>
      </c>
      <c r="BB451" s="285">
        <v>120000</v>
      </c>
      <c r="BC451" s="177"/>
      <c r="BD451" s="178"/>
    </row>
    <row r="452" spans="1:56" x14ac:dyDescent="0.3">
      <c r="A452" s="175" t="str">
        <f ca="1">Language!A$695</f>
        <v>коэффициент расходов</v>
      </c>
      <c r="B452" s="199"/>
      <c r="C452" s="176" t="s">
        <v>1</v>
      </c>
      <c r="F452" s="170" t="s">
        <v>745</v>
      </c>
      <c r="G452" s="286">
        <f>IF(G$2&gt;=$B450,Параметры!G$33,0)</f>
        <v>0</v>
      </c>
      <c r="H452" s="286">
        <f>IF(H$2&gt;=$B450,Параметры!H$33,0)</f>
        <v>0</v>
      </c>
      <c r="I452" s="286">
        <f>IF(I$2&gt;=$B450,Параметры!I$33,0)</f>
        <v>0</v>
      </c>
      <c r="J452" s="286">
        <f>IF(J$2&gt;=$B450,Параметры!J$33,0)</f>
        <v>0</v>
      </c>
      <c r="K452" s="286">
        <f>IF(K$2&gt;=$B450,Параметры!K$33,0)</f>
        <v>0</v>
      </c>
      <c r="L452" s="286">
        <f>IF(L$2&gt;=$B450,Параметры!L$33,0)</f>
        <v>0</v>
      </c>
      <c r="M452" s="286">
        <f>IF(M$2&gt;=$B450,Параметры!M$33,0)</f>
        <v>1</v>
      </c>
      <c r="N452" s="286">
        <f>IF(N$2&gt;=$B450,Параметры!N$33,0)</f>
        <v>1</v>
      </c>
      <c r="O452" s="286">
        <f>IF(O$2&gt;=$B450,Параметры!O$33,0)</f>
        <v>1</v>
      </c>
      <c r="P452" s="286">
        <f>IF(P$2&gt;=$B450,Параметры!P$33,0)</f>
        <v>1</v>
      </c>
      <c r="Q452" s="286">
        <f>IF(Q$2&gt;=$B450,Параметры!Q$33,0)</f>
        <v>1</v>
      </c>
      <c r="R452" s="286">
        <f>IF(R$2&gt;=$B450,Параметры!R$33,0)</f>
        <v>1</v>
      </c>
      <c r="S452" s="286">
        <f>IF(S$2&gt;=$B450,Параметры!S$33,0)</f>
        <v>1</v>
      </c>
      <c r="T452" s="286">
        <f>IF(T$2&gt;=$B450,Параметры!T$33,0)</f>
        <v>1</v>
      </c>
      <c r="U452" s="286">
        <f>IF(U$2&gt;=$B450,Параметры!U$33,0)</f>
        <v>1</v>
      </c>
      <c r="V452" s="286">
        <f>IF(V$2&gt;=$B450,Параметры!V$33,0)</f>
        <v>1</v>
      </c>
      <c r="W452" s="286">
        <f>IF(W$2&gt;=$B450,Параметры!W$33,0)</f>
        <v>1</v>
      </c>
      <c r="X452" s="286">
        <f>IF(X$2&gt;=$B450,Параметры!X$33,0)</f>
        <v>1</v>
      </c>
      <c r="Y452" s="286">
        <f>IF(Y$2&gt;=$B450,Параметры!Y$33,0)</f>
        <v>1</v>
      </c>
      <c r="Z452" s="286">
        <f>IF(Z$2&gt;=$B450,Параметры!Z$33,0)</f>
        <v>1</v>
      </c>
      <c r="AA452" s="286">
        <f>IF(AA$2&gt;=$B450,Параметры!AA$33,0)</f>
        <v>1</v>
      </c>
      <c r="AB452" s="286">
        <f>IF(AB$2&gt;=$B450,Параметры!AB$33,0)</f>
        <v>1</v>
      </c>
      <c r="AC452" s="286">
        <f>IF(AC$2&gt;=$B450,Параметры!AC$33,0)</f>
        <v>1</v>
      </c>
      <c r="AD452" s="286">
        <f>IF(AD$2&gt;=$B450,Параметры!AD$33,0)</f>
        <v>1</v>
      </c>
      <c r="AE452" s="286">
        <f>IF(AE$2&gt;=$B450,Параметры!AE$33,0)</f>
        <v>1</v>
      </c>
      <c r="AF452" s="286">
        <f>IF(AF$2&gt;=$B450,Параметры!AF$33,0)</f>
        <v>1</v>
      </c>
      <c r="AG452" s="286">
        <f>IF(AG$2&gt;=$B450,Параметры!AG$33,0)</f>
        <v>1</v>
      </c>
      <c r="AH452" s="286">
        <f>IF(AH$2&gt;=$B450,Параметры!AH$33,0)</f>
        <v>1</v>
      </c>
      <c r="AI452" s="286">
        <f>IF(AI$2&gt;=$B450,Параметры!AI$33,0)</f>
        <v>1</v>
      </c>
      <c r="AJ452" s="286">
        <f>IF(AJ$2&gt;=$B450,Параметры!AJ$33,0)</f>
        <v>1</v>
      </c>
      <c r="AK452" s="286">
        <f>IF(AK$2&gt;=$B450,Параметры!AK$33,0)</f>
        <v>1</v>
      </c>
      <c r="AL452" s="286">
        <f>IF(AL$2&gt;=$B450,Параметры!AL$33,0)</f>
        <v>1</v>
      </c>
      <c r="AM452" s="286">
        <f>IF(AM$2&gt;=$B450,Параметры!AM$33,0)</f>
        <v>1</v>
      </c>
      <c r="AN452" s="286">
        <f>IF(AN$2&gt;=$B450,Параметры!AN$33,0)</f>
        <v>1</v>
      </c>
      <c r="AO452" s="286">
        <f>IF(AO$2&gt;=$B450,Параметры!AO$33,0)</f>
        <v>1</v>
      </c>
      <c r="AP452" s="286">
        <f>IF(AP$2&gt;=$B450,Параметры!AP$33,0)</f>
        <v>1</v>
      </c>
      <c r="AQ452" s="286">
        <f>IF(AQ$2&gt;=$B450,Параметры!AQ$33,0)</f>
        <v>1</v>
      </c>
      <c r="AR452" s="286">
        <f>IF(AR$2&gt;=$B450,Параметры!AR$33,0)</f>
        <v>1</v>
      </c>
      <c r="AS452" s="286">
        <f>IF(AS$2&gt;=$B450,Параметры!AS$33,0)</f>
        <v>1</v>
      </c>
      <c r="AT452" s="286">
        <f>IF(AT$2&gt;=$B450,Параметры!AT$33,0)</f>
        <v>1</v>
      </c>
      <c r="AU452" s="286">
        <f>IF(AU$2&gt;=$B450,Параметры!AU$33,0)</f>
        <v>1</v>
      </c>
      <c r="AV452" s="286">
        <f>IF(AV$2&gt;=$B450,Параметры!AV$33,0)</f>
        <v>1</v>
      </c>
      <c r="AW452" s="286">
        <f>IF(AW$2&gt;=$B450,Параметры!AW$33,0)</f>
        <v>1</v>
      </c>
      <c r="AX452" s="286">
        <f>IF(AX$2&gt;=$B450,Параметры!AX$33,0)</f>
        <v>1</v>
      </c>
      <c r="AY452" s="286">
        <f>IF(AY$2&gt;=$B450,Параметры!AY$33,0)</f>
        <v>1</v>
      </c>
      <c r="AZ452" s="286">
        <f>IF(AZ$2&gt;=$B450,Параметры!AZ$33,0)</f>
        <v>1</v>
      </c>
      <c r="BA452" s="286">
        <f>IF(BA$2&gt;=$B450,Параметры!BA$33,0)</f>
        <v>1</v>
      </c>
      <c r="BB452" s="286">
        <f>IF(BB$2&gt;=$B450,Параметры!BB$33,0)</f>
        <v>1</v>
      </c>
      <c r="BC452" s="177"/>
    </row>
    <row r="453" spans="1:56" collapsed="1" x14ac:dyDescent="0.3">
      <c r="A453" s="175" t="str">
        <f ca="1">Language!A$752</f>
        <v>затраты с учетом инфляции, без НДС</v>
      </c>
      <c r="B453" s="199"/>
      <c r="C453" s="176" t="str">
        <f t="shared" ref="C453" ca="1" si="2080">CHOOSE(D453,CurName1,CurName2,CurName3)</f>
        <v>руб.</v>
      </c>
      <c r="D453" s="174">
        <f>D449</f>
        <v>1</v>
      </c>
      <c r="E453" s="170" t="s">
        <v>751</v>
      </c>
      <c r="F453" s="170" t="s">
        <v>740</v>
      </c>
      <c r="G453" s="177">
        <f ca="1">G451*G452*IF($B457=1,PRODUCT($G457:G457),PRODUCT($G456:G456))</f>
        <v>0</v>
      </c>
      <c r="H453" s="177">
        <f ca="1">H451*H452*IF($B457=1,PRODUCT($G457:H457),PRODUCT($G456:H456))</f>
        <v>0</v>
      </c>
      <c r="I453" s="177">
        <f ca="1">I451*I452*IF($B457=1,PRODUCT($G457:I457),PRODUCT($G456:I456))</f>
        <v>0</v>
      </c>
      <c r="J453" s="177">
        <f ca="1">J451*J452*IF($B457=1,PRODUCT($G457:J457),PRODUCT($G456:J456))</f>
        <v>0</v>
      </c>
      <c r="K453" s="177">
        <f ca="1">K451*K452*IF($B457=1,PRODUCT($G457:K457),PRODUCT($G456:K456))</f>
        <v>0</v>
      </c>
      <c r="L453" s="177">
        <f ca="1">L451*L452*IF($B457=1,PRODUCT($G457:L457),PRODUCT($G456:L456))</f>
        <v>0</v>
      </c>
      <c r="M453" s="177">
        <f ca="1">M451*M452*IF($B457=1,PRODUCT($G457:M457),PRODUCT($G456:M456))</f>
        <v>41182.520563947997</v>
      </c>
      <c r="N453" s="177">
        <f ca="1">N451*N452*IF($B457=1,PRODUCT($G457:N457),PRODUCT($G456:N456))</f>
        <v>51728.723206501629</v>
      </c>
      <c r="O453" s="177">
        <f ca="1">O451*O452*IF($B457=1,PRODUCT($G457:O457),PRODUCT($G456:O456))</f>
        <v>62376.618458867881</v>
      </c>
      <c r="P453" s="177">
        <f ca="1">P451*P452*IF($B457=1,PRODUCT($G457:P457),PRODUCT($G456:P456))</f>
        <v>83573.653071082052</v>
      </c>
      <c r="Q453" s="177">
        <f ca="1">Q451*Q452*IF($B457=1,PRODUCT($G457:Q457),PRODUCT($G456:Q456))</f>
        <v>83980.45205333599</v>
      </c>
      <c r="R453" s="177">
        <f ca="1">R451*R452*IF($B457=1,PRODUCT($G457:R457),PRODUCT($G456:R456))</f>
        <v>126583.84672530895</v>
      </c>
      <c r="S453" s="177">
        <f ca="1">S451*S452*IF($B457=1,PRODUCT($G457:S457),PRODUCT($G456:S456))</f>
        <v>127200.00000000003</v>
      </c>
      <c r="T453" s="177">
        <f ca="1">T451*T452*IF($B457=1,PRODUCT($G457:T457),PRODUCT($G456:T456))</f>
        <v>127819.15243191166</v>
      </c>
      <c r="U453" s="177">
        <f ca="1">U451*U452*IF($B457=1,PRODUCT($G457:U457),PRODUCT($G456:U456))</f>
        <v>107034.43218299439</v>
      </c>
      <c r="V453" s="177">
        <f ca="1">V451*V452*IF($B457=1,PRODUCT($G457:V457),PRODUCT($G456:V456))</f>
        <v>96799.884924490121</v>
      </c>
      <c r="W453" s="177">
        <f ca="1">W451*W452*IF($B457=1,PRODUCT($G457:W457),PRODUCT($G456:W456))</f>
        <v>81059.219382566225</v>
      </c>
      <c r="X453" s="177">
        <f ca="1">X451*X452*IF($B457=1,PRODUCT($G457:X457),PRODUCT($G456:X456))</f>
        <v>65163.023385358472</v>
      </c>
      <c r="Y453" s="177">
        <f ca="1">Y451*Y452*IF($B457=1,PRODUCT($G457:Y457),PRODUCT($G456:Y456))</f>
        <v>43653.471797784885</v>
      </c>
      <c r="Z453" s="177">
        <f ca="1">Z451*Z452*IF($B457=1,PRODUCT($G457:Z457),PRODUCT($G456:Z456))</f>
        <v>43865.957279113383</v>
      </c>
      <c r="AA453" s="177">
        <f ca="1">AA451*AA452*IF($B457=1,PRODUCT($G457:AA457),PRODUCT($G456:AA456))</f>
        <v>66119.215566399973</v>
      </c>
      <c r="AB453" s="177">
        <f ca="1">AB451*AB452*IF($B457=1,PRODUCT($G457:AB457),PRODUCT($G456:AB456))</f>
        <v>88588.072255346997</v>
      </c>
      <c r="AC453" s="177">
        <f ca="1">AC451*AC452*IF($B457=1,PRODUCT($G457:AC457),PRODUCT($G456:AC456))</f>
        <v>89019.279176536162</v>
      </c>
      <c r="AD453" s="177">
        <f ca="1">AD451*AD452*IF($B457=1,PRODUCT($G457:AD457),PRODUCT($G456:AD456))</f>
        <v>134178.87752882752</v>
      </c>
      <c r="AE453" s="177">
        <f ca="1">AE451*AE452*IF($B457=1,PRODUCT($G457:AE457),PRODUCT($G456:AE456))</f>
        <v>134832.00000000006</v>
      </c>
      <c r="AF453" s="177">
        <f ca="1">AF451*AF452*IF($B457=1,PRODUCT($G457:AF457),PRODUCT($G456:AF456))</f>
        <v>135488.30157782641</v>
      </c>
      <c r="AG453" s="177">
        <f ca="1">AG451*AG452*IF($B457=1,PRODUCT($G457:AG457),PRODUCT($G456:AG456))</f>
        <v>113456.49811397411</v>
      </c>
      <c r="AH453" s="177">
        <f ca="1">AH451*AH452*IF($B457=1,PRODUCT($G457:AH457),PRODUCT($G456:AH456))</f>
        <v>102607.87801995958</v>
      </c>
      <c r="AI453" s="177">
        <f ca="1">AI451*AI452*IF($B457=1,PRODUCT($G457:AI457),PRODUCT($G456:AI456))</f>
        <v>85922.772545520231</v>
      </c>
      <c r="AJ453" s="177">
        <f ca="1">AJ451*AJ452*IF($B457=1,PRODUCT($G457:AJ457),PRODUCT($G456:AJ456))</f>
        <v>69072.804788480018</v>
      </c>
      <c r="AK453" s="177">
        <f ca="1">AK451*AK452*IF($B457=1,PRODUCT($G457:AK457),PRODUCT($G456:AK456))</f>
        <v>46272.680105652013</v>
      </c>
      <c r="AL453" s="177">
        <f ca="1">AL451*AL452*IF($B457=1,PRODUCT($G457:AL457),PRODUCT($G456:AL456))</f>
        <v>46497.914715860214</v>
      </c>
      <c r="AM453" s="177">
        <f ca="1">AM451*AM452*IF($B457=1,PRODUCT($G457:AM457),PRODUCT($G456:AM456))</f>
        <v>70086.368500384007</v>
      </c>
      <c r="AN453" s="177">
        <f ca="1">AN451*AN452*IF($B457=1,PRODUCT($G457:AN457),PRODUCT($G456:AN456))</f>
        <v>93903.356590667856</v>
      </c>
      <c r="AO453" s="177">
        <f ca="1">AO451*AO452*IF($B457=1,PRODUCT($G457:AO457),PRODUCT($G456:AO456))</f>
        <v>94360.435927128361</v>
      </c>
      <c r="AP453" s="177">
        <f ca="1">AP451*AP452*IF($B457=1,PRODUCT($G457:AP457),PRODUCT($G456:AP456))</f>
        <v>142229.61018055721</v>
      </c>
      <c r="AQ453" s="177">
        <f ca="1">AQ451*AQ452*IF($B457=1,PRODUCT($G457:AQ457),PRODUCT($G456:AQ456))</f>
        <v>142921.92000000013</v>
      </c>
      <c r="AR453" s="177">
        <f ca="1">AR451*AR452*IF($B457=1,PRODUCT($G457:AR457),PRODUCT($G456:AR456))</f>
        <v>143617.59967249603</v>
      </c>
      <c r="AS453" s="177">
        <f ca="1">AS451*AS452*IF($B457=1,PRODUCT($G457:AS457),PRODUCT($G456:AS456))</f>
        <v>120263.88800081259</v>
      </c>
      <c r="AT453" s="177">
        <f ca="1">AT451*AT452*IF($B457=1,PRODUCT($G457:AT457),PRODUCT($G456:AT456))</f>
        <v>108764.35070115716</v>
      </c>
      <c r="AU453" s="177">
        <f ca="1">AU451*AU452*IF($B457=1,PRODUCT($G457:AU457),PRODUCT($G456:AU456))</f>
        <v>91078.138898251447</v>
      </c>
      <c r="AV453" s="177">
        <f ca="1">AV451*AV452*IF($B457=1,PRODUCT($G457:AV457),PRODUCT($G456:AV456))</f>
        <v>73217.173075788829</v>
      </c>
      <c r="AW453" s="177">
        <f ca="1">AW451*AW452*IF($B457=1,PRODUCT($G457:AW457),PRODUCT($G456:AW456))</f>
        <v>49049.040911991135</v>
      </c>
      <c r="AX453" s="177">
        <f ca="1">AX451*AX452*IF($B457=1,PRODUCT($G457:AX457),PRODUCT($G456:AX456))</f>
        <v>49287.789598811825</v>
      </c>
      <c r="AY453" s="177">
        <f ca="1">AY451*AY452*IF($B457=1,PRODUCT($G457:AY457),PRODUCT($G456:AY456))</f>
        <v>74291.550610407052</v>
      </c>
      <c r="AZ453" s="177">
        <f ca="1">AZ451*AZ452*IF($B457=1,PRODUCT($G457:AZ457),PRODUCT($G456:AZ456))</f>
        <v>99537.557986107931</v>
      </c>
      <c r="BA453" s="177">
        <f ca="1">BA451*BA452*IF($B457=1,PRODUCT($G457:BA457),PRODUCT($G456:BA456))</f>
        <v>100022.06208275608</v>
      </c>
      <c r="BB453" s="177">
        <f ca="1">BB451*BB452*IF($B457=1,PRODUCT($G457:BB457),PRODUCT($G456:BB456))</f>
        <v>150763.38679139066</v>
      </c>
      <c r="BC453" s="177"/>
      <c r="BD453" s="178">
        <f ca="1">SUM(G453:BC453)</f>
        <v>3857471.4793863553</v>
      </c>
    </row>
    <row r="454" spans="1:56" hidden="1" outlineLevel="1" x14ac:dyDescent="0.3">
      <c r="A454" s="184" t="str">
        <f ca="1">Language!A$749</f>
        <v>темп изменения цен</v>
      </c>
      <c r="B454" s="189"/>
      <c r="C454" s="163" t="str">
        <f ca="1">Language!$A$480</f>
        <v>% в год</v>
      </c>
      <c r="D454" s="174"/>
      <c r="F454" s="170" t="s">
        <v>2346</v>
      </c>
      <c r="G454" s="290">
        <f>CHOOSE($D451,Параметры!G$49,Параметры!G$56,Параметры!G$62)</f>
        <v>0.06</v>
      </c>
      <c r="H454" s="290">
        <f>CHOOSE($D451,Параметры!H$49,Параметры!H$56,Параметры!H$62)</f>
        <v>0.06</v>
      </c>
      <c r="I454" s="290">
        <f>CHOOSE($D451,Параметры!I$49,Параметры!I$56,Параметры!I$62)</f>
        <v>0.06</v>
      </c>
      <c r="J454" s="290">
        <f>CHOOSE($D451,Параметры!J$49,Параметры!J$56,Параметры!J$62)</f>
        <v>0.06</v>
      </c>
      <c r="K454" s="290">
        <f>CHOOSE($D451,Параметры!K$49,Параметры!K$56,Параметры!K$62)</f>
        <v>0.06</v>
      </c>
      <c r="L454" s="290">
        <f>CHOOSE($D451,Параметры!L$49,Параметры!L$56,Параметры!L$62)</f>
        <v>0.06</v>
      </c>
      <c r="M454" s="290">
        <f>CHOOSE($D451,Параметры!M$49,Параметры!M$56,Параметры!M$62)</f>
        <v>0.06</v>
      </c>
      <c r="N454" s="290">
        <f>CHOOSE($D451,Параметры!N$49,Параметры!N$56,Параметры!N$62)</f>
        <v>0.06</v>
      </c>
      <c r="O454" s="290">
        <f>CHOOSE($D451,Параметры!O$49,Параметры!O$56,Параметры!O$62)</f>
        <v>0.06</v>
      </c>
      <c r="P454" s="290">
        <f>CHOOSE($D451,Параметры!P$49,Параметры!P$56,Параметры!P$62)</f>
        <v>0.06</v>
      </c>
      <c r="Q454" s="290">
        <f>CHOOSE($D451,Параметры!Q$49,Параметры!Q$56,Параметры!Q$62)</f>
        <v>0.06</v>
      </c>
      <c r="R454" s="290">
        <f>CHOOSE($D451,Параметры!R$49,Параметры!R$56,Параметры!R$62)</f>
        <v>0.06</v>
      </c>
      <c r="S454" s="290">
        <f>CHOOSE($D451,Параметры!S$49,Параметры!S$56,Параметры!S$62)</f>
        <v>0.06</v>
      </c>
      <c r="T454" s="290">
        <f>CHOOSE($D451,Параметры!T$49,Параметры!T$56,Параметры!T$62)</f>
        <v>0.06</v>
      </c>
      <c r="U454" s="290">
        <f>CHOOSE($D451,Параметры!U$49,Параметры!U$56,Параметры!U$62)</f>
        <v>0.06</v>
      </c>
      <c r="V454" s="290">
        <f>CHOOSE($D451,Параметры!V$49,Параметры!V$56,Параметры!V$62)</f>
        <v>0.06</v>
      </c>
      <c r="W454" s="290">
        <f>CHOOSE($D451,Параметры!W$49,Параметры!W$56,Параметры!W$62)</f>
        <v>0.06</v>
      </c>
      <c r="X454" s="290">
        <f>CHOOSE($D451,Параметры!X$49,Параметры!X$56,Параметры!X$62)</f>
        <v>0.06</v>
      </c>
      <c r="Y454" s="290">
        <f>CHOOSE($D451,Параметры!Y$49,Параметры!Y$56,Параметры!Y$62)</f>
        <v>0.06</v>
      </c>
      <c r="Z454" s="290">
        <f>CHOOSE($D451,Параметры!Z$49,Параметры!Z$56,Параметры!Z$62)</f>
        <v>0.06</v>
      </c>
      <c r="AA454" s="290">
        <f>CHOOSE($D451,Параметры!AA$49,Параметры!AA$56,Параметры!AA$62)</f>
        <v>0.06</v>
      </c>
      <c r="AB454" s="290">
        <f>CHOOSE($D451,Параметры!AB$49,Параметры!AB$56,Параметры!AB$62)</f>
        <v>0.06</v>
      </c>
      <c r="AC454" s="290">
        <f>CHOOSE($D451,Параметры!AC$49,Параметры!AC$56,Параметры!AC$62)</f>
        <v>0.06</v>
      </c>
      <c r="AD454" s="290">
        <f>CHOOSE($D451,Параметры!AD$49,Параметры!AD$56,Параметры!AD$62)</f>
        <v>0.06</v>
      </c>
      <c r="AE454" s="290">
        <f>CHOOSE($D451,Параметры!AE$49,Параметры!AE$56,Параметры!AE$62)</f>
        <v>0.06</v>
      </c>
      <c r="AF454" s="290">
        <f>CHOOSE($D451,Параметры!AF$49,Параметры!AF$56,Параметры!AF$62)</f>
        <v>0.06</v>
      </c>
      <c r="AG454" s="290">
        <f>CHOOSE($D451,Параметры!AG$49,Параметры!AG$56,Параметры!AG$62)</f>
        <v>0.06</v>
      </c>
      <c r="AH454" s="290">
        <f>CHOOSE($D451,Параметры!AH$49,Параметры!AH$56,Параметры!AH$62)</f>
        <v>0.06</v>
      </c>
      <c r="AI454" s="290">
        <f>CHOOSE($D451,Параметры!AI$49,Параметры!AI$56,Параметры!AI$62)</f>
        <v>0.06</v>
      </c>
      <c r="AJ454" s="290">
        <f>CHOOSE($D451,Параметры!AJ$49,Параметры!AJ$56,Параметры!AJ$62)</f>
        <v>0.06</v>
      </c>
      <c r="AK454" s="290">
        <f>CHOOSE($D451,Параметры!AK$49,Параметры!AK$56,Параметры!AK$62)</f>
        <v>0.06</v>
      </c>
      <c r="AL454" s="290">
        <f>CHOOSE($D451,Параметры!AL$49,Параметры!AL$56,Параметры!AL$62)</f>
        <v>0.06</v>
      </c>
      <c r="AM454" s="290">
        <f>CHOOSE($D451,Параметры!AM$49,Параметры!AM$56,Параметры!AM$62)</f>
        <v>0.06</v>
      </c>
      <c r="AN454" s="290">
        <f>CHOOSE($D451,Параметры!AN$49,Параметры!AN$56,Параметры!AN$62)</f>
        <v>0.06</v>
      </c>
      <c r="AO454" s="290">
        <f>CHOOSE($D451,Параметры!AO$49,Параметры!AO$56,Параметры!AO$62)</f>
        <v>0.06</v>
      </c>
      <c r="AP454" s="290">
        <f>CHOOSE($D451,Параметры!AP$49,Параметры!AP$56,Параметры!AP$62)</f>
        <v>0.06</v>
      </c>
      <c r="AQ454" s="290">
        <f>CHOOSE($D451,Параметры!AQ$49,Параметры!AQ$56,Параметры!AQ$62)</f>
        <v>0.06</v>
      </c>
      <c r="AR454" s="290">
        <f>CHOOSE($D451,Параметры!AR$49,Параметры!AR$56,Параметры!AR$62)</f>
        <v>0.06</v>
      </c>
      <c r="AS454" s="290">
        <f>CHOOSE($D451,Параметры!AS$49,Параметры!AS$56,Параметры!AS$62)</f>
        <v>0.06</v>
      </c>
      <c r="AT454" s="290">
        <f>CHOOSE($D451,Параметры!AT$49,Параметры!AT$56,Параметры!AT$62)</f>
        <v>0.06</v>
      </c>
      <c r="AU454" s="290">
        <f>CHOOSE($D451,Параметры!AU$49,Параметры!AU$56,Параметры!AU$62)</f>
        <v>0.06</v>
      </c>
      <c r="AV454" s="290">
        <f>CHOOSE($D451,Параметры!AV$49,Параметры!AV$56,Параметры!AV$62)</f>
        <v>0.06</v>
      </c>
      <c r="AW454" s="290">
        <f>CHOOSE($D451,Параметры!AW$49,Параметры!AW$56,Параметры!AW$62)</f>
        <v>0.06</v>
      </c>
      <c r="AX454" s="290">
        <f>CHOOSE($D451,Параметры!AX$49,Параметры!AX$56,Параметры!AX$62)</f>
        <v>0.06</v>
      </c>
      <c r="AY454" s="290">
        <f>CHOOSE($D451,Параметры!AY$49,Параметры!AY$56,Параметры!AY$62)</f>
        <v>0.06</v>
      </c>
      <c r="AZ454" s="290">
        <f>CHOOSE($D451,Параметры!AZ$49,Параметры!AZ$56,Параметры!AZ$62)</f>
        <v>0.06</v>
      </c>
      <c r="BA454" s="290">
        <f>CHOOSE($D451,Параметры!BA$49,Параметры!BA$56,Параметры!BA$62)</f>
        <v>0.06</v>
      </c>
      <c r="BB454" s="290">
        <f>CHOOSE($D451,Параметры!BB$49,Параметры!BB$56,Параметры!BB$62)</f>
        <v>0.06</v>
      </c>
      <c r="BC454" s="190"/>
      <c r="BD454" s="186"/>
    </row>
    <row r="455" spans="1:56" hidden="1" outlineLevel="1" x14ac:dyDescent="0.3">
      <c r="A455" s="184" t="str">
        <f ca="1">Language!A$750</f>
        <v>ставка НДС</v>
      </c>
      <c r="B455" s="189"/>
      <c r="C455" s="163" t="s">
        <v>1</v>
      </c>
      <c r="D455" s="174"/>
      <c r="F455" s="170" t="s">
        <v>2346</v>
      </c>
      <c r="G455" s="290">
        <f>IF(G$2=1,Параметры!G$72,IF(F455=Параметры!F$72,Параметры!F$72,F455))</f>
        <v>0</v>
      </c>
      <c r="H455" s="290">
        <f>IF(H$2=1,Параметры!H$72,IF(G455=Параметры!G$72,Параметры!G$72,G455))</f>
        <v>0</v>
      </c>
      <c r="I455" s="290">
        <f>IF(I$2=1,Параметры!I$72,IF(H455=Параметры!H$72,Параметры!H$72,H455))</f>
        <v>0</v>
      </c>
      <c r="J455" s="290">
        <f>IF(J$2=1,Параметры!J$72,IF(I455=Параметры!I$72,Параметры!I$72,I455))</f>
        <v>0</v>
      </c>
      <c r="K455" s="290">
        <f>IF(K$2=1,Параметры!K$72,IF(J455=Параметры!J$72,Параметры!J$72,J455))</f>
        <v>0</v>
      </c>
      <c r="L455" s="290">
        <f>IF(L$2=1,Параметры!L$72,IF(K455=Параметры!K$72,Параметры!K$72,K455))</f>
        <v>0</v>
      </c>
      <c r="M455" s="290">
        <f>IF(M$2=1,Параметры!M$72,IF(L455=Параметры!L$72,Параметры!L$72,L455))</f>
        <v>0</v>
      </c>
      <c r="N455" s="290">
        <f>IF(N$2=1,Параметры!N$72,IF(M455=Параметры!M$72,Параметры!M$72,M455))</f>
        <v>0</v>
      </c>
      <c r="O455" s="290">
        <f>IF(O$2=1,Параметры!O$72,IF(N455=Параметры!N$72,Параметры!N$72,N455))</f>
        <v>0</v>
      </c>
      <c r="P455" s="290">
        <f>IF(P$2=1,Параметры!P$72,IF(O455=Параметры!O$72,Параметры!O$72,O455))</f>
        <v>0</v>
      </c>
      <c r="Q455" s="290">
        <f>IF(Q$2=1,Параметры!Q$72,IF(P455=Параметры!P$72,Параметры!P$72,P455))</f>
        <v>0</v>
      </c>
      <c r="R455" s="290">
        <f>IF(R$2=1,Параметры!R$72,IF(Q455=Параметры!Q$72,Параметры!Q$72,Q455))</f>
        <v>0</v>
      </c>
      <c r="S455" s="290">
        <f>IF(S$2=1,Параметры!S$72,IF(R455=Параметры!R$72,Параметры!R$72,R455))</f>
        <v>0</v>
      </c>
      <c r="T455" s="290">
        <f>IF(T$2=1,Параметры!T$72,IF(S455=Параметры!S$72,Параметры!S$72,S455))</f>
        <v>0</v>
      </c>
      <c r="U455" s="290">
        <f>IF(U$2=1,Параметры!U$72,IF(T455=Параметры!T$72,Параметры!T$72,T455))</f>
        <v>0</v>
      </c>
      <c r="V455" s="290">
        <f>IF(V$2=1,Параметры!V$72,IF(U455=Параметры!U$72,Параметры!U$72,U455))</f>
        <v>0</v>
      </c>
      <c r="W455" s="290">
        <f>IF(W$2=1,Параметры!W$72,IF(V455=Параметры!V$72,Параметры!V$72,V455))</f>
        <v>0</v>
      </c>
      <c r="X455" s="290">
        <f>IF(X$2=1,Параметры!X$72,IF(W455=Параметры!W$72,Параметры!W$72,W455))</f>
        <v>0</v>
      </c>
      <c r="Y455" s="290">
        <f>IF(Y$2=1,Параметры!Y$72,IF(X455=Параметры!X$72,Параметры!X$72,X455))</f>
        <v>0</v>
      </c>
      <c r="Z455" s="290">
        <f>IF(Z$2=1,Параметры!Z$72,IF(Y455=Параметры!Y$72,Параметры!Y$72,Y455))</f>
        <v>0</v>
      </c>
      <c r="AA455" s="290">
        <f>IF(AA$2=1,Параметры!AA$72,IF(Z455=Параметры!Z$72,Параметры!Z$72,Z455))</f>
        <v>0</v>
      </c>
      <c r="AB455" s="290">
        <f>IF(AB$2=1,Параметры!AB$72,IF(AA455=Параметры!AA$72,Параметры!AA$72,AA455))</f>
        <v>0</v>
      </c>
      <c r="AC455" s="290">
        <f>IF(AC$2=1,Параметры!AC$72,IF(AB455=Параметры!AB$72,Параметры!AB$72,AB455))</f>
        <v>0</v>
      </c>
      <c r="AD455" s="290">
        <f>IF(AD$2=1,Параметры!AD$72,IF(AC455=Параметры!AC$72,Параметры!AC$72,AC455))</f>
        <v>0</v>
      </c>
      <c r="AE455" s="290">
        <f>IF(AE$2=1,Параметры!AE$72,IF(AD455=Параметры!AD$72,Параметры!AD$72,AD455))</f>
        <v>0</v>
      </c>
      <c r="AF455" s="290">
        <f>IF(AF$2=1,Параметры!AF$72,IF(AE455=Параметры!AE$72,Параметры!AE$72,AE455))</f>
        <v>0</v>
      </c>
      <c r="AG455" s="290">
        <f>IF(AG$2=1,Параметры!AG$72,IF(AF455=Параметры!AF$72,Параметры!AF$72,AF455))</f>
        <v>0</v>
      </c>
      <c r="AH455" s="290">
        <f>IF(AH$2=1,Параметры!AH$72,IF(AG455=Параметры!AG$72,Параметры!AG$72,AG455))</f>
        <v>0</v>
      </c>
      <c r="AI455" s="290">
        <f>IF(AI$2=1,Параметры!AI$72,IF(AH455=Параметры!AH$72,Параметры!AH$72,AH455))</f>
        <v>0</v>
      </c>
      <c r="AJ455" s="290">
        <f>IF(AJ$2=1,Параметры!AJ$72,IF(AI455=Параметры!AI$72,Параметры!AI$72,AI455))</f>
        <v>0</v>
      </c>
      <c r="AK455" s="290">
        <f>IF(AK$2=1,Параметры!AK$72,IF(AJ455=Параметры!AJ$72,Параметры!AJ$72,AJ455))</f>
        <v>0</v>
      </c>
      <c r="AL455" s="290">
        <f>IF(AL$2=1,Параметры!AL$72,IF(AK455=Параметры!AK$72,Параметры!AK$72,AK455))</f>
        <v>0</v>
      </c>
      <c r="AM455" s="290">
        <f>IF(AM$2=1,Параметры!AM$72,IF(AL455=Параметры!AL$72,Параметры!AL$72,AL455))</f>
        <v>0</v>
      </c>
      <c r="AN455" s="290">
        <f>IF(AN$2=1,Параметры!AN$72,IF(AM455=Параметры!AM$72,Параметры!AM$72,AM455))</f>
        <v>0</v>
      </c>
      <c r="AO455" s="290">
        <f>IF(AO$2=1,Параметры!AO$72,IF(AN455=Параметры!AN$72,Параметры!AN$72,AN455))</f>
        <v>0</v>
      </c>
      <c r="AP455" s="290">
        <f>IF(AP$2=1,Параметры!AP$72,IF(AO455=Параметры!AO$72,Параметры!AO$72,AO455))</f>
        <v>0</v>
      </c>
      <c r="AQ455" s="290">
        <f>IF(AQ$2=1,Параметры!AQ$72,IF(AP455=Параметры!AP$72,Параметры!AP$72,AP455))</f>
        <v>0</v>
      </c>
      <c r="AR455" s="290">
        <f>IF(AR$2=1,Параметры!AR$72,IF(AQ455=Параметры!AQ$72,Параметры!AQ$72,AQ455))</f>
        <v>0</v>
      </c>
      <c r="AS455" s="290">
        <f>IF(AS$2=1,Параметры!AS$72,IF(AR455=Параметры!AR$72,Параметры!AR$72,AR455))</f>
        <v>0</v>
      </c>
      <c r="AT455" s="290">
        <f>IF(AT$2=1,Параметры!AT$72,IF(AS455=Параметры!AS$72,Параметры!AS$72,AS455))</f>
        <v>0</v>
      </c>
      <c r="AU455" s="290">
        <f>IF(AU$2=1,Параметры!AU$72,IF(AT455=Параметры!AT$72,Параметры!AT$72,AT455))</f>
        <v>0</v>
      </c>
      <c r="AV455" s="290">
        <f>IF(AV$2=1,Параметры!AV$72,IF(AU455=Параметры!AU$72,Параметры!AU$72,AU455))</f>
        <v>0</v>
      </c>
      <c r="AW455" s="290">
        <f>IF(AW$2=1,Параметры!AW$72,IF(AV455=Параметры!AV$72,Параметры!AV$72,AV455))</f>
        <v>0</v>
      </c>
      <c r="AX455" s="290">
        <f>IF(AX$2=1,Параметры!AX$72,IF(AW455=Параметры!AW$72,Параметры!AW$72,AW455))</f>
        <v>0</v>
      </c>
      <c r="AY455" s="290">
        <f>IF(AY$2=1,Параметры!AY$72,IF(AX455=Параметры!AX$72,Параметры!AX$72,AX455))</f>
        <v>0</v>
      </c>
      <c r="AZ455" s="290">
        <f>IF(AZ$2=1,Параметры!AZ$72,IF(AY455=Параметры!AY$72,Параметры!AY$72,AY455))</f>
        <v>0</v>
      </c>
      <c r="BA455" s="290">
        <f>IF(BA$2=1,Параметры!BA$72,IF(AZ455=Параметры!AZ$72,Параметры!AZ$72,AZ455))</f>
        <v>0</v>
      </c>
      <c r="BB455" s="290">
        <f>IF(BB$2=1,Параметры!BB$72,IF(BA455=Параметры!BA$72,Параметры!BA$72,BA455))</f>
        <v>0</v>
      </c>
      <c r="BC455" s="190"/>
      <c r="BD455" s="186"/>
    </row>
    <row r="456" spans="1:56" hidden="1" outlineLevel="1" x14ac:dyDescent="0.3">
      <c r="A456" s="184" t="str">
        <f ca="1">Language!A$675</f>
        <v>коэффициент прироста цен к предыдущему периоду</v>
      </c>
      <c r="B456" s="189"/>
      <c r="C456" s="163" t="str">
        <f ca="1">Language!$A$1477</f>
        <v>раз</v>
      </c>
      <c r="D456" s="174"/>
      <c r="F456" s="170" t="s">
        <v>745</v>
      </c>
      <c r="G456" s="191">
        <f ca="1">IF(G$2=1,1,IF(Prj_Inflation=1, (1+OFFSET(G454,0,-1))^(Параметры!G$30/360), 1))</f>
        <v>1</v>
      </c>
      <c r="H456" s="191">
        <f ca="1">IF(H$2=1,1,IF(Prj_Inflation=1, (1+OFFSET(H454,0,-1))^(Параметры!H$30/360), 1))</f>
        <v>1.004867550565343</v>
      </c>
      <c r="I456" s="191">
        <f ca="1">IF(I$2=1,1,IF(Prj_Inflation=1, (1+OFFSET(I454,0,-1))^(Параметры!I$30/360), 1))</f>
        <v>1.004867550565343</v>
      </c>
      <c r="J456" s="191">
        <f ca="1">IF(J$2=1,1,IF(Prj_Inflation=1, (1+OFFSET(J454,0,-1))^(Параметры!J$30/360), 1))</f>
        <v>1.004867550565343</v>
      </c>
      <c r="K456" s="191">
        <f ca="1">IF(K$2=1,1,IF(Prj_Inflation=1, (1+OFFSET(K454,0,-1))^(Параметры!K$30/360), 1))</f>
        <v>1.004867550565343</v>
      </c>
      <c r="L456" s="191">
        <f ca="1">IF(L$2=1,1,IF(Prj_Inflation=1, (1+OFFSET(L454,0,-1))^(Параметры!L$30/360), 1))</f>
        <v>1.004867550565343</v>
      </c>
      <c r="M456" s="191">
        <f ca="1">IF(M$2=1,1,IF(Prj_Inflation=1, (1+OFFSET(M454,0,-1))^(Параметры!M$30/360), 1))</f>
        <v>1.004867550565343</v>
      </c>
      <c r="N456" s="191">
        <f ca="1">IF(N$2=1,1,IF(Prj_Inflation=1, (1+OFFSET(N454,0,-1))^(Параметры!N$30/360), 1))</f>
        <v>1.004867550565343</v>
      </c>
      <c r="O456" s="191">
        <f ca="1">IF(O$2=1,1,IF(Prj_Inflation=1, (1+OFFSET(O454,0,-1))^(Параметры!O$30/360), 1))</f>
        <v>1.004867550565343</v>
      </c>
      <c r="P456" s="191">
        <f ca="1">IF(P$2=1,1,IF(Prj_Inflation=1, (1+OFFSET(P454,0,-1))^(Параметры!P$30/360), 1))</f>
        <v>1.004867550565343</v>
      </c>
      <c r="Q456" s="191">
        <f ca="1">IF(Q$2=1,1,IF(Prj_Inflation=1, (1+OFFSET(Q454,0,-1))^(Параметры!Q$30/360), 1))</f>
        <v>1.004867550565343</v>
      </c>
      <c r="R456" s="191">
        <f ca="1">IF(R$2=1,1,IF(Prj_Inflation=1, (1+OFFSET(R454,0,-1))^(Параметры!R$30/360), 1))</f>
        <v>1.004867550565343</v>
      </c>
      <c r="S456" s="191">
        <f ca="1">IF(S$2=1,1,IF(Prj_Inflation=1, (1+OFFSET(S454,0,-1))^(Параметры!S$30/360), 1))</f>
        <v>1.004867550565343</v>
      </c>
      <c r="T456" s="191">
        <f ca="1">IF(T$2=1,1,IF(Prj_Inflation=1, (1+OFFSET(T454,0,-1))^(Параметры!T$30/360), 1))</f>
        <v>1.004867550565343</v>
      </c>
      <c r="U456" s="191">
        <f ca="1">IF(U$2=1,1,IF(Prj_Inflation=1, (1+OFFSET(U454,0,-1))^(Параметры!U$30/360), 1))</f>
        <v>1.004867550565343</v>
      </c>
      <c r="V456" s="191">
        <f ca="1">IF(V$2=1,1,IF(Prj_Inflation=1, (1+OFFSET(V454,0,-1))^(Параметры!V$30/360), 1))</f>
        <v>1.004867550565343</v>
      </c>
      <c r="W456" s="191">
        <f ca="1">IF(W$2=1,1,IF(Prj_Inflation=1, (1+OFFSET(W454,0,-1))^(Параметры!W$30/360), 1))</f>
        <v>1.004867550565343</v>
      </c>
      <c r="X456" s="191">
        <f ca="1">IF(X$2=1,1,IF(Prj_Inflation=1, (1+OFFSET(X454,0,-1))^(Параметры!X$30/360), 1))</f>
        <v>1.004867550565343</v>
      </c>
      <c r="Y456" s="191">
        <f ca="1">IF(Y$2=1,1,IF(Prj_Inflation=1, (1+OFFSET(Y454,0,-1))^(Параметры!Y$30/360), 1))</f>
        <v>1.004867550565343</v>
      </c>
      <c r="Z456" s="191">
        <f ca="1">IF(Z$2=1,1,IF(Prj_Inflation=1, (1+OFFSET(Z454,0,-1))^(Параметры!Z$30/360), 1))</f>
        <v>1.004867550565343</v>
      </c>
      <c r="AA456" s="191">
        <f ca="1">IF(AA$2=1,1,IF(Prj_Inflation=1, (1+OFFSET(AA454,0,-1))^(Параметры!AA$30/360), 1))</f>
        <v>1.004867550565343</v>
      </c>
      <c r="AB456" s="191">
        <f ca="1">IF(AB$2=1,1,IF(Prj_Inflation=1, (1+OFFSET(AB454,0,-1))^(Параметры!AB$30/360), 1))</f>
        <v>1.004867550565343</v>
      </c>
      <c r="AC456" s="191">
        <f ca="1">IF(AC$2=1,1,IF(Prj_Inflation=1, (1+OFFSET(AC454,0,-1))^(Параметры!AC$30/360), 1))</f>
        <v>1.004867550565343</v>
      </c>
      <c r="AD456" s="191">
        <f ca="1">IF(AD$2=1,1,IF(Prj_Inflation=1, (1+OFFSET(AD454,0,-1))^(Параметры!AD$30/360), 1))</f>
        <v>1.004867550565343</v>
      </c>
      <c r="AE456" s="191">
        <f ca="1">IF(AE$2=1,1,IF(Prj_Inflation=1, (1+OFFSET(AE454,0,-1))^(Параметры!AE$30/360), 1))</f>
        <v>1.004867550565343</v>
      </c>
      <c r="AF456" s="191">
        <f ca="1">IF(AF$2=1,1,IF(Prj_Inflation=1, (1+OFFSET(AF454,0,-1))^(Параметры!AF$30/360), 1))</f>
        <v>1.004867550565343</v>
      </c>
      <c r="AG456" s="191">
        <f ca="1">IF(AG$2=1,1,IF(Prj_Inflation=1, (1+OFFSET(AG454,0,-1))^(Параметры!AG$30/360), 1))</f>
        <v>1.004867550565343</v>
      </c>
      <c r="AH456" s="191">
        <f ca="1">IF(AH$2=1,1,IF(Prj_Inflation=1, (1+OFFSET(AH454,0,-1))^(Параметры!AH$30/360), 1))</f>
        <v>1.004867550565343</v>
      </c>
      <c r="AI456" s="191">
        <f ca="1">IF(AI$2=1,1,IF(Prj_Inflation=1, (1+OFFSET(AI454,0,-1))^(Параметры!AI$30/360), 1))</f>
        <v>1.004867550565343</v>
      </c>
      <c r="AJ456" s="191">
        <f ca="1">IF(AJ$2=1,1,IF(Prj_Inflation=1, (1+OFFSET(AJ454,0,-1))^(Параметры!AJ$30/360), 1))</f>
        <v>1.004867550565343</v>
      </c>
      <c r="AK456" s="191">
        <f ca="1">IF(AK$2=1,1,IF(Prj_Inflation=1, (1+OFFSET(AK454,0,-1))^(Параметры!AK$30/360), 1))</f>
        <v>1.004867550565343</v>
      </c>
      <c r="AL456" s="191">
        <f ca="1">IF(AL$2=1,1,IF(Prj_Inflation=1, (1+OFFSET(AL454,0,-1))^(Параметры!AL$30/360), 1))</f>
        <v>1.004867550565343</v>
      </c>
      <c r="AM456" s="191">
        <f ca="1">IF(AM$2=1,1,IF(Prj_Inflation=1, (1+OFFSET(AM454,0,-1))^(Параметры!AM$30/360), 1))</f>
        <v>1.004867550565343</v>
      </c>
      <c r="AN456" s="191">
        <f ca="1">IF(AN$2=1,1,IF(Prj_Inflation=1, (1+OFFSET(AN454,0,-1))^(Параметры!AN$30/360), 1))</f>
        <v>1.004867550565343</v>
      </c>
      <c r="AO456" s="191">
        <f ca="1">IF(AO$2=1,1,IF(Prj_Inflation=1, (1+OFFSET(AO454,0,-1))^(Параметры!AO$30/360), 1))</f>
        <v>1.004867550565343</v>
      </c>
      <c r="AP456" s="191">
        <f ca="1">IF(AP$2=1,1,IF(Prj_Inflation=1, (1+OFFSET(AP454,0,-1))^(Параметры!AP$30/360), 1))</f>
        <v>1.004867550565343</v>
      </c>
      <c r="AQ456" s="191">
        <f ca="1">IF(AQ$2=1,1,IF(Prj_Inflation=1, (1+OFFSET(AQ454,0,-1))^(Параметры!AQ$30/360), 1))</f>
        <v>1.004867550565343</v>
      </c>
      <c r="AR456" s="191">
        <f ca="1">IF(AR$2=1,1,IF(Prj_Inflation=1, (1+OFFSET(AR454,0,-1))^(Параметры!AR$30/360), 1))</f>
        <v>1.004867550565343</v>
      </c>
      <c r="AS456" s="191">
        <f ca="1">IF(AS$2=1,1,IF(Prj_Inflation=1, (1+OFFSET(AS454,0,-1))^(Параметры!AS$30/360), 1))</f>
        <v>1.004867550565343</v>
      </c>
      <c r="AT456" s="191">
        <f ca="1">IF(AT$2=1,1,IF(Prj_Inflation=1, (1+OFFSET(AT454,0,-1))^(Параметры!AT$30/360), 1))</f>
        <v>1.004867550565343</v>
      </c>
      <c r="AU456" s="191">
        <f ca="1">IF(AU$2=1,1,IF(Prj_Inflation=1, (1+OFFSET(AU454,0,-1))^(Параметры!AU$30/360), 1))</f>
        <v>1.004867550565343</v>
      </c>
      <c r="AV456" s="191">
        <f ca="1">IF(AV$2=1,1,IF(Prj_Inflation=1, (1+OFFSET(AV454,0,-1))^(Параметры!AV$30/360), 1))</f>
        <v>1.004867550565343</v>
      </c>
      <c r="AW456" s="191">
        <f ca="1">IF(AW$2=1,1,IF(Prj_Inflation=1, (1+OFFSET(AW454,0,-1))^(Параметры!AW$30/360), 1))</f>
        <v>1.004867550565343</v>
      </c>
      <c r="AX456" s="191">
        <f ca="1">IF(AX$2=1,1,IF(Prj_Inflation=1, (1+OFFSET(AX454,0,-1))^(Параметры!AX$30/360), 1))</f>
        <v>1.004867550565343</v>
      </c>
      <c r="AY456" s="191">
        <f ca="1">IF(AY$2=1,1,IF(Prj_Inflation=1, (1+OFFSET(AY454,0,-1))^(Параметры!AY$30/360), 1))</f>
        <v>1.004867550565343</v>
      </c>
      <c r="AZ456" s="191">
        <f ca="1">IF(AZ$2=1,1,IF(Prj_Inflation=1, (1+OFFSET(AZ454,0,-1))^(Параметры!AZ$30/360), 1))</f>
        <v>1.004867550565343</v>
      </c>
      <c r="BA456" s="191">
        <f ca="1">IF(BA$2=1,1,IF(Prj_Inflation=1, (1+OFFSET(BA454,0,-1))^(Параметры!BA$30/360), 1))</f>
        <v>1.004867550565343</v>
      </c>
      <c r="BB456" s="191">
        <f ca="1">IF(BB$2=1,1,IF(Prj_Inflation=1, (1+OFFSET(BB454,0,-1))^(Параметры!BB$30/360), 1))</f>
        <v>1.004867550565343</v>
      </c>
      <c r="BC456" s="191"/>
      <c r="BD456" s="186"/>
    </row>
    <row r="457" spans="1:56" hidden="1" outlineLevel="1" x14ac:dyDescent="0.3">
      <c r="A457" s="184" t="str">
        <f ca="1">Language!A$1486</f>
        <v>индексировать в начале года</v>
      </c>
      <c r="B457" s="291">
        <v>0</v>
      </c>
      <c r="C457" s="163" t="str">
        <f ca="1">IF(B457=1,Language!$A$1475,Language!$A$1476)</f>
        <v>Нет</v>
      </c>
      <c r="D457" s="174"/>
      <c r="F457" s="170" t="s">
        <v>3408</v>
      </c>
      <c r="G457" s="192" t="str">
        <f ca="1">IF(Prj_Inflation=1,IF($B457=1,IF(G$2=1,1,IF(Параметры!G$29=1,1+OFFSET(G454,0,-1),1)),"-"),1)</f>
        <v>-</v>
      </c>
      <c r="H457" s="192" t="str">
        <f ca="1">IF(Prj_Inflation=1,IF($B457=1,IF(H$2=1,1,IF(Параметры!H$29=1,1+OFFSET(H454,0,-1),1)),"-"),1)</f>
        <v>-</v>
      </c>
      <c r="I457" s="192" t="str">
        <f ca="1">IF(Prj_Inflation=1,IF($B457=1,IF(I$2=1,1,IF(Параметры!I$29=1,1+OFFSET(I454,0,-1),1)),"-"),1)</f>
        <v>-</v>
      </c>
      <c r="J457" s="192" t="str">
        <f ca="1">IF(Prj_Inflation=1,IF($B457=1,IF(J$2=1,1,IF(Параметры!J$29=1,1+OFFSET(J454,0,-1),1)),"-"),1)</f>
        <v>-</v>
      </c>
      <c r="K457" s="192" t="str">
        <f ca="1">IF(Prj_Inflation=1,IF($B457=1,IF(K$2=1,1,IF(Параметры!K$29=1,1+OFFSET(K454,0,-1),1)),"-"),1)</f>
        <v>-</v>
      </c>
      <c r="L457" s="192" t="str">
        <f ca="1">IF(Prj_Inflation=1,IF($B457=1,IF(L$2=1,1,IF(Параметры!L$29=1,1+OFFSET(L454,0,-1),1)),"-"),1)</f>
        <v>-</v>
      </c>
      <c r="M457" s="192" t="str">
        <f ca="1">IF(Prj_Inflation=1,IF($B457=1,IF(M$2=1,1,IF(Параметры!M$29=1,1+OFFSET(M454,0,-1),1)),"-"),1)</f>
        <v>-</v>
      </c>
      <c r="N457" s="192" t="str">
        <f ca="1">IF(Prj_Inflation=1,IF($B457=1,IF(N$2=1,1,IF(Параметры!N$29=1,1+OFFSET(N454,0,-1),1)),"-"),1)</f>
        <v>-</v>
      </c>
      <c r="O457" s="192" t="str">
        <f ca="1">IF(Prj_Inflation=1,IF($B457=1,IF(O$2=1,1,IF(Параметры!O$29=1,1+OFFSET(O454,0,-1),1)),"-"),1)</f>
        <v>-</v>
      </c>
      <c r="P457" s="192" t="str">
        <f ca="1">IF(Prj_Inflation=1,IF($B457=1,IF(P$2=1,1,IF(Параметры!P$29=1,1+OFFSET(P454,0,-1),1)),"-"),1)</f>
        <v>-</v>
      </c>
      <c r="Q457" s="192" t="str">
        <f ca="1">IF(Prj_Inflation=1,IF($B457=1,IF(Q$2=1,1,IF(Параметры!Q$29=1,1+OFFSET(Q454,0,-1),1)),"-"),1)</f>
        <v>-</v>
      </c>
      <c r="R457" s="192" t="str">
        <f ca="1">IF(Prj_Inflation=1,IF($B457=1,IF(R$2=1,1,IF(Параметры!R$29=1,1+OFFSET(R454,0,-1),1)),"-"),1)</f>
        <v>-</v>
      </c>
      <c r="S457" s="192" t="str">
        <f ca="1">IF(Prj_Inflation=1,IF($B457=1,IF(S$2=1,1,IF(Параметры!S$29=1,1+OFFSET(S454,0,-1),1)),"-"),1)</f>
        <v>-</v>
      </c>
      <c r="T457" s="192" t="str">
        <f ca="1">IF(Prj_Inflation=1,IF($B457=1,IF(T$2=1,1,IF(Параметры!T$29=1,1+OFFSET(T454,0,-1),1)),"-"),1)</f>
        <v>-</v>
      </c>
      <c r="U457" s="192" t="str">
        <f ca="1">IF(Prj_Inflation=1,IF($B457=1,IF(U$2=1,1,IF(Параметры!U$29=1,1+OFFSET(U454,0,-1),1)),"-"),1)</f>
        <v>-</v>
      </c>
      <c r="V457" s="192" t="str">
        <f ca="1">IF(Prj_Inflation=1,IF($B457=1,IF(V$2=1,1,IF(Параметры!V$29=1,1+OFFSET(V454,0,-1),1)),"-"),1)</f>
        <v>-</v>
      </c>
      <c r="W457" s="192" t="str">
        <f ca="1">IF(Prj_Inflation=1,IF($B457=1,IF(W$2=1,1,IF(Параметры!W$29=1,1+OFFSET(W454,0,-1),1)),"-"),1)</f>
        <v>-</v>
      </c>
      <c r="X457" s="192" t="str">
        <f ca="1">IF(Prj_Inflation=1,IF($B457=1,IF(X$2=1,1,IF(Параметры!X$29=1,1+OFFSET(X454,0,-1),1)),"-"),1)</f>
        <v>-</v>
      </c>
      <c r="Y457" s="192" t="str">
        <f ca="1">IF(Prj_Inflation=1,IF($B457=1,IF(Y$2=1,1,IF(Параметры!Y$29=1,1+OFFSET(Y454,0,-1),1)),"-"),1)</f>
        <v>-</v>
      </c>
      <c r="Z457" s="192" t="str">
        <f ca="1">IF(Prj_Inflation=1,IF($B457=1,IF(Z$2=1,1,IF(Параметры!Z$29=1,1+OFFSET(Z454,0,-1),1)),"-"),1)</f>
        <v>-</v>
      </c>
      <c r="AA457" s="192" t="str">
        <f ca="1">IF(Prj_Inflation=1,IF($B457=1,IF(AA$2=1,1,IF(Параметры!AA$29=1,1+OFFSET(AA454,0,-1),1)),"-"),1)</f>
        <v>-</v>
      </c>
      <c r="AB457" s="192" t="str">
        <f ca="1">IF(Prj_Inflation=1,IF($B457=1,IF(AB$2=1,1,IF(Параметры!AB$29=1,1+OFFSET(AB454,0,-1),1)),"-"),1)</f>
        <v>-</v>
      </c>
      <c r="AC457" s="192" t="str">
        <f ca="1">IF(Prj_Inflation=1,IF($B457=1,IF(AC$2=1,1,IF(Параметры!AC$29=1,1+OFFSET(AC454,0,-1),1)),"-"),1)</f>
        <v>-</v>
      </c>
      <c r="AD457" s="192" t="str">
        <f ca="1">IF(Prj_Inflation=1,IF($B457=1,IF(AD$2=1,1,IF(Параметры!AD$29=1,1+OFFSET(AD454,0,-1),1)),"-"),1)</f>
        <v>-</v>
      </c>
      <c r="AE457" s="192" t="str">
        <f ca="1">IF(Prj_Inflation=1,IF($B457=1,IF(AE$2=1,1,IF(Параметры!AE$29=1,1+OFFSET(AE454,0,-1),1)),"-"),1)</f>
        <v>-</v>
      </c>
      <c r="AF457" s="192" t="str">
        <f ca="1">IF(Prj_Inflation=1,IF($B457=1,IF(AF$2=1,1,IF(Параметры!AF$29=1,1+OFFSET(AF454,0,-1),1)),"-"),1)</f>
        <v>-</v>
      </c>
      <c r="AG457" s="192" t="str">
        <f ca="1">IF(Prj_Inflation=1,IF($B457=1,IF(AG$2=1,1,IF(Параметры!AG$29=1,1+OFFSET(AG454,0,-1),1)),"-"),1)</f>
        <v>-</v>
      </c>
      <c r="AH457" s="192" t="str">
        <f ca="1">IF(Prj_Inflation=1,IF($B457=1,IF(AH$2=1,1,IF(Параметры!AH$29=1,1+OFFSET(AH454,0,-1),1)),"-"),1)</f>
        <v>-</v>
      </c>
      <c r="AI457" s="192" t="str">
        <f ca="1">IF(Prj_Inflation=1,IF($B457=1,IF(AI$2=1,1,IF(Параметры!AI$29=1,1+OFFSET(AI454,0,-1),1)),"-"),1)</f>
        <v>-</v>
      </c>
      <c r="AJ457" s="192" t="str">
        <f ca="1">IF(Prj_Inflation=1,IF($B457=1,IF(AJ$2=1,1,IF(Параметры!AJ$29=1,1+OFFSET(AJ454,0,-1),1)),"-"),1)</f>
        <v>-</v>
      </c>
      <c r="AK457" s="192" t="str">
        <f ca="1">IF(Prj_Inflation=1,IF($B457=1,IF(AK$2=1,1,IF(Параметры!AK$29=1,1+OFFSET(AK454,0,-1),1)),"-"),1)</f>
        <v>-</v>
      </c>
      <c r="AL457" s="192" t="str">
        <f ca="1">IF(Prj_Inflation=1,IF($B457=1,IF(AL$2=1,1,IF(Параметры!AL$29=1,1+OFFSET(AL454,0,-1),1)),"-"),1)</f>
        <v>-</v>
      </c>
      <c r="AM457" s="192" t="str">
        <f ca="1">IF(Prj_Inflation=1,IF($B457=1,IF(AM$2=1,1,IF(Параметры!AM$29=1,1+OFFSET(AM454,0,-1),1)),"-"),1)</f>
        <v>-</v>
      </c>
      <c r="AN457" s="192" t="str">
        <f ca="1">IF(Prj_Inflation=1,IF($B457=1,IF(AN$2=1,1,IF(Параметры!AN$29=1,1+OFFSET(AN454,0,-1),1)),"-"),1)</f>
        <v>-</v>
      </c>
      <c r="AO457" s="192" t="str">
        <f ca="1">IF(Prj_Inflation=1,IF($B457=1,IF(AO$2=1,1,IF(Параметры!AO$29=1,1+OFFSET(AO454,0,-1),1)),"-"),1)</f>
        <v>-</v>
      </c>
      <c r="AP457" s="192" t="str">
        <f ca="1">IF(Prj_Inflation=1,IF($B457=1,IF(AP$2=1,1,IF(Параметры!AP$29=1,1+OFFSET(AP454,0,-1),1)),"-"),1)</f>
        <v>-</v>
      </c>
      <c r="AQ457" s="192" t="str">
        <f ca="1">IF(Prj_Inflation=1,IF($B457=1,IF(AQ$2=1,1,IF(Параметры!AQ$29=1,1+OFFSET(AQ454,0,-1),1)),"-"),1)</f>
        <v>-</v>
      </c>
      <c r="AR457" s="192" t="str">
        <f ca="1">IF(Prj_Inflation=1,IF($B457=1,IF(AR$2=1,1,IF(Параметры!AR$29=1,1+OFFSET(AR454,0,-1),1)),"-"),1)</f>
        <v>-</v>
      </c>
      <c r="AS457" s="192" t="str">
        <f ca="1">IF(Prj_Inflation=1,IF($B457=1,IF(AS$2=1,1,IF(Параметры!AS$29=1,1+OFFSET(AS454,0,-1),1)),"-"),1)</f>
        <v>-</v>
      </c>
      <c r="AT457" s="192" t="str">
        <f ca="1">IF(Prj_Inflation=1,IF($B457=1,IF(AT$2=1,1,IF(Параметры!AT$29=1,1+OFFSET(AT454,0,-1),1)),"-"),1)</f>
        <v>-</v>
      </c>
      <c r="AU457" s="192" t="str">
        <f ca="1">IF(Prj_Inflation=1,IF($B457=1,IF(AU$2=1,1,IF(Параметры!AU$29=1,1+OFFSET(AU454,0,-1),1)),"-"),1)</f>
        <v>-</v>
      </c>
      <c r="AV457" s="192" t="str">
        <f ca="1">IF(Prj_Inflation=1,IF($B457=1,IF(AV$2=1,1,IF(Параметры!AV$29=1,1+OFFSET(AV454,0,-1),1)),"-"),1)</f>
        <v>-</v>
      </c>
      <c r="AW457" s="192" t="str">
        <f ca="1">IF(Prj_Inflation=1,IF($B457=1,IF(AW$2=1,1,IF(Параметры!AW$29=1,1+OFFSET(AW454,0,-1),1)),"-"),1)</f>
        <v>-</v>
      </c>
      <c r="AX457" s="192" t="str">
        <f ca="1">IF(Prj_Inflation=1,IF($B457=1,IF(AX$2=1,1,IF(Параметры!AX$29=1,1+OFFSET(AX454,0,-1),1)),"-"),1)</f>
        <v>-</v>
      </c>
      <c r="AY457" s="192" t="str">
        <f ca="1">IF(Prj_Inflation=1,IF($B457=1,IF(AY$2=1,1,IF(Параметры!AY$29=1,1+OFFSET(AY454,0,-1),1)),"-"),1)</f>
        <v>-</v>
      </c>
      <c r="AZ457" s="192" t="str">
        <f ca="1">IF(Prj_Inflation=1,IF($B457=1,IF(AZ$2=1,1,IF(Параметры!AZ$29=1,1+OFFSET(AZ454,0,-1),1)),"-"),1)</f>
        <v>-</v>
      </c>
      <c r="BA457" s="192" t="str">
        <f ca="1">IF(Prj_Inflation=1,IF($B457=1,IF(BA$2=1,1,IF(Параметры!BA$29=1,1+OFFSET(BA454,0,-1),1)),"-"),1)</f>
        <v>-</v>
      </c>
      <c r="BB457" s="192" t="str">
        <f ca="1">IF(Prj_Inflation=1,IF($B457=1,IF(BB$2=1,1,IF(Параметры!BB$29=1,1+OFFSET(BB454,0,-1),1)),"-"),1)</f>
        <v>-</v>
      </c>
      <c r="BC457" s="191"/>
      <c r="BD457" s="186"/>
    </row>
    <row r="458" spans="1:56" hidden="1" outlineLevel="1" x14ac:dyDescent="0.3">
      <c r="A458" s="184" t="str">
        <f ca="1">Language!A$753</f>
        <v>НДС начисленный</v>
      </c>
      <c r="B458" s="163"/>
      <c r="C458" s="163" t="str">
        <f ca="1">CHOOSE(D458,CurName1,CurName2,CurName3)</f>
        <v>руб.</v>
      </c>
      <c r="D458" s="174">
        <f>D449</f>
        <v>1</v>
      </c>
      <c r="E458" s="170" t="s">
        <v>785</v>
      </c>
      <c r="F458" s="170" t="s">
        <v>740</v>
      </c>
      <c r="G458" s="185">
        <f ca="1">G453*G455</f>
        <v>0</v>
      </c>
      <c r="H458" s="185">
        <f t="shared" ref="H458:BB458" ca="1" si="2081">H453*H455</f>
        <v>0</v>
      </c>
      <c r="I458" s="185">
        <f t="shared" ca="1" si="2081"/>
        <v>0</v>
      </c>
      <c r="J458" s="185">
        <f t="shared" ca="1" si="2081"/>
        <v>0</v>
      </c>
      <c r="K458" s="185">
        <f t="shared" ca="1" si="2081"/>
        <v>0</v>
      </c>
      <c r="L458" s="185">
        <f t="shared" ca="1" si="2081"/>
        <v>0</v>
      </c>
      <c r="M458" s="185">
        <f t="shared" ca="1" si="2081"/>
        <v>0</v>
      </c>
      <c r="N458" s="185">
        <f t="shared" ca="1" si="2081"/>
        <v>0</v>
      </c>
      <c r="O458" s="185">
        <f t="shared" ca="1" si="2081"/>
        <v>0</v>
      </c>
      <c r="P458" s="185">
        <f t="shared" ca="1" si="2081"/>
        <v>0</v>
      </c>
      <c r="Q458" s="185">
        <f t="shared" ca="1" si="2081"/>
        <v>0</v>
      </c>
      <c r="R458" s="185">
        <f t="shared" ca="1" si="2081"/>
        <v>0</v>
      </c>
      <c r="S458" s="185">
        <f t="shared" ca="1" si="2081"/>
        <v>0</v>
      </c>
      <c r="T458" s="185">
        <f t="shared" ca="1" si="2081"/>
        <v>0</v>
      </c>
      <c r="U458" s="185">
        <f t="shared" ca="1" si="2081"/>
        <v>0</v>
      </c>
      <c r="V458" s="185">
        <f t="shared" ca="1" si="2081"/>
        <v>0</v>
      </c>
      <c r="W458" s="185">
        <f t="shared" ca="1" si="2081"/>
        <v>0</v>
      </c>
      <c r="X458" s="185">
        <f t="shared" ca="1" si="2081"/>
        <v>0</v>
      </c>
      <c r="Y458" s="185">
        <f t="shared" ca="1" si="2081"/>
        <v>0</v>
      </c>
      <c r="Z458" s="185">
        <f t="shared" ca="1" si="2081"/>
        <v>0</v>
      </c>
      <c r="AA458" s="185">
        <f t="shared" ca="1" si="2081"/>
        <v>0</v>
      </c>
      <c r="AB458" s="185">
        <f t="shared" ca="1" si="2081"/>
        <v>0</v>
      </c>
      <c r="AC458" s="185">
        <f t="shared" ca="1" si="2081"/>
        <v>0</v>
      </c>
      <c r="AD458" s="185">
        <f t="shared" ca="1" si="2081"/>
        <v>0</v>
      </c>
      <c r="AE458" s="185">
        <f t="shared" ca="1" si="2081"/>
        <v>0</v>
      </c>
      <c r="AF458" s="185">
        <f t="shared" ca="1" si="2081"/>
        <v>0</v>
      </c>
      <c r="AG458" s="185">
        <f t="shared" ca="1" si="2081"/>
        <v>0</v>
      </c>
      <c r="AH458" s="185">
        <f t="shared" ca="1" si="2081"/>
        <v>0</v>
      </c>
      <c r="AI458" s="185">
        <f t="shared" ca="1" si="2081"/>
        <v>0</v>
      </c>
      <c r="AJ458" s="185">
        <f t="shared" ca="1" si="2081"/>
        <v>0</v>
      </c>
      <c r="AK458" s="185">
        <f t="shared" ca="1" si="2081"/>
        <v>0</v>
      </c>
      <c r="AL458" s="185">
        <f t="shared" ca="1" si="2081"/>
        <v>0</v>
      </c>
      <c r="AM458" s="185">
        <f t="shared" ca="1" si="2081"/>
        <v>0</v>
      </c>
      <c r="AN458" s="185">
        <f t="shared" ca="1" si="2081"/>
        <v>0</v>
      </c>
      <c r="AO458" s="185">
        <f t="shared" ca="1" si="2081"/>
        <v>0</v>
      </c>
      <c r="AP458" s="185">
        <f t="shared" ca="1" si="2081"/>
        <v>0</v>
      </c>
      <c r="AQ458" s="185">
        <f t="shared" ca="1" si="2081"/>
        <v>0</v>
      </c>
      <c r="AR458" s="185">
        <f t="shared" ca="1" si="2081"/>
        <v>0</v>
      </c>
      <c r="AS458" s="185">
        <f t="shared" ca="1" si="2081"/>
        <v>0</v>
      </c>
      <c r="AT458" s="185">
        <f t="shared" ca="1" si="2081"/>
        <v>0</v>
      </c>
      <c r="AU458" s="185">
        <f t="shared" ca="1" si="2081"/>
        <v>0</v>
      </c>
      <c r="AV458" s="185">
        <f t="shared" ca="1" si="2081"/>
        <v>0</v>
      </c>
      <c r="AW458" s="185">
        <f t="shared" ca="1" si="2081"/>
        <v>0</v>
      </c>
      <c r="AX458" s="185">
        <f t="shared" ca="1" si="2081"/>
        <v>0</v>
      </c>
      <c r="AY458" s="185">
        <f t="shared" ca="1" si="2081"/>
        <v>0</v>
      </c>
      <c r="AZ458" s="185">
        <f t="shared" ca="1" si="2081"/>
        <v>0</v>
      </c>
      <c r="BA458" s="185">
        <f t="shared" ca="1" si="2081"/>
        <v>0</v>
      </c>
      <c r="BB458" s="185">
        <f t="shared" ca="1" si="2081"/>
        <v>0</v>
      </c>
      <c r="BC458" s="185"/>
      <c r="BD458" s="193">
        <f ca="1">SUM(G458:BC458)</f>
        <v>0</v>
      </c>
    </row>
    <row r="459" spans="1:56" x14ac:dyDescent="0.3">
      <c r="A459" s="283" t="s">
        <v>3456</v>
      </c>
      <c r="B459" s="205"/>
      <c r="C459" s="176"/>
      <c r="D459" s="174">
        <v>1</v>
      </c>
      <c r="F459" s="170" t="s">
        <v>3457</v>
      </c>
      <c r="G459" s="206"/>
      <c r="H459" s="206"/>
      <c r="I459" s="206"/>
      <c r="J459" s="206"/>
      <c r="K459" s="206"/>
      <c r="L459" s="206"/>
      <c r="M459" s="206"/>
      <c r="N459" s="206"/>
      <c r="O459" s="206"/>
      <c r="P459" s="206"/>
      <c r="Q459" s="206"/>
      <c r="R459" s="206"/>
      <c r="S459" s="206"/>
      <c r="T459" s="206"/>
      <c r="U459" s="206"/>
      <c r="V459" s="206"/>
      <c r="W459" s="206"/>
      <c r="X459" s="206"/>
      <c r="Y459" s="206"/>
      <c r="Z459" s="206"/>
      <c r="AA459" s="206"/>
      <c r="AB459" s="206"/>
      <c r="AC459" s="206"/>
      <c r="AD459" s="206"/>
      <c r="AE459" s="206"/>
      <c r="AF459" s="206"/>
      <c r="AG459" s="206"/>
      <c r="AH459" s="206"/>
      <c r="AI459" s="206"/>
      <c r="AJ459" s="206"/>
      <c r="AK459" s="206"/>
      <c r="AL459" s="206"/>
      <c r="AM459" s="206"/>
      <c r="AN459" s="206"/>
      <c r="AO459" s="206"/>
      <c r="AP459" s="206"/>
      <c r="AQ459" s="206"/>
      <c r="AR459" s="206"/>
      <c r="AS459" s="206"/>
      <c r="AT459" s="206"/>
      <c r="AU459" s="206"/>
      <c r="AV459" s="206"/>
      <c r="AW459" s="206"/>
      <c r="AX459" s="206"/>
      <c r="AY459" s="206"/>
      <c r="AZ459" s="206"/>
      <c r="BA459" s="206"/>
      <c r="BB459" s="206"/>
      <c r="BC459" s="206"/>
    </row>
    <row r="460" spans="1:56" x14ac:dyDescent="0.3">
      <c r="A460" s="175" t="str">
        <f ca="1">Language!A$746</f>
        <v>период появления затрат</v>
      </c>
      <c r="B460" s="284">
        <f>Prj_Invest+1</f>
        <v>7</v>
      </c>
      <c r="C460" s="176" t="str">
        <f ca="1">Language!$A$1480</f>
        <v>период</v>
      </c>
      <c r="D460" s="174"/>
      <c r="G460" s="177"/>
      <c r="H460" s="177"/>
      <c r="I460" s="177"/>
      <c r="J460" s="177"/>
      <c r="K460" s="177"/>
      <c r="L460" s="177"/>
      <c r="M460" s="177"/>
      <c r="N460" s="177"/>
      <c r="O460" s="177"/>
      <c r="P460" s="177"/>
      <c r="Q460" s="177"/>
      <c r="R460" s="177"/>
      <c r="S460" s="177"/>
      <c r="T460" s="177"/>
      <c r="U460" s="177"/>
      <c r="V460" s="177"/>
      <c r="W460" s="177"/>
      <c r="X460" s="177"/>
      <c r="Y460" s="177"/>
      <c r="Z460" s="177"/>
      <c r="AA460" s="177"/>
      <c r="AB460" s="177"/>
      <c r="AC460" s="177"/>
      <c r="AD460" s="177"/>
      <c r="AE460" s="177"/>
      <c r="AF460" s="177"/>
      <c r="AG460" s="177"/>
      <c r="AH460" s="177"/>
      <c r="AI460" s="177"/>
      <c r="AJ460" s="177"/>
      <c r="AK460" s="177"/>
      <c r="AL460" s="177"/>
      <c r="AM460" s="177"/>
      <c r="AN460" s="177"/>
      <c r="AO460" s="177"/>
      <c r="AP460" s="177"/>
      <c r="AQ460" s="177"/>
      <c r="AR460" s="177"/>
      <c r="AS460" s="177"/>
      <c r="AT460" s="177"/>
      <c r="AU460" s="177"/>
      <c r="AV460" s="177"/>
      <c r="AW460" s="177"/>
      <c r="AX460" s="177"/>
      <c r="AY460" s="177"/>
      <c r="AZ460" s="177"/>
      <c r="BA460" s="177"/>
      <c r="BB460" s="177"/>
      <c r="BC460" s="177"/>
      <c r="BD460" s="178"/>
    </row>
    <row r="461" spans="1:56" x14ac:dyDescent="0.3">
      <c r="A461" s="175" t="str">
        <f ca="1">Language!A$747&amp;" ("&amp;Параметры!B$19&amp;"), "&amp;Language!A$748</f>
        <v>затраты за период (месяц), без НДС</v>
      </c>
      <c r="B461" s="199"/>
      <c r="C461" s="176" t="str">
        <f t="shared" ref="C461" ca="1" si="2082">CHOOSE(D461,CurName1,CurName2,CurName3)</f>
        <v>руб.</v>
      </c>
      <c r="D461" s="174">
        <f>D459</f>
        <v>1</v>
      </c>
      <c r="F461" s="170" t="s">
        <v>2353</v>
      </c>
      <c r="G461" s="285">
        <v>0</v>
      </c>
      <c r="H461" s="285">
        <v>0</v>
      </c>
      <c r="I461" s="285">
        <v>0</v>
      </c>
      <c r="J461" s="285">
        <v>0</v>
      </c>
      <c r="K461" s="285">
        <v>0</v>
      </c>
      <c r="L461" s="285">
        <v>0</v>
      </c>
      <c r="M461" s="285">
        <v>10000</v>
      </c>
      <c r="N461" s="285">
        <v>10000</v>
      </c>
      <c r="O461" s="285">
        <v>10000</v>
      </c>
      <c r="P461" s="285">
        <v>10000</v>
      </c>
      <c r="Q461" s="285">
        <v>10000</v>
      </c>
      <c r="R461" s="285">
        <v>10000</v>
      </c>
      <c r="S461" s="285">
        <v>10000</v>
      </c>
      <c r="T461" s="285">
        <v>10000</v>
      </c>
      <c r="U461" s="285">
        <v>10000</v>
      </c>
      <c r="V461" s="285">
        <v>10000</v>
      </c>
      <c r="W461" s="285">
        <v>10000</v>
      </c>
      <c r="X461" s="285">
        <v>10000</v>
      </c>
      <c r="Y461" s="285">
        <v>10000</v>
      </c>
      <c r="Z461" s="285">
        <v>10000</v>
      </c>
      <c r="AA461" s="285">
        <v>10000</v>
      </c>
      <c r="AB461" s="285">
        <v>10000</v>
      </c>
      <c r="AC461" s="285">
        <v>10000</v>
      </c>
      <c r="AD461" s="285">
        <v>10000</v>
      </c>
      <c r="AE461" s="285">
        <v>10000</v>
      </c>
      <c r="AF461" s="285">
        <v>10000</v>
      </c>
      <c r="AG461" s="285">
        <v>10000</v>
      </c>
      <c r="AH461" s="285">
        <v>10000</v>
      </c>
      <c r="AI461" s="285">
        <v>10000</v>
      </c>
      <c r="AJ461" s="285">
        <v>10000</v>
      </c>
      <c r="AK461" s="285">
        <v>10000</v>
      </c>
      <c r="AL461" s="285">
        <v>10000</v>
      </c>
      <c r="AM461" s="285">
        <v>10000</v>
      </c>
      <c r="AN461" s="285">
        <v>10000</v>
      </c>
      <c r="AO461" s="285">
        <v>10000</v>
      </c>
      <c r="AP461" s="285">
        <v>10000</v>
      </c>
      <c r="AQ461" s="285">
        <v>10000</v>
      </c>
      <c r="AR461" s="285">
        <v>10000</v>
      </c>
      <c r="AS461" s="285">
        <v>10000</v>
      </c>
      <c r="AT461" s="285">
        <v>10000</v>
      </c>
      <c r="AU461" s="285">
        <v>10000</v>
      </c>
      <c r="AV461" s="285">
        <v>10000</v>
      </c>
      <c r="AW461" s="285">
        <v>10000</v>
      </c>
      <c r="AX461" s="285">
        <v>10000</v>
      </c>
      <c r="AY461" s="285">
        <v>10000</v>
      </c>
      <c r="AZ461" s="285">
        <v>10000</v>
      </c>
      <c r="BA461" s="285">
        <v>10000</v>
      </c>
      <c r="BB461" s="285">
        <v>10000</v>
      </c>
      <c r="BC461" s="177"/>
      <c r="BD461" s="178"/>
    </row>
    <row r="462" spans="1:56" x14ac:dyDescent="0.3">
      <c r="A462" s="175" t="str">
        <f ca="1">Language!A$695</f>
        <v>коэффициент расходов</v>
      </c>
      <c r="B462" s="199"/>
      <c r="C462" s="176" t="s">
        <v>1</v>
      </c>
      <c r="F462" s="170" t="s">
        <v>745</v>
      </c>
      <c r="G462" s="286">
        <f>IF(G$2&gt;=$B460,Параметры!G$33,0)</f>
        <v>0</v>
      </c>
      <c r="H462" s="286">
        <f>IF(H$2&gt;=$B460,Параметры!H$33,0)</f>
        <v>0</v>
      </c>
      <c r="I462" s="286">
        <f>IF(I$2&gt;=$B460,Параметры!I$33,0)</f>
        <v>0</v>
      </c>
      <c r="J462" s="286">
        <f>IF(J$2&gt;=$B460,Параметры!J$33,0)</f>
        <v>0</v>
      </c>
      <c r="K462" s="286">
        <f>IF(K$2&gt;=$B460,Параметры!K$33,0)</f>
        <v>0</v>
      </c>
      <c r="L462" s="286">
        <f>IF(L$2&gt;=$B460,Параметры!L$33,0)</f>
        <v>0</v>
      </c>
      <c r="M462" s="286">
        <f>IF(M$2&gt;=$B460,Параметры!M$33,0)</f>
        <v>1</v>
      </c>
      <c r="N462" s="286">
        <f>IF(N$2&gt;=$B460,Параметры!N$33,0)</f>
        <v>1</v>
      </c>
      <c r="O462" s="286">
        <f>IF(O$2&gt;=$B460,Параметры!O$33,0)</f>
        <v>1</v>
      </c>
      <c r="P462" s="286">
        <f>IF(P$2&gt;=$B460,Параметры!P$33,0)</f>
        <v>1</v>
      </c>
      <c r="Q462" s="286">
        <f>IF(Q$2&gt;=$B460,Параметры!Q$33,0)</f>
        <v>1</v>
      </c>
      <c r="R462" s="286">
        <f>IF(R$2&gt;=$B460,Параметры!R$33,0)</f>
        <v>1</v>
      </c>
      <c r="S462" s="286">
        <f>IF(S$2&gt;=$B460,Параметры!S$33,0)</f>
        <v>1</v>
      </c>
      <c r="T462" s="286">
        <f>IF(T$2&gt;=$B460,Параметры!T$33,0)</f>
        <v>1</v>
      </c>
      <c r="U462" s="286">
        <f>IF(U$2&gt;=$B460,Параметры!U$33,0)</f>
        <v>1</v>
      </c>
      <c r="V462" s="286">
        <f>IF(V$2&gt;=$B460,Параметры!V$33,0)</f>
        <v>1</v>
      </c>
      <c r="W462" s="286">
        <f>IF(W$2&gt;=$B460,Параметры!W$33,0)</f>
        <v>1</v>
      </c>
      <c r="X462" s="286">
        <f>IF(X$2&gt;=$B460,Параметры!X$33,0)</f>
        <v>1</v>
      </c>
      <c r="Y462" s="286">
        <f>IF(Y$2&gt;=$B460,Параметры!Y$33,0)</f>
        <v>1</v>
      </c>
      <c r="Z462" s="286">
        <f>IF(Z$2&gt;=$B460,Параметры!Z$33,0)</f>
        <v>1</v>
      </c>
      <c r="AA462" s="286">
        <f>IF(AA$2&gt;=$B460,Параметры!AA$33,0)</f>
        <v>1</v>
      </c>
      <c r="AB462" s="286">
        <f>IF(AB$2&gt;=$B460,Параметры!AB$33,0)</f>
        <v>1</v>
      </c>
      <c r="AC462" s="286">
        <f>IF(AC$2&gt;=$B460,Параметры!AC$33,0)</f>
        <v>1</v>
      </c>
      <c r="AD462" s="286">
        <f>IF(AD$2&gt;=$B460,Параметры!AD$33,0)</f>
        <v>1</v>
      </c>
      <c r="AE462" s="286">
        <f>IF(AE$2&gt;=$B460,Параметры!AE$33,0)</f>
        <v>1</v>
      </c>
      <c r="AF462" s="286">
        <f>IF(AF$2&gt;=$B460,Параметры!AF$33,0)</f>
        <v>1</v>
      </c>
      <c r="AG462" s="286">
        <f>IF(AG$2&gt;=$B460,Параметры!AG$33,0)</f>
        <v>1</v>
      </c>
      <c r="AH462" s="286">
        <f>IF(AH$2&gt;=$B460,Параметры!AH$33,0)</f>
        <v>1</v>
      </c>
      <c r="AI462" s="286">
        <f>IF(AI$2&gt;=$B460,Параметры!AI$33,0)</f>
        <v>1</v>
      </c>
      <c r="AJ462" s="286">
        <f>IF(AJ$2&gt;=$B460,Параметры!AJ$33,0)</f>
        <v>1</v>
      </c>
      <c r="AK462" s="286">
        <f>IF(AK$2&gt;=$B460,Параметры!AK$33,0)</f>
        <v>1</v>
      </c>
      <c r="AL462" s="286">
        <f>IF(AL$2&gt;=$B460,Параметры!AL$33,0)</f>
        <v>1</v>
      </c>
      <c r="AM462" s="286">
        <f>IF(AM$2&gt;=$B460,Параметры!AM$33,0)</f>
        <v>1</v>
      </c>
      <c r="AN462" s="286">
        <f>IF(AN$2&gt;=$B460,Параметры!AN$33,0)</f>
        <v>1</v>
      </c>
      <c r="AO462" s="286">
        <f>IF(AO$2&gt;=$B460,Параметры!AO$33,0)</f>
        <v>1</v>
      </c>
      <c r="AP462" s="286">
        <f>IF(AP$2&gt;=$B460,Параметры!AP$33,0)</f>
        <v>1</v>
      </c>
      <c r="AQ462" s="286">
        <f>IF(AQ$2&gt;=$B460,Параметры!AQ$33,0)</f>
        <v>1</v>
      </c>
      <c r="AR462" s="286">
        <f>IF(AR$2&gt;=$B460,Параметры!AR$33,0)</f>
        <v>1</v>
      </c>
      <c r="AS462" s="286">
        <f>IF(AS$2&gt;=$B460,Параметры!AS$33,0)</f>
        <v>1</v>
      </c>
      <c r="AT462" s="286">
        <f>IF(AT$2&gt;=$B460,Параметры!AT$33,0)</f>
        <v>1</v>
      </c>
      <c r="AU462" s="286">
        <f>IF(AU$2&gt;=$B460,Параметры!AU$33,0)</f>
        <v>1</v>
      </c>
      <c r="AV462" s="286">
        <f>IF(AV$2&gt;=$B460,Параметры!AV$33,0)</f>
        <v>1</v>
      </c>
      <c r="AW462" s="286">
        <f>IF(AW$2&gt;=$B460,Параметры!AW$33,0)</f>
        <v>1</v>
      </c>
      <c r="AX462" s="286">
        <f>IF(AX$2&gt;=$B460,Параметры!AX$33,0)</f>
        <v>1</v>
      </c>
      <c r="AY462" s="286">
        <f>IF(AY$2&gt;=$B460,Параметры!AY$33,0)</f>
        <v>1</v>
      </c>
      <c r="AZ462" s="286">
        <f>IF(AZ$2&gt;=$B460,Параметры!AZ$33,0)</f>
        <v>1</v>
      </c>
      <c r="BA462" s="286">
        <f>IF(BA$2&gt;=$B460,Параметры!BA$33,0)</f>
        <v>1</v>
      </c>
      <c r="BB462" s="286">
        <f>IF(BB$2&gt;=$B460,Параметры!BB$33,0)</f>
        <v>1</v>
      </c>
      <c r="BC462" s="177"/>
    </row>
    <row r="463" spans="1:56" collapsed="1" x14ac:dyDescent="0.3">
      <c r="A463" s="175" t="str">
        <f ca="1">Language!A$752</f>
        <v>затраты с учетом инфляции, без НДС</v>
      </c>
      <c r="B463" s="199"/>
      <c r="C463" s="176" t="str">
        <f t="shared" ref="C463" ca="1" si="2083">CHOOSE(D463,CurName1,CurName2,CurName3)</f>
        <v>руб.</v>
      </c>
      <c r="D463" s="174">
        <f>D459</f>
        <v>1</v>
      </c>
      <c r="E463" s="170" t="s">
        <v>751</v>
      </c>
      <c r="F463" s="170" t="s">
        <v>740</v>
      </c>
      <c r="G463" s="177">
        <f ca="1">G461*G462*IF($B467=1,PRODUCT($G467:G467),PRODUCT($G466:G466))</f>
        <v>0</v>
      </c>
      <c r="H463" s="177">
        <f ca="1">H461*H462*IF($B467=1,PRODUCT($G467:H467),PRODUCT($G466:H466))</f>
        <v>0</v>
      </c>
      <c r="I463" s="177">
        <f ca="1">I461*I462*IF($B467=1,PRODUCT($G467:I467),PRODUCT($G466:I466))</f>
        <v>0</v>
      </c>
      <c r="J463" s="177">
        <f ca="1">J461*J462*IF($B467=1,PRODUCT($G467:J467),PRODUCT($G466:J466))</f>
        <v>0</v>
      </c>
      <c r="K463" s="177">
        <f ca="1">K461*K462*IF($B467=1,PRODUCT($G467:K467),PRODUCT($G466:K466))</f>
        <v>0</v>
      </c>
      <c r="L463" s="177">
        <f ca="1">L461*L462*IF($B467=1,PRODUCT($G467:L467),PRODUCT($G466:L466))</f>
        <v>0</v>
      </c>
      <c r="M463" s="177">
        <f ca="1">M461*M462*IF($B467=1,PRODUCT($G467:M467),PRODUCT($G466:M466))</f>
        <v>10295.630140986999</v>
      </c>
      <c r="N463" s="177">
        <f ca="1">N461*N462*IF($B467=1,PRODUCT($G467:N467),PRODUCT($G466:N466))</f>
        <v>10345.744641300325</v>
      </c>
      <c r="O463" s="177">
        <f ca="1">O461*O462*IF($B467=1,PRODUCT($G467:O467),PRODUCT($G466:O466))</f>
        <v>10396.103076477981</v>
      </c>
      <c r="P463" s="177">
        <f ca="1">P461*P462*IF($B467=1,PRODUCT($G467:P467),PRODUCT($G466:P466))</f>
        <v>10446.706633885256</v>
      </c>
      <c r="Q463" s="177">
        <f ca="1">Q461*Q462*IF($B467=1,PRODUCT($G467:Q467),PRODUCT($G466:Q466))</f>
        <v>10497.556506666999</v>
      </c>
      <c r="R463" s="177">
        <f ca="1">R461*R462*IF($B467=1,PRODUCT($G467:R467),PRODUCT($G466:R466))</f>
        <v>10548.653893775745</v>
      </c>
      <c r="S463" s="177">
        <f ca="1">S461*S462*IF($B467=1,PRODUCT($G467:S467),PRODUCT($G466:S466))</f>
        <v>10600.000000000004</v>
      </c>
      <c r="T463" s="177">
        <f ca="1">T461*T462*IF($B467=1,PRODUCT($G467:T467),PRODUCT($G466:T466))</f>
        <v>10651.596035992639</v>
      </c>
      <c r="U463" s="177">
        <f ca="1">U461*U462*IF($B467=1,PRODUCT($G467:U467),PRODUCT($G466:U466))</f>
        <v>10703.443218299441</v>
      </c>
      <c r="V463" s="177">
        <f ca="1">V461*V462*IF($B467=1,PRODUCT($G467:V467),PRODUCT($G466:V466))</f>
        <v>10755.542769387792</v>
      </c>
      <c r="W463" s="177">
        <f ca="1">W461*W462*IF($B467=1,PRODUCT($G467:W467),PRODUCT($G466:W466))</f>
        <v>10807.895917675496</v>
      </c>
      <c r="X463" s="177">
        <f ca="1">X461*X462*IF($B467=1,PRODUCT($G467:X467),PRODUCT($G466:X466))</f>
        <v>10860.503897559745</v>
      </c>
      <c r="Y463" s="177">
        <f ca="1">Y461*Y462*IF($B467=1,PRODUCT($G467:Y467),PRODUCT($G466:Y466))</f>
        <v>10913.367949446221</v>
      </c>
      <c r="Z463" s="177">
        <f ca="1">Z461*Z462*IF($B467=1,PRODUCT($G467:Z467),PRODUCT($G466:Z466))</f>
        <v>10966.489319778346</v>
      </c>
      <c r="AA463" s="177">
        <f ca="1">AA461*AA462*IF($B467=1,PRODUCT($G467:AA467),PRODUCT($G466:AA466))</f>
        <v>11019.869261066662</v>
      </c>
      <c r="AB463" s="177">
        <f ca="1">AB461*AB462*IF($B467=1,PRODUCT($G467:AB467),PRODUCT($G466:AB466))</f>
        <v>11073.509031918375</v>
      </c>
      <c r="AC463" s="177">
        <f ca="1">AC461*AC462*IF($B467=1,PRODUCT($G467:AC467),PRODUCT($G466:AC466))</f>
        <v>11127.40989706702</v>
      </c>
      <c r="AD463" s="177">
        <f ca="1">AD461*AD462*IF($B467=1,PRODUCT($G467:AD467),PRODUCT($G466:AD466))</f>
        <v>11181.573127402293</v>
      </c>
      <c r="AE463" s="177">
        <f ca="1">AE461*AE462*IF($B467=1,PRODUCT($G467:AE467),PRODUCT($G466:AE466))</f>
        <v>11236.000000000005</v>
      </c>
      <c r="AF463" s="177">
        <f ca="1">AF461*AF462*IF($B467=1,PRODUCT($G467:AF467),PRODUCT($G466:AF466))</f>
        <v>11290.691798152202</v>
      </c>
      <c r="AG463" s="177">
        <f ca="1">AG461*AG462*IF($B467=1,PRODUCT($G467:AG467),PRODUCT($G466:AG466))</f>
        <v>11345.649811397412</v>
      </c>
      <c r="AH463" s="177">
        <f ca="1">AH461*AH462*IF($B467=1,PRODUCT($G467:AH467),PRODUCT($G466:AH466))</f>
        <v>11400.875335551063</v>
      </c>
      <c r="AI463" s="177">
        <f ca="1">AI461*AI462*IF($B467=1,PRODUCT($G467:AI467),PRODUCT($G466:AI466))</f>
        <v>11456.369672736031</v>
      </c>
      <c r="AJ463" s="177">
        <f ca="1">AJ461*AJ462*IF($B467=1,PRODUCT($G467:AJ467),PRODUCT($G466:AJ466))</f>
        <v>11512.134131413337</v>
      </c>
      <c r="AK463" s="177">
        <f ca="1">AK461*AK462*IF($B467=1,PRODUCT($G467:AK467),PRODUCT($G466:AK466))</f>
        <v>11568.170026413003</v>
      </c>
      <c r="AL463" s="177">
        <f ca="1">AL461*AL462*IF($B467=1,PRODUCT($G467:AL467),PRODUCT($G466:AL466))</f>
        <v>11624.478678965053</v>
      </c>
      <c r="AM463" s="177">
        <f ca="1">AM461*AM462*IF($B467=1,PRODUCT($G467:AM467),PRODUCT($G466:AM466))</f>
        <v>11681.061416730667</v>
      </c>
      <c r="AN463" s="177">
        <f ca="1">AN461*AN462*IF($B467=1,PRODUCT($G467:AN467),PRODUCT($G466:AN466))</f>
        <v>11737.919573833482</v>
      </c>
      <c r="AO463" s="177">
        <f ca="1">AO461*AO462*IF($B467=1,PRODUCT($G467:AO467),PRODUCT($G466:AO466))</f>
        <v>11795.054490891045</v>
      </c>
      <c r="AP463" s="177">
        <f ca="1">AP461*AP462*IF($B467=1,PRODUCT($G467:AP467),PRODUCT($G466:AP466))</f>
        <v>11852.467515046434</v>
      </c>
      <c r="AQ463" s="177">
        <f ca="1">AQ461*AQ462*IF($B467=1,PRODUCT($G467:AQ467),PRODUCT($G466:AQ466))</f>
        <v>11910.160000000009</v>
      </c>
      <c r="AR463" s="177">
        <f ca="1">AR461*AR462*IF($B467=1,PRODUCT($G467:AR467),PRODUCT($G466:AR466))</f>
        <v>11968.133306041334</v>
      </c>
      <c r="AS463" s="177">
        <f ca="1">AS461*AS462*IF($B467=1,PRODUCT($G467:AS467),PRODUCT($G466:AS466))</f>
        <v>12026.388800081259</v>
      </c>
      <c r="AT463" s="177">
        <f ca="1">AT461*AT462*IF($B467=1,PRODUCT($G467:AT467),PRODUCT($G466:AT466))</f>
        <v>12084.927855684129</v>
      </c>
      <c r="AU463" s="177">
        <f ca="1">AU461*AU462*IF($B467=1,PRODUCT($G467:AU467),PRODUCT($G466:AU466))</f>
        <v>12143.751853100193</v>
      </c>
      <c r="AV463" s="177">
        <f ca="1">AV461*AV462*IF($B467=1,PRODUCT($G467:AV467),PRODUCT($G466:AV466))</f>
        <v>12202.862179298138</v>
      </c>
      <c r="AW463" s="177">
        <f ca="1">AW461*AW462*IF($B467=1,PRODUCT($G467:AW467),PRODUCT($G466:AW466))</f>
        <v>12262.260227997784</v>
      </c>
      <c r="AX463" s="177">
        <f ca="1">AX461*AX462*IF($B467=1,PRODUCT($G467:AX467),PRODUCT($G466:AX466))</f>
        <v>12321.947399702956</v>
      </c>
      <c r="AY463" s="177">
        <f ca="1">AY461*AY462*IF($B467=1,PRODUCT($G467:AY467),PRODUCT($G466:AY466))</f>
        <v>12381.925101734509</v>
      </c>
      <c r="AZ463" s="177">
        <f ca="1">AZ461*AZ462*IF($B467=1,PRODUCT($G467:AZ467),PRODUCT($G466:AZ466))</f>
        <v>12442.194748263491</v>
      </c>
      <c r="BA463" s="177">
        <f ca="1">BA461*BA462*IF($B467=1,PRODUCT($G467:BA467),PRODUCT($G466:BA466))</f>
        <v>12502.75776034451</v>
      </c>
      <c r="BB463" s="177">
        <f ca="1">BB461*BB462*IF($B467=1,PRODUCT($G467:BB467),PRODUCT($G466:BB466))</f>
        <v>12563.615565949221</v>
      </c>
      <c r="BC463" s="177"/>
      <c r="BD463" s="178">
        <f ca="1">SUM(G463:BC463)</f>
        <v>478503.39256801468</v>
      </c>
    </row>
    <row r="464" spans="1:56" hidden="1" outlineLevel="1" x14ac:dyDescent="0.3">
      <c r="A464" s="184" t="str">
        <f ca="1">Language!A$749</f>
        <v>темп изменения цен</v>
      </c>
      <c r="B464" s="189"/>
      <c r="C464" s="163" t="str">
        <f ca="1">Language!$A$480</f>
        <v>% в год</v>
      </c>
      <c r="D464" s="174"/>
      <c r="F464" s="170" t="s">
        <v>2346</v>
      </c>
      <c r="G464" s="290">
        <f>CHOOSE($D461,Параметры!G$49,Параметры!G$56,Параметры!G$62)</f>
        <v>0.06</v>
      </c>
      <c r="H464" s="290">
        <f>CHOOSE($D461,Параметры!H$49,Параметры!H$56,Параметры!H$62)</f>
        <v>0.06</v>
      </c>
      <c r="I464" s="290">
        <f>CHOOSE($D461,Параметры!I$49,Параметры!I$56,Параметры!I$62)</f>
        <v>0.06</v>
      </c>
      <c r="J464" s="290">
        <f>CHOOSE($D461,Параметры!J$49,Параметры!J$56,Параметры!J$62)</f>
        <v>0.06</v>
      </c>
      <c r="K464" s="290">
        <f>CHOOSE($D461,Параметры!K$49,Параметры!K$56,Параметры!K$62)</f>
        <v>0.06</v>
      </c>
      <c r="L464" s="290">
        <f>CHOOSE($D461,Параметры!L$49,Параметры!L$56,Параметры!L$62)</f>
        <v>0.06</v>
      </c>
      <c r="M464" s="290">
        <f>CHOOSE($D461,Параметры!M$49,Параметры!M$56,Параметры!M$62)</f>
        <v>0.06</v>
      </c>
      <c r="N464" s="290">
        <f>CHOOSE($D461,Параметры!N$49,Параметры!N$56,Параметры!N$62)</f>
        <v>0.06</v>
      </c>
      <c r="O464" s="290">
        <f>CHOOSE($D461,Параметры!O$49,Параметры!O$56,Параметры!O$62)</f>
        <v>0.06</v>
      </c>
      <c r="P464" s="290">
        <f>CHOOSE($D461,Параметры!P$49,Параметры!P$56,Параметры!P$62)</f>
        <v>0.06</v>
      </c>
      <c r="Q464" s="290">
        <f>CHOOSE($D461,Параметры!Q$49,Параметры!Q$56,Параметры!Q$62)</f>
        <v>0.06</v>
      </c>
      <c r="R464" s="290">
        <f>CHOOSE($D461,Параметры!R$49,Параметры!R$56,Параметры!R$62)</f>
        <v>0.06</v>
      </c>
      <c r="S464" s="290">
        <f>CHOOSE($D461,Параметры!S$49,Параметры!S$56,Параметры!S$62)</f>
        <v>0.06</v>
      </c>
      <c r="T464" s="290">
        <f>CHOOSE($D461,Параметры!T$49,Параметры!T$56,Параметры!T$62)</f>
        <v>0.06</v>
      </c>
      <c r="U464" s="290">
        <f>CHOOSE($D461,Параметры!U$49,Параметры!U$56,Параметры!U$62)</f>
        <v>0.06</v>
      </c>
      <c r="V464" s="290">
        <f>CHOOSE($D461,Параметры!V$49,Параметры!V$56,Параметры!V$62)</f>
        <v>0.06</v>
      </c>
      <c r="W464" s="290">
        <f>CHOOSE($D461,Параметры!W$49,Параметры!W$56,Параметры!W$62)</f>
        <v>0.06</v>
      </c>
      <c r="X464" s="290">
        <f>CHOOSE($D461,Параметры!X$49,Параметры!X$56,Параметры!X$62)</f>
        <v>0.06</v>
      </c>
      <c r="Y464" s="290">
        <f>CHOOSE($D461,Параметры!Y$49,Параметры!Y$56,Параметры!Y$62)</f>
        <v>0.06</v>
      </c>
      <c r="Z464" s="290">
        <f>CHOOSE($D461,Параметры!Z$49,Параметры!Z$56,Параметры!Z$62)</f>
        <v>0.06</v>
      </c>
      <c r="AA464" s="290">
        <f>CHOOSE($D461,Параметры!AA$49,Параметры!AA$56,Параметры!AA$62)</f>
        <v>0.06</v>
      </c>
      <c r="AB464" s="290">
        <f>CHOOSE($D461,Параметры!AB$49,Параметры!AB$56,Параметры!AB$62)</f>
        <v>0.06</v>
      </c>
      <c r="AC464" s="290">
        <f>CHOOSE($D461,Параметры!AC$49,Параметры!AC$56,Параметры!AC$62)</f>
        <v>0.06</v>
      </c>
      <c r="AD464" s="290">
        <f>CHOOSE($D461,Параметры!AD$49,Параметры!AD$56,Параметры!AD$62)</f>
        <v>0.06</v>
      </c>
      <c r="AE464" s="290">
        <f>CHOOSE($D461,Параметры!AE$49,Параметры!AE$56,Параметры!AE$62)</f>
        <v>0.06</v>
      </c>
      <c r="AF464" s="290">
        <f>CHOOSE($D461,Параметры!AF$49,Параметры!AF$56,Параметры!AF$62)</f>
        <v>0.06</v>
      </c>
      <c r="AG464" s="290">
        <f>CHOOSE($D461,Параметры!AG$49,Параметры!AG$56,Параметры!AG$62)</f>
        <v>0.06</v>
      </c>
      <c r="AH464" s="290">
        <f>CHOOSE($D461,Параметры!AH$49,Параметры!AH$56,Параметры!AH$62)</f>
        <v>0.06</v>
      </c>
      <c r="AI464" s="290">
        <f>CHOOSE($D461,Параметры!AI$49,Параметры!AI$56,Параметры!AI$62)</f>
        <v>0.06</v>
      </c>
      <c r="AJ464" s="290">
        <f>CHOOSE($D461,Параметры!AJ$49,Параметры!AJ$56,Параметры!AJ$62)</f>
        <v>0.06</v>
      </c>
      <c r="AK464" s="290">
        <f>CHOOSE($D461,Параметры!AK$49,Параметры!AK$56,Параметры!AK$62)</f>
        <v>0.06</v>
      </c>
      <c r="AL464" s="290">
        <f>CHOOSE($D461,Параметры!AL$49,Параметры!AL$56,Параметры!AL$62)</f>
        <v>0.06</v>
      </c>
      <c r="AM464" s="290">
        <f>CHOOSE($D461,Параметры!AM$49,Параметры!AM$56,Параметры!AM$62)</f>
        <v>0.06</v>
      </c>
      <c r="AN464" s="290">
        <f>CHOOSE($D461,Параметры!AN$49,Параметры!AN$56,Параметры!AN$62)</f>
        <v>0.06</v>
      </c>
      <c r="AO464" s="290">
        <f>CHOOSE($D461,Параметры!AO$49,Параметры!AO$56,Параметры!AO$62)</f>
        <v>0.06</v>
      </c>
      <c r="AP464" s="290">
        <f>CHOOSE($D461,Параметры!AP$49,Параметры!AP$56,Параметры!AP$62)</f>
        <v>0.06</v>
      </c>
      <c r="AQ464" s="290">
        <f>CHOOSE($D461,Параметры!AQ$49,Параметры!AQ$56,Параметры!AQ$62)</f>
        <v>0.06</v>
      </c>
      <c r="AR464" s="290">
        <f>CHOOSE($D461,Параметры!AR$49,Параметры!AR$56,Параметры!AR$62)</f>
        <v>0.06</v>
      </c>
      <c r="AS464" s="290">
        <f>CHOOSE($D461,Параметры!AS$49,Параметры!AS$56,Параметры!AS$62)</f>
        <v>0.06</v>
      </c>
      <c r="AT464" s="290">
        <f>CHOOSE($D461,Параметры!AT$49,Параметры!AT$56,Параметры!AT$62)</f>
        <v>0.06</v>
      </c>
      <c r="AU464" s="290">
        <f>CHOOSE($D461,Параметры!AU$49,Параметры!AU$56,Параметры!AU$62)</f>
        <v>0.06</v>
      </c>
      <c r="AV464" s="290">
        <f>CHOOSE($D461,Параметры!AV$49,Параметры!AV$56,Параметры!AV$62)</f>
        <v>0.06</v>
      </c>
      <c r="AW464" s="290">
        <f>CHOOSE($D461,Параметры!AW$49,Параметры!AW$56,Параметры!AW$62)</f>
        <v>0.06</v>
      </c>
      <c r="AX464" s="290">
        <f>CHOOSE($D461,Параметры!AX$49,Параметры!AX$56,Параметры!AX$62)</f>
        <v>0.06</v>
      </c>
      <c r="AY464" s="290">
        <f>CHOOSE($D461,Параметры!AY$49,Параметры!AY$56,Параметры!AY$62)</f>
        <v>0.06</v>
      </c>
      <c r="AZ464" s="290">
        <f>CHOOSE($D461,Параметры!AZ$49,Параметры!AZ$56,Параметры!AZ$62)</f>
        <v>0.06</v>
      </c>
      <c r="BA464" s="290">
        <f>CHOOSE($D461,Параметры!BA$49,Параметры!BA$56,Параметры!BA$62)</f>
        <v>0.06</v>
      </c>
      <c r="BB464" s="290">
        <f>CHOOSE($D461,Параметры!BB$49,Параметры!BB$56,Параметры!BB$62)</f>
        <v>0.06</v>
      </c>
      <c r="BC464" s="190"/>
      <c r="BD464" s="186"/>
    </row>
    <row r="465" spans="1:56" hidden="1" outlineLevel="1" x14ac:dyDescent="0.3">
      <c r="A465" s="184" t="str">
        <f ca="1">Language!A$750</f>
        <v>ставка НДС</v>
      </c>
      <c r="B465" s="189"/>
      <c r="C465" s="163" t="s">
        <v>1</v>
      </c>
      <c r="D465" s="174"/>
      <c r="F465" s="170" t="s">
        <v>2346</v>
      </c>
      <c r="G465" s="290">
        <f>IF(G$2=1,Параметры!G$72,IF(F465=Параметры!F$72,Параметры!F$72,F465))</f>
        <v>0</v>
      </c>
      <c r="H465" s="290">
        <f>IF(H$2=1,Параметры!H$72,IF(G465=Параметры!G$72,Параметры!G$72,G465))</f>
        <v>0</v>
      </c>
      <c r="I465" s="290">
        <f>IF(I$2=1,Параметры!I$72,IF(H465=Параметры!H$72,Параметры!H$72,H465))</f>
        <v>0</v>
      </c>
      <c r="J465" s="290">
        <f>IF(J$2=1,Параметры!J$72,IF(I465=Параметры!I$72,Параметры!I$72,I465))</f>
        <v>0</v>
      </c>
      <c r="K465" s="290">
        <f>IF(K$2=1,Параметры!K$72,IF(J465=Параметры!J$72,Параметры!J$72,J465))</f>
        <v>0</v>
      </c>
      <c r="L465" s="290">
        <f>IF(L$2=1,Параметры!L$72,IF(K465=Параметры!K$72,Параметры!K$72,K465))</f>
        <v>0</v>
      </c>
      <c r="M465" s="290">
        <f>IF(M$2=1,Параметры!M$72,IF(L465=Параметры!L$72,Параметры!L$72,L465))</f>
        <v>0</v>
      </c>
      <c r="N465" s="290">
        <f>IF(N$2=1,Параметры!N$72,IF(M465=Параметры!M$72,Параметры!M$72,M465))</f>
        <v>0</v>
      </c>
      <c r="O465" s="290">
        <f>IF(O$2=1,Параметры!O$72,IF(N465=Параметры!N$72,Параметры!N$72,N465))</f>
        <v>0</v>
      </c>
      <c r="P465" s="290">
        <f>IF(P$2=1,Параметры!P$72,IF(O465=Параметры!O$72,Параметры!O$72,O465))</f>
        <v>0</v>
      </c>
      <c r="Q465" s="290">
        <f>IF(Q$2=1,Параметры!Q$72,IF(P465=Параметры!P$72,Параметры!P$72,P465))</f>
        <v>0</v>
      </c>
      <c r="R465" s="290">
        <f>IF(R$2=1,Параметры!R$72,IF(Q465=Параметры!Q$72,Параметры!Q$72,Q465))</f>
        <v>0</v>
      </c>
      <c r="S465" s="290">
        <f>IF(S$2=1,Параметры!S$72,IF(R465=Параметры!R$72,Параметры!R$72,R465))</f>
        <v>0</v>
      </c>
      <c r="T465" s="290">
        <f>IF(T$2=1,Параметры!T$72,IF(S465=Параметры!S$72,Параметры!S$72,S465))</f>
        <v>0</v>
      </c>
      <c r="U465" s="290">
        <f>IF(U$2=1,Параметры!U$72,IF(T465=Параметры!T$72,Параметры!T$72,T465))</f>
        <v>0</v>
      </c>
      <c r="V465" s="290">
        <f>IF(V$2=1,Параметры!V$72,IF(U465=Параметры!U$72,Параметры!U$72,U465))</f>
        <v>0</v>
      </c>
      <c r="W465" s="290">
        <f>IF(W$2=1,Параметры!W$72,IF(V465=Параметры!V$72,Параметры!V$72,V465))</f>
        <v>0</v>
      </c>
      <c r="X465" s="290">
        <f>IF(X$2=1,Параметры!X$72,IF(W465=Параметры!W$72,Параметры!W$72,W465))</f>
        <v>0</v>
      </c>
      <c r="Y465" s="290">
        <f>IF(Y$2=1,Параметры!Y$72,IF(X465=Параметры!X$72,Параметры!X$72,X465))</f>
        <v>0</v>
      </c>
      <c r="Z465" s="290">
        <f>IF(Z$2=1,Параметры!Z$72,IF(Y465=Параметры!Y$72,Параметры!Y$72,Y465))</f>
        <v>0</v>
      </c>
      <c r="AA465" s="290">
        <f>IF(AA$2=1,Параметры!AA$72,IF(Z465=Параметры!Z$72,Параметры!Z$72,Z465))</f>
        <v>0</v>
      </c>
      <c r="AB465" s="290">
        <f>IF(AB$2=1,Параметры!AB$72,IF(AA465=Параметры!AA$72,Параметры!AA$72,AA465))</f>
        <v>0</v>
      </c>
      <c r="AC465" s="290">
        <f>IF(AC$2=1,Параметры!AC$72,IF(AB465=Параметры!AB$72,Параметры!AB$72,AB465))</f>
        <v>0</v>
      </c>
      <c r="AD465" s="290">
        <f>IF(AD$2=1,Параметры!AD$72,IF(AC465=Параметры!AC$72,Параметры!AC$72,AC465))</f>
        <v>0</v>
      </c>
      <c r="AE465" s="290">
        <f>IF(AE$2=1,Параметры!AE$72,IF(AD465=Параметры!AD$72,Параметры!AD$72,AD465))</f>
        <v>0</v>
      </c>
      <c r="AF465" s="290">
        <f>IF(AF$2=1,Параметры!AF$72,IF(AE465=Параметры!AE$72,Параметры!AE$72,AE465))</f>
        <v>0</v>
      </c>
      <c r="AG465" s="290">
        <f>IF(AG$2=1,Параметры!AG$72,IF(AF465=Параметры!AF$72,Параметры!AF$72,AF465))</f>
        <v>0</v>
      </c>
      <c r="AH465" s="290">
        <f>IF(AH$2=1,Параметры!AH$72,IF(AG465=Параметры!AG$72,Параметры!AG$72,AG465))</f>
        <v>0</v>
      </c>
      <c r="AI465" s="290">
        <f>IF(AI$2=1,Параметры!AI$72,IF(AH465=Параметры!AH$72,Параметры!AH$72,AH465))</f>
        <v>0</v>
      </c>
      <c r="AJ465" s="290">
        <f>IF(AJ$2=1,Параметры!AJ$72,IF(AI465=Параметры!AI$72,Параметры!AI$72,AI465))</f>
        <v>0</v>
      </c>
      <c r="AK465" s="290">
        <f>IF(AK$2=1,Параметры!AK$72,IF(AJ465=Параметры!AJ$72,Параметры!AJ$72,AJ465))</f>
        <v>0</v>
      </c>
      <c r="AL465" s="290">
        <f>IF(AL$2=1,Параметры!AL$72,IF(AK465=Параметры!AK$72,Параметры!AK$72,AK465))</f>
        <v>0</v>
      </c>
      <c r="AM465" s="290">
        <f>IF(AM$2=1,Параметры!AM$72,IF(AL465=Параметры!AL$72,Параметры!AL$72,AL465))</f>
        <v>0</v>
      </c>
      <c r="AN465" s="290">
        <f>IF(AN$2=1,Параметры!AN$72,IF(AM465=Параметры!AM$72,Параметры!AM$72,AM465))</f>
        <v>0</v>
      </c>
      <c r="AO465" s="290">
        <f>IF(AO$2=1,Параметры!AO$72,IF(AN465=Параметры!AN$72,Параметры!AN$72,AN465))</f>
        <v>0</v>
      </c>
      <c r="AP465" s="290">
        <f>IF(AP$2=1,Параметры!AP$72,IF(AO465=Параметры!AO$72,Параметры!AO$72,AO465))</f>
        <v>0</v>
      </c>
      <c r="AQ465" s="290">
        <f>IF(AQ$2=1,Параметры!AQ$72,IF(AP465=Параметры!AP$72,Параметры!AP$72,AP465))</f>
        <v>0</v>
      </c>
      <c r="AR465" s="290">
        <f>IF(AR$2=1,Параметры!AR$72,IF(AQ465=Параметры!AQ$72,Параметры!AQ$72,AQ465))</f>
        <v>0</v>
      </c>
      <c r="AS465" s="290">
        <f>IF(AS$2=1,Параметры!AS$72,IF(AR465=Параметры!AR$72,Параметры!AR$72,AR465))</f>
        <v>0</v>
      </c>
      <c r="AT465" s="290">
        <f>IF(AT$2=1,Параметры!AT$72,IF(AS465=Параметры!AS$72,Параметры!AS$72,AS465))</f>
        <v>0</v>
      </c>
      <c r="AU465" s="290">
        <f>IF(AU$2=1,Параметры!AU$72,IF(AT465=Параметры!AT$72,Параметры!AT$72,AT465))</f>
        <v>0</v>
      </c>
      <c r="AV465" s="290">
        <f>IF(AV$2=1,Параметры!AV$72,IF(AU465=Параметры!AU$72,Параметры!AU$72,AU465))</f>
        <v>0</v>
      </c>
      <c r="AW465" s="290">
        <f>IF(AW$2=1,Параметры!AW$72,IF(AV465=Параметры!AV$72,Параметры!AV$72,AV465))</f>
        <v>0</v>
      </c>
      <c r="AX465" s="290">
        <f>IF(AX$2=1,Параметры!AX$72,IF(AW465=Параметры!AW$72,Параметры!AW$72,AW465))</f>
        <v>0</v>
      </c>
      <c r="AY465" s="290">
        <f>IF(AY$2=1,Параметры!AY$72,IF(AX465=Параметры!AX$72,Параметры!AX$72,AX465))</f>
        <v>0</v>
      </c>
      <c r="AZ465" s="290">
        <f>IF(AZ$2=1,Параметры!AZ$72,IF(AY465=Параметры!AY$72,Параметры!AY$72,AY465))</f>
        <v>0</v>
      </c>
      <c r="BA465" s="290">
        <f>IF(BA$2=1,Параметры!BA$72,IF(AZ465=Параметры!AZ$72,Параметры!AZ$72,AZ465))</f>
        <v>0</v>
      </c>
      <c r="BB465" s="290">
        <f>IF(BB$2=1,Параметры!BB$72,IF(BA465=Параметры!BA$72,Параметры!BA$72,BA465))</f>
        <v>0</v>
      </c>
      <c r="BC465" s="190"/>
      <c r="BD465" s="186"/>
    </row>
    <row r="466" spans="1:56" hidden="1" outlineLevel="1" x14ac:dyDescent="0.3">
      <c r="A466" s="184" t="str">
        <f ca="1">Language!A$675</f>
        <v>коэффициент прироста цен к предыдущему периоду</v>
      </c>
      <c r="B466" s="189"/>
      <c r="C466" s="163" t="str">
        <f ca="1">Language!$A$1477</f>
        <v>раз</v>
      </c>
      <c r="D466" s="174"/>
      <c r="F466" s="170" t="s">
        <v>745</v>
      </c>
      <c r="G466" s="191">
        <f ca="1">IF(G$2=1,1,IF(Prj_Inflation=1, (1+OFFSET(G464,0,-1))^(Параметры!G$30/360), 1))</f>
        <v>1</v>
      </c>
      <c r="H466" s="191">
        <f ca="1">IF(H$2=1,1,IF(Prj_Inflation=1, (1+OFFSET(H464,0,-1))^(Параметры!H$30/360), 1))</f>
        <v>1.004867550565343</v>
      </c>
      <c r="I466" s="191">
        <f ca="1">IF(I$2=1,1,IF(Prj_Inflation=1, (1+OFFSET(I464,0,-1))^(Параметры!I$30/360), 1))</f>
        <v>1.004867550565343</v>
      </c>
      <c r="J466" s="191">
        <f ca="1">IF(J$2=1,1,IF(Prj_Inflation=1, (1+OFFSET(J464,0,-1))^(Параметры!J$30/360), 1))</f>
        <v>1.004867550565343</v>
      </c>
      <c r="K466" s="191">
        <f ca="1">IF(K$2=1,1,IF(Prj_Inflation=1, (1+OFFSET(K464,0,-1))^(Параметры!K$30/360), 1))</f>
        <v>1.004867550565343</v>
      </c>
      <c r="L466" s="191">
        <f ca="1">IF(L$2=1,1,IF(Prj_Inflation=1, (1+OFFSET(L464,0,-1))^(Параметры!L$30/360), 1))</f>
        <v>1.004867550565343</v>
      </c>
      <c r="M466" s="191">
        <f ca="1">IF(M$2=1,1,IF(Prj_Inflation=1, (1+OFFSET(M464,0,-1))^(Параметры!M$30/360), 1))</f>
        <v>1.004867550565343</v>
      </c>
      <c r="N466" s="191">
        <f ca="1">IF(N$2=1,1,IF(Prj_Inflation=1, (1+OFFSET(N464,0,-1))^(Параметры!N$30/360), 1))</f>
        <v>1.004867550565343</v>
      </c>
      <c r="O466" s="191">
        <f ca="1">IF(O$2=1,1,IF(Prj_Inflation=1, (1+OFFSET(O464,0,-1))^(Параметры!O$30/360), 1))</f>
        <v>1.004867550565343</v>
      </c>
      <c r="P466" s="191">
        <f ca="1">IF(P$2=1,1,IF(Prj_Inflation=1, (1+OFFSET(P464,0,-1))^(Параметры!P$30/360), 1))</f>
        <v>1.004867550565343</v>
      </c>
      <c r="Q466" s="191">
        <f ca="1">IF(Q$2=1,1,IF(Prj_Inflation=1, (1+OFFSET(Q464,0,-1))^(Параметры!Q$30/360), 1))</f>
        <v>1.004867550565343</v>
      </c>
      <c r="R466" s="191">
        <f ca="1">IF(R$2=1,1,IF(Prj_Inflation=1, (1+OFFSET(R464,0,-1))^(Параметры!R$30/360), 1))</f>
        <v>1.004867550565343</v>
      </c>
      <c r="S466" s="191">
        <f ca="1">IF(S$2=1,1,IF(Prj_Inflation=1, (1+OFFSET(S464,0,-1))^(Параметры!S$30/360), 1))</f>
        <v>1.004867550565343</v>
      </c>
      <c r="T466" s="191">
        <f ca="1">IF(T$2=1,1,IF(Prj_Inflation=1, (1+OFFSET(T464,0,-1))^(Параметры!T$30/360), 1))</f>
        <v>1.004867550565343</v>
      </c>
      <c r="U466" s="191">
        <f ca="1">IF(U$2=1,1,IF(Prj_Inflation=1, (1+OFFSET(U464,0,-1))^(Параметры!U$30/360), 1))</f>
        <v>1.004867550565343</v>
      </c>
      <c r="V466" s="191">
        <f ca="1">IF(V$2=1,1,IF(Prj_Inflation=1, (1+OFFSET(V464,0,-1))^(Параметры!V$30/360), 1))</f>
        <v>1.004867550565343</v>
      </c>
      <c r="W466" s="191">
        <f ca="1">IF(W$2=1,1,IF(Prj_Inflation=1, (1+OFFSET(W464,0,-1))^(Параметры!W$30/360), 1))</f>
        <v>1.004867550565343</v>
      </c>
      <c r="X466" s="191">
        <f ca="1">IF(X$2=1,1,IF(Prj_Inflation=1, (1+OFFSET(X464,0,-1))^(Параметры!X$30/360), 1))</f>
        <v>1.004867550565343</v>
      </c>
      <c r="Y466" s="191">
        <f ca="1">IF(Y$2=1,1,IF(Prj_Inflation=1, (1+OFFSET(Y464,0,-1))^(Параметры!Y$30/360), 1))</f>
        <v>1.004867550565343</v>
      </c>
      <c r="Z466" s="191">
        <f ca="1">IF(Z$2=1,1,IF(Prj_Inflation=1, (1+OFFSET(Z464,0,-1))^(Параметры!Z$30/360), 1))</f>
        <v>1.004867550565343</v>
      </c>
      <c r="AA466" s="191">
        <f ca="1">IF(AA$2=1,1,IF(Prj_Inflation=1, (1+OFFSET(AA464,0,-1))^(Параметры!AA$30/360), 1))</f>
        <v>1.004867550565343</v>
      </c>
      <c r="AB466" s="191">
        <f ca="1">IF(AB$2=1,1,IF(Prj_Inflation=1, (1+OFFSET(AB464,0,-1))^(Параметры!AB$30/360), 1))</f>
        <v>1.004867550565343</v>
      </c>
      <c r="AC466" s="191">
        <f ca="1">IF(AC$2=1,1,IF(Prj_Inflation=1, (1+OFFSET(AC464,0,-1))^(Параметры!AC$30/360), 1))</f>
        <v>1.004867550565343</v>
      </c>
      <c r="AD466" s="191">
        <f ca="1">IF(AD$2=1,1,IF(Prj_Inflation=1, (1+OFFSET(AD464,0,-1))^(Параметры!AD$30/360), 1))</f>
        <v>1.004867550565343</v>
      </c>
      <c r="AE466" s="191">
        <f ca="1">IF(AE$2=1,1,IF(Prj_Inflation=1, (1+OFFSET(AE464,0,-1))^(Параметры!AE$30/360), 1))</f>
        <v>1.004867550565343</v>
      </c>
      <c r="AF466" s="191">
        <f ca="1">IF(AF$2=1,1,IF(Prj_Inflation=1, (1+OFFSET(AF464,0,-1))^(Параметры!AF$30/360), 1))</f>
        <v>1.004867550565343</v>
      </c>
      <c r="AG466" s="191">
        <f ca="1">IF(AG$2=1,1,IF(Prj_Inflation=1, (1+OFFSET(AG464,0,-1))^(Параметры!AG$30/360), 1))</f>
        <v>1.004867550565343</v>
      </c>
      <c r="AH466" s="191">
        <f ca="1">IF(AH$2=1,1,IF(Prj_Inflation=1, (1+OFFSET(AH464,0,-1))^(Параметры!AH$30/360), 1))</f>
        <v>1.004867550565343</v>
      </c>
      <c r="AI466" s="191">
        <f ca="1">IF(AI$2=1,1,IF(Prj_Inflation=1, (1+OFFSET(AI464,0,-1))^(Параметры!AI$30/360), 1))</f>
        <v>1.004867550565343</v>
      </c>
      <c r="AJ466" s="191">
        <f ca="1">IF(AJ$2=1,1,IF(Prj_Inflation=1, (1+OFFSET(AJ464,0,-1))^(Параметры!AJ$30/360), 1))</f>
        <v>1.004867550565343</v>
      </c>
      <c r="AK466" s="191">
        <f ca="1">IF(AK$2=1,1,IF(Prj_Inflation=1, (1+OFFSET(AK464,0,-1))^(Параметры!AK$30/360), 1))</f>
        <v>1.004867550565343</v>
      </c>
      <c r="AL466" s="191">
        <f ca="1">IF(AL$2=1,1,IF(Prj_Inflation=1, (1+OFFSET(AL464,0,-1))^(Параметры!AL$30/360), 1))</f>
        <v>1.004867550565343</v>
      </c>
      <c r="AM466" s="191">
        <f ca="1">IF(AM$2=1,1,IF(Prj_Inflation=1, (1+OFFSET(AM464,0,-1))^(Параметры!AM$30/360), 1))</f>
        <v>1.004867550565343</v>
      </c>
      <c r="AN466" s="191">
        <f ca="1">IF(AN$2=1,1,IF(Prj_Inflation=1, (1+OFFSET(AN464,0,-1))^(Параметры!AN$30/360), 1))</f>
        <v>1.004867550565343</v>
      </c>
      <c r="AO466" s="191">
        <f ca="1">IF(AO$2=1,1,IF(Prj_Inflation=1, (1+OFFSET(AO464,0,-1))^(Параметры!AO$30/360), 1))</f>
        <v>1.004867550565343</v>
      </c>
      <c r="AP466" s="191">
        <f ca="1">IF(AP$2=1,1,IF(Prj_Inflation=1, (1+OFFSET(AP464,0,-1))^(Параметры!AP$30/360), 1))</f>
        <v>1.004867550565343</v>
      </c>
      <c r="AQ466" s="191">
        <f ca="1">IF(AQ$2=1,1,IF(Prj_Inflation=1, (1+OFFSET(AQ464,0,-1))^(Параметры!AQ$30/360), 1))</f>
        <v>1.004867550565343</v>
      </c>
      <c r="AR466" s="191">
        <f ca="1">IF(AR$2=1,1,IF(Prj_Inflation=1, (1+OFFSET(AR464,0,-1))^(Параметры!AR$30/360), 1))</f>
        <v>1.004867550565343</v>
      </c>
      <c r="AS466" s="191">
        <f ca="1">IF(AS$2=1,1,IF(Prj_Inflation=1, (1+OFFSET(AS464,0,-1))^(Параметры!AS$30/360), 1))</f>
        <v>1.004867550565343</v>
      </c>
      <c r="AT466" s="191">
        <f ca="1">IF(AT$2=1,1,IF(Prj_Inflation=1, (1+OFFSET(AT464,0,-1))^(Параметры!AT$30/360), 1))</f>
        <v>1.004867550565343</v>
      </c>
      <c r="AU466" s="191">
        <f ca="1">IF(AU$2=1,1,IF(Prj_Inflation=1, (1+OFFSET(AU464,0,-1))^(Параметры!AU$30/360), 1))</f>
        <v>1.004867550565343</v>
      </c>
      <c r="AV466" s="191">
        <f ca="1">IF(AV$2=1,1,IF(Prj_Inflation=1, (1+OFFSET(AV464,0,-1))^(Параметры!AV$30/360), 1))</f>
        <v>1.004867550565343</v>
      </c>
      <c r="AW466" s="191">
        <f ca="1">IF(AW$2=1,1,IF(Prj_Inflation=1, (1+OFFSET(AW464,0,-1))^(Параметры!AW$30/360), 1))</f>
        <v>1.004867550565343</v>
      </c>
      <c r="AX466" s="191">
        <f ca="1">IF(AX$2=1,1,IF(Prj_Inflation=1, (1+OFFSET(AX464,0,-1))^(Параметры!AX$30/360), 1))</f>
        <v>1.004867550565343</v>
      </c>
      <c r="AY466" s="191">
        <f ca="1">IF(AY$2=1,1,IF(Prj_Inflation=1, (1+OFFSET(AY464,0,-1))^(Параметры!AY$30/360), 1))</f>
        <v>1.004867550565343</v>
      </c>
      <c r="AZ466" s="191">
        <f ca="1">IF(AZ$2=1,1,IF(Prj_Inflation=1, (1+OFFSET(AZ464,0,-1))^(Параметры!AZ$30/360), 1))</f>
        <v>1.004867550565343</v>
      </c>
      <c r="BA466" s="191">
        <f ca="1">IF(BA$2=1,1,IF(Prj_Inflation=1, (1+OFFSET(BA464,0,-1))^(Параметры!BA$30/360), 1))</f>
        <v>1.004867550565343</v>
      </c>
      <c r="BB466" s="191">
        <f ca="1">IF(BB$2=1,1,IF(Prj_Inflation=1, (1+OFFSET(BB464,0,-1))^(Параметры!BB$30/360), 1))</f>
        <v>1.004867550565343</v>
      </c>
      <c r="BC466" s="191"/>
      <c r="BD466" s="186"/>
    </row>
    <row r="467" spans="1:56" hidden="1" outlineLevel="1" x14ac:dyDescent="0.3">
      <c r="A467" s="184" t="str">
        <f ca="1">Language!A$1486</f>
        <v>индексировать в начале года</v>
      </c>
      <c r="B467" s="291">
        <v>0</v>
      </c>
      <c r="C467" s="163" t="str">
        <f ca="1">IF(B467=1,Language!$A$1475,Language!$A$1476)</f>
        <v>Нет</v>
      </c>
      <c r="D467" s="174"/>
      <c r="F467" s="170" t="s">
        <v>3408</v>
      </c>
      <c r="G467" s="192" t="str">
        <f ca="1">IF(Prj_Inflation=1,IF($B467=1,IF(G$2=1,1,IF(Параметры!G$29=1,1+OFFSET(G464,0,-1),1)),"-"),1)</f>
        <v>-</v>
      </c>
      <c r="H467" s="192" t="str">
        <f ca="1">IF(Prj_Inflation=1,IF($B467=1,IF(H$2=1,1,IF(Параметры!H$29=1,1+OFFSET(H464,0,-1),1)),"-"),1)</f>
        <v>-</v>
      </c>
      <c r="I467" s="192" t="str">
        <f ca="1">IF(Prj_Inflation=1,IF($B467=1,IF(I$2=1,1,IF(Параметры!I$29=1,1+OFFSET(I464,0,-1),1)),"-"),1)</f>
        <v>-</v>
      </c>
      <c r="J467" s="192" t="str">
        <f ca="1">IF(Prj_Inflation=1,IF($B467=1,IF(J$2=1,1,IF(Параметры!J$29=1,1+OFFSET(J464,0,-1),1)),"-"),1)</f>
        <v>-</v>
      </c>
      <c r="K467" s="192" t="str">
        <f ca="1">IF(Prj_Inflation=1,IF($B467=1,IF(K$2=1,1,IF(Параметры!K$29=1,1+OFFSET(K464,0,-1),1)),"-"),1)</f>
        <v>-</v>
      </c>
      <c r="L467" s="192" t="str">
        <f ca="1">IF(Prj_Inflation=1,IF($B467=1,IF(L$2=1,1,IF(Параметры!L$29=1,1+OFFSET(L464,0,-1),1)),"-"),1)</f>
        <v>-</v>
      </c>
      <c r="M467" s="192" t="str">
        <f ca="1">IF(Prj_Inflation=1,IF($B467=1,IF(M$2=1,1,IF(Параметры!M$29=1,1+OFFSET(M464,0,-1),1)),"-"),1)</f>
        <v>-</v>
      </c>
      <c r="N467" s="192" t="str">
        <f ca="1">IF(Prj_Inflation=1,IF($B467=1,IF(N$2=1,1,IF(Параметры!N$29=1,1+OFFSET(N464,0,-1),1)),"-"),1)</f>
        <v>-</v>
      </c>
      <c r="O467" s="192" t="str">
        <f ca="1">IF(Prj_Inflation=1,IF($B467=1,IF(O$2=1,1,IF(Параметры!O$29=1,1+OFFSET(O464,0,-1),1)),"-"),1)</f>
        <v>-</v>
      </c>
      <c r="P467" s="192" t="str">
        <f ca="1">IF(Prj_Inflation=1,IF($B467=1,IF(P$2=1,1,IF(Параметры!P$29=1,1+OFFSET(P464,0,-1),1)),"-"),1)</f>
        <v>-</v>
      </c>
      <c r="Q467" s="192" t="str">
        <f ca="1">IF(Prj_Inflation=1,IF($B467=1,IF(Q$2=1,1,IF(Параметры!Q$29=1,1+OFFSET(Q464,0,-1),1)),"-"),1)</f>
        <v>-</v>
      </c>
      <c r="R467" s="192" t="str">
        <f ca="1">IF(Prj_Inflation=1,IF($B467=1,IF(R$2=1,1,IF(Параметры!R$29=1,1+OFFSET(R464,0,-1),1)),"-"),1)</f>
        <v>-</v>
      </c>
      <c r="S467" s="192" t="str">
        <f ca="1">IF(Prj_Inflation=1,IF($B467=1,IF(S$2=1,1,IF(Параметры!S$29=1,1+OFFSET(S464,0,-1),1)),"-"),1)</f>
        <v>-</v>
      </c>
      <c r="T467" s="192" t="str">
        <f ca="1">IF(Prj_Inflation=1,IF($B467=1,IF(T$2=1,1,IF(Параметры!T$29=1,1+OFFSET(T464,0,-1),1)),"-"),1)</f>
        <v>-</v>
      </c>
      <c r="U467" s="192" t="str">
        <f ca="1">IF(Prj_Inflation=1,IF($B467=1,IF(U$2=1,1,IF(Параметры!U$29=1,1+OFFSET(U464,0,-1),1)),"-"),1)</f>
        <v>-</v>
      </c>
      <c r="V467" s="192" t="str">
        <f ca="1">IF(Prj_Inflation=1,IF($B467=1,IF(V$2=1,1,IF(Параметры!V$29=1,1+OFFSET(V464,0,-1),1)),"-"),1)</f>
        <v>-</v>
      </c>
      <c r="W467" s="192" t="str">
        <f ca="1">IF(Prj_Inflation=1,IF($B467=1,IF(W$2=1,1,IF(Параметры!W$29=1,1+OFFSET(W464,0,-1),1)),"-"),1)</f>
        <v>-</v>
      </c>
      <c r="X467" s="192" t="str">
        <f ca="1">IF(Prj_Inflation=1,IF($B467=1,IF(X$2=1,1,IF(Параметры!X$29=1,1+OFFSET(X464,0,-1),1)),"-"),1)</f>
        <v>-</v>
      </c>
      <c r="Y467" s="192" t="str">
        <f ca="1">IF(Prj_Inflation=1,IF($B467=1,IF(Y$2=1,1,IF(Параметры!Y$29=1,1+OFFSET(Y464,0,-1),1)),"-"),1)</f>
        <v>-</v>
      </c>
      <c r="Z467" s="192" t="str">
        <f ca="1">IF(Prj_Inflation=1,IF($B467=1,IF(Z$2=1,1,IF(Параметры!Z$29=1,1+OFFSET(Z464,0,-1),1)),"-"),1)</f>
        <v>-</v>
      </c>
      <c r="AA467" s="192" t="str">
        <f ca="1">IF(Prj_Inflation=1,IF($B467=1,IF(AA$2=1,1,IF(Параметры!AA$29=1,1+OFFSET(AA464,0,-1),1)),"-"),1)</f>
        <v>-</v>
      </c>
      <c r="AB467" s="192" t="str">
        <f ca="1">IF(Prj_Inflation=1,IF($B467=1,IF(AB$2=1,1,IF(Параметры!AB$29=1,1+OFFSET(AB464,0,-1),1)),"-"),1)</f>
        <v>-</v>
      </c>
      <c r="AC467" s="192" t="str">
        <f ca="1">IF(Prj_Inflation=1,IF($B467=1,IF(AC$2=1,1,IF(Параметры!AC$29=1,1+OFFSET(AC464,0,-1),1)),"-"),1)</f>
        <v>-</v>
      </c>
      <c r="AD467" s="192" t="str">
        <f ca="1">IF(Prj_Inflation=1,IF($B467=1,IF(AD$2=1,1,IF(Параметры!AD$29=1,1+OFFSET(AD464,0,-1),1)),"-"),1)</f>
        <v>-</v>
      </c>
      <c r="AE467" s="192" t="str">
        <f ca="1">IF(Prj_Inflation=1,IF($B467=1,IF(AE$2=1,1,IF(Параметры!AE$29=1,1+OFFSET(AE464,0,-1),1)),"-"),1)</f>
        <v>-</v>
      </c>
      <c r="AF467" s="192" t="str">
        <f ca="1">IF(Prj_Inflation=1,IF($B467=1,IF(AF$2=1,1,IF(Параметры!AF$29=1,1+OFFSET(AF464,0,-1),1)),"-"),1)</f>
        <v>-</v>
      </c>
      <c r="AG467" s="192" t="str">
        <f ca="1">IF(Prj_Inflation=1,IF($B467=1,IF(AG$2=1,1,IF(Параметры!AG$29=1,1+OFFSET(AG464,0,-1),1)),"-"),1)</f>
        <v>-</v>
      </c>
      <c r="AH467" s="192" t="str">
        <f ca="1">IF(Prj_Inflation=1,IF($B467=1,IF(AH$2=1,1,IF(Параметры!AH$29=1,1+OFFSET(AH464,0,-1),1)),"-"),1)</f>
        <v>-</v>
      </c>
      <c r="AI467" s="192" t="str">
        <f ca="1">IF(Prj_Inflation=1,IF($B467=1,IF(AI$2=1,1,IF(Параметры!AI$29=1,1+OFFSET(AI464,0,-1),1)),"-"),1)</f>
        <v>-</v>
      </c>
      <c r="AJ467" s="192" t="str">
        <f ca="1">IF(Prj_Inflation=1,IF($B467=1,IF(AJ$2=1,1,IF(Параметры!AJ$29=1,1+OFFSET(AJ464,0,-1),1)),"-"),1)</f>
        <v>-</v>
      </c>
      <c r="AK467" s="192" t="str">
        <f ca="1">IF(Prj_Inflation=1,IF($B467=1,IF(AK$2=1,1,IF(Параметры!AK$29=1,1+OFFSET(AK464,0,-1),1)),"-"),1)</f>
        <v>-</v>
      </c>
      <c r="AL467" s="192" t="str">
        <f ca="1">IF(Prj_Inflation=1,IF($B467=1,IF(AL$2=1,1,IF(Параметры!AL$29=1,1+OFFSET(AL464,0,-1),1)),"-"),1)</f>
        <v>-</v>
      </c>
      <c r="AM467" s="192" t="str">
        <f ca="1">IF(Prj_Inflation=1,IF($B467=1,IF(AM$2=1,1,IF(Параметры!AM$29=1,1+OFFSET(AM464,0,-1),1)),"-"),1)</f>
        <v>-</v>
      </c>
      <c r="AN467" s="192" t="str">
        <f ca="1">IF(Prj_Inflation=1,IF($B467=1,IF(AN$2=1,1,IF(Параметры!AN$29=1,1+OFFSET(AN464,0,-1),1)),"-"),1)</f>
        <v>-</v>
      </c>
      <c r="AO467" s="192" t="str">
        <f ca="1">IF(Prj_Inflation=1,IF($B467=1,IF(AO$2=1,1,IF(Параметры!AO$29=1,1+OFFSET(AO464,0,-1),1)),"-"),1)</f>
        <v>-</v>
      </c>
      <c r="AP467" s="192" t="str">
        <f ca="1">IF(Prj_Inflation=1,IF($B467=1,IF(AP$2=1,1,IF(Параметры!AP$29=1,1+OFFSET(AP464,0,-1),1)),"-"),1)</f>
        <v>-</v>
      </c>
      <c r="AQ467" s="192" t="str">
        <f ca="1">IF(Prj_Inflation=1,IF($B467=1,IF(AQ$2=1,1,IF(Параметры!AQ$29=1,1+OFFSET(AQ464,0,-1),1)),"-"),1)</f>
        <v>-</v>
      </c>
      <c r="AR467" s="192" t="str">
        <f ca="1">IF(Prj_Inflation=1,IF($B467=1,IF(AR$2=1,1,IF(Параметры!AR$29=1,1+OFFSET(AR464,0,-1),1)),"-"),1)</f>
        <v>-</v>
      </c>
      <c r="AS467" s="192" t="str">
        <f ca="1">IF(Prj_Inflation=1,IF($B467=1,IF(AS$2=1,1,IF(Параметры!AS$29=1,1+OFFSET(AS464,0,-1),1)),"-"),1)</f>
        <v>-</v>
      </c>
      <c r="AT467" s="192" t="str">
        <f ca="1">IF(Prj_Inflation=1,IF($B467=1,IF(AT$2=1,1,IF(Параметры!AT$29=1,1+OFFSET(AT464,0,-1),1)),"-"),1)</f>
        <v>-</v>
      </c>
      <c r="AU467" s="192" t="str">
        <f ca="1">IF(Prj_Inflation=1,IF($B467=1,IF(AU$2=1,1,IF(Параметры!AU$29=1,1+OFFSET(AU464,0,-1),1)),"-"),1)</f>
        <v>-</v>
      </c>
      <c r="AV467" s="192" t="str">
        <f ca="1">IF(Prj_Inflation=1,IF($B467=1,IF(AV$2=1,1,IF(Параметры!AV$29=1,1+OFFSET(AV464,0,-1),1)),"-"),1)</f>
        <v>-</v>
      </c>
      <c r="AW467" s="192" t="str">
        <f ca="1">IF(Prj_Inflation=1,IF($B467=1,IF(AW$2=1,1,IF(Параметры!AW$29=1,1+OFFSET(AW464,0,-1),1)),"-"),1)</f>
        <v>-</v>
      </c>
      <c r="AX467" s="192" t="str">
        <f ca="1">IF(Prj_Inflation=1,IF($B467=1,IF(AX$2=1,1,IF(Параметры!AX$29=1,1+OFFSET(AX464,0,-1),1)),"-"),1)</f>
        <v>-</v>
      </c>
      <c r="AY467" s="192" t="str">
        <f ca="1">IF(Prj_Inflation=1,IF($B467=1,IF(AY$2=1,1,IF(Параметры!AY$29=1,1+OFFSET(AY464,0,-1),1)),"-"),1)</f>
        <v>-</v>
      </c>
      <c r="AZ467" s="192" t="str">
        <f ca="1">IF(Prj_Inflation=1,IF($B467=1,IF(AZ$2=1,1,IF(Параметры!AZ$29=1,1+OFFSET(AZ464,0,-1),1)),"-"),1)</f>
        <v>-</v>
      </c>
      <c r="BA467" s="192" t="str">
        <f ca="1">IF(Prj_Inflation=1,IF($B467=1,IF(BA$2=1,1,IF(Параметры!BA$29=1,1+OFFSET(BA464,0,-1),1)),"-"),1)</f>
        <v>-</v>
      </c>
      <c r="BB467" s="192" t="str">
        <f ca="1">IF(Prj_Inflation=1,IF($B467=1,IF(BB$2=1,1,IF(Параметры!BB$29=1,1+OFFSET(BB464,0,-1),1)),"-"),1)</f>
        <v>-</v>
      </c>
      <c r="BC467" s="191"/>
      <c r="BD467" s="186"/>
    </row>
    <row r="468" spans="1:56" hidden="1" outlineLevel="1" x14ac:dyDescent="0.3">
      <c r="A468" s="184" t="str">
        <f ca="1">Language!A$753</f>
        <v>НДС начисленный</v>
      </c>
      <c r="B468" s="163"/>
      <c r="C468" s="163" t="str">
        <f ca="1">CHOOSE(D468,CurName1,CurName2,CurName3)</f>
        <v>руб.</v>
      </c>
      <c r="D468" s="174">
        <f>D459</f>
        <v>1</v>
      </c>
      <c r="E468" s="170" t="s">
        <v>785</v>
      </c>
      <c r="F468" s="170" t="s">
        <v>740</v>
      </c>
      <c r="G468" s="185">
        <f ca="1">G463*G465</f>
        <v>0</v>
      </c>
      <c r="H468" s="185">
        <f t="shared" ref="H468:BB468" ca="1" si="2084">H463*H465</f>
        <v>0</v>
      </c>
      <c r="I468" s="185">
        <f t="shared" ca="1" si="2084"/>
        <v>0</v>
      </c>
      <c r="J468" s="185">
        <f t="shared" ca="1" si="2084"/>
        <v>0</v>
      </c>
      <c r="K468" s="185">
        <f t="shared" ca="1" si="2084"/>
        <v>0</v>
      </c>
      <c r="L468" s="185">
        <f t="shared" ca="1" si="2084"/>
        <v>0</v>
      </c>
      <c r="M468" s="185">
        <f t="shared" ca="1" si="2084"/>
        <v>0</v>
      </c>
      <c r="N468" s="185">
        <f t="shared" ca="1" si="2084"/>
        <v>0</v>
      </c>
      <c r="O468" s="185">
        <f t="shared" ca="1" si="2084"/>
        <v>0</v>
      </c>
      <c r="P468" s="185">
        <f t="shared" ca="1" si="2084"/>
        <v>0</v>
      </c>
      <c r="Q468" s="185">
        <f t="shared" ca="1" si="2084"/>
        <v>0</v>
      </c>
      <c r="R468" s="185">
        <f t="shared" ca="1" si="2084"/>
        <v>0</v>
      </c>
      <c r="S468" s="185">
        <f t="shared" ca="1" si="2084"/>
        <v>0</v>
      </c>
      <c r="T468" s="185">
        <f t="shared" ca="1" si="2084"/>
        <v>0</v>
      </c>
      <c r="U468" s="185">
        <f t="shared" ca="1" si="2084"/>
        <v>0</v>
      </c>
      <c r="V468" s="185">
        <f t="shared" ca="1" si="2084"/>
        <v>0</v>
      </c>
      <c r="W468" s="185">
        <f t="shared" ca="1" si="2084"/>
        <v>0</v>
      </c>
      <c r="X468" s="185">
        <f t="shared" ca="1" si="2084"/>
        <v>0</v>
      </c>
      <c r="Y468" s="185">
        <f t="shared" ca="1" si="2084"/>
        <v>0</v>
      </c>
      <c r="Z468" s="185">
        <f t="shared" ca="1" si="2084"/>
        <v>0</v>
      </c>
      <c r="AA468" s="185">
        <f t="shared" ca="1" si="2084"/>
        <v>0</v>
      </c>
      <c r="AB468" s="185">
        <f t="shared" ca="1" si="2084"/>
        <v>0</v>
      </c>
      <c r="AC468" s="185">
        <f t="shared" ca="1" si="2084"/>
        <v>0</v>
      </c>
      <c r="AD468" s="185">
        <f t="shared" ca="1" si="2084"/>
        <v>0</v>
      </c>
      <c r="AE468" s="185">
        <f t="shared" ca="1" si="2084"/>
        <v>0</v>
      </c>
      <c r="AF468" s="185">
        <f t="shared" ca="1" si="2084"/>
        <v>0</v>
      </c>
      <c r="AG468" s="185">
        <f t="shared" ca="1" si="2084"/>
        <v>0</v>
      </c>
      <c r="AH468" s="185">
        <f t="shared" ca="1" si="2084"/>
        <v>0</v>
      </c>
      <c r="AI468" s="185">
        <f t="shared" ca="1" si="2084"/>
        <v>0</v>
      </c>
      <c r="AJ468" s="185">
        <f t="shared" ca="1" si="2084"/>
        <v>0</v>
      </c>
      <c r="AK468" s="185">
        <f t="shared" ca="1" si="2084"/>
        <v>0</v>
      </c>
      <c r="AL468" s="185">
        <f t="shared" ca="1" si="2084"/>
        <v>0</v>
      </c>
      <c r="AM468" s="185">
        <f t="shared" ca="1" si="2084"/>
        <v>0</v>
      </c>
      <c r="AN468" s="185">
        <f t="shared" ca="1" si="2084"/>
        <v>0</v>
      </c>
      <c r="AO468" s="185">
        <f t="shared" ca="1" si="2084"/>
        <v>0</v>
      </c>
      <c r="AP468" s="185">
        <f t="shared" ca="1" si="2084"/>
        <v>0</v>
      </c>
      <c r="AQ468" s="185">
        <f t="shared" ca="1" si="2084"/>
        <v>0</v>
      </c>
      <c r="AR468" s="185">
        <f t="shared" ca="1" si="2084"/>
        <v>0</v>
      </c>
      <c r="AS468" s="185">
        <f t="shared" ca="1" si="2084"/>
        <v>0</v>
      </c>
      <c r="AT468" s="185">
        <f t="shared" ca="1" si="2084"/>
        <v>0</v>
      </c>
      <c r="AU468" s="185">
        <f t="shared" ca="1" si="2084"/>
        <v>0</v>
      </c>
      <c r="AV468" s="185">
        <f t="shared" ca="1" si="2084"/>
        <v>0</v>
      </c>
      <c r="AW468" s="185">
        <f t="shared" ca="1" si="2084"/>
        <v>0</v>
      </c>
      <c r="AX468" s="185">
        <f t="shared" ca="1" si="2084"/>
        <v>0</v>
      </c>
      <c r="AY468" s="185">
        <f t="shared" ca="1" si="2084"/>
        <v>0</v>
      </c>
      <c r="AZ468" s="185">
        <f t="shared" ca="1" si="2084"/>
        <v>0</v>
      </c>
      <c r="BA468" s="185">
        <f t="shared" ca="1" si="2084"/>
        <v>0</v>
      </c>
      <c r="BB468" s="185">
        <f t="shared" ca="1" si="2084"/>
        <v>0</v>
      </c>
      <c r="BC468" s="185"/>
      <c r="BD468" s="193">
        <f ca="1">SUM(G468:BC468)</f>
        <v>0</v>
      </c>
    </row>
    <row r="469" spans="1:56" x14ac:dyDescent="0.3">
      <c r="A469" s="300" t="s">
        <v>3507</v>
      </c>
      <c r="B469" s="205"/>
      <c r="C469" s="176"/>
      <c r="D469" s="174">
        <v>1</v>
      </c>
      <c r="F469" s="170" t="s">
        <v>3459</v>
      </c>
      <c r="G469" s="206"/>
      <c r="H469" s="206"/>
      <c r="I469" s="206"/>
      <c r="J469" s="206"/>
      <c r="K469" s="206"/>
      <c r="L469" s="206"/>
      <c r="M469" s="206"/>
      <c r="N469" s="206"/>
      <c r="O469" s="206"/>
      <c r="P469" s="206"/>
      <c r="Q469" s="206"/>
      <c r="R469" s="206"/>
      <c r="S469" s="206"/>
      <c r="T469" s="206"/>
      <c r="U469" s="206"/>
      <c r="V469" s="206"/>
      <c r="W469" s="206"/>
      <c r="X469" s="206"/>
      <c r="Y469" s="206"/>
      <c r="Z469" s="206"/>
      <c r="AA469" s="206"/>
      <c r="AB469" s="206"/>
      <c r="AC469" s="206"/>
      <c r="AD469" s="206"/>
      <c r="AE469" s="206"/>
      <c r="AF469" s="206"/>
      <c r="AG469" s="206"/>
      <c r="AH469" s="206"/>
      <c r="AI469" s="206"/>
      <c r="AJ469" s="206"/>
      <c r="AK469" s="206"/>
      <c r="AL469" s="206"/>
      <c r="AM469" s="206"/>
      <c r="AN469" s="206"/>
      <c r="AO469" s="206"/>
      <c r="AP469" s="206"/>
      <c r="AQ469" s="206"/>
      <c r="AR469" s="206"/>
      <c r="AS469" s="206"/>
      <c r="AT469" s="206"/>
      <c r="AU469" s="206"/>
      <c r="AV469" s="206"/>
      <c r="AW469" s="206"/>
      <c r="AX469" s="206"/>
      <c r="AY469" s="206"/>
      <c r="AZ469" s="206"/>
      <c r="BA469" s="206"/>
      <c r="BB469" s="206"/>
      <c r="BC469" s="206"/>
    </row>
    <row r="470" spans="1:56" x14ac:dyDescent="0.3">
      <c r="A470" s="175" t="str">
        <f ca="1">Language!A$746</f>
        <v>период появления затрат</v>
      </c>
      <c r="B470" s="284">
        <f>Prj_Invest+1</f>
        <v>7</v>
      </c>
      <c r="C470" s="176" t="str">
        <f ca="1">Language!$A$1480</f>
        <v>период</v>
      </c>
      <c r="D470" s="174"/>
      <c r="G470" s="177"/>
      <c r="H470" s="177"/>
      <c r="I470" s="177"/>
      <c r="J470" s="177"/>
      <c r="K470" s="177"/>
      <c r="L470" s="177"/>
      <c r="M470" s="177"/>
      <c r="N470" s="177"/>
      <c r="O470" s="177"/>
      <c r="P470" s="177"/>
      <c r="Q470" s="177"/>
      <c r="R470" s="177"/>
      <c r="S470" s="177"/>
      <c r="T470" s="177"/>
      <c r="U470" s="177"/>
      <c r="V470" s="177"/>
      <c r="W470" s="177"/>
      <c r="X470" s="177"/>
      <c r="Y470" s="177"/>
      <c r="Z470" s="177"/>
      <c r="AA470" s="177"/>
      <c r="AB470" s="177"/>
      <c r="AC470" s="177"/>
      <c r="AD470" s="177"/>
      <c r="AE470" s="177"/>
      <c r="AF470" s="177"/>
      <c r="AG470" s="177"/>
      <c r="AH470" s="177"/>
      <c r="AI470" s="177"/>
      <c r="AJ470" s="177"/>
      <c r="AK470" s="177"/>
      <c r="AL470" s="177"/>
      <c r="AM470" s="177"/>
      <c r="AN470" s="177"/>
      <c r="AO470" s="177"/>
      <c r="AP470" s="177"/>
      <c r="AQ470" s="177"/>
      <c r="AR470" s="177"/>
      <c r="AS470" s="177"/>
      <c r="AT470" s="177"/>
      <c r="AU470" s="177"/>
      <c r="AV470" s="177"/>
      <c r="AW470" s="177"/>
      <c r="AX470" s="177"/>
      <c r="AY470" s="177"/>
      <c r="AZ470" s="177"/>
      <c r="BA470" s="177"/>
      <c r="BB470" s="177"/>
      <c r="BC470" s="177"/>
      <c r="BD470" s="178"/>
    </row>
    <row r="471" spans="1:56" x14ac:dyDescent="0.3">
      <c r="A471" s="175" t="str">
        <f ca="1">Language!A$747&amp;" ("&amp;Параметры!B$19&amp;"), "&amp;Language!A$748</f>
        <v>затраты за период (месяц), без НДС</v>
      </c>
      <c r="B471" s="199"/>
      <c r="C471" s="176" t="str">
        <f t="shared" ref="C471" ca="1" si="2085">CHOOSE(D471,CurName1,CurName2,CurName3)</f>
        <v>руб.</v>
      </c>
      <c r="D471" s="174">
        <f>D469</f>
        <v>1</v>
      </c>
      <c r="F471" s="170" t="s">
        <v>2353</v>
      </c>
      <c r="G471" s="285">
        <f ca="1">5%*G128</f>
        <v>0</v>
      </c>
      <c r="H471" s="285">
        <f t="shared" ref="H471:BB471" ca="1" si="2086">5%*H128</f>
        <v>0</v>
      </c>
      <c r="I471" s="285">
        <f t="shared" ca="1" si="2086"/>
        <v>0</v>
      </c>
      <c r="J471" s="285">
        <f t="shared" ca="1" si="2086"/>
        <v>0</v>
      </c>
      <c r="K471" s="285">
        <f t="shared" ca="1" si="2086"/>
        <v>0</v>
      </c>
      <c r="L471" s="285">
        <f t="shared" ca="1" si="2086"/>
        <v>0</v>
      </c>
      <c r="M471" s="285">
        <f t="shared" ca="1" si="2086"/>
        <v>374349.11192628741</v>
      </c>
      <c r="N471" s="285">
        <f t="shared" ca="1" si="2086"/>
        <v>501561.70021023985</v>
      </c>
      <c r="O471" s="285">
        <f t="shared" ca="1" si="2086"/>
        <v>630003.84643456596</v>
      </c>
      <c r="P471" s="285">
        <f t="shared" ca="1" si="2086"/>
        <v>759684.50641613605</v>
      </c>
      <c r="Q471" s="285">
        <f t="shared" ca="1" si="2086"/>
        <v>763382.30916482443</v>
      </c>
      <c r="R471" s="285">
        <f t="shared" ca="1" si="2086"/>
        <v>767098.11115537246</v>
      </c>
      <c r="S471" s="285">
        <f t="shared" ca="1" si="2086"/>
        <v>1027776.0000000006</v>
      </c>
      <c r="T471" s="285">
        <f t="shared" ca="1" si="2086"/>
        <v>903681.407693616</v>
      </c>
      <c r="U471" s="285">
        <f t="shared" ca="1" si="2086"/>
        <v>778354.39083473571</v>
      </c>
      <c r="V471" s="285">
        <f t="shared" ca="1" si="2086"/>
        <v>782143.07018988044</v>
      </c>
      <c r="W471" s="285">
        <f t="shared" ca="1" si="2086"/>
        <v>654958.49261113536</v>
      </c>
      <c r="X471" s="285">
        <f t="shared" ca="1" si="2086"/>
        <v>1053034.4579073933</v>
      </c>
      <c r="Y471" s="285">
        <f t="shared" ca="1" si="2086"/>
        <v>1322700.1954728828</v>
      </c>
      <c r="Z471" s="285">
        <f t="shared" ca="1" si="2086"/>
        <v>1329138.5055571364</v>
      </c>
      <c r="AA471" s="285">
        <f t="shared" ca="1" si="2086"/>
        <v>934925.70810889627</v>
      </c>
      <c r="AB471" s="285">
        <f t="shared" ca="1" si="2086"/>
        <v>671054.64733425376</v>
      </c>
      <c r="AC471" s="285">
        <f t="shared" ca="1" si="2086"/>
        <v>674321.03976226179</v>
      </c>
      <c r="AD471" s="285">
        <f t="shared" ca="1" si="2086"/>
        <v>813123.99782469496</v>
      </c>
      <c r="AE471" s="285">
        <f t="shared" ca="1" si="2086"/>
        <v>1089442.560000001</v>
      </c>
      <c r="AF471" s="285">
        <f t="shared" ca="1" si="2086"/>
        <v>957902.29215523275</v>
      </c>
      <c r="AG471" s="285">
        <f t="shared" ca="1" si="2086"/>
        <v>825055.65428481973</v>
      </c>
      <c r="AH471" s="285">
        <f t="shared" ca="1" si="2086"/>
        <v>829071.65440127347</v>
      </c>
      <c r="AI471" s="285">
        <f t="shared" ca="1" si="2086"/>
        <v>694256.00216780347</v>
      </c>
      <c r="AJ471" s="285">
        <f t="shared" ca="1" si="2086"/>
        <v>1116216.525381837</v>
      </c>
      <c r="AK471" s="285">
        <f t="shared" ca="1" si="2086"/>
        <v>1402062.2072012562</v>
      </c>
      <c r="AL471" s="285">
        <f t="shared" ca="1" si="2086"/>
        <v>1408886.8158905646</v>
      </c>
      <c r="AM471" s="285">
        <f t="shared" ca="1" si="2086"/>
        <v>991021.25059542991</v>
      </c>
      <c r="AN471" s="285">
        <f t="shared" ca="1" si="2086"/>
        <v>711317.9261743091</v>
      </c>
      <c r="AO471" s="285">
        <f t="shared" ca="1" si="2086"/>
        <v>714780.30214799754</v>
      </c>
      <c r="AP471" s="285">
        <f t="shared" ca="1" si="2086"/>
        <v>861911.43769417692</v>
      </c>
      <c r="AQ471" s="285">
        <f t="shared" ca="1" si="2086"/>
        <v>1154809.1136000014</v>
      </c>
      <c r="AR471" s="285">
        <f t="shared" ca="1" si="2086"/>
        <v>1015376.4296845472</v>
      </c>
      <c r="AS471" s="285">
        <f t="shared" ca="1" si="2086"/>
        <v>874558.99354190927</v>
      </c>
      <c r="AT471" s="285">
        <f t="shared" ca="1" si="2086"/>
        <v>878815.9536653501</v>
      </c>
      <c r="AU471" s="285">
        <f t="shared" ca="1" si="2086"/>
        <v>735911.36229787208</v>
      </c>
      <c r="AV471" s="285">
        <f t="shared" ca="1" si="2086"/>
        <v>1183189.516904748</v>
      </c>
      <c r="AW471" s="285">
        <f t="shared" ca="1" si="2086"/>
        <v>1486185.939633332</v>
      </c>
      <c r="AX471" s="285">
        <f t="shared" ca="1" si="2086"/>
        <v>1493420.0248439992</v>
      </c>
      <c r="AY471" s="285">
        <f t="shared" ca="1" si="2086"/>
        <v>1050482.5256311561</v>
      </c>
      <c r="AZ471" s="285">
        <f t="shared" ca="1" si="2086"/>
        <v>753997.001744768</v>
      </c>
      <c r="BA471" s="285">
        <f t="shared" ca="1" si="2086"/>
        <v>757667.12027687766</v>
      </c>
      <c r="BB471" s="285">
        <f t="shared" ca="1" si="2086"/>
        <v>913626.12395582779</v>
      </c>
      <c r="BC471" s="177"/>
      <c r="BD471" s="178"/>
    </row>
    <row r="472" spans="1:56" x14ac:dyDescent="0.3">
      <c r="A472" s="175" t="str">
        <f ca="1">Language!A$695</f>
        <v>коэффициент расходов</v>
      </c>
      <c r="B472" s="199"/>
      <c r="C472" s="176" t="s">
        <v>1</v>
      </c>
      <c r="F472" s="170" t="s">
        <v>745</v>
      </c>
      <c r="G472" s="286">
        <f>IF(G$2&gt;=$B470,Параметры!G$33,0)</f>
        <v>0</v>
      </c>
      <c r="H472" s="286">
        <f>IF(H$2&gt;=$B470,Параметры!H$33,0)</f>
        <v>0</v>
      </c>
      <c r="I472" s="286">
        <f>IF(I$2&gt;=$B470,Параметры!I$33,0)</f>
        <v>0</v>
      </c>
      <c r="J472" s="286">
        <f>IF(J$2&gt;=$B470,Параметры!J$33,0)</f>
        <v>0</v>
      </c>
      <c r="K472" s="286">
        <f>IF(K$2&gt;=$B470,Параметры!K$33,0)</f>
        <v>0</v>
      </c>
      <c r="L472" s="286">
        <f>IF(L$2&gt;=$B470,Параметры!L$33,0)</f>
        <v>0</v>
      </c>
      <c r="M472" s="286">
        <f>IF(M$2&gt;=$B470,Параметры!M$33,0)</f>
        <v>1</v>
      </c>
      <c r="N472" s="286">
        <f>IF(N$2&gt;=$B470,Параметры!N$33,0)</f>
        <v>1</v>
      </c>
      <c r="O472" s="286">
        <f>IF(O$2&gt;=$B470,Параметры!O$33,0)</f>
        <v>1</v>
      </c>
      <c r="P472" s="286">
        <f>IF(P$2&gt;=$B470,Параметры!P$33,0)</f>
        <v>1</v>
      </c>
      <c r="Q472" s="286">
        <f>IF(Q$2&gt;=$B470,Параметры!Q$33,0)</f>
        <v>1</v>
      </c>
      <c r="R472" s="286">
        <f>IF(R$2&gt;=$B470,Параметры!R$33,0)</f>
        <v>1</v>
      </c>
      <c r="S472" s="286">
        <f>IF(S$2&gt;=$B470,Параметры!S$33,0)</f>
        <v>1</v>
      </c>
      <c r="T472" s="286">
        <f>IF(T$2&gt;=$B470,Параметры!T$33,0)</f>
        <v>1</v>
      </c>
      <c r="U472" s="286">
        <f>IF(U$2&gt;=$B470,Параметры!U$33,0)</f>
        <v>1</v>
      </c>
      <c r="V472" s="286">
        <f>IF(V$2&gt;=$B470,Параметры!V$33,0)</f>
        <v>1</v>
      </c>
      <c r="W472" s="286">
        <f>IF(W$2&gt;=$B470,Параметры!W$33,0)</f>
        <v>1</v>
      </c>
      <c r="X472" s="286">
        <f>IF(X$2&gt;=$B470,Параметры!X$33,0)</f>
        <v>1</v>
      </c>
      <c r="Y472" s="286">
        <f>IF(Y$2&gt;=$B470,Параметры!Y$33,0)</f>
        <v>1</v>
      </c>
      <c r="Z472" s="286">
        <f>IF(Z$2&gt;=$B470,Параметры!Z$33,0)</f>
        <v>1</v>
      </c>
      <c r="AA472" s="286">
        <f>IF(AA$2&gt;=$B470,Параметры!AA$33,0)</f>
        <v>1</v>
      </c>
      <c r="AB472" s="286">
        <f>IF(AB$2&gt;=$B470,Параметры!AB$33,0)</f>
        <v>1</v>
      </c>
      <c r="AC472" s="286">
        <f>IF(AC$2&gt;=$B470,Параметры!AC$33,0)</f>
        <v>1</v>
      </c>
      <c r="AD472" s="286">
        <f>IF(AD$2&gt;=$B470,Параметры!AD$33,0)</f>
        <v>1</v>
      </c>
      <c r="AE472" s="286">
        <f>IF(AE$2&gt;=$B470,Параметры!AE$33,0)</f>
        <v>1</v>
      </c>
      <c r="AF472" s="286">
        <f>IF(AF$2&gt;=$B470,Параметры!AF$33,0)</f>
        <v>1</v>
      </c>
      <c r="AG472" s="286">
        <f>IF(AG$2&gt;=$B470,Параметры!AG$33,0)</f>
        <v>1</v>
      </c>
      <c r="AH472" s="286">
        <f>IF(AH$2&gt;=$B470,Параметры!AH$33,0)</f>
        <v>1</v>
      </c>
      <c r="AI472" s="286">
        <f>IF(AI$2&gt;=$B470,Параметры!AI$33,0)</f>
        <v>1</v>
      </c>
      <c r="AJ472" s="286">
        <f>IF(AJ$2&gt;=$B470,Параметры!AJ$33,0)</f>
        <v>1</v>
      </c>
      <c r="AK472" s="286">
        <f>IF(AK$2&gt;=$B470,Параметры!AK$33,0)</f>
        <v>1</v>
      </c>
      <c r="AL472" s="286">
        <f>IF(AL$2&gt;=$B470,Параметры!AL$33,0)</f>
        <v>1</v>
      </c>
      <c r="AM472" s="286">
        <f>IF(AM$2&gt;=$B470,Параметры!AM$33,0)</f>
        <v>1</v>
      </c>
      <c r="AN472" s="286">
        <f>IF(AN$2&gt;=$B470,Параметры!AN$33,0)</f>
        <v>1</v>
      </c>
      <c r="AO472" s="286">
        <f>IF(AO$2&gt;=$B470,Параметры!AO$33,0)</f>
        <v>1</v>
      </c>
      <c r="AP472" s="286">
        <f>IF(AP$2&gt;=$B470,Параметры!AP$33,0)</f>
        <v>1</v>
      </c>
      <c r="AQ472" s="286">
        <f>IF(AQ$2&gt;=$B470,Параметры!AQ$33,0)</f>
        <v>1</v>
      </c>
      <c r="AR472" s="286">
        <f>IF(AR$2&gt;=$B470,Параметры!AR$33,0)</f>
        <v>1</v>
      </c>
      <c r="AS472" s="286">
        <f>IF(AS$2&gt;=$B470,Параметры!AS$33,0)</f>
        <v>1</v>
      </c>
      <c r="AT472" s="286">
        <f>IF(AT$2&gt;=$B470,Параметры!AT$33,0)</f>
        <v>1</v>
      </c>
      <c r="AU472" s="286">
        <f>IF(AU$2&gt;=$B470,Параметры!AU$33,0)</f>
        <v>1</v>
      </c>
      <c r="AV472" s="286">
        <f>IF(AV$2&gt;=$B470,Параметры!AV$33,0)</f>
        <v>1</v>
      </c>
      <c r="AW472" s="286">
        <f>IF(AW$2&gt;=$B470,Параметры!AW$33,0)</f>
        <v>1</v>
      </c>
      <c r="AX472" s="286">
        <f>IF(AX$2&gt;=$B470,Параметры!AX$33,0)</f>
        <v>1</v>
      </c>
      <c r="AY472" s="286">
        <f>IF(AY$2&gt;=$B470,Параметры!AY$33,0)</f>
        <v>1</v>
      </c>
      <c r="AZ472" s="286">
        <f>IF(AZ$2&gt;=$B470,Параметры!AZ$33,0)</f>
        <v>1</v>
      </c>
      <c r="BA472" s="286">
        <f>IF(BA$2&gt;=$B470,Параметры!BA$33,0)</f>
        <v>1</v>
      </c>
      <c r="BB472" s="286">
        <f>IF(BB$2&gt;=$B470,Параметры!BB$33,0)</f>
        <v>1</v>
      </c>
      <c r="BC472" s="177"/>
    </row>
    <row r="473" spans="1:56" collapsed="1" x14ac:dyDescent="0.3">
      <c r="A473" s="175" t="str">
        <f ca="1">Language!A$752</f>
        <v>затраты с учетом инфляции, без НДС</v>
      </c>
      <c r="B473" s="199"/>
      <c r="C473" s="176" t="str">
        <f t="shared" ref="C473" ca="1" si="2087">CHOOSE(D473,CurName1,CurName2,CurName3)</f>
        <v>руб.</v>
      </c>
      <c r="D473" s="174">
        <f>D469</f>
        <v>1</v>
      </c>
      <c r="E473" s="170" t="s">
        <v>751</v>
      </c>
      <c r="F473" s="170" t="s">
        <v>740</v>
      </c>
      <c r="G473" s="177">
        <f ca="1">G471*G472*IF($B477=1,PRODUCT($G477:G477),PRODUCT($G476:G476))</f>
        <v>0</v>
      </c>
      <c r="H473" s="177">
        <f ca="1">H471*H472*IF($B477=1,PRODUCT($G477:H477),PRODUCT($G476:H476))</f>
        <v>0</v>
      </c>
      <c r="I473" s="177">
        <f ca="1">I471*I472*IF($B477=1,PRODUCT($G477:I477),PRODUCT($G476:I476))</f>
        <v>0</v>
      </c>
      <c r="J473" s="177">
        <f ca="1">J471*J472*IF($B477=1,PRODUCT($G477:J477),PRODUCT($G476:J476))</f>
        <v>0</v>
      </c>
      <c r="K473" s="177">
        <f ca="1">K471*K472*IF($B477=1,PRODUCT($G477:K477),PRODUCT($G476:K476))</f>
        <v>0</v>
      </c>
      <c r="L473" s="177">
        <f ca="1">L471*L472*IF($B477=1,PRODUCT($G477:L477),PRODUCT($G476:L476))</f>
        <v>0</v>
      </c>
      <c r="M473" s="177">
        <f ca="1">M471*M472*IF($B477=1,PRODUCT($G477:M477),PRODUCT($G476:M476))</f>
        <v>385416.00000000006</v>
      </c>
      <c r="N473" s="177">
        <f ca="1">N471*N472*IF($B477=1,PRODUCT($G477:N477),PRODUCT($G476:N476))</f>
        <v>518902.9272231569</v>
      </c>
      <c r="O473" s="177">
        <f ca="1">O471*O472*IF($B477=1,PRODUCT($G477:O477),PRODUCT($G476:O476))</f>
        <v>654958.49261113524</v>
      </c>
      <c r="P473" s="177">
        <f ca="1">P471*P472*IF($B477=1,PRODUCT($G477:P477),PRODUCT($G476:P476))</f>
        <v>793620.11728372949</v>
      </c>
      <c r="Q473" s="177">
        <f ca="1">Q471*Q472*IF($B477=1,PRODUCT($G477:Q477),PRODUCT($G476:Q476))</f>
        <v>801364.89266476815</v>
      </c>
      <c r="R473" s="177">
        <f ca="1">R471*R472*IF($B477=1,PRODUCT($G477:R477),PRODUCT($G476:R476))</f>
        <v>809185.24771471391</v>
      </c>
      <c r="S473" s="177">
        <f ca="1">S471*S472*IF($B477=1,PRODUCT($G477:S477),PRODUCT($G476:S476))</f>
        <v>1089442.560000001</v>
      </c>
      <c r="T473" s="177">
        <f ca="1">T471*T472*IF($B477=1,PRODUCT($G477:T477),PRODUCT($G476:T476))</f>
        <v>962564.92999895674</v>
      </c>
      <c r="U473" s="177">
        <f ca="1">U471*U472*IF($B477=1,PRODUCT($G477:U477),PRODUCT($G476:U476))</f>
        <v>833107.20260136435</v>
      </c>
      <c r="V473" s="177">
        <f ca="1">V471*V472*IF($B477=1,PRODUCT($G477:V477),PRODUCT($G476:V476))</f>
        <v>841237.32432075369</v>
      </c>
      <c r="W473" s="177">
        <f ca="1">W471*W472*IF($B477=1,PRODUCT($G477:W477),PRODUCT($G476:W476))</f>
        <v>707872.32185387868</v>
      </c>
      <c r="X473" s="177">
        <f ca="1">X471*X472*IF($B477=1,PRODUCT($G477:X477),PRODUCT($G476:X476))</f>
        <v>1143648.4834367959</v>
      </c>
      <c r="Y473" s="177">
        <f ca="1">Y471*Y472*IF($B477=1,PRODUCT($G477:Y477),PRODUCT($G476:Y476))</f>
        <v>1443511.3920000012</v>
      </c>
      <c r="Z473" s="177">
        <f ca="1">Z471*Z472*IF($B477=1,PRODUCT($G477:Z477),PRODUCT($G476:Z476))</f>
        <v>1457598.3225698487</v>
      </c>
      <c r="AA473" s="177">
        <f ca="1">AA471*AA472*IF($B477=1,PRODUCT($G477:AA477),PRODUCT($G476:AA476))</f>
        <v>1030275.9072170208</v>
      </c>
      <c r="AB473" s="177">
        <f ca="1">AB471*AB472*IF($B477=1,PRODUCT($G477:AB477),PRODUCT($G476:AB476))</f>
        <v>743092.96981666586</v>
      </c>
      <c r="AC473" s="177">
        <f ca="1">AC471*AC472*IF($B477=1,PRODUCT($G477:AC477),PRODUCT($G476:AC476))</f>
        <v>750344.66116511158</v>
      </c>
      <c r="AD473" s="177">
        <f ca="1">AD471*AD472*IF($B477=1,PRODUCT($G477:AD477),PRODUCT($G476:AD476))</f>
        <v>909200.54433225305</v>
      </c>
      <c r="AE473" s="177">
        <f ca="1">AE471*AE472*IF($B477=1,PRODUCT($G477:AE477),PRODUCT($G476:AE476))</f>
        <v>1224097.6604160017</v>
      </c>
      <c r="AF473" s="177">
        <f ca="1">AF471*AF472*IF($B477=1,PRODUCT($G477:AF477),PRODUCT($G476:AF476))</f>
        <v>1081537.9553468281</v>
      </c>
      <c r="AG473" s="177">
        <f ca="1">AG471*AG472*IF($B477=1,PRODUCT($G477:AG477),PRODUCT($G476:AG476))</f>
        <v>936079.25284289324</v>
      </c>
      <c r="AH473" s="177">
        <f ca="1">AH471*AH472*IF($B477=1,PRODUCT($G477:AH477),PRODUCT($G476:AH476))</f>
        <v>945214.25760679948</v>
      </c>
      <c r="AI473" s="177">
        <f ca="1">AI471*AI472*IF($B477=1,PRODUCT($G477:AI477),PRODUCT($G476:AI476))</f>
        <v>795365.34083501843</v>
      </c>
      <c r="AJ473" s="177">
        <f ca="1">AJ471*AJ472*IF($B477=1,PRODUCT($G477:AJ477),PRODUCT($G476:AJ476))</f>
        <v>1285003.4359895848</v>
      </c>
      <c r="AK473" s="177">
        <f ca="1">AK471*AK472*IF($B477=1,PRODUCT($G477:AK477),PRODUCT($G476:AK476))</f>
        <v>1621929.4000512029</v>
      </c>
      <c r="AL473" s="177">
        <f ca="1">AL471*AL472*IF($B477=1,PRODUCT($G477:AL477),PRODUCT($G476:AL476))</f>
        <v>1637757.4752394829</v>
      </c>
      <c r="AM473" s="177">
        <f ca="1">AM471*AM472*IF($B477=1,PRODUCT($G477:AM477),PRODUCT($G476:AM476))</f>
        <v>1157618.0093490449</v>
      </c>
      <c r="AN473" s="177">
        <f ca="1">AN471*AN472*IF($B477=1,PRODUCT($G477:AN477),PRODUCT($G476:AN476))</f>
        <v>834939.26088600629</v>
      </c>
      <c r="AO473" s="177">
        <f ca="1">AO471*AO472*IF($B477=1,PRODUCT($G477:AO477),PRODUCT($G476:AO476))</f>
        <v>843087.26128511969</v>
      </c>
      <c r="AP473" s="177">
        <f ca="1">AP471*AP472*IF($B477=1,PRODUCT($G477:AP477),PRODUCT($G476:AP476))</f>
        <v>1021577.7316117201</v>
      </c>
      <c r="AQ473" s="177">
        <f ca="1">AQ471*AQ472*IF($B477=1,PRODUCT($G477:AQ477),PRODUCT($G476:AQ476))</f>
        <v>1375396.1312434205</v>
      </c>
      <c r="AR473" s="177">
        <f ca="1">AR471*AR472*IF($B477=1,PRODUCT($G477:AR477),PRODUCT($G476:AR476))</f>
        <v>1215216.0466276968</v>
      </c>
      <c r="AS473" s="177">
        <f ca="1">AS471*AS472*IF($B477=1,PRODUCT($G477:AS477),PRODUCT($G476:AS476))</f>
        <v>1051778.6484942755</v>
      </c>
      <c r="AT473" s="177">
        <f ca="1">AT471*AT472*IF($B477=1,PRODUCT($G477:AT477),PRODUCT($G476:AT476))</f>
        <v>1062042.7398470002</v>
      </c>
      <c r="AU473" s="177">
        <f ca="1">AU471*AU472*IF($B477=1,PRODUCT($G477:AU477),PRODUCT($G476:AU476))</f>
        <v>893672.49696222716</v>
      </c>
      <c r="AV473" s="177">
        <f ca="1">AV471*AV472*IF($B477=1,PRODUCT($G477:AV477),PRODUCT($G476:AV476))</f>
        <v>1443829.8606778984</v>
      </c>
      <c r="AW473" s="177">
        <f ca="1">AW471*AW472*IF($B477=1,PRODUCT($G477:AW477),PRODUCT($G476:AW476))</f>
        <v>1822399.873897532</v>
      </c>
      <c r="AX473" s="177">
        <f ca="1">AX471*AX472*IF($B477=1,PRODUCT($G477:AX477),PRODUCT($G476:AX476))</f>
        <v>1840184.2991790841</v>
      </c>
      <c r="AY473" s="177">
        <f ca="1">AY471*AY472*IF($B477=1,PRODUCT($G477:AY477),PRODUCT($G476:AY476))</f>
        <v>1300699.5953045874</v>
      </c>
      <c r="AZ473" s="177">
        <f ca="1">AZ471*AZ472*IF($B477=1,PRODUCT($G477:AZ477),PRODUCT($G476:AZ476))</f>
        <v>938137.75353151711</v>
      </c>
      <c r="BA473" s="177">
        <f ca="1">BA471*BA472*IF($B477=1,PRODUCT($G477:BA477),PRODUCT($G476:BA476))</f>
        <v>947292.84677996091</v>
      </c>
      <c r="BB473" s="177">
        <f ca="1">BB471*BB472*IF($B477=1,PRODUCT($G477:BB477),PRODUCT($G476:BB476))</f>
        <v>1147844.7392389292</v>
      </c>
      <c r="BC473" s="177"/>
      <c r="BD473" s="178">
        <f ca="1">SUM(G473:BC473)</f>
        <v>44298046.370053977</v>
      </c>
    </row>
    <row r="474" spans="1:56" hidden="1" outlineLevel="1" x14ac:dyDescent="0.3">
      <c r="A474" s="184" t="str">
        <f ca="1">Language!A$749</f>
        <v>темп изменения цен</v>
      </c>
      <c r="B474" s="189"/>
      <c r="C474" s="163" t="str">
        <f ca="1">Language!$A$480</f>
        <v>% в год</v>
      </c>
      <c r="D474" s="174"/>
      <c r="F474" s="170" t="s">
        <v>2346</v>
      </c>
      <c r="G474" s="290">
        <f>CHOOSE($D471,Параметры!G$49,Параметры!G$56,Параметры!G$62)</f>
        <v>0.06</v>
      </c>
      <c r="H474" s="290">
        <f>CHOOSE($D471,Параметры!H$49,Параметры!H$56,Параметры!H$62)</f>
        <v>0.06</v>
      </c>
      <c r="I474" s="290">
        <f>CHOOSE($D471,Параметры!I$49,Параметры!I$56,Параметры!I$62)</f>
        <v>0.06</v>
      </c>
      <c r="J474" s="290">
        <f>CHOOSE($D471,Параметры!J$49,Параметры!J$56,Параметры!J$62)</f>
        <v>0.06</v>
      </c>
      <c r="K474" s="290">
        <f>CHOOSE($D471,Параметры!K$49,Параметры!K$56,Параметры!K$62)</f>
        <v>0.06</v>
      </c>
      <c r="L474" s="290">
        <f>CHOOSE($D471,Параметры!L$49,Параметры!L$56,Параметры!L$62)</f>
        <v>0.06</v>
      </c>
      <c r="M474" s="290">
        <f>CHOOSE($D471,Параметры!M$49,Параметры!M$56,Параметры!M$62)</f>
        <v>0.06</v>
      </c>
      <c r="N474" s="290">
        <f>CHOOSE($D471,Параметры!N$49,Параметры!N$56,Параметры!N$62)</f>
        <v>0.06</v>
      </c>
      <c r="O474" s="290">
        <f>CHOOSE($D471,Параметры!O$49,Параметры!O$56,Параметры!O$62)</f>
        <v>0.06</v>
      </c>
      <c r="P474" s="290">
        <f>CHOOSE($D471,Параметры!P$49,Параметры!P$56,Параметры!P$62)</f>
        <v>0.06</v>
      </c>
      <c r="Q474" s="290">
        <f>CHOOSE($D471,Параметры!Q$49,Параметры!Q$56,Параметры!Q$62)</f>
        <v>0.06</v>
      </c>
      <c r="R474" s="290">
        <f>CHOOSE($D471,Параметры!R$49,Параметры!R$56,Параметры!R$62)</f>
        <v>0.06</v>
      </c>
      <c r="S474" s="290">
        <f>CHOOSE($D471,Параметры!S$49,Параметры!S$56,Параметры!S$62)</f>
        <v>0.06</v>
      </c>
      <c r="T474" s="290">
        <f>CHOOSE($D471,Параметры!T$49,Параметры!T$56,Параметры!T$62)</f>
        <v>0.06</v>
      </c>
      <c r="U474" s="290">
        <f>CHOOSE($D471,Параметры!U$49,Параметры!U$56,Параметры!U$62)</f>
        <v>0.06</v>
      </c>
      <c r="V474" s="290">
        <f>CHOOSE($D471,Параметры!V$49,Параметры!V$56,Параметры!V$62)</f>
        <v>0.06</v>
      </c>
      <c r="W474" s="290">
        <f>CHOOSE($D471,Параметры!W$49,Параметры!W$56,Параметры!W$62)</f>
        <v>0.06</v>
      </c>
      <c r="X474" s="290">
        <f>CHOOSE($D471,Параметры!X$49,Параметры!X$56,Параметры!X$62)</f>
        <v>0.06</v>
      </c>
      <c r="Y474" s="290">
        <f>CHOOSE($D471,Параметры!Y$49,Параметры!Y$56,Параметры!Y$62)</f>
        <v>0.06</v>
      </c>
      <c r="Z474" s="290">
        <f>CHOOSE($D471,Параметры!Z$49,Параметры!Z$56,Параметры!Z$62)</f>
        <v>0.06</v>
      </c>
      <c r="AA474" s="290">
        <f>CHOOSE($D471,Параметры!AA$49,Параметры!AA$56,Параметры!AA$62)</f>
        <v>0.06</v>
      </c>
      <c r="AB474" s="290">
        <f>CHOOSE($D471,Параметры!AB$49,Параметры!AB$56,Параметры!AB$62)</f>
        <v>0.06</v>
      </c>
      <c r="AC474" s="290">
        <f>CHOOSE($D471,Параметры!AC$49,Параметры!AC$56,Параметры!AC$62)</f>
        <v>0.06</v>
      </c>
      <c r="AD474" s="290">
        <f>CHOOSE($D471,Параметры!AD$49,Параметры!AD$56,Параметры!AD$62)</f>
        <v>0.06</v>
      </c>
      <c r="AE474" s="290">
        <f>CHOOSE($D471,Параметры!AE$49,Параметры!AE$56,Параметры!AE$62)</f>
        <v>0.06</v>
      </c>
      <c r="AF474" s="290">
        <f>CHOOSE($D471,Параметры!AF$49,Параметры!AF$56,Параметры!AF$62)</f>
        <v>0.06</v>
      </c>
      <c r="AG474" s="290">
        <f>CHOOSE($D471,Параметры!AG$49,Параметры!AG$56,Параметры!AG$62)</f>
        <v>0.06</v>
      </c>
      <c r="AH474" s="290">
        <f>CHOOSE($D471,Параметры!AH$49,Параметры!AH$56,Параметры!AH$62)</f>
        <v>0.06</v>
      </c>
      <c r="AI474" s="290">
        <f>CHOOSE($D471,Параметры!AI$49,Параметры!AI$56,Параметры!AI$62)</f>
        <v>0.06</v>
      </c>
      <c r="AJ474" s="290">
        <f>CHOOSE($D471,Параметры!AJ$49,Параметры!AJ$56,Параметры!AJ$62)</f>
        <v>0.06</v>
      </c>
      <c r="AK474" s="290">
        <f>CHOOSE($D471,Параметры!AK$49,Параметры!AK$56,Параметры!AK$62)</f>
        <v>0.06</v>
      </c>
      <c r="AL474" s="290">
        <f>CHOOSE($D471,Параметры!AL$49,Параметры!AL$56,Параметры!AL$62)</f>
        <v>0.06</v>
      </c>
      <c r="AM474" s="290">
        <f>CHOOSE($D471,Параметры!AM$49,Параметры!AM$56,Параметры!AM$62)</f>
        <v>0.06</v>
      </c>
      <c r="AN474" s="290">
        <f>CHOOSE($D471,Параметры!AN$49,Параметры!AN$56,Параметры!AN$62)</f>
        <v>0.06</v>
      </c>
      <c r="AO474" s="290">
        <f>CHOOSE($D471,Параметры!AO$49,Параметры!AO$56,Параметры!AO$62)</f>
        <v>0.06</v>
      </c>
      <c r="AP474" s="290">
        <f>CHOOSE($D471,Параметры!AP$49,Параметры!AP$56,Параметры!AP$62)</f>
        <v>0.06</v>
      </c>
      <c r="AQ474" s="290">
        <f>CHOOSE($D471,Параметры!AQ$49,Параметры!AQ$56,Параметры!AQ$62)</f>
        <v>0.06</v>
      </c>
      <c r="AR474" s="290">
        <f>CHOOSE($D471,Параметры!AR$49,Параметры!AR$56,Параметры!AR$62)</f>
        <v>0.06</v>
      </c>
      <c r="AS474" s="290">
        <f>CHOOSE($D471,Параметры!AS$49,Параметры!AS$56,Параметры!AS$62)</f>
        <v>0.06</v>
      </c>
      <c r="AT474" s="290">
        <f>CHOOSE($D471,Параметры!AT$49,Параметры!AT$56,Параметры!AT$62)</f>
        <v>0.06</v>
      </c>
      <c r="AU474" s="290">
        <f>CHOOSE($D471,Параметры!AU$49,Параметры!AU$56,Параметры!AU$62)</f>
        <v>0.06</v>
      </c>
      <c r="AV474" s="290">
        <f>CHOOSE($D471,Параметры!AV$49,Параметры!AV$56,Параметры!AV$62)</f>
        <v>0.06</v>
      </c>
      <c r="AW474" s="290">
        <f>CHOOSE($D471,Параметры!AW$49,Параметры!AW$56,Параметры!AW$62)</f>
        <v>0.06</v>
      </c>
      <c r="AX474" s="290">
        <f>CHOOSE($D471,Параметры!AX$49,Параметры!AX$56,Параметры!AX$62)</f>
        <v>0.06</v>
      </c>
      <c r="AY474" s="290">
        <f>CHOOSE($D471,Параметры!AY$49,Параметры!AY$56,Параметры!AY$62)</f>
        <v>0.06</v>
      </c>
      <c r="AZ474" s="290">
        <f>CHOOSE($D471,Параметры!AZ$49,Параметры!AZ$56,Параметры!AZ$62)</f>
        <v>0.06</v>
      </c>
      <c r="BA474" s="290">
        <f>CHOOSE($D471,Параметры!BA$49,Параметры!BA$56,Параметры!BA$62)</f>
        <v>0.06</v>
      </c>
      <c r="BB474" s="290">
        <f>CHOOSE($D471,Параметры!BB$49,Параметры!BB$56,Параметры!BB$62)</f>
        <v>0.06</v>
      </c>
      <c r="BC474" s="190"/>
      <c r="BD474" s="186"/>
    </row>
    <row r="475" spans="1:56" hidden="1" outlineLevel="1" x14ac:dyDescent="0.3">
      <c r="A475" s="184" t="str">
        <f ca="1">Language!A$750</f>
        <v>ставка НДС</v>
      </c>
      <c r="B475" s="189"/>
      <c r="C475" s="163" t="s">
        <v>1</v>
      </c>
      <c r="D475" s="174"/>
      <c r="F475" s="170" t="s">
        <v>2346</v>
      </c>
      <c r="G475" s="290">
        <f>IF(G$2=1,Параметры!G$72,IF(F475=Параметры!F$72,Параметры!F$72,F475))</f>
        <v>0</v>
      </c>
      <c r="H475" s="290">
        <f>IF(H$2=1,Параметры!H$72,IF(G475=Параметры!G$72,Параметры!G$72,G475))</f>
        <v>0</v>
      </c>
      <c r="I475" s="290">
        <f>IF(I$2=1,Параметры!I$72,IF(H475=Параметры!H$72,Параметры!H$72,H475))</f>
        <v>0</v>
      </c>
      <c r="J475" s="290">
        <f>IF(J$2=1,Параметры!J$72,IF(I475=Параметры!I$72,Параметры!I$72,I475))</f>
        <v>0</v>
      </c>
      <c r="K475" s="290">
        <f>IF(K$2=1,Параметры!K$72,IF(J475=Параметры!J$72,Параметры!J$72,J475))</f>
        <v>0</v>
      </c>
      <c r="L475" s="290">
        <f>IF(L$2=1,Параметры!L$72,IF(K475=Параметры!K$72,Параметры!K$72,K475))</f>
        <v>0</v>
      </c>
      <c r="M475" s="290">
        <f>IF(M$2=1,Параметры!M$72,IF(L475=Параметры!L$72,Параметры!L$72,L475))</f>
        <v>0</v>
      </c>
      <c r="N475" s="290">
        <f>IF(N$2=1,Параметры!N$72,IF(M475=Параметры!M$72,Параметры!M$72,M475))</f>
        <v>0</v>
      </c>
      <c r="O475" s="290">
        <f>IF(O$2=1,Параметры!O$72,IF(N475=Параметры!N$72,Параметры!N$72,N475))</f>
        <v>0</v>
      </c>
      <c r="P475" s="290">
        <f>IF(P$2=1,Параметры!P$72,IF(O475=Параметры!O$72,Параметры!O$72,O475))</f>
        <v>0</v>
      </c>
      <c r="Q475" s="290">
        <f>IF(Q$2=1,Параметры!Q$72,IF(P475=Параметры!P$72,Параметры!P$72,P475))</f>
        <v>0</v>
      </c>
      <c r="R475" s="290">
        <f>IF(R$2=1,Параметры!R$72,IF(Q475=Параметры!Q$72,Параметры!Q$72,Q475))</f>
        <v>0</v>
      </c>
      <c r="S475" s="290">
        <f>IF(S$2=1,Параметры!S$72,IF(R475=Параметры!R$72,Параметры!R$72,R475))</f>
        <v>0</v>
      </c>
      <c r="T475" s="290">
        <f>IF(T$2=1,Параметры!T$72,IF(S475=Параметры!S$72,Параметры!S$72,S475))</f>
        <v>0</v>
      </c>
      <c r="U475" s="290">
        <f>IF(U$2=1,Параметры!U$72,IF(T475=Параметры!T$72,Параметры!T$72,T475))</f>
        <v>0</v>
      </c>
      <c r="V475" s="290">
        <f>IF(V$2=1,Параметры!V$72,IF(U475=Параметры!U$72,Параметры!U$72,U475))</f>
        <v>0</v>
      </c>
      <c r="W475" s="290">
        <f>IF(W$2=1,Параметры!W$72,IF(V475=Параметры!V$72,Параметры!V$72,V475))</f>
        <v>0</v>
      </c>
      <c r="X475" s="290">
        <f>IF(X$2=1,Параметры!X$72,IF(W475=Параметры!W$72,Параметры!W$72,W475))</f>
        <v>0</v>
      </c>
      <c r="Y475" s="290">
        <f>IF(Y$2=1,Параметры!Y$72,IF(X475=Параметры!X$72,Параметры!X$72,X475))</f>
        <v>0</v>
      </c>
      <c r="Z475" s="290">
        <f>IF(Z$2=1,Параметры!Z$72,IF(Y475=Параметры!Y$72,Параметры!Y$72,Y475))</f>
        <v>0</v>
      </c>
      <c r="AA475" s="290">
        <f>IF(AA$2=1,Параметры!AA$72,IF(Z475=Параметры!Z$72,Параметры!Z$72,Z475))</f>
        <v>0</v>
      </c>
      <c r="AB475" s="290">
        <f>IF(AB$2=1,Параметры!AB$72,IF(AA475=Параметры!AA$72,Параметры!AA$72,AA475))</f>
        <v>0</v>
      </c>
      <c r="AC475" s="290">
        <f>IF(AC$2=1,Параметры!AC$72,IF(AB475=Параметры!AB$72,Параметры!AB$72,AB475))</f>
        <v>0</v>
      </c>
      <c r="AD475" s="290">
        <f>IF(AD$2=1,Параметры!AD$72,IF(AC475=Параметры!AC$72,Параметры!AC$72,AC475))</f>
        <v>0</v>
      </c>
      <c r="AE475" s="290">
        <f>IF(AE$2=1,Параметры!AE$72,IF(AD475=Параметры!AD$72,Параметры!AD$72,AD475))</f>
        <v>0</v>
      </c>
      <c r="AF475" s="290">
        <f>IF(AF$2=1,Параметры!AF$72,IF(AE475=Параметры!AE$72,Параметры!AE$72,AE475))</f>
        <v>0</v>
      </c>
      <c r="AG475" s="290">
        <f>IF(AG$2=1,Параметры!AG$72,IF(AF475=Параметры!AF$72,Параметры!AF$72,AF475))</f>
        <v>0</v>
      </c>
      <c r="AH475" s="290">
        <f>IF(AH$2=1,Параметры!AH$72,IF(AG475=Параметры!AG$72,Параметры!AG$72,AG475))</f>
        <v>0</v>
      </c>
      <c r="AI475" s="290">
        <f>IF(AI$2=1,Параметры!AI$72,IF(AH475=Параметры!AH$72,Параметры!AH$72,AH475))</f>
        <v>0</v>
      </c>
      <c r="AJ475" s="290">
        <f>IF(AJ$2=1,Параметры!AJ$72,IF(AI475=Параметры!AI$72,Параметры!AI$72,AI475))</f>
        <v>0</v>
      </c>
      <c r="AK475" s="290">
        <f>IF(AK$2=1,Параметры!AK$72,IF(AJ475=Параметры!AJ$72,Параметры!AJ$72,AJ475))</f>
        <v>0</v>
      </c>
      <c r="AL475" s="290">
        <f>IF(AL$2=1,Параметры!AL$72,IF(AK475=Параметры!AK$72,Параметры!AK$72,AK475))</f>
        <v>0</v>
      </c>
      <c r="AM475" s="290">
        <f>IF(AM$2=1,Параметры!AM$72,IF(AL475=Параметры!AL$72,Параметры!AL$72,AL475))</f>
        <v>0</v>
      </c>
      <c r="AN475" s="290">
        <f>IF(AN$2=1,Параметры!AN$72,IF(AM475=Параметры!AM$72,Параметры!AM$72,AM475))</f>
        <v>0</v>
      </c>
      <c r="AO475" s="290">
        <f>IF(AO$2=1,Параметры!AO$72,IF(AN475=Параметры!AN$72,Параметры!AN$72,AN475))</f>
        <v>0</v>
      </c>
      <c r="AP475" s="290">
        <f>IF(AP$2=1,Параметры!AP$72,IF(AO475=Параметры!AO$72,Параметры!AO$72,AO475))</f>
        <v>0</v>
      </c>
      <c r="AQ475" s="290">
        <f>IF(AQ$2=1,Параметры!AQ$72,IF(AP475=Параметры!AP$72,Параметры!AP$72,AP475))</f>
        <v>0</v>
      </c>
      <c r="AR475" s="290">
        <f>IF(AR$2=1,Параметры!AR$72,IF(AQ475=Параметры!AQ$72,Параметры!AQ$72,AQ475))</f>
        <v>0</v>
      </c>
      <c r="AS475" s="290">
        <f>IF(AS$2=1,Параметры!AS$72,IF(AR475=Параметры!AR$72,Параметры!AR$72,AR475))</f>
        <v>0</v>
      </c>
      <c r="AT475" s="290">
        <f>IF(AT$2=1,Параметры!AT$72,IF(AS475=Параметры!AS$72,Параметры!AS$72,AS475))</f>
        <v>0</v>
      </c>
      <c r="AU475" s="290">
        <f>IF(AU$2=1,Параметры!AU$72,IF(AT475=Параметры!AT$72,Параметры!AT$72,AT475))</f>
        <v>0</v>
      </c>
      <c r="AV475" s="290">
        <f>IF(AV$2=1,Параметры!AV$72,IF(AU475=Параметры!AU$72,Параметры!AU$72,AU475))</f>
        <v>0</v>
      </c>
      <c r="AW475" s="290">
        <f>IF(AW$2=1,Параметры!AW$72,IF(AV475=Параметры!AV$72,Параметры!AV$72,AV475))</f>
        <v>0</v>
      </c>
      <c r="AX475" s="290">
        <f>IF(AX$2=1,Параметры!AX$72,IF(AW475=Параметры!AW$72,Параметры!AW$72,AW475))</f>
        <v>0</v>
      </c>
      <c r="AY475" s="290">
        <f>IF(AY$2=1,Параметры!AY$72,IF(AX475=Параметры!AX$72,Параметры!AX$72,AX475))</f>
        <v>0</v>
      </c>
      <c r="AZ475" s="290">
        <f>IF(AZ$2=1,Параметры!AZ$72,IF(AY475=Параметры!AY$72,Параметры!AY$72,AY475))</f>
        <v>0</v>
      </c>
      <c r="BA475" s="290">
        <f>IF(BA$2=1,Параметры!BA$72,IF(AZ475=Параметры!AZ$72,Параметры!AZ$72,AZ475))</f>
        <v>0</v>
      </c>
      <c r="BB475" s="290">
        <f>IF(BB$2=1,Параметры!BB$72,IF(BA475=Параметры!BA$72,Параметры!BA$72,BA475))</f>
        <v>0</v>
      </c>
      <c r="BC475" s="190"/>
      <c r="BD475" s="186"/>
    </row>
    <row r="476" spans="1:56" hidden="1" outlineLevel="1" x14ac:dyDescent="0.3">
      <c r="A476" s="184" t="str">
        <f ca="1">Language!A$675</f>
        <v>коэффициент прироста цен к предыдущему периоду</v>
      </c>
      <c r="B476" s="189"/>
      <c r="C476" s="163" t="str">
        <f ca="1">Language!$A$1477</f>
        <v>раз</v>
      </c>
      <c r="D476" s="174"/>
      <c r="F476" s="170" t="s">
        <v>745</v>
      </c>
      <c r="G476" s="191">
        <f ca="1">IF(G$2=1,1,IF(Prj_Inflation=1, (1+OFFSET(G474,0,-1))^(Параметры!G$30/360), 1))</f>
        <v>1</v>
      </c>
      <c r="H476" s="191">
        <f ca="1">IF(H$2=1,1,IF(Prj_Inflation=1, (1+OFFSET(H474,0,-1))^(Параметры!H$30/360), 1))</f>
        <v>1.004867550565343</v>
      </c>
      <c r="I476" s="191">
        <f ca="1">IF(I$2=1,1,IF(Prj_Inflation=1, (1+OFFSET(I474,0,-1))^(Параметры!I$30/360), 1))</f>
        <v>1.004867550565343</v>
      </c>
      <c r="J476" s="191">
        <f ca="1">IF(J$2=1,1,IF(Prj_Inflation=1, (1+OFFSET(J474,0,-1))^(Параметры!J$30/360), 1))</f>
        <v>1.004867550565343</v>
      </c>
      <c r="K476" s="191">
        <f ca="1">IF(K$2=1,1,IF(Prj_Inflation=1, (1+OFFSET(K474,0,-1))^(Параметры!K$30/360), 1))</f>
        <v>1.004867550565343</v>
      </c>
      <c r="L476" s="191">
        <f ca="1">IF(L$2=1,1,IF(Prj_Inflation=1, (1+OFFSET(L474,0,-1))^(Параметры!L$30/360), 1))</f>
        <v>1.004867550565343</v>
      </c>
      <c r="M476" s="191">
        <f ca="1">IF(M$2=1,1,IF(Prj_Inflation=1, (1+OFFSET(M474,0,-1))^(Параметры!M$30/360), 1))</f>
        <v>1.004867550565343</v>
      </c>
      <c r="N476" s="191">
        <f ca="1">IF(N$2=1,1,IF(Prj_Inflation=1, (1+OFFSET(N474,0,-1))^(Параметры!N$30/360), 1))</f>
        <v>1.004867550565343</v>
      </c>
      <c r="O476" s="191">
        <f ca="1">IF(O$2=1,1,IF(Prj_Inflation=1, (1+OFFSET(O474,0,-1))^(Параметры!O$30/360), 1))</f>
        <v>1.004867550565343</v>
      </c>
      <c r="P476" s="191">
        <f ca="1">IF(P$2=1,1,IF(Prj_Inflation=1, (1+OFFSET(P474,0,-1))^(Параметры!P$30/360), 1))</f>
        <v>1.004867550565343</v>
      </c>
      <c r="Q476" s="191">
        <f ca="1">IF(Q$2=1,1,IF(Prj_Inflation=1, (1+OFFSET(Q474,0,-1))^(Параметры!Q$30/360), 1))</f>
        <v>1.004867550565343</v>
      </c>
      <c r="R476" s="191">
        <f ca="1">IF(R$2=1,1,IF(Prj_Inflation=1, (1+OFFSET(R474,0,-1))^(Параметры!R$30/360), 1))</f>
        <v>1.004867550565343</v>
      </c>
      <c r="S476" s="191">
        <f ca="1">IF(S$2=1,1,IF(Prj_Inflation=1, (1+OFFSET(S474,0,-1))^(Параметры!S$30/360), 1))</f>
        <v>1.004867550565343</v>
      </c>
      <c r="T476" s="191">
        <f ca="1">IF(T$2=1,1,IF(Prj_Inflation=1, (1+OFFSET(T474,0,-1))^(Параметры!T$30/360), 1))</f>
        <v>1.004867550565343</v>
      </c>
      <c r="U476" s="191">
        <f ca="1">IF(U$2=1,1,IF(Prj_Inflation=1, (1+OFFSET(U474,0,-1))^(Параметры!U$30/360), 1))</f>
        <v>1.004867550565343</v>
      </c>
      <c r="V476" s="191">
        <f ca="1">IF(V$2=1,1,IF(Prj_Inflation=1, (1+OFFSET(V474,0,-1))^(Параметры!V$30/360), 1))</f>
        <v>1.004867550565343</v>
      </c>
      <c r="W476" s="191">
        <f ca="1">IF(W$2=1,1,IF(Prj_Inflation=1, (1+OFFSET(W474,0,-1))^(Параметры!W$30/360), 1))</f>
        <v>1.004867550565343</v>
      </c>
      <c r="X476" s="191">
        <f ca="1">IF(X$2=1,1,IF(Prj_Inflation=1, (1+OFFSET(X474,0,-1))^(Параметры!X$30/360), 1))</f>
        <v>1.004867550565343</v>
      </c>
      <c r="Y476" s="191">
        <f ca="1">IF(Y$2=1,1,IF(Prj_Inflation=1, (1+OFFSET(Y474,0,-1))^(Параметры!Y$30/360), 1))</f>
        <v>1.004867550565343</v>
      </c>
      <c r="Z476" s="191">
        <f ca="1">IF(Z$2=1,1,IF(Prj_Inflation=1, (1+OFFSET(Z474,0,-1))^(Параметры!Z$30/360), 1))</f>
        <v>1.004867550565343</v>
      </c>
      <c r="AA476" s="191">
        <f ca="1">IF(AA$2=1,1,IF(Prj_Inflation=1, (1+OFFSET(AA474,0,-1))^(Параметры!AA$30/360), 1))</f>
        <v>1.004867550565343</v>
      </c>
      <c r="AB476" s="191">
        <f ca="1">IF(AB$2=1,1,IF(Prj_Inflation=1, (1+OFFSET(AB474,0,-1))^(Параметры!AB$30/360), 1))</f>
        <v>1.004867550565343</v>
      </c>
      <c r="AC476" s="191">
        <f ca="1">IF(AC$2=1,1,IF(Prj_Inflation=1, (1+OFFSET(AC474,0,-1))^(Параметры!AC$30/360), 1))</f>
        <v>1.004867550565343</v>
      </c>
      <c r="AD476" s="191">
        <f ca="1">IF(AD$2=1,1,IF(Prj_Inflation=1, (1+OFFSET(AD474,0,-1))^(Параметры!AD$30/360), 1))</f>
        <v>1.004867550565343</v>
      </c>
      <c r="AE476" s="191">
        <f ca="1">IF(AE$2=1,1,IF(Prj_Inflation=1, (1+OFFSET(AE474,0,-1))^(Параметры!AE$30/360), 1))</f>
        <v>1.004867550565343</v>
      </c>
      <c r="AF476" s="191">
        <f ca="1">IF(AF$2=1,1,IF(Prj_Inflation=1, (1+OFFSET(AF474,0,-1))^(Параметры!AF$30/360), 1))</f>
        <v>1.004867550565343</v>
      </c>
      <c r="AG476" s="191">
        <f ca="1">IF(AG$2=1,1,IF(Prj_Inflation=1, (1+OFFSET(AG474,0,-1))^(Параметры!AG$30/360), 1))</f>
        <v>1.004867550565343</v>
      </c>
      <c r="AH476" s="191">
        <f ca="1">IF(AH$2=1,1,IF(Prj_Inflation=1, (1+OFFSET(AH474,0,-1))^(Параметры!AH$30/360), 1))</f>
        <v>1.004867550565343</v>
      </c>
      <c r="AI476" s="191">
        <f ca="1">IF(AI$2=1,1,IF(Prj_Inflation=1, (1+OFFSET(AI474,0,-1))^(Параметры!AI$30/360), 1))</f>
        <v>1.004867550565343</v>
      </c>
      <c r="AJ476" s="191">
        <f ca="1">IF(AJ$2=1,1,IF(Prj_Inflation=1, (1+OFFSET(AJ474,0,-1))^(Параметры!AJ$30/360), 1))</f>
        <v>1.004867550565343</v>
      </c>
      <c r="AK476" s="191">
        <f ca="1">IF(AK$2=1,1,IF(Prj_Inflation=1, (1+OFFSET(AK474,0,-1))^(Параметры!AK$30/360), 1))</f>
        <v>1.004867550565343</v>
      </c>
      <c r="AL476" s="191">
        <f ca="1">IF(AL$2=1,1,IF(Prj_Inflation=1, (1+OFFSET(AL474,0,-1))^(Параметры!AL$30/360), 1))</f>
        <v>1.004867550565343</v>
      </c>
      <c r="AM476" s="191">
        <f ca="1">IF(AM$2=1,1,IF(Prj_Inflation=1, (1+OFFSET(AM474,0,-1))^(Параметры!AM$30/360), 1))</f>
        <v>1.004867550565343</v>
      </c>
      <c r="AN476" s="191">
        <f ca="1">IF(AN$2=1,1,IF(Prj_Inflation=1, (1+OFFSET(AN474,0,-1))^(Параметры!AN$30/360), 1))</f>
        <v>1.004867550565343</v>
      </c>
      <c r="AO476" s="191">
        <f ca="1">IF(AO$2=1,1,IF(Prj_Inflation=1, (1+OFFSET(AO474,0,-1))^(Параметры!AO$30/360), 1))</f>
        <v>1.004867550565343</v>
      </c>
      <c r="AP476" s="191">
        <f ca="1">IF(AP$2=1,1,IF(Prj_Inflation=1, (1+OFFSET(AP474,0,-1))^(Параметры!AP$30/360), 1))</f>
        <v>1.004867550565343</v>
      </c>
      <c r="AQ476" s="191">
        <f ca="1">IF(AQ$2=1,1,IF(Prj_Inflation=1, (1+OFFSET(AQ474,0,-1))^(Параметры!AQ$30/360), 1))</f>
        <v>1.004867550565343</v>
      </c>
      <c r="AR476" s="191">
        <f ca="1">IF(AR$2=1,1,IF(Prj_Inflation=1, (1+OFFSET(AR474,0,-1))^(Параметры!AR$30/360), 1))</f>
        <v>1.004867550565343</v>
      </c>
      <c r="AS476" s="191">
        <f ca="1">IF(AS$2=1,1,IF(Prj_Inflation=1, (1+OFFSET(AS474,0,-1))^(Параметры!AS$30/360), 1))</f>
        <v>1.004867550565343</v>
      </c>
      <c r="AT476" s="191">
        <f ca="1">IF(AT$2=1,1,IF(Prj_Inflation=1, (1+OFFSET(AT474,0,-1))^(Параметры!AT$30/360), 1))</f>
        <v>1.004867550565343</v>
      </c>
      <c r="AU476" s="191">
        <f ca="1">IF(AU$2=1,1,IF(Prj_Inflation=1, (1+OFFSET(AU474,0,-1))^(Параметры!AU$30/360), 1))</f>
        <v>1.004867550565343</v>
      </c>
      <c r="AV476" s="191">
        <f ca="1">IF(AV$2=1,1,IF(Prj_Inflation=1, (1+OFFSET(AV474,0,-1))^(Параметры!AV$30/360), 1))</f>
        <v>1.004867550565343</v>
      </c>
      <c r="AW476" s="191">
        <f ca="1">IF(AW$2=1,1,IF(Prj_Inflation=1, (1+OFFSET(AW474,0,-1))^(Параметры!AW$30/360), 1))</f>
        <v>1.004867550565343</v>
      </c>
      <c r="AX476" s="191">
        <f ca="1">IF(AX$2=1,1,IF(Prj_Inflation=1, (1+OFFSET(AX474,0,-1))^(Параметры!AX$30/360), 1))</f>
        <v>1.004867550565343</v>
      </c>
      <c r="AY476" s="191">
        <f ca="1">IF(AY$2=1,1,IF(Prj_Inflation=1, (1+OFFSET(AY474,0,-1))^(Параметры!AY$30/360), 1))</f>
        <v>1.004867550565343</v>
      </c>
      <c r="AZ476" s="191">
        <f ca="1">IF(AZ$2=1,1,IF(Prj_Inflation=1, (1+OFFSET(AZ474,0,-1))^(Параметры!AZ$30/360), 1))</f>
        <v>1.004867550565343</v>
      </c>
      <c r="BA476" s="191">
        <f ca="1">IF(BA$2=1,1,IF(Prj_Inflation=1, (1+OFFSET(BA474,0,-1))^(Параметры!BA$30/360), 1))</f>
        <v>1.004867550565343</v>
      </c>
      <c r="BB476" s="191">
        <f ca="1">IF(BB$2=1,1,IF(Prj_Inflation=1, (1+OFFSET(BB474,0,-1))^(Параметры!BB$30/360), 1))</f>
        <v>1.004867550565343</v>
      </c>
      <c r="BC476" s="191"/>
      <c r="BD476" s="186"/>
    </row>
    <row r="477" spans="1:56" hidden="1" outlineLevel="1" x14ac:dyDescent="0.3">
      <c r="A477" s="184" t="str">
        <f ca="1">Language!A$1486</f>
        <v>индексировать в начале года</v>
      </c>
      <c r="B477" s="291">
        <v>0</v>
      </c>
      <c r="C477" s="163" t="str">
        <f ca="1">IF(B477=1,Language!$A$1475,Language!$A$1476)</f>
        <v>Нет</v>
      </c>
      <c r="D477" s="174"/>
      <c r="F477" s="170" t="s">
        <v>3408</v>
      </c>
      <c r="G477" s="192" t="str">
        <f ca="1">IF(Prj_Inflation=1,IF($B477=1,IF(G$2=1,1,IF(Параметры!G$29=1,1+OFFSET(G474,0,-1),1)),"-"),1)</f>
        <v>-</v>
      </c>
      <c r="H477" s="192" t="str">
        <f ca="1">IF(Prj_Inflation=1,IF($B477=1,IF(H$2=1,1,IF(Параметры!H$29=1,1+OFFSET(H474,0,-1),1)),"-"),1)</f>
        <v>-</v>
      </c>
      <c r="I477" s="192" t="str">
        <f ca="1">IF(Prj_Inflation=1,IF($B477=1,IF(I$2=1,1,IF(Параметры!I$29=1,1+OFFSET(I474,0,-1),1)),"-"),1)</f>
        <v>-</v>
      </c>
      <c r="J477" s="192" t="str">
        <f ca="1">IF(Prj_Inflation=1,IF($B477=1,IF(J$2=1,1,IF(Параметры!J$29=1,1+OFFSET(J474,0,-1),1)),"-"),1)</f>
        <v>-</v>
      </c>
      <c r="K477" s="192" t="str">
        <f ca="1">IF(Prj_Inflation=1,IF($B477=1,IF(K$2=1,1,IF(Параметры!K$29=1,1+OFFSET(K474,0,-1),1)),"-"),1)</f>
        <v>-</v>
      </c>
      <c r="L477" s="192" t="str">
        <f ca="1">IF(Prj_Inflation=1,IF($B477=1,IF(L$2=1,1,IF(Параметры!L$29=1,1+OFFSET(L474,0,-1),1)),"-"),1)</f>
        <v>-</v>
      </c>
      <c r="M477" s="192" t="str">
        <f ca="1">IF(Prj_Inflation=1,IF($B477=1,IF(M$2=1,1,IF(Параметры!M$29=1,1+OFFSET(M474,0,-1),1)),"-"),1)</f>
        <v>-</v>
      </c>
      <c r="N477" s="192" t="str">
        <f ca="1">IF(Prj_Inflation=1,IF($B477=1,IF(N$2=1,1,IF(Параметры!N$29=1,1+OFFSET(N474,0,-1),1)),"-"),1)</f>
        <v>-</v>
      </c>
      <c r="O477" s="192" t="str">
        <f ca="1">IF(Prj_Inflation=1,IF($B477=1,IF(O$2=1,1,IF(Параметры!O$29=1,1+OFFSET(O474,0,-1),1)),"-"),1)</f>
        <v>-</v>
      </c>
      <c r="P477" s="192" t="str">
        <f ca="1">IF(Prj_Inflation=1,IF($B477=1,IF(P$2=1,1,IF(Параметры!P$29=1,1+OFFSET(P474,0,-1),1)),"-"),1)</f>
        <v>-</v>
      </c>
      <c r="Q477" s="192" t="str">
        <f ca="1">IF(Prj_Inflation=1,IF($B477=1,IF(Q$2=1,1,IF(Параметры!Q$29=1,1+OFFSET(Q474,0,-1),1)),"-"),1)</f>
        <v>-</v>
      </c>
      <c r="R477" s="192" t="str">
        <f ca="1">IF(Prj_Inflation=1,IF($B477=1,IF(R$2=1,1,IF(Параметры!R$29=1,1+OFFSET(R474,0,-1),1)),"-"),1)</f>
        <v>-</v>
      </c>
      <c r="S477" s="192" t="str">
        <f ca="1">IF(Prj_Inflation=1,IF($B477=1,IF(S$2=1,1,IF(Параметры!S$29=1,1+OFFSET(S474,0,-1),1)),"-"),1)</f>
        <v>-</v>
      </c>
      <c r="T477" s="192" t="str">
        <f ca="1">IF(Prj_Inflation=1,IF($B477=1,IF(T$2=1,1,IF(Параметры!T$29=1,1+OFFSET(T474,0,-1),1)),"-"),1)</f>
        <v>-</v>
      </c>
      <c r="U477" s="192" t="str">
        <f ca="1">IF(Prj_Inflation=1,IF($B477=1,IF(U$2=1,1,IF(Параметры!U$29=1,1+OFFSET(U474,0,-1),1)),"-"),1)</f>
        <v>-</v>
      </c>
      <c r="V477" s="192" t="str">
        <f ca="1">IF(Prj_Inflation=1,IF($B477=1,IF(V$2=1,1,IF(Параметры!V$29=1,1+OFFSET(V474,0,-1),1)),"-"),1)</f>
        <v>-</v>
      </c>
      <c r="W477" s="192" t="str">
        <f ca="1">IF(Prj_Inflation=1,IF($B477=1,IF(W$2=1,1,IF(Параметры!W$29=1,1+OFFSET(W474,0,-1),1)),"-"),1)</f>
        <v>-</v>
      </c>
      <c r="X477" s="192" t="str">
        <f ca="1">IF(Prj_Inflation=1,IF($B477=1,IF(X$2=1,1,IF(Параметры!X$29=1,1+OFFSET(X474,0,-1),1)),"-"),1)</f>
        <v>-</v>
      </c>
      <c r="Y477" s="192" t="str">
        <f ca="1">IF(Prj_Inflation=1,IF($B477=1,IF(Y$2=1,1,IF(Параметры!Y$29=1,1+OFFSET(Y474,0,-1),1)),"-"),1)</f>
        <v>-</v>
      </c>
      <c r="Z477" s="192" t="str">
        <f ca="1">IF(Prj_Inflation=1,IF($B477=1,IF(Z$2=1,1,IF(Параметры!Z$29=1,1+OFFSET(Z474,0,-1),1)),"-"),1)</f>
        <v>-</v>
      </c>
      <c r="AA477" s="192" t="str">
        <f ca="1">IF(Prj_Inflation=1,IF($B477=1,IF(AA$2=1,1,IF(Параметры!AA$29=1,1+OFFSET(AA474,0,-1),1)),"-"),1)</f>
        <v>-</v>
      </c>
      <c r="AB477" s="192" t="str">
        <f ca="1">IF(Prj_Inflation=1,IF($B477=1,IF(AB$2=1,1,IF(Параметры!AB$29=1,1+OFFSET(AB474,0,-1),1)),"-"),1)</f>
        <v>-</v>
      </c>
      <c r="AC477" s="192" t="str">
        <f ca="1">IF(Prj_Inflation=1,IF($B477=1,IF(AC$2=1,1,IF(Параметры!AC$29=1,1+OFFSET(AC474,0,-1),1)),"-"),1)</f>
        <v>-</v>
      </c>
      <c r="AD477" s="192" t="str">
        <f ca="1">IF(Prj_Inflation=1,IF($B477=1,IF(AD$2=1,1,IF(Параметры!AD$29=1,1+OFFSET(AD474,0,-1),1)),"-"),1)</f>
        <v>-</v>
      </c>
      <c r="AE477" s="192" t="str">
        <f ca="1">IF(Prj_Inflation=1,IF($B477=1,IF(AE$2=1,1,IF(Параметры!AE$29=1,1+OFFSET(AE474,0,-1),1)),"-"),1)</f>
        <v>-</v>
      </c>
      <c r="AF477" s="192" t="str">
        <f ca="1">IF(Prj_Inflation=1,IF($B477=1,IF(AF$2=1,1,IF(Параметры!AF$29=1,1+OFFSET(AF474,0,-1),1)),"-"),1)</f>
        <v>-</v>
      </c>
      <c r="AG477" s="192" t="str">
        <f ca="1">IF(Prj_Inflation=1,IF($B477=1,IF(AG$2=1,1,IF(Параметры!AG$29=1,1+OFFSET(AG474,0,-1),1)),"-"),1)</f>
        <v>-</v>
      </c>
      <c r="AH477" s="192" t="str">
        <f ca="1">IF(Prj_Inflation=1,IF($B477=1,IF(AH$2=1,1,IF(Параметры!AH$29=1,1+OFFSET(AH474,0,-1),1)),"-"),1)</f>
        <v>-</v>
      </c>
      <c r="AI477" s="192" t="str">
        <f ca="1">IF(Prj_Inflation=1,IF($B477=1,IF(AI$2=1,1,IF(Параметры!AI$29=1,1+OFFSET(AI474,0,-1),1)),"-"),1)</f>
        <v>-</v>
      </c>
      <c r="AJ477" s="192" t="str">
        <f ca="1">IF(Prj_Inflation=1,IF($B477=1,IF(AJ$2=1,1,IF(Параметры!AJ$29=1,1+OFFSET(AJ474,0,-1),1)),"-"),1)</f>
        <v>-</v>
      </c>
      <c r="AK477" s="192" t="str">
        <f ca="1">IF(Prj_Inflation=1,IF($B477=1,IF(AK$2=1,1,IF(Параметры!AK$29=1,1+OFFSET(AK474,0,-1),1)),"-"),1)</f>
        <v>-</v>
      </c>
      <c r="AL477" s="192" t="str">
        <f ca="1">IF(Prj_Inflation=1,IF($B477=1,IF(AL$2=1,1,IF(Параметры!AL$29=1,1+OFFSET(AL474,0,-1),1)),"-"),1)</f>
        <v>-</v>
      </c>
      <c r="AM477" s="192" t="str">
        <f ca="1">IF(Prj_Inflation=1,IF($B477=1,IF(AM$2=1,1,IF(Параметры!AM$29=1,1+OFFSET(AM474,0,-1),1)),"-"),1)</f>
        <v>-</v>
      </c>
      <c r="AN477" s="192" t="str">
        <f ca="1">IF(Prj_Inflation=1,IF($B477=1,IF(AN$2=1,1,IF(Параметры!AN$29=1,1+OFFSET(AN474,0,-1),1)),"-"),1)</f>
        <v>-</v>
      </c>
      <c r="AO477" s="192" t="str">
        <f ca="1">IF(Prj_Inflation=1,IF($B477=1,IF(AO$2=1,1,IF(Параметры!AO$29=1,1+OFFSET(AO474,0,-1),1)),"-"),1)</f>
        <v>-</v>
      </c>
      <c r="AP477" s="192" t="str">
        <f ca="1">IF(Prj_Inflation=1,IF($B477=1,IF(AP$2=1,1,IF(Параметры!AP$29=1,1+OFFSET(AP474,0,-1),1)),"-"),1)</f>
        <v>-</v>
      </c>
      <c r="AQ477" s="192" t="str">
        <f ca="1">IF(Prj_Inflation=1,IF($B477=1,IF(AQ$2=1,1,IF(Параметры!AQ$29=1,1+OFFSET(AQ474,0,-1),1)),"-"),1)</f>
        <v>-</v>
      </c>
      <c r="AR477" s="192" t="str">
        <f ca="1">IF(Prj_Inflation=1,IF($B477=1,IF(AR$2=1,1,IF(Параметры!AR$29=1,1+OFFSET(AR474,0,-1),1)),"-"),1)</f>
        <v>-</v>
      </c>
      <c r="AS477" s="192" t="str">
        <f ca="1">IF(Prj_Inflation=1,IF($B477=1,IF(AS$2=1,1,IF(Параметры!AS$29=1,1+OFFSET(AS474,0,-1),1)),"-"),1)</f>
        <v>-</v>
      </c>
      <c r="AT477" s="192" t="str">
        <f ca="1">IF(Prj_Inflation=1,IF($B477=1,IF(AT$2=1,1,IF(Параметры!AT$29=1,1+OFFSET(AT474,0,-1),1)),"-"),1)</f>
        <v>-</v>
      </c>
      <c r="AU477" s="192" t="str">
        <f ca="1">IF(Prj_Inflation=1,IF($B477=1,IF(AU$2=1,1,IF(Параметры!AU$29=1,1+OFFSET(AU474,0,-1),1)),"-"),1)</f>
        <v>-</v>
      </c>
      <c r="AV477" s="192" t="str">
        <f ca="1">IF(Prj_Inflation=1,IF($B477=1,IF(AV$2=1,1,IF(Параметры!AV$29=1,1+OFFSET(AV474,0,-1),1)),"-"),1)</f>
        <v>-</v>
      </c>
      <c r="AW477" s="192" t="str">
        <f ca="1">IF(Prj_Inflation=1,IF($B477=1,IF(AW$2=1,1,IF(Параметры!AW$29=1,1+OFFSET(AW474,0,-1),1)),"-"),1)</f>
        <v>-</v>
      </c>
      <c r="AX477" s="192" t="str">
        <f ca="1">IF(Prj_Inflation=1,IF($B477=1,IF(AX$2=1,1,IF(Параметры!AX$29=1,1+OFFSET(AX474,0,-1),1)),"-"),1)</f>
        <v>-</v>
      </c>
      <c r="AY477" s="192" t="str">
        <f ca="1">IF(Prj_Inflation=1,IF($B477=1,IF(AY$2=1,1,IF(Параметры!AY$29=1,1+OFFSET(AY474,0,-1),1)),"-"),1)</f>
        <v>-</v>
      </c>
      <c r="AZ477" s="192" t="str">
        <f ca="1">IF(Prj_Inflation=1,IF($B477=1,IF(AZ$2=1,1,IF(Параметры!AZ$29=1,1+OFFSET(AZ474,0,-1),1)),"-"),1)</f>
        <v>-</v>
      </c>
      <c r="BA477" s="192" t="str">
        <f ca="1">IF(Prj_Inflation=1,IF($B477=1,IF(BA$2=1,1,IF(Параметры!BA$29=1,1+OFFSET(BA474,0,-1),1)),"-"),1)</f>
        <v>-</v>
      </c>
      <c r="BB477" s="192" t="str">
        <f ca="1">IF(Prj_Inflation=1,IF($B477=1,IF(BB$2=1,1,IF(Параметры!BB$29=1,1+OFFSET(BB474,0,-1),1)),"-"),1)</f>
        <v>-</v>
      </c>
      <c r="BC477" s="191"/>
      <c r="BD477" s="186"/>
    </row>
    <row r="478" spans="1:56" hidden="1" outlineLevel="1" x14ac:dyDescent="0.3">
      <c r="A478" s="184" t="str">
        <f ca="1">Language!A$753</f>
        <v>НДС начисленный</v>
      </c>
      <c r="B478" s="163"/>
      <c r="C478" s="163" t="str">
        <f ca="1">CHOOSE(D478,CurName1,CurName2,CurName3)</f>
        <v>руб.</v>
      </c>
      <c r="D478" s="174">
        <f>D469</f>
        <v>1</v>
      </c>
      <c r="E478" s="170" t="s">
        <v>785</v>
      </c>
      <c r="F478" s="170" t="s">
        <v>740</v>
      </c>
      <c r="G478" s="185">
        <f ca="1">G473*G475</f>
        <v>0</v>
      </c>
      <c r="H478" s="185">
        <f t="shared" ref="H478:BB478" ca="1" si="2088">H473*H475</f>
        <v>0</v>
      </c>
      <c r="I478" s="185">
        <f t="shared" ca="1" si="2088"/>
        <v>0</v>
      </c>
      <c r="J478" s="185">
        <f t="shared" ca="1" si="2088"/>
        <v>0</v>
      </c>
      <c r="K478" s="185">
        <f t="shared" ca="1" si="2088"/>
        <v>0</v>
      </c>
      <c r="L478" s="185">
        <f t="shared" ca="1" si="2088"/>
        <v>0</v>
      </c>
      <c r="M478" s="185">
        <f t="shared" ca="1" si="2088"/>
        <v>0</v>
      </c>
      <c r="N478" s="185">
        <f t="shared" ca="1" si="2088"/>
        <v>0</v>
      </c>
      <c r="O478" s="185">
        <f t="shared" ca="1" si="2088"/>
        <v>0</v>
      </c>
      <c r="P478" s="185">
        <f t="shared" ca="1" si="2088"/>
        <v>0</v>
      </c>
      <c r="Q478" s="185">
        <f t="shared" ca="1" si="2088"/>
        <v>0</v>
      </c>
      <c r="R478" s="185">
        <f t="shared" ca="1" si="2088"/>
        <v>0</v>
      </c>
      <c r="S478" s="185">
        <f t="shared" ca="1" si="2088"/>
        <v>0</v>
      </c>
      <c r="T478" s="185">
        <f t="shared" ca="1" si="2088"/>
        <v>0</v>
      </c>
      <c r="U478" s="185">
        <f t="shared" ca="1" si="2088"/>
        <v>0</v>
      </c>
      <c r="V478" s="185">
        <f t="shared" ca="1" si="2088"/>
        <v>0</v>
      </c>
      <c r="W478" s="185">
        <f t="shared" ca="1" si="2088"/>
        <v>0</v>
      </c>
      <c r="X478" s="185">
        <f t="shared" ca="1" si="2088"/>
        <v>0</v>
      </c>
      <c r="Y478" s="185">
        <f t="shared" ca="1" si="2088"/>
        <v>0</v>
      </c>
      <c r="Z478" s="185">
        <f t="shared" ca="1" si="2088"/>
        <v>0</v>
      </c>
      <c r="AA478" s="185">
        <f t="shared" ca="1" si="2088"/>
        <v>0</v>
      </c>
      <c r="AB478" s="185">
        <f t="shared" ca="1" si="2088"/>
        <v>0</v>
      </c>
      <c r="AC478" s="185">
        <f t="shared" ca="1" si="2088"/>
        <v>0</v>
      </c>
      <c r="AD478" s="185">
        <f t="shared" ca="1" si="2088"/>
        <v>0</v>
      </c>
      <c r="AE478" s="185">
        <f t="shared" ca="1" si="2088"/>
        <v>0</v>
      </c>
      <c r="AF478" s="185">
        <f t="shared" ca="1" si="2088"/>
        <v>0</v>
      </c>
      <c r="AG478" s="185">
        <f t="shared" ca="1" si="2088"/>
        <v>0</v>
      </c>
      <c r="AH478" s="185">
        <f t="shared" ca="1" si="2088"/>
        <v>0</v>
      </c>
      <c r="AI478" s="185">
        <f t="shared" ca="1" si="2088"/>
        <v>0</v>
      </c>
      <c r="AJ478" s="185">
        <f t="shared" ca="1" si="2088"/>
        <v>0</v>
      </c>
      <c r="AK478" s="185">
        <f t="shared" ca="1" si="2088"/>
        <v>0</v>
      </c>
      <c r="AL478" s="185">
        <f t="shared" ca="1" si="2088"/>
        <v>0</v>
      </c>
      <c r="AM478" s="185">
        <f t="shared" ca="1" si="2088"/>
        <v>0</v>
      </c>
      <c r="AN478" s="185">
        <f t="shared" ca="1" si="2088"/>
        <v>0</v>
      </c>
      <c r="AO478" s="185">
        <f t="shared" ca="1" si="2088"/>
        <v>0</v>
      </c>
      <c r="AP478" s="185">
        <f t="shared" ca="1" si="2088"/>
        <v>0</v>
      </c>
      <c r="AQ478" s="185">
        <f t="shared" ca="1" si="2088"/>
        <v>0</v>
      </c>
      <c r="AR478" s="185">
        <f t="shared" ca="1" si="2088"/>
        <v>0</v>
      </c>
      <c r="AS478" s="185">
        <f t="shared" ca="1" si="2088"/>
        <v>0</v>
      </c>
      <c r="AT478" s="185">
        <f t="shared" ca="1" si="2088"/>
        <v>0</v>
      </c>
      <c r="AU478" s="185">
        <f t="shared" ca="1" si="2088"/>
        <v>0</v>
      </c>
      <c r="AV478" s="185">
        <f t="shared" ca="1" si="2088"/>
        <v>0</v>
      </c>
      <c r="AW478" s="185">
        <f t="shared" ca="1" si="2088"/>
        <v>0</v>
      </c>
      <c r="AX478" s="185">
        <f t="shared" ca="1" si="2088"/>
        <v>0</v>
      </c>
      <c r="AY478" s="185">
        <f t="shared" ca="1" si="2088"/>
        <v>0</v>
      </c>
      <c r="AZ478" s="185">
        <f t="shared" ca="1" si="2088"/>
        <v>0</v>
      </c>
      <c r="BA478" s="185">
        <f t="shared" ca="1" si="2088"/>
        <v>0</v>
      </c>
      <c r="BB478" s="185">
        <f t="shared" ca="1" si="2088"/>
        <v>0</v>
      </c>
      <c r="BC478" s="185"/>
      <c r="BD478" s="193">
        <f ca="1">SUM(G478:BC478)</f>
        <v>0</v>
      </c>
    </row>
    <row r="479" spans="1:56" x14ac:dyDescent="0.3">
      <c r="A479" s="283" t="s">
        <v>3461</v>
      </c>
      <c r="B479" s="205"/>
      <c r="C479" s="176"/>
      <c r="D479" s="174">
        <v>1</v>
      </c>
      <c r="F479" s="170" t="s">
        <v>3462</v>
      </c>
      <c r="G479" s="206"/>
      <c r="H479" s="206"/>
      <c r="I479" s="206"/>
      <c r="J479" s="206"/>
      <c r="K479" s="206"/>
      <c r="L479" s="206"/>
      <c r="M479" s="206"/>
      <c r="N479" s="206"/>
      <c r="O479" s="206"/>
      <c r="P479" s="206"/>
      <c r="Q479" s="206"/>
      <c r="R479" s="206"/>
      <c r="S479" s="206"/>
      <c r="T479" s="206"/>
      <c r="U479" s="206"/>
      <c r="V479" s="206"/>
      <c r="W479" s="206"/>
      <c r="X479" s="206"/>
      <c r="Y479" s="206"/>
      <c r="Z479" s="206"/>
      <c r="AA479" s="206"/>
      <c r="AB479" s="206"/>
      <c r="AC479" s="206"/>
      <c r="AD479" s="206"/>
      <c r="AE479" s="206"/>
      <c r="AF479" s="206"/>
      <c r="AG479" s="206"/>
      <c r="AH479" s="206"/>
      <c r="AI479" s="206"/>
      <c r="AJ479" s="206"/>
      <c r="AK479" s="206"/>
      <c r="AL479" s="206"/>
      <c r="AM479" s="206"/>
      <c r="AN479" s="206"/>
      <c r="AO479" s="206"/>
      <c r="AP479" s="206"/>
      <c r="AQ479" s="206"/>
      <c r="AR479" s="206"/>
      <c r="AS479" s="206"/>
      <c r="AT479" s="206"/>
      <c r="AU479" s="206"/>
      <c r="AV479" s="206"/>
      <c r="AW479" s="206"/>
      <c r="AX479" s="206"/>
      <c r="AY479" s="206"/>
      <c r="AZ479" s="206"/>
      <c r="BA479" s="206"/>
      <c r="BB479" s="206"/>
      <c r="BC479" s="206"/>
    </row>
    <row r="480" spans="1:56" x14ac:dyDescent="0.3">
      <c r="A480" s="175" t="str">
        <f ca="1">Language!A$746</f>
        <v>период появления затрат</v>
      </c>
      <c r="B480" s="284">
        <f>Prj_Invest+1</f>
        <v>7</v>
      </c>
      <c r="C480" s="176" t="str">
        <f ca="1">Language!$A$1480</f>
        <v>период</v>
      </c>
      <c r="D480" s="174"/>
      <c r="G480" s="177"/>
      <c r="H480" s="177"/>
      <c r="I480" s="177"/>
      <c r="J480" s="177"/>
      <c r="K480" s="177"/>
      <c r="L480" s="177"/>
      <c r="M480" s="177"/>
      <c r="N480" s="177"/>
      <c r="O480" s="177"/>
      <c r="P480" s="177"/>
      <c r="Q480" s="177"/>
      <c r="R480" s="177"/>
      <c r="S480" s="177"/>
      <c r="T480" s="177"/>
      <c r="U480" s="177"/>
      <c r="V480" s="177"/>
      <c r="W480" s="177"/>
      <c r="X480" s="177"/>
      <c r="Y480" s="177"/>
      <c r="Z480" s="177"/>
      <c r="AA480" s="177"/>
      <c r="AB480" s="177"/>
      <c r="AC480" s="177"/>
      <c r="AD480" s="177"/>
      <c r="AE480" s="177"/>
      <c r="AF480" s="177"/>
      <c r="AG480" s="177"/>
      <c r="AH480" s="177"/>
      <c r="AI480" s="177"/>
      <c r="AJ480" s="177"/>
      <c r="AK480" s="177"/>
      <c r="AL480" s="177"/>
      <c r="AM480" s="177"/>
      <c r="AN480" s="177"/>
      <c r="AO480" s="177"/>
      <c r="AP480" s="177"/>
      <c r="AQ480" s="177"/>
      <c r="AR480" s="177"/>
      <c r="AS480" s="177"/>
      <c r="AT480" s="177"/>
      <c r="AU480" s="177"/>
      <c r="AV480" s="177"/>
      <c r="AW480" s="177"/>
      <c r="AX480" s="177"/>
      <c r="AY480" s="177"/>
      <c r="AZ480" s="177"/>
      <c r="BA480" s="177"/>
      <c r="BB480" s="177"/>
      <c r="BC480" s="177"/>
      <c r="BD480" s="178"/>
    </row>
    <row r="481" spans="1:56" x14ac:dyDescent="0.3">
      <c r="A481" s="175" t="str">
        <f ca="1">Language!A$747&amp;" ("&amp;Параметры!B$19&amp;"), "&amp;Language!A$748</f>
        <v>затраты за период (месяц), без НДС</v>
      </c>
      <c r="B481" s="199"/>
      <c r="C481" s="176" t="str">
        <f t="shared" ref="C481" ca="1" si="2089">CHOOSE(D481,CurName1,CurName2,CurName3)</f>
        <v>руб.</v>
      </c>
      <c r="D481" s="174">
        <f>D479</f>
        <v>1</v>
      </c>
      <c r="F481" s="170" t="s">
        <v>2353</v>
      </c>
      <c r="G481" s="285">
        <f>500*30*G411</f>
        <v>0</v>
      </c>
      <c r="H481" s="285">
        <f t="shared" ref="H481:BB481" si="2090">500*30*H411</f>
        <v>0</v>
      </c>
      <c r="I481" s="285">
        <f t="shared" si="2090"/>
        <v>0</v>
      </c>
      <c r="J481" s="285">
        <f t="shared" si="2090"/>
        <v>0</v>
      </c>
      <c r="K481" s="285">
        <f t="shared" si="2090"/>
        <v>0</v>
      </c>
      <c r="L481" s="285">
        <f t="shared" si="2090"/>
        <v>0</v>
      </c>
      <c r="M481" s="285">
        <f t="shared" si="2090"/>
        <v>375000</v>
      </c>
      <c r="N481" s="285">
        <f t="shared" si="2090"/>
        <v>375000</v>
      </c>
      <c r="O481" s="285">
        <f t="shared" si="2090"/>
        <v>375000</v>
      </c>
      <c r="P481" s="285">
        <f t="shared" si="2090"/>
        <v>375000</v>
      </c>
      <c r="Q481" s="285">
        <f t="shared" si="2090"/>
        <v>375000</v>
      </c>
      <c r="R481" s="285">
        <f t="shared" si="2090"/>
        <v>375000</v>
      </c>
      <c r="S481" s="285">
        <f t="shared" si="2090"/>
        <v>375000</v>
      </c>
      <c r="T481" s="285">
        <f t="shared" si="2090"/>
        <v>375000</v>
      </c>
      <c r="U481" s="285">
        <f t="shared" si="2090"/>
        <v>375000</v>
      </c>
      <c r="V481" s="285">
        <f t="shared" si="2090"/>
        <v>375000</v>
      </c>
      <c r="W481" s="285">
        <f t="shared" si="2090"/>
        <v>375000</v>
      </c>
      <c r="X481" s="285">
        <f t="shared" si="2090"/>
        <v>375000</v>
      </c>
      <c r="Y481" s="285">
        <f t="shared" si="2090"/>
        <v>375000</v>
      </c>
      <c r="Z481" s="285">
        <f t="shared" si="2090"/>
        <v>375000</v>
      </c>
      <c r="AA481" s="285">
        <f t="shared" si="2090"/>
        <v>375000</v>
      </c>
      <c r="AB481" s="285">
        <f t="shared" si="2090"/>
        <v>375000</v>
      </c>
      <c r="AC481" s="285">
        <f t="shared" si="2090"/>
        <v>375000</v>
      </c>
      <c r="AD481" s="285">
        <f t="shared" si="2090"/>
        <v>375000</v>
      </c>
      <c r="AE481" s="285">
        <f t="shared" si="2090"/>
        <v>375000</v>
      </c>
      <c r="AF481" s="285">
        <f t="shared" si="2090"/>
        <v>375000</v>
      </c>
      <c r="AG481" s="285">
        <f t="shared" si="2090"/>
        <v>375000</v>
      </c>
      <c r="AH481" s="285">
        <f t="shared" si="2090"/>
        <v>375000</v>
      </c>
      <c r="AI481" s="285">
        <f t="shared" si="2090"/>
        <v>375000</v>
      </c>
      <c r="AJ481" s="285">
        <f t="shared" si="2090"/>
        <v>375000</v>
      </c>
      <c r="AK481" s="285">
        <f t="shared" si="2090"/>
        <v>375000</v>
      </c>
      <c r="AL481" s="285">
        <f t="shared" si="2090"/>
        <v>375000</v>
      </c>
      <c r="AM481" s="285">
        <f t="shared" si="2090"/>
        <v>375000</v>
      </c>
      <c r="AN481" s="285">
        <f t="shared" si="2090"/>
        <v>375000</v>
      </c>
      <c r="AO481" s="285">
        <f t="shared" si="2090"/>
        <v>375000</v>
      </c>
      <c r="AP481" s="285">
        <f t="shared" si="2090"/>
        <v>375000</v>
      </c>
      <c r="AQ481" s="285">
        <f t="shared" si="2090"/>
        <v>375000</v>
      </c>
      <c r="AR481" s="285">
        <f t="shared" si="2090"/>
        <v>375000</v>
      </c>
      <c r="AS481" s="285">
        <f t="shared" si="2090"/>
        <v>375000</v>
      </c>
      <c r="AT481" s="285">
        <f t="shared" si="2090"/>
        <v>375000</v>
      </c>
      <c r="AU481" s="285">
        <f t="shared" si="2090"/>
        <v>375000</v>
      </c>
      <c r="AV481" s="285">
        <f t="shared" si="2090"/>
        <v>375000</v>
      </c>
      <c r="AW481" s="285">
        <f t="shared" si="2090"/>
        <v>375000</v>
      </c>
      <c r="AX481" s="285">
        <f t="shared" si="2090"/>
        <v>375000</v>
      </c>
      <c r="AY481" s="285">
        <f t="shared" si="2090"/>
        <v>375000</v>
      </c>
      <c r="AZ481" s="285">
        <f t="shared" si="2090"/>
        <v>375000</v>
      </c>
      <c r="BA481" s="285">
        <f t="shared" si="2090"/>
        <v>375000</v>
      </c>
      <c r="BB481" s="285">
        <f t="shared" si="2090"/>
        <v>375000</v>
      </c>
      <c r="BC481" s="177"/>
      <c r="BD481" s="178"/>
    </row>
    <row r="482" spans="1:56" x14ac:dyDescent="0.3">
      <c r="A482" s="175" t="str">
        <f ca="1">Language!A$695</f>
        <v>коэффициент расходов</v>
      </c>
      <c r="B482" s="199"/>
      <c r="C482" s="176" t="s">
        <v>1</v>
      </c>
      <c r="F482" s="170" t="s">
        <v>745</v>
      </c>
      <c r="G482" s="286">
        <f>IF(G$2&gt;=$B480,Параметры!G$33,0)</f>
        <v>0</v>
      </c>
      <c r="H482" s="286">
        <f>IF(H$2&gt;=$B480,Параметры!H$33,0)</f>
        <v>0</v>
      </c>
      <c r="I482" s="286">
        <f>IF(I$2&gt;=$B480,Параметры!I$33,0)</f>
        <v>0</v>
      </c>
      <c r="J482" s="286">
        <f>IF(J$2&gt;=$B480,Параметры!J$33,0)</f>
        <v>0</v>
      </c>
      <c r="K482" s="286">
        <f>IF(K$2&gt;=$B480,Параметры!K$33,0)</f>
        <v>0</v>
      </c>
      <c r="L482" s="286">
        <f>IF(L$2&gt;=$B480,Параметры!L$33,0)</f>
        <v>0</v>
      </c>
      <c r="M482" s="286">
        <f>IF(M$2&gt;=$B480,Параметры!M$33,0)</f>
        <v>1</v>
      </c>
      <c r="N482" s="286">
        <f>IF(N$2&gt;=$B480,Параметры!N$33,0)</f>
        <v>1</v>
      </c>
      <c r="O482" s="286">
        <f>IF(O$2&gt;=$B480,Параметры!O$33,0)</f>
        <v>1</v>
      </c>
      <c r="P482" s="286">
        <f>IF(P$2&gt;=$B480,Параметры!P$33,0)</f>
        <v>1</v>
      </c>
      <c r="Q482" s="286">
        <f>IF(Q$2&gt;=$B480,Параметры!Q$33,0)</f>
        <v>1</v>
      </c>
      <c r="R482" s="286">
        <f>IF(R$2&gt;=$B480,Параметры!R$33,0)</f>
        <v>1</v>
      </c>
      <c r="S482" s="286">
        <f>IF(S$2&gt;=$B480,Параметры!S$33,0)</f>
        <v>1</v>
      </c>
      <c r="T482" s="286">
        <f>IF(T$2&gt;=$B480,Параметры!T$33,0)</f>
        <v>1</v>
      </c>
      <c r="U482" s="286">
        <f>IF(U$2&gt;=$B480,Параметры!U$33,0)</f>
        <v>1</v>
      </c>
      <c r="V482" s="286">
        <f>IF(V$2&gt;=$B480,Параметры!V$33,0)</f>
        <v>1</v>
      </c>
      <c r="W482" s="286">
        <f>IF(W$2&gt;=$B480,Параметры!W$33,0)</f>
        <v>1</v>
      </c>
      <c r="X482" s="286">
        <f>IF(X$2&gt;=$B480,Параметры!X$33,0)</f>
        <v>1</v>
      </c>
      <c r="Y482" s="286">
        <f>IF(Y$2&gt;=$B480,Параметры!Y$33,0)</f>
        <v>1</v>
      </c>
      <c r="Z482" s="286">
        <f>IF(Z$2&gt;=$B480,Параметры!Z$33,0)</f>
        <v>1</v>
      </c>
      <c r="AA482" s="286">
        <f>IF(AA$2&gt;=$B480,Параметры!AA$33,0)</f>
        <v>1</v>
      </c>
      <c r="AB482" s="286">
        <f>IF(AB$2&gt;=$B480,Параметры!AB$33,0)</f>
        <v>1</v>
      </c>
      <c r="AC482" s="286">
        <f>IF(AC$2&gt;=$B480,Параметры!AC$33,0)</f>
        <v>1</v>
      </c>
      <c r="AD482" s="286">
        <f>IF(AD$2&gt;=$B480,Параметры!AD$33,0)</f>
        <v>1</v>
      </c>
      <c r="AE482" s="286">
        <f>IF(AE$2&gt;=$B480,Параметры!AE$33,0)</f>
        <v>1</v>
      </c>
      <c r="AF482" s="286">
        <f>IF(AF$2&gt;=$B480,Параметры!AF$33,0)</f>
        <v>1</v>
      </c>
      <c r="AG482" s="286">
        <f>IF(AG$2&gt;=$B480,Параметры!AG$33,0)</f>
        <v>1</v>
      </c>
      <c r="AH482" s="286">
        <f>IF(AH$2&gt;=$B480,Параметры!AH$33,0)</f>
        <v>1</v>
      </c>
      <c r="AI482" s="286">
        <f>IF(AI$2&gt;=$B480,Параметры!AI$33,0)</f>
        <v>1</v>
      </c>
      <c r="AJ482" s="286">
        <f>IF(AJ$2&gt;=$B480,Параметры!AJ$33,0)</f>
        <v>1</v>
      </c>
      <c r="AK482" s="286">
        <f>IF(AK$2&gt;=$B480,Параметры!AK$33,0)</f>
        <v>1</v>
      </c>
      <c r="AL482" s="286">
        <f>IF(AL$2&gt;=$B480,Параметры!AL$33,0)</f>
        <v>1</v>
      </c>
      <c r="AM482" s="286">
        <f>IF(AM$2&gt;=$B480,Параметры!AM$33,0)</f>
        <v>1</v>
      </c>
      <c r="AN482" s="286">
        <f>IF(AN$2&gt;=$B480,Параметры!AN$33,0)</f>
        <v>1</v>
      </c>
      <c r="AO482" s="286">
        <f>IF(AO$2&gt;=$B480,Параметры!AO$33,0)</f>
        <v>1</v>
      </c>
      <c r="AP482" s="286">
        <f>IF(AP$2&gt;=$B480,Параметры!AP$33,0)</f>
        <v>1</v>
      </c>
      <c r="AQ482" s="286">
        <f>IF(AQ$2&gt;=$B480,Параметры!AQ$33,0)</f>
        <v>1</v>
      </c>
      <c r="AR482" s="286">
        <f>IF(AR$2&gt;=$B480,Параметры!AR$33,0)</f>
        <v>1</v>
      </c>
      <c r="AS482" s="286">
        <f>IF(AS$2&gt;=$B480,Параметры!AS$33,0)</f>
        <v>1</v>
      </c>
      <c r="AT482" s="286">
        <f>IF(AT$2&gt;=$B480,Параметры!AT$33,0)</f>
        <v>1</v>
      </c>
      <c r="AU482" s="286">
        <f>IF(AU$2&gt;=$B480,Параметры!AU$33,0)</f>
        <v>1</v>
      </c>
      <c r="AV482" s="286">
        <f>IF(AV$2&gt;=$B480,Параметры!AV$33,0)</f>
        <v>1</v>
      </c>
      <c r="AW482" s="286">
        <f>IF(AW$2&gt;=$B480,Параметры!AW$33,0)</f>
        <v>1</v>
      </c>
      <c r="AX482" s="286">
        <f>IF(AX$2&gt;=$B480,Параметры!AX$33,0)</f>
        <v>1</v>
      </c>
      <c r="AY482" s="286">
        <f>IF(AY$2&gt;=$B480,Параметры!AY$33,0)</f>
        <v>1</v>
      </c>
      <c r="AZ482" s="286">
        <f>IF(AZ$2&gt;=$B480,Параметры!AZ$33,0)</f>
        <v>1</v>
      </c>
      <c r="BA482" s="286">
        <f>IF(BA$2&gt;=$B480,Параметры!BA$33,0)</f>
        <v>1</v>
      </c>
      <c r="BB482" s="286">
        <f>IF(BB$2&gt;=$B480,Параметры!BB$33,0)</f>
        <v>1</v>
      </c>
      <c r="BC482" s="177"/>
    </row>
    <row r="483" spans="1:56" collapsed="1" x14ac:dyDescent="0.3">
      <c r="A483" s="175" t="str">
        <f ca="1">Language!A$752</f>
        <v>затраты с учетом инфляции, без НДС</v>
      </c>
      <c r="B483" s="199"/>
      <c r="C483" s="176" t="str">
        <f t="shared" ref="C483" ca="1" si="2091">CHOOSE(D483,CurName1,CurName2,CurName3)</f>
        <v>руб.</v>
      </c>
      <c r="D483" s="174">
        <f>D479</f>
        <v>1</v>
      </c>
      <c r="E483" s="170" t="s">
        <v>751</v>
      </c>
      <c r="F483" s="170" t="s">
        <v>740</v>
      </c>
      <c r="G483" s="177">
        <f ca="1">G481*G482*IF($B487=1,PRODUCT($G487:G487),PRODUCT($G486:G486))</f>
        <v>0</v>
      </c>
      <c r="H483" s="177">
        <f ca="1">H481*H482*IF($B487=1,PRODUCT($G487:H487),PRODUCT($G486:H486))</f>
        <v>0</v>
      </c>
      <c r="I483" s="177">
        <f ca="1">I481*I482*IF($B487=1,PRODUCT($G487:I487),PRODUCT($G486:I486))</f>
        <v>0</v>
      </c>
      <c r="J483" s="177">
        <f ca="1">J481*J482*IF($B487=1,PRODUCT($G487:J487),PRODUCT($G486:J486))</f>
        <v>0</v>
      </c>
      <c r="K483" s="177">
        <f ca="1">K481*K482*IF($B487=1,PRODUCT($G487:K487),PRODUCT($G486:K486))</f>
        <v>0</v>
      </c>
      <c r="L483" s="177">
        <f ca="1">L481*L482*IF($B487=1,PRODUCT($G487:L487),PRODUCT($G486:L486))</f>
        <v>0</v>
      </c>
      <c r="M483" s="177">
        <f ca="1">M481*M482*IF($B487=1,PRODUCT($G487:M487),PRODUCT($G486:M486))</f>
        <v>386086.13028701249</v>
      </c>
      <c r="N483" s="177">
        <f ca="1">N481*N482*IF($B487=1,PRODUCT($G487:N487),PRODUCT($G486:N486))</f>
        <v>387965.42404876219</v>
      </c>
      <c r="O483" s="177">
        <f ca="1">O481*O482*IF($B487=1,PRODUCT($G487:O487),PRODUCT($G486:O486))</f>
        <v>389853.86536792427</v>
      </c>
      <c r="P483" s="177">
        <f ca="1">P481*P482*IF($B487=1,PRODUCT($G487:P487),PRODUCT($G486:P486))</f>
        <v>391751.4987706971</v>
      </c>
      <c r="Q483" s="177">
        <f ca="1">Q481*Q482*IF($B487=1,PRODUCT($G487:Q487),PRODUCT($G486:Q486))</f>
        <v>393658.36900001246</v>
      </c>
      <c r="R483" s="177">
        <f ca="1">R481*R482*IF($B487=1,PRODUCT($G487:R487),PRODUCT($G486:R486))</f>
        <v>395574.52101659047</v>
      </c>
      <c r="S483" s="177">
        <f ca="1">S481*S482*IF($B487=1,PRODUCT($G487:S487),PRODUCT($G486:S486))</f>
        <v>397500.00000000012</v>
      </c>
      <c r="T483" s="177">
        <f ca="1">T481*T482*IF($B487=1,PRODUCT($G487:T487),PRODUCT($G486:T486))</f>
        <v>399434.85134972393</v>
      </c>
      <c r="U483" s="177">
        <f ca="1">U481*U482*IF($B487=1,PRODUCT($G487:U487),PRODUCT($G486:U486))</f>
        <v>401379.12068622897</v>
      </c>
      <c r="V483" s="177">
        <f ca="1">V481*V482*IF($B487=1,PRODUCT($G487:V487),PRODUCT($G486:V486))</f>
        <v>403332.85385204217</v>
      </c>
      <c r="W483" s="177">
        <f ca="1">W481*W482*IF($B487=1,PRODUCT($G487:W487),PRODUCT($G486:W486))</f>
        <v>405296.09691283113</v>
      </c>
      <c r="X483" s="177">
        <f ca="1">X481*X482*IF($B487=1,PRODUCT($G487:X487),PRODUCT($G486:X486))</f>
        <v>407268.89615849045</v>
      </c>
      <c r="Y483" s="177">
        <f ca="1">Y481*Y482*IF($B487=1,PRODUCT($G487:Y487),PRODUCT($G486:Y486))</f>
        <v>409251.29810423334</v>
      </c>
      <c r="Z483" s="177">
        <f ca="1">Z481*Z482*IF($B487=1,PRODUCT($G487:Z487),PRODUCT($G486:Z486))</f>
        <v>411243.34949168796</v>
      </c>
      <c r="AA483" s="177">
        <f ca="1">AA481*AA482*IF($B487=1,PRODUCT($G487:AA487),PRODUCT($G486:AA486))</f>
        <v>413245.09728999983</v>
      </c>
      <c r="AB483" s="177">
        <f ca="1">AB481*AB482*IF($B487=1,PRODUCT($G487:AB487),PRODUCT($G486:AB486))</f>
        <v>415256.588696939</v>
      </c>
      <c r="AC483" s="177">
        <f ca="1">AC481*AC482*IF($B487=1,PRODUCT($G487:AC487),PRODUCT($G486:AC486))</f>
        <v>417277.87114001327</v>
      </c>
      <c r="AD483" s="177">
        <f ca="1">AD481*AD482*IF($B487=1,PRODUCT($G487:AD487),PRODUCT($G486:AD486))</f>
        <v>419308.99227758602</v>
      </c>
      <c r="AE483" s="177">
        <f ca="1">AE481*AE482*IF($B487=1,PRODUCT($G487:AE487),PRODUCT($G486:AE486))</f>
        <v>421350.00000000023</v>
      </c>
      <c r="AF483" s="177">
        <f ca="1">AF481*AF482*IF($B487=1,PRODUCT($G487:AF487),PRODUCT($G486:AF486))</f>
        <v>423400.94243070757</v>
      </c>
      <c r="AG483" s="177">
        <f ca="1">AG481*AG482*IF($B487=1,PRODUCT($G487:AG487),PRODUCT($G486:AG486))</f>
        <v>425461.8679274029</v>
      </c>
      <c r="AH483" s="177">
        <f ca="1">AH481*AH482*IF($B487=1,PRODUCT($G487:AH487),PRODUCT($G486:AH486))</f>
        <v>427532.82508316491</v>
      </c>
      <c r="AI483" s="177">
        <f ca="1">AI481*AI482*IF($B487=1,PRODUCT($G487:AI487),PRODUCT($G486:AI486))</f>
        <v>429613.86272760114</v>
      </c>
      <c r="AJ483" s="177">
        <f ca="1">AJ481*AJ482*IF($B487=1,PRODUCT($G487:AJ487),PRODUCT($G486:AJ486))</f>
        <v>431705.02992800012</v>
      </c>
      <c r="AK483" s="177">
        <f ca="1">AK481*AK482*IF($B487=1,PRODUCT($G487:AK487),PRODUCT($G486:AK486))</f>
        <v>433806.37599048758</v>
      </c>
      <c r="AL483" s="177">
        <f ca="1">AL481*AL482*IF($B487=1,PRODUCT($G487:AL487),PRODUCT($G486:AL486))</f>
        <v>435917.9504611895</v>
      </c>
      <c r="AM483" s="177">
        <f ca="1">AM481*AM482*IF($B487=1,PRODUCT($G487:AM487),PRODUCT($G486:AM486))</f>
        <v>438039.80312739999</v>
      </c>
      <c r="AN483" s="177">
        <f ca="1">AN481*AN482*IF($B487=1,PRODUCT($G487:AN487),PRODUCT($G486:AN486))</f>
        <v>440171.98401875555</v>
      </c>
      <c r="AO483" s="177">
        <f ca="1">AO481*AO482*IF($B487=1,PRODUCT($G487:AO487),PRODUCT($G486:AO486))</f>
        <v>442314.54340841423</v>
      </c>
      <c r="AP483" s="177">
        <f ca="1">AP481*AP482*IF($B487=1,PRODUCT($G487:AP487),PRODUCT($G486:AP486))</f>
        <v>444467.53181424126</v>
      </c>
      <c r="AQ483" s="177">
        <f ca="1">AQ481*AQ482*IF($B487=1,PRODUCT($G487:AQ487),PRODUCT($G486:AQ486))</f>
        <v>446631.00000000035</v>
      </c>
      <c r="AR483" s="177">
        <f ca="1">AR481*AR482*IF($B487=1,PRODUCT($G487:AR487),PRODUCT($G486:AR486))</f>
        <v>448804.99897655006</v>
      </c>
      <c r="AS483" s="177">
        <f ca="1">AS481*AS482*IF($B487=1,PRODUCT($G487:AS487),PRODUCT($G486:AS486))</f>
        <v>450989.58000304719</v>
      </c>
      <c r="AT483" s="177">
        <f ca="1">AT481*AT482*IF($B487=1,PRODUCT($G487:AT487),PRODUCT($G486:AT486))</f>
        <v>453184.79458815482</v>
      </c>
      <c r="AU483" s="177">
        <f ca="1">AU481*AU482*IF($B487=1,PRODUCT($G487:AU487),PRODUCT($G486:AU486))</f>
        <v>455390.69449125725</v>
      </c>
      <c r="AV483" s="177">
        <f ca="1">AV481*AV482*IF($B487=1,PRODUCT($G487:AV487),PRODUCT($G486:AV486))</f>
        <v>457607.33172368014</v>
      </c>
      <c r="AW483" s="177">
        <f ca="1">AW481*AW482*IF($B487=1,PRODUCT($G487:AW487),PRODUCT($G486:AW486))</f>
        <v>459834.75854991685</v>
      </c>
      <c r="AX483" s="177">
        <f ca="1">AX481*AX482*IF($B487=1,PRODUCT($G487:AX487),PRODUCT($G486:AX486))</f>
        <v>462073.02748886088</v>
      </c>
      <c r="AY483" s="177">
        <f ca="1">AY481*AY482*IF($B487=1,PRODUCT($G487:AY487),PRODUCT($G486:AY486))</f>
        <v>464322.19131504407</v>
      </c>
      <c r="AZ483" s="177">
        <f ca="1">AZ481*AZ482*IF($B487=1,PRODUCT($G487:AZ487),PRODUCT($G486:AZ486))</f>
        <v>466582.30305988091</v>
      </c>
      <c r="BA483" s="177">
        <f ca="1">BA481*BA482*IF($B487=1,PRODUCT($G487:BA487),PRODUCT($G486:BA486))</f>
        <v>468853.4160129191</v>
      </c>
      <c r="BB483" s="177">
        <f ca="1">BB481*BB482*IF($B487=1,PRODUCT($G487:BB487),PRODUCT($G486:BB486))</f>
        <v>471135.58372309583</v>
      </c>
      <c r="BC483" s="177"/>
      <c r="BD483" s="178">
        <f ca="1">SUM(G483:BC483)</f>
        <v>17943877.22130055</v>
      </c>
    </row>
    <row r="484" spans="1:56" hidden="1" outlineLevel="1" x14ac:dyDescent="0.3">
      <c r="A484" s="184" t="str">
        <f ca="1">Language!A$749</f>
        <v>темп изменения цен</v>
      </c>
      <c r="B484" s="189"/>
      <c r="C484" s="163" t="str">
        <f ca="1">Language!$A$480</f>
        <v>% в год</v>
      </c>
      <c r="D484" s="174"/>
      <c r="F484" s="170" t="s">
        <v>2346</v>
      </c>
      <c r="G484" s="290">
        <f>CHOOSE($D481,Параметры!G$49,Параметры!G$56,Параметры!G$62)</f>
        <v>0.06</v>
      </c>
      <c r="H484" s="290">
        <f>CHOOSE($D481,Параметры!H$49,Параметры!H$56,Параметры!H$62)</f>
        <v>0.06</v>
      </c>
      <c r="I484" s="290">
        <f>CHOOSE($D481,Параметры!I$49,Параметры!I$56,Параметры!I$62)</f>
        <v>0.06</v>
      </c>
      <c r="J484" s="290">
        <f>CHOOSE($D481,Параметры!J$49,Параметры!J$56,Параметры!J$62)</f>
        <v>0.06</v>
      </c>
      <c r="K484" s="290">
        <f>CHOOSE($D481,Параметры!K$49,Параметры!K$56,Параметры!K$62)</f>
        <v>0.06</v>
      </c>
      <c r="L484" s="290">
        <f>CHOOSE($D481,Параметры!L$49,Параметры!L$56,Параметры!L$62)</f>
        <v>0.06</v>
      </c>
      <c r="M484" s="290">
        <f>CHOOSE($D481,Параметры!M$49,Параметры!M$56,Параметры!M$62)</f>
        <v>0.06</v>
      </c>
      <c r="N484" s="290">
        <f>CHOOSE($D481,Параметры!N$49,Параметры!N$56,Параметры!N$62)</f>
        <v>0.06</v>
      </c>
      <c r="O484" s="290">
        <f>CHOOSE($D481,Параметры!O$49,Параметры!O$56,Параметры!O$62)</f>
        <v>0.06</v>
      </c>
      <c r="P484" s="290">
        <f>CHOOSE($D481,Параметры!P$49,Параметры!P$56,Параметры!P$62)</f>
        <v>0.06</v>
      </c>
      <c r="Q484" s="290">
        <f>CHOOSE($D481,Параметры!Q$49,Параметры!Q$56,Параметры!Q$62)</f>
        <v>0.06</v>
      </c>
      <c r="R484" s="290">
        <f>CHOOSE($D481,Параметры!R$49,Параметры!R$56,Параметры!R$62)</f>
        <v>0.06</v>
      </c>
      <c r="S484" s="290">
        <f>CHOOSE($D481,Параметры!S$49,Параметры!S$56,Параметры!S$62)</f>
        <v>0.06</v>
      </c>
      <c r="T484" s="290">
        <f>CHOOSE($D481,Параметры!T$49,Параметры!T$56,Параметры!T$62)</f>
        <v>0.06</v>
      </c>
      <c r="U484" s="290">
        <f>CHOOSE($D481,Параметры!U$49,Параметры!U$56,Параметры!U$62)</f>
        <v>0.06</v>
      </c>
      <c r="V484" s="290">
        <f>CHOOSE($D481,Параметры!V$49,Параметры!V$56,Параметры!V$62)</f>
        <v>0.06</v>
      </c>
      <c r="W484" s="290">
        <f>CHOOSE($D481,Параметры!W$49,Параметры!W$56,Параметры!W$62)</f>
        <v>0.06</v>
      </c>
      <c r="X484" s="290">
        <f>CHOOSE($D481,Параметры!X$49,Параметры!X$56,Параметры!X$62)</f>
        <v>0.06</v>
      </c>
      <c r="Y484" s="290">
        <f>CHOOSE($D481,Параметры!Y$49,Параметры!Y$56,Параметры!Y$62)</f>
        <v>0.06</v>
      </c>
      <c r="Z484" s="290">
        <f>CHOOSE($D481,Параметры!Z$49,Параметры!Z$56,Параметры!Z$62)</f>
        <v>0.06</v>
      </c>
      <c r="AA484" s="290">
        <f>CHOOSE($D481,Параметры!AA$49,Параметры!AA$56,Параметры!AA$62)</f>
        <v>0.06</v>
      </c>
      <c r="AB484" s="290">
        <f>CHOOSE($D481,Параметры!AB$49,Параметры!AB$56,Параметры!AB$62)</f>
        <v>0.06</v>
      </c>
      <c r="AC484" s="290">
        <f>CHOOSE($D481,Параметры!AC$49,Параметры!AC$56,Параметры!AC$62)</f>
        <v>0.06</v>
      </c>
      <c r="AD484" s="290">
        <f>CHOOSE($D481,Параметры!AD$49,Параметры!AD$56,Параметры!AD$62)</f>
        <v>0.06</v>
      </c>
      <c r="AE484" s="290">
        <f>CHOOSE($D481,Параметры!AE$49,Параметры!AE$56,Параметры!AE$62)</f>
        <v>0.06</v>
      </c>
      <c r="AF484" s="290">
        <f>CHOOSE($D481,Параметры!AF$49,Параметры!AF$56,Параметры!AF$62)</f>
        <v>0.06</v>
      </c>
      <c r="AG484" s="290">
        <f>CHOOSE($D481,Параметры!AG$49,Параметры!AG$56,Параметры!AG$62)</f>
        <v>0.06</v>
      </c>
      <c r="AH484" s="290">
        <f>CHOOSE($D481,Параметры!AH$49,Параметры!AH$56,Параметры!AH$62)</f>
        <v>0.06</v>
      </c>
      <c r="AI484" s="290">
        <f>CHOOSE($D481,Параметры!AI$49,Параметры!AI$56,Параметры!AI$62)</f>
        <v>0.06</v>
      </c>
      <c r="AJ484" s="290">
        <f>CHOOSE($D481,Параметры!AJ$49,Параметры!AJ$56,Параметры!AJ$62)</f>
        <v>0.06</v>
      </c>
      <c r="AK484" s="290">
        <f>CHOOSE($D481,Параметры!AK$49,Параметры!AK$56,Параметры!AK$62)</f>
        <v>0.06</v>
      </c>
      <c r="AL484" s="290">
        <f>CHOOSE($D481,Параметры!AL$49,Параметры!AL$56,Параметры!AL$62)</f>
        <v>0.06</v>
      </c>
      <c r="AM484" s="290">
        <f>CHOOSE($D481,Параметры!AM$49,Параметры!AM$56,Параметры!AM$62)</f>
        <v>0.06</v>
      </c>
      <c r="AN484" s="290">
        <f>CHOOSE($D481,Параметры!AN$49,Параметры!AN$56,Параметры!AN$62)</f>
        <v>0.06</v>
      </c>
      <c r="AO484" s="290">
        <f>CHOOSE($D481,Параметры!AO$49,Параметры!AO$56,Параметры!AO$62)</f>
        <v>0.06</v>
      </c>
      <c r="AP484" s="290">
        <f>CHOOSE($D481,Параметры!AP$49,Параметры!AP$56,Параметры!AP$62)</f>
        <v>0.06</v>
      </c>
      <c r="AQ484" s="290">
        <f>CHOOSE($D481,Параметры!AQ$49,Параметры!AQ$56,Параметры!AQ$62)</f>
        <v>0.06</v>
      </c>
      <c r="AR484" s="290">
        <f>CHOOSE($D481,Параметры!AR$49,Параметры!AR$56,Параметры!AR$62)</f>
        <v>0.06</v>
      </c>
      <c r="AS484" s="290">
        <f>CHOOSE($D481,Параметры!AS$49,Параметры!AS$56,Параметры!AS$62)</f>
        <v>0.06</v>
      </c>
      <c r="AT484" s="290">
        <f>CHOOSE($D481,Параметры!AT$49,Параметры!AT$56,Параметры!AT$62)</f>
        <v>0.06</v>
      </c>
      <c r="AU484" s="290">
        <f>CHOOSE($D481,Параметры!AU$49,Параметры!AU$56,Параметры!AU$62)</f>
        <v>0.06</v>
      </c>
      <c r="AV484" s="290">
        <f>CHOOSE($D481,Параметры!AV$49,Параметры!AV$56,Параметры!AV$62)</f>
        <v>0.06</v>
      </c>
      <c r="AW484" s="290">
        <f>CHOOSE($D481,Параметры!AW$49,Параметры!AW$56,Параметры!AW$62)</f>
        <v>0.06</v>
      </c>
      <c r="AX484" s="290">
        <f>CHOOSE($D481,Параметры!AX$49,Параметры!AX$56,Параметры!AX$62)</f>
        <v>0.06</v>
      </c>
      <c r="AY484" s="290">
        <f>CHOOSE($D481,Параметры!AY$49,Параметры!AY$56,Параметры!AY$62)</f>
        <v>0.06</v>
      </c>
      <c r="AZ484" s="290">
        <f>CHOOSE($D481,Параметры!AZ$49,Параметры!AZ$56,Параметры!AZ$62)</f>
        <v>0.06</v>
      </c>
      <c r="BA484" s="290">
        <f>CHOOSE($D481,Параметры!BA$49,Параметры!BA$56,Параметры!BA$62)</f>
        <v>0.06</v>
      </c>
      <c r="BB484" s="290">
        <f>CHOOSE($D481,Параметры!BB$49,Параметры!BB$56,Параметры!BB$62)</f>
        <v>0.06</v>
      </c>
      <c r="BC484" s="190"/>
      <c r="BD484" s="186"/>
    </row>
    <row r="485" spans="1:56" hidden="1" outlineLevel="1" x14ac:dyDescent="0.3">
      <c r="A485" s="184" t="str">
        <f ca="1">Language!A$750</f>
        <v>ставка НДС</v>
      </c>
      <c r="B485" s="189"/>
      <c r="C485" s="163" t="s">
        <v>1</v>
      </c>
      <c r="D485" s="174"/>
      <c r="F485" s="170" t="s">
        <v>2346</v>
      </c>
      <c r="G485" s="290">
        <f>IF(G$2=1,Параметры!G$72,IF(F485=Параметры!F$72,Параметры!F$72,F485))</f>
        <v>0</v>
      </c>
      <c r="H485" s="290">
        <f>IF(H$2=1,Параметры!H$72,IF(G485=Параметры!G$72,Параметры!G$72,G485))</f>
        <v>0</v>
      </c>
      <c r="I485" s="290">
        <f>IF(I$2=1,Параметры!I$72,IF(H485=Параметры!H$72,Параметры!H$72,H485))</f>
        <v>0</v>
      </c>
      <c r="J485" s="290">
        <f>IF(J$2=1,Параметры!J$72,IF(I485=Параметры!I$72,Параметры!I$72,I485))</f>
        <v>0</v>
      </c>
      <c r="K485" s="290">
        <f>IF(K$2=1,Параметры!K$72,IF(J485=Параметры!J$72,Параметры!J$72,J485))</f>
        <v>0</v>
      </c>
      <c r="L485" s="290">
        <f>IF(L$2=1,Параметры!L$72,IF(K485=Параметры!K$72,Параметры!K$72,K485))</f>
        <v>0</v>
      </c>
      <c r="M485" s="290">
        <f>IF(M$2=1,Параметры!M$72,IF(L485=Параметры!L$72,Параметры!L$72,L485))</f>
        <v>0</v>
      </c>
      <c r="N485" s="290">
        <f>IF(N$2=1,Параметры!N$72,IF(M485=Параметры!M$72,Параметры!M$72,M485))</f>
        <v>0</v>
      </c>
      <c r="O485" s="290">
        <f>IF(O$2=1,Параметры!O$72,IF(N485=Параметры!N$72,Параметры!N$72,N485))</f>
        <v>0</v>
      </c>
      <c r="P485" s="290">
        <f>IF(P$2=1,Параметры!P$72,IF(O485=Параметры!O$72,Параметры!O$72,O485))</f>
        <v>0</v>
      </c>
      <c r="Q485" s="290">
        <f>IF(Q$2=1,Параметры!Q$72,IF(P485=Параметры!P$72,Параметры!P$72,P485))</f>
        <v>0</v>
      </c>
      <c r="R485" s="290">
        <f>IF(R$2=1,Параметры!R$72,IF(Q485=Параметры!Q$72,Параметры!Q$72,Q485))</f>
        <v>0</v>
      </c>
      <c r="S485" s="290">
        <f>IF(S$2=1,Параметры!S$72,IF(R485=Параметры!R$72,Параметры!R$72,R485))</f>
        <v>0</v>
      </c>
      <c r="T485" s="290">
        <f>IF(T$2=1,Параметры!T$72,IF(S485=Параметры!S$72,Параметры!S$72,S485))</f>
        <v>0</v>
      </c>
      <c r="U485" s="290">
        <f>IF(U$2=1,Параметры!U$72,IF(T485=Параметры!T$72,Параметры!T$72,T485))</f>
        <v>0</v>
      </c>
      <c r="V485" s="290">
        <f>IF(V$2=1,Параметры!V$72,IF(U485=Параметры!U$72,Параметры!U$72,U485))</f>
        <v>0</v>
      </c>
      <c r="W485" s="290">
        <f>IF(W$2=1,Параметры!W$72,IF(V485=Параметры!V$72,Параметры!V$72,V485))</f>
        <v>0</v>
      </c>
      <c r="X485" s="290">
        <f>IF(X$2=1,Параметры!X$72,IF(W485=Параметры!W$72,Параметры!W$72,W485))</f>
        <v>0</v>
      </c>
      <c r="Y485" s="290">
        <f>IF(Y$2=1,Параметры!Y$72,IF(X485=Параметры!X$72,Параметры!X$72,X485))</f>
        <v>0</v>
      </c>
      <c r="Z485" s="290">
        <f>IF(Z$2=1,Параметры!Z$72,IF(Y485=Параметры!Y$72,Параметры!Y$72,Y485))</f>
        <v>0</v>
      </c>
      <c r="AA485" s="290">
        <f>IF(AA$2=1,Параметры!AA$72,IF(Z485=Параметры!Z$72,Параметры!Z$72,Z485))</f>
        <v>0</v>
      </c>
      <c r="AB485" s="290">
        <f>IF(AB$2=1,Параметры!AB$72,IF(AA485=Параметры!AA$72,Параметры!AA$72,AA485))</f>
        <v>0</v>
      </c>
      <c r="AC485" s="290">
        <f>IF(AC$2=1,Параметры!AC$72,IF(AB485=Параметры!AB$72,Параметры!AB$72,AB485))</f>
        <v>0</v>
      </c>
      <c r="AD485" s="290">
        <f>IF(AD$2=1,Параметры!AD$72,IF(AC485=Параметры!AC$72,Параметры!AC$72,AC485))</f>
        <v>0</v>
      </c>
      <c r="AE485" s="290">
        <f>IF(AE$2=1,Параметры!AE$72,IF(AD485=Параметры!AD$72,Параметры!AD$72,AD485))</f>
        <v>0</v>
      </c>
      <c r="AF485" s="290">
        <f>IF(AF$2=1,Параметры!AF$72,IF(AE485=Параметры!AE$72,Параметры!AE$72,AE485))</f>
        <v>0</v>
      </c>
      <c r="AG485" s="290">
        <f>IF(AG$2=1,Параметры!AG$72,IF(AF485=Параметры!AF$72,Параметры!AF$72,AF485))</f>
        <v>0</v>
      </c>
      <c r="AH485" s="290">
        <f>IF(AH$2=1,Параметры!AH$72,IF(AG485=Параметры!AG$72,Параметры!AG$72,AG485))</f>
        <v>0</v>
      </c>
      <c r="AI485" s="290">
        <f>IF(AI$2=1,Параметры!AI$72,IF(AH485=Параметры!AH$72,Параметры!AH$72,AH485))</f>
        <v>0</v>
      </c>
      <c r="AJ485" s="290">
        <f>IF(AJ$2=1,Параметры!AJ$72,IF(AI485=Параметры!AI$72,Параметры!AI$72,AI485))</f>
        <v>0</v>
      </c>
      <c r="AK485" s="290">
        <f>IF(AK$2=1,Параметры!AK$72,IF(AJ485=Параметры!AJ$72,Параметры!AJ$72,AJ485))</f>
        <v>0</v>
      </c>
      <c r="AL485" s="290">
        <f>IF(AL$2=1,Параметры!AL$72,IF(AK485=Параметры!AK$72,Параметры!AK$72,AK485))</f>
        <v>0</v>
      </c>
      <c r="AM485" s="290">
        <f>IF(AM$2=1,Параметры!AM$72,IF(AL485=Параметры!AL$72,Параметры!AL$72,AL485))</f>
        <v>0</v>
      </c>
      <c r="AN485" s="290">
        <f>IF(AN$2=1,Параметры!AN$72,IF(AM485=Параметры!AM$72,Параметры!AM$72,AM485))</f>
        <v>0</v>
      </c>
      <c r="AO485" s="290">
        <f>IF(AO$2=1,Параметры!AO$72,IF(AN485=Параметры!AN$72,Параметры!AN$72,AN485))</f>
        <v>0</v>
      </c>
      <c r="AP485" s="290">
        <f>IF(AP$2=1,Параметры!AP$72,IF(AO485=Параметры!AO$72,Параметры!AO$72,AO485))</f>
        <v>0</v>
      </c>
      <c r="AQ485" s="290">
        <f>IF(AQ$2=1,Параметры!AQ$72,IF(AP485=Параметры!AP$72,Параметры!AP$72,AP485))</f>
        <v>0</v>
      </c>
      <c r="AR485" s="290">
        <f>IF(AR$2=1,Параметры!AR$72,IF(AQ485=Параметры!AQ$72,Параметры!AQ$72,AQ485))</f>
        <v>0</v>
      </c>
      <c r="AS485" s="290">
        <f>IF(AS$2=1,Параметры!AS$72,IF(AR485=Параметры!AR$72,Параметры!AR$72,AR485))</f>
        <v>0</v>
      </c>
      <c r="AT485" s="290">
        <f>IF(AT$2=1,Параметры!AT$72,IF(AS485=Параметры!AS$72,Параметры!AS$72,AS485))</f>
        <v>0</v>
      </c>
      <c r="AU485" s="290">
        <f>IF(AU$2=1,Параметры!AU$72,IF(AT485=Параметры!AT$72,Параметры!AT$72,AT485))</f>
        <v>0</v>
      </c>
      <c r="AV485" s="290">
        <f>IF(AV$2=1,Параметры!AV$72,IF(AU485=Параметры!AU$72,Параметры!AU$72,AU485))</f>
        <v>0</v>
      </c>
      <c r="AW485" s="290">
        <f>IF(AW$2=1,Параметры!AW$72,IF(AV485=Параметры!AV$72,Параметры!AV$72,AV485))</f>
        <v>0</v>
      </c>
      <c r="AX485" s="290">
        <f>IF(AX$2=1,Параметры!AX$72,IF(AW485=Параметры!AW$72,Параметры!AW$72,AW485))</f>
        <v>0</v>
      </c>
      <c r="AY485" s="290">
        <f>IF(AY$2=1,Параметры!AY$72,IF(AX485=Параметры!AX$72,Параметры!AX$72,AX485))</f>
        <v>0</v>
      </c>
      <c r="AZ485" s="290">
        <f>IF(AZ$2=1,Параметры!AZ$72,IF(AY485=Параметры!AY$72,Параметры!AY$72,AY485))</f>
        <v>0</v>
      </c>
      <c r="BA485" s="290">
        <f>IF(BA$2=1,Параметры!BA$72,IF(AZ485=Параметры!AZ$72,Параметры!AZ$72,AZ485))</f>
        <v>0</v>
      </c>
      <c r="BB485" s="290">
        <f>IF(BB$2=1,Параметры!BB$72,IF(BA485=Параметры!BA$72,Параметры!BA$72,BA485))</f>
        <v>0</v>
      </c>
      <c r="BC485" s="190"/>
      <c r="BD485" s="186"/>
    </row>
    <row r="486" spans="1:56" hidden="1" outlineLevel="1" x14ac:dyDescent="0.3">
      <c r="A486" s="184" t="str">
        <f ca="1">Language!A$675</f>
        <v>коэффициент прироста цен к предыдущему периоду</v>
      </c>
      <c r="B486" s="189"/>
      <c r="C486" s="163" t="str">
        <f ca="1">Language!$A$1477</f>
        <v>раз</v>
      </c>
      <c r="D486" s="174"/>
      <c r="F486" s="170" t="s">
        <v>745</v>
      </c>
      <c r="G486" s="191">
        <f ca="1">IF(G$2=1,1,IF(Prj_Inflation=1, (1+OFFSET(G484,0,-1))^(Параметры!G$30/360), 1))</f>
        <v>1</v>
      </c>
      <c r="H486" s="191">
        <f ca="1">IF(H$2=1,1,IF(Prj_Inflation=1, (1+OFFSET(H484,0,-1))^(Параметры!H$30/360), 1))</f>
        <v>1.004867550565343</v>
      </c>
      <c r="I486" s="191">
        <f ca="1">IF(I$2=1,1,IF(Prj_Inflation=1, (1+OFFSET(I484,0,-1))^(Параметры!I$30/360), 1))</f>
        <v>1.004867550565343</v>
      </c>
      <c r="J486" s="191">
        <f ca="1">IF(J$2=1,1,IF(Prj_Inflation=1, (1+OFFSET(J484,0,-1))^(Параметры!J$30/360), 1))</f>
        <v>1.004867550565343</v>
      </c>
      <c r="K486" s="191">
        <f ca="1">IF(K$2=1,1,IF(Prj_Inflation=1, (1+OFFSET(K484,0,-1))^(Параметры!K$30/360), 1))</f>
        <v>1.004867550565343</v>
      </c>
      <c r="L486" s="191">
        <f ca="1">IF(L$2=1,1,IF(Prj_Inflation=1, (1+OFFSET(L484,0,-1))^(Параметры!L$30/360), 1))</f>
        <v>1.004867550565343</v>
      </c>
      <c r="M486" s="191">
        <f ca="1">IF(M$2=1,1,IF(Prj_Inflation=1, (1+OFFSET(M484,0,-1))^(Параметры!M$30/360), 1))</f>
        <v>1.004867550565343</v>
      </c>
      <c r="N486" s="191">
        <f ca="1">IF(N$2=1,1,IF(Prj_Inflation=1, (1+OFFSET(N484,0,-1))^(Параметры!N$30/360), 1))</f>
        <v>1.004867550565343</v>
      </c>
      <c r="O486" s="191">
        <f ca="1">IF(O$2=1,1,IF(Prj_Inflation=1, (1+OFFSET(O484,0,-1))^(Параметры!O$30/360), 1))</f>
        <v>1.004867550565343</v>
      </c>
      <c r="P486" s="191">
        <f ca="1">IF(P$2=1,1,IF(Prj_Inflation=1, (1+OFFSET(P484,0,-1))^(Параметры!P$30/360), 1))</f>
        <v>1.004867550565343</v>
      </c>
      <c r="Q486" s="191">
        <f ca="1">IF(Q$2=1,1,IF(Prj_Inflation=1, (1+OFFSET(Q484,0,-1))^(Параметры!Q$30/360), 1))</f>
        <v>1.004867550565343</v>
      </c>
      <c r="R486" s="191">
        <f ca="1">IF(R$2=1,1,IF(Prj_Inflation=1, (1+OFFSET(R484,0,-1))^(Параметры!R$30/360), 1))</f>
        <v>1.004867550565343</v>
      </c>
      <c r="S486" s="191">
        <f ca="1">IF(S$2=1,1,IF(Prj_Inflation=1, (1+OFFSET(S484,0,-1))^(Параметры!S$30/360), 1))</f>
        <v>1.004867550565343</v>
      </c>
      <c r="T486" s="191">
        <f ca="1">IF(T$2=1,1,IF(Prj_Inflation=1, (1+OFFSET(T484,0,-1))^(Параметры!T$30/360), 1))</f>
        <v>1.004867550565343</v>
      </c>
      <c r="U486" s="191">
        <f ca="1">IF(U$2=1,1,IF(Prj_Inflation=1, (1+OFFSET(U484,0,-1))^(Параметры!U$30/360), 1))</f>
        <v>1.004867550565343</v>
      </c>
      <c r="V486" s="191">
        <f ca="1">IF(V$2=1,1,IF(Prj_Inflation=1, (1+OFFSET(V484,0,-1))^(Параметры!V$30/360), 1))</f>
        <v>1.004867550565343</v>
      </c>
      <c r="W486" s="191">
        <f ca="1">IF(W$2=1,1,IF(Prj_Inflation=1, (1+OFFSET(W484,0,-1))^(Параметры!W$30/360), 1))</f>
        <v>1.004867550565343</v>
      </c>
      <c r="X486" s="191">
        <f ca="1">IF(X$2=1,1,IF(Prj_Inflation=1, (1+OFFSET(X484,0,-1))^(Параметры!X$30/360), 1))</f>
        <v>1.004867550565343</v>
      </c>
      <c r="Y486" s="191">
        <f ca="1">IF(Y$2=1,1,IF(Prj_Inflation=1, (1+OFFSET(Y484,0,-1))^(Параметры!Y$30/360), 1))</f>
        <v>1.004867550565343</v>
      </c>
      <c r="Z486" s="191">
        <f ca="1">IF(Z$2=1,1,IF(Prj_Inflation=1, (1+OFFSET(Z484,0,-1))^(Параметры!Z$30/360), 1))</f>
        <v>1.004867550565343</v>
      </c>
      <c r="AA486" s="191">
        <f ca="1">IF(AA$2=1,1,IF(Prj_Inflation=1, (1+OFFSET(AA484,0,-1))^(Параметры!AA$30/360), 1))</f>
        <v>1.004867550565343</v>
      </c>
      <c r="AB486" s="191">
        <f ca="1">IF(AB$2=1,1,IF(Prj_Inflation=1, (1+OFFSET(AB484,0,-1))^(Параметры!AB$30/360), 1))</f>
        <v>1.004867550565343</v>
      </c>
      <c r="AC486" s="191">
        <f ca="1">IF(AC$2=1,1,IF(Prj_Inflation=1, (1+OFFSET(AC484,0,-1))^(Параметры!AC$30/360), 1))</f>
        <v>1.004867550565343</v>
      </c>
      <c r="AD486" s="191">
        <f ca="1">IF(AD$2=1,1,IF(Prj_Inflation=1, (1+OFFSET(AD484,0,-1))^(Параметры!AD$30/360), 1))</f>
        <v>1.004867550565343</v>
      </c>
      <c r="AE486" s="191">
        <f ca="1">IF(AE$2=1,1,IF(Prj_Inflation=1, (1+OFFSET(AE484,0,-1))^(Параметры!AE$30/360), 1))</f>
        <v>1.004867550565343</v>
      </c>
      <c r="AF486" s="191">
        <f ca="1">IF(AF$2=1,1,IF(Prj_Inflation=1, (1+OFFSET(AF484,0,-1))^(Параметры!AF$30/360), 1))</f>
        <v>1.004867550565343</v>
      </c>
      <c r="AG486" s="191">
        <f ca="1">IF(AG$2=1,1,IF(Prj_Inflation=1, (1+OFFSET(AG484,0,-1))^(Параметры!AG$30/360), 1))</f>
        <v>1.004867550565343</v>
      </c>
      <c r="AH486" s="191">
        <f ca="1">IF(AH$2=1,1,IF(Prj_Inflation=1, (1+OFFSET(AH484,0,-1))^(Параметры!AH$30/360), 1))</f>
        <v>1.004867550565343</v>
      </c>
      <c r="AI486" s="191">
        <f ca="1">IF(AI$2=1,1,IF(Prj_Inflation=1, (1+OFFSET(AI484,0,-1))^(Параметры!AI$30/360), 1))</f>
        <v>1.004867550565343</v>
      </c>
      <c r="AJ486" s="191">
        <f ca="1">IF(AJ$2=1,1,IF(Prj_Inflation=1, (1+OFFSET(AJ484,0,-1))^(Параметры!AJ$30/360), 1))</f>
        <v>1.004867550565343</v>
      </c>
      <c r="AK486" s="191">
        <f ca="1">IF(AK$2=1,1,IF(Prj_Inflation=1, (1+OFFSET(AK484,0,-1))^(Параметры!AK$30/360), 1))</f>
        <v>1.004867550565343</v>
      </c>
      <c r="AL486" s="191">
        <f ca="1">IF(AL$2=1,1,IF(Prj_Inflation=1, (1+OFFSET(AL484,0,-1))^(Параметры!AL$30/360), 1))</f>
        <v>1.004867550565343</v>
      </c>
      <c r="AM486" s="191">
        <f ca="1">IF(AM$2=1,1,IF(Prj_Inflation=1, (1+OFFSET(AM484,0,-1))^(Параметры!AM$30/360), 1))</f>
        <v>1.004867550565343</v>
      </c>
      <c r="AN486" s="191">
        <f ca="1">IF(AN$2=1,1,IF(Prj_Inflation=1, (1+OFFSET(AN484,0,-1))^(Параметры!AN$30/360), 1))</f>
        <v>1.004867550565343</v>
      </c>
      <c r="AO486" s="191">
        <f ca="1">IF(AO$2=1,1,IF(Prj_Inflation=1, (1+OFFSET(AO484,0,-1))^(Параметры!AO$30/360), 1))</f>
        <v>1.004867550565343</v>
      </c>
      <c r="AP486" s="191">
        <f ca="1">IF(AP$2=1,1,IF(Prj_Inflation=1, (1+OFFSET(AP484,0,-1))^(Параметры!AP$30/360), 1))</f>
        <v>1.004867550565343</v>
      </c>
      <c r="AQ486" s="191">
        <f ca="1">IF(AQ$2=1,1,IF(Prj_Inflation=1, (1+OFFSET(AQ484,0,-1))^(Параметры!AQ$30/360), 1))</f>
        <v>1.004867550565343</v>
      </c>
      <c r="AR486" s="191">
        <f ca="1">IF(AR$2=1,1,IF(Prj_Inflation=1, (1+OFFSET(AR484,0,-1))^(Параметры!AR$30/360), 1))</f>
        <v>1.004867550565343</v>
      </c>
      <c r="AS486" s="191">
        <f ca="1">IF(AS$2=1,1,IF(Prj_Inflation=1, (1+OFFSET(AS484,0,-1))^(Параметры!AS$30/360), 1))</f>
        <v>1.004867550565343</v>
      </c>
      <c r="AT486" s="191">
        <f ca="1">IF(AT$2=1,1,IF(Prj_Inflation=1, (1+OFFSET(AT484,0,-1))^(Параметры!AT$30/360), 1))</f>
        <v>1.004867550565343</v>
      </c>
      <c r="AU486" s="191">
        <f ca="1">IF(AU$2=1,1,IF(Prj_Inflation=1, (1+OFFSET(AU484,0,-1))^(Параметры!AU$30/360), 1))</f>
        <v>1.004867550565343</v>
      </c>
      <c r="AV486" s="191">
        <f ca="1">IF(AV$2=1,1,IF(Prj_Inflation=1, (1+OFFSET(AV484,0,-1))^(Параметры!AV$30/360), 1))</f>
        <v>1.004867550565343</v>
      </c>
      <c r="AW486" s="191">
        <f ca="1">IF(AW$2=1,1,IF(Prj_Inflation=1, (1+OFFSET(AW484,0,-1))^(Параметры!AW$30/360), 1))</f>
        <v>1.004867550565343</v>
      </c>
      <c r="AX486" s="191">
        <f ca="1">IF(AX$2=1,1,IF(Prj_Inflation=1, (1+OFFSET(AX484,0,-1))^(Параметры!AX$30/360), 1))</f>
        <v>1.004867550565343</v>
      </c>
      <c r="AY486" s="191">
        <f ca="1">IF(AY$2=1,1,IF(Prj_Inflation=1, (1+OFFSET(AY484,0,-1))^(Параметры!AY$30/360), 1))</f>
        <v>1.004867550565343</v>
      </c>
      <c r="AZ486" s="191">
        <f ca="1">IF(AZ$2=1,1,IF(Prj_Inflation=1, (1+OFFSET(AZ484,0,-1))^(Параметры!AZ$30/360), 1))</f>
        <v>1.004867550565343</v>
      </c>
      <c r="BA486" s="191">
        <f ca="1">IF(BA$2=1,1,IF(Prj_Inflation=1, (1+OFFSET(BA484,0,-1))^(Параметры!BA$30/360), 1))</f>
        <v>1.004867550565343</v>
      </c>
      <c r="BB486" s="191">
        <f ca="1">IF(BB$2=1,1,IF(Prj_Inflation=1, (1+OFFSET(BB484,0,-1))^(Параметры!BB$30/360), 1))</f>
        <v>1.004867550565343</v>
      </c>
      <c r="BC486" s="191"/>
      <c r="BD486" s="186"/>
    </row>
    <row r="487" spans="1:56" hidden="1" outlineLevel="1" x14ac:dyDescent="0.3">
      <c r="A487" s="184" t="str">
        <f ca="1">Language!A$1486</f>
        <v>индексировать в начале года</v>
      </c>
      <c r="B487" s="291">
        <v>0</v>
      </c>
      <c r="C487" s="163" t="str">
        <f ca="1">IF(B487=1,Language!$A$1475,Language!$A$1476)</f>
        <v>Нет</v>
      </c>
      <c r="D487" s="174"/>
      <c r="F487" s="170" t="s">
        <v>3408</v>
      </c>
      <c r="G487" s="192" t="str">
        <f ca="1">IF(Prj_Inflation=1,IF($B487=1,IF(G$2=1,1,IF(Параметры!G$29=1,1+OFFSET(G484,0,-1),1)),"-"),1)</f>
        <v>-</v>
      </c>
      <c r="H487" s="192" t="str">
        <f ca="1">IF(Prj_Inflation=1,IF($B487=1,IF(H$2=1,1,IF(Параметры!H$29=1,1+OFFSET(H484,0,-1),1)),"-"),1)</f>
        <v>-</v>
      </c>
      <c r="I487" s="192" t="str">
        <f ca="1">IF(Prj_Inflation=1,IF($B487=1,IF(I$2=1,1,IF(Параметры!I$29=1,1+OFFSET(I484,0,-1),1)),"-"),1)</f>
        <v>-</v>
      </c>
      <c r="J487" s="192" t="str">
        <f ca="1">IF(Prj_Inflation=1,IF($B487=1,IF(J$2=1,1,IF(Параметры!J$29=1,1+OFFSET(J484,0,-1),1)),"-"),1)</f>
        <v>-</v>
      </c>
      <c r="K487" s="192" t="str">
        <f ca="1">IF(Prj_Inflation=1,IF($B487=1,IF(K$2=1,1,IF(Параметры!K$29=1,1+OFFSET(K484,0,-1),1)),"-"),1)</f>
        <v>-</v>
      </c>
      <c r="L487" s="192" t="str">
        <f ca="1">IF(Prj_Inflation=1,IF($B487=1,IF(L$2=1,1,IF(Параметры!L$29=1,1+OFFSET(L484,0,-1),1)),"-"),1)</f>
        <v>-</v>
      </c>
      <c r="M487" s="192" t="str">
        <f ca="1">IF(Prj_Inflation=1,IF($B487=1,IF(M$2=1,1,IF(Параметры!M$29=1,1+OFFSET(M484,0,-1),1)),"-"),1)</f>
        <v>-</v>
      </c>
      <c r="N487" s="192" t="str">
        <f ca="1">IF(Prj_Inflation=1,IF($B487=1,IF(N$2=1,1,IF(Параметры!N$29=1,1+OFFSET(N484,0,-1),1)),"-"),1)</f>
        <v>-</v>
      </c>
      <c r="O487" s="192" t="str">
        <f ca="1">IF(Prj_Inflation=1,IF($B487=1,IF(O$2=1,1,IF(Параметры!O$29=1,1+OFFSET(O484,0,-1),1)),"-"),1)</f>
        <v>-</v>
      </c>
      <c r="P487" s="192" t="str">
        <f ca="1">IF(Prj_Inflation=1,IF($B487=1,IF(P$2=1,1,IF(Параметры!P$29=1,1+OFFSET(P484,0,-1),1)),"-"),1)</f>
        <v>-</v>
      </c>
      <c r="Q487" s="192" t="str">
        <f ca="1">IF(Prj_Inflation=1,IF($B487=1,IF(Q$2=1,1,IF(Параметры!Q$29=1,1+OFFSET(Q484,0,-1),1)),"-"),1)</f>
        <v>-</v>
      </c>
      <c r="R487" s="192" t="str">
        <f ca="1">IF(Prj_Inflation=1,IF($B487=1,IF(R$2=1,1,IF(Параметры!R$29=1,1+OFFSET(R484,0,-1),1)),"-"),1)</f>
        <v>-</v>
      </c>
      <c r="S487" s="192" t="str">
        <f ca="1">IF(Prj_Inflation=1,IF($B487=1,IF(S$2=1,1,IF(Параметры!S$29=1,1+OFFSET(S484,0,-1),1)),"-"),1)</f>
        <v>-</v>
      </c>
      <c r="T487" s="192" t="str">
        <f ca="1">IF(Prj_Inflation=1,IF($B487=1,IF(T$2=1,1,IF(Параметры!T$29=1,1+OFFSET(T484,0,-1),1)),"-"),1)</f>
        <v>-</v>
      </c>
      <c r="U487" s="192" t="str">
        <f ca="1">IF(Prj_Inflation=1,IF($B487=1,IF(U$2=1,1,IF(Параметры!U$29=1,1+OFFSET(U484,0,-1),1)),"-"),1)</f>
        <v>-</v>
      </c>
      <c r="V487" s="192" t="str">
        <f ca="1">IF(Prj_Inflation=1,IF($B487=1,IF(V$2=1,1,IF(Параметры!V$29=1,1+OFFSET(V484,0,-1),1)),"-"),1)</f>
        <v>-</v>
      </c>
      <c r="W487" s="192" t="str">
        <f ca="1">IF(Prj_Inflation=1,IF($B487=1,IF(W$2=1,1,IF(Параметры!W$29=1,1+OFFSET(W484,0,-1),1)),"-"),1)</f>
        <v>-</v>
      </c>
      <c r="X487" s="192" t="str">
        <f ca="1">IF(Prj_Inflation=1,IF($B487=1,IF(X$2=1,1,IF(Параметры!X$29=1,1+OFFSET(X484,0,-1),1)),"-"),1)</f>
        <v>-</v>
      </c>
      <c r="Y487" s="192" t="str">
        <f ca="1">IF(Prj_Inflation=1,IF($B487=1,IF(Y$2=1,1,IF(Параметры!Y$29=1,1+OFFSET(Y484,0,-1),1)),"-"),1)</f>
        <v>-</v>
      </c>
      <c r="Z487" s="192" t="str">
        <f ca="1">IF(Prj_Inflation=1,IF($B487=1,IF(Z$2=1,1,IF(Параметры!Z$29=1,1+OFFSET(Z484,0,-1),1)),"-"),1)</f>
        <v>-</v>
      </c>
      <c r="AA487" s="192" t="str">
        <f ca="1">IF(Prj_Inflation=1,IF($B487=1,IF(AA$2=1,1,IF(Параметры!AA$29=1,1+OFFSET(AA484,0,-1),1)),"-"),1)</f>
        <v>-</v>
      </c>
      <c r="AB487" s="192" t="str">
        <f ca="1">IF(Prj_Inflation=1,IF($B487=1,IF(AB$2=1,1,IF(Параметры!AB$29=1,1+OFFSET(AB484,0,-1),1)),"-"),1)</f>
        <v>-</v>
      </c>
      <c r="AC487" s="192" t="str">
        <f ca="1">IF(Prj_Inflation=1,IF($B487=1,IF(AC$2=1,1,IF(Параметры!AC$29=1,1+OFFSET(AC484,0,-1),1)),"-"),1)</f>
        <v>-</v>
      </c>
      <c r="AD487" s="192" t="str">
        <f ca="1">IF(Prj_Inflation=1,IF($B487=1,IF(AD$2=1,1,IF(Параметры!AD$29=1,1+OFFSET(AD484,0,-1),1)),"-"),1)</f>
        <v>-</v>
      </c>
      <c r="AE487" s="192" t="str">
        <f ca="1">IF(Prj_Inflation=1,IF($B487=1,IF(AE$2=1,1,IF(Параметры!AE$29=1,1+OFFSET(AE484,0,-1),1)),"-"),1)</f>
        <v>-</v>
      </c>
      <c r="AF487" s="192" t="str">
        <f ca="1">IF(Prj_Inflation=1,IF($B487=1,IF(AF$2=1,1,IF(Параметры!AF$29=1,1+OFFSET(AF484,0,-1),1)),"-"),1)</f>
        <v>-</v>
      </c>
      <c r="AG487" s="192" t="str">
        <f ca="1">IF(Prj_Inflation=1,IF($B487=1,IF(AG$2=1,1,IF(Параметры!AG$29=1,1+OFFSET(AG484,0,-1),1)),"-"),1)</f>
        <v>-</v>
      </c>
      <c r="AH487" s="192" t="str">
        <f ca="1">IF(Prj_Inflation=1,IF($B487=1,IF(AH$2=1,1,IF(Параметры!AH$29=1,1+OFFSET(AH484,0,-1),1)),"-"),1)</f>
        <v>-</v>
      </c>
      <c r="AI487" s="192" t="str">
        <f ca="1">IF(Prj_Inflation=1,IF($B487=1,IF(AI$2=1,1,IF(Параметры!AI$29=1,1+OFFSET(AI484,0,-1),1)),"-"),1)</f>
        <v>-</v>
      </c>
      <c r="AJ487" s="192" t="str">
        <f ca="1">IF(Prj_Inflation=1,IF($B487=1,IF(AJ$2=1,1,IF(Параметры!AJ$29=1,1+OFFSET(AJ484,0,-1),1)),"-"),1)</f>
        <v>-</v>
      </c>
      <c r="AK487" s="192" t="str">
        <f ca="1">IF(Prj_Inflation=1,IF($B487=1,IF(AK$2=1,1,IF(Параметры!AK$29=1,1+OFFSET(AK484,0,-1),1)),"-"),1)</f>
        <v>-</v>
      </c>
      <c r="AL487" s="192" t="str">
        <f ca="1">IF(Prj_Inflation=1,IF($B487=1,IF(AL$2=1,1,IF(Параметры!AL$29=1,1+OFFSET(AL484,0,-1),1)),"-"),1)</f>
        <v>-</v>
      </c>
      <c r="AM487" s="192" t="str">
        <f ca="1">IF(Prj_Inflation=1,IF($B487=1,IF(AM$2=1,1,IF(Параметры!AM$29=1,1+OFFSET(AM484,0,-1),1)),"-"),1)</f>
        <v>-</v>
      </c>
      <c r="AN487" s="192" t="str">
        <f ca="1">IF(Prj_Inflation=1,IF($B487=1,IF(AN$2=1,1,IF(Параметры!AN$29=1,1+OFFSET(AN484,0,-1),1)),"-"),1)</f>
        <v>-</v>
      </c>
      <c r="AO487" s="192" t="str">
        <f ca="1">IF(Prj_Inflation=1,IF($B487=1,IF(AO$2=1,1,IF(Параметры!AO$29=1,1+OFFSET(AO484,0,-1),1)),"-"),1)</f>
        <v>-</v>
      </c>
      <c r="AP487" s="192" t="str">
        <f ca="1">IF(Prj_Inflation=1,IF($B487=1,IF(AP$2=1,1,IF(Параметры!AP$29=1,1+OFFSET(AP484,0,-1),1)),"-"),1)</f>
        <v>-</v>
      </c>
      <c r="AQ487" s="192" t="str">
        <f ca="1">IF(Prj_Inflation=1,IF($B487=1,IF(AQ$2=1,1,IF(Параметры!AQ$29=1,1+OFFSET(AQ484,0,-1),1)),"-"),1)</f>
        <v>-</v>
      </c>
      <c r="AR487" s="192" t="str">
        <f ca="1">IF(Prj_Inflation=1,IF($B487=1,IF(AR$2=1,1,IF(Параметры!AR$29=1,1+OFFSET(AR484,0,-1),1)),"-"),1)</f>
        <v>-</v>
      </c>
      <c r="AS487" s="192" t="str">
        <f ca="1">IF(Prj_Inflation=1,IF($B487=1,IF(AS$2=1,1,IF(Параметры!AS$29=1,1+OFFSET(AS484,0,-1),1)),"-"),1)</f>
        <v>-</v>
      </c>
      <c r="AT487" s="192" t="str">
        <f ca="1">IF(Prj_Inflation=1,IF($B487=1,IF(AT$2=1,1,IF(Параметры!AT$29=1,1+OFFSET(AT484,0,-1),1)),"-"),1)</f>
        <v>-</v>
      </c>
      <c r="AU487" s="192" t="str">
        <f ca="1">IF(Prj_Inflation=1,IF($B487=1,IF(AU$2=1,1,IF(Параметры!AU$29=1,1+OFFSET(AU484,0,-1),1)),"-"),1)</f>
        <v>-</v>
      </c>
      <c r="AV487" s="192" t="str">
        <f ca="1">IF(Prj_Inflation=1,IF($B487=1,IF(AV$2=1,1,IF(Параметры!AV$29=1,1+OFFSET(AV484,0,-1),1)),"-"),1)</f>
        <v>-</v>
      </c>
      <c r="AW487" s="192" t="str">
        <f ca="1">IF(Prj_Inflation=1,IF($B487=1,IF(AW$2=1,1,IF(Параметры!AW$29=1,1+OFFSET(AW484,0,-1),1)),"-"),1)</f>
        <v>-</v>
      </c>
      <c r="AX487" s="192" t="str">
        <f ca="1">IF(Prj_Inflation=1,IF($B487=1,IF(AX$2=1,1,IF(Параметры!AX$29=1,1+OFFSET(AX484,0,-1),1)),"-"),1)</f>
        <v>-</v>
      </c>
      <c r="AY487" s="192" t="str">
        <f ca="1">IF(Prj_Inflation=1,IF($B487=1,IF(AY$2=1,1,IF(Параметры!AY$29=1,1+OFFSET(AY484,0,-1),1)),"-"),1)</f>
        <v>-</v>
      </c>
      <c r="AZ487" s="192" t="str">
        <f ca="1">IF(Prj_Inflation=1,IF($B487=1,IF(AZ$2=1,1,IF(Параметры!AZ$29=1,1+OFFSET(AZ484,0,-1),1)),"-"),1)</f>
        <v>-</v>
      </c>
      <c r="BA487" s="192" t="str">
        <f ca="1">IF(Prj_Inflation=1,IF($B487=1,IF(BA$2=1,1,IF(Параметры!BA$29=1,1+OFFSET(BA484,0,-1),1)),"-"),1)</f>
        <v>-</v>
      </c>
      <c r="BB487" s="192" t="str">
        <f ca="1">IF(Prj_Inflation=1,IF($B487=1,IF(BB$2=1,1,IF(Параметры!BB$29=1,1+OFFSET(BB484,0,-1),1)),"-"),1)</f>
        <v>-</v>
      </c>
      <c r="BC487" s="191"/>
      <c r="BD487" s="186"/>
    </row>
    <row r="488" spans="1:56" hidden="1" outlineLevel="1" x14ac:dyDescent="0.3">
      <c r="A488" s="184" t="str">
        <f ca="1">Language!A$753</f>
        <v>НДС начисленный</v>
      </c>
      <c r="B488" s="163"/>
      <c r="C488" s="163" t="str">
        <f ca="1">CHOOSE(D488,CurName1,CurName2,CurName3)</f>
        <v>руб.</v>
      </c>
      <c r="D488" s="174">
        <f>D479</f>
        <v>1</v>
      </c>
      <c r="E488" s="170" t="s">
        <v>785</v>
      </c>
      <c r="F488" s="170" t="s">
        <v>740</v>
      </c>
      <c r="G488" s="185">
        <f ca="1">G483*G485</f>
        <v>0</v>
      </c>
      <c r="H488" s="185">
        <f t="shared" ref="H488:BB488" ca="1" si="2092">H483*H485</f>
        <v>0</v>
      </c>
      <c r="I488" s="185">
        <f t="shared" ca="1" si="2092"/>
        <v>0</v>
      </c>
      <c r="J488" s="185">
        <f t="shared" ca="1" si="2092"/>
        <v>0</v>
      </c>
      <c r="K488" s="185">
        <f t="shared" ca="1" si="2092"/>
        <v>0</v>
      </c>
      <c r="L488" s="185">
        <f t="shared" ca="1" si="2092"/>
        <v>0</v>
      </c>
      <c r="M488" s="185">
        <f t="shared" ca="1" si="2092"/>
        <v>0</v>
      </c>
      <c r="N488" s="185">
        <f t="shared" ca="1" si="2092"/>
        <v>0</v>
      </c>
      <c r="O488" s="185">
        <f t="shared" ca="1" si="2092"/>
        <v>0</v>
      </c>
      <c r="P488" s="185">
        <f t="shared" ca="1" si="2092"/>
        <v>0</v>
      </c>
      <c r="Q488" s="185">
        <f t="shared" ca="1" si="2092"/>
        <v>0</v>
      </c>
      <c r="R488" s="185">
        <f t="shared" ca="1" si="2092"/>
        <v>0</v>
      </c>
      <c r="S488" s="185">
        <f t="shared" ca="1" si="2092"/>
        <v>0</v>
      </c>
      <c r="T488" s="185">
        <f t="shared" ca="1" si="2092"/>
        <v>0</v>
      </c>
      <c r="U488" s="185">
        <f t="shared" ca="1" si="2092"/>
        <v>0</v>
      </c>
      <c r="V488" s="185">
        <f t="shared" ca="1" si="2092"/>
        <v>0</v>
      </c>
      <c r="W488" s="185">
        <f t="shared" ca="1" si="2092"/>
        <v>0</v>
      </c>
      <c r="X488" s="185">
        <f t="shared" ca="1" si="2092"/>
        <v>0</v>
      </c>
      <c r="Y488" s="185">
        <f t="shared" ca="1" si="2092"/>
        <v>0</v>
      </c>
      <c r="Z488" s="185">
        <f t="shared" ca="1" si="2092"/>
        <v>0</v>
      </c>
      <c r="AA488" s="185">
        <f t="shared" ca="1" si="2092"/>
        <v>0</v>
      </c>
      <c r="AB488" s="185">
        <f t="shared" ca="1" si="2092"/>
        <v>0</v>
      </c>
      <c r="AC488" s="185">
        <f t="shared" ca="1" si="2092"/>
        <v>0</v>
      </c>
      <c r="AD488" s="185">
        <f t="shared" ca="1" si="2092"/>
        <v>0</v>
      </c>
      <c r="AE488" s="185">
        <f t="shared" ca="1" si="2092"/>
        <v>0</v>
      </c>
      <c r="AF488" s="185">
        <f t="shared" ca="1" si="2092"/>
        <v>0</v>
      </c>
      <c r="AG488" s="185">
        <f t="shared" ca="1" si="2092"/>
        <v>0</v>
      </c>
      <c r="AH488" s="185">
        <f t="shared" ca="1" si="2092"/>
        <v>0</v>
      </c>
      <c r="AI488" s="185">
        <f t="shared" ca="1" si="2092"/>
        <v>0</v>
      </c>
      <c r="AJ488" s="185">
        <f t="shared" ca="1" si="2092"/>
        <v>0</v>
      </c>
      <c r="AK488" s="185">
        <f t="shared" ca="1" si="2092"/>
        <v>0</v>
      </c>
      <c r="AL488" s="185">
        <f t="shared" ca="1" si="2092"/>
        <v>0</v>
      </c>
      <c r="AM488" s="185">
        <f t="shared" ca="1" si="2092"/>
        <v>0</v>
      </c>
      <c r="AN488" s="185">
        <f t="shared" ca="1" si="2092"/>
        <v>0</v>
      </c>
      <c r="AO488" s="185">
        <f t="shared" ca="1" si="2092"/>
        <v>0</v>
      </c>
      <c r="AP488" s="185">
        <f t="shared" ca="1" si="2092"/>
        <v>0</v>
      </c>
      <c r="AQ488" s="185">
        <f t="shared" ca="1" si="2092"/>
        <v>0</v>
      </c>
      <c r="AR488" s="185">
        <f t="shared" ca="1" si="2092"/>
        <v>0</v>
      </c>
      <c r="AS488" s="185">
        <f t="shared" ca="1" si="2092"/>
        <v>0</v>
      </c>
      <c r="AT488" s="185">
        <f t="shared" ca="1" si="2092"/>
        <v>0</v>
      </c>
      <c r="AU488" s="185">
        <f t="shared" ca="1" si="2092"/>
        <v>0</v>
      </c>
      <c r="AV488" s="185">
        <f t="shared" ca="1" si="2092"/>
        <v>0</v>
      </c>
      <c r="AW488" s="185">
        <f t="shared" ca="1" si="2092"/>
        <v>0</v>
      </c>
      <c r="AX488" s="185">
        <f t="shared" ca="1" si="2092"/>
        <v>0</v>
      </c>
      <c r="AY488" s="185">
        <f t="shared" ca="1" si="2092"/>
        <v>0</v>
      </c>
      <c r="AZ488" s="185">
        <f t="shared" ca="1" si="2092"/>
        <v>0</v>
      </c>
      <c r="BA488" s="185">
        <f t="shared" ca="1" si="2092"/>
        <v>0</v>
      </c>
      <c r="BB488" s="185">
        <f t="shared" ca="1" si="2092"/>
        <v>0</v>
      </c>
      <c r="BC488" s="185"/>
      <c r="BD488" s="193">
        <f ca="1">SUM(G488:BC488)</f>
        <v>0</v>
      </c>
    </row>
    <row r="489" spans="1:56" x14ac:dyDescent="0.3">
      <c r="A489" s="283" t="s">
        <v>3528</v>
      </c>
      <c r="B489" s="205"/>
      <c r="C489" s="176"/>
      <c r="D489" s="174">
        <v>1</v>
      </c>
      <c r="F489" s="170" t="s">
        <v>3529</v>
      </c>
      <c r="G489" s="206"/>
      <c r="H489" s="206"/>
      <c r="I489" s="206"/>
      <c r="J489" s="206"/>
      <c r="K489" s="206"/>
      <c r="L489" s="206"/>
      <c r="M489" s="206"/>
      <c r="N489" s="206"/>
      <c r="O489" s="206"/>
      <c r="P489" s="206"/>
      <c r="Q489" s="206"/>
      <c r="R489" s="206"/>
      <c r="S489" s="206"/>
      <c r="T489" s="206"/>
      <c r="U489" s="206"/>
      <c r="V489" s="206"/>
      <c r="W489" s="206"/>
      <c r="X489" s="206"/>
      <c r="Y489" s="206"/>
      <c r="Z489" s="206"/>
      <c r="AA489" s="206"/>
      <c r="AB489" s="206"/>
      <c r="AC489" s="206"/>
      <c r="AD489" s="206"/>
      <c r="AE489" s="206"/>
      <c r="AF489" s="206"/>
      <c r="AG489" s="206"/>
      <c r="AH489" s="206"/>
      <c r="AI489" s="206"/>
      <c r="AJ489" s="206"/>
      <c r="AK489" s="206"/>
      <c r="AL489" s="206"/>
      <c r="AM489" s="206"/>
      <c r="AN489" s="206"/>
      <c r="AO489" s="206"/>
      <c r="AP489" s="206"/>
      <c r="AQ489" s="206"/>
      <c r="AR489" s="206"/>
      <c r="AS489" s="206"/>
      <c r="AT489" s="206"/>
      <c r="AU489" s="206"/>
      <c r="AV489" s="206"/>
      <c r="AW489" s="206"/>
      <c r="AX489" s="206"/>
      <c r="AY489" s="206"/>
      <c r="AZ489" s="206"/>
      <c r="BA489" s="206"/>
      <c r="BB489" s="206"/>
      <c r="BC489" s="206"/>
    </row>
    <row r="490" spans="1:56" x14ac:dyDescent="0.3">
      <c r="A490" s="175" t="str">
        <f ca="1">Language!A$746</f>
        <v>период появления затрат</v>
      </c>
      <c r="B490" s="284">
        <f>Prj_Invest+1</f>
        <v>7</v>
      </c>
      <c r="C490" s="176" t="str">
        <f ca="1">Language!$A$1480</f>
        <v>период</v>
      </c>
      <c r="D490" s="174"/>
      <c r="G490" s="177"/>
      <c r="H490" s="177"/>
      <c r="I490" s="177"/>
      <c r="J490" s="177"/>
      <c r="K490" s="177"/>
      <c r="L490" s="177"/>
      <c r="M490" s="177"/>
      <c r="N490" s="177"/>
      <c r="O490" s="177"/>
      <c r="P490" s="177"/>
      <c r="Q490" s="177"/>
      <c r="R490" s="177"/>
      <c r="S490" s="177"/>
      <c r="T490" s="177"/>
      <c r="U490" s="177"/>
      <c r="V490" s="177"/>
      <c r="W490" s="177"/>
      <c r="X490" s="177"/>
      <c r="Y490" s="177"/>
      <c r="Z490" s="177"/>
      <c r="AA490" s="177"/>
      <c r="AB490" s="177"/>
      <c r="AC490" s="177"/>
      <c r="AD490" s="177"/>
      <c r="AE490" s="177"/>
      <c r="AF490" s="177"/>
      <c r="AG490" s="177"/>
      <c r="AH490" s="177"/>
      <c r="AI490" s="177"/>
      <c r="AJ490" s="177"/>
      <c r="AK490" s="177"/>
      <c r="AL490" s="177"/>
      <c r="AM490" s="177"/>
      <c r="AN490" s="177"/>
      <c r="AO490" s="177"/>
      <c r="AP490" s="177"/>
      <c r="AQ490" s="177"/>
      <c r="AR490" s="177"/>
      <c r="AS490" s="177"/>
      <c r="AT490" s="177"/>
      <c r="AU490" s="177"/>
      <c r="AV490" s="177"/>
      <c r="AW490" s="177"/>
      <c r="AX490" s="177"/>
      <c r="AY490" s="177"/>
      <c r="AZ490" s="177"/>
      <c r="BA490" s="177"/>
      <c r="BB490" s="177"/>
      <c r="BC490" s="177"/>
      <c r="BD490" s="178"/>
    </row>
    <row r="491" spans="1:56" x14ac:dyDescent="0.3">
      <c r="A491" s="175" t="str">
        <f ca="1">Language!A$747&amp;" ("&amp;Параметры!B$19&amp;"), "&amp;Language!A$748</f>
        <v>затраты за период (месяц), без НДС</v>
      </c>
      <c r="B491" s="284">
        <v>6000</v>
      </c>
      <c r="C491" s="176" t="str">
        <f t="shared" ref="C491" ca="1" si="2093">CHOOSE(D491,CurName1,CurName2,CurName3)</f>
        <v>руб.</v>
      </c>
      <c r="D491" s="174">
        <f>D489</f>
        <v>1</v>
      </c>
      <c r="F491" s="170" t="s">
        <v>2353</v>
      </c>
      <c r="G491" s="285">
        <f>IF(G$2=1,$B491,F491)</f>
        <v>6000</v>
      </c>
      <c r="H491" s="285">
        <f t="shared" ref="H491" si="2094">IF(H$2=1,$B491,G491)</f>
        <v>6000</v>
      </c>
      <c r="I491" s="285">
        <f t="shared" ref="I491" si="2095">IF(I$2=1,$B491,H491)</f>
        <v>6000</v>
      </c>
      <c r="J491" s="285">
        <f t="shared" ref="J491" si="2096">IF(J$2=1,$B491,I491)</f>
        <v>6000</v>
      </c>
      <c r="K491" s="285">
        <f t="shared" ref="K491" si="2097">IF(K$2=1,$B491,J491)</f>
        <v>6000</v>
      </c>
      <c r="L491" s="285">
        <f t="shared" ref="L491" si="2098">IF(L$2=1,$B491,K491)</f>
        <v>6000</v>
      </c>
      <c r="M491" s="285">
        <f t="shared" ref="M491" si="2099">IF(M$2=1,$B491,L491)</f>
        <v>6000</v>
      </c>
      <c r="N491" s="285">
        <f t="shared" ref="N491" si="2100">IF(N$2=1,$B491,M491)</f>
        <v>6000</v>
      </c>
      <c r="O491" s="285">
        <f t="shared" ref="O491" si="2101">IF(O$2=1,$B491,N491)</f>
        <v>6000</v>
      </c>
      <c r="P491" s="285">
        <f t="shared" ref="P491" si="2102">IF(P$2=1,$B491,O491)</f>
        <v>6000</v>
      </c>
      <c r="Q491" s="285">
        <f t="shared" ref="Q491" si="2103">IF(Q$2=1,$B491,P491)</f>
        <v>6000</v>
      </c>
      <c r="R491" s="285">
        <f t="shared" ref="R491" si="2104">IF(R$2=1,$B491,Q491)</f>
        <v>6000</v>
      </c>
      <c r="S491" s="285">
        <f t="shared" ref="S491" si="2105">IF(S$2=1,$B491,R491)</f>
        <v>6000</v>
      </c>
      <c r="T491" s="285">
        <f t="shared" ref="T491" si="2106">IF(T$2=1,$B491,S491)</f>
        <v>6000</v>
      </c>
      <c r="U491" s="285">
        <f t="shared" ref="U491" si="2107">IF(U$2=1,$B491,T491)</f>
        <v>6000</v>
      </c>
      <c r="V491" s="285">
        <f t="shared" ref="V491" si="2108">IF(V$2=1,$B491,U491)</f>
        <v>6000</v>
      </c>
      <c r="W491" s="285">
        <f t="shared" ref="W491" si="2109">IF(W$2=1,$B491,V491)</f>
        <v>6000</v>
      </c>
      <c r="X491" s="285">
        <f t="shared" ref="X491" si="2110">IF(X$2=1,$B491,W491)</f>
        <v>6000</v>
      </c>
      <c r="Y491" s="285">
        <f t="shared" ref="Y491" si="2111">IF(Y$2=1,$B491,X491)</f>
        <v>6000</v>
      </c>
      <c r="Z491" s="285">
        <f t="shared" ref="Z491" si="2112">IF(Z$2=1,$B491,Y491)</f>
        <v>6000</v>
      </c>
      <c r="AA491" s="285">
        <f t="shared" ref="AA491" si="2113">IF(AA$2=1,$B491,Z491)</f>
        <v>6000</v>
      </c>
      <c r="AB491" s="285">
        <f t="shared" ref="AB491" si="2114">IF(AB$2=1,$B491,AA491)</f>
        <v>6000</v>
      </c>
      <c r="AC491" s="285">
        <f t="shared" ref="AC491" si="2115">IF(AC$2=1,$B491,AB491)</f>
        <v>6000</v>
      </c>
      <c r="AD491" s="285">
        <f t="shared" ref="AD491" si="2116">IF(AD$2=1,$B491,AC491)</f>
        <v>6000</v>
      </c>
      <c r="AE491" s="285">
        <f t="shared" ref="AE491" si="2117">IF(AE$2=1,$B491,AD491)</f>
        <v>6000</v>
      </c>
      <c r="AF491" s="285">
        <f t="shared" ref="AF491" si="2118">IF(AF$2=1,$B491,AE491)</f>
        <v>6000</v>
      </c>
      <c r="AG491" s="285">
        <f t="shared" ref="AG491" si="2119">IF(AG$2=1,$B491,AF491)</f>
        <v>6000</v>
      </c>
      <c r="AH491" s="285">
        <f t="shared" ref="AH491" si="2120">IF(AH$2=1,$B491,AG491)</f>
        <v>6000</v>
      </c>
      <c r="AI491" s="285">
        <f t="shared" ref="AI491" si="2121">IF(AI$2=1,$B491,AH491)</f>
        <v>6000</v>
      </c>
      <c r="AJ491" s="285">
        <f t="shared" ref="AJ491" si="2122">IF(AJ$2=1,$B491,AI491)</f>
        <v>6000</v>
      </c>
      <c r="AK491" s="285">
        <f t="shared" ref="AK491" si="2123">IF(AK$2=1,$B491,AJ491)</f>
        <v>6000</v>
      </c>
      <c r="AL491" s="285">
        <f t="shared" ref="AL491" si="2124">IF(AL$2=1,$B491,AK491)</f>
        <v>6000</v>
      </c>
      <c r="AM491" s="285">
        <f t="shared" ref="AM491" si="2125">IF(AM$2=1,$B491,AL491)</f>
        <v>6000</v>
      </c>
      <c r="AN491" s="285">
        <f t="shared" ref="AN491" si="2126">IF(AN$2=1,$B491,AM491)</f>
        <v>6000</v>
      </c>
      <c r="AO491" s="285">
        <f t="shared" ref="AO491" si="2127">IF(AO$2=1,$B491,AN491)</f>
        <v>6000</v>
      </c>
      <c r="AP491" s="285">
        <f t="shared" ref="AP491" si="2128">IF(AP$2=1,$B491,AO491)</f>
        <v>6000</v>
      </c>
      <c r="AQ491" s="285">
        <f t="shared" ref="AQ491" si="2129">IF(AQ$2=1,$B491,AP491)</f>
        <v>6000</v>
      </c>
      <c r="AR491" s="285">
        <f t="shared" ref="AR491" si="2130">IF(AR$2=1,$B491,AQ491)</f>
        <v>6000</v>
      </c>
      <c r="AS491" s="285">
        <f t="shared" ref="AS491" si="2131">IF(AS$2=1,$B491,AR491)</f>
        <v>6000</v>
      </c>
      <c r="AT491" s="285">
        <f t="shared" ref="AT491" si="2132">IF(AT$2=1,$B491,AS491)</f>
        <v>6000</v>
      </c>
      <c r="AU491" s="285">
        <f t="shared" ref="AU491" si="2133">IF(AU$2=1,$B491,AT491)</f>
        <v>6000</v>
      </c>
      <c r="AV491" s="285">
        <f t="shared" ref="AV491" si="2134">IF(AV$2=1,$B491,AU491)</f>
        <v>6000</v>
      </c>
      <c r="AW491" s="285">
        <f t="shared" ref="AW491" si="2135">IF(AW$2=1,$B491,AV491)</f>
        <v>6000</v>
      </c>
      <c r="AX491" s="285">
        <f t="shared" ref="AX491" si="2136">IF(AX$2=1,$B491,AW491)</f>
        <v>6000</v>
      </c>
      <c r="AY491" s="285">
        <f t="shared" ref="AY491" si="2137">IF(AY$2=1,$B491,AX491)</f>
        <v>6000</v>
      </c>
      <c r="AZ491" s="285">
        <f t="shared" ref="AZ491" si="2138">IF(AZ$2=1,$B491,AY491)</f>
        <v>6000</v>
      </c>
      <c r="BA491" s="285">
        <f t="shared" ref="BA491" si="2139">IF(BA$2=1,$B491,AZ491)</f>
        <v>6000</v>
      </c>
      <c r="BB491" s="285">
        <f t="shared" ref="BB491" si="2140">IF(BB$2=1,$B491,BA491)</f>
        <v>6000</v>
      </c>
      <c r="BC491" s="177"/>
      <c r="BD491" s="178"/>
    </row>
    <row r="492" spans="1:56" x14ac:dyDescent="0.3">
      <c r="A492" s="175" t="str">
        <f ca="1">Language!A$695</f>
        <v>коэффициент расходов</v>
      </c>
      <c r="B492" s="199"/>
      <c r="C492" s="176" t="s">
        <v>1</v>
      </c>
      <c r="F492" s="170" t="s">
        <v>745</v>
      </c>
      <c r="G492" s="286">
        <f>IF(G$2&gt;=$B490,Параметры!G$33,0)</f>
        <v>0</v>
      </c>
      <c r="H492" s="286">
        <f>IF(H$2&gt;=$B490,Параметры!H$33,0)</f>
        <v>0</v>
      </c>
      <c r="I492" s="286">
        <f>IF(I$2&gt;=$B490,Параметры!I$33,0)</f>
        <v>0</v>
      </c>
      <c r="J492" s="286">
        <f>IF(J$2&gt;=$B490,Параметры!J$33,0)</f>
        <v>0</v>
      </c>
      <c r="K492" s="286">
        <f>IF(K$2&gt;=$B490,Параметры!K$33,0)</f>
        <v>0</v>
      </c>
      <c r="L492" s="286">
        <f>IF(L$2&gt;=$B490,Параметры!L$33,0)</f>
        <v>0</v>
      </c>
      <c r="M492" s="286">
        <f>IF(M$2&gt;=$B490,Параметры!M$33,0)</f>
        <v>1</v>
      </c>
      <c r="N492" s="286">
        <f>IF(N$2&gt;=$B490,Параметры!N$33,0)</f>
        <v>1</v>
      </c>
      <c r="O492" s="286">
        <f>IF(O$2&gt;=$B490,Параметры!O$33,0)</f>
        <v>1</v>
      </c>
      <c r="P492" s="286">
        <f>IF(P$2&gt;=$B490,Параметры!P$33,0)</f>
        <v>1</v>
      </c>
      <c r="Q492" s="286">
        <f>IF(Q$2&gt;=$B490,Параметры!Q$33,0)</f>
        <v>1</v>
      </c>
      <c r="R492" s="286">
        <f>IF(R$2&gt;=$B490,Параметры!R$33,0)</f>
        <v>1</v>
      </c>
      <c r="S492" s="286">
        <f>IF(S$2&gt;=$B490,Параметры!S$33,0)</f>
        <v>1</v>
      </c>
      <c r="T492" s="286">
        <f>IF(T$2&gt;=$B490,Параметры!T$33,0)</f>
        <v>1</v>
      </c>
      <c r="U492" s="286">
        <f>IF(U$2&gt;=$B490,Параметры!U$33,0)</f>
        <v>1</v>
      </c>
      <c r="V492" s="286">
        <f>IF(V$2&gt;=$B490,Параметры!V$33,0)</f>
        <v>1</v>
      </c>
      <c r="W492" s="286">
        <f>IF(W$2&gt;=$B490,Параметры!W$33,0)</f>
        <v>1</v>
      </c>
      <c r="X492" s="286">
        <f>IF(X$2&gt;=$B490,Параметры!X$33,0)</f>
        <v>1</v>
      </c>
      <c r="Y492" s="286">
        <f>IF(Y$2&gt;=$B490,Параметры!Y$33,0)</f>
        <v>1</v>
      </c>
      <c r="Z492" s="286">
        <f>IF(Z$2&gt;=$B490,Параметры!Z$33,0)</f>
        <v>1</v>
      </c>
      <c r="AA492" s="286">
        <f>IF(AA$2&gt;=$B490,Параметры!AA$33,0)</f>
        <v>1</v>
      </c>
      <c r="AB492" s="286">
        <f>IF(AB$2&gt;=$B490,Параметры!AB$33,0)</f>
        <v>1</v>
      </c>
      <c r="AC492" s="286">
        <f>IF(AC$2&gt;=$B490,Параметры!AC$33,0)</f>
        <v>1</v>
      </c>
      <c r="AD492" s="286">
        <f>IF(AD$2&gt;=$B490,Параметры!AD$33,0)</f>
        <v>1</v>
      </c>
      <c r="AE492" s="286">
        <f>IF(AE$2&gt;=$B490,Параметры!AE$33,0)</f>
        <v>1</v>
      </c>
      <c r="AF492" s="286">
        <f>IF(AF$2&gt;=$B490,Параметры!AF$33,0)</f>
        <v>1</v>
      </c>
      <c r="AG492" s="286">
        <f>IF(AG$2&gt;=$B490,Параметры!AG$33,0)</f>
        <v>1</v>
      </c>
      <c r="AH492" s="286">
        <f>IF(AH$2&gt;=$B490,Параметры!AH$33,0)</f>
        <v>1</v>
      </c>
      <c r="AI492" s="286">
        <f>IF(AI$2&gt;=$B490,Параметры!AI$33,0)</f>
        <v>1</v>
      </c>
      <c r="AJ492" s="286">
        <f>IF(AJ$2&gt;=$B490,Параметры!AJ$33,0)</f>
        <v>1</v>
      </c>
      <c r="AK492" s="286">
        <f>IF(AK$2&gt;=$B490,Параметры!AK$33,0)</f>
        <v>1</v>
      </c>
      <c r="AL492" s="286">
        <f>IF(AL$2&gt;=$B490,Параметры!AL$33,0)</f>
        <v>1</v>
      </c>
      <c r="AM492" s="286">
        <f>IF(AM$2&gt;=$B490,Параметры!AM$33,0)</f>
        <v>1</v>
      </c>
      <c r="AN492" s="286">
        <f>IF(AN$2&gt;=$B490,Параметры!AN$33,0)</f>
        <v>1</v>
      </c>
      <c r="AO492" s="286">
        <f>IF(AO$2&gt;=$B490,Параметры!AO$33,0)</f>
        <v>1</v>
      </c>
      <c r="AP492" s="286">
        <f>IF(AP$2&gt;=$B490,Параметры!AP$33,0)</f>
        <v>1</v>
      </c>
      <c r="AQ492" s="286">
        <f>IF(AQ$2&gt;=$B490,Параметры!AQ$33,0)</f>
        <v>1</v>
      </c>
      <c r="AR492" s="286">
        <f>IF(AR$2&gt;=$B490,Параметры!AR$33,0)</f>
        <v>1</v>
      </c>
      <c r="AS492" s="286">
        <f>IF(AS$2&gt;=$B490,Параметры!AS$33,0)</f>
        <v>1</v>
      </c>
      <c r="AT492" s="286">
        <f>IF(AT$2&gt;=$B490,Параметры!AT$33,0)</f>
        <v>1</v>
      </c>
      <c r="AU492" s="286">
        <f>IF(AU$2&gt;=$B490,Параметры!AU$33,0)</f>
        <v>1</v>
      </c>
      <c r="AV492" s="286">
        <f>IF(AV$2&gt;=$B490,Параметры!AV$33,0)</f>
        <v>1</v>
      </c>
      <c r="AW492" s="286">
        <f>IF(AW$2&gt;=$B490,Параметры!AW$33,0)</f>
        <v>1</v>
      </c>
      <c r="AX492" s="286">
        <f>IF(AX$2&gt;=$B490,Параметры!AX$33,0)</f>
        <v>1</v>
      </c>
      <c r="AY492" s="286">
        <f>IF(AY$2&gt;=$B490,Параметры!AY$33,0)</f>
        <v>1</v>
      </c>
      <c r="AZ492" s="286">
        <f>IF(AZ$2&gt;=$B490,Параметры!AZ$33,0)</f>
        <v>1</v>
      </c>
      <c r="BA492" s="286">
        <f>IF(BA$2&gt;=$B490,Параметры!BA$33,0)</f>
        <v>1</v>
      </c>
      <c r="BB492" s="286">
        <f>IF(BB$2&gt;=$B490,Параметры!BB$33,0)</f>
        <v>1</v>
      </c>
      <c r="BC492" s="177"/>
    </row>
    <row r="493" spans="1:56" collapsed="1" x14ac:dyDescent="0.3">
      <c r="A493" s="175" t="str">
        <f ca="1">Language!A$752</f>
        <v>затраты с учетом инфляции, без НДС</v>
      </c>
      <c r="B493" s="199"/>
      <c r="C493" s="176" t="str">
        <f t="shared" ref="C493" ca="1" si="2141">CHOOSE(D493,CurName1,CurName2,CurName3)</f>
        <v>руб.</v>
      </c>
      <c r="D493" s="174">
        <f>D489</f>
        <v>1</v>
      </c>
      <c r="E493" s="170" t="s">
        <v>751</v>
      </c>
      <c r="F493" s="170" t="s">
        <v>740</v>
      </c>
      <c r="G493" s="177">
        <f ca="1">G491*G492*IF($B497=1,PRODUCT($G497:G497),PRODUCT($G496:G496))</f>
        <v>0</v>
      </c>
      <c r="H493" s="177">
        <f ca="1">H491*H492*IF($B497=1,PRODUCT($G497:H497),PRODUCT($G496:H496))</f>
        <v>0</v>
      </c>
      <c r="I493" s="177">
        <f ca="1">I491*I492*IF($B497=1,PRODUCT($G497:I497),PRODUCT($G496:I496))</f>
        <v>0</v>
      </c>
      <c r="J493" s="177">
        <f ca="1">J491*J492*IF($B497=1,PRODUCT($G497:J497),PRODUCT($G496:J496))</f>
        <v>0</v>
      </c>
      <c r="K493" s="177">
        <f ca="1">K491*K492*IF($B497=1,PRODUCT($G497:K497),PRODUCT($G496:K496))</f>
        <v>0</v>
      </c>
      <c r="L493" s="177">
        <f ca="1">L491*L492*IF($B497=1,PRODUCT($G497:L497),PRODUCT($G496:L496))</f>
        <v>0</v>
      </c>
      <c r="M493" s="177">
        <f ca="1">M491*M492*IF($B497=1,PRODUCT($G497:M497),PRODUCT($G496:M496))</f>
        <v>6177.3780845922001</v>
      </c>
      <c r="N493" s="177">
        <f ca="1">N491*N492*IF($B497=1,PRODUCT($G497:N497),PRODUCT($G496:N496))</f>
        <v>6207.4467847801952</v>
      </c>
      <c r="O493" s="177">
        <f ca="1">O491*O492*IF($B497=1,PRODUCT($G497:O497),PRODUCT($G496:O496))</f>
        <v>6237.6618458867879</v>
      </c>
      <c r="P493" s="177">
        <f ca="1">P491*P492*IF($B497=1,PRODUCT($G497:P497),PRODUCT($G496:P496))</f>
        <v>6268.0239803311542</v>
      </c>
      <c r="Q493" s="177">
        <f ca="1">Q491*Q492*IF($B497=1,PRODUCT($G497:Q497),PRODUCT($G496:Q496))</f>
        <v>6298.5339040001991</v>
      </c>
      <c r="R493" s="177">
        <f ca="1">R491*R492*IF($B497=1,PRODUCT($G497:R497),PRODUCT($G496:R496))</f>
        <v>6329.192336265447</v>
      </c>
      <c r="S493" s="177">
        <f ca="1">S491*S492*IF($B497=1,PRODUCT($G497:S497),PRODUCT($G496:S496))</f>
        <v>6360.0000000000018</v>
      </c>
      <c r="T493" s="177">
        <f ca="1">T491*T492*IF($B497=1,PRODUCT($G497:T497),PRODUCT($G496:T496))</f>
        <v>6390.9576215955831</v>
      </c>
      <c r="U493" s="177">
        <f ca="1">U491*U492*IF($B497=1,PRODUCT($G497:U497),PRODUCT($G496:U496))</f>
        <v>6422.0659309796638</v>
      </c>
      <c r="V493" s="177">
        <f ca="1">V491*V492*IF($B497=1,PRODUCT($G497:V497),PRODUCT($G496:V496))</f>
        <v>6453.3256616326753</v>
      </c>
      <c r="W493" s="177">
        <f ca="1">W491*W492*IF($B497=1,PRODUCT($G497:W497),PRODUCT($G496:W496))</f>
        <v>6484.7375506052977</v>
      </c>
      <c r="X493" s="177">
        <f ca="1">X491*X492*IF($B497=1,PRODUCT($G497:X497),PRODUCT($G496:X496))</f>
        <v>6516.3023385358474</v>
      </c>
      <c r="Y493" s="177">
        <f ca="1">Y491*Y492*IF($B497=1,PRODUCT($G497:Y497),PRODUCT($G496:Y496))</f>
        <v>6548.0207696677335</v>
      </c>
      <c r="Z493" s="177">
        <f ca="1">Z491*Z492*IF($B497=1,PRODUCT($G497:Z497),PRODUCT($G496:Z496))</f>
        <v>6579.8935918670068</v>
      </c>
      <c r="AA493" s="177">
        <f ca="1">AA491*AA492*IF($B497=1,PRODUCT($G497:AA497),PRODUCT($G496:AA496))</f>
        <v>6611.9215566399971</v>
      </c>
      <c r="AB493" s="177">
        <f ca="1">AB491*AB492*IF($B497=1,PRODUCT($G497:AB497),PRODUCT($G496:AB496))</f>
        <v>6644.1054191510239</v>
      </c>
      <c r="AC493" s="177">
        <f ca="1">AC491*AC492*IF($B497=1,PRODUCT($G497:AC497),PRODUCT($G496:AC496))</f>
        <v>6676.4459382402119</v>
      </c>
      <c r="AD493" s="177">
        <f ca="1">AD491*AD492*IF($B497=1,PRODUCT($G497:AD497),PRODUCT($G496:AD496))</f>
        <v>6708.9438764413762</v>
      </c>
      <c r="AE493" s="177">
        <f ca="1">AE491*AE492*IF($B497=1,PRODUCT($G497:AE497),PRODUCT($G496:AE496))</f>
        <v>6741.600000000004</v>
      </c>
      <c r="AF493" s="177">
        <f ca="1">AF491*AF492*IF($B497=1,PRODUCT($G497:AF497),PRODUCT($G496:AF496))</f>
        <v>6774.4150788913212</v>
      </c>
      <c r="AG493" s="177">
        <f ca="1">AG491*AG492*IF($B497=1,PRODUCT($G497:AG497),PRODUCT($G496:AG496))</f>
        <v>6807.3898868384467</v>
      </c>
      <c r="AH493" s="177">
        <f ca="1">AH491*AH492*IF($B497=1,PRODUCT($G497:AH497),PRODUCT($G496:AH496))</f>
        <v>6840.5252013306381</v>
      </c>
      <c r="AI493" s="177">
        <f ca="1">AI491*AI492*IF($B497=1,PRODUCT($G497:AI497),PRODUCT($G496:AI496))</f>
        <v>6873.8218036416183</v>
      </c>
      <c r="AJ493" s="177">
        <f ca="1">AJ491*AJ492*IF($B497=1,PRODUCT($G497:AJ497),PRODUCT($G496:AJ496))</f>
        <v>6907.2804788480016</v>
      </c>
      <c r="AK493" s="177">
        <f ca="1">AK491*AK492*IF($B497=1,PRODUCT($G497:AK497),PRODUCT($G496:AK496))</f>
        <v>6940.9020158478015</v>
      </c>
      <c r="AL493" s="177">
        <f ca="1">AL491*AL492*IF($B497=1,PRODUCT($G497:AL497),PRODUCT($G496:AL496))</f>
        <v>6974.6872073790319</v>
      </c>
      <c r="AM493" s="177">
        <f ca="1">AM491*AM492*IF($B497=1,PRODUCT($G497:AM497),PRODUCT($G496:AM496))</f>
        <v>7008.6368500384006</v>
      </c>
      <c r="AN493" s="177">
        <f ca="1">AN491*AN492*IF($B497=1,PRODUCT($G497:AN497),PRODUCT($G496:AN496))</f>
        <v>7042.7517443000888</v>
      </c>
      <c r="AO493" s="177">
        <f ca="1">AO491*AO492*IF($B497=1,PRODUCT($G497:AO497),PRODUCT($G496:AO496))</f>
        <v>7077.0326945346278</v>
      </c>
      <c r="AP493" s="177">
        <f ca="1">AP491*AP492*IF($B497=1,PRODUCT($G497:AP497),PRODUCT($G496:AP496))</f>
        <v>7111.4805090278605</v>
      </c>
      <c r="AQ493" s="177">
        <f ca="1">AQ491*AQ492*IF($B497=1,PRODUCT($G497:AQ497),PRODUCT($G496:AQ496))</f>
        <v>7146.0960000000059</v>
      </c>
      <c r="AR493" s="177">
        <f ca="1">AR491*AR492*IF($B497=1,PRODUCT($G497:AR497),PRODUCT($G496:AR496))</f>
        <v>7180.8799836248008</v>
      </c>
      <c r="AS493" s="177">
        <f ca="1">AS491*AS492*IF($B497=1,PRODUCT($G497:AS497),PRODUCT($G496:AS496))</f>
        <v>7215.8332800487551</v>
      </c>
      <c r="AT493" s="177">
        <f ca="1">AT491*AT492*IF($B497=1,PRODUCT($G497:AT497),PRODUCT($G496:AT496))</f>
        <v>7250.9567134104773</v>
      </c>
      <c r="AU493" s="177">
        <f ca="1">AU491*AU492*IF($B497=1,PRODUCT($G497:AU497),PRODUCT($G496:AU496))</f>
        <v>7286.251111860116</v>
      </c>
      <c r="AV493" s="177">
        <f ca="1">AV491*AV492*IF($B497=1,PRODUCT($G497:AV497),PRODUCT($G496:AV496))</f>
        <v>7321.7173075788824</v>
      </c>
      <c r="AW493" s="177">
        <f ca="1">AW491*AW492*IF($B497=1,PRODUCT($G497:AW497),PRODUCT($G496:AW496))</f>
        <v>7357.3561367986704</v>
      </c>
      <c r="AX493" s="177">
        <f ca="1">AX491*AX492*IF($B497=1,PRODUCT($G497:AX497),PRODUCT($G496:AX496))</f>
        <v>7393.168439821774</v>
      </c>
      <c r="AY493" s="177">
        <f ca="1">AY491*AY492*IF($B497=1,PRODUCT($G497:AY497),PRODUCT($G496:AY496))</f>
        <v>7429.1550610407048</v>
      </c>
      <c r="AZ493" s="177">
        <f ca="1">AZ491*AZ492*IF($B497=1,PRODUCT($G497:AZ497),PRODUCT($G496:AZ496))</f>
        <v>7465.3168489580949</v>
      </c>
      <c r="BA493" s="177">
        <f ca="1">BA491*BA492*IF($B497=1,PRODUCT($G497:BA497),PRODUCT($G496:BA496))</f>
        <v>7501.654656206706</v>
      </c>
      <c r="BB493" s="177">
        <f ca="1">BB491*BB492*IF($B497=1,PRODUCT($G497:BB497),PRODUCT($G496:BB496))</f>
        <v>7538.1693395695329</v>
      </c>
      <c r="BC493" s="177"/>
      <c r="BD493" s="178">
        <f ca="1">SUM(G493:BC493)</f>
        <v>287102.03554080881</v>
      </c>
    </row>
    <row r="494" spans="1:56" hidden="1" outlineLevel="1" x14ac:dyDescent="0.3">
      <c r="A494" s="184" t="str">
        <f ca="1">Language!A$749</f>
        <v>темп изменения цен</v>
      </c>
      <c r="B494" s="189"/>
      <c r="C494" s="163" t="str">
        <f ca="1">Language!$A$480</f>
        <v>% в год</v>
      </c>
      <c r="D494" s="174"/>
      <c r="F494" s="170" t="s">
        <v>2346</v>
      </c>
      <c r="G494" s="290">
        <f>CHOOSE($D491,Параметры!G$49,Параметры!G$56,Параметры!G$62)</f>
        <v>0.06</v>
      </c>
      <c r="H494" s="290">
        <f>CHOOSE($D491,Параметры!H$49,Параметры!H$56,Параметры!H$62)</f>
        <v>0.06</v>
      </c>
      <c r="I494" s="290">
        <f>CHOOSE($D491,Параметры!I$49,Параметры!I$56,Параметры!I$62)</f>
        <v>0.06</v>
      </c>
      <c r="J494" s="290">
        <f>CHOOSE($D491,Параметры!J$49,Параметры!J$56,Параметры!J$62)</f>
        <v>0.06</v>
      </c>
      <c r="K494" s="290">
        <f>CHOOSE($D491,Параметры!K$49,Параметры!K$56,Параметры!K$62)</f>
        <v>0.06</v>
      </c>
      <c r="L494" s="290">
        <f>CHOOSE($D491,Параметры!L$49,Параметры!L$56,Параметры!L$62)</f>
        <v>0.06</v>
      </c>
      <c r="M494" s="290">
        <f>CHOOSE($D491,Параметры!M$49,Параметры!M$56,Параметры!M$62)</f>
        <v>0.06</v>
      </c>
      <c r="N494" s="290">
        <f>CHOOSE($D491,Параметры!N$49,Параметры!N$56,Параметры!N$62)</f>
        <v>0.06</v>
      </c>
      <c r="O494" s="290">
        <f>CHOOSE($D491,Параметры!O$49,Параметры!O$56,Параметры!O$62)</f>
        <v>0.06</v>
      </c>
      <c r="P494" s="290">
        <f>CHOOSE($D491,Параметры!P$49,Параметры!P$56,Параметры!P$62)</f>
        <v>0.06</v>
      </c>
      <c r="Q494" s="290">
        <f>CHOOSE($D491,Параметры!Q$49,Параметры!Q$56,Параметры!Q$62)</f>
        <v>0.06</v>
      </c>
      <c r="R494" s="290">
        <f>CHOOSE($D491,Параметры!R$49,Параметры!R$56,Параметры!R$62)</f>
        <v>0.06</v>
      </c>
      <c r="S494" s="290">
        <f>CHOOSE($D491,Параметры!S$49,Параметры!S$56,Параметры!S$62)</f>
        <v>0.06</v>
      </c>
      <c r="T494" s="290">
        <f>CHOOSE($D491,Параметры!T$49,Параметры!T$56,Параметры!T$62)</f>
        <v>0.06</v>
      </c>
      <c r="U494" s="290">
        <f>CHOOSE($D491,Параметры!U$49,Параметры!U$56,Параметры!U$62)</f>
        <v>0.06</v>
      </c>
      <c r="V494" s="290">
        <f>CHOOSE($D491,Параметры!V$49,Параметры!V$56,Параметры!V$62)</f>
        <v>0.06</v>
      </c>
      <c r="W494" s="290">
        <f>CHOOSE($D491,Параметры!W$49,Параметры!W$56,Параметры!W$62)</f>
        <v>0.06</v>
      </c>
      <c r="X494" s="290">
        <f>CHOOSE($D491,Параметры!X$49,Параметры!X$56,Параметры!X$62)</f>
        <v>0.06</v>
      </c>
      <c r="Y494" s="290">
        <f>CHOOSE($D491,Параметры!Y$49,Параметры!Y$56,Параметры!Y$62)</f>
        <v>0.06</v>
      </c>
      <c r="Z494" s="290">
        <f>CHOOSE($D491,Параметры!Z$49,Параметры!Z$56,Параметры!Z$62)</f>
        <v>0.06</v>
      </c>
      <c r="AA494" s="290">
        <f>CHOOSE($D491,Параметры!AA$49,Параметры!AA$56,Параметры!AA$62)</f>
        <v>0.06</v>
      </c>
      <c r="AB494" s="290">
        <f>CHOOSE($D491,Параметры!AB$49,Параметры!AB$56,Параметры!AB$62)</f>
        <v>0.06</v>
      </c>
      <c r="AC494" s="290">
        <f>CHOOSE($D491,Параметры!AC$49,Параметры!AC$56,Параметры!AC$62)</f>
        <v>0.06</v>
      </c>
      <c r="AD494" s="290">
        <f>CHOOSE($D491,Параметры!AD$49,Параметры!AD$56,Параметры!AD$62)</f>
        <v>0.06</v>
      </c>
      <c r="AE494" s="290">
        <f>CHOOSE($D491,Параметры!AE$49,Параметры!AE$56,Параметры!AE$62)</f>
        <v>0.06</v>
      </c>
      <c r="AF494" s="290">
        <f>CHOOSE($D491,Параметры!AF$49,Параметры!AF$56,Параметры!AF$62)</f>
        <v>0.06</v>
      </c>
      <c r="AG494" s="290">
        <f>CHOOSE($D491,Параметры!AG$49,Параметры!AG$56,Параметры!AG$62)</f>
        <v>0.06</v>
      </c>
      <c r="AH494" s="290">
        <f>CHOOSE($D491,Параметры!AH$49,Параметры!AH$56,Параметры!AH$62)</f>
        <v>0.06</v>
      </c>
      <c r="AI494" s="290">
        <f>CHOOSE($D491,Параметры!AI$49,Параметры!AI$56,Параметры!AI$62)</f>
        <v>0.06</v>
      </c>
      <c r="AJ494" s="290">
        <f>CHOOSE($D491,Параметры!AJ$49,Параметры!AJ$56,Параметры!AJ$62)</f>
        <v>0.06</v>
      </c>
      <c r="AK494" s="290">
        <f>CHOOSE($D491,Параметры!AK$49,Параметры!AK$56,Параметры!AK$62)</f>
        <v>0.06</v>
      </c>
      <c r="AL494" s="290">
        <f>CHOOSE($D491,Параметры!AL$49,Параметры!AL$56,Параметры!AL$62)</f>
        <v>0.06</v>
      </c>
      <c r="AM494" s="290">
        <f>CHOOSE($D491,Параметры!AM$49,Параметры!AM$56,Параметры!AM$62)</f>
        <v>0.06</v>
      </c>
      <c r="AN494" s="290">
        <f>CHOOSE($D491,Параметры!AN$49,Параметры!AN$56,Параметры!AN$62)</f>
        <v>0.06</v>
      </c>
      <c r="AO494" s="290">
        <f>CHOOSE($D491,Параметры!AO$49,Параметры!AO$56,Параметры!AO$62)</f>
        <v>0.06</v>
      </c>
      <c r="AP494" s="290">
        <f>CHOOSE($D491,Параметры!AP$49,Параметры!AP$56,Параметры!AP$62)</f>
        <v>0.06</v>
      </c>
      <c r="AQ494" s="290">
        <f>CHOOSE($D491,Параметры!AQ$49,Параметры!AQ$56,Параметры!AQ$62)</f>
        <v>0.06</v>
      </c>
      <c r="AR494" s="290">
        <f>CHOOSE($D491,Параметры!AR$49,Параметры!AR$56,Параметры!AR$62)</f>
        <v>0.06</v>
      </c>
      <c r="AS494" s="290">
        <f>CHOOSE($D491,Параметры!AS$49,Параметры!AS$56,Параметры!AS$62)</f>
        <v>0.06</v>
      </c>
      <c r="AT494" s="290">
        <f>CHOOSE($D491,Параметры!AT$49,Параметры!AT$56,Параметры!AT$62)</f>
        <v>0.06</v>
      </c>
      <c r="AU494" s="290">
        <f>CHOOSE($D491,Параметры!AU$49,Параметры!AU$56,Параметры!AU$62)</f>
        <v>0.06</v>
      </c>
      <c r="AV494" s="290">
        <f>CHOOSE($D491,Параметры!AV$49,Параметры!AV$56,Параметры!AV$62)</f>
        <v>0.06</v>
      </c>
      <c r="AW494" s="290">
        <f>CHOOSE($D491,Параметры!AW$49,Параметры!AW$56,Параметры!AW$62)</f>
        <v>0.06</v>
      </c>
      <c r="AX494" s="290">
        <f>CHOOSE($D491,Параметры!AX$49,Параметры!AX$56,Параметры!AX$62)</f>
        <v>0.06</v>
      </c>
      <c r="AY494" s="290">
        <f>CHOOSE($D491,Параметры!AY$49,Параметры!AY$56,Параметры!AY$62)</f>
        <v>0.06</v>
      </c>
      <c r="AZ494" s="290">
        <f>CHOOSE($D491,Параметры!AZ$49,Параметры!AZ$56,Параметры!AZ$62)</f>
        <v>0.06</v>
      </c>
      <c r="BA494" s="290">
        <f>CHOOSE($D491,Параметры!BA$49,Параметры!BA$56,Параметры!BA$62)</f>
        <v>0.06</v>
      </c>
      <c r="BB494" s="290">
        <f>CHOOSE($D491,Параметры!BB$49,Параметры!BB$56,Параметры!BB$62)</f>
        <v>0.06</v>
      </c>
      <c r="BC494" s="190"/>
      <c r="BD494" s="186"/>
    </row>
    <row r="495" spans="1:56" hidden="1" outlineLevel="1" x14ac:dyDescent="0.3">
      <c r="A495" s="184" t="str">
        <f ca="1">Language!A$750</f>
        <v>ставка НДС</v>
      </c>
      <c r="B495" s="189"/>
      <c r="C495" s="163" t="s">
        <v>1</v>
      </c>
      <c r="D495" s="174"/>
      <c r="F495" s="170" t="s">
        <v>2346</v>
      </c>
      <c r="G495" s="290">
        <f>IF(G$2=1,Параметры!G$72,IF(F495=Параметры!F$72,Параметры!F$72,F495))</f>
        <v>0</v>
      </c>
      <c r="H495" s="290">
        <f>IF(H$2=1,Параметры!H$72,IF(G495=Параметры!G$72,Параметры!G$72,G495))</f>
        <v>0</v>
      </c>
      <c r="I495" s="290">
        <f>IF(I$2=1,Параметры!I$72,IF(H495=Параметры!H$72,Параметры!H$72,H495))</f>
        <v>0</v>
      </c>
      <c r="J495" s="290">
        <f>IF(J$2=1,Параметры!J$72,IF(I495=Параметры!I$72,Параметры!I$72,I495))</f>
        <v>0</v>
      </c>
      <c r="K495" s="290">
        <f>IF(K$2=1,Параметры!K$72,IF(J495=Параметры!J$72,Параметры!J$72,J495))</f>
        <v>0</v>
      </c>
      <c r="L495" s="290">
        <f>IF(L$2=1,Параметры!L$72,IF(K495=Параметры!K$72,Параметры!K$72,K495))</f>
        <v>0</v>
      </c>
      <c r="M495" s="290">
        <f>IF(M$2=1,Параметры!M$72,IF(L495=Параметры!L$72,Параметры!L$72,L495))</f>
        <v>0</v>
      </c>
      <c r="N495" s="290">
        <f>IF(N$2=1,Параметры!N$72,IF(M495=Параметры!M$72,Параметры!M$72,M495))</f>
        <v>0</v>
      </c>
      <c r="O495" s="290">
        <f>IF(O$2=1,Параметры!O$72,IF(N495=Параметры!N$72,Параметры!N$72,N495))</f>
        <v>0</v>
      </c>
      <c r="P495" s="290">
        <f>IF(P$2=1,Параметры!P$72,IF(O495=Параметры!O$72,Параметры!O$72,O495))</f>
        <v>0</v>
      </c>
      <c r="Q495" s="290">
        <f>IF(Q$2=1,Параметры!Q$72,IF(P495=Параметры!P$72,Параметры!P$72,P495))</f>
        <v>0</v>
      </c>
      <c r="R495" s="290">
        <f>IF(R$2=1,Параметры!R$72,IF(Q495=Параметры!Q$72,Параметры!Q$72,Q495))</f>
        <v>0</v>
      </c>
      <c r="S495" s="290">
        <f>IF(S$2=1,Параметры!S$72,IF(R495=Параметры!R$72,Параметры!R$72,R495))</f>
        <v>0</v>
      </c>
      <c r="T495" s="290">
        <f>IF(T$2=1,Параметры!T$72,IF(S495=Параметры!S$72,Параметры!S$72,S495))</f>
        <v>0</v>
      </c>
      <c r="U495" s="290">
        <f>IF(U$2=1,Параметры!U$72,IF(T495=Параметры!T$72,Параметры!T$72,T495))</f>
        <v>0</v>
      </c>
      <c r="V495" s="290">
        <f>IF(V$2=1,Параметры!V$72,IF(U495=Параметры!U$72,Параметры!U$72,U495))</f>
        <v>0</v>
      </c>
      <c r="W495" s="290">
        <f>IF(W$2=1,Параметры!W$72,IF(V495=Параметры!V$72,Параметры!V$72,V495))</f>
        <v>0</v>
      </c>
      <c r="X495" s="290">
        <f>IF(X$2=1,Параметры!X$72,IF(W495=Параметры!W$72,Параметры!W$72,W495))</f>
        <v>0</v>
      </c>
      <c r="Y495" s="290">
        <f>IF(Y$2=1,Параметры!Y$72,IF(X495=Параметры!X$72,Параметры!X$72,X495))</f>
        <v>0</v>
      </c>
      <c r="Z495" s="290">
        <f>IF(Z$2=1,Параметры!Z$72,IF(Y495=Параметры!Y$72,Параметры!Y$72,Y495))</f>
        <v>0</v>
      </c>
      <c r="AA495" s="290">
        <f>IF(AA$2=1,Параметры!AA$72,IF(Z495=Параметры!Z$72,Параметры!Z$72,Z495))</f>
        <v>0</v>
      </c>
      <c r="AB495" s="290">
        <f>IF(AB$2=1,Параметры!AB$72,IF(AA495=Параметры!AA$72,Параметры!AA$72,AA495))</f>
        <v>0</v>
      </c>
      <c r="AC495" s="290">
        <f>IF(AC$2=1,Параметры!AC$72,IF(AB495=Параметры!AB$72,Параметры!AB$72,AB495))</f>
        <v>0</v>
      </c>
      <c r="AD495" s="290">
        <f>IF(AD$2=1,Параметры!AD$72,IF(AC495=Параметры!AC$72,Параметры!AC$72,AC495))</f>
        <v>0</v>
      </c>
      <c r="AE495" s="290">
        <f>IF(AE$2=1,Параметры!AE$72,IF(AD495=Параметры!AD$72,Параметры!AD$72,AD495))</f>
        <v>0</v>
      </c>
      <c r="AF495" s="290">
        <f>IF(AF$2=1,Параметры!AF$72,IF(AE495=Параметры!AE$72,Параметры!AE$72,AE495))</f>
        <v>0</v>
      </c>
      <c r="AG495" s="290">
        <f>IF(AG$2=1,Параметры!AG$72,IF(AF495=Параметры!AF$72,Параметры!AF$72,AF495))</f>
        <v>0</v>
      </c>
      <c r="AH495" s="290">
        <f>IF(AH$2=1,Параметры!AH$72,IF(AG495=Параметры!AG$72,Параметры!AG$72,AG495))</f>
        <v>0</v>
      </c>
      <c r="AI495" s="290">
        <f>IF(AI$2=1,Параметры!AI$72,IF(AH495=Параметры!AH$72,Параметры!AH$72,AH495))</f>
        <v>0</v>
      </c>
      <c r="AJ495" s="290">
        <f>IF(AJ$2=1,Параметры!AJ$72,IF(AI495=Параметры!AI$72,Параметры!AI$72,AI495))</f>
        <v>0</v>
      </c>
      <c r="AK495" s="290">
        <f>IF(AK$2=1,Параметры!AK$72,IF(AJ495=Параметры!AJ$72,Параметры!AJ$72,AJ495))</f>
        <v>0</v>
      </c>
      <c r="AL495" s="290">
        <f>IF(AL$2=1,Параметры!AL$72,IF(AK495=Параметры!AK$72,Параметры!AK$72,AK495))</f>
        <v>0</v>
      </c>
      <c r="AM495" s="290">
        <f>IF(AM$2=1,Параметры!AM$72,IF(AL495=Параметры!AL$72,Параметры!AL$72,AL495))</f>
        <v>0</v>
      </c>
      <c r="AN495" s="290">
        <f>IF(AN$2=1,Параметры!AN$72,IF(AM495=Параметры!AM$72,Параметры!AM$72,AM495))</f>
        <v>0</v>
      </c>
      <c r="AO495" s="290">
        <f>IF(AO$2=1,Параметры!AO$72,IF(AN495=Параметры!AN$72,Параметры!AN$72,AN495))</f>
        <v>0</v>
      </c>
      <c r="AP495" s="290">
        <f>IF(AP$2=1,Параметры!AP$72,IF(AO495=Параметры!AO$72,Параметры!AO$72,AO495))</f>
        <v>0</v>
      </c>
      <c r="AQ495" s="290">
        <f>IF(AQ$2=1,Параметры!AQ$72,IF(AP495=Параметры!AP$72,Параметры!AP$72,AP495))</f>
        <v>0</v>
      </c>
      <c r="AR495" s="290">
        <f>IF(AR$2=1,Параметры!AR$72,IF(AQ495=Параметры!AQ$72,Параметры!AQ$72,AQ495))</f>
        <v>0</v>
      </c>
      <c r="AS495" s="290">
        <f>IF(AS$2=1,Параметры!AS$72,IF(AR495=Параметры!AR$72,Параметры!AR$72,AR495))</f>
        <v>0</v>
      </c>
      <c r="AT495" s="290">
        <f>IF(AT$2=1,Параметры!AT$72,IF(AS495=Параметры!AS$72,Параметры!AS$72,AS495))</f>
        <v>0</v>
      </c>
      <c r="AU495" s="290">
        <f>IF(AU$2=1,Параметры!AU$72,IF(AT495=Параметры!AT$72,Параметры!AT$72,AT495))</f>
        <v>0</v>
      </c>
      <c r="AV495" s="290">
        <f>IF(AV$2=1,Параметры!AV$72,IF(AU495=Параметры!AU$72,Параметры!AU$72,AU495))</f>
        <v>0</v>
      </c>
      <c r="AW495" s="290">
        <f>IF(AW$2=1,Параметры!AW$72,IF(AV495=Параметры!AV$72,Параметры!AV$72,AV495))</f>
        <v>0</v>
      </c>
      <c r="AX495" s="290">
        <f>IF(AX$2=1,Параметры!AX$72,IF(AW495=Параметры!AW$72,Параметры!AW$72,AW495))</f>
        <v>0</v>
      </c>
      <c r="AY495" s="290">
        <f>IF(AY$2=1,Параметры!AY$72,IF(AX495=Параметры!AX$72,Параметры!AX$72,AX495))</f>
        <v>0</v>
      </c>
      <c r="AZ495" s="290">
        <f>IF(AZ$2=1,Параметры!AZ$72,IF(AY495=Параметры!AY$72,Параметры!AY$72,AY495))</f>
        <v>0</v>
      </c>
      <c r="BA495" s="290">
        <f>IF(BA$2=1,Параметры!BA$72,IF(AZ495=Параметры!AZ$72,Параметры!AZ$72,AZ495))</f>
        <v>0</v>
      </c>
      <c r="BB495" s="290">
        <f>IF(BB$2=1,Параметры!BB$72,IF(BA495=Параметры!BA$72,Параметры!BA$72,BA495))</f>
        <v>0</v>
      </c>
      <c r="BC495" s="190"/>
      <c r="BD495" s="186"/>
    </row>
    <row r="496" spans="1:56" hidden="1" outlineLevel="1" x14ac:dyDescent="0.3">
      <c r="A496" s="184" t="str">
        <f ca="1">Language!A$675</f>
        <v>коэффициент прироста цен к предыдущему периоду</v>
      </c>
      <c r="B496" s="189"/>
      <c r="C496" s="163" t="str">
        <f ca="1">Language!$A$1477</f>
        <v>раз</v>
      </c>
      <c r="D496" s="174"/>
      <c r="F496" s="170" t="s">
        <v>745</v>
      </c>
      <c r="G496" s="191">
        <f ca="1">IF(G$2=1,1,IF(Prj_Inflation=1, (1+OFFSET(G494,0,-1))^(Параметры!G$30/360), 1))</f>
        <v>1</v>
      </c>
      <c r="H496" s="191">
        <f ca="1">IF(H$2=1,1,IF(Prj_Inflation=1, (1+OFFSET(H494,0,-1))^(Параметры!H$30/360), 1))</f>
        <v>1.004867550565343</v>
      </c>
      <c r="I496" s="191">
        <f ca="1">IF(I$2=1,1,IF(Prj_Inflation=1, (1+OFFSET(I494,0,-1))^(Параметры!I$30/360), 1))</f>
        <v>1.004867550565343</v>
      </c>
      <c r="J496" s="191">
        <f ca="1">IF(J$2=1,1,IF(Prj_Inflation=1, (1+OFFSET(J494,0,-1))^(Параметры!J$30/360), 1))</f>
        <v>1.004867550565343</v>
      </c>
      <c r="K496" s="191">
        <f ca="1">IF(K$2=1,1,IF(Prj_Inflation=1, (1+OFFSET(K494,0,-1))^(Параметры!K$30/360), 1))</f>
        <v>1.004867550565343</v>
      </c>
      <c r="L496" s="191">
        <f ca="1">IF(L$2=1,1,IF(Prj_Inflation=1, (1+OFFSET(L494,0,-1))^(Параметры!L$30/360), 1))</f>
        <v>1.004867550565343</v>
      </c>
      <c r="M496" s="191">
        <f ca="1">IF(M$2=1,1,IF(Prj_Inflation=1, (1+OFFSET(M494,0,-1))^(Параметры!M$30/360), 1))</f>
        <v>1.004867550565343</v>
      </c>
      <c r="N496" s="191">
        <f ca="1">IF(N$2=1,1,IF(Prj_Inflation=1, (1+OFFSET(N494,0,-1))^(Параметры!N$30/360), 1))</f>
        <v>1.004867550565343</v>
      </c>
      <c r="O496" s="191">
        <f ca="1">IF(O$2=1,1,IF(Prj_Inflation=1, (1+OFFSET(O494,0,-1))^(Параметры!O$30/360), 1))</f>
        <v>1.004867550565343</v>
      </c>
      <c r="P496" s="191">
        <f ca="1">IF(P$2=1,1,IF(Prj_Inflation=1, (1+OFFSET(P494,0,-1))^(Параметры!P$30/360), 1))</f>
        <v>1.004867550565343</v>
      </c>
      <c r="Q496" s="191">
        <f ca="1">IF(Q$2=1,1,IF(Prj_Inflation=1, (1+OFFSET(Q494,0,-1))^(Параметры!Q$30/360), 1))</f>
        <v>1.004867550565343</v>
      </c>
      <c r="R496" s="191">
        <f ca="1">IF(R$2=1,1,IF(Prj_Inflation=1, (1+OFFSET(R494,0,-1))^(Параметры!R$30/360), 1))</f>
        <v>1.004867550565343</v>
      </c>
      <c r="S496" s="191">
        <f ca="1">IF(S$2=1,1,IF(Prj_Inflation=1, (1+OFFSET(S494,0,-1))^(Параметры!S$30/360), 1))</f>
        <v>1.004867550565343</v>
      </c>
      <c r="T496" s="191">
        <f ca="1">IF(T$2=1,1,IF(Prj_Inflation=1, (1+OFFSET(T494,0,-1))^(Параметры!T$30/360), 1))</f>
        <v>1.004867550565343</v>
      </c>
      <c r="U496" s="191">
        <f ca="1">IF(U$2=1,1,IF(Prj_Inflation=1, (1+OFFSET(U494,0,-1))^(Параметры!U$30/360), 1))</f>
        <v>1.004867550565343</v>
      </c>
      <c r="V496" s="191">
        <f ca="1">IF(V$2=1,1,IF(Prj_Inflation=1, (1+OFFSET(V494,0,-1))^(Параметры!V$30/360), 1))</f>
        <v>1.004867550565343</v>
      </c>
      <c r="W496" s="191">
        <f ca="1">IF(W$2=1,1,IF(Prj_Inflation=1, (1+OFFSET(W494,0,-1))^(Параметры!W$30/360), 1))</f>
        <v>1.004867550565343</v>
      </c>
      <c r="X496" s="191">
        <f ca="1">IF(X$2=1,1,IF(Prj_Inflation=1, (1+OFFSET(X494,0,-1))^(Параметры!X$30/360), 1))</f>
        <v>1.004867550565343</v>
      </c>
      <c r="Y496" s="191">
        <f ca="1">IF(Y$2=1,1,IF(Prj_Inflation=1, (1+OFFSET(Y494,0,-1))^(Параметры!Y$30/360), 1))</f>
        <v>1.004867550565343</v>
      </c>
      <c r="Z496" s="191">
        <f ca="1">IF(Z$2=1,1,IF(Prj_Inflation=1, (1+OFFSET(Z494,0,-1))^(Параметры!Z$30/360), 1))</f>
        <v>1.004867550565343</v>
      </c>
      <c r="AA496" s="191">
        <f ca="1">IF(AA$2=1,1,IF(Prj_Inflation=1, (1+OFFSET(AA494,0,-1))^(Параметры!AA$30/360), 1))</f>
        <v>1.004867550565343</v>
      </c>
      <c r="AB496" s="191">
        <f ca="1">IF(AB$2=1,1,IF(Prj_Inflation=1, (1+OFFSET(AB494,0,-1))^(Параметры!AB$30/360), 1))</f>
        <v>1.004867550565343</v>
      </c>
      <c r="AC496" s="191">
        <f ca="1">IF(AC$2=1,1,IF(Prj_Inflation=1, (1+OFFSET(AC494,0,-1))^(Параметры!AC$30/360), 1))</f>
        <v>1.004867550565343</v>
      </c>
      <c r="AD496" s="191">
        <f ca="1">IF(AD$2=1,1,IF(Prj_Inflation=1, (1+OFFSET(AD494,0,-1))^(Параметры!AD$30/360), 1))</f>
        <v>1.004867550565343</v>
      </c>
      <c r="AE496" s="191">
        <f ca="1">IF(AE$2=1,1,IF(Prj_Inflation=1, (1+OFFSET(AE494,0,-1))^(Параметры!AE$30/360), 1))</f>
        <v>1.004867550565343</v>
      </c>
      <c r="AF496" s="191">
        <f ca="1">IF(AF$2=1,1,IF(Prj_Inflation=1, (1+OFFSET(AF494,0,-1))^(Параметры!AF$30/360), 1))</f>
        <v>1.004867550565343</v>
      </c>
      <c r="AG496" s="191">
        <f ca="1">IF(AG$2=1,1,IF(Prj_Inflation=1, (1+OFFSET(AG494,0,-1))^(Параметры!AG$30/360), 1))</f>
        <v>1.004867550565343</v>
      </c>
      <c r="AH496" s="191">
        <f ca="1">IF(AH$2=1,1,IF(Prj_Inflation=1, (1+OFFSET(AH494,0,-1))^(Параметры!AH$30/360), 1))</f>
        <v>1.004867550565343</v>
      </c>
      <c r="AI496" s="191">
        <f ca="1">IF(AI$2=1,1,IF(Prj_Inflation=1, (1+OFFSET(AI494,0,-1))^(Параметры!AI$30/360), 1))</f>
        <v>1.004867550565343</v>
      </c>
      <c r="AJ496" s="191">
        <f ca="1">IF(AJ$2=1,1,IF(Prj_Inflation=1, (1+OFFSET(AJ494,0,-1))^(Параметры!AJ$30/360), 1))</f>
        <v>1.004867550565343</v>
      </c>
      <c r="AK496" s="191">
        <f ca="1">IF(AK$2=1,1,IF(Prj_Inflation=1, (1+OFFSET(AK494,0,-1))^(Параметры!AK$30/360), 1))</f>
        <v>1.004867550565343</v>
      </c>
      <c r="AL496" s="191">
        <f ca="1">IF(AL$2=1,1,IF(Prj_Inflation=1, (1+OFFSET(AL494,0,-1))^(Параметры!AL$30/360), 1))</f>
        <v>1.004867550565343</v>
      </c>
      <c r="AM496" s="191">
        <f ca="1">IF(AM$2=1,1,IF(Prj_Inflation=1, (1+OFFSET(AM494,0,-1))^(Параметры!AM$30/360), 1))</f>
        <v>1.004867550565343</v>
      </c>
      <c r="AN496" s="191">
        <f ca="1">IF(AN$2=1,1,IF(Prj_Inflation=1, (1+OFFSET(AN494,0,-1))^(Параметры!AN$30/360), 1))</f>
        <v>1.004867550565343</v>
      </c>
      <c r="AO496" s="191">
        <f ca="1">IF(AO$2=1,1,IF(Prj_Inflation=1, (1+OFFSET(AO494,0,-1))^(Параметры!AO$30/360), 1))</f>
        <v>1.004867550565343</v>
      </c>
      <c r="AP496" s="191">
        <f ca="1">IF(AP$2=1,1,IF(Prj_Inflation=1, (1+OFFSET(AP494,0,-1))^(Параметры!AP$30/360), 1))</f>
        <v>1.004867550565343</v>
      </c>
      <c r="AQ496" s="191">
        <f ca="1">IF(AQ$2=1,1,IF(Prj_Inflation=1, (1+OFFSET(AQ494,0,-1))^(Параметры!AQ$30/360), 1))</f>
        <v>1.004867550565343</v>
      </c>
      <c r="AR496" s="191">
        <f ca="1">IF(AR$2=1,1,IF(Prj_Inflation=1, (1+OFFSET(AR494,0,-1))^(Параметры!AR$30/360), 1))</f>
        <v>1.004867550565343</v>
      </c>
      <c r="AS496" s="191">
        <f ca="1">IF(AS$2=1,1,IF(Prj_Inflation=1, (1+OFFSET(AS494,0,-1))^(Параметры!AS$30/360), 1))</f>
        <v>1.004867550565343</v>
      </c>
      <c r="AT496" s="191">
        <f ca="1">IF(AT$2=1,1,IF(Prj_Inflation=1, (1+OFFSET(AT494,0,-1))^(Параметры!AT$30/360), 1))</f>
        <v>1.004867550565343</v>
      </c>
      <c r="AU496" s="191">
        <f ca="1">IF(AU$2=1,1,IF(Prj_Inflation=1, (1+OFFSET(AU494,0,-1))^(Параметры!AU$30/360), 1))</f>
        <v>1.004867550565343</v>
      </c>
      <c r="AV496" s="191">
        <f ca="1">IF(AV$2=1,1,IF(Prj_Inflation=1, (1+OFFSET(AV494,0,-1))^(Параметры!AV$30/360), 1))</f>
        <v>1.004867550565343</v>
      </c>
      <c r="AW496" s="191">
        <f ca="1">IF(AW$2=1,1,IF(Prj_Inflation=1, (1+OFFSET(AW494,0,-1))^(Параметры!AW$30/360), 1))</f>
        <v>1.004867550565343</v>
      </c>
      <c r="AX496" s="191">
        <f ca="1">IF(AX$2=1,1,IF(Prj_Inflation=1, (1+OFFSET(AX494,0,-1))^(Параметры!AX$30/360), 1))</f>
        <v>1.004867550565343</v>
      </c>
      <c r="AY496" s="191">
        <f ca="1">IF(AY$2=1,1,IF(Prj_Inflation=1, (1+OFFSET(AY494,0,-1))^(Параметры!AY$30/360), 1))</f>
        <v>1.004867550565343</v>
      </c>
      <c r="AZ496" s="191">
        <f ca="1">IF(AZ$2=1,1,IF(Prj_Inflation=1, (1+OFFSET(AZ494,0,-1))^(Параметры!AZ$30/360), 1))</f>
        <v>1.004867550565343</v>
      </c>
      <c r="BA496" s="191">
        <f ca="1">IF(BA$2=1,1,IF(Prj_Inflation=1, (1+OFFSET(BA494,0,-1))^(Параметры!BA$30/360), 1))</f>
        <v>1.004867550565343</v>
      </c>
      <c r="BB496" s="191">
        <f ca="1">IF(BB$2=1,1,IF(Prj_Inflation=1, (1+OFFSET(BB494,0,-1))^(Параметры!BB$30/360), 1))</f>
        <v>1.004867550565343</v>
      </c>
      <c r="BC496" s="191"/>
      <c r="BD496" s="186"/>
    </row>
    <row r="497" spans="1:56" hidden="1" outlineLevel="1" x14ac:dyDescent="0.3">
      <c r="A497" s="184" t="str">
        <f ca="1">Language!A$1486</f>
        <v>индексировать в начале года</v>
      </c>
      <c r="B497" s="291">
        <v>0</v>
      </c>
      <c r="C497" s="163" t="str">
        <f ca="1">IF(B497=1,Language!$A$1475,Language!$A$1476)</f>
        <v>Нет</v>
      </c>
      <c r="D497" s="174"/>
      <c r="F497" s="170" t="s">
        <v>3408</v>
      </c>
      <c r="G497" s="192" t="str">
        <f ca="1">IF(Prj_Inflation=1,IF($B497=1,IF(G$2=1,1,IF(Параметры!G$29=1,1+OFFSET(G494,0,-1),1)),"-"),1)</f>
        <v>-</v>
      </c>
      <c r="H497" s="192" t="str">
        <f ca="1">IF(Prj_Inflation=1,IF($B497=1,IF(H$2=1,1,IF(Параметры!H$29=1,1+OFFSET(H494,0,-1),1)),"-"),1)</f>
        <v>-</v>
      </c>
      <c r="I497" s="192" t="str">
        <f ca="1">IF(Prj_Inflation=1,IF($B497=1,IF(I$2=1,1,IF(Параметры!I$29=1,1+OFFSET(I494,0,-1),1)),"-"),1)</f>
        <v>-</v>
      </c>
      <c r="J497" s="192" t="str">
        <f ca="1">IF(Prj_Inflation=1,IF($B497=1,IF(J$2=1,1,IF(Параметры!J$29=1,1+OFFSET(J494,0,-1),1)),"-"),1)</f>
        <v>-</v>
      </c>
      <c r="K497" s="192" t="str">
        <f ca="1">IF(Prj_Inflation=1,IF($B497=1,IF(K$2=1,1,IF(Параметры!K$29=1,1+OFFSET(K494,0,-1),1)),"-"),1)</f>
        <v>-</v>
      </c>
      <c r="L497" s="192" t="str">
        <f ca="1">IF(Prj_Inflation=1,IF($B497=1,IF(L$2=1,1,IF(Параметры!L$29=1,1+OFFSET(L494,0,-1),1)),"-"),1)</f>
        <v>-</v>
      </c>
      <c r="M497" s="192" t="str">
        <f ca="1">IF(Prj_Inflation=1,IF($B497=1,IF(M$2=1,1,IF(Параметры!M$29=1,1+OFFSET(M494,0,-1),1)),"-"),1)</f>
        <v>-</v>
      </c>
      <c r="N497" s="192" t="str">
        <f ca="1">IF(Prj_Inflation=1,IF($B497=1,IF(N$2=1,1,IF(Параметры!N$29=1,1+OFFSET(N494,0,-1),1)),"-"),1)</f>
        <v>-</v>
      </c>
      <c r="O497" s="192" t="str">
        <f ca="1">IF(Prj_Inflation=1,IF($B497=1,IF(O$2=1,1,IF(Параметры!O$29=1,1+OFFSET(O494,0,-1),1)),"-"),1)</f>
        <v>-</v>
      </c>
      <c r="P497" s="192" t="str">
        <f ca="1">IF(Prj_Inflation=1,IF($B497=1,IF(P$2=1,1,IF(Параметры!P$29=1,1+OFFSET(P494,0,-1),1)),"-"),1)</f>
        <v>-</v>
      </c>
      <c r="Q497" s="192" t="str">
        <f ca="1">IF(Prj_Inflation=1,IF($B497=1,IF(Q$2=1,1,IF(Параметры!Q$29=1,1+OFFSET(Q494,0,-1),1)),"-"),1)</f>
        <v>-</v>
      </c>
      <c r="R497" s="192" t="str">
        <f ca="1">IF(Prj_Inflation=1,IF($B497=1,IF(R$2=1,1,IF(Параметры!R$29=1,1+OFFSET(R494,0,-1),1)),"-"),1)</f>
        <v>-</v>
      </c>
      <c r="S497" s="192" t="str">
        <f ca="1">IF(Prj_Inflation=1,IF($B497=1,IF(S$2=1,1,IF(Параметры!S$29=1,1+OFFSET(S494,0,-1),1)),"-"),1)</f>
        <v>-</v>
      </c>
      <c r="T497" s="192" t="str">
        <f ca="1">IF(Prj_Inflation=1,IF($B497=1,IF(T$2=1,1,IF(Параметры!T$29=1,1+OFFSET(T494,0,-1),1)),"-"),1)</f>
        <v>-</v>
      </c>
      <c r="U497" s="192" t="str">
        <f ca="1">IF(Prj_Inflation=1,IF($B497=1,IF(U$2=1,1,IF(Параметры!U$29=1,1+OFFSET(U494,0,-1),1)),"-"),1)</f>
        <v>-</v>
      </c>
      <c r="V497" s="192" t="str">
        <f ca="1">IF(Prj_Inflation=1,IF($B497=1,IF(V$2=1,1,IF(Параметры!V$29=1,1+OFFSET(V494,0,-1),1)),"-"),1)</f>
        <v>-</v>
      </c>
      <c r="W497" s="192" t="str">
        <f ca="1">IF(Prj_Inflation=1,IF($B497=1,IF(W$2=1,1,IF(Параметры!W$29=1,1+OFFSET(W494,0,-1),1)),"-"),1)</f>
        <v>-</v>
      </c>
      <c r="X497" s="192" t="str">
        <f ca="1">IF(Prj_Inflation=1,IF($B497=1,IF(X$2=1,1,IF(Параметры!X$29=1,1+OFFSET(X494,0,-1),1)),"-"),1)</f>
        <v>-</v>
      </c>
      <c r="Y497" s="192" t="str">
        <f ca="1">IF(Prj_Inflation=1,IF($B497=1,IF(Y$2=1,1,IF(Параметры!Y$29=1,1+OFFSET(Y494,0,-1),1)),"-"),1)</f>
        <v>-</v>
      </c>
      <c r="Z497" s="192" t="str">
        <f ca="1">IF(Prj_Inflation=1,IF($B497=1,IF(Z$2=1,1,IF(Параметры!Z$29=1,1+OFFSET(Z494,0,-1),1)),"-"),1)</f>
        <v>-</v>
      </c>
      <c r="AA497" s="192" t="str">
        <f ca="1">IF(Prj_Inflation=1,IF($B497=1,IF(AA$2=1,1,IF(Параметры!AA$29=1,1+OFFSET(AA494,0,-1),1)),"-"),1)</f>
        <v>-</v>
      </c>
      <c r="AB497" s="192" t="str">
        <f ca="1">IF(Prj_Inflation=1,IF($B497=1,IF(AB$2=1,1,IF(Параметры!AB$29=1,1+OFFSET(AB494,0,-1),1)),"-"),1)</f>
        <v>-</v>
      </c>
      <c r="AC497" s="192" t="str">
        <f ca="1">IF(Prj_Inflation=1,IF($B497=1,IF(AC$2=1,1,IF(Параметры!AC$29=1,1+OFFSET(AC494,0,-1),1)),"-"),1)</f>
        <v>-</v>
      </c>
      <c r="AD497" s="192" t="str">
        <f ca="1">IF(Prj_Inflation=1,IF($B497=1,IF(AD$2=1,1,IF(Параметры!AD$29=1,1+OFFSET(AD494,0,-1),1)),"-"),1)</f>
        <v>-</v>
      </c>
      <c r="AE497" s="192" t="str">
        <f ca="1">IF(Prj_Inflation=1,IF($B497=1,IF(AE$2=1,1,IF(Параметры!AE$29=1,1+OFFSET(AE494,0,-1),1)),"-"),1)</f>
        <v>-</v>
      </c>
      <c r="AF497" s="192" t="str">
        <f ca="1">IF(Prj_Inflation=1,IF($B497=1,IF(AF$2=1,1,IF(Параметры!AF$29=1,1+OFFSET(AF494,0,-1),1)),"-"),1)</f>
        <v>-</v>
      </c>
      <c r="AG497" s="192" t="str">
        <f ca="1">IF(Prj_Inflation=1,IF($B497=1,IF(AG$2=1,1,IF(Параметры!AG$29=1,1+OFFSET(AG494,0,-1),1)),"-"),1)</f>
        <v>-</v>
      </c>
      <c r="AH497" s="192" t="str">
        <f ca="1">IF(Prj_Inflation=1,IF($B497=1,IF(AH$2=1,1,IF(Параметры!AH$29=1,1+OFFSET(AH494,0,-1),1)),"-"),1)</f>
        <v>-</v>
      </c>
      <c r="AI497" s="192" t="str">
        <f ca="1">IF(Prj_Inflation=1,IF($B497=1,IF(AI$2=1,1,IF(Параметры!AI$29=1,1+OFFSET(AI494,0,-1),1)),"-"),1)</f>
        <v>-</v>
      </c>
      <c r="AJ497" s="192" t="str">
        <f ca="1">IF(Prj_Inflation=1,IF($B497=1,IF(AJ$2=1,1,IF(Параметры!AJ$29=1,1+OFFSET(AJ494,0,-1),1)),"-"),1)</f>
        <v>-</v>
      </c>
      <c r="AK497" s="192" t="str">
        <f ca="1">IF(Prj_Inflation=1,IF($B497=1,IF(AK$2=1,1,IF(Параметры!AK$29=1,1+OFFSET(AK494,0,-1),1)),"-"),1)</f>
        <v>-</v>
      </c>
      <c r="AL497" s="192" t="str">
        <f ca="1">IF(Prj_Inflation=1,IF($B497=1,IF(AL$2=1,1,IF(Параметры!AL$29=1,1+OFFSET(AL494,0,-1),1)),"-"),1)</f>
        <v>-</v>
      </c>
      <c r="AM497" s="192" t="str">
        <f ca="1">IF(Prj_Inflation=1,IF($B497=1,IF(AM$2=1,1,IF(Параметры!AM$29=1,1+OFFSET(AM494,0,-1),1)),"-"),1)</f>
        <v>-</v>
      </c>
      <c r="AN497" s="192" t="str">
        <f ca="1">IF(Prj_Inflation=1,IF($B497=1,IF(AN$2=1,1,IF(Параметры!AN$29=1,1+OFFSET(AN494,0,-1),1)),"-"),1)</f>
        <v>-</v>
      </c>
      <c r="AO497" s="192" t="str">
        <f ca="1">IF(Prj_Inflation=1,IF($B497=1,IF(AO$2=1,1,IF(Параметры!AO$29=1,1+OFFSET(AO494,0,-1),1)),"-"),1)</f>
        <v>-</v>
      </c>
      <c r="AP497" s="192" t="str">
        <f ca="1">IF(Prj_Inflation=1,IF($B497=1,IF(AP$2=1,1,IF(Параметры!AP$29=1,1+OFFSET(AP494,0,-1),1)),"-"),1)</f>
        <v>-</v>
      </c>
      <c r="AQ497" s="192" t="str">
        <f ca="1">IF(Prj_Inflation=1,IF($B497=1,IF(AQ$2=1,1,IF(Параметры!AQ$29=1,1+OFFSET(AQ494,0,-1),1)),"-"),1)</f>
        <v>-</v>
      </c>
      <c r="AR497" s="192" t="str">
        <f ca="1">IF(Prj_Inflation=1,IF($B497=1,IF(AR$2=1,1,IF(Параметры!AR$29=1,1+OFFSET(AR494,0,-1),1)),"-"),1)</f>
        <v>-</v>
      </c>
      <c r="AS497" s="192" t="str">
        <f ca="1">IF(Prj_Inflation=1,IF($B497=1,IF(AS$2=1,1,IF(Параметры!AS$29=1,1+OFFSET(AS494,0,-1),1)),"-"),1)</f>
        <v>-</v>
      </c>
      <c r="AT497" s="192" t="str">
        <f ca="1">IF(Prj_Inflation=1,IF($B497=1,IF(AT$2=1,1,IF(Параметры!AT$29=1,1+OFFSET(AT494,0,-1),1)),"-"),1)</f>
        <v>-</v>
      </c>
      <c r="AU497" s="192" t="str">
        <f ca="1">IF(Prj_Inflation=1,IF($B497=1,IF(AU$2=1,1,IF(Параметры!AU$29=1,1+OFFSET(AU494,0,-1),1)),"-"),1)</f>
        <v>-</v>
      </c>
      <c r="AV497" s="192" t="str">
        <f ca="1">IF(Prj_Inflation=1,IF($B497=1,IF(AV$2=1,1,IF(Параметры!AV$29=1,1+OFFSET(AV494,0,-1),1)),"-"),1)</f>
        <v>-</v>
      </c>
      <c r="AW497" s="192" t="str">
        <f ca="1">IF(Prj_Inflation=1,IF($B497=1,IF(AW$2=1,1,IF(Параметры!AW$29=1,1+OFFSET(AW494,0,-1),1)),"-"),1)</f>
        <v>-</v>
      </c>
      <c r="AX497" s="192" t="str">
        <f ca="1">IF(Prj_Inflation=1,IF($B497=1,IF(AX$2=1,1,IF(Параметры!AX$29=1,1+OFFSET(AX494,0,-1),1)),"-"),1)</f>
        <v>-</v>
      </c>
      <c r="AY497" s="192" t="str">
        <f ca="1">IF(Prj_Inflation=1,IF($B497=1,IF(AY$2=1,1,IF(Параметры!AY$29=1,1+OFFSET(AY494,0,-1),1)),"-"),1)</f>
        <v>-</v>
      </c>
      <c r="AZ497" s="192" t="str">
        <f ca="1">IF(Prj_Inflation=1,IF($B497=1,IF(AZ$2=1,1,IF(Параметры!AZ$29=1,1+OFFSET(AZ494,0,-1),1)),"-"),1)</f>
        <v>-</v>
      </c>
      <c r="BA497" s="192" t="str">
        <f ca="1">IF(Prj_Inflation=1,IF($B497=1,IF(BA$2=1,1,IF(Параметры!BA$29=1,1+OFFSET(BA494,0,-1),1)),"-"),1)</f>
        <v>-</v>
      </c>
      <c r="BB497" s="192" t="str">
        <f ca="1">IF(Prj_Inflation=1,IF($B497=1,IF(BB$2=1,1,IF(Параметры!BB$29=1,1+OFFSET(BB494,0,-1),1)),"-"),1)</f>
        <v>-</v>
      </c>
      <c r="BC497" s="191"/>
      <c r="BD497" s="186"/>
    </row>
    <row r="498" spans="1:56" hidden="1" outlineLevel="1" x14ac:dyDescent="0.3">
      <c r="A498" s="184" t="str">
        <f ca="1">Language!A$753</f>
        <v>НДС начисленный</v>
      </c>
      <c r="B498" s="163"/>
      <c r="C498" s="163" t="str">
        <f ca="1">CHOOSE(D498,CurName1,CurName2,CurName3)</f>
        <v>руб.</v>
      </c>
      <c r="D498" s="174">
        <f>D489</f>
        <v>1</v>
      </c>
      <c r="E498" s="170" t="s">
        <v>785</v>
      </c>
      <c r="F498" s="170" t="s">
        <v>740</v>
      </c>
      <c r="G498" s="185">
        <f ca="1">G493*G495</f>
        <v>0</v>
      </c>
      <c r="H498" s="185">
        <f t="shared" ref="H498:BB498" ca="1" si="2142">H493*H495</f>
        <v>0</v>
      </c>
      <c r="I498" s="185">
        <f t="shared" ca="1" si="2142"/>
        <v>0</v>
      </c>
      <c r="J498" s="185">
        <f t="shared" ca="1" si="2142"/>
        <v>0</v>
      </c>
      <c r="K498" s="185">
        <f t="shared" ca="1" si="2142"/>
        <v>0</v>
      </c>
      <c r="L498" s="185">
        <f t="shared" ca="1" si="2142"/>
        <v>0</v>
      </c>
      <c r="M498" s="185">
        <f t="shared" ca="1" si="2142"/>
        <v>0</v>
      </c>
      <c r="N498" s="185">
        <f t="shared" ca="1" si="2142"/>
        <v>0</v>
      </c>
      <c r="O498" s="185">
        <f t="shared" ca="1" si="2142"/>
        <v>0</v>
      </c>
      <c r="P498" s="185">
        <f t="shared" ca="1" si="2142"/>
        <v>0</v>
      </c>
      <c r="Q498" s="185">
        <f t="shared" ca="1" si="2142"/>
        <v>0</v>
      </c>
      <c r="R498" s="185">
        <f t="shared" ca="1" si="2142"/>
        <v>0</v>
      </c>
      <c r="S498" s="185">
        <f t="shared" ca="1" si="2142"/>
        <v>0</v>
      </c>
      <c r="T498" s="185">
        <f t="shared" ca="1" si="2142"/>
        <v>0</v>
      </c>
      <c r="U498" s="185">
        <f t="shared" ca="1" si="2142"/>
        <v>0</v>
      </c>
      <c r="V498" s="185">
        <f t="shared" ca="1" si="2142"/>
        <v>0</v>
      </c>
      <c r="W498" s="185">
        <f t="shared" ca="1" si="2142"/>
        <v>0</v>
      </c>
      <c r="X498" s="185">
        <f t="shared" ca="1" si="2142"/>
        <v>0</v>
      </c>
      <c r="Y498" s="185">
        <f t="shared" ca="1" si="2142"/>
        <v>0</v>
      </c>
      <c r="Z498" s="185">
        <f t="shared" ca="1" si="2142"/>
        <v>0</v>
      </c>
      <c r="AA498" s="185">
        <f t="shared" ca="1" si="2142"/>
        <v>0</v>
      </c>
      <c r="AB498" s="185">
        <f t="shared" ca="1" si="2142"/>
        <v>0</v>
      </c>
      <c r="AC498" s="185">
        <f t="shared" ca="1" si="2142"/>
        <v>0</v>
      </c>
      <c r="AD498" s="185">
        <f t="shared" ca="1" si="2142"/>
        <v>0</v>
      </c>
      <c r="AE498" s="185">
        <f t="shared" ca="1" si="2142"/>
        <v>0</v>
      </c>
      <c r="AF498" s="185">
        <f t="shared" ca="1" si="2142"/>
        <v>0</v>
      </c>
      <c r="AG498" s="185">
        <f t="shared" ca="1" si="2142"/>
        <v>0</v>
      </c>
      <c r="AH498" s="185">
        <f t="shared" ca="1" si="2142"/>
        <v>0</v>
      </c>
      <c r="AI498" s="185">
        <f t="shared" ca="1" si="2142"/>
        <v>0</v>
      </c>
      <c r="AJ498" s="185">
        <f t="shared" ca="1" si="2142"/>
        <v>0</v>
      </c>
      <c r="AK498" s="185">
        <f t="shared" ca="1" si="2142"/>
        <v>0</v>
      </c>
      <c r="AL498" s="185">
        <f t="shared" ca="1" si="2142"/>
        <v>0</v>
      </c>
      <c r="AM498" s="185">
        <f t="shared" ca="1" si="2142"/>
        <v>0</v>
      </c>
      <c r="AN498" s="185">
        <f t="shared" ca="1" si="2142"/>
        <v>0</v>
      </c>
      <c r="AO498" s="185">
        <f t="shared" ca="1" si="2142"/>
        <v>0</v>
      </c>
      <c r="AP498" s="185">
        <f t="shared" ca="1" si="2142"/>
        <v>0</v>
      </c>
      <c r="AQ498" s="185">
        <f t="shared" ca="1" si="2142"/>
        <v>0</v>
      </c>
      <c r="AR498" s="185">
        <f t="shared" ca="1" si="2142"/>
        <v>0</v>
      </c>
      <c r="AS498" s="185">
        <f t="shared" ca="1" si="2142"/>
        <v>0</v>
      </c>
      <c r="AT498" s="185">
        <f t="shared" ca="1" si="2142"/>
        <v>0</v>
      </c>
      <c r="AU498" s="185">
        <f t="shared" ca="1" si="2142"/>
        <v>0</v>
      </c>
      <c r="AV498" s="185">
        <f t="shared" ca="1" si="2142"/>
        <v>0</v>
      </c>
      <c r="AW498" s="185">
        <f t="shared" ca="1" si="2142"/>
        <v>0</v>
      </c>
      <c r="AX498" s="185">
        <f t="shared" ca="1" si="2142"/>
        <v>0</v>
      </c>
      <c r="AY498" s="185">
        <f t="shared" ca="1" si="2142"/>
        <v>0</v>
      </c>
      <c r="AZ498" s="185">
        <f t="shared" ca="1" si="2142"/>
        <v>0</v>
      </c>
      <c r="BA498" s="185">
        <f t="shared" ca="1" si="2142"/>
        <v>0</v>
      </c>
      <c r="BB498" s="185">
        <f t="shared" ca="1" si="2142"/>
        <v>0</v>
      </c>
      <c r="BC498" s="185"/>
      <c r="BD498" s="193">
        <f ca="1">SUM(G498:BC498)</f>
        <v>0</v>
      </c>
    </row>
    <row r="499" spans="1:56" x14ac:dyDescent="0.3">
      <c r="A499" s="283" t="s">
        <v>3531</v>
      </c>
      <c r="B499" s="205"/>
      <c r="C499" s="176"/>
      <c r="D499" s="174">
        <v>1</v>
      </c>
      <c r="F499" s="170" t="s">
        <v>3532</v>
      </c>
      <c r="G499" s="206"/>
      <c r="H499" s="206"/>
      <c r="I499" s="206"/>
      <c r="J499" s="206"/>
      <c r="K499" s="206"/>
      <c r="L499" s="206"/>
      <c r="M499" s="206"/>
      <c r="N499" s="206"/>
      <c r="O499" s="206"/>
      <c r="P499" s="206"/>
      <c r="Q499" s="206"/>
      <c r="R499" s="206"/>
      <c r="S499" s="206"/>
      <c r="T499" s="206"/>
      <c r="U499" s="206"/>
      <c r="V499" s="206"/>
      <c r="W499" s="206"/>
      <c r="X499" s="206"/>
      <c r="Y499" s="206"/>
      <c r="Z499" s="206"/>
      <c r="AA499" s="206"/>
      <c r="AB499" s="206"/>
      <c r="AC499" s="206"/>
      <c r="AD499" s="206"/>
      <c r="AE499" s="206"/>
      <c r="AF499" s="206"/>
      <c r="AG499" s="206"/>
      <c r="AH499" s="206"/>
      <c r="AI499" s="206"/>
      <c r="AJ499" s="206"/>
      <c r="AK499" s="206"/>
      <c r="AL499" s="206"/>
      <c r="AM499" s="206"/>
      <c r="AN499" s="206"/>
      <c r="AO499" s="206"/>
      <c r="AP499" s="206"/>
      <c r="AQ499" s="206"/>
      <c r="AR499" s="206"/>
      <c r="AS499" s="206"/>
      <c r="AT499" s="206"/>
      <c r="AU499" s="206"/>
      <c r="AV499" s="206"/>
      <c r="AW499" s="206"/>
      <c r="AX499" s="206"/>
      <c r="AY499" s="206"/>
      <c r="AZ499" s="206"/>
      <c r="BA499" s="206"/>
      <c r="BB499" s="206"/>
      <c r="BC499" s="206"/>
    </row>
    <row r="500" spans="1:56" x14ac:dyDescent="0.3">
      <c r="A500" s="175" t="str">
        <f ca="1">Language!A$746</f>
        <v>период появления затрат</v>
      </c>
      <c r="B500" s="284">
        <f>Prj_Invest+1</f>
        <v>7</v>
      </c>
      <c r="C500" s="176" t="str">
        <f ca="1">Language!$A$1480</f>
        <v>период</v>
      </c>
      <c r="D500" s="174"/>
      <c r="G500" s="177"/>
      <c r="H500" s="177"/>
      <c r="I500" s="177"/>
      <c r="J500" s="177"/>
      <c r="K500" s="177"/>
      <c r="L500" s="177"/>
      <c r="M500" s="177"/>
      <c r="N500" s="177"/>
      <c r="O500" s="177"/>
      <c r="P500" s="177"/>
      <c r="Q500" s="177"/>
      <c r="R500" s="177"/>
      <c r="S500" s="177"/>
      <c r="T500" s="177"/>
      <c r="U500" s="177"/>
      <c r="V500" s="177"/>
      <c r="W500" s="177"/>
      <c r="X500" s="177"/>
      <c r="Y500" s="177"/>
      <c r="Z500" s="177"/>
      <c r="AA500" s="177"/>
      <c r="AB500" s="177"/>
      <c r="AC500" s="177"/>
      <c r="AD500" s="177"/>
      <c r="AE500" s="177"/>
      <c r="AF500" s="177"/>
      <c r="AG500" s="177"/>
      <c r="AH500" s="177"/>
      <c r="AI500" s="177"/>
      <c r="AJ500" s="177"/>
      <c r="AK500" s="177"/>
      <c r="AL500" s="177"/>
      <c r="AM500" s="177"/>
      <c r="AN500" s="177"/>
      <c r="AO500" s="177"/>
      <c r="AP500" s="177"/>
      <c r="AQ500" s="177"/>
      <c r="AR500" s="177"/>
      <c r="AS500" s="177"/>
      <c r="AT500" s="177"/>
      <c r="AU500" s="177"/>
      <c r="AV500" s="177"/>
      <c r="AW500" s="177"/>
      <c r="AX500" s="177"/>
      <c r="AY500" s="177"/>
      <c r="AZ500" s="177"/>
      <c r="BA500" s="177"/>
      <c r="BB500" s="177"/>
      <c r="BC500" s="177"/>
      <c r="BD500" s="178"/>
    </row>
    <row r="501" spans="1:56" x14ac:dyDescent="0.3">
      <c r="A501" s="175" t="str">
        <f ca="1">Language!A$747&amp;" ("&amp;Параметры!B$19&amp;"), "&amp;Language!A$748</f>
        <v>затраты за период (месяц), без НДС</v>
      </c>
      <c r="B501" s="284">
        <v>5000</v>
      </c>
      <c r="C501" s="176" t="str">
        <f t="shared" ref="C501" ca="1" si="2143">CHOOSE(D501,CurName1,CurName2,CurName3)</f>
        <v>руб.</v>
      </c>
      <c r="D501" s="174">
        <f>D499</f>
        <v>1</v>
      </c>
      <c r="F501" s="170" t="s">
        <v>2353</v>
      </c>
      <c r="G501" s="285">
        <f>IF(G$2=1,$B501,F501)</f>
        <v>5000</v>
      </c>
      <c r="H501" s="285">
        <f t="shared" ref="H501" si="2144">IF(H$2=1,$B501,G501)</f>
        <v>5000</v>
      </c>
      <c r="I501" s="285">
        <f t="shared" ref="I501" si="2145">IF(I$2=1,$B501,H501)</f>
        <v>5000</v>
      </c>
      <c r="J501" s="285">
        <f t="shared" ref="J501" si="2146">IF(J$2=1,$B501,I501)</f>
        <v>5000</v>
      </c>
      <c r="K501" s="285">
        <f t="shared" ref="K501" si="2147">IF(K$2=1,$B501,J501)</f>
        <v>5000</v>
      </c>
      <c r="L501" s="285">
        <f t="shared" ref="L501" si="2148">IF(L$2=1,$B501,K501)</f>
        <v>5000</v>
      </c>
      <c r="M501" s="285">
        <f t="shared" ref="M501" si="2149">IF(M$2=1,$B501,L501)</f>
        <v>5000</v>
      </c>
      <c r="N501" s="285">
        <f t="shared" ref="N501" si="2150">IF(N$2=1,$B501,M501)</f>
        <v>5000</v>
      </c>
      <c r="O501" s="285">
        <f t="shared" ref="O501" si="2151">IF(O$2=1,$B501,N501)</f>
        <v>5000</v>
      </c>
      <c r="P501" s="285">
        <f t="shared" ref="P501" si="2152">IF(P$2=1,$B501,O501)</f>
        <v>5000</v>
      </c>
      <c r="Q501" s="285">
        <f t="shared" ref="Q501" si="2153">IF(Q$2=1,$B501,P501)</f>
        <v>5000</v>
      </c>
      <c r="R501" s="285">
        <f t="shared" ref="R501" si="2154">IF(R$2=1,$B501,Q501)</f>
        <v>5000</v>
      </c>
      <c r="S501" s="285">
        <f t="shared" ref="S501" si="2155">IF(S$2=1,$B501,R501)</f>
        <v>5000</v>
      </c>
      <c r="T501" s="285">
        <f t="shared" ref="T501" si="2156">IF(T$2=1,$B501,S501)</f>
        <v>5000</v>
      </c>
      <c r="U501" s="285">
        <f t="shared" ref="U501" si="2157">IF(U$2=1,$B501,T501)</f>
        <v>5000</v>
      </c>
      <c r="V501" s="285">
        <f t="shared" ref="V501" si="2158">IF(V$2=1,$B501,U501)</f>
        <v>5000</v>
      </c>
      <c r="W501" s="285">
        <f t="shared" ref="W501" si="2159">IF(W$2=1,$B501,V501)</f>
        <v>5000</v>
      </c>
      <c r="X501" s="285">
        <f t="shared" ref="X501" si="2160">IF(X$2=1,$B501,W501)</f>
        <v>5000</v>
      </c>
      <c r="Y501" s="285">
        <f t="shared" ref="Y501" si="2161">IF(Y$2=1,$B501,X501)</f>
        <v>5000</v>
      </c>
      <c r="Z501" s="285">
        <f t="shared" ref="Z501" si="2162">IF(Z$2=1,$B501,Y501)</f>
        <v>5000</v>
      </c>
      <c r="AA501" s="285">
        <f t="shared" ref="AA501" si="2163">IF(AA$2=1,$B501,Z501)</f>
        <v>5000</v>
      </c>
      <c r="AB501" s="285">
        <f t="shared" ref="AB501" si="2164">IF(AB$2=1,$B501,AA501)</f>
        <v>5000</v>
      </c>
      <c r="AC501" s="285">
        <f t="shared" ref="AC501" si="2165">IF(AC$2=1,$B501,AB501)</f>
        <v>5000</v>
      </c>
      <c r="AD501" s="285">
        <f t="shared" ref="AD501" si="2166">IF(AD$2=1,$B501,AC501)</f>
        <v>5000</v>
      </c>
      <c r="AE501" s="285">
        <f t="shared" ref="AE501" si="2167">IF(AE$2=1,$B501,AD501)</f>
        <v>5000</v>
      </c>
      <c r="AF501" s="285">
        <f t="shared" ref="AF501" si="2168">IF(AF$2=1,$B501,AE501)</f>
        <v>5000</v>
      </c>
      <c r="AG501" s="285">
        <f t="shared" ref="AG501" si="2169">IF(AG$2=1,$B501,AF501)</f>
        <v>5000</v>
      </c>
      <c r="AH501" s="285">
        <f t="shared" ref="AH501" si="2170">IF(AH$2=1,$B501,AG501)</f>
        <v>5000</v>
      </c>
      <c r="AI501" s="285">
        <f t="shared" ref="AI501" si="2171">IF(AI$2=1,$B501,AH501)</f>
        <v>5000</v>
      </c>
      <c r="AJ501" s="285">
        <f t="shared" ref="AJ501" si="2172">IF(AJ$2=1,$B501,AI501)</f>
        <v>5000</v>
      </c>
      <c r="AK501" s="285">
        <f t="shared" ref="AK501" si="2173">IF(AK$2=1,$B501,AJ501)</f>
        <v>5000</v>
      </c>
      <c r="AL501" s="285">
        <f t="shared" ref="AL501" si="2174">IF(AL$2=1,$B501,AK501)</f>
        <v>5000</v>
      </c>
      <c r="AM501" s="285">
        <f t="shared" ref="AM501" si="2175">IF(AM$2=1,$B501,AL501)</f>
        <v>5000</v>
      </c>
      <c r="AN501" s="285">
        <f t="shared" ref="AN501" si="2176">IF(AN$2=1,$B501,AM501)</f>
        <v>5000</v>
      </c>
      <c r="AO501" s="285">
        <f t="shared" ref="AO501" si="2177">IF(AO$2=1,$B501,AN501)</f>
        <v>5000</v>
      </c>
      <c r="AP501" s="285">
        <f t="shared" ref="AP501" si="2178">IF(AP$2=1,$B501,AO501)</f>
        <v>5000</v>
      </c>
      <c r="AQ501" s="285">
        <f t="shared" ref="AQ501" si="2179">IF(AQ$2=1,$B501,AP501)</f>
        <v>5000</v>
      </c>
      <c r="AR501" s="285">
        <f t="shared" ref="AR501" si="2180">IF(AR$2=1,$B501,AQ501)</f>
        <v>5000</v>
      </c>
      <c r="AS501" s="285">
        <f t="shared" ref="AS501" si="2181">IF(AS$2=1,$B501,AR501)</f>
        <v>5000</v>
      </c>
      <c r="AT501" s="285">
        <f t="shared" ref="AT501" si="2182">IF(AT$2=1,$B501,AS501)</f>
        <v>5000</v>
      </c>
      <c r="AU501" s="285">
        <f t="shared" ref="AU501" si="2183">IF(AU$2=1,$B501,AT501)</f>
        <v>5000</v>
      </c>
      <c r="AV501" s="285">
        <f t="shared" ref="AV501" si="2184">IF(AV$2=1,$B501,AU501)</f>
        <v>5000</v>
      </c>
      <c r="AW501" s="285">
        <f t="shared" ref="AW501" si="2185">IF(AW$2=1,$B501,AV501)</f>
        <v>5000</v>
      </c>
      <c r="AX501" s="285">
        <f t="shared" ref="AX501" si="2186">IF(AX$2=1,$B501,AW501)</f>
        <v>5000</v>
      </c>
      <c r="AY501" s="285">
        <f t="shared" ref="AY501" si="2187">IF(AY$2=1,$B501,AX501)</f>
        <v>5000</v>
      </c>
      <c r="AZ501" s="285">
        <f t="shared" ref="AZ501" si="2188">IF(AZ$2=1,$B501,AY501)</f>
        <v>5000</v>
      </c>
      <c r="BA501" s="285">
        <f t="shared" ref="BA501" si="2189">IF(BA$2=1,$B501,AZ501)</f>
        <v>5000</v>
      </c>
      <c r="BB501" s="285">
        <f t="shared" ref="BB501" si="2190">IF(BB$2=1,$B501,BA501)</f>
        <v>5000</v>
      </c>
      <c r="BC501" s="177"/>
      <c r="BD501" s="178"/>
    </row>
    <row r="502" spans="1:56" x14ac:dyDescent="0.3">
      <c r="A502" s="175" t="str">
        <f ca="1">Language!A$695</f>
        <v>коэффициент расходов</v>
      </c>
      <c r="B502" s="199"/>
      <c r="C502" s="176" t="s">
        <v>1</v>
      </c>
      <c r="F502" s="170" t="s">
        <v>745</v>
      </c>
      <c r="G502" s="286">
        <f>IF(G$2&gt;=$B500,Параметры!G$33,0)</f>
        <v>0</v>
      </c>
      <c r="H502" s="286">
        <f>IF(H$2&gt;=$B500,Параметры!H$33,0)</f>
        <v>0</v>
      </c>
      <c r="I502" s="286">
        <f>IF(I$2&gt;=$B500,Параметры!I$33,0)</f>
        <v>0</v>
      </c>
      <c r="J502" s="286">
        <f>IF(J$2&gt;=$B500,Параметры!J$33,0)</f>
        <v>0</v>
      </c>
      <c r="K502" s="286">
        <f>IF(K$2&gt;=$B500,Параметры!K$33,0)</f>
        <v>0</v>
      </c>
      <c r="L502" s="286">
        <f>IF(L$2&gt;=$B500,Параметры!L$33,0)</f>
        <v>0</v>
      </c>
      <c r="M502" s="286">
        <f>IF(M$2&gt;=$B500,Параметры!M$33,0)</f>
        <v>1</v>
      </c>
      <c r="N502" s="286">
        <f>IF(N$2&gt;=$B500,Параметры!N$33,0)</f>
        <v>1</v>
      </c>
      <c r="O502" s="286">
        <f>IF(O$2&gt;=$B500,Параметры!O$33,0)</f>
        <v>1</v>
      </c>
      <c r="P502" s="286">
        <f>IF(P$2&gt;=$B500,Параметры!P$33,0)</f>
        <v>1</v>
      </c>
      <c r="Q502" s="286">
        <f>IF(Q$2&gt;=$B500,Параметры!Q$33,0)</f>
        <v>1</v>
      </c>
      <c r="R502" s="286">
        <f>IF(R$2&gt;=$B500,Параметры!R$33,0)</f>
        <v>1</v>
      </c>
      <c r="S502" s="286">
        <f>IF(S$2&gt;=$B500,Параметры!S$33,0)</f>
        <v>1</v>
      </c>
      <c r="T502" s="286">
        <f>IF(T$2&gt;=$B500,Параметры!T$33,0)</f>
        <v>1</v>
      </c>
      <c r="U502" s="286">
        <f>IF(U$2&gt;=$B500,Параметры!U$33,0)</f>
        <v>1</v>
      </c>
      <c r="V502" s="286">
        <f>IF(V$2&gt;=$B500,Параметры!V$33,0)</f>
        <v>1</v>
      </c>
      <c r="W502" s="286">
        <f>IF(W$2&gt;=$B500,Параметры!W$33,0)</f>
        <v>1</v>
      </c>
      <c r="X502" s="286">
        <f>IF(X$2&gt;=$B500,Параметры!X$33,0)</f>
        <v>1</v>
      </c>
      <c r="Y502" s="286">
        <f>IF(Y$2&gt;=$B500,Параметры!Y$33,0)</f>
        <v>1</v>
      </c>
      <c r="Z502" s="286">
        <f>IF(Z$2&gt;=$B500,Параметры!Z$33,0)</f>
        <v>1</v>
      </c>
      <c r="AA502" s="286">
        <f>IF(AA$2&gt;=$B500,Параметры!AA$33,0)</f>
        <v>1</v>
      </c>
      <c r="AB502" s="286">
        <f>IF(AB$2&gt;=$B500,Параметры!AB$33,0)</f>
        <v>1</v>
      </c>
      <c r="AC502" s="286">
        <f>IF(AC$2&gt;=$B500,Параметры!AC$33,0)</f>
        <v>1</v>
      </c>
      <c r="AD502" s="286">
        <f>IF(AD$2&gt;=$B500,Параметры!AD$33,0)</f>
        <v>1</v>
      </c>
      <c r="AE502" s="286">
        <f>IF(AE$2&gt;=$B500,Параметры!AE$33,0)</f>
        <v>1</v>
      </c>
      <c r="AF502" s="286">
        <f>IF(AF$2&gt;=$B500,Параметры!AF$33,0)</f>
        <v>1</v>
      </c>
      <c r="AG502" s="286">
        <f>IF(AG$2&gt;=$B500,Параметры!AG$33,0)</f>
        <v>1</v>
      </c>
      <c r="AH502" s="286">
        <f>IF(AH$2&gt;=$B500,Параметры!AH$33,0)</f>
        <v>1</v>
      </c>
      <c r="AI502" s="286">
        <f>IF(AI$2&gt;=$B500,Параметры!AI$33,0)</f>
        <v>1</v>
      </c>
      <c r="AJ502" s="286">
        <f>IF(AJ$2&gt;=$B500,Параметры!AJ$33,0)</f>
        <v>1</v>
      </c>
      <c r="AK502" s="286">
        <f>IF(AK$2&gt;=$B500,Параметры!AK$33,0)</f>
        <v>1</v>
      </c>
      <c r="AL502" s="286">
        <f>IF(AL$2&gt;=$B500,Параметры!AL$33,0)</f>
        <v>1</v>
      </c>
      <c r="AM502" s="286">
        <f>IF(AM$2&gt;=$B500,Параметры!AM$33,0)</f>
        <v>1</v>
      </c>
      <c r="AN502" s="286">
        <f>IF(AN$2&gt;=$B500,Параметры!AN$33,0)</f>
        <v>1</v>
      </c>
      <c r="AO502" s="286">
        <f>IF(AO$2&gt;=$B500,Параметры!AO$33,0)</f>
        <v>1</v>
      </c>
      <c r="AP502" s="286">
        <f>IF(AP$2&gt;=$B500,Параметры!AP$33,0)</f>
        <v>1</v>
      </c>
      <c r="AQ502" s="286">
        <f>IF(AQ$2&gt;=$B500,Параметры!AQ$33,0)</f>
        <v>1</v>
      </c>
      <c r="AR502" s="286">
        <f>IF(AR$2&gt;=$B500,Параметры!AR$33,0)</f>
        <v>1</v>
      </c>
      <c r="AS502" s="286">
        <f>IF(AS$2&gt;=$B500,Параметры!AS$33,0)</f>
        <v>1</v>
      </c>
      <c r="AT502" s="286">
        <f>IF(AT$2&gt;=$B500,Параметры!AT$33,0)</f>
        <v>1</v>
      </c>
      <c r="AU502" s="286">
        <f>IF(AU$2&gt;=$B500,Параметры!AU$33,0)</f>
        <v>1</v>
      </c>
      <c r="AV502" s="286">
        <f>IF(AV$2&gt;=$B500,Параметры!AV$33,0)</f>
        <v>1</v>
      </c>
      <c r="AW502" s="286">
        <f>IF(AW$2&gt;=$B500,Параметры!AW$33,0)</f>
        <v>1</v>
      </c>
      <c r="AX502" s="286">
        <f>IF(AX$2&gt;=$B500,Параметры!AX$33,0)</f>
        <v>1</v>
      </c>
      <c r="AY502" s="286">
        <f>IF(AY$2&gt;=$B500,Параметры!AY$33,0)</f>
        <v>1</v>
      </c>
      <c r="AZ502" s="286">
        <f>IF(AZ$2&gt;=$B500,Параметры!AZ$33,0)</f>
        <v>1</v>
      </c>
      <c r="BA502" s="286">
        <f>IF(BA$2&gt;=$B500,Параметры!BA$33,0)</f>
        <v>1</v>
      </c>
      <c r="BB502" s="286">
        <f>IF(BB$2&gt;=$B500,Параметры!BB$33,0)</f>
        <v>1</v>
      </c>
      <c r="BC502" s="177"/>
    </row>
    <row r="503" spans="1:56" collapsed="1" x14ac:dyDescent="0.3">
      <c r="A503" s="175" t="str">
        <f ca="1">Language!A$752</f>
        <v>затраты с учетом инфляции, без НДС</v>
      </c>
      <c r="B503" s="199"/>
      <c r="C503" s="176" t="str">
        <f t="shared" ref="C503" ca="1" si="2191">CHOOSE(D503,CurName1,CurName2,CurName3)</f>
        <v>руб.</v>
      </c>
      <c r="D503" s="174">
        <f>D499</f>
        <v>1</v>
      </c>
      <c r="E503" s="170" t="s">
        <v>751</v>
      </c>
      <c r="F503" s="170" t="s">
        <v>740</v>
      </c>
      <c r="G503" s="177">
        <f ca="1">G501*G502*IF($B507=1,PRODUCT($G507:G507),PRODUCT($G506:G506))</f>
        <v>0</v>
      </c>
      <c r="H503" s="177">
        <f ca="1">H501*H502*IF($B507=1,PRODUCT($G507:H507),PRODUCT($G506:H506))</f>
        <v>0</v>
      </c>
      <c r="I503" s="177">
        <f ca="1">I501*I502*IF($B507=1,PRODUCT($G507:I507),PRODUCT($G506:I506))</f>
        <v>0</v>
      </c>
      <c r="J503" s="177">
        <f ca="1">J501*J502*IF($B507=1,PRODUCT($G507:J507),PRODUCT($G506:J506))</f>
        <v>0</v>
      </c>
      <c r="K503" s="177">
        <f ca="1">K501*K502*IF($B507=1,PRODUCT($G507:K507),PRODUCT($G506:K506))</f>
        <v>0</v>
      </c>
      <c r="L503" s="177">
        <f ca="1">L501*L502*IF($B507=1,PRODUCT($G507:L507),PRODUCT($G506:L506))</f>
        <v>0</v>
      </c>
      <c r="M503" s="177">
        <f ca="1">M501*M502*IF($B507=1,PRODUCT($G507:M507),PRODUCT($G506:M506))</f>
        <v>5147.8150704934997</v>
      </c>
      <c r="N503" s="177">
        <f ca="1">N501*N502*IF($B507=1,PRODUCT($G507:N507),PRODUCT($G506:N506))</f>
        <v>5172.8723206501627</v>
      </c>
      <c r="O503" s="177">
        <f ca="1">O501*O502*IF($B507=1,PRODUCT($G507:O507),PRODUCT($G506:O506))</f>
        <v>5198.0515382389904</v>
      </c>
      <c r="P503" s="177">
        <f ca="1">P501*P502*IF($B507=1,PRODUCT($G507:P507),PRODUCT($G506:P506))</f>
        <v>5223.3533169426282</v>
      </c>
      <c r="Q503" s="177">
        <f ca="1">Q501*Q502*IF($B507=1,PRODUCT($G507:Q507),PRODUCT($G506:Q506))</f>
        <v>5248.7782533334994</v>
      </c>
      <c r="R503" s="177">
        <f ca="1">R501*R502*IF($B507=1,PRODUCT($G507:R507),PRODUCT($G506:R506))</f>
        <v>5274.3269468878725</v>
      </c>
      <c r="S503" s="177">
        <f ca="1">S501*S502*IF($B507=1,PRODUCT($G507:S507),PRODUCT($G506:S506))</f>
        <v>5300.0000000000018</v>
      </c>
      <c r="T503" s="177">
        <f ca="1">T501*T502*IF($B507=1,PRODUCT($G507:T507),PRODUCT($G506:T506))</f>
        <v>5325.7980179963197</v>
      </c>
      <c r="U503" s="177">
        <f ca="1">U501*U502*IF($B507=1,PRODUCT($G507:U507),PRODUCT($G506:U506))</f>
        <v>5351.7216091497203</v>
      </c>
      <c r="V503" s="177">
        <f ca="1">V501*V502*IF($B507=1,PRODUCT($G507:V507),PRODUCT($G506:V506))</f>
        <v>5377.7713846938959</v>
      </c>
      <c r="W503" s="177">
        <f ca="1">W501*W502*IF($B507=1,PRODUCT($G507:W507),PRODUCT($G506:W506))</f>
        <v>5403.947958837748</v>
      </c>
      <c r="X503" s="177">
        <f ca="1">X501*X502*IF($B507=1,PRODUCT($G507:X507),PRODUCT($G506:X506))</f>
        <v>5430.2519487798727</v>
      </c>
      <c r="Y503" s="177">
        <f ca="1">Y501*Y502*IF($B507=1,PRODUCT($G507:Y507),PRODUCT($G506:Y506))</f>
        <v>5456.6839747231106</v>
      </c>
      <c r="Z503" s="177">
        <f ca="1">Z501*Z502*IF($B507=1,PRODUCT($G507:Z507),PRODUCT($G506:Z506))</f>
        <v>5483.2446598891729</v>
      </c>
      <c r="AA503" s="177">
        <f ca="1">AA501*AA502*IF($B507=1,PRODUCT($G507:AA507),PRODUCT($G506:AA506))</f>
        <v>5509.9346305333311</v>
      </c>
      <c r="AB503" s="177">
        <f ca="1">AB501*AB502*IF($B507=1,PRODUCT($G507:AB507),PRODUCT($G506:AB506))</f>
        <v>5536.7545159591873</v>
      </c>
      <c r="AC503" s="177">
        <f ca="1">AC501*AC502*IF($B507=1,PRODUCT($G507:AC507),PRODUCT($G506:AC506))</f>
        <v>5563.7049485335101</v>
      </c>
      <c r="AD503" s="177">
        <f ca="1">AD501*AD502*IF($B507=1,PRODUCT($G507:AD507),PRODUCT($G506:AD506))</f>
        <v>5590.7865637011464</v>
      </c>
      <c r="AE503" s="177">
        <f ca="1">AE501*AE502*IF($B507=1,PRODUCT($G507:AE507),PRODUCT($G506:AE506))</f>
        <v>5618.0000000000027</v>
      </c>
      <c r="AF503" s="177">
        <f ca="1">AF501*AF502*IF($B507=1,PRODUCT($G507:AF507),PRODUCT($G506:AF506))</f>
        <v>5645.345899076101</v>
      </c>
      <c r="AG503" s="177">
        <f ca="1">AG501*AG502*IF($B507=1,PRODUCT($G507:AG507),PRODUCT($G506:AG506))</f>
        <v>5672.8249056987061</v>
      </c>
      <c r="AH503" s="177">
        <f ca="1">AH501*AH502*IF($B507=1,PRODUCT($G507:AH507),PRODUCT($G506:AH506))</f>
        <v>5700.4376677755317</v>
      </c>
      <c r="AI503" s="177">
        <f ca="1">AI501*AI502*IF($B507=1,PRODUCT($G507:AI507),PRODUCT($G506:AI506))</f>
        <v>5728.1848363680156</v>
      </c>
      <c r="AJ503" s="177">
        <f ca="1">AJ501*AJ502*IF($B507=1,PRODUCT($G507:AJ507),PRODUCT($G506:AJ506))</f>
        <v>5756.0670657066685</v>
      </c>
      <c r="AK503" s="177">
        <f ca="1">AK501*AK502*IF($B507=1,PRODUCT($G507:AK507),PRODUCT($G506:AK506))</f>
        <v>5784.0850132065016</v>
      </c>
      <c r="AL503" s="177">
        <f ca="1">AL501*AL502*IF($B507=1,PRODUCT($G507:AL507),PRODUCT($G506:AL506))</f>
        <v>5812.2393394825267</v>
      </c>
      <c r="AM503" s="177">
        <f ca="1">AM501*AM502*IF($B507=1,PRODUCT($G507:AM507),PRODUCT($G506:AM506))</f>
        <v>5840.5307083653333</v>
      </c>
      <c r="AN503" s="177">
        <f ca="1">AN501*AN502*IF($B507=1,PRODUCT($G507:AN507),PRODUCT($G506:AN506))</f>
        <v>5868.959786916741</v>
      </c>
      <c r="AO503" s="177">
        <f ca="1">AO501*AO502*IF($B507=1,PRODUCT($G507:AO507),PRODUCT($G506:AO506))</f>
        <v>5897.5272454455226</v>
      </c>
      <c r="AP503" s="177">
        <f ca="1">AP501*AP502*IF($B507=1,PRODUCT($G507:AP507),PRODUCT($G506:AP506))</f>
        <v>5926.2337575232168</v>
      </c>
      <c r="AQ503" s="177">
        <f ca="1">AQ501*AQ502*IF($B507=1,PRODUCT($G507:AQ507),PRODUCT($G506:AQ506))</f>
        <v>5955.0800000000045</v>
      </c>
      <c r="AR503" s="177">
        <f ca="1">AR501*AR502*IF($B507=1,PRODUCT($G507:AR507),PRODUCT($G506:AR506))</f>
        <v>5984.0666530206672</v>
      </c>
      <c r="AS503" s="177">
        <f ca="1">AS501*AS502*IF($B507=1,PRODUCT($G507:AS507),PRODUCT($G506:AS506))</f>
        <v>6013.1944000406293</v>
      </c>
      <c r="AT503" s="177">
        <f ca="1">AT501*AT502*IF($B507=1,PRODUCT($G507:AT507),PRODUCT($G506:AT506))</f>
        <v>6042.4639278420645</v>
      </c>
      <c r="AU503" s="177">
        <f ca="1">AU501*AU502*IF($B507=1,PRODUCT($G507:AU507),PRODUCT($G506:AU506))</f>
        <v>6071.8759265500967</v>
      </c>
      <c r="AV503" s="177">
        <f ca="1">AV501*AV502*IF($B507=1,PRODUCT($G507:AV507),PRODUCT($G506:AV506))</f>
        <v>6101.4310896490688</v>
      </c>
      <c r="AW503" s="177">
        <f ca="1">AW501*AW502*IF($B507=1,PRODUCT($G507:AW507),PRODUCT($G506:AW506))</f>
        <v>6131.1301139988918</v>
      </c>
      <c r="AX503" s="177">
        <f ca="1">AX501*AX502*IF($B507=1,PRODUCT($G507:AX507),PRODUCT($G506:AX506))</f>
        <v>6160.9736998514782</v>
      </c>
      <c r="AY503" s="177">
        <f ca="1">AY501*AY502*IF($B507=1,PRODUCT($G507:AY507),PRODUCT($G506:AY506))</f>
        <v>6190.9625508672543</v>
      </c>
      <c r="AZ503" s="177">
        <f ca="1">AZ501*AZ502*IF($B507=1,PRODUCT($G507:AZ507),PRODUCT($G506:AZ506))</f>
        <v>6221.0973741317457</v>
      </c>
      <c r="BA503" s="177">
        <f ca="1">BA501*BA502*IF($B507=1,PRODUCT($G507:BA507),PRODUCT($G506:BA506))</f>
        <v>6251.3788801722549</v>
      </c>
      <c r="BB503" s="177">
        <f ca="1">BB501*BB502*IF($B507=1,PRODUCT($G507:BB507),PRODUCT($G506:BB506))</f>
        <v>6281.8077829746107</v>
      </c>
      <c r="BC503" s="177"/>
      <c r="BD503" s="178">
        <f ca="1">SUM(G503:BC503)</f>
        <v>239251.69628400734</v>
      </c>
    </row>
    <row r="504" spans="1:56" hidden="1" outlineLevel="1" x14ac:dyDescent="0.3">
      <c r="A504" s="184" t="str">
        <f ca="1">Language!A$749</f>
        <v>темп изменения цен</v>
      </c>
      <c r="B504" s="189"/>
      <c r="C504" s="163" t="str">
        <f ca="1">Language!$A$480</f>
        <v>% в год</v>
      </c>
      <c r="D504" s="174"/>
      <c r="F504" s="170" t="s">
        <v>2346</v>
      </c>
      <c r="G504" s="290">
        <f>CHOOSE($D501,Параметры!G$49,Параметры!G$56,Параметры!G$62)</f>
        <v>0.06</v>
      </c>
      <c r="H504" s="290">
        <f>CHOOSE($D501,Параметры!H$49,Параметры!H$56,Параметры!H$62)</f>
        <v>0.06</v>
      </c>
      <c r="I504" s="290">
        <f>CHOOSE($D501,Параметры!I$49,Параметры!I$56,Параметры!I$62)</f>
        <v>0.06</v>
      </c>
      <c r="J504" s="290">
        <f>CHOOSE($D501,Параметры!J$49,Параметры!J$56,Параметры!J$62)</f>
        <v>0.06</v>
      </c>
      <c r="K504" s="290">
        <f>CHOOSE($D501,Параметры!K$49,Параметры!K$56,Параметры!K$62)</f>
        <v>0.06</v>
      </c>
      <c r="L504" s="290">
        <f>CHOOSE($D501,Параметры!L$49,Параметры!L$56,Параметры!L$62)</f>
        <v>0.06</v>
      </c>
      <c r="M504" s="290">
        <f>CHOOSE($D501,Параметры!M$49,Параметры!M$56,Параметры!M$62)</f>
        <v>0.06</v>
      </c>
      <c r="N504" s="290">
        <f>CHOOSE($D501,Параметры!N$49,Параметры!N$56,Параметры!N$62)</f>
        <v>0.06</v>
      </c>
      <c r="O504" s="290">
        <f>CHOOSE($D501,Параметры!O$49,Параметры!O$56,Параметры!O$62)</f>
        <v>0.06</v>
      </c>
      <c r="P504" s="290">
        <f>CHOOSE($D501,Параметры!P$49,Параметры!P$56,Параметры!P$62)</f>
        <v>0.06</v>
      </c>
      <c r="Q504" s="290">
        <f>CHOOSE($D501,Параметры!Q$49,Параметры!Q$56,Параметры!Q$62)</f>
        <v>0.06</v>
      </c>
      <c r="R504" s="290">
        <f>CHOOSE($D501,Параметры!R$49,Параметры!R$56,Параметры!R$62)</f>
        <v>0.06</v>
      </c>
      <c r="S504" s="290">
        <f>CHOOSE($D501,Параметры!S$49,Параметры!S$56,Параметры!S$62)</f>
        <v>0.06</v>
      </c>
      <c r="T504" s="290">
        <f>CHOOSE($D501,Параметры!T$49,Параметры!T$56,Параметры!T$62)</f>
        <v>0.06</v>
      </c>
      <c r="U504" s="290">
        <f>CHOOSE($D501,Параметры!U$49,Параметры!U$56,Параметры!U$62)</f>
        <v>0.06</v>
      </c>
      <c r="V504" s="290">
        <f>CHOOSE($D501,Параметры!V$49,Параметры!V$56,Параметры!V$62)</f>
        <v>0.06</v>
      </c>
      <c r="W504" s="290">
        <f>CHOOSE($D501,Параметры!W$49,Параметры!W$56,Параметры!W$62)</f>
        <v>0.06</v>
      </c>
      <c r="X504" s="290">
        <f>CHOOSE($D501,Параметры!X$49,Параметры!X$56,Параметры!X$62)</f>
        <v>0.06</v>
      </c>
      <c r="Y504" s="290">
        <f>CHOOSE($D501,Параметры!Y$49,Параметры!Y$56,Параметры!Y$62)</f>
        <v>0.06</v>
      </c>
      <c r="Z504" s="290">
        <f>CHOOSE($D501,Параметры!Z$49,Параметры!Z$56,Параметры!Z$62)</f>
        <v>0.06</v>
      </c>
      <c r="AA504" s="290">
        <f>CHOOSE($D501,Параметры!AA$49,Параметры!AA$56,Параметры!AA$62)</f>
        <v>0.06</v>
      </c>
      <c r="AB504" s="290">
        <f>CHOOSE($D501,Параметры!AB$49,Параметры!AB$56,Параметры!AB$62)</f>
        <v>0.06</v>
      </c>
      <c r="AC504" s="290">
        <f>CHOOSE($D501,Параметры!AC$49,Параметры!AC$56,Параметры!AC$62)</f>
        <v>0.06</v>
      </c>
      <c r="AD504" s="290">
        <f>CHOOSE($D501,Параметры!AD$49,Параметры!AD$56,Параметры!AD$62)</f>
        <v>0.06</v>
      </c>
      <c r="AE504" s="290">
        <f>CHOOSE($D501,Параметры!AE$49,Параметры!AE$56,Параметры!AE$62)</f>
        <v>0.06</v>
      </c>
      <c r="AF504" s="290">
        <f>CHOOSE($D501,Параметры!AF$49,Параметры!AF$56,Параметры!AF$62)</f>
        <v>0.06</v>
      </c>
      <c r="AG504" s="290">
        <f>CHOOSE($D501,Параметры!AG$49,Параметры!AG$56,Параметры!AG$62)</f>
        <v>0.06</v>
      </c>
      <c r="AH504" s="290">
        <f>CHOOSE($D501,Параметры!AH$49,Параметры!AH$56,Параметры!AH$62)</f>
        <v>0.06</v>
      </c>
      <c r="AI504" s="290">
        <f>CHOOSE($D501,Параметры!AI$49,Параметры!AI$56,Параметры!AI$62)</f>
        <v>0.06</v>
      </c>
      <c r="AJ504" s="290">
        <f>CHOOSE($D501,Параметры!AJ$49,Параметры!AJ$56,Параметры!AJ$62)</f>
        <v>0.06</v>
      </c>
      <c r="AK504" s="290">
        <f>CHOOSE($D501,Параметры!AK$49,Параметры!AK$56,Параметры!AK$62)</f>
        <v>0.06</v>
      </c>
      <c r="AL504" s="290">
        <f>CHOOSE($D501,Параметры!AL$49,Параметры!AL$56,Параметры!AL$62)</f>
        <v>0.06</v>
      </c>
      <c r="AM504" s="290">
        <f>CHOOSE($D501,Параметры!AM$49,Параметры!AM$56,Параметры!AM$62)</f>
        <v>0.06</v>
      </c>
      <c r="AN504" s="290">
        <f>CHOOSE($D501,Параметры!AN$49,Параметры!AN$56,Параметры!AN$62)</f>
        <v>0.06</v>
      </c>
      <c r="AO504" s="290">
        <f>CHOOSE($D501,Параметры!AO$49,Параметры!AO$56,Параметры!AO$62)</f>
        <v>0.06</v>
      </c>
      <c r="AP504" s="290">
        <f>CHOOSE($D501,Параметры!AP$49,Параметры!AP$56,Параметры!AP$62)</f>
        <v>0.06</v>
      </c>
      <c r="AQ504" s="290">
        <f>CHOOSE($D501,Параметры!AQ$49,Параметры!AQ$56,Параметры!AQ$62)</f>
        <v>0.06</v>
      </c>
      <c r="AR504" s="290">
        <f>CHOOSE($D501,Параметры!AR$49,Параметры!AR$56,Параметры!AR$62)</f>
        <v>0.06</v>
      </c>
      <c r="AS504" s="290">
        <f>CHOOSE($D501,Параметры!AS$49,Параметры!AS$56,Параметры!AS$62)</f>
        <v>0.06</v>
      </c>
      <c r="AT504" s="290">
        <f>CHOOSE($D501,Параметры!AT$49,Параметры!AT$56,Параметры!AT$62)</f>
        <v>0.06</v>
      </c>
      <c r="AU504" s="290">
        <f>CHOOSE($D501,Параметры!AU$49,Параметры!AU$56,Параметры!AU$62)</f>
        <v>0.06</v>
      </c>
      <c r="AV504" s="290">
        <f>CHOOSE($D501,Параметры!AV$49,Параметры!AV$56,Параметры!AV$62)</f>
        <v>0.06</v>
      </c>
      <c r="AW504" s="290">
        <f>CHOOSE($D501,Параметры!AW$49,Параметры!AW$56,Параметры!AW$62)</f>
        <v>0.06</v>
      </c>
      <c r="AX504" s="290">
        <f>CHOOSE($D501,Параметры!AX$49,Параметры!AX$56,Параметры!AX$62)</f>
        <v>0.06</v>
      </c>
      <c r="AY504" s="290">
        <f>CHOOSE($D501,Параметры!AY$49,Параметры!AY$56,Параметры!AY$62)</f>
        <v>0.06</v>
      </c>
      <c r="AZ504" s="290">
        <f>CHOOSE($D501,Параметры!AZ$49,Параметры!AZ$56,Параметры!AZ$62)</f>
        <v>0.06</v>
      </c>
      <c r="BA504" s="290">
        <f>CHOOSE($D501,Параметры!BA$49,Параметры!BA$56,Параметры!BA$62)</f>
        <v>0.06</v>
      </c>
      <c r="BB504" s="290">
        <f>CHOOSE($D501,Параметры!BB$49,Параметры!BB$56,Параметры!BB$62)</f>
        <v>0.06</v>
      </c>
      <c r="BC504" s="190"/>
      <c r="BD504" s="186"/>
    </row>
    <row r="505" spans="1:56" hidden="1" outlineLevel="1" x14ac:dyDescent="0.3">
      <c r="A505" s="184" t="str">
        <f ca="1">Language!A$750</f>
        <v>ставка НДС</v>
      </c>
      <c r="B505" s="189"/>
      <c r="C505" s="163" t="s">
        <v>1</v>
      </c>
      <c r="D505" s="174"/>
      <c r="F505" s="170" t="s">
        <v>2346</v>
      </c>
      <c r="G505" s="290">
        <f>IF(G$2=1,Параметры!G$72,IF(F505=Параметры!F$72,Параметры!F$72,F505))</f>
        <v>0</v>
      </c>
      <c r="H505" s="290">
        <f>IF(H$2=1,Параметры!H$72,IF(G505=Параметры!G$72,Параметры!G$72,G505))</f>
        <v>0</v>
      </c>
      <c r="I505" s="290">
        <f>IF(I$2=1,Параметры!I$72,IF(H505=Параметры!H$72,Параметры!H$72,H505))</f>
        <v>0</v>
      </c>
      <c r="J505" s="290">
        <f>IF(J$2=1,Параметры!J$72,IF(I505=Параметры!I$72,Параметры!I$72,I505))</f>
        <v>0</v>
      </c>
      <c r="K505" s="290">
        <f>IF(K$2=1,Параметры!K$72,IF(J505=Параметры!J$72,Параметры!J$72,J505))</f>
        <v>0</v>
      </c>
      <c r="L505" s="290">
        <f>IF(L$2=1,Параметры!L$72,IF(K505=Параметры!K$72,Параметры!K$72,K505))</f>
        <v>0</v>
      </c>
      <c r="M505" s="290">
        <f>IF(M$2=1,Параметры!M$72,IF(L505=Параметры!L$72,Параметры!L$72,L505))</f>
        <v>0</v>
      </c>
      <c r="N505" s="290">
        <f>IF(N$2=1,Параметры!N$72,IF(M505=Параметры!M$72,Параметры!M$72,M505))</f>
        <v>0</v>
      </c>
      <c r="O505" s="290">
        <f>IF(O$2=1,Параметры!O$72,IF(N505=Параметры!N$72,Параметры!N$72,N505))</f>
        <v>0</v>
      </c>
      <c r="P505" s="290">
        <f>IF(P$2=1,Параметры!P$72,IF(O505=Параметры!O$72,Параметры!O$72,O505))</f>
        <v>0</v>
      </c>
      <c r="Q505" s="290">
        <f>IF(Q$2=1,Параметры!Q$72,IF(P505=Параметры!P$72,Параметры!P$72,P505))</f>
        <v>0</v>
      </c>
      <c r="R505" s="290">
        <f>IF(R$2=1,Параметры!R$72,IF(Q505=Параметры!Q$72,Параметры!Q$72,Q505))</f>
        <v>0</v>
      </c>
      <c r="S505" s="290">
        <f>IF(S$2=1,Параметры!S$72,IF(R505=Параметры!R$72,Параметры!R$72,R505))</f>
        <v>0</v>
      </c>
      <c r="T505" s="290">
        <f>IF(T$2=1,Параметры!T$72,IF(S505=Параметры!S$72,Параметры!S$72,S505))</f>
        <v>0</v>
      </c>
      <c r="U505" s="290">
        <f>IF(U$2=1,Параметры!U$72,IF(T505=Параметры!T$72,Параметры!T$72,T505))</f>
        <v>0</v>
      </c>
      <c r="V505" s="290">
        <f>IF(V$2=1,Параметры!V$72,IF(U505=Параметры!U$72,Параметры!U$72,U505))</f>
        <v>0</v>
      </c>
      <c r="W505" s="290">
        <f>IF(W$2=1,Параметры!W$72,IF(V505=Параметры!V$72,Параметры!V$72,V505))</f>
        <v>0</v>
      </c>
      <c r="X505" s="290">
        <f>IF(X$2=1,Параметры!X$72,IF(W505=Параметры!W$72,Параметры!W$72,W505))</f>
        <v>0</v>
      </c>
      <c r="Y505" s="290">
        <f>IF(Y$2=1,Параметры!Y$72,IF(X505=Параметры!X$72,Параметры!X$72,X505))</f>
        <v>0</v>
      </c>
      <c r="Z505" s="290">
        <f>IF(Z$2=1,Параметры!Z$72,IF(Y505=Параметры!Y$72,Параметры!Y$72,Y505))</f>
        <v>0</v>
      </c>
      <c r="AA505" s="290">
        <f>IF(AA$2=1,Параметры!AA$72,IF(Z505=Параметры!Z$72,Параметры!Z$72,Z505))</f>
        <v>0</v>
      </c>
      <c r="AB505" s="290">
        <f>IF(AB$2=1,Параметры!AB$72,IF(AA505=Параметры!AA$72,Параметры!AA$72,AA505))</f>
        <v>0</v>
      </c>
      <c r="AC505" s="290">
        <f>IF(AC$2=1,Параметры!AC$72,IF(AB505=Параметры!AB$72,Параметры!AB$72,AB505))</f>
        <v>0</v>
      </c>
      <c r="AD505" s="290">
        <f>IF(AD$2=1,Параметры!AD$72,IF(AC505=Параметры!AC$72,Параметры!AC$72,AC505))</f>
        <v>0</v>
      </c>
      <c r="AE505" s="290">
        <f>IF(AE$2=1,Параметры!AE$72,IF(AD505=Параметры!AD$72,Параметры!AD$72,AD505))</f>
        <v>0</v>
      </c>
      <c r="AF505" s="290">
        <f>IF(AF$2=1,Параметры!AF$72,IF(AE505=Параметры!AE$72,Параметры!AE$72,AE505))</f>
        <v>0</v>
      </c>
      <c r="AG505" s="290">
        <f>IF(AG$2=1,Параметры!AG$72,IF(AF505=Параметры!AF$72,Параметры!AF$72,AF505))</f>
        <v>0</v>
      </c>
      <c r="AH505" s="290">
        <f>IF(AH$2=1,Параметры!AH$72,IF(AG505=Параметры!AG$72,Параметры!AG$72,AG505))</f>
        <v>0</v>
      </c>
      <c r="AI505" s="290">
        <f>IF(AI$2=1,Параметры!AI$72,IF(AH505=Параметры!AH$72,Параметры!AH$72,AH505))</f>
        <v>0</v>
      </c>
      <c r="AJ505" s="290">
        <f>IF(AJ$2=1,Параметры!AJ$72,IF(AI505=Параметры!AI$72,Параметры!AI$72,AI505))</f>
        <v>0</v>
      </c>
      <c r="AK505" s="290">
        <f>IF(AK$2=1,Параметры!AK$72,IF(AJ505=Параметры!AJ$72,Параметры!AJ$72,AJ505))</f>
        <v>0</v>
      </c>
      <c r="AL505" s="290">
        <f>IF(AL$2=1,Параметры!AL$72,IF(AK505=Параметры!AK$72,Параметры!AK$72,AK505))</f>
        <v>0</v>
      </c>
      <c r="AM505" s="290">
        <f>IF(AM$2=1,Параметры!AM$72,IF(AL505=Параметры!AL$72,Параметры!AL$72,AL505))</f>
        <v>0</v>
      </c>
      <c r="AN505" s="290">
        <f>IF(AN$2=1,Параметры!AN$72,IF(AM505=Параметры!AM$72,Параметры!AM$72,AM505))</f>
        <v>0</v>
      </c>
      <c r="AO505" s="290">
        <f>IF(AO$2=1,Параметры!AO$72,IF(AN505=Параметры!AN$72,Параметры!AN$72,AN505))</f>
        <v>0</v>
      </c>
      <c r="AP505" s="290">
        <f>IF(AP$2=1,Параметры!AP$72,IF(AO505=Параметры!AO$72,Параметры!AO$72,AO505))</f>
        <v>0</v>
      </c>
      <c r="AQ505" s="290">
        <f>IF(AQ$2=1,Параметры!AQ$72,IF(AP505=Параметры!AP$72,Параметры!AP$72,AP505))</f>
        <v>0</v>
      </c>
      <c r="AR505" s="290">
        <f>IF(AR$2=1,Параметры!AR$72,IF(AQ505=Параметры!AQ$72,Параметры!AQ$72,AQ505))</f>
        <v>0</v>
      </c>
      <c r="AS505" s="290">
        <f>IF(AS$2=1,Параметры!AS$72,IF(AR505=Параметры!AR$72,Параметры!AR$72,AR505))</f>
        <v>0</v>
      </c>
      <c r="AT505" s="290">
        <f>IF(AT$2=1,Параметры!AT$72,IF(AS505=Параметры!AS$72,Параметры!AS$72,AS505))</f>
        <v>0</v>
      </c>
      <c r="AU505" s="290">
        <f>IF(AU$2=1,Параметры!AU$72,IF(AT505=Параметры!AT$72,Параметры!AT$72,AT505))</f>
        <v>0</v>
      </c>
      <c r="AV505" s="290">
        <f>IF(AV$2=1,Параметры!AV$72,IF(AU505=Параметры!AU$72,Параметры!AU$72,AU505))</f>
        <v>0</v>
      </c>
      <c r="AW505" s="290">
        <f>IF(AW$2=1,Параметры!AW$72,IF(AV505=Параметры!AV$72,Параметры!AV$72,AV505))</f>
        <v>0</v>
      </c>
      <c r="AX505" s="290">
        <f>IF(AX$2=1,Параметры!AX$72,IF(AW505=Параметры!AW$72,Параметры!AW$72,AW505))</f>
        <v>0</v>
      </c>
      <c r="AY505" s="290">
        <f>IF(AY$2=1,Параметры!AY$72,IF(AX505=Параметры!AX$72,Параметры!AX$72,AX505))</f>
        <v>0</v>
      </c>
      <c r="AZ505" s="290">
        <f>IF(AZ$2=1,Параметры!AZ$72,IF(AY505=Параметры!AY$72,Параметры!AY$72,AY505))</f>
        <v>0</v>
      </c>
      <c r="BA505" s="290">
        <f>IF(BA$2=1,Параметры!BA$72,IF(AZ505=Параметры!AZ$72,Параметры!AZ$72,AZ505))</f>
        <v>0</v>
      </c>
      <c r="BB505" s="290">
        <f>IF(BB$2=1,Параметры!BB$72,IF(BA505=Параметры!BA$72,Параметры!BA$72,BA505))</f>
        <v>0</v>
      </c>
      <c r="BC505" s="190"/>
      <c r="BD505" s="186"/>
    </row>
    <row r="506" spans="1:56" hidden="1" outlineLevel="1" x14ac:dyDescent="0.3">
      <c r="A506" s="184" t="str">
        <f ca="1">Language!A$675</f>
        <v>коэффициент прироста цен к предыдущему периоду</v>
      </c>
      <c r="B506" s="189"/>
      <c r="C506" s="163" t="str">
        <f ca="1">Language!$A$1477</f>
        <v>раз</v>
      </c>
      <c r="D506" s="174"/>
      <c r="F506" s="170" t="s">
        <v>745</v>
      </c>
      <c r="G506" s="191">
        <f ca="1">IF(G$2=1,1,IF(Prj_Inflation=1, (1+OFFSET(G504,0,-1))^(Параметры!G$30/360), 1))</f>
        <v>1</v>
      </c>
      <c r="H506" s="191">
        <f ca="1">IF(H$2=1,1,IF(Prj_Inflation=1, (1+OFFSET(H504,0,-1))^(Параметры!H$30/360), 1))</f>
        <v>1.004867550565343</v>
      </c>
      <c r="I506" s="191">
        <f ca="1">IF(I$2=1,1,IF(Prj_Inflation=1, (1+OFFSET(I504,0,-1))^(Параметры!I$30/360), 1))</f>
        <v>1.004867550565343</v>
      </c>
      <c r="J506" s="191">
        <f ca="1">IF(J$2=1,1,IF(Prj_Inflation=1, (1+OFFSET(J504,0,-1))^(Параметры!J$30/360), 1))</f>
        <v>1.004867550565343</v>
      </c>
      <c r="K506" s="191">
        <f ca="1">IF(K$2=1,1,IF(Prj_Inflation=1, (1+OFFSET(K504,0,-1))^(Параметры!K$30/360), 1))</f>
        <v>1.004867550565343</v>
      </c>
      <c r="L506" s="191">
        <f ca="1">IF(L$2=1,1,IF(Prj_Inflation=1, (1+OFFSET(L504,0,-1))^(Параметры!L$30/360), 1))</f>
        <v>1.004867550565343</v>
      </c>
      <c r="M506" s="191">
        <f ca="1">IF(M$2=1,1,IF(Prj_Inflation=1, (1+OFFSET(M504,0,-1))^(Параметры!M$30/360), 1))</f>
        <v>1.004867550565343</v>
      </c>
      <c r="N506" s="191">
        <f ca="1">IF(N$2=1,1,IF(Prj_Inflation=1, (1+OFFSET(N504,0,-1))^(Параметры!N$30/360), 1))</f>
        <v>1.004867550565343</v>
      </c>
      <c r="O506" s="191">
        <f ca="1">IF(O$2=1,1,IF(Prj_Inflation=1, (1+OFFSET(O504,0,-1))^(Параметры!O$30/360), 1))</f>
        <v>1.004867550565343</v>
      </c>
      <c r="P506" s="191">
        <f ca="1">IF(P$2=1,1,IF(Prj_Inflation=1, (1+OFFSET(P504,0,-1))^(Параметры!P$30/360), 1))</f>
        <v>1.004867550565343</v>
      </c>
      <c r="Q506" s="191">
        <f ca="1">IF(Q$2=1,1,IF(Prj_Inflation=1, (1+OFFSET(Q504,0,-1))^(Параметры!Q$30/360), 1))</f>
        <v>1.004867550565343</v>
      </c>
      <c r="R506" s="191">
        <f ca="1">IF(R$2=1,1,IF(Prj_Inflation=1, (1+OFFSET(R504,0,-1))^(Параметры!R$30/360), 1))</f>
        <v>1.004867550565343</v>
      </c>
      <c r="S506" s="191">
        <f ca="1">IF(S$2=1,1,IF(Prj_Inflation=1, (1+OFFSET(S504,0,-1))^(Параметры!S$30/360), 1))</f>
        <v>1.004867550565343</v>
      </c>
      <c r="T506" s="191">
        <f ca="1">IF(T$2=1,1,IF(Prj_Inflation=1, (1+OFFSET(T504,0,-1))^(Параметры!T$30/360), 1))</f>
        <v>1.004867550565343</v>
      </c>
      <c r="U506" s="191">
        <f ca="1">IF(U$2=1,1,IF(Prj_Inflation=1, (1+OFFSET(U504,0,-1))^(Параметры!U$30/360), 1))</f>
        <v>1.004867550565343</v>
      </c>
      <c r="V506" s="191">
        <f ca="1">IF(V$2=1,1,IF(Prj_Inflation=1, (1+OFFSET(V504,0,-1))^(Параметры!V$30/360), 1))</f>
        <v>1.004867550565343</v>
      </c>
      <c r="W506" s="191">
        <f ca="1">IF(W$2=1,1,IF(Prj_Inflation=1, (1+OFFSET(W504,0,-1))^(Параметры!W$30/360), 1))</f>
        <v>1.004867550565343</v>
      </c>
      <c r="X506" s="191">
        <f ca="1">IF(X$2=1,1,IF(Prj_Inflation=1, (1+OFFSET(X504,0,-1))^(Параметры!X$30/360), 1))</f>
        <v>1.004867550565343</v>
      </c>
      <c r="Y506" s="191">
        <f ca="1">IF(Y$2=1,1,IF(Prj_Inflation=1, (1+OFFSET(Y504,0,-1))^(Параметры!Y$30/360), 1))</f>
        <v>1.004867550565343</v>
      </c>
      <c r="Z506" s="191">
        <f ca="1">IF(Z$2=1,1,IF(Prj_Inflation=1, (1+OFFSET(Z504,0,-1))^(Параметры!Z$30/360), 1))</f>
        <v>1.004867550565343</v>
      </c>
      <c r="AA506" s="191">
        <f ca="1">IF(AA$2=1,1,IF(Prj_Inflation=1, (1+OFFSET(AA504,0,-1))^(Параметры!AA$30/360), 1))</f>
        <v>1.004867550565343</v>
      </c>
      <c r="AB506" s="191">
        <f ca="1">IF(AB$2=1,1,IF(Prj_Inflation=1, (1+OFFSET(AB504,0,-1))^(Параметры!AB$30/360), 1))</f>
        <v>1.004867550565343</v>
      </c>
      <c r="AC506" s="191">
        <f ca="1">IF(AC$2=1,1,IF(Prj_Inflation=1, (1+OFFSET(AC504,0,-1))^(Параметры!AC$30/360), 1))</f>
        <v>1.004867550565343</v>
      </c>
      <c r="AD506" s="191">
        <f ca="1">IF(AD$2=1,1,IF(Prj_Inflation=1, (1+OFFSET(AD504,0,-1))^(Параметры!AD$30/360), 1))</f>
        <v>1.004867550565343</v>
      </c>
      <c r="AE506" s="191">
        <f ca="1">IF(AE$2=1,1,IF(Prj_Inflation=1, (1+OFFSET(AE504,0,-1))^(Параметры!AE$30/360), 1))</f>
        <v>1.004867550565343</v>
      </c>
      <c r="AF506" s="191">
        <f ca="1">IF(AF$2=1,1,IF(Prj_Inflation=1, (1+OFFSET(AF504,0,-1))^(Параметры!AF$30/360), 1))</f>
        <v>1.004867550565343</v>
      </c>
      <c r="AG506" s="191">
        <f ca="1">IF(AG$2=1,1,IF(Prj_Inflation=1, (1+OFFSET(AG504,0,-1))^(Параметры!AG$30/360), 1))</f>
        <v>1.004867550565343</v>
      </c>
      <c r="AH506" s="191">
        <f ca="1">IF(AH$2=1,1,IF(Prj_Inflation=1, (1+OFFSET(AH504,0,-1))^(Параметры!AH$30/360), 1))</f>
        <v>1.004867550565343</v>
      </c>
      <c r="AI506" s="191">
        <f ca="1">IF(AI$2=1,1,IF(Prj_Inflation=1, (1+OFFSET(AI504,0,-1))^(Параметры!AI$30/360), 1))</f>
        <v>1.004867550565343</v>
      </c>
      <c r="AJ506" s="191">
        <f ca="1">IF(AJ$2=1,1,IF(Prj_Inflation=1, (1+OFFSET(AJ504,0,-1))^(Параметры!AJ$30/360), 1))</f>
        <v>1.004867550565343</v>
      </c>
      <c r="AK506" s="191">
        <f ca="1">IF(AK$2=1,1,IF(Prj_Inflation=1, (1+OFFSET(AK504,0,-1))^(Параметры!AK$30/360), 1))</f>
        <v>1.004867550565343</v>
      </c>
      <c r="AL506" s="191">
        <f ca="1">IF(AL$2=1,1,IF(Prj_Inflation=1, (1+OFFSET(AL504,0,-1))^(Параметры!AL$30/360), 1))</f>
        <v>1.004867550565343</v>
      </c>
      <c r="AM506" s="191">
        <f ca="1">IF(AM$2=1,1,IF(Prj_Inflation=1, (1+OFFSET(AM504,0,-1))^(Параметры!AM$30/360), 1))</f>
        <v>1.004867550565343</v>
      </c>
      <c r="AN506" s="191">
        <f ca="1">IF(AN$2=1,1,IF(Prj_Inflation=1, (1+OFFSET(AN504,0,-1))^(Параметры!AN$30/360), 1))</f>
        <v>1.004867550565343</v>
      </c>
      <c r="AO506" s="191">
        <f ca="1">IF(AO$2=1,1,IF(Prj_Inflation=1, (1+OFFSET(AO504,0,-1))^(Параметры!AO$30/360), 1))</f>
        <v>1.004867550565343</v>
      </c>
      <c r="AP506" s="191">
        <f ca="1">IF(AP$2=1,1,IF(Prj_Inflation=1, (1+OFFSET(AP504,0,-1))^(Параметры!AP$30/360), 1))</f>
        <v>1.004867550565343</v>
      </c>
      <c r="AQ506" s="191">
        <f ca="1">IF(AQ$2=1,1,IF(Prj_Inflation=1, (1+OFFSET(AQ504,0,-1))^(Параметры!AQ$30/360), 1))</f>
        <v>1.004867550565343</v>
      </c>
      <c r="AR506" s="191">
        <f ca="1">IF(AR$2=1,1,IF(Prj_Inflation=1, (1+OFFSET(AR504,0,-1))^(Параметры!AR$30/360), 1))</f>
        <v>1.004867550565343</v>
      </c>
      <c r="AS506" s="191">
        <f ca="1">IF(AS$2=1,1,IF(Prj_Inflation=1, (1+OFFSET(AS504,0,-1))^(Параметры!AS$30/360), 1))</f>
        <v>1.004867550565343</v>
      </c>
      <c r="AT506" s="191">
        <f ca="1">IF(AT$2=1,1,IF(Prj_Inflation=1, (1+OFFSET(AT504,0,-1))^(Параметры!AT$30/360), 1))</f>
        <v>1.004867550565343</v>
      </c>
      <c r="AU506" s="191">
        <f ca="1">IF(AU$2=1,1,IF(Prj_Inflation=1, (1+OFFSET(AU504,0,-1))^(Параметры!AU$30/360), 1))</f>
        <v>1.004867550565343</v>
      </c>
      <c r="AV506" s="191">
        <f ca="1">IF(AV$2=1,1,IF(Prj_Inflation=1, (1+OFFSET(AV504,0,-1))^(Параметры!AV$30/360), 1))</f>
        <v>1.004867550565343</v>
      </c>
      <c r="AW506" s="191">
        <f ca="1">IF(AW$2=1,1,IF(Prj_Inflation=1, (1+OFFSET(AW504,0,-1))^(Параметры!AW$30/360), 1))</f>
        <v>1.004867550565343</v>
      </c>
      <c r="AX506" s="191">
        <f ca="1">IF(AX$2=1,1,IF(Prj_Inflation=1, (1+OFFSET(AX504,0,-1))^(Параметры!AX$30/360), 1))</f>
        <v>1.004867550565343</v>
      </c>
      <c r="AY506" s="191">
        <f ca="1">IF(AY$2=1,1,IF(Prj_Inflation=1, (1+OFFSET(AY504,0,-1))^(Параметры!AY$30/360), 1))</f>
        <v>1.004867550565343</v>
      </c>
      <c r="AZ506" s="191">
        <f ca="1">IF(AZ$2=1,1,IF(Prj_Inflation=1, (1+OFFSET(AZ504,0,-1))^(Параметры!AZ$30/360), 1))</f>
        <v>1.004867550565343</v>
      </c>
      <c r="BA506" s="191">
        <f ca="1">IF(BA$2=1,1,IF(Prj_Inflation=1, (1+OFFSET(BA504,0,-1))^(Параметры!BA$30/360), 1))</f>
        <v>1.004867550565343</v>
      </c>
      <c r="BB506" s="191">
        <f ca="1">IF(BB$2=1,1,IF(Prj_Inflation=1, (1+OFFSET(BB504,0,-1))^(Параметры!BB$30/360), 1))</f>
        <v>1.004867550565343</v>
      </c>
      <c r="BC506" s="191"/>
      <c r="BD506" s="186"/>
    </row>
    <row r="507" spans="1:56" hidden="1" outlineLevel="1" x14ac:dyDescent="0.3">
      <c r="A507" s="184" t="str">
        <f ca="1">Language!A$1486</f>
        <v>индексировать в начале года</v>
      </c>
      <c r="B507" s="291">
        <v>0</v>
      </c>
      <c r="C507" s="163" t="str">
        <f ca="1">IF(B507=1,Language!$A$1475,Language!$A$1476)</f>
        <v>Нет</v>
      </c>
      <c r="D507" s="174"/>
      <c r="F507" s="170" t="s">
        <v>3408</v>
      </c>
      <c r="G507" s="192" t="str">
        <f ca="1">IF(Prj_Inflation=1,IF($B507=1,IF(G$2=1,1,IF(Параметры!G$29=1,1+OFFSET(G504,0,-1),1)),"-"),1)</f>
        <v>-</v>
      </c>
      <c r="H507" s="192" t="str">
        <f ca="1">IF(Prj_Inflation=1,IF($B507=1,IF(H$2=1,1,IF(Параметры!H$29=1,1+OFFSET(H504,0,-1),1)),"-"),1)</f>
        <v>-</v>
      </c>
      <c r="I507" s="192" t="str">
        <f ca="1">IF(Prj_Inflation=1,IF($B507=1,IF(I$2=1,1,IF(Параметры!I$29=1,1+OFFSET(I504,0,-1),1)),"-"),1)</f>
        <v>-</v>
      </c>
      <c r="J507" s="192" t="str">
        <f ca="1">IF(Prj_Inflation=1,IF($B507=1,IF(J$2=1,1,IF(Параметры!J$29=1,1+OFFSET(J504,0,-1),1)),"-"),1)</f>
        <v>-</v>
      </c>
      <c r="K507" s="192" t="str">
        <f ca="1">IF(Prj_Inflation=1,IF($B507=1,IF(K$2=1,1,IF(Параметры!K$29=1,1+OFFSET(K504,0,-1),1)),"-"),1)</f>
        <v>-</v>
      </c>
      <c r="L507" s="192" t="str">
        <f ca="1">IF(Prj_Inflation=1,IF($B507=1,IF(L$2=1,1,IF(Параметры!L$29=1,1+OFFSET(L504,0,-1),1)),"-"),1)</f>
        <v>-</v>
      </c>
      <c r="M507" s="192" t="str">
        <f ca="1">IF(Prj_Inflation=1,IF($B507=1,IF(M$2=1,1,IF(Параметры!M$29=1,1+OFFSET(M504,0,-1),1)),"-"),1)</f>
        <v>-</v>
      </c>
      <c r="N507" s="192" t="str">
        <f ca="1">IF(Prj_Inflation=1,IF($B507=1,IF(N$2=1,1,IF(Параметры!N$29=1,1+OFFSET(N504,0,-1),1)),"-"),1)</f>
        <v>-</v>
      </c>
      <c r="O507" s="192" t="str">
        <f ca="1">IF(Prj_Inflation=1,IF($B507=1,IF(O$2=1,1,IF(Параметры!O$29=1,1+OFFSET(O504,0,-1),1)),"-"),1)</f>
        <v>-</v>
      </c>
      <c r="P507" s="192" t="str">
        <f ca="1">IF(Prj_Inflation=1,IF($B507=1,IF(P$2=1,1,IF(Параметры!P$29=1,1+OFFSET(P504,0,-1),1)),"-"),1)</f>
        <v>-</v>
      </c>
      <c r="Q507" s="192" t="str">
        <f ca="1">IF(Prj_Inflation=1,IF($B507=1,IF(Q$2=1,1,IF(Параметры!Q$29=1,1+OFFSET(Q504,0,-1),1)),"-"),1)</f>
        <v>-</v>
      </c>
      <c r="R507" s="192" t="str">
        <f ca="1">IF(Prj_Inflation=1,IF($B507=1,IF(R$2=1,1,IF(Параметры!R$29=1,1+OFFSET(R504,0,-1),1)),"-"),1)</f>
        <v>-</v>
      </c>
      <c r="S507" s="192" t="str">
        <f ca="1">IF(Prj_Inflation=1,IF($B507=1,IF(S$2=1,1,IF(Параметры!S$29=1,1+OFFSET(S504,0,-1),1)),"-"),1)</f>
        <v>-</v>
      </c>
      <c r="T507" s="192" t="str">
        <f ca="1">IF(Prj_Inflation=1,IF($B507=1,IF(T$2=1,1,IF(Параметры!T$29=1,1+OFFSET(T504,0,-1),1)),"-"),1)</f>
        <v>-</v>
      </c>
      <c r="U507" s="192" t="str">
        <f ca="1">IF(Prj_Inflation=1,IF($B507=1,IF(U$2=1,1,IF(Параметры!U$29=1,1+OFFSET(U504,0,-1),1)),"-"),1)</f>
        <v>-</v>
      </c>
      <c r="V507" s="192" t="str">
        <f ca="1">IF(Prj_Inflation=1,IF($B507=1,IF(V$2=1,1,IF(Параметры!V$29=1,1+OFFSET(V504,0,-1),1)),"-"),1)</f>
        <v>-</v>
      </c>
      <c r="W507" s="192" t="str">
        <f ca="1">IF(Prj_Inflation=1,IF($B507=1,IF(W$2=1,1,IF(Параметры!W$29=1,1+OFFSET(W504,0,-1),1)),"-"),1)</f>
        <v>-</v>
      </c>
      <c r="X507" s="192" t="str">
        <f ca="1">IF(Prj_Inflation=1,IF($B507=1,IF(X$2=1,1,IF(Параметры!X$29=1,1+OFFSET(X504,0,-1),1)),"-"),1)</f>
        <v>-</v>
      </c>
      <c r="Y507" s="192" t="str">
        <f ca="1">IF(Prj_Inflation=1,IF($B507=1,IF(Y$2=1,1,IF(Параметры!Y$29=1,1+OFFSET(Y504,0,-1),1)),"-"),1)</f>
        <v>-</v>
      </c>
      <c r="Z507" s="192" t="str">
        <f ca="1">IF(Prj_Inflation=1,IF($B507=1,IF(Z$2=1,1,IF(Параметры!Z$29=1,1+OFFSET(Z504,0,-1),1)),"-"),1)</f>
        <v>-</v>
      </c>
      <c r="AA507" s="192" t="str">
        <f ca="1">IF(Prj_Inflation=1,IF($B507=1,IF(AA$2=1,1,IF(Параметры!AA$29=1,1+OFFSET(AA504,0,-1),1)),"-"),1)</f>
        <v>-</v>
      </c>
      <c r="AB507" s="192" t="str">
        <f ca="1">IF(Prj_Inflation=1,IF($B507=1,IF(AB$2=1,1,IF(Параметры!AB$29=1,1+OFFSET(AB504,0,-1),1)),"-"),1)</f>
        <v>-</v>
      </c>
      <c r="AC507" s="192" t="str">
        <f ca="1">IF(Prj_Inflation=1,IF($B507=1,IF(AC$2=1,1,IF(Параметры!AC$29=1,1+OFFSET(AC504,0,-1),1)),"-"),1)</f>
        <v>-</v>
      </c>
      <c r="AD507" s="192" t="str">
        <f ca="1">IF(Prj_Inflation=1,IF($B507=1,IF(AD$2=1,1,IF(Параметры!AD$29=1,1+OFFSET(AD504,0,-1),1)),"-"),1)</f>
        <v>-</v>
      </c>
      <c r="AE507" s="192" t="str">
        <f ca="1">IF(Prj_Inflation=1,IF($B507=1,IF(AE$2=1,1,IF(Параметры!AE$29=1,1+OFFSET(AE504,0,-1),1)),"-"),1)</f>
        <v>-</v>
      </c>
      <c r="AF507" s="192" t="str">
        <f ca="1">IF(Prj_Inflation=1,IF($B507=1,IF(AF$2=1,1,IF(Параметры!AF$29=1,1+OFFSET(AF504,0,-1),1)),"-"),1)</f>
        <v>-</v>
      </c>
      <c r="AG507" s="192" t="str">
        <f ca="1">IF(Prj_Inflation=1,IF($B507=1,IF(AG$2=1,1,IF(Параметры!AG$29=1,1+OFFSET(AG504,0,-1),1)),"-"),1)</f>
        <v>-</v>
      </c>
      <c r="AH507" s="192" t="str">
        <f ca="1">IF(Prj_Inflation=1,IF($B507=1,IF(AH$2=1,1,IF(Параметры!AH$29=1,1+OFFSET(AH504,0,-1),1)),"-"),1)</f>
        <v>-</v>
      </c>
      <c r="AI507" s="192" t="str">
        <f ca="1">IF(Prj_Inflation=1,IF($B507=1,IF(AI$2=1,1,IF(Параметры!AI$29=1,1+OFFSET(AI504,0,-1),1)),"-"),1)</f>
        <v>-</v>
      </c>
      <c r="AJ507" s="192" t="str">
        <f ca="1">IF(Prj_Inflation=1,IF($B507=1,IF(AJ$2=1,1,IF(Параметры!AJ$29=1,1+OFFSET(AJ504,0,-1),1)),"-"),1)</f>
        <v>-</v>
      </c>
      <c r="AK507" s="192" t="str">
        <f ca="1">IF(Prj_Inflation=1,IF($B507=1,IF(AK$2=1,1,IF(Параметры!AK$29=1,1+OFFSET(AK504,0,-1),1)),"-"),1)</f>
        <v>-</v>
      </c>
      <c r="AL507" s="192" t="str">
        <f ca="1">IF(Prj_Inflation=1,IF($B507=1,IF(AL$2=1,1,IF(Параметры!AL$29=1,1+OFFSET(AL504,0,-1),1)),"-"),1)</f>
        <v>-</v>
      </c>
      <c r="AM507" s="192" t="str">
        <f ca="1">IF(Prj_Inflation=1,IF($B507=1,IF(AM$2=1,1,IF(Параметры!AM$29=1,1+OFFSET(AM504,0,-1),1)),"-"),1)</f>
        <v>-</v>
      </c>
      <c r="AN507" s="192" t="str">
        <f ca="1">IF(Prj_Inflation=1,IF($B507=1,IF(AN$2=1,1,IF(Параметры!AN$29=1,1+OFFSET(AN504,0,-1),1)),"-"),1)</f>
        <v>-</v>
      </c>
      <c r="AO507" s="192" t="str">
        <f ca="1">IF(Prj_Inflation=1,IF($B507=1,IF(AO$2=1,1,IF(Параметры!AO$29=1,1+OFFSET(AO504,0,-1),1)),"-"),1)</f>
        <v>-</v>
      </c>
      <c r="AP507" s="192" t="str">
        <f ca="1">IF(Prj_Inflation=1,IF($B507=1,IF(AP$2=1,1,IF(Параметры!AP$29=1,1+OFFSET(AP504,0,-1),1)),"-"),1)</f>
        <v>-</v>
      </c>
      <c r="AQ507" s="192" t="str">
        <f ca="1">IF(Prj_Inflation=1,IF($B507=1,IF(AQ$2=1,1,IF(Параметры!AQ$29=1,1+OFFSET(AQ504,0,-1),1)),"-"),1)</f>
        <v>-</v>
      </c>
      <c r="AR507" s="192" t="str">
        <f ca="1">IF(Prj_Inflation=1,IF($B507=1,IF(AR$2=1,1,IF(Параметры!AR$29=1,1+OFFSET(AR504,0,-1),1)),"-"),1)</f>
        <v>-</v>
      </c>
      <c r="AS507" s="192" t="str">
        <f ca="1">IF(Prj_Inflation=1,IF($B507=1,IF(AS$2=1,1,IF(Параметры!AS$29=1,1+OFFSET(AS504,0,-1),1)),"-"),1)</f>
        <v>-</v>
      </c>
      <c r="AT507" s="192" t="str">
        <f ca="1">IF(Prj_Inflation=1,IF($B507=1,IF(AT$2=1,1,IF(Параметры!AT$29=1,1+OFFSET(AT504,0,-1),1)),"-"),1)</f>
        <v>-</v>
      </c>
      <c r="AU507" s="192" t="str">
        <f ca="1">IF(Prj_Inflation=1,IF($B507=1,IF(AU$2=1,1,IF(Параметры!AU$29=1,1+OFFSET(AU504,0,-1),1)),"-"),1)</f>
        <v>-</v>
      </c>
      <c r="AV507" s="192" t="str">
        <f ca="1">IF(Prj_Inflation=1,IF($B507=1,IF(AV$2=1,1,IF(Параметры!AV$29=1,1+OFFSET(AV504,0,-1),1)),"-"),1)</f>
        <v>-</v>
      </c>
      <c r="AW507" s="192" t="str">
        <f ca="1">IF(Prj_Inflation=1,IF($B507=1,IF(AW$2=1,1,IF(Параметры!AW$29=1,1+OFFSET(AW504,0,-1),1)),"-"),1)</f>
        <v>-</v>
      </c>
      <c r="AX507" s="192" t="str">
        <f ca="1">IF(Prj_Inflation=1,IF($B507=1,IF(AX$2=1,1,IF(Параметры!AX$29=1,1+OFFSET(AX504,0,-1),1)),"-"),1)</f>
        <v>-</v>
      </c>
      <c r="AY507" s="192" t="str">
        <f ca="1">IF(Prj_Inflation=1,IF($B507=1,IF(AY$2=1,1,IF(Параметры!AY$29=1,1+OFFSET(AY504,0,-1),1)),"-"),1)</f>
        <v>-</v>
      </c>
      <c r="AZ507" s="192" t="str">
        <f ca="1">IF(Prj_Inflation=1,IF($B507=1,IF(AZ$2=1,1,IF(Параметры!AZ$29=1,1+OFFSET(AZ504,0,-1),1)),"-"),1)</f>
        <v>-</v>
      </c>
      <c r="BA507" s="192" t="str">
        <f ca="1">IF(Prj_Inflation=1,IF($B507=1,IF(BA$2=1,1,IF(Параметры!BA$29=1,1+OFFSET(BA504,0,-1),1)),"-"),1)</f>
        <v>-</v>
      </c>
      <c r="BB507" s="192" t="str">
        <f ca="1">IF(Prj_Inflation=1,IF($B507=1,IF(BB$2=1,1,IF(Параметры!BB$29=1,1+OFFSET(BB504,0,-1),1)),"-"),1)</f>
        <v>-</v>
      </c>
      <c r="BC507" s="191"/>
      <c r="BD507" s="186"/>
    </row>
    <row r="508" spans="1:56" hidden="1" outlineLevel="1" x14ac:dyDescent="0.3">
      <c r="A508" s="184" t="str">
        <f ca="1">Language!A$753</f>
        <v>НДС начисленный</v>
      </c>
      <c r="B508" s="163"/>
      <c r="C508" s="163" t="str">
        <f ca="1">CHOOSE(D508,CurName1,CurName2,CurName3)</f>
        <v>руб.</v>
      </c>
      <c r="D508" s="174">
        <f>D499</f>
        <v>1</v>
      </c>
      <c r="E508" s="170" t="s">
        <v>785</v>
      </c>
      <c r="F508" s="170" t="s">
        <v>740</v>
      </c>
      <c r="G508" s="185">
        <f ca="1">G503*G505</f>
        <v>0</v>
      </c>
      <c r="H508" s="185">
        <f t="shared" ref="H508:BB508" ca="1" si="2192">H503*H505</f>
        <v>0</v>
      </c>
      <c r="I508" s="185">
        <f t="shared" ca="1" si="2192"/>
        <v>0</v>
      </c>
      <c r="J508" s="185">
        <f t="shared" ca="1" si="2192"/>
        <v>0</v>
      </c>
      <c r="K508" s="185">
        <f t="shared" ca="1" si="2192"/>
        <v>0</v>
      </c>
      <c r="L508" s="185">
        <f t="shared" ca="1" si="2192"/>
        <v>0</v>
      </c>
      <c r="M508" s="185">
        <f t="shared" ca="1" si="2192"/>
        <v>0</v>
      </c>
      <c r="N508" s="185">
        <f t="shared" ca="1" si="2192"/>
        <v>0</v>
      </c>
      <c r="O508" s="185">
        <f t="shared" ca="1" si="2192"/>
        <v>0</v>
      </c>
      <c r="P508" s="185">
        <f t="shared" ca="1" si="2192"/>
        <v>0</v>
      </c>
      <c r="Q508" s="185">
        <f t="shared" ca="1" si="2192"/>
        <v>0</v>
      </c>
      <c r="R508" s="185">
        <f t="shared" ca="1" si="2192"/>
        <v>0</v>
      </c>
      <c r="S508" s="185">
        <f t="shared" ca="1" si="2192"/>
        <v>0</v>
      </c>
      <c r="T508" s="185">
        <f t="shared" ca="1" si="2192"/>
        <v>0</v>
      </c>
      <c r="U508" s="185">
        <f t="shared" ca="1" si="2192"/>
        <v>0</v>
      </c>
      <c r="V508" s="185">
        <f t="shared" ca="1" si="2192"/>
        <v>0</v>
      </c>
      <c r="W508" s="185">
        <f t="shared" ca="1" si="2192"/>
        <v>0</v>
      </c>
      <c r="X508" s="185">
        <f t="shared" ca="1" si="2192"/>
        <v>0</v>
      </c>
      <c r="Y508" s="185">
        <f t="shared" ca="1" si="2192"/>
        <v>0</v>
      </c>
      <c r="Z508" s="185">
        <f t="shared" ca="1" si="2192"/>
        <v>0</v>
      </c>
      <c r="AA508" s="185">
        <f t="shared" ca="1" si="2192"/>
        <v>0</v>
      </c>
      <c r="AB508" s="185">
        <f t="shared" ca="1" si="2192"/>
        <v>0</v>
      </c>
      <c r="AC508" s="185">
        <f t="shared" ca="1" si="2192"/>
        <v>0</v>
      </c>
      <c r="AD508" s="185">
        <f t="shared" ca="1" si="2192"/>
        <v>0</v>
      </c>
      <c r="AE508" s="185">
        <f t="shared" ca="1" si="2192"/>
        <v>0</v>
      </c>
      <c r="AF508" s="185">
        <f t="shared" ca="1" si="2192"/>
        <v>0</v>
      </c>
      <c r="AG508" s="185">
        <f t="shared" ca="1" si="2192"/>
        <v>0</v>
      </c>
      <c r="AH508" s="185">
        <f t="shared" ca="1" si="2192"/>
        <v>0</v>
      </c>
      <c r="AI508" s="185">
        <f t="shared" ca="1" si="2192"/>
        <v>0</v>
      </c>
      <c r="AJ508" s="185">
        <f t="shared" ca="1" si="2192"/>
        <v>0</v>
      </c>
      <c r="AK508" s="185">
        <f t="shared" ca="1" si="2192"/>
        <v>0</v>
      </c>
      <c r="AL508" s="185">
        <f t="shared" ca="1" si="2192"/>
        <v>0</v>
      </c>
      <c r="AM508" s="185">
        <f t="shared" ca="1" si="2192"/>
        <v>0</v>
      </c>
      <c r="AN508" s="185">
        <f t="shared" ca="1" si="2192"/>
        <v>0</v>
      </c>
      <c r="AO508" s="185">
        <f t="shared" ca="1" si="2192"/>
        <v>0</v>
      </c>
      <c r="AP508" s="185">
        <f t="shared" ca="1" si="2192"/>
        <v>0</v>
      </c>
      <c r="AQ508" s="185">
        <f t="shared" ca="1" si="2192"/>
        <v>0</v>
      </c>
      <c r="AR508" s="185">
        <f t="shared" ca="1" si="2192"/>
        <v>0</v>
      </c>
      <c r="AS508" s="185">
        <f t="shared" ca="1" si="2192"/>
        <v>0</v>
      </c>
      <c r="AT508" s="185">
        <f t="shared" ca="1" si="2192"/>
        <v>0</v>
      </c>
      <c r="AU508" s="185">
        <f t="shared" ca="1" si="2192"/>
        <v>0</v>
      </c>
      <c r="AV508" s="185">
        <f t="shared" ca="1" si="2192"/>
        <v>0</v>
      </c>
      <c r="AW508" s="185">
        <f t="shared" ca="1" si="2192"/>
        <v>0</v>
      </c>
      <c r="AX508" s="185">
        <f t="shared" ca="1" si="2192"/>
        <v>0</v>
      </c>
      <c r="AY508" s="185">
        <f t="shared" ca="1" si="2192"/>
        <v>0</v>
      </c>
      <c r="AZ508" s="185">
        <f t="shared" ca="1" si="2192"/>
        <v>0</v>
      </c>
      <c r="BA508" s="185">
        <f t="shared" ca="1" si="2192"/>
        <v>0</v>
      </c>
      <c r="BB508" s="185">
        <f t="shared" ca="1" si="2192"/>
        <v>0</v>
      </c>
      <c r="BC508" s="185"/>
      <c r="BD508" s="193">
        <f ca="1">SUM(G508:BC508)</f>
        <v>0</v>
      </c>
    </row>
    <row r="510" spans="1:56" hidden="1" x14ac:dyDescent="0.3">
      <c r="A510" s="207" t="str">
        <f ca="1">Language!A$763</f>
        <v>Управленческие издержки</v>
      </c>
      <c r="B510" s="196"/>
      <c r="C510" s="196"/>
      <c r="D510" s="197"/>
      <c r="E510" s="197" t="s">
        <v>716</v>
      </c>
      <c r="F510" s="197" t="s">
        <v>2217</v>
      </c>
      <c r="G510" s="196"/>
      <c r="H510" s="196"/>
      <c r="I510" s="196"/>
      <c r="J510" s="196"/>
      <c r="K510" s="196"/>
      <c r="L510" s="196"/>
      <c r="M510" s="196"/>
      <c r="N510" s="196"/>
      <c r="O510" s="196"/>
      <c r="P510" s="196"/>
      <c r="Q510" s="196"/>
      <c r="R510" s="196"/>
      <c r="S510" s="196"/>
      <c r="T510" s="196"/>
      <c r="U510" s="196"/>
      <c r="V510" s="196"/>
      <c r="W510" s="196"/>
      <c r="X510" s="196"/>
      <c r="Y510" s="196"/>
      <c r="Z510" s="196"/>
      <c r="AA510" s="196"/>
      <c r="AB510" s="196"/>
      <c r="AC510" s="196"/>
      <c r="AD510" s="196"/>
      <c r="AE510" s="196"/>
      <c r="AF510" s="196"/>
      <c r="AG510" s="196"/>
      <c r="AH510" s="196"/>
      <c r="AI510" s="196"/>
      <c r="AJ510" s="196"/>
      <c r="AK510" s="196"/>
      <c r="AL510" s="196"/>
      <c r="AM510" s="196"/>
      <c r="AN510" s="196"/>
      <c r="AO510" s="196"/>
      <c r="AP510" s="196"/>
      <c r="AQ510" s="196"/>
      <c r="AR510" s="196"/>
      <c r="AS510" s="196"/>
      <c r="AT510" s="196"/>
      <c r="AU510" s="196"/>
      <c r="AV510" s="196"/>
      <c r="AW510" s="196"/>
      <c r="AX510" s="196"/>
      <c r="AY510" s="196"/>
      <c r="AZ510" s="196"/>
      <c r="BA510" s="196"/>
      <c r="BB510" s="196"/>
      <c r="BC510" s="196"/>
      <c r="BD510" s="204"/>
    </row>
    <row r="511" spans="1:56" hidden="1" x14ac:dyDescent="0.3"/>
    <row r="512" spans="1:56" hidden="1" x14ac:dyDescent="0.3"/>
    <row r="513" spans="1:56" x14ac:dyDescent="0.3">
      <c r="A513" s="207" t="str">
        <f ca="1">Language!A$764</f>
        <v>Коммерческие издержки</v>
      </c>
      <c r="B513" s="196"/>
      <c r="C513" s="196"/>
      <c r="D513" s="197"/>
      <c r="E513" s="197" t="s">
        <v>730</v>
      </c>
      <c r="F513" s="197" t="s">
        <v>3409</v>
      </c>
      <c r="G513" s="196"/>
      <c r="H513" s="196"/>
      <c r="I513" s="196"/>
      <c r="J513" s="196"/>
      <c r="K513" s="196"/>
      <c r="L513" s="196"/>
      <c r="M513" s="196"/>
      <c r="N513" s="196"/>
      <c r="O513" s="196"/>
      <c r="P513" s="196"/>
      <c r="Q513" s="196"/>
      <c r="R513" s="196"/>
      <c r="S513" s="196"/>
      <c r="T513" s="196"/>
      <c r="U513" s="196"/>
      <c r="V513" s="196"/>
      <c r="W513" s="196"/>
      <c r="X513" s="196"/>
      <c r="Y513" s="196"/>
      <c r="Z513" s="196"/>
      <c r="AA513" s="196"/>
      <c r="AB513" s="196"/>
      <c r="AC513" s="196"/>
      <c r="AD513" s="196"/>
      <c r="AE513" s="196"/>
      <c r="AF513" s="196"/>
      <c r="AG513" s="196"/>
      <c r="AH513" s="196"/>
      <c r="AI513" s="196"/>
      <c r="AJ513" s="196"/>
      <c r="AK513" s="196"/>
      <c r="AL513" s="196"/>
      <c r="AM513" s="196"/>
      <c r="AN513" s="196"/>
      <c r="AO513" s="196"/>
      <c r="AP513" s="196"/>
      <c r="AQ513" s="196"/>
      <c r="AR513" s="196"/>
      <c r="AS513" s="196"/>
      <c r="AT513" s="196"/>
      <c r="AU513" s="196"/>
      <c r="AV513" s="196"/>
      <c r="AW513" s="196"/>
      <c r="AX513" s="196"/>
      <c r="AY513" s="196"/>
      <c r="AZ513" s="196"/>
      <c r="BA513" s="196"/>
      <c r="BB513" s="196"/>
      <c r="BC513" s="196"/>
      <c r="BD513" s="204"/>
    </row>
    <row r="515" spans="1:56" x14ac:dyDescent="0.3">
      <c r="A515" s="300" t="s">
        <v>3525</v>
      </c>
      <c r="B515" s="205"/>
      <c r="C515" s="176"/>
      <c r="D515" s="174">
        <v>1</v>
      </c>
      <c r="F515" s="170" t="s">
        <v>3454</v>
      </c>
      <c r="G515" s="206"/>
      <c r="H515" s="206"/>
      <c r="I515" s="206"/>
      <c r="J515" s="206"/>
      <c r="K515" s="206"/>
      <c r="L515" s="206"/>
      <c r="M515" s="206"/>
      <c r="N515" s="206"/>
      <c r="O515" s="206"/>
      <c r="P515" s="206"/>
      <c r="Q515" s="206"/>
      <c r="R515" s="206"/>
      <c r="S515" s="206"/>
      <c r="T515" s="206"/>
      <c r="U515" s="206"/>
      <c r="V515" s="206"/>
      <c r="W515" s="206"/>
      <c r="X515" s="206"/>
      <c r="Y515" s="206"/>
      <c r="Z515" s="206"/>
      <c r="AA515" s="206"/>
      <c r="AB515" s="206"/>
      <c r="AC515" s="206"/>
      <c r="AD515" s="206"/>
      <c r="AE515" s="206"/>
      <c r="AF515" s="206"/>
      <c r="AG515" s="206"/>
      <c r="AH515" s="206"/>
      <c r="AI515" s="206"/>
      <c r="AJ515" s="206"/>
      <c r="AK515" s="206"/>
      <c r="AL515" s="206"/>
      <c r="AM515" s="206"/>
      <c r="AN515" s="206"/>
      <c r="AO515" s="206"/>
      <c r="AP515" s="206"/>
      <c r="AQ515" s="206"/>
      <c r="AR515" s="206"/>
      <c r="AS515" s="206"/>
      <c r="AT515" s="206"/>
      <c r="AU515" s="206"/>
      <c r="AV515" s="206"/>
      <c r="AW515" s="206"/>
      <c r="AX515" s="206"/>
      <c r="AY515" s="206"/>
      <c r="AZ515" s="206"/>
      <c r="BA515" s="206"/>
      <c r="BB515" s="206"/>
      <c r="BC515" s="206"/>
    </row>
    <row r="516" spans="1:56" x14ac:dyDescent="0.3">
      <c r="A516" s="175" t="str">
        <f ca="1">Language!A$746</f>
        <v>период появления затрат</v>
      </c>
      <c r="B516" s="284">
        <f>Prj_Invest+1</f>
        <v>7</v>
      </c>
      <c r="C516" s="176" t="str">
        <f ca="1">Language!$A$1480</f>
        <v>период</v>
      </c>
      <c r="D516" s="174"/>
      <c r="G516" s="177"/>
      <c r="H516" s="177"/>
      <c r="I516" s="177"/>
      <c r="J516" s="177"/>
      <c r="K516" s="177"/>
      <c r="L516" s="177"/>
      <c r="M516" s="177"/>
      <c r="N516" s="177"/>
      <c r="O516" s="177"/>
      <c r="P516" s="177"/>
      <c r="Q516" s="177"/>
      <c r="R516" s="177"/>
      <c r="S516" s="177"/>
      <c r="T516" s="177"/>
      <c r="U516" s="177"/>
      <c r="V516" s="177"/>
      <c r="W516" s="177"/>
      <c r="X516" s="177"/>
      <c r="Y516" s="177"/>
      <c r="Z516" s="177"/>
      <c r="AA516" s="177"/>
      <c r="AB516" s="177"/>
      <c r="AC516" s="177"/>
      <c r="AD516" s="177"/>
      <c r="AE516" s="177"/>
      <c r="AF516" s="177"/>
      <c r="AG516" s="177"/>
      <c r="AH516" s="177"/>
      <c r="AI516" s="177"/>
      <c r="AJ516" s="177"/>
      <c r="AK516" s="177"/>
      <c r="AL516" s="177"/>
      <c r="AM516" s="177"/>
      <c r="AN516" s="177"/>
      <c r="AO516" s="177"/>
      <c r="AP516" s="177"/>
      <c r="AQ516" s="177"/>
      <c r="AR516" s="177"/>
      <c r="AS516" s="177"/>
      <c r="AT516" s="177"/>
      <c r="AU516" s="177"/>
      <c r="AV516" s="177"/>
      <c r="AW516" s="177"/>
      <c r="AX516" s="177"/>
      <c r="AY516" s="177"/>
      <c r="AZ516" s="177"/>
      <c r="BA516" s="177"/>
      <c r="BB516" s="177"/>
      <c r="BC516" s="177"/>
      <c r="BD516" s="178"/>
    </row>
    <row r="517" spans="1:56" x14ac:dyDescent="0.3">
      <c r="A517" s="175" t="str">
        <f ca="1">Language!A$747&amp;" ("&amp;Параметры!B$19&amp;"), "&amp;Language!A$748</f>
        <v>затраты за период (месяц), без НДС</v>
      </c>
      <c r="B517" s="199"/>
      <c r="C517" s="176" t="str">
        <f t="shared" ref="C517" ca="1" si="2193">CHOOSE(D517,CurName1,CurName2,CurName3)</f>
        <v>руб.</v>
      </c>
      <c r="D517" s="174">
        <f>D515</f>
        <v>1</v>
      </c>
      <c r="F517" s="170" t="s">
        <v>2353</v>
      </c>
      <c r="G517" s="285">
        <f t="shared" ref="G517:BB517" ca="1" si="2194">5%*G128</f>
        <v>0</v>
      </c>
      <c r="H517" s="285">
        <f t="shared" ca="1" si="2194"/>
        <v>0</v>
      </c>
      <c r="I517" s="285">
        <f t="shared" ca="1" si="2194"/>
        <v>0</v>
      </c>
      <c r="J517" s="285">
        <f t="shared" ca="1" si="2194"/>
        <v>0</v>
      </c>
      <c r="K517" s="285">
        <f t="shared" ca="1" si="2194"/>
        <v>0</v>
      </c>
      <c r="L517" s="285">
        <f t="shared" ca="1" si="2194"/>
        <v>0</v>
      </c>
      <c r="M517" s="285">
        <f t="shared" ca="1" si="2194"/>
        <v>374349.11192628741</v>
      </c>
      <c r="N517" s="285">
        <f t="shared" ca="1" si="2194"/>
        <v>501561.70021023985</v>
      </c>
      <c r="O517" s="285">
        <f t="shared" ca="1" si="2194"/>
        <v>630003.84643456596</v>
      </c>
      <c r="P517" s="285">
        <f t="shared" ca="1" si="2194"/>
        <v>759684.50641613605</v>
      </c>
      <c r="Q517" s="285">
        <f t="shared" ca="1" si="2194"/>
        <v>763382.30916482443</v>
      </c>
      <c r="R517" s="285">
        <f t="shared" ca="1" si="2194"/>
        <v>767098.11115537246</v>
      </c>
      <c r="S517" s="285">
        <f t="shared" ca="1" si="2194"/>
        <v>1027776.0000000006</v>
      </c>
      <c r="T517" s="285">
        <f t="shared" ca="1" si="2194"/>
        <v>903681.407693616</v>
      </c>
      <c r="U517" s="285">
        <f t="shared" ca="1" si="2194"/>
        <v>778354.39083473571</v>
      </c>
      <c r="V517" s="285">
        <f t="shared" ca="1" si="2194"/>
        <v>782143.07018988044</v>
      </c>
      <c r="W517" s="285">
        <f t="shared" ca="1" si="2194"/>
        <v>654958.49261113536</v>
      </c>
      <c r="X517" s="285">
        <f t="shared" ca="1" si="2194"/>
        <v>1053034.4579073933</v>
      </c>
      <c r="Y517" s="285">
        <f t="shared" ca="1" si="2194"/>
        <v>1322700.1954728828</v>
      </c>
      <c r="Z517" s="285">
        <f t="shared" ca="1" si="2194"/>
        <v>1329138.5055571364</v>
      </c>
      <c r="AA517" s="285">
        <f t="shared" ca="1" si="2194"/>
        <v>934925.70810889627</v>
      </c>
      <c r="AB517" s="285">
        <f t="shared" ca="1" si="2194"/>
        <v>671054.64733425376</v>
      </c>
      <c r="AC517" s="285">
        <f t="shared" ca="1" si="2194"/>
        <v>674321.03976226179</v>
      </c>
      <c r="AD517" s="285">
        <f t="shared" ca="1" si="2194"/>
        <v>813123.99782469496</v>
      </c>
      <c r="AE517" s="285">
        <f t="shared" ca="1" si="2194"/>
        <v>1089442.560000001</v>
      </c>
      <c r="AF517" s="285">
        <f t="shared" ca="1" si="2194"/>
        <v>957902.29215523275</v>
      </c>
      <c r="AG517" s="285">
        <f t="shared" ca="1" si="2194"/>
        <v>825055.65428481973</v>
      </c>
      <c r="AH517" s="285">
        <f t="shared" ca="1" si="2194"/>
        <v>829071.65440127347</v>
      </c>
      <c r="AI517" s="285">
        <f t="shared" ca="1" si="2194"/>
        <v>694256.00216780347</v>
      </c>
      <c r="AJ517" s="285">
        <f t="shared" ca="1" si="2194"/>
        <v>1116216.525381837</v>
      </c>
      <c r="AK517" s="285">
        <f t="shared" ca="1" si="2194"/>
        <v>1402062.2072012562</v>
      </c>
      <c r="AL517" s="285">
        <f t="shared" ca="1" si="2194"/>
        <v>1408886.8158905646</v>
      </c>
      <c r="AM517" s="285">
        <f t="shared" ca="1" si="2194"/>
        <v>991021.25059542991</v>
      </c>
      <c r="AN517" s="285">
        <f t="shared" ca="1" si="2194"/>
        <v>711317.9261743091</v>
      </c>
      <c r="AO517" s="285">
        <f t="shared" ca="1" si="2194"/>
        <v>714780.30214799754</v>
      </c>
      <c r="AP517" s="285">
        <f t="shared" ca="1" si="2194"/>
        <v>861911.43769417692</v>
      </c>
      <c r="AQ517" s="285">
        <f t="shared" ca="1" si="2194"/>
        <v>1154809.1136000014</v>
      </c>
      <c r="AR517" s="285">
        <f t="shared" ca="1" si="2194"/>
        <v>1015376.4296845472</v>
      </c>
      <c r="AS517" s="285">
        <f t="shared" ca="1" si="2194"/>
        <v>874558.99354190927</v>
      </c>
      <c r="AT517" s="285">
        <f t="shared" ca="1" si="2194"/>
        <v>878815.9536653501</v>
      </c>
      <c r="AU517" s="285">
        <f t="shared" ca="1" si="2194"/>
        <v>735911.36229787208</v>
      </c>
      <c r="AV517" s="285">
        <f t="shared" ca="1" si="2194"/>
        <v>1183189.516904748</v>
      </c>
      <c r="AW517" s="285">
        <f t="shared" ca="1" si="2194"/>
        <v>1486185.939633332</v>
      </c>
      <c r="AX517" s="285">
        <f t="shared" ca="1" si="2194"/>
        <v>1493420.0248439992</v>
      </c>
      <c r="AY517" s="285">
        <f t="shared" ca="1" si="2194"/>
        <v>1050482.5256311561</v>
      </c>
      <c r="AZ517" s="285">
        <f t="shared" ca="1" si="2194"/>
        <v>753997.001744768</v>
      </c>
      <c r="BA517" s="285">
        <f t="shared" ca="1" si="2194"/>
        <v>757667.12027687766</v>
      </c>
      <c r="BB517" s="285">
        <f t="shared" ca="1" si="2194"/>
        <v>913626.12395582779</v>
      </c>
      <c r="BC517" s="177"/>
      <c r="BD517" s="178"/>
    </row>
    <row r="518" spans="1:56" x14ac:dyDescent="0.3">
      <c r="A518" s="175" t="str">
        <f ca="1">Language!A$695</f>
        <v>коэффициент расходов</v>
      </c>
      <c r="B518" s="199"/>
      <c r="C518" s="176" t="s">
        <v>1</v>
      </c>
      <c r="F518" s="170" t="s">
        <v>745</v>
      </c>
      <c r="G518" s="286">
        <f>IF(G$2&gt;=$B516,Параметры!G$33,0)</f>
        <v>0</v>
      </c>
      <c r="H518" s="286">
        <f>IF(H$2&gt;=$B516,Параметры!H$33,0)</f>
        <v>0</v>
      </c>
      <c r="I518" s="286">
        <f>IF(I$2&gt;=$B516,Параметры!I$33,0)</f>
        <v>0</v>
      </c>
      <c r="J518" s="286">
        <f>IF(J$2&gt;=$B516,Параметры!J$33,0)</f>
        <v>0</v>
      </c>
      <c r="K518" s="286">
        <f>IF(K$2&gt;=$B516,Параметры!K$33,0)</f>
        <v>0</v>
      </c>
      <c r="L518" s="286">
        <f>IF(L$2&gt;=$B516,Параметры!L$33,0)</f>
        <v>0</v>
      </c>
      <c r="M518" s="286">
        <f>IF(M$2&gt;=$B516,Параметры!M$33,0)</f>
        <v>1</v>
      </c>
      <c r="N518" s="286">
        <f>IF(N$2&gt;=$B516,Параметры!N$33,0)</f>
        <v>1</v>
      </c>
      <c r="O518" s="286">
        <f>IF(O$2&gt;=$B516,Параметры!O$33,0)</f>
        <v>1</v>
      </c>
      <c r="P518" s="286">
        <f>IF(P$2&gt;=$B516,Параметры!P$33,0)</f>
        <v>1</v>
      </c>
      <c r="Q518" s="286">
        <f>IF(Q$2&gt;=$B516,Параметры!Q$33,0)</f>
        <v>1</v>
      </c>
      <c r="R518" s="286">
        <f>IF(R$2&gt;=$B516,Параметры!R$33,0)</f>
        <v>1</v>
      </c>
      <c r="S518" s="286">
        <f>IF(S$2&gt;=$B516,Параметры!S$33,0)</f>
        <v>1</v>
      </c>
      <c r="T518" s="286">
        <f>IF(T$2&gt;=$B516,Параметры!T$33,0)</f>
        <v>1</v>
      </c>
      <c r="U518" s="286">
        <f>IF(U$2&gt;=$B516,Параметры!U$33,0)</f>
        <v>1</v>
      </c>
      <c r="V518" s="286">
        <f>IF(V$2&gt;=$B516,Параметры!V$33,0)</f>
        <v>1</v>
      </c>
      <c r="W518" s="286">
        <f>IF(W$2&gt;=$B516,Параметры!W$33,0)</f>
        <v>1</v>
      </c>
      <c r="X518" s="286">
        <f>IF(X$2&gt;=$B516,Параметры!X$33,0)</f>
        <v>1</v>
      </c>
      <c r="Y518" s="286">
        <f>IF(Y$2&gt;=$B516,Параметры!Y$33,0)</f>
        <v>1</v>
      </c>
      <c r="Z518" s="286">
        <f>IF(Z$2&gt;=$B516,Параметры!Z$33,0)</f>
        <v>1</v>
      </c>
      <c r="AA518" s="286">
        <f>IF(AA$2&gt;=$B516,Параметры!AA$33,0)</f>
        <v>1</v>
      </c>
      <c r="AB518" s="286">
        <f>IF(AB$2&gt;=$B516,Параметры!AB$33,0)</f>
        <v>1</v>
      </c>
      <c r="AC518" s="286">
        <f>IF(AC$2&gt;=$B516,Параметры!AC$33,0)</f>
        <v>1</v>
      </c>
      <c r="AD518" s="286">
        <f>IF(AD$2&gt;=$B516,Параметры!AD$33,0)</f>
        <v>1</v>
      </c>
      <c r="AE518" s="286">
        <f>IF(AE$2&gt;=$B516,Параметры!AE$33,0)</f>
        <v>1</v>
      </c>
      <c r="AF518" s="286">
        <f>IF(AF$2&gt;=$B516,Параметры!AF$33,0)</f>
        <v>1</v>
      </c>
      <c r="AG518" s="286">
        <f>IF(AG$2&gt;=$B516,Параметры!AG$33,0)</f>
        <v>1</v>
      </c>
      <c r="AH518" s="286">
        <f>IF(AH$2&gt;=$B516,Параметры!AH$33,0)</f>
        <v>1</v>
      </c>
      <c r="AI518" s="286">
        <f>IF(AI$2&gt;=$B516,Параметры!AI$33,0)</f>
        <v>1</v>
      </c>
      <c r="AJ518" s="286">
        <f>IF(AJ$2&gt;=$B516,Параметры!AJ$33,0)</f>
        <v>1</v>
      </c>
      <c r="AK518" s="286">
        <f>IF(AK$2&gt;=$B516,Параметры!AK$33,0)</f>
        <v>1</v>
      </c>
      <c r="AL518" s="286">
        <f>IF(AL$2&gt;=$B516,Параметры!AL$33,0)</f>
        <v>1</v>
      </c>
      <c r="AM518" s="286">
        <f>IF(AM$2&gt;=$B516,Параметры!AM$33,0)</f>
        <v>1</v>
      </c>
      <c r="AN518" s="286">
        <f>IF(AN$2&gt;=$B516,Параметры!AN$33,0)</f>
        <v>1</v>
      </c>
      <c r="AO518" s="286">
        <f>IF(AO$2&gt;=$B516,Параметры!AO$33,0)</f>
        <v>1</v>
      </c>
      <c r="AP518" s="286">
        <f>IF(AP$2&gt;=$B516,Параметры!AP$33,0)</f>
        <v>1</v>
      </c>
      <c r="AQ518" s="286">
        <f>IF(AQ$2&gt;=$B516,Параметры!AQ$33,0)</f>
        <v>1</v>
      </c>
      <c r="AR518" s="286">
        <f>IF(AR$2&gt;=$B516,Параметры!AR$33,0)</f>
        <v>1</v>
      </c>
      <c r="AS518" s="286">
        <f>IF(AS$2&gt;=$B516,Параметры!AS$33,0)</f>
        <v>1</v>
      </c>
      <c r="AT518" s="286">
        <f>IF(AT$2&gt;=$B516,Параметры!AT$33,0)</f>
        <v>1</v>
      </c>
      <c r="AU518" s="286">
        <f>IF(AU$2&gt;=$B516,Параметры!AU$33,0)</f>
        <v>1</v>
      </c>
      <c r="AV518" s="286">
        <f>IF(AV$2&gt;=$B516,Параметры!AV$33,0)</f>
        <v>1</v>
      </c>
      <c r="AW518" s="286">
        <f>IF(AW$2&gt;=$B516,Параметры!AW$33,0)</f>
        <v>1</v>
      </c>
      <c r="AX518" s="286">
        <f>IF(AX$2&gt;=$B516,Параметры!AX$33,0)</f>
        <v>1</v>
      </c>
      <c r="AY518" s="286">
        <f>IF(AY$2&gt;=$B516,Параметры!AY$33,0)</f>
        <v>1</v>
      </c>
      <c r="AZ518" s="286">
        <f>IF(AZ$2&gt;=$B516,Параметры!AZ$33,0)</f>
        <v>1</v>
      </c>
      <c r="BA518" s="286">
        <f>IF(BA$2&gt;=$B516,Параметры!BA$33,0)</f>
        <v>1</v>
      </c>
      <c r="BB518" s="286">
        <f>IF(BB$2&gt;=$B516,Параметры!BB$33,0)</f>
        <v>1</v>
      </c>
      <c r="BC518" s="177"/>
    </row>
    <row r="519" spans="1:56" collapsed="1" x14ac:dyDescent="0.3">
      <c r="A519" s="175" t="str">
        <f ca="1">Language!A$752</f>
        <v>затраты с учетом инфляции, без НДС</v>
      </c>
      <c r="B519" s="199"/>
      <c r="C519" s="176" t="str">
        <f t="shared" ref="C519" ca="1" si="2195">CHOOSE(D519,CurName1,CurName2,CurName3)</f>
        <v>руб.</v>
      </c>
      <c r="D519" s="174">
        <f>D515</f>
        <v>1</v>
      </c>
      <c r="E519" s="170" t="s">
        <v>751</v>
      </c>
      <c r="F519" s="170" t="s">
        <v>740</v>
      </c>
      <c r="G519" s="177">
        <f ca="1">G517*G518*IF($B523=1,PRODUCT($G523:G523),PRODUCT($G522:G522))</f>
        <v>0</v>
      </c>
      <c r="H519" s="177">
        <f ca="1">H517*H518*IF($B523=1,PRODUCT($G523:H523),PRODUCT($G522:H522))</f>
        <v>0</v>
      </c>
      <c r="I519" s="177">
        <f ca="1">I517*I518*IF($B523=1,PRODUCT($G523:I523),PRODUCT($G522:I522))</f>
        <v>0</v>
      </c>
      <c r="J519" s="177">
        <f ca="1">J517*J518*IF($B523=1,PRODUCT($G523:J523),PRODUCT($G522:J522))</f>
        <v>0</v>
      </c>
      <c r="K519" s="177">
        <f ca="1">K517*K518*IF($B523=1,PRODUCT($G523:K523),PRODUCT($G522:K522))</f>
        <v>0</v>
      </c>
      <c r="L519" s="177">
        <f ca="1">L517*L518*IF($B523=1,PRODUCT($G523:L523),PRODUCT($G522:L522))</f>
        <v>0</v>
      </c>
      <c r="M519" s="177">
        <f ca="1">M517*M518*IF($B523=1,PRODUCT($G523:M523),PRODUCT($G522:M522))</f>
        <v>385416.00000000006</v>
      </c>
      <c r="N519" s="177">
        <f ca="1">N517*N518*IF($B523=1,PRODUCT($G523:N523),PRODUCT($G522:N522))</f>
        <v>518902.9272231569</v>
      </c>
      <c r="O519" s="177">
        <f ca="1">O517*O518*IF($B523=1,PRODUCT($G523:O523),PRODUCT($G522:O522))</f>
        <v>654958.49261113524</v>
      </c>
      <c r="P519" s="177">
        <f ca="1">P517*P518*IF($B523=1,PRODUCT($G523:P523),PRODUCT($G522:P522))</f>
        <v>793620.11728372949</v>
      </c>
      <c r="Q519" s="177">
        <f ca="1">Q517*Q518*IF($B523=1,PRODUCT($G523:Q523),PRODUCT($G522:Q522))</f>
        <v>801364.89266476815</v>
      </c>
      <c r="R519" s="177">
        <f ca="1">R517*R518*IF($B523=1,PRODUCT($G523:R523),PRODUCT($G522:R522))</f>
        <v>809185.24771471391</v>
      </c>
      <c r="S519" s="177">
        <f ca="1">S517*S518*IF($B523=1,PRODUCT($G523:S523),PRODUCT($G522:S522))</f>
        <v>1089442.560000001</v>
      </c>
      <c r="T519" s="177">
        <f ca="1">T517*T518*IF($B523=1,PRODUCT($G523:T523),PRODUCT($G522:T522))</f>
        <v>962564.92999895674</v>
      </c>
      <c r="U519" s="177">
        <f ca="1">U517*U518*IF($B523=1,PRODUCT($G523:U523),PRODUCT($G522:U522))</f>
        <v>833107.20260136435</v>
      </c>
      <c r="V519" s="177">
        <f ca="1">V517*V518*IF($B523=1,PRODUCT($G523:V523),PRODUCT($G522:V522))</f>
        <v>841237.32432075369</v>
      </c>
      <c r="W519" s="177">
        <f ca="1">W517*W518*IF($B523=1,PRODUCT($G523:W523),PRODUCT($G522:W522))</f>
        <v>707872.32185387868</v>
      </c>
      <c r="X519" s="177">
        <f ca="1">X517*X518*IF($B523=1,PRODUCT($G523:X523),PRODUCT($G522:X522))</f>
        <v>1143648.4834367959</v>
      </c>
      <c r="Y519" s="177">
        <f ca="1">Y517*Y518*IF($B523=1,PRODUCT($G523:Y523),PRODUCT($G522:Y522))</f>
        <v>1443511.3920000012</v>
      </c>
      <c r="Z519" s="177">
        <f ca="1">Z517*Z518*IF($B523=1,PRODUCT($G523:Z523),PRODUCT($G522:Z522))</f>
        <v>1457598.3225698487</v>
      </c>
      <c r="AA519" s="177">
        <f ca="1">AA517*AA518*IF($B523=1,PRODUCT($G523:AA523),PRODUCT($G522:AA522))</f>
        <v>1030275.9072170208</v>
      </c>
      <c r="AB519" s="177">
        <f ca="1">AB517*AB518*IF($B523=1,PRODUCT($G523:AB523),PRODUCT($G522:AB522))</f>
        <v>743092.96981666586</v>
      </c>
      <c r="AC519" s="177">
        <f ca="1">AC517*AC518*IF($B523=1,PRODUCT($G523:AC523),PRODUCT($G522:AC522))</f>
        <v>750344.66116511158</v>
      </c>
      <c r="AD519" s="177">
        <f ca="1">AD517*AD518*IF($B523=1,PRODUCT($G523:AD523),PRODUCT($G522:AD522))</f>
        <v>909200.54433225305</v>
      </c>
      <c r="AE519" s="177">
        <f ca="1">AE517*AE518*IF($B523=1,PRODUCT($G523:AE523),PRODUCT($G522:AE522))</f>
        <v>1224097.6604160017</v>
      </c>
      <c r="AF519" s="177">
        <f ca="1">AF517*AF518*IF($B523=1,PRODUCT($G523:AF523),PRODUCT($G522:AF522))</f>
        <v>1081537.9553468281</v>
      </c>
      <c r="AG519" s="177">
        <f ca="1">AG517*AG518*IF($B523=1,PRODUCT($G523:AG523),PRODUCT($G522:AG522))</f>
        <v>936079.25284289324</v>
      </c>
      <c r="AH519" s="177">
        <f ca="1">AH517*AH518*IF($B523=1,PRODUCT($G523:AH523),PRODUCT($G522:AH522))</f>
        <v>945214.25760679948</v>
      </c>
      <c r="AI519" s="177">
        <f ca="1">AI517*AI518*IF($B523=1,PRODUCT($G523:AI523),PRODUCT($G522:AI522))</f>
        <v>795365.34083501843</v>
      </c>
      <c r="AJ519" s="177">
        <f ca="1">AJ517*AJ518*IF($B523=1,PRODUCT($G523:AJ523),PRODUCT($G522:AJ522))</f>
        <v>1285003.4359895848</v>
      </c>
      <c r="AK519" s="177">
        <f ca="1">AK517*AK518*IF($B523=1,PRODUCT($G523:AK523),PRODUCT($G522:AK522))</f>
        <v>1621929.4000512029</v>
      </c>
      <c r="AL519" s="177">
        <f ca="1">AL517*AL518*IF($B523=1,PRODUCT($G523:AL523),PRODUCT($G522:AL522))</f>
        <v>1637757.4752394829</v>
      </c>
      <c r="AM519" s="177">
        <f ca="1">AM517*AM518*IF($B523=1,PRODUCT($G523:AM523),PRODUCT($G522:AM522))</f>
        <v>1157618.0093490449</v>
      </c>
      <c r="AN519" s="177">
        <f ca="1">AN517*AN518*IF($B523=1,PRODUCT($G523:AN523),PRODUCT($G522:AN522))</f>
        <v>834939.26088600629</v>
      </c>
      <c r="AO519" s="177">
        <f ca="1">AO517*AO518*IF($B523=1,PRODUCT($G523:AO523),PRODUCT($G522:AO522))</f>
        <v>843087.26128511969</v>
      </c>
      <c r="AP519" s="177">
        <f ca="1">AP517*AP518*IF($B523=1,PRODUCT($G523:AP523),PRODUCT($G522:AP522))</f>
        <v>1021577.7316117201</v>
      </c>
      <c r="AQ519" s="177">
        <f ca="1">AQ517*AQ518*IF($B523=1,PRODUCT($G523:AQ523),PRODUCT($G522:AQ522))</f>
        <v>1375396.1312434205</v>
      </c>
      <c r="AR519" s="177">
        <f ca="1">AR517*AR518*IF($B523=1,PRODUCT($G523:AR523),PRODUCT($G522:AR522))</f>
        <v>1215216.0466276968</v>
      </c>
      <c r="AS519" s="177">
        <f ca="1">AS517*AS518*IF($B523=1,PRODUCT($G523:AS523),PRODUCT($G522:AS522))</f>
        <v>1051778.6484942755</v>
      </c>
      <c r="AT519" s="177">
        <f ca="1">AT517*AT518*IF($B523=1,PRODUCT($G523:AT523),PRODUCT($G522:AT522))</f>
        <v>1062042.7398470002</v>
      </c>
      <c r="AU519" s="177">
        <f ca="1">AU517*AU518*IF($B523=1,PRODUCT($G523:AU523),PRODUCT($G522:AU522))</f>
        <v>893672.49696222716</v>
      </c>
      <c r="AV519" s="177">
        <f ca="1">AV517*AV518*IF($B523=1,PRODUCT($G523:AV523),PRODUCT($G522:AV522))</f>
        <v>1443829.8606778984</v>
      </c>
      <c r="AW519" s="177">
        <f ca="1">AW517*AW518*IF($B523=1,PRODUCT($G523:AW523),PRODUCT($G522:AW522))</f>
        <v>1822399.873897532</v>
      </c>
      <c r="AX519" s="177">
        <f ca="1">AX517*AX518*IF($B523=1,PRODUCT($G523:AX523),PRODUCT($G522:AX522))</f>
        <v>1840184.2991790841</v>
      </c>
      <c r="AY519" s="177">
        <f ca="1">AY517*AY518*IF($B523=1,PRODUCT($G523:AY523),PRODUCT($G522:AY522))</f>
        <v>1300699.5953045874</v>
      </c>
      <c r="AZ519" s="177">
        <f ca="1">AZ517*AZ518*IF($B523=1,PRODUCT($G523:AZ523),PRODUCT($G522:AZ522))</f>
        <v>938137.75353151711</v>
      </c>
      <c r="BA519" s="177">
        <f ca="1">BA517*BA518*IF($B523=1,PRODUCT($G523:BA523),PRODUCT($G522:BA522))</f>
        <v>947292.84677996091</v>
      </c>
      <c r="BB519" s="177">
        <f ca="1">BB517*BB518*IF($B523=1,PRODUCT($G523:BB523),PRODUCT($G522:BB522))</f>
        <v>1147844.7392389292</v>
      </c>
      <c r="BC519" s="177"/>
      <c r="BD519" s="178">
        <f ca="1">SUM(G519:BC519)</f>
        <v>44298046.370053977</v>
      </c>
    </row>
    <row r="520" spans="1:56" hidden="1" outlineLevel="1" x14ac:dyDescent="0.3">
      <c r="A520" s="184" t="str">
        <f ca="1">Language!A$749</f>
        <v>темп изменения цен</v>
      </c>
      <c r="B520" s="189"/>
      <c r="C520" s="163" t="str">
        <f ca="1">Language!$A$480</f>
        <v>% в год</v>
      </c>
      <c r="D520" s="174"/>
      <c r="F520" s="170" t="s">
        <v>2346</v>
      </c>
      <c r="G520" s="290">
        <f>CHOOSE($D517,Параметры!G$49,Параметры!G$56,Параметры!G$62)</f>
        <v>0.06</v>
      </c>
      <c r="H520" s="290">
        <f>CHOOSE($D517,Параметры!H$49,Параметры!H$56,Параметры!H$62)</f>
        <v>0.06</v>
      </c>
      <c r="I520" s="290">
        <f>CHOOSE($D517,Параметры!I$49,Параметры!I$56,Параметры!I$62)</f>
        <v>0.06</v>
      </c>
      <c r="J520" s="290">
        <f>CHOOSE($D517,Параметры!J$49,Параметры!J$56,Параметры!J$62)</f>
        <v>0.06</v>
      </c>
      <c r="K520" s="290">
        <f>CHOOSE($D517,Параметры!K$49,Параметры!K$56,Параметры!K$62)</f>
        <v>0.06</v>
      </c>
      <c r="L520" s="290">
        <f>CHOOSE($D517,Параметры!L$49,Параметры!L$56,Параметры!L$62)</f>
        <v>0.06</v>
      </c>
      <c r="M520" s="290">
        <f>CHOOSE($D517,Параметры!M$49,Параметры!M$56,Параметры!M$62)</f>
        <v>0.06</v>
      </c>
      <c r="N520" s="290">
        <f>CHOOSE($D517,Параметры!N$49,Параметры!N$56,Параметры!N$62)</f>
        <v>0.06</v>
      </c>
      <c r="O520" s="290">
        <f>CHOOSE($D517,Параметры!O$49,Параметры!O$56,Параметры!O$62)</f>
        <v>0.06</v>
      </c>
      <c r="P520" s="290">
        <f>CHOOSE($D517,Параметры!P$49,Параметры!P$56,Параметры!P$62)</f>
        <v>0.06</v>
      </c>
      <c r="Q520" s="290">
        <f>CHOOSE($D517,Параметры!Q$49,Параметры!Q$56,Параметры!Q$62)</f>
        <v>0.06</v>
      </c>
      <c r="R520" s="290">
        <f>CHOOSE($D517,Параметры!R$49,Параметры!R$56,Параметры!R$62)</f>
        <v>0.06</v>
      </c>
      <c r="S520" s="290">
        <f>CHOOSE($D517,Параметры!S$49,Параметры!S$56,Параметры!S$62)</f>
        <v>0.06</v>
      </c>
      <c r="T520" s="290">
        <f>CHOOSE($D517,Параметры!T$49,Параметры!T$56,Параметры!T$62)</f>
        <v>0.06</v>
      </c>
      <c r="U520" s="290">
        <f>CHOOSE($D517,Параметры!U$49,Параметры!U$56,Параметры!U$62)</f>
        <v>0.06</v>
      </c>
      <c r="V520" s="290">
        <f>CHOOSE($D517,Параметры!V$49,Параметры!V$56,Параметры!V$62)</f>
        <v>0.06</v>
      </c>
      <c r="W520" s="290">
        <f>CHOOSE($D517,Параметры!W$49,Параметры!W$56,Параметры!W$62)</f>
        <v>0.06</v>
      </c>
      <c r="X520" s="290">
        <f>CHOOSE($D517,Параметры!X$49,Параметры!X$56,Параметры!X$62)</f>
        <v>0.06</v>
      </c>
      <c r="Y520" s="290">
        <f>CHOOSE($D517,Параметры!Y$49,Параметры!Y$56,Параметры!Y$62)</f>
        <v>0.06</v>
      </c>
      <c r="Z520" s="290">
        <f>CHOOSE($D517,Параметры!Z$49,Параметры!Z$56,Параметры!Z$62)</f>
        <v>0.06</v>
      </c>
      <c r="AA520" s="290">
        <f>CHOOSE($D517,Параметры!AA$49,Параметры!AA$56,Параметры!AA$62)</f>
        <v>0.06</v>
      </c>
      <c r="AB520" s="290">
        <f>CHOOSE($D517,Параметры!AB$49,Параметры!AB$56,Параметры!AB$62)</f>
        <v>0.06</v>
      </c>
      <c r="AC520" s="290">
        <f>CHOOSE($D517,Параметры!AC$49,Параметры!AC$56,Параметры!AC$62)</f>
        <v>0.06</v>
      </c>
      <c r="AD520" s="290">
        <f>CHOOSE($D517,Параметры!AD$49,Параметры!AD$56,Параметры!AD$62)</f>
        <v>0.06</v>
      </c>
      <c r="AE520" s="290">
        <f>CHOOSE($D517,Параметры!AE$49,Параметры!AE$56,Параметры!AE$62)</f>
        <v>0.06</v>
      </c>
      <c r="AF520" s="290">
        <f>CHOOSE($D517,Параметры!AF$49,Параметры!AF$56,Параметры!AF$62)</f>
        <v>0.06</v>
      </c>
      <c r="AG520" s="290">
        <f>CHOOSE($D517,Параметры!AG$49,Параметры!AG$56,Параметры!AG$62)</f>
        <v>0.06</v>
      </c>
      <c r="AH520" s="290">
        <f>CHOOSE($D517,Параметры!AH$49,Параметры!AH$56,Параметры!AH$62)</f>
        <v>0.06</v>
      </c>
      <c r="AI520" s="290">
        <f>CHOOSE($D517,Параметры!AI$49,Параметры!AI$56,Параметры!AI$62)</f>
        <v>0.06</v>
      </c>
      <c r="AJ520" s="290">
        <f>CHOOSE($D517,Параметры!AJ$49,Параметры!AJ$56,Параметры!AJ$62)</f>
        <v>0.06</v>
      </c>
      <c r="AK520" s="290">
        <f>CHOOSE($D517,Параметры!AK$49,Параметры!AK$56,Параметры!AK$62)</f>
        <v>0.06</v>
      </c>
      <c r="AL520" s="290">
        <f>CHOOSE($D517,Параметры!AL$49,Параметры!AL$56,Параметры!AL$62)</f>
        <v>0.06</v>
      </c>
      <c r="AM520" s="290">
        <f>CHOOSE($D517,Параметры!AM$49,Параметры!AM$56,Параметры!AM$62)</f>
        <v>0.06</v>
      </c>
      <c r="AN520" s="290">
        <f>CHOOSE($D517,Параметры!AN$49,Параметры!AN$56,Параметры!AN$62)</f>
        <v>0.06</v>
      </c>
      <c r="AO520" s="290">
        <f>CHOOSE($D517,Параметры!AO$49,Параметры!AO$56,Параметры!AO$62)</f>
        <v>0.06</v>
      </c>
      <c r="AP520" s="290">
        <f>CHOOSE($D517,Параметры!AP$49,Параметры!AP$56,Параметры!AP$62)</f>
        <v>0.06</v>
      </c>
      <c r="AQ520" s="290">
        <f>CHOOSE($D517,Параметры!AQ$49,Параметры!AQ$56,Параметры!AQ$62)</f>
        <v>0.06</v>
      </c>
      <c r="AR520" s="290">
        <f>CHOOSE($D517,Параметры!AR$49,Параметры!AR$56,Параметры!AR$62)</f>
        <v>0.06</v>
      </c>
      <c r="AS520" s="290">
        <f>CHOOSE($D517,Параметры!AS$49,Параметры!AS$56,Параметры!AS$62)</f>
        <v>0.06</v>
      </c>
      <c r="AT520" s="290">
        <f>CHOOSE($D517,Параметры!AT$49,Параметры!AT$56,Параметры!AT$62)</f>
        <v>0.06</v>
      </c>
      <c r="AU520" s="290">
        <f>CHOOSE($D517,Параметры!AU$49,Параметры!AU$56,Параметры!AU$62)</f>
        <v>0.06</v>
      </c>
      <c r="AV520" s="290">
        <f>CHOOSE($D517,Параметры!AV$49,Параметры!AV$56,Параметры!AV$62)</f>
        <v>0.06</v>
      </c>
      <c r="AW520" s="290">
        <f>CHOOSE($D517,Параметры!AW$49,Параметры!AW$56,Параметры!AW$62)</f>
        <v>0.06</v>
      </c>
      <c r="AX520" s="290">
        <f>CHOOSE($D517,Параметры!AX$49,Параметры!AX$56,Параметры!AX$62)</f>
        <v>0.06</v>
      </c>
      <c r="AY520" s="290">
        <f>CHOOSE($D517,Параметры!AY$49,Параметры!AY$56,Параметры!AY$62)</f>
        <v>0.06</v>
      </c>
      <c r="AZ520" s="290">
        <f>CHOOSE($D517,Параметры!AZ$49,Параметры!AZ$56,Параметры!AZ$62)</f>
        <v>0.06</v>
      </c>
      <c r="BA520" s="290">
        <f>CHOOSE($D517,Параметры!BA$49,Параметры!BA$56,Параметры!BA$62)</f>
        <v>0.06</v>
      </c>
      <c r="BB520" s="290">
        <f>CHOOSE($D517,Параметры!BB$49,Параметры!BB$56,Параметры!BB$62)</f>
        <v>0.06</v>
      </c>
      <c r="BC520" s="190"/>
      <c r="BD520" s="186"/>
    </row>
    <row r="521" spans="1:56" hidden="1" outlineLevel="1" x14ac:dyDescent="0.3">
      <c r="A521" s="184" t="str">
        <f ca="1">Language!A$750</f>
        <v>ставка НДС</v>
      </c>
      <c r="B521" s="189"/>
      <c r="C521" s="163" t="s">
        <v>1</v>
      </c>
      <c r="D521" s="174"/>
      <c r="F521" s="170" t="s">
        <v>2346</v>
      </c>
      <c r="G521" s="290">
        <f>IF(G$2=1,Параметры!G$72,IF(F521=Параметры!F$72,Параметры!F$72,F521))</f>
        <v>0</v>
      </c>
      <c r="H521" s="290">
        <f>IF(H$2=1,Параметры!H$72,IF(G521=Параметры!G$72,Параметры!G$72,G521))</f>
        <v>0</v>
      </c>
      <c r="I521" s="290">
        <f>IF(I$2=1,Параметры!I$72,IF(H521=Параметры!H$72,Параметры!H$72,H521))</f>
        <v>0</v>
      </c>
      <c r="J521" s="290">
        <f>IF(J$2=1,Параметры!J$72,IF(I521=Параметры!I$72,Параметры!I$72,I521))</f>
        <v>0</v>
      </c>
      <c r="K521" s="290">
        <f>IF(K$2=1,Параметры!K$72,IF(J521=Параметры!J$72,Параметры!J$72,J521))</f>
        <v>0</v>
      </c>
      <c r="L521" s="290">
        <f>IF(L$2=1,Параметры!L$72,IF(K521=Параметры!K$72,Параметры!K$72,K521))</f>
        <v>0</v>
      </c>
      <c r="M521" s="290">
        <f>IF(M$2=1,Параметры!M$72,IF(L521=Параметры!L$72,Параметры!L$72,L521))</f>
        <v>0</v>
      </c>
      <c r="N521" s="290">
        <f>IF(N$2=1,Параметры!N$72,IF(M521=Параметры!M$72,Параметры!M$72,M521))</f>
        <v>0</v>
      </c>
      <c r="O521" s="290">
        <f>IF(O$2=1,Параметры!O$72,IF(N521=Параметры!N$72,Параметры!N$72,N521))</f>
        <v>0</v>
      </c>
      <c r="P521" s="290">
        <f>IF(P$2=1,Параметры!P$72,IF(O521=Параметры!O$72,Параметры!O$72,O521))</f>
        <v>0</v>
      </c>
      <c r="Q521" s="290">
        <f>IF(Q$2=1,Параметры!Q$72,IF(P521=Параметры!P$72,Параметры!P$72,P521))</f>
        <v>0</v>
      </c>
      <c r="R521" s="290">
        <f>IF(R$2=1,Параметры!R$72,IF(Q521=Параметры!Q$72,Параметры!Q$72,Q521))</f>
        <v>0</v>
      </c>
      <c r="S521" s="290">
        <f>IF(S$2=1,Параметры!S$72,IF(R521=Параметры!R$72,Параметры!R$72,R521))</f>
        <v>0</v>
      </c>
      <c r="T521" s="290">
        <f>IF(T$2=1,Параметры!T$72,IF(S521=Параметры!S$72,Параметры!S$72,S521))</f>
        <v>0</v>
      </c>
      <c r="U521" s="290">
        <f>IF(U$2=1,Параметры!U$72,IF(T521=Параметры!T$72,Параметры!T$72,T521))</f>
        <v>0</v>
      </c>
      <c r="V521" s="290">
        <f>IF(V$2=1,Параметры!V$72,IF(U521=Параметры!U$72,Параметры!U$72,U521))</f>
        <v>0</v>
      </c>
      <c r="W521" s="290">
        <f>IF(W$2=1,Параметры!W$72,IF(V521=Параметры!V$72,Параметры!V$72,V521))</f>
        <v>0</v>
      </c>
      <c r="X521" s="290">
        <f>IF(X$2=1,Параметры!X$72,IF(W521=Параметры!W$72,Параметры!W$72,W521))</f>
        <v>0</v>
      </c>
      <c r="Y521" s="290">
        <f>IF(Y$2=1,Параметры!Y$72,IF(X521=Параметры!X$72,Параметры!X$72,X521))</f>
        <v>0</v>
      </c>
      <c r="Z521" s="290">
        <f>IF(Z$2=1,Параметры!Z$72,IF(Y521=Параметры!Y$72,Параметры!Y$72,Y521))</f>
        <v>0</v>
      </c>
      <c r="AA521" s="290">
        <f>IF(AA$2=1,Параметры!AA$72,IF(Z521=Параметры!Z$72,Параметры!Z$72,Z521))</f>
        <v>0</v>
      </c>
      <c r="AB521" s="290">
        <f>IF(AB$2=1,Параметры!AB$72,IF(AA521=Параметры!AA$72,Параметры!AA$72,AA521))</f>
        <v>0</v>
      </c>
      <c r="AC521" s="290">
        <f>IF(AC$2=1,Параметры!AC$72,IF(AB521=Параметры!AB$72,Параметры!AB$72,AB521))</f>
        <v>0</v>
      </c>
      <c r="AD521" s="290">
        <f>IF(AD$2=1,Параметры!AD$72,IF(AC521=Параметры!AC$72,Параметры!AC$72,AC521))</f>
        <v>0</v>
      </c>
      <c r="AE521" s="290">
        <f>IF(AE$2=1,Параметры!AE$72,IF(AD521=Параметры!AD$72,Параметры!AD$72,AD521))</f>
        <v>0</v>
      </c>
      <c r="AF521" s="290">
        <f>IF(AF$2=1,Параметры!AF$72,IF(AE521=Параметры!AE$72,Параметры!AE$72,AE521))</f>
        <v>0</v>
      </c>
      <c r="AG521" s="290">
        <f>IF(AG$2=1,Параметры!AG$72,IF(AF521=Параметры!AF$72,Параметры!AF$72,AF521))</f>
        <v>0</v>
      </c>
      <c r="AH521" s="290">
        <f>IF(AH$2=1,Параметры!AH$72,IF(AG521=Параметры!AG$72,Параметры!AG$72,AG521))</f>
        <v>0</v>
      </c>
      <c r="AI521" s="290">
        <f>IF(AI$2=1,Параметры!AI$72,IF(AH521=Параметры!AH$72,Параметры!AH$72,AH521))</f>
        <v>0</v>
      </c>
      <c r="AJ521" s="290">
        <f>IF(AJ$2=1,Параметры!AJ$72,IF(AI521=Параметры!AI$72,Параметры!AI$72,AI521))</f>
        <v>0</v>
      </c>
      <c r="AK521" s="290">
        <f>IF(AK$2=1,Параметры!AK$72,IF(AJ521=Параметры!AJ$72,Параметры!AJ$72,AJ521))</f>
        <v>0</v>
      </c>
      <c r="AL521" s="290">
        <f>IF(AL$2=1,Параметры!AL$72,IF(AK521=Параметры!AK$72,Параметры!AK$72,AK521))</f>
        <v>0</v>
      </c>
      <c r="AM521" s="290">
        <f>IF(AM$2=1,Параметры!AM$72,IF(AL521=Параметры!AL$72,Параметры!AL$72,AL521))</f>
        <v>0</v>
      </c>
      <c r="AN521" s="290">
        <f>IF(AN$2=1,Параметры!AN$72,IF(AM521=Параметры!AM$72,Параметры!AM$72,AM521))</f>
        <v>0</v>
      </c>
      <c r="AO521" s="290">
        <f>IF(AO$2=1,Параметры!AO$72,IF(AN521=Параметры!AN$72,Параметры!AN$72,AN521))</f>
        <v>0</v>
      </c>
      <c r="AP521" s="290">
        <f>IF(AP$2=1,Параметры!AP$72,IF(AO521=Параметры!AO$72,Параметры!AO$72,AO521))</f>
        <v>0</v>
      </c>
      <c r="AQ521" s="290">
        <f>IF(AQ$2=1,Параметры!AQ$72,IF(AP521=Параметры!AP$72,Параметры!AP$72,AP521))</f>
        <v>0</v>
      </c>
      <c r="AR521" s="290">
        <f>IF(AR$2=1,Параметры!AR$72,IF(AQ521=Параметры!AQ$72,Параметры!AQ$72,AQ521))</f>
        <v>0</v>
      </c>
      <c r="AS521" s="290">
        <f>IF(AS$2=1,Параметры!AS$72,IF(AR521=Параметры!AR$72,Параметры!AR$72,AR521))</f>
        <v>0</v>
      </c>
      <c r="AT521" s="290">
        <f>IF(AT$2=1,Параметры!AT$72,IF(AS521=Параметры!AS$72,Параметры!AS$72,AS521))</f>
        <v>0</v>
      </c>
      <c r="AU521" s="290">
        <f>IF(AU$2=1,Параметры!AU$72,IF(AT521=Параметры!AT$72,Параметры!AT$72,AT521))</f>
        <v>0</v>
      </c>
      <c r="AV521" s="290">
        <f>IF(AV$2=1,Параметры!AV$72,IF(AU521=Параметры!AU$72,Параметры!AU$72,AU521))</f>
        <v>0</v>
      </c>
      <c r="AW521" s="290">
        <f>IF(AW$2=1,Параметры!AW$72,IF(AV521=Параметры!AV$72,Параметры!AV$72,AV521))</f>
        <v>0</v>
      </c>
      <c r="AX521" s="290">
        <f>IF(AX$2=1,Параметры!AX$72,IF(AW521=Параметры!AW$72,Параметры!AW$72,AW521))</f>
        <v>0</v>
      </c>
      <c r="AY521" s="290">
        <f>IF(AY$2=1,Параметры!AY$72,IF(AX521=Параметры!AX$72,Параметры!AX$72,AX521))</f>
        <v>0</v>
      </c>
      <c r="AZ521" s="290">
        <f>IF(AZ$2=1,Параметры!AZ$72,IF(AY521=Параметры!AY$72,Параметры!AY$72,AY521))</f>
        <v>0</v>
      </c>
      <c r="BA521" s="290">
        <f>IF(BA$2=1,Параметры!BA$72,IF(AZ521=Параметры!AZ$72,Параметры!AZ$72,AZ521))</f>
        <v>0</v>
      </c>
      <c r="BB521" s="290">
        <f>IF(BB$2=1,Параметры!BB$72,IF(BA521=Параметры!BA$72,Параметры!BA$72,BA521))</f>
        <v>0</v>
      </c>
      <c r="BC521" s="190"/>
      <c r="BD521" s="186"/>
    </row>
    <row r="522" spans="1:56" hidden="1" outlineLevel="1" x14ac:dyDescent="0.3">
      <c r="A522" s="184" t="str">
        <f ca="1">Language!A$675</f>
        <v>коэффициент прироста цен к предыдущему периоду</v>
      </c>
      <c r="B522" s="189"/>
      <c r="C522" s="163" t="str">
        <f ca="1">Language!$A$1477</f>
        <v>раз</v>
      </c>
      <c r="D522" s="174"/>
      <c r="F522" s="170" t="s">
        <v>745</v>
      </c>
      <c r="G522" s="191">
        <f ca="1">IF(G$2=1,1,IF(Prj_Inflation=1, (1+OFFSET(G520,0,-1))^(Параметры!G$30/360), 1))</f>
        <v>1</v>
      </c>
      <c r="H522" s="191">
        <f ca="1">IF(H$2=1,1,IF(Prj_Inflation=1, (1+OFFSET(H520,0,-1))^(Параметры!H$30/360), 1))</f>
        <v>1.004867550565343</v>
      </c>
      <c r="I522" s="191">
        <f ca="1">IF(I$2=1,1,IF(Prj_Inflation=1, (1+OFFSET(I520,0,-1))^(Параметры!I$30/360), 1))</f>
        <v>1.004867550565343</v>
      </c>
      <c r="J522" s="191">
        <f ca="1">IF(J$2=1,1,IF(Prj_Inflation=1, (1+OFFSET(J520,0,-1))^(Параметры!J$30/360), 1))</f>
        <v>1.004867550565343</v>
      </c>
      <c r="K522" s="191">
        <f ca="1">IF(K$2=1,1,IF(Prj_Inflation=1, (1+OFFSET(K520,0,-1))^(Параметры!K$30/360), 1))</f>
        <v>1.004867550565343</v>
      </c>
      <c r="L522" s="191">
        <f ca="1">IF(L$2=1,1,IF(Prj_Inflation=1, (1+OFFSET(L520,0,-1))^(Параметры!L$30/360), 1))</f>
        <v>1.004867550565343</v>
      </c>
      <c r="M522" s="191">
        <f ca="1">IF(M$2=1,1,IF(Prj_Inflation=1, (1+OFFSET(M520,0,-1))^(Параметры!M$30/360), 1))</f>
        <v>1.004867550565343</v>
      </c>
      <c r="N522" s="191">
        <f ca="1">IF(N$2=1,1,IF(Prj_Inflation=1, (1+OFFSET(N520,0,-1))^(Параметры!N$30/360), 1))</f>
        <v>1.004867550565343</v>
      </c>
      <c r="O522" s="191">
        <f ca="1">IF(O$2=1,1,IF(Prj_Inflation=1, (1+OFFSET(O520,0,-1))^(Параметры!O$30/360), 1))</f>
        <v>1.004867550565343</v>
      </c>
      <c r="P522" s="191">
        <f ca="1">IF(P$2=1,1,IF(Prj_Inflation=1, (1+OFFSET(P520,0,-1))^(Параметры!P$30/360), 1))</f>
        <v>1.004867550565343</v>
      </c>
      <c r="Q522" s="191">
        <f ca="1">IF(Q$2=1,1,IF(Prj_Inflation=1, (1+OFFSET(Q520,0,-1))^(Параметры!Q$30/360), 1))</f>
        <v>1.004867550565343</v>
      </c>
      <c r="R522" s="191">
        <f ca="1">IF(R$2=1,1,IF(Prj_Inflation=1, (1+OFFSET(R520,0,-1))^(Параметры!R$30/360), 1))</f>
        <v>1.004867550565343</v>
      </c>
      <c r="S522" s="191">
        <f ca="1">IF(S$2=1,1,IF(Prj_Inflation=1, (1+OFFSET(S520,0,-1))^(Параметры!S$30/360), 1))</f>
        <v>1.004867550565343</v>
      </c>
      <c r="T522" s="191">
        <f ca="1">IF(T$2=1,1,IF(Prj_Inflation=1, (1+OFFSET(T520,0,-1))^(Параметры!T$30/360), 1))</f>
        <v>1.004867550565343</v>
      </c>
      <c r="U522" s="191">
        <f ca="1">IF(U$2=1,1,IF(Prj_Inflation=1, (1+OFFSET(U520,0,-1))^(Параметры!U$30/360), 1))</f>
        <v>1.004867550565343</v>
      </c>
      <c r="V522" s="191">
        <f ca="1">IF(V$2=1,1,IF(Prj_Inflation=1, (1+OFFSET(V520,0,-1))^(Параметры!V$30/360), 1))</f>
        <v>1.004867550565343</v>
      </c>
      <c r="W522" s="191">
        <f ca="1">IF(W$2=1,1,IF(Prj_Inflation=1, (1+OFFSET(W520,0,-1))^(Параметры!W$30/360), 1))</f>
        <v>1.004867550565343</v>
      </c>
      <c r="X522" s="191">
        <f ca="1">IF(X$2=1,1,IF(Prj_Inflation=1, (1+OFFSET(X520,0,-1))^(Параметры!X$30/360), 1))</f>
        <v>1.004867550565343</v>
      </c>
      <c r="Y522" s="191">
        <f ca="1">IF(Y$2=1,1,IF(Prj_Inflation=1, (1+OFFSET(Y520,0,-1))^(Параметры!Y$30/360), 1))</f>
        <v>1.004867550565343</v>
      </c>
      <c r="Z522" s="191">
        <f ca="1">IF(Z$2=1,1,IF(Prj_Inflation=1, (1+OFFSET(Z520,0,-1))^(Параметры!Z$30/360), 1))</f>
        <v>1.004867550565343</v>
      </c>
      <c r="AA522" s="191">
        <f ca="1">IF(AA$2=1,1,IF(Prj_Inflation=1, (1+OFFSET(AA520,0,-1))^(Параметры!AA$30/360), 1))</f>
        <v>1.004867550565343</v>
      </c>
      <c r="AB522" s="191">
        <f ca="1">IF(AB$2=1,1,IF(Prj_Inflation=1, (1+OFFSET(AB520,0,-1))^(Параметры!AB$30/360), 1))</f>
        <v>1.004867550565343</v>
      </c>
      <c r="AC522" s="191">
        <f ca="1">IF(AC$2=1,1,IF(Prj_Inflation=1, (1+OFFSET(AC520,0,-1))^(Параметры!AC$30/360), 1))</f>
        <v>1.004867550565343</v>
      </c>
      <c r="AD522" s="191">
        <f ca="1">IF(AD$2=1,1,IF(Prj_Inflation=1, (1+OFFSET(AD520,0,-1))^(Параметры!AD$30/360), 1))</f>
        <v>1.004867550565343</v>
      </c>
      <c r="AE522" s="191">
        <f ca="1">IF(AE$2=1,1,IF(Prj_Inflation=1, (1+OFFSET(AE520,0,-1))^(Параметры!AE$30/360), 1))</f>
        <v>1.004867550565343</v>
      </c>
      <c r="AF522" s="191">
        <f ca="1">IF(AF$2=1,1,IF(Prj_Inflation=1, (1+OFFSET(AF520,0,-1))^(Параметры!AF$30/360), 1))</f>
        <v>1.004867550565343</v>
      </c>
      <c r="AG522" s="191">
        <f ca="1">IF(AG$2=1,1,IF(Prj_Inflation=1, (1+OFFSET(AG520,0,-1))^(Параметры!AG$30/360), 1))</f>
        <v>1.004867550565343</v>
      </c>
      <c r="AH522" s="191">
        <f ca="1">IF(AH$2=1,1,IF(Prj_Inflation=1, (1+OFFSET(AH520,0,-1))^(Параметры!AH$30/360), 1))</f>
        <v>1.004867550565343</v>
      </c>
      <c r="AI522" s="191">
        <f ca="1">IF(AI$2=1,1,IF(Prj_Inflation=1, (1+OFFSET(AI520,0,-1))^(Параметры!AI$30/360), 1))</f>
        <v>1.004867550565343</v>
      </c>
      <c r="AJ522" s="191">
        <f ca="1">IF(AJ$2=1,1,IF(Prj_Inflation=1, (1+OFFSET(AJ520,0,-1))^(Параметры!AJ$30/360), 1))</f>
        <v>1.004867550565343</v>
      </c>
      <c r="AK522" s="191">
        <f ca="1">IF(AK$2=1,1,IF(Prj_Inflation=1, (1+OFFSET(AK520,0,-1))^(Параметры!AK$30/360), 1))</f>
        <v>1.004867550565343</v>
      </c>
      <c r="AL522" s="191">
        <f ca="1">IF(AL$2=1,1,IF(Prj_Inflation=1, (1+OFFSET(AL520,0,-1))^(Параметры!AL$30/360), 1))</f>
        <v>1.004867550565343</v>
      </c>
      <c r="AM522" s="191">
        <f ca="1">IF(AM$2=1,1,IF(Prj_Inflation=1, (1+OFFSET(AM520,0,-1))^(Параметры!AM$30/360), 1))</f>
        <v>1.004867550565343</v>
      </c>
      <c r="AN522" s="191">
        <f ca="1">IF(AN$2=1,1,IF(Prj_Inflation=1, (1+OFFSET(AN520,0,-1))^(Параметры!AN$30/360), 1))</f>
        <v>1.004867550565343</v>
      </c>
      <c r="AO522" s="191">
        <f ca="1">IF(AO$2=1,1,IF(Prj_Inflation=1, (1+OFFSET(AO520,0,-1))^(Параметры!AO$30/360), 1))</f>
        <v>1.004867550565343</v>
      </c>
      <c r="AP522" s="191">
        <f ca="1">IF(AP$2=1,1,IF(Prj_Inflation=1, (1+OFFSET(AP520,0,-1))^(Параметры!AP$30/360), 1))</f>
        <v>1.004867550565343</v>
      </c>
      <c r="AQ522" s="191">
        <f ca="1">IF(AQ$2=1,1,IF(Prj_Inflation=1, (1+OFFSET(AQ520,0,-1))^(Параметры!AQ$30/360), 1))</f>
        <v>1.004867550565343</v>
      </c>
      <c r="AR522" s="191">
        <f ca="1">IF(AR$2=1,1,IF(Prj_Inflation=1, (1+OFFSET(AR520,0,-1))^(Параметры!AR$30/360), 1))</f>
        <v>1.004867550565343</v>
      </c>
      <c r="AS522" s="191">
        <f ca="1">IF(AS$2=1,1,IF(Prj_Inflation=1, (1+OFFSET(AS520,0,-1))^(Параметры!AS$30/360), 1))</f>
        <v>1.004867550565343</v>
      </c>
      <c r="AT522" s="191">
        <f ca="1">IF(AT$2=1,1,IF(Prj_Inflation=1, (1+OFFSET(AT520,0,-1))^(Параметры!AT$30/360), 1))</f>
        <v>1.004867550565343</v>
      </c>
      <c r="AU522" s="191">
        <f ca="1">IF(AU$2=1,1,IF(Prj_Inflation=1, (1+OFFSET(AU520,0,-1))^(Параметры!AU$30/360), 1))</f>
        <v>1.004867550565343</v>
      </c>
      <c r="AV522" s="191">
        <f ca="1">IF(AV$2=1,1,IF(Prj_Inflation=1, (1+OFFSET(AV520,0,-1))^(Параметры!AV$30/360), 1))</f>
        <v>1.004867550565343</v>
      </c>
      <c r="AW522" s="191">
        <f ca="1">IF(AW$2=1,1,IF(Prj_Inflation=1, (1+OFFSET(AW520,0,-1))^(Параметры!AW$30/360), 1))</f>
        <v>1.004867550565343</v>
      </c>
      <c r="AX522" s="191">
        <f ca="1">IF(AX$2=1,1,IF(Prj_Inflation=1, (1+OFFSET(AX520,0,-1))^(Параметры!AX$30/360), 1))</f>
        <v>1.004867550565343</v>
      </c>
      <c r="AY522" s="191">
        <f ca="1">IF(AY$2=1,1,IF(Prj_Inflation=1, (1+OFFSET(AY520,0,-1))^(Параметры!AY$30/360), 1))</f>
        <v>1.004867550565343</v>
      </c>
      <c r="AZ522" s="191">
        <f ca="1">IF(AZ$2=1,1,IF(Prj_Inflation=1, (1+OFFSET(AZ520,0,-1))^(Параметры!AZ$30/360), 1))</f>
        <v>1.004867550565343</v>
      </c>
      <c r="BA522" s="191">
        <f ca="1">IF(BA$2=1,1,IF(Prj_Inflation=1, (1+OFFSET(BA520,0,-1))^(Параметры!BA$30/360), 1))</f>
        <v>1.004867550565343</v>
      </c>
      <c r="BB522" s="191">
        <f ca="1">IF(BB$2=1,1,IF(Prj_Inflation=1, (1+OFFSET(BB520,0,-1))^(Параметры!BB$30/360), 1))</f>
        <v>1.004867550565343</v>
      </c>
      <c r="BC522" s="191"/>
      <c r="BD522" s="186"/>
    </row>
    <row r="523" spans="1:56" hidden="1" outlineLevel="1" x14ac:dyDescent="0.3">
      <c r="A523" s="184" t="str">
        <f ca="1">Language!A$1486</f>
        <v>индексировать в начале года</v>
      </c>
      <c r="B523" s="291">
        <v>0</v>
      </c>
      <c r="C523" s="163" t="str">
        <f ca="1">IF(B523=1,Language!$A$1475,Language!$A$1476)</f>
        <v>Нет</v>
      </c>
      <c r="D523" s="174"/>
      <c r="F523" s="170" t="s">
        <v>3408</v>
      </c>
      <c r="G523" s="192" t="str">
        <f ca="1">IF(Prj_Inflation=1,IF($B523=1,IF(G$2=1,1,IF(Параметры!G$29=1,1+OFFSET(G520,0,-1),1)),"-"),1)</f>
        <v>-</v>
      </c>
      <c r="H523" s="192" t="str">
        <f ca="1">IF(Prj_Inflation=1,IF($B523=1,IF(H$2=1,1,IF(Параметры!H$29=1,1+OFFSET(H520,0,-1),1)),"-"),1)</f>
        <v>-</v>
      </c>
      <c r="I523" s="192" t="str">
        <f ca="1">IF(Prj_Inflation=1,IF($B523=1,IF(I$2=1,1,IF(Параметры!I$29=1,1+OFFSET(I520,0,-1),1)),"-"),1)</f>
        <v>-</v>
      </c>
      <c r="J523" s="192" t="str">
        <f ca="1">IF(Prj_Inflation=1,IF($B523=1,IF(J$2=1,1,IF(Параметры!J$29=1,1+OFFSET(J520,0,-1),1)),"-"),1)</f>
        <v>-</v>
      </c>
      <c r="K523" s="192" t="str">
        <f ca="1">IF(Prj_Inflation=1,IF($B523=1,IF(K$2=1,1,IF(Параметры!K$29=1,1+OFFSET(K520,0,-1),1)),"-"),1)</f>
        <v>-</v>
      </c>
      <c r="L523" s="192" t="str">
        <f ca="1">IF(Prj_Inflation=1,IF($B523=1,IF(L$2=1,1,IF(Параметры!L$29=1,1+OFFSET(L520,0,-1),1)),"-"),1)</f>
        <v>-</v>
      </c>
      <c r="M523" s="192" t="str">
        <f ca="1">IF(Prj_Inflation=1,IF($B523=1,IF(M$2=1,1,IF(Параметры!M$29=1,1+OFFSET(M520,0,-1),1)),"-"),1)</f>
        <v>-</v>
      </c>
      <c r="N523" s="192" t="str">
        <f ca="1">IF(Prj_Inflation=1,IF($B523=1,IF(N$2=1,1,IF(Параметры!N$29=1,1+OFFSET(N520,0,-1),1)),"-"),1)</f>
        <v>-</v>
      </c>
      <c r="O523" s="192" t="str">
        <f ca="1">IF(Prj_Inflation=1,IF($B523=1,IF(O$2=1,1,IF(Параметры!O$29=1,1+OFFSET(O520,0,-1),1)),"-"),1)</f>
        <v>-</v>
      </c>
      <c r="P523" s="192" t="str">
        <f ca="1">IF(Prj_Inflation=1,IF($B523=1,IF(P$2=1,1,IF(Параметры!P$29=1,1+OFFSET(P520,0,-1),1)),"-"),1)</f>
        <v>-</v>
      </c>
      <c r="Q523" s="192" t="str">
        <f ca="1">IF(Prj_Inflation=1,IF($B523=1,IF(Q$2=1,1,IF(Параметры!Q$29=1,1+OFFSET(Q520,0,-1),1)),"-"),1)</f>
        <v>-</v>
      </c>
      <c r="R523" s="192" t="str">
        <f ca="1">IF(Prj_Inflation=1,IF($B523=1,IF(R$2=1,1,IF(Параметры!R$29=1,1+OFFSET(R520,0,-1),1)),"-"),1)</f>
        <v>-</v>
      </c>
      <c r="S523" s="192" t="str">
        <f ca="1">IF(Prj_Inflation=1,IF($B523=1,IF(S$2=1,1,IF(Параметры!S$29=1,1+OFFSET(S520,0,-1),1)),"-"),1)</f>
        <v>-</v>
      </c>
      <c r="T523" s="192" t="str">
        <f ca="1">IF(Prj_Inflation=1,IF($B523=1,IF(T$2=1,1,IF(Параметры!T$29=1,1+OFFSET(T520,0,-1),1)),"-"),1)</f>
        <v>-</v>
      </c>
      <c r="U523" s="192" t="str">
        <f ca="1">IF(Prj_Inflation=1,IF($B523=1,IF(U$2=1,1,IF(Параметры!U$29=1,1+OFFSET(U520,0,-1),1)),"-"),1)</f>
        <v>-</v>
      </c>
      <c r="V523" s="192" t="str">
        <f ca="1">IF(Prj_Inflation=1,IF($B523=1,IF(V$2=1,1,IF(Параметры!V$29=1,1+OFFSET(V520,0,-1),1)),"-"),1)</f>
        <v>-</v>
      </c>
      <c r="W523" s="192" t="str">
        <f ca="1">IF(Prj_Inflation=1,IF($B523=1,IF(W$2=1,1,IF(Параметры!W$29=1,1+OFFSET(W520,0,-1),1)),"-"),1)</f>
        <v>-</v>
      </c>
      <c r="X523" s="192" t="str">
        <f ca="1">IF(Prj_Inflation=1,IF($B523=1,IF(X$2=1,1,IF(Параметры!X$29=1,1+OFFSET(X520,0,-1),1)),"-"),1)</f>
        <v>-</v>
      </c>
      <c r="Y523" s="192" t="str">
        <f ca="1">IF(Prj_Inflation=1,IF($B523=1,IF(Y$2=1,1,IF(Параметры!Y$29=1,1+OFFSET(Y520,0,-1),1)),"-"),1)</f>
        <v>-</v>
      </c>
      <c r="Z523" s="192" t="str">
        <f ca="1">IF(Prj_Inflation=1,IF($B523=1,IF(Z$2=1,1,IF(Параметры!Z$29=1,1+OFFSET(Z520,0,-1),1)),"-"),1)</f>
        <v>-</v>
      </c>
      <c r="AA523" s="192" t="str">
        <f ca="1">IF(Prj_Inflation=1,IF($B523=1,IF(AA$2=1,1,IF(Параметры!AA$29=1,1+OFFSET(AA520,0,-1),1)),"-"),1)</f>
        <v>-</v>
      </c>
      <c r="AB523" s="192" t="str">
        <f ca="1">IF(Prj_Inflation=1,IF($B523=1,IF(AB$2=1,1,IF(Параметры!AB$29=1,1+OFFSET(AB520,0,-1),1)),"-"),1)</f>
        <v>-</v>
      </c>
      <c r="AC523" s="192" t="str">
        <f ca="1">IF(Prj_Inflation=1,IF($B523=1,IF(AC$2=1,1,IF(Параметры!AC$29=1,1+OFFSET(AC520,0,-1),1)),"-"),1)</f>
        <v>-</v>
      </c>
      <c r="AD523" s="192" t="str">
        <f ca="1">IF(Prj_Inflation=1,IF($B523=1,IF(AD$2=1,1,IF(Параметры!AD$29=1,1+OFFSET(AD520,0,-1),1)),"-"),1)</f>
        <v>-</v>
      </c>
      <c r="AE523" s="192" t="str">
        <f ca="1">IF(Prj_Inflation=1,IF($B523=1,IF(AE$2=1,1,IF(Параметры!AE$29=1,1+OFFSET(AE520,0,-1),1)),"-"),1)</f>
        <v>-</v>
      </c>
      <c r="AF523" s="192" t="str">
        <f ca="1">IF(Prj_Inflation=1,IF($B523=1,IF(AF$2=1,1,IF(Параметры!AF$29=1,1+OFFSET(AF520,0,-1),1)),"-"),1)</f>
        <v>-</v>
      </c>
      <c r="AG523" s="192" t="str">
        <f ca="1">IF(Prj_Inflation=1,IF($B523=1,IF(AG$2=1,1,IF(Параметры!AG$29=1,1+OFFSET(AG520,0,-1),1)),"-"),1)</f>
        <v>-</v>
      </c>
      <c r="AH523" s="192" t="str">
        <f ca="1">IF(Prj_Inflation=1,IF($B523=1,IF(AH$2=1,1,IF(Параметры!AH$29=1,1+OFFSET(AH520,0,-1),1)),"-"),1)</f>
        <v>-</v>
      </c>
      <c r="AI523" s="192" t="str">
        <f ca="1">IF(Prj_Inflation=1,IF($B523=1,IF(AI$2=1,1,IF(Параметры!AI$29=1,1+OFFSET(AI520,0,-1),1)),"-"),1)</f>
        <v>-</v>
      </c>
      <c r="AJ523" s="192" t="str">
        <f ca="1">IF(Prj_Inflation=1,IF($B523=1,IF(AJ$2=1,1,IF(Параметры!AJ$29=1,1+OFFSET(AJ520,0,-1),1)),"-"),1)</f>
        <v>-</v>
      </c>
      <c r="AK523" s="192" t="str">
        <f ca="1">IF(Prj_Inflation=1,IF($B523=1,IF(AK$2=1,1,IF(Параметры!AK$29=1,1+OFFSET(AK520,0,-1),1)),"-"),1)</f>
        <v>-</v>
      </c>
      <c r="AL523" s="192" t="str">
        <f ca="1">IF(Prj_Inflation=1,IF($B523=1,IF(AL$2=1,1,IF(Параметры!AL$29=1,1+OFFSET(AL520,0,-1),1)),"-"),1)</f>
        <v>-</v>
      </c>
      <c r="AM523" s="192" t="str">
        <f ca="1">IF(Prj_Inflation=1,IF($B523=1,IF(AM$2=1,1,IF(Параметры!AM$29=1,1+OFFSET(AM520,0,-1),1)),"-"),1)</f>
        <v>-</v>
      </c>
      <c r="AN523" s="192" t="str">
        <f ca="1">IF(Prj_Inflation=1,IF($B523=1,IF(AN$2=1,1,IF(Параметры!AN$29=1,1+OFFSET(AN520,0,-1),1)),"-"),1)</f>
        <v>-</v>
      </c>
      <c r="AO523" s="192" t="str">
        <f ca="1">IF(Prj_Inflation=1,IF($B523=1,IF(AO$2=1,1,IF(Параметры!AO$29=1,1+OFFSET(AO520,0,-1),1)),"-"),1)</f>
        <v>-</v>
      </c>
      <c r="AP523" s="192" t="str">
        <f ca="1">IF(Prj_Inflation=1,IF($B523=1,IF(AP$2=1,1,IF(Параметры!AP$29=1,1+OFFSET(AP520,0,-1),1)),"-"),1)</f>
        <v>-</v>
      </c>
      <c r="AQ523" s="192" t="str">
        <f ca="1">IF(Prj_Inflation=1,IF($B523=1,IF(AQ$2=1,1,IF(Параметры!AQ$29=1,1+OFFSET(AQ520,0,-1),1)),"-"),1)</f>
        <v>-</v>
      </c>
      <c r="AR523" s="192" t="str">
        <f ca="1">IF(Prj_Inflation=1,IF($B523=1,IF(AR$2=1,1,IF(Параметры!AR$29=1,1+OFFSET(AR520,0,-1),1)),"-"),1)</f>
        <v>-</v>
      </c>
      <c r="AS523" s="192" t="str">
        <f ca="1">IF(Prj_Inflation=1,IF($B523=1,IF(AS$2=1,1,IF(Параметры!AS$29=1,1+OFFSET(AS520,0,-1),1)),"-"),1)</f>
        <v>-</v>
      </c>
      <c r="AT523" s="192" t="str">
        <f ca="1">IF(Prj_Inflation=1,IF($B523=1,IF(AT$2=1,1,IF(Параметры!AT$29=1,1+OFFSET(AT520,0,-1),1)),"-"),1)</f>
        <v>-</v>
      </c>
      <c r="AU523" s="192" t="str">
        <f ca="1">IF(Prj_Inflation=1,IF($B523=1,IF(AU$2=1,1,IF(Параметры!AU$29=1,1+OFFSET(AU520,0,-1),1)),"-"),1)</f>
        <v>-</v>
      </c>
      <c r="AV523" s="192" t="str">
        <f ca="1">IF(Prj_Inflation=1,IF($B523=1,IF(AV$2=1,1,IF(Параметры!AV$29=1,1+OFFSET(AV520,0,-1),1)),"-"),1)</f>
        <v>-</v>
      </c>
      <c r="AW523" s="192" t="str">
        <f ca="1">IF(Prj_Inflation=1,IF($B523=1,IF(AW$2=1,1,IF(Параметры!AW$29=1,1+OFFSET(AW520,0,-1),1)),"-"),1)</f>
        <v>-</v>
      </c>
      <c r="AX523" s="192" t="str">
        <f ca="1">IF(Prj_Inflation=1,IF($B523=1,IF(AX$2=1,1,IF(Параметры!AX$29=1,1+OFFSET(AX520,0,-1),1)),"-"),1)</f>
        <v>-</v>
      </c>
      <c r="AY523" s="192" t="str">
        <f ca="1">IF(Prj_Inflation=1,IF($B523=1,IF(AY$2=1,1,IF(Параметры!AY$29=1,1+OFFSET(AY520,0,-1),1)),"-"),1)</f>
        <v>-</v>
      </c>
      <c r="AZ523" s="192" t="str">
        <f ca="1">IF(Prj_Inflation=1,IF($B523=1,IF(AZ$2=1,1,IF(Параметры!AZ$29=1,1+OFFSET(AZ520,0,-1),1)),"-"),1)</f>
        <v>-</v>
      </c>
      <c r="BA523" s="192" t="str">
        <f ca="1">IF(Prj_Inflation=1,IF($B523=1,IF(BA$2=1,1,IF(Параметры!BA$29=1,1+OFFSET(BA520,0,-1),1)),"-"),1)</f>
        <v>-</v>
      </c>
      <c r="BB523" s="192" t="str">
        <f ca="1">IF(Prj_Inflation=1,IF($B523=1,IF(BB$2=1,1,IF(Параметры!BB$29=1,1+OFFSET(BB520,0,-1),1)),"-"),1)</f>
        <v>-</v>
      </c>
      <c r="BC523" s="191"/>
      <c r="BD523" s="186"/>
    </row>
    <row r="524" spans="1:56" hidden="1" outlineLevel="1" x14ac:dyDescent="0.3">
      <c r="A524" s="184" t="str">
        <f ca="1">Language!A$753</f>
        <v>НДС начисленный</v>
      </c>
      <c r="B524" s="163"/>
      <c r="C524" s="163" t="str">
        <f ca="1">CHOOSE(D524,CurName1,CurName2,CurName3)</f>
        <v>руб.</v>
      </c>
      <c r="D524" s="174">
        <f>D515</f>
        <v>1</v>
      </c>
      <c r="E524" s="170" t="s">
        <v>785</v>
      </c>
      <c r="F524" s="170" t="s">
        <v>740</v>
      </c>
      <c r="G524" s="185">
        <f ca="1">G519*G521</f>
        <v>0</v>
      </c>
      <c r="H524" s="185">
        <f t="shared" ref="H524:BB524" ca="1" si="2196">H519*H521</f>
        <v>0</v>
      </c>
      <c r="I524" s="185">
        <f t="shared" ca="1" si="2196"/>
        <v>0</v>
      </c>
      <c r="J524" s="185">
        <f t="shared" ca="1" si="2196"/>
        <v>0</v>
      </c>
      <c r="K524" s="185">
        <f t="shared" ca="1" si="2196"/>
        <v>0</v>
      </c>
      <c r="L524" s="185">
        <f t="shared" ca="1" si="2196"/>
        <v>0</v>
      </c>
      <c r="M524" s="185">
        <f t="shared" ca="1" si="2196"/>
        <v>0</v>
      </c>
      <c r="N524" s="185">
        <f t="shared" ca="1" si="2196"/>
        <v>0</v>
      </c>
      <c r="O524" s="185">
        <f t="shared" ca="1" si="2196"/>
        <v>0</v>
      </c>
      <c r="P524" s="185">
        <f t="shared" ca="1" si="2196"/>
        <v>0</v>
      </c>
      <c r="Q524" s="185">
        <f t="shared" ca="1" si="2196"/>
        <v>0</v>
      </c>
      <c r="R524" s="185">
        <f t="shared" ca="1" si="2196"/>
        <v>0</v>
      </c>
      <c r="S524" s="185">
        <f t="shared" ca="1" si="2196"/>
        <v>0</v>
      </c>
      <c r="T524" s="185">
        <f t="shared" ca="1" si="2196"/>
        <v>0</v>
      </c>
      <c r="U524" s="185">
        <f t="shared" ca="1" si="2196"/>
        <v>0</v>
      </c>
      <c r="V524" s="185">
        <f t="shared" ca="1" si="2196"/>
        <v>0</v>
      </c>
      <c r="W524" s="185">
        <f t="shared" ca="1" si="2196"/>
        <v>0</v>
      </c>
      <c r="X524" s="185">
        <f t="shared" ca="1" si="2196"/>
        <v>0</v>
      </c>
      <c r="Y524" s="185">
        <f t="shared" ca="1" si="2196"/>
        <v>0</v>
      </c>
      <c r="Z524" s="185">
        <f t="shared" ca="1" si="2196"/>
        <v>0</v>
      </c>
      <c r="AA524" s="185">
        <f t="shared" ca="1" si="2196"/>
        <v>0</v>
      </c>
      <c r="AB524" s="185">
        <f t="shared" ca="1" si="2196"/>
        <v>0</v>
      </c>
      <c r="AC524" s="185">
        <f t="shared" ca="1" si="2196"/>
        <v>0</v>
      </c>
      <c r="AD524" s="185">
        <f t="shared" ca="1" si="2196"/>
        <v>0</v>
      </c>
      <c r="AE524" s="185">
        <f t="shared" ca="1" si="2196"/>
        <v>0</v>
      </c>
      <c r="AF524" s="185">
        <f t="shared" ca="1" si="2196"/>
        <v>0</v>
      </c>
      <c r="AG524" s="185">
        <f t="shared" ca="1" si="2196"/>
        <v>0</v>
      </c>
      <c r="AH524" s="185">
        <f t="shared" ca="1" si="2196"/>
        <v>0</v>
      </c>
      <c r="AI524" s="185">
        <f t="shared" ca="1" si="2196"/>
        <v>0</v>
      </c>
      <c r="AJ524" s="185">
        <f t="shared" ca="1" si="2196"/>
        <v>0</v>
      </c>
      <c r="AK524" s="185">
        <f t="shared" ca="1" si="2196"/>
        <v>0</v>
      </c>
      <c r="AL524" s="185">
        <f t="shared" ca="1" si="2196"/>
        <v>0</v>
      </c>
      <c r="AM524" s="185">
        <f t="shared" ca="1" si="2196"/>
        <v>0</v>
      </c>
      <c r="AN524" s="185">
        <f t="shared" ca="1" si="2196"/>
        <v>0</v>
      </c>
      <c r="AO524" s="185">
        <f t="shared" ca="1" si="2196"/>
        <v>0</v>
      </c>
      <c r="AP524" s="185">
        <f t="shared" ca="1" si="2196"/>
        <v>0</v>
      </c>
      <c r="AQ524" s="185">
        <f t="shared" ca="1" si="2196"/>
        <v>0</v>
      </c>
      <c r="AR524" s="185">
        <f t="shared" ca="1" si="2196"/>
        <v>0</v>
      </c>
      <c r="AS524" s="185">
        <f t="shared" ca="1" si="2196"/>
        <v>0</v>
      </c>
      <c r="AT524" s="185">
        <f t="shared" ca="1" si="2196"/>
        <v>0</v>
      </c>
      <c r="AU524" s="185">
        <f t="shared" ca="1" si="2196"/>
        <v>0</v>
      </c>
      <c r="AV524" s="185">
        <f t="shared" ca="1" si="2196"/>
        <v>0</v>
      </c>
      <c r="AW524" s="185">
        <f t="shared" ca="1" si="2196"/>
        <v>0</v>
      </c>
      <c r="AX524" s="185">
        <f t="shared" ca="1" si="2196"/>
        <v>0</v>
      </c>
      <c r="AY524" s="185">
        <f t="shared" ca="1" si="2196"/>
        <v>0</v>
      </c>
      <c r="AZ524" s="185">
        <f t="shared" ca="1" si="2196"/>
        <v>0</v>
      </c>
      <c r="BA524" s="185">
        <f t="shared" ca="1" si="2196"/>
        <v>0</v>
      </c>
      <c r="BB524" s="185">
        <f t="shared" ca="1" si="2196"/>
        <v>0</v>
      </c>
      <c r="BC524" s="185"/>
      <c r="BD524" s="193">
        <f ca="1">SUM(G524:BC524)</f>
        <v>0</v>
      </c>
    </row>
    <row r="525" spans="1:56" x14ac:dyDescent="0.3">
      <c r="E525" s="170" t="s">
        <v>712</v>
      </c>
    </row>
    <row r="526" spans="1:56" collapsed="1" x14ac:dyDescent="0.3">
      <c r="A526" s="169" t="str">
        <f ca="1">Language!A$765</f>
        <v>Итого: Производственные издержки, с НДС</v>
      </c>
      <c r="C526" s="194" t="str">
        <f t="shared" ref="C526:C553" ca="1" si="2197">CurName1</f>
        <v>руб.</v>
      </c>
      <c r="D526" s="174">
        <v>1</v>
      </c>
      <c r="F526" s="170" t="s">
        <v>740</v>
      </c>
      <c r="G526" s="177">
        <f t="shared" ref="G526:M526" ca="1" si="2198">G527+G528</f>
        <v>0</v>
      </c>
      <c r="H526" s="177">
        <f t="shared" ca="1" si="2198"/>
        <v>0</v>
      </c>
      <c r="I526" s="177">
        <f t="shared" ca="1" si="2198"/>
        <v>0</v>
      </c>
      <c r="J526" s="177">
        <f t="shared" ca="1" si="2198"/>
        <v>0</v>
      </c>
      <c r="K526" s="177">
        <f t="shared" ca="1" si="2198"/>
        <v>0</v>
      </c>
      <c r="L526" s="177">
        <f t="shared" ca="1" si="2198"/>
        <v>0</v>
      </c>
      <c r="M526" s="177">
        <f t="shared" ca="1" si="2198"/>
        <v>834305.47414703318</v>
      </c>
      <c r="N526" s="177">
        <f t="shared" ref="N526:O526" ca="1" si="2199">N527+N528</f>
        <v>980323.13822515146</v>
      </c>
      <c r="O526" s="177">
        <f t="shared" ca="1" si="2199"/>
        <v>1129020.7928985313</v>
      </c>
      <c r="P526" s="177">
        <f t="shared" ref="P526:Q526" ca="1" si="2200">P527+P528</f>
        <v>1290883.3530566678</v>
      </c>
      <c r="Q526" s="177">
        <f t="shared" ca="1" si="2200"/>
        <v>1301048.5823821172</v>
      </c>
      <c r="R526" s="177">
        <f t="shared" ref="R526:S526" ca="1" si="2201">R527+R528</f>
        <v>1353495.7886335424</v>
      </c>
      <c r="S526" s="177">
        <f t="shared" ca="1" si="2201"/>
        <v>1636402.560000001</v>
      </c>
      <c r="T526" s="177">
        <f t="shared" ref="T526:U526" ca="1" si="2202">T527+T528</f>
        <v>1512187.2854561771</v>
      </c>
      <c r="U526" s="177">
        <f t="shared" ca="1" si="2202"/>
        <v>1363997.9862290164</v>
      </c>
      <c r="V526" s="177">
        <f t="shared" ref="V526:W526" ca="1" si="2203">V527+V528</f>
        <v>1363956.7029130005</v>
      </c>
      <c r="W526" s="177">
        <f t="shared" ca="1" si="2203"/>
        <v>1216924.2195763947</v>
      </c>
      <c r="X526" s="177">
        <f t="shared" ref="X526:Y526" ca="1" si="2204">X527+X528</f>
        <v>1638887.4611655204</v>
      </c>
      <c r="Y526" s="177">
        <f t="shared" ca="1" si="2204"/>
        <v>1919334.2345958566</v>
      </c>
      <c r="Z526" s="177">
        <f t="shared" ref="Z526:AA526" ca="1" si="2205">Z527+Z528</f>
        <v>1935737.2569121846</v>
      </c>
      <c r="AA526" s="177">
        <f t="shared" ca="1" si="2205"/>
        <v>1532781.9455216606</v>
      </c>
      <c r="AB526" s="177">
        <f t="shared" ref="AB526:AC526" ca="1" si="2206">AB527+AB528</f>
        <v>1270191.9997359805</v>
      </c>
      <c r="AC526" s="177">
        <f t="shared" ca="1" si="2206"/>
        <v>1280009.3722655019</v>
      </c>
      <c r="AD526" s="177">
        <f t="shared" ref="AD526:AE526" ca="1" si="2207">AD527+AD528</f>
        <v>1486169.7177062114</v>
      </c>
      <c r="AE526" s="177">
        <f t="shared" ca="1" si="2207"/>
        <v>1803875.260416002</v>
      </c>
      <c r="AF526" s="177">
        <f t="shared" ref="AF526:AG526" ca="1" si="2208">AF527+AF528</f>
        <v>1664137.6521314818</v>
      </c>
      <c r="AG526" s="177">
        <f t="shared" ca="1" si="2208"/>
        <v>1498823.4834882047</v>
      </c>
      <c r="AH526" s="177">
        <f t="shared" ref="AH526:AI526" ca="1" si="2209">AH527+AH528</f>
        <v>1499296.7989145813</v>
      </c>
      <c r="AI526" s="177">
        <f t="shared" ca="1" si="2209"/>
        <v>1334960.3524208853</v>
      </c>
      <c r="AJ526" s="177">
        <f t="shared" ref="AJ526:AK526" ca="1" si="2210">AJ527+AJ528</f>
        <v>1809956.752382033</v>
      </c>
      <c r="AK526" s="177">
        <f t="shared" ca="1" si="2210"/>
        <v>2126301.6132028098</v>
      </c>
      <c r="AL526" s="177">
        <f t="shared" ref="AL526:AM526" ca="1" si="2211">AL527+AL528</f>
        <v>2144584.7456423594</v>
      </c>
      <c r="AM526" s="177">
        <f t="shared" ca="1" si="2211"/>
        <v>1690274.4099519635</v>
      </c>
      <c r="AN526" s="177">
        <f t="shared" ref="AN526:AO526" ca="1" si="2212">AN527+AN528</f>
        <v>1393664.2326004801</v>
      </c>
      <c r="AO526" s="177">
        <f t="shared" ca="1" si="2212"/>
        <v>1404531.8550515333</v>
      </c>
      <c r="AP526" s="177">
        <f t="shared" ref="AP526:AQ526" ca="1" si="2213">AP527+AP528</f>
        <v>1633165.055388116</v>
      </c>
      <c r="AQ526" s="177">
        <f t="shared" ca="1" si="2213"/>
        <v>1989960.3872434208</v>
      </c>
      <c r="AR526" s="177">
        <f t="shared" ref="AR526:AS526" ca="1" si="2214">AR527+AR528</f>
        <v>1832771.7252194299</v>
      </c>
      <c r="AS526" s="177">
        <f t="shared" ca="1" si="2214"/>
        <v>1648287.5329783061</v>
      </c>
      <c r="AT526" s="177">
        <f t="shared" ref="AT526:AU526" ca="1" si="2215">AT527+AT528</f>
        <v>1649370.2336332488</v>
      </c>
      <c r="AU526" s="177">
        <f t="shared" ca="1" si="2215"/>
        <v>1465643.2092432461</v>
      </c>
      <c r="AV526" s="177">
        <f t="shared" ref="AV526:AW526" ca="1" si="2216">AV527+AV528</f>
        <v>2000280.3760538935</v>
      </c>
      <c r="AW526" s="177">
        <f t="shared" ca="1" si="2216"/>
        <v>2357034.4198382357</v>
      </c>
      <c r="AX526" s="177">
        <f t="shared" ref="AX526:AY526" ca="1" si="2217">AX527+AX528</f>
        <v>2377421.2058061329</v>
      </c>
      <c r="AY526" s="177">
        <f t="shared" ca="1" si="2217"/>
        <v>1865315.3799436812</v>
      </c>
      <c r="AZ526" s="177">
        <f t="shared" ref="AZ526:BA526" ca="1" si="2218">AZ527+AZ528</f>
        <v>1530386.2235488591</v>
      </c>
      <c r="BA526" s="177">
        <f t="shared" ca="1" si="2218"/>
        <v>1542424.1161723596</v>
      </c>
      <c r="BB526" s="177">
        <f t="shared" ref="BB526" ca="1" si="2219">BB527+BB528</f>
        <v>1796127.3024419092</v>
      </c>
      <c r="BC526" s="177"/>
      <c r="BD526" s="178">
        <f ca="1">SUM(G526:BC526)</f>
        <v>67104252.195133716</v>
      </c>
    </row>
    <row r="527" spans="1:56" hidden="1" outlineLevel="1" x14ac:dyDescent="0.3">
      <c r="A527" s="175" t="str">
        <f ca="1">Language!A$766</f>
        <v>сумма без НДС</v>
      </c>
      <c r="C527" s="194" t="str">
        <f t="shared" ca="1" si="2197"/>
        <v>руб.</v>
      </c>
      <c r="D527" s="174">
        <v>1</v>
      </c>
      <c r="F527" s="170" t="s">
        <v>1046</v>
      </c>
      <c r="G527" s="177">
        <f t="shared" ref="G527:BB527" ca="1" si="2220">SUM(G$453,G$463,G$473,G$483,G$493,G$503)</f>
        <v>0</v>
      </c>
      <c r="H527" s="177">
        <f t="shared" ca="1" si="2220"/>
        <v>0</v>
      </c>
      <c r="I527" s="177">
        <f t="shared" ca="1" si="2220"/>
        <v>0</v>
      </c>
      <c r="J527" s="177">
        <f t="shared" ca="1" si="2220"/>
        <v>0</v>
      </c>
      <c r="K527" s="177">
        <f t="shared" ca="1" si="2220"/>
        <v>0</v>
      </c>
      <c r="L527" s="177">
        <f t="shared" ca="1" si="2220"/>
        <v>0</v>
      </c>
      <c r="M527" s="177">
        <f t="shared" ca="1" si="2220"/>
        <v>834305.47414703318</v>
      </c>
      <c r="N527" s="177">
        <f t="shared" ca="1" si="2220"/>
        <v>980323.13822515146</v>
      </c>
      <c r="O527" s="177">
        <f t="shared" ca="1" si="2220"/>
        <v>1129020.7928985313</v>
      </c>
      <c r="P527" s="177">
        <f t="shared" ca="1" si="2220"/>
        <v>1290883.3530566678</v>
      </c>
      <c r="Q527" s="177">
        <f t="shared" ca="1" si="2220"/>
        <v>1301048.5823821172</v>
      </c>
      <c r="R527" s="177">
        <f t="shared" ca="1" si="2220"/>
        <v>1353495.7886335424</v>
      </c>
      <c r="S527" s="177">
        <f t="shared" ca="1" si="2220"/>
        <v>1636402.560000001</v>
      </c>
      <c r="T527" s="177">
        <f t="shared" ca="1" si="2220"/>
        <v>1512187.2854561771</v>
      </c>
      <c r="U527" s="177">
        <f t="shared" ca="1" si="2220"/>
        <v>1363997.9862290164</v>
      </c>
      <c r="V527" s="177">
        <f t="shared" ca="1" si="2220"/>
        <v>1363956.7029130005</v>
      </c>
      <c r="W527" s="177">
        <f t="shared" ca="1" si="2220"/>
        <v>1216924.2195763947</v>
      </c>
      <c r="X527" s="177">
        <f t="shared" ca="1" si="2220"/>
        <v>1638887.4611655204</v>
      </c>
      <c r="Y527" s="177">
        <f t="shared" ca="1" si="2220"/>
        <v>1919334.2345958566</v>
      </c>
      <c r="Z527" s="177">
        <f t="shared" ca="1" si="2220"/>
        <v>1935737.2569121846</v>
      </c>
      <c r="AA527" s="177">
        <f t="shared" ca="1" si="2220"/>
        <v>1532781.9455216606</v>
      </c>
      <c r="AB527" s="177">
        <f t="shared" ca="1" si="2220"/>
        <v>1270191.9997359805</v>
      </c>
      <c r="AC527" s="177">
        <f t="shared" ca="1" si="2220"/>
        <v>1280009.3722655019</v>
      </c>
      <c r="AD527" s="177">
        <f t="shared" ca="1" si="2220"/>
        <v>1486169.7177062114</v>
      </c>
      <c r="AE527" s="177">
        <f t="shared" ca="1" si="2220"/>
        <v>1803875.260416002</v>
      </c>
      <c r="AF527" s="177">
        <f t="shared" ca="1" si="2220"/>
        <v>1664137.6521314818</v>
      </c>
      <c r="AG527" s="177">
        <f t="shared" ca="1" si="2220"/>
        <v>1498823.4834882047</v>
      </c>
      <c r="AH527" s="177">
        <f t="shared" ca="1" si="2220"/>
        <v>1499296.7989145813</v>
      </c>
      <c r="AI527" s="177">
        <f t="shared" ca="1" si="2220"/>
        <v>1334960.3524208853</v>
      </c>
      <c r="AJ527" s="177">
        <f t="shared" ca="1" si="2220"/>
        <v>1809956.752382033</v>
      </c>
      <c r="AK527" s="177">
        <f t="shared" ca="1" si="2220"/>
        <v>2126301.6132028098</v>
      </c>
      <c r="AL527" s="177">
        <f t="shared" ca="1" si="2220"/>
        <v>2144584.7456423594</v>
      </c>
      <c r="AM527" s="177">
        <f t="shared" ca="1" si="2220"/>
        <v>1690274.4099519635</v>
      </c>
      <c r="AN527" s="177">
        <f t="shared" ca="1" si="2220"/>
        <v>1393664.2326004801</v>
      </c>
      <c r="AO527" s="177">
        <f t="shared" ca="1" si="2220"/>
        <v>1404531.8550515333</v>
      </c>
      <c r="AP527" s="177">
        <f t="shared" ca="1" si="2220"/>
        <v>1633165.055388116</v>
      </c>
      <c r="AQ527" s="177">
        <f t="shared" ca="1" si="2220"/>
        <v>1989960.3872434208</v>
      </c>
      <c r="AR527" s="177">
        <f t="shared" ca="1" si="2220"/>
        <v>1832771.7252194299</v>
      </c>
      <c r="AS527" s="177">
        <f t="shared" ca="1" si="2220"/>
        <v>1648287.5329783061</v>
      </c>
      <c r="AT527" s="177">
        <f t="shared" ca="1" si="2220"/>
        <v>1649370.2336332488</v>
      </c>
      <c r="AU527" s="177">
        <f t="shared" ca="1" si="2220"/>
        <v>1465643.2092432461</v>
      </c>
      <c r="AV527" s="177">
        <f t="shared" ca="1" si="2220"/>
        <v>2000280.3760538935</v>
      </c>
      <c r="AW527" s="177">
        <f t="shared" ca="1" si="2220"/>
        <v>2357034.4198382357</v>
      </c>
      <c r="AX527" s="177">
        <f t="shared" ca="1" si="2220"/>
        <v>2377421.2058061329</v>
      </c>
      <c r="AY527" s="177">
        <f t="shared" ca="1" si="2220"/>
        <v>1865315.3799436812</v>
      </c>
      <c r="AZ527" s="177">
        <f t="shared" ca="1" si="2220"/>
        <v>1530386.2235488591</v>
      </c>
      <c r="BA527" s="177">
        <f t="shared" ca="1" si="2220"/>
        <v>1542424.1161723596</v>
      </c>
      <c r="BB527" s="177">
        <f t="shared" ca="1" si="2220"/>
        <v>1796127.3024419092</v>
      </c>
      <c r="BC527" s="177"/>
      <c r="BD527" s="178">
        <f ca="1">SUM(G527:BC527)</f>
        <v>67104252.195133716</v>
      </c>
    </row>
    <row r="528" spans="1:56" hidden="1" outlineLevel="1" x14ac:dyDescent="0.3">
      <c r="A528" s="175" t="str">
        <f ca="1">Language!A$767</f>
        <v>НДС начисленный</v>
      </c>
      <c r="C528" s="194"/>
      <c r="D528" s="174">
        <v>1</v>
      </c>
      <c r="F528" s="170" t="s">
        <v>1111</v>
      </c>
      <c r="G528" s="177">
        <f t="shared" ref="G528:BB528" ca="1" si="2221">SUM(G$458,G$468,G$478,G$488,G$498,G$508)</f>
        <v>0</v>
      </c>
      <c r="H528" s="177">
        <f t="shared" ca="1" si="2221"/>
        <v>0</v>
      </c>
      <c r="I528" s="177">
        <f t="shared" ca="1" si="2221"/>
        <v>0</v>
      </c>
      <c r="J528" s="177">
        <f t="shared" ca="1" si="2221"/>
        <v>0</v>
      </c>
      <c r="K528" s="177">
        <f t="shared" ca="1" si="2221"/>
        <v>0</v>
      </c>
      <c r="L528" s="177">
        <f t="shared" ca="1" si="2221"/>
        <v>0</v>
      </c>
      <c r="M528" s="177">
        <f t="shared" ca="1" si="2221"/>
        <v>0</v>
      </c>
      <c r="N528" s="177">
        <f t="shared" ca="1" si="2221"/>
        <v>0</v>
      </c>
      <c r="O528" s="177">
        <f t="shared" ca="1" si="2221"/>
        <v>0</v>
      </c>
      <c r="P528" s="177">
        <f t="shared" ca="1" si="2221"/>
        <v>0</v>
      </c>
      <c r="Q528" s="177">
        <f t="shared" ca="1" si="2221"/>
        <v>0</v>
      </c>
      <c r="R528" s="177">
        <f t="shared" ca="1" si="2221"/>
        <v>0</v>
      </c>
      <c r="S528" s="177">
        <f t="shared" ca="1" si="2221"/>
        <v>0</v>
      </c>
      <c r="T528" s="177">
        <f t="shared" ca="1" si="2221"/>
        <v>0</v>
      </c>
      <c r="U528" s="177">
        <f t="shared" ca="1" si="2221"/>
        <v>0</v>
      </c>
      <c r="V528" s="177">
        <f t="shared" ca="1" si="2221"/>
        <v>0</v>
      </c>
      <c r="W528" s="177">
        <f t="shared" ca="1" si="2221"/>
        <v>0</v>
      </c>
      <c r="X528" s="177">
        <f t="shared" ca="1" si="2221"/>
        <v>0</v>
      </c>
      <c r="Y528" s="177">
        <f t="shared" ca="1" si="2221"/>
        <v>0</v>
      </c>
      <c r="Z528" s="177">
        <f t="shared" ca="1" si="2221"/>
        <v>0</v>
      </c>
      <c r="AA528" s="177">
        <f t="shared" ca="1" si="2221"/>
        <v>0</v>
      </c>
      <c r="AB528" s="177">
        <f t="shared" ca="1" si="2221"/>
        <v>0</v>
      </c>
      <c r="AC528" s="177">
        <f t="shared" ca="1" si="2221"/>
        <v>0</v>
      </c>
      <c r="AD528" s="177">
        <f t="shared" ca="1" si="2221"/>
        <v>0</v>
      </c>
      <c r="AE528" s="177">
        <f t="shared" ca="1" si="2221"/>
        <v>0</v>
      </c>
      <c r="AF528" s="177">
        <f t="shared" ca="1" si="2221"/>
        <v>0</v>
      </c>
      <c r="AG528" s="177">
        <f t="shared" ca="1" si="2221"/>
        <v>0</v>
      </c>
      <c r="AH528" s="177">
        <f t="shared" ca="1" si="2221"/>
        <v>0</v>
      </c>
      <c r="AI528" s="177">
        <f t="shared" ca="1" si="2221"/>
        <v>0</v>
      </c>
      <c r="AJ528" s="177">
        <f t="shared" ca="1" si="2221"/>
        <v>0</v>
      </c>
      <c r="AK528" s="177">
        <f t="shared" ca="1" si="2221"/>
        <v>0</v>
      </c>
      <c r="AL528" s="177">
        <f t="shared" ca="1" si="2221"/>
        <v>0</v>
      </c>
      <c r="AM528" s="177">
        <f t="shared" ca="1" si="2221"/>
        <v>0</v>
      </c>
      <c r="AN528" s="177">
        <f t="shared" ca="1" si="2221"/>
        <v>0</v>
      </c>
      <c r="AO528" s="177">
        <f t="shared" ca="1" si="2221"/>
        <v>0</v>
      </c>
      <c r="AP528" s="177">
        <f t="shared" ca="1" si="2221"/>
        <v>0</v>
      </c>
      <c r="AQ528" s="177">
        <f t="shared" ca="1" si="2221"/>
        <v>0</v>
      </c>
      <c r="AR528" s="177">
        <f t="shared" ca="1" si="2221"/>
        <v>0</v>
      </c>
      <c r="AS528" s="177">
        <f t="shared" ca="1" si="2221"/>
        <v>0</v>
      </c>
      <c r="AT528" s="177">
        <f t="shared" ca="1" si="2221"/>
        <v>0</v>
      </c>
      <c r="AU528" s="177">
        <f t="shared" ca="1" si="2221"/>
        <v>0</v>
      </c>
      <c r="AV528" s="177">
        <f t="shared" ca="1" si="2221"/>
        <v>0</v>
      </c>
      <c r="AW528" s="177">
        <f t="shared" ca="1" si="2221"/>
        <v>0</v>
      </c>
      <c r="AX528" s="177">
        <f t="shared" ca="1" si="2221"/>
        <v>0</v>
      </c>
      <c r="AY528" s="177">
        <f t="shared" ca="1" si="2221"/>
        <v>0</v>
      </c>
      <c r="AZ528" s="177">
        <f t="shared" ca="1" si="2221"/>
        <v>0</v>
      </c>
      <c r="BA528" s="177">
        <f t="shared" ca="1" si="2221"/>
        <v>0</v>
      </c>
      <c r="BB528" s="177">
        <f t="shared" ca="1" si="2221"/>
        <v>0</v>
      </c>
      <c r="BC528" s="177"/>
      <c r="BD528" s="178">
        <f ca="1">SUM(G528:BC528)</f>
        <v>0</v>
      </c>
    </row>
    <row r="529" spans="1:56" s="170" customFormat="1" hidden="1" outlineLevel="1" x14ac:dyDescent="0.3">
      <c r="A529" s="184" t="str">
        <f ca="1">Language!A$768</f>
        <v>затраты в запасах готовой продукции</v>
      </c>
      <c r="B529" s="163"/>
      <c r="C529" s="163" t="str">
        <f t="shared" ref="C529:C538" ca="1" si="2222">CurName1</f>
        <v>руб.</v>
      </c>
      <c r="D529" s="174"/>
      <c r="F529" s="170" t="s">
        <v>2350</v>
      </c>
      <c r="G529" s="287">
        <f ca="1">IF(AND($B530=0,G$2&gt;1), F529, G527*$B530/Параметры!G$30)</f>
        <v>0</v>
      </c>
      <c r="H529" s="287">
        <f ca="1">IF(AND($B530=0,H$2&gt;1), G529, H527*$B530/Параметры!H$30)</f>
        <v>0</v>
      </c>
      <c r="I529" s="287">
        <f ca="1">IF(AND($B530=0,I$2&gt;1), H529, I527*$B530/Параметры!I$30)</f>
        <v>0</v>
      </c>
      <c r="J529" s="287">
        <f ca="1">IF(AND($B530=0,J$2&gt;1), I529, J527*$B530/Параметры!J$30)</f>
        <v>0</v>
      </c>
      <c r="K529" s="287">
        <f ca="1">IF(AND($B530=0,K$2&gt;1), J529, K527*$B530/Параметры!K$30)</f>
        <v>0</v>
      </c>
      <c r="L529" s="287">
        <f ca="1">IF(AND($B530=0,L$2&gt;1), K529, L527*$B530/Параметры!L$30)</f>
        <v>0</v>
      </c>
      <c r="M529" s="287">
        <f ca="1">IF(AND($B530=0,M$2&gt;1), L529, M527*$B530/Параметры!M$30)</f>
        <v>0</v>
      </c>
      <c r="N529" s="287">
        <f ca="1">IF(AND($B530=0,N$2&gt;1), M529, N527*$B530/Параметры!N$30)</f>
        <v>0</v>
      </c>
      <c r="O529" s="287">
        <f ca="1">IF(AND($B530=0,O$2&gt;1), N529, O527*$B530/Параметры!O$30)</f>
        <v>0</v>
      </c>
      <c r="P529" s="287">
        <f ca="1">IF(AND($B530=0,P$2&gt;1), O529, P527*$B530/Параметры!P$30)</f>
        <v>0</v>
      </c>
      <c r="Q529" s="287">
        <f ca="1">IF(AND($B530=0,Q$2&gt;1), P529, Q527*$B530/Параметры!Q$30)</f>
        <v>0</v>
      </c>
      <c r="R529" s="287">
        <f ca="1">IF(AND($B530=0,R$2&gt;1), Q529, R527*$B530/Параметры!R$30)</f>
        <v>0</v>
      </c>
      <c r="S529" s="287">
        <f ca="1">IF(AND($B530=0,S$2&gt;1), R529, S527*$B530/Параметры!S$30)</f>
        <v>0</v>
      </c>
      <c r="T529" s="287">
        <f ca="1">IF(AND($B530=0,T$2&gt;1), S529, T527*$B530/Параметры!T$30)</f>
        <v>0</v>
      </c>
      <c r="U529" s="287">
        <f ca="1">IF(AND($B530=0,U$2&gt;1), T529, U527*$B530/Параметры!U$30)</f>
        <v>0</v>
      </c>
      <c r="V529" s="287">
        <f ca="1">IF(AND($B530=0,V$2&gt;1), U529, V527*$B530/Параметры!V$30)</f>
        <v>0</v>
      </c>
      <c r="W529" s="287">
        <f ca="1">IF(AND($B530=0,W$2&gt;1), V529, W527*$B530/Параметры!W$30)</f>
        <v>0</v>
      </c>
      <c r="X529" s="287">
        <f ca="1">IF(AND($B530=0,X$2&gt;1), W529, X527*$B530/Параметры!X$30)</f>
        <v>0</v>
      </c>
      <c r="Y529" s="287">
        <f ca="1">IF(AND($B530=0,Y$2&gt;1), X529, Y527*$B530/Параметры!Y$30)</f>
        <v>0</v>
      </c>
      <c r="Z529" s="287">
        <f ca="1">IF(AND($B530=0,Z$2&gt;1), Y529, Z527*$B530/Параметры!Z$30)</f>
        <v>0</v>
      </c>
      <c r="AA529" s="287">
        <f ca="1">IF(AND($B530=0,AA$2&gt;1), Z529, AA527*$B530/Параметры!AA$30)</f>
        <v>0</v>
      </c>
      <c r="AB529" s="287">
        <f ca="1">IF(AND($B530=0,AB$2&gt;1), AA529, AB527*$B530/Параметры!AB$30)</f>
        <v>0</v>
      </c>
      <c r="AC529" s="287">
        <f ca="1">IF(AND($B530=0,AC$2&gt;1), AB529, AC527*$B530/Параметры!AC$30)</f>
        <v>0</v>
      </c>
      <c r="AD529" s="287">
        <f ca="1">IF(AND($B530=0,AD$2&gt;1), AC529, AD527*$B530/Параметры!AD$30)</f>
        <v>0</v>
      </c>
      <c r="AE529" s="287">
        <f ca="1">IF(AND($B530=0,AE$2&gt;1), AD529, AE527*$B530/Параметры!AE$30)</f>
        <v>0</v>
      </c>
      <c r="AF529" s="287">
        <f ca="1">IF(AND($B530=0,AF$2&gt;1), AE529, AF527*$B530/Параметры!AF$30)</f>
        <v>0</v>
      </c>
      <c r="AG529" s="287">
        <f ca="1">IF(AND($B530=0,AG$2&gt;1), AF529, AG527*$B530/Параметры!AG$30)</f>
        <v>0</v>
      </c>
      <c r="AH529" s="287">
        <f ca="1">IF(AND($B530=0,AH$2&gt;1), AG529, AH527*$B530/Параметры!AH$30)</f>
        <v>0</v>
      </c>
      <c r="AI529" s="287">
        <f ca="1">IF(AND($B530=0,AI$2&gt;1), AH529, AI527*$B530/Параметры!AI$30)</f>
        <v>0</v>
      </c>
      <c r="AJ529" s="287">
        <f ca="1">IF(AND($B530=0,AJ$2&gt;1), AI529, AJ527*$B530/Параметры!AJ$30)</f>
        <v>0</v>
      </c>
      <c r="AK529" s="287">
        <f ca="1">IF(AND($B530=0,AK$2&gt;1), AJ529, AK527*$B530/Параметры!AK$30)</f>
        <v>0</v>
      </c>
      <c r="AL529" s="287">
        <f ca="1">IF(AND($B530=0,AL$2&gt;1), AK529, AL527*$B530/Параметры!AL$30)</f>
        <v>0</v>
      </c>
      <c r="AM529" s="287">
        <f ca="1">IF(AND($B530=0,AM$2&gt;1), AL529, AM527*$B530/Параметры!AM$30)</f>
        <v>0</v>
      </c>
      <c r="AN529" s="287">
        <f ca="1">IF(AND($B530=0,AN$2&gt;1), AM529, AN527*$B530/Параметры!AN$30)</f>
        <v>0</v>
      </c>
      <c r="AO529" s="287">
        <f ca="1">IF(AND($B530=0,AO$2&gt;1), AN529, AO527*$B530/Параметры!AO$30)</f>
        <v>0</v>
      </c>
      <c r="AP529" s="287">
        <f ca="1">IF(AND($B530=0,AP$2&gt;1), AO529, AP527*$B530/Параметры!AP$30)</f>
        <v>0</v>
      </c>
      <c r="AQ529" s="287">
        <f ca="1">IF(AND($B530=0,AQ$2&gt;1), AP529, AQ527*$B530/Параметры!AQ$30)</f>
        <v>0</v>
      </c>
      <c r="AR529" s="287">
        <f ca="1">IF(AND($B530=0,AR$2&gt;1), AQ529, AR527*$B530/Параметры!AR$30)</f>
        <v>0</v>
      </c>
      <c r="AS529" s="287">
        <f ca="1">IF(AND($B530=0,AS$2&gt;1), AR529, AS527*$B530/Параметры!AS$30)</f>
        <v>0</v>
      </c>
      <c r="AT529" s="287">
        <f ca="1">IF(AND($B530=0,AT$2&gt;1), AS529, AT527*$B530/Параметры!AT$30)</f>
        <v>0</v>
      </c>
      <c r="AU529" s="287">
        <f ca="1">IF(AND($B530=0,AU$2&gt;1), AT529, AU527*$B530/Параметры!AU$30)</f>
        <v>0</v>
      </c>
      <c r="AV529" s="287">
        <f ca="1">IF(AND($B530=0,AV$2&gt;1), AU529, AV527*$B530/Параметры!AV$30)</f>
        <v>0</v>
      </c>
      <c r="AW529" s="287">
        <f ca="1">IF(AND($B530=0,AW$2&gt;1), AV529, AW527*$B530/Параметры!AW$30)</f>
        <v>0</v>
      </c>
      <c r="AX529" s="287">
        <f ca="1">IF(AND($B530=0,AX$2&gt;1), AW529, AX527*$B530/Параметры!AX$30)</f>
        <v>0</v>
      </c>
      <c r="AY529" s="287">
        <f ca="1">IF(AND($B530=0,AY$2&gt;1), AX529, AY527*$B530/Параметры!AY$30)</f>
        <v>0</v>
      </c>
      <c r="AZ529" s="287">
        <f ca="1">IF(AND($B530=0,AZ$2&gt;1), AY529, AZ527*$B530/Параметры!AZ$30)</f>
        <v>0</v>
      </c>
      <c r="BA529" s="287">
        <f ca="1">IF(AND($B530=0,BA$2&gt;1), AZ529, BA527*$B530/Параметры!BA$30)</f>
        <v>0</v>
      </c>
      <c r="BB529" s="287">
        <f ca="1">IF(AND($B530=0,BB$2&gt;1), BA529, BB527*$B530/Параметры!BB$30)</f>
        <v>0</v>
      </c>
      <c r="BC529" s="185"/>
      <c r="BD529" s="193"/>
    </row>
    <row r="530" spans="1:56" s="170" customFormat="1" hidden="1" outlineLevel="1" x14ac:dyDescent="0.3">
      <c r="A530" s="187" t="str">
        <f ca="1">Language!A$769</f>
        <v>периодичность отгрузки</v>
      </c>
      <c r="B530" s="288">
        <v>0</v>
      </c>
      <c r="C530" s="163" t="str">
        <f ca="1">Language!$A$1474</f>
        <v>дней</v>
      </c>
      <c r="D530" s="174"/>
      <c r="F530" s="170" t="s">
        <v>2347</v>
      </c>
      <c r="G530" s="185"/>
      <c r="H530" s="185"/>
      <c r="I530" s="185"/>
      <c r="J530" s="185"/>
      <c r="K530" s="185"/>
      <c r="L530" s="185"/>
      <c r="M530" s="185"/>
      <c r="N530" s="185"/>
      <c r="O530" s="185"/>
      <c r="P530" s="185"/>
      <c r="Q530" s="185"/>
      <c r="R530" s="185"/>
      <c r="S530" s="185"/>
      <c r="T530" s="185"/>
      <c r="U530" s="185"/>
      <c r="V530" s="185"/>
      <c r="W530" s="185"/>
      <c r="X530" s="185"/>
      <c r="Y530" s="185"/>
      <c r="Z530" s="185"/>
      <c r="AA530" s="185"/>
      <c r="AB530" s="185"/>
      <c r="AC530" s="185"/>
      <c r="AD530" s="185"/>
      <c r="AE530" s="185"/>
      <c r="AF530" s="185"/>
      <c r="AG530" s="185"/>
      <c r="AH530" s="185"/>
      <c r="AI530" s="185"/>
      <c r="AJ530" s="185"/>
      <c r="AK530" s="185"/>
      <c r="AL530" s="185"/>
      <c r="AM530" s="185"/>
      <c r="AN530" s="185"/>
      <c r="AO530" s="185"/>
      <c r="AP530" s="185"/>
      <c r="AQ530" s="185"/>
      <c r="AR530" s="185"/>
      <c r="AS530" s="185"/>
      <c r="AT530" s="185"/>
      <c r="AU530" s="185"/>
      <c r="AV530" s="185"/>
      <c r="AW530" s="185"/>
      <c r="AX530" s="185"/>
      <c r="AY530" s="185"/>
      <c r="AZ530" s="185"/>
      <c r="BA530" s="185"/>
      <c r="BB530" s="185"/>
      <c r="BC530" s="185"/>
      <c r="BD530" s="193"/>
    </row>
    <row r="531" spans="1:56" s="170" customFormat="1" hidden="1" outlineLevel="1" x14ac:dyDescent="0.3">
      <c r="A531" s="184" t="str">
        <f ca="1">Language!A$770</f>
        <v>затраты в незавершенном производстве</v>
      </c>
      <c r="B531" s="163"/>
      <c r="C531" s="163" t="str">
        <f t="shared" ca="1" si="2222"/>
        <v>руб.</v>
      </c>
      <c r="D531" s="174"/>
      <c r="F531" s="170" t="s">
        <v>2350</v>
      </c>
      <c r="G531" s="287">
        <f ca="1">IF(AND($B532=0,G$2&gt;1), F531, G527*$B532/Параметры!G$30)</f>
        <v>0</v>
      </c>
      <c r="H531" s="287">
        <f ca="1">IF(AND($B532=0,H$2&gt;1), G531, H527*$B532/Параметры!H$30)</f>
        <v>0</v>
      </c>
      <c r="I531" s="287">
        <f ca="1">IF(AND($B532=0,I$2&gt;1), H531, I527*$B532/Параметры!I$30)</f>
        <v>0</v>
      </c>
      <c r="J531" s="287">
        <f ca="1">IF(AND($B532=0,J$2&gt;1), I531, J527*$B532/Параметры!J$30)</f>
        <v>0</v>
      </c>
      <c r="K531" s="287">
        <f ca="1">IF(AND($B532=0,K$2&gt;1), J531, K527*$B532/Параметры!K$30)</f>
        <v>0</v>
      </c>
      <c r="L531" s="287">
        <f ca="1">IF(AND($B532=0,L$2&gt;1), K531, L527*$B532/Параметры!L$30)</f>
        <v>0</v>
      </c>
      <c r="M531" s="287">
        <f ca="1">IF(AND($B532=0,M$2&gt;1), L531, M527*$B532/Параметры!M$30)</f>
        <v>0</v>
      </c>
      <c r="N531" s="287">
        <f ca="1">IF(AND($B532=0,N$2&gt;1), M531, N527*$B532/Параметры!N$30)</f>
        <v>0</v>
      </c>
      <c r="O531" s="287">
        <f ca="1">IF(AND($B532=0,O$2&gt;1), N531, O527*$B532/Параметры!O$30)</f>
        <v>0</v>
      </c>
      <c r="P531" s="287">
        <f ca="1">IF(AND($B532=0,P$2&gt;1), O531, P527*$B532/Параметры!P$30)</f>
        <v>0</v>
      </c>
      <c r="Q531" s="287">
        <f ca="1">IF(AND($B532=0,Q$2&gt;1), P531, Q527*$B532/Параметры!Q$30)</f>
        <v>0</v>
      </c>
      <c r="R531" s="287">
        <f ca="1">IF(AND($B532=0,R$2&gt;1), Q531, R527*$B532/Параметры!R$30)</f>
        <v>0</v>
      </c>
      <c r="S531" s="287">
        <f ca="1">IF(AND($B532=0,S$2&gt;1), R531, S527*$B532/Параметры!S$30)</f>
        <v>0</v>
      </c>
      <c r="T531" s="287">
        <f ca="1">IF(AND($B532=0,T$2&gt;1), S531, T527*$B532/Параметры!T$30)</f>
        <v>0</v>
      </c>
      <c r="U531" s="287">
        <f ca="1">IF(AND($B532=0,U$2&gt;1), T531, U527*$B532/Параметры!U$30)</f>
        <v>0</v>
      </c>
      <c r="V531" s="287">
        <f ca="1">IF(AND($B532=0,V$2&gt;1), U531, V527*$B532/Параметры!V$30)</f>
        <v>0</v>
      </c>
      <c r="W531" s="287">
        <f ca="1">IF(AND($B532=0,W$2&gt;1), V531, W527*$B532/Параметры!W$30)</f>
        <v>0</v>
      </c>
      <c r="X531" s="287">
        <f ca="1">IF(AND($B532=0,X$2&gt;1), W531, X527*$B532/Параметры!X$30)</f>
        <v>0</v>
      </c>
      <c r="Y531" s="287">
        <f ca="1">IF(AND($B532=0,Y$2&gt;1), X531, Y527*$B532/Параметры!Y$30)</f>
        <v>0</v>
      </c>
      <c r="Z531" s="287">
        <f ca="1">IF(AND($B532=0,Z$2&gt;1), Y531, Z527*$B532/Параметры!Z$30)</f>
        <v>0</v>
      </c>
      <c r="AA531" s="287">
        <f ca="1">IF(AND($B532=0,AA$2&gt;1), Z531, AA527*$B532/Параметры!AA$30)</f>
        <v>0</v>
      </c>
      <c r="AB531" s="287">
        <f ca="1">IF(AND($B532=0,AB$2&gt;1), AA531, AB527*$B532/Параметры!AB$30)</f>
        <v>0</v>
      </c>
      <c r="AC531" s="287">
        <f ca="1">IF(AND($B532=0,AC$2&gt;1), AB531, AC527*$B532/Параметры!AC$30)</f>
        <v>0</v>
      </c>
      <c r="AD531" s="287">
        <f ca="1">IF(AND($B532=0,AD$2&gt;1), AC531, AD527*$B532/Параметры!AD$30)</f>
        <v>0</v>
      </c>
      <c r="AE531" s="287">
        <f ca="1">IF(AND($B532=0,AE$2&gt;1), AD531, AE527*$B532/Параметры!AE$30)</f>
        <v>0</v>
      </c>
      <c r="AF531" s="287">
        <f ca="1">IF(AND($B532=0,AF$2&gt;1), AE531, AF527*$B532/Параметры!AF$30)</f>
        <v>0</v>
      </c>
      <c r="AG531" s="287">
        <f ca="1">IF(AND($B532=0,AG$2&gt;1), AF531, AG527*$B532/Параметры!AG$30)</f>
        <v>0</v>
      </c>
      <c r="AH531" s="287">
        <f ca="1">IF(AND($B532=0,AH$2&gt;1), AG531, AH527*$B532/Параметры!AH$30)</f>
        <v>0</v>
      </c>
      <c r="AI531" s="287">
        <f ca="1">IF(AND($B532=0,AI$2&gt;1), AH531, AI527*$B532/Параметры!AI$30)</f>
        <v>0</v>
      </c>
      <c r="AJ531" s="287">
        <f ca="1">IF(AND($B532=0,AJ$2&gt;1), AI531, AJ527*$B532/Параметры!AJ$30)</f>
        <v>0</v>
      </c>
      <c r="AK531" s="287">
        <f ca="1">IF(AND($B532=0,AK$2&gt;1), AJ531, AK527*$B532/Параметры!AK$30)</f>
        <v>0</v>
      </c>
      <c r="AL531" s="287">
        <f ca="1">IF(AND($B532=0,AL$2&gt;1), AK531, AL527*$B532/Параметры!AL$30)</f>
        <v>0</v>
      </c>
      <c r="AM531" s="287">
        <f ca="1">IF(AND($B532=0,AM$2&gt;1), AL531, AM527*$B532/Параметры!AM$30)</f>
        <v>0</v>
      </c>
      <c r="AN531" s="287">
        <f ca="1">IF(AND($B532=0,AN$2&gt;1), AM531, AN527*$B532/Параметры!AN$30)</f>
        <v>0</v>
      </c>
      <c r="AO531" s="287">
        <f ca="1">IF(AND($B532=0,AO$2&gt;1), AN531, AO527*$B532/Параметры!AO$30)</f>
        <v>0</v>
      </c>
      <c r="AP531" s="287">
        <f ca="1">IF(AND($B532=0,AP$2&gt;1), AO531, AP527*$B532/Параметры!AP$30)</f>
        <v>0</v>
      </c>
      <c r="AQ531" s="287">
        <f ca="1">IF(AND($B532=0,AQ$2&gt;1), AP531, AQ527*$B532/Параметры!AQ$30)</f>
        <v>0</v>
      </c>
      <c r="AR531" s="287">
        <f ca="1">IF(AND($B532=0,AR$2&gt;1), AQ531, AR527*$B532/Параметры!AR$30)</f>
        <v>0</v>
      </c>
      <c r="AS531" s="287">
        <f ca="1">IF(AND($B532=0,AS$2&gt;1), AR531, AS527*$B532/Параметры!AS$30)</f>
        <v>0</v>
      </c>
      <c r="AT531" s="287">
        <f ca="1">IF(AND($B532=0,AT$2&gt;1), AS531, AT527*$B532/Параметры!AT$30)</f>
        <v>0</v>
      </c>
      <c r="AU531" s="287">
        <f ca="1">IF(AND($B532=0,AU$2&gt;1), AT531, AU527*$B532/Параметры!AU$30)</f>
        <v>0</v>
      </c>
      <c r="AV531" s="287">
        <f ca="1">IF(AND($B532=0,AV$2&gt;1), AU531, AV527*$B532/Параметры!AV$30)</f>
        <v>0</v>
      </c>
      <c r="AW531" s="287">
        <f ca="1">IF(AND($B532=0,AW$2&gt;1), AV531, AW527*$B532/Параметры!AW$30)</f>
        <v>0</v>
      </c>
      <c r="AX531" s="287">
        <f ca="1">IF(AND($B532=0,AX$2&gt;1), AW531, AX527*$B532/Параметры!AX$30)</f>
        <v>0</v>
      </c>
      <c r="AY531" s="287">
        <f ca="1">IF(AND($B532=0,AY$2&gt;1), AX531, AY527*$B532/Параметры!AY$30)</f>
        <v>0</v>
      </c>
      <c r="AZ531" s="287">
        <f ca="1">IF(AND($B532=0,AZ$2&gt;1), AY531, AZ527*$B532/Параметры!AZ$30)</f>
        <v>0</v>
      </c>
      <c r="BA531" s="287">
        <f ca="1">IF(AND($B532=0,BA$2&gt;1), AZ531, BA527*$B532/Параметры!BA$30)</f>
        <v>0</v>
      </c>
      <c r="BB531" s="287">
        <f ca="1">IF(AND($B532=0,BB$2&gt;1), BA531, BB527*$B532/Параметры!BB$30)</f>
        <v>0</v>
      </c>
      <c r="BC531" s="185"/>
      <c r="BD531" s="193"/>
    </row>
    <row r="532" spans="1:56" s="170" customFormat="1" hidden="1" outlineLevel="1" x14ac:dyDescent="0.3">
      <c r="A532" s="187" t="str">
        <f ca="1">Language!A$771</f>
        <v>длительность производственного цикла</v>
      </c>
      <c r="B532" s="288">
        <v>0</v>
      </c>
      <c r="C532" s="163" t="str">
        <f ca="1">Language!$A$1474</f>
        <v>дней</v>
      </c>
      <c r="D532" s="174"/>
      <c r="F532" s="170" t="s">
        <v>2347</v>
      </c>
      <c r="G532" s="185"/>
      <c r="H532" s="185"/>
      <c r="I532" s="185"/>
      <c r="J532" s="185"/>
      <c r="K532" s="185"/>
      <c r="L532" s="185"/>
      <c r="M532" s="185"/>
      <c r="N532" s="185"/>
      <c r="O532" s="185"/>
      <c r="P532" s="185"/>
      <c r="Q532" s="185"/>
      <c r="R532" s="185"/>
      <c r="S532" s="185"/>
      <c r="T532" s="185"/>
      <c r="U532" s="185"/>
      <c r="V532" s="185"/>
      <c r="W532" s="185"/>
      <c r="X532" s="185"/>
      <c r="Y532" s="185"/>
      <c r="Z532" s="185"/>
      <c r="AA532" s="185"/>
      <c r="AB532" s="185"/>
      <c r="AC532" s="185"/>
      <c r="AD532" s="185"/>
      <c r="AE532" s="185"/>
      <c r="AF532" s="185"/>
      <c r="AG532" s="185"/>
      <c r="AH532" s="185"/>
      <c r="AI532" s="185"/>
      <c r="AJ532" s="185"/>
      <c r="AK532" s="185"/>
      <c r="AL532" s="185"/>
      <c r="AM532" s="185"/>
      <c r="AN532" s="185"/>
      <c r="AO532" s="185"/>
      <c r="AP532" s="185"/>
      <c r="AQ532" s="185"/>
      <c r="AR532" s="185"/>
      <c r="AS532" s="185"/>
      <c r="AT532" s="185"/>
      <c r="AU532" s="185"/>
      <c r="AV532" s="185"/>
      <c r="AW532" s="185"/>
      <c r="AX532" s="185"/>
      <c r="AY532" s="185"/>
      <c r="AZ532" s="185"/>
      <c r="BA532" s="185"/>
      <c r="BB532" s="185"/>
      <c r="BC532" s="185"/>
      <c r="BD532" s="193"/>
    </row>
    <row r="533" spans="1:56" s="173" customFormat="1" hidden="1" outlineLevel="1" x14ac:dyDescent="0.3">
      <c r="A533" s="181" t="str">
        <f ca="1">Language!A$772</f>
        <v>списано на продажи</v>
      </c>
      <c r="B533" s="176"/>
      <c r="C533" s="176" t="str">
        <f t="shared" ca="1" si="2222"/>
        <v>руб.</v>
      </c>
      <c r="D533" s="174"/>
      <c r="E533" s="170"/>
      <c r="F533" s="170" t="s">
        <v>740</v>
      </c>
      <c r="G533" s="202">
        <f t="shared" ref="G533:BB533" ca="1" si="2223">G527-G529-G531 + IF(G$2&gt;1, F529+F531, 0)</f>
        <v>0</v>
      </c>
      <c r="H533" s="202">
        <f t="shared" ca="1" si="2223"/>
        <v>0</v>
      </c>
      <c r="I533" s="202">
        <f t="shared" ca="1" si="2223"/>
        <v>0</v>
      </c>
      <c r="J533" s="202">
        <f t="shared" ca="1" si="2223"/>
        <v>0</v>
      </c>
      <c r="K533" s="202">
        <f t="shared" ca="1" si="2223"/>
        <v>0</v>
      </c>
      <c r="L533" s="202">
        <f t="shared" ca="1" si="2223"/>
        <v>0</v>
      </c>
      <c r="M533" s="202">
        <f t="shared" ca="1" si="2223"/>
        <v>834305.47414703318</v>
      </c>
      <c r="N533" s="202">
        <f t="shared" ca="1" si="2223"/>
        <v>980323.13822515146</v>
      </c>
      <c r="O533" s="202">
        <f t="shared" ca="1" si="2223"/>
        <v>1129020.7928985313</v>
      </c>
      <c r="P533" s="202">
        <f t="shared" ca="1" si="2223"/>
        <v>1290883.3530566678</v>
      </c>
      <c r="Q533" s="202">
        <f t="shared" ca="1" si="2223"/>
        <v>1301048.5823821172</v>
      </c>
      <c r="R533" s="202">
        <f t="shared" ca="1" si="2223"/>
        <v>1353495.7886335424</v>
      </c>
      <c r="S533" s="202">
        <f t="shared" ca="1" si="2223"/>
        <v>1636402.560000001</v>
      </c>
      <c r="T533" s="202">
        <f t="shared" ca="1" si="2223"/>
        <v>1512187.2854561771</v>
      </c>
      <c r="U533" s="202">
        <f t="shared" ca="1" si="2223"/>
        <v>1363997.9862290164</v>
      </c>
      <c r="V533" s="202">
        <f t="shared" ca="1" si="2223"/>
        <v>1363956.7029130005</v>
      </c>
      <c r="W533" s="202">
        <f t="shared" ca="1" si="2223"/>
        <v>1216924.2195763947</v>
      </c>
      <c r="X533" s="202">
        <f t="shared" ca="1" si="2223"/>
        <v>1638887.4611655204</v>
      </c>
      <c r="Y533" s="202">
        <f t="shared" ca="1" si="2223"/>
        <v>1919334.2345958566</v>
      </c>
      <c r="Z533" s="202">
        <f t="shared" ca="1" si="2223"/>
        <v>1935737.2569121846</v>
      </c>
      <c r="AA533" s="202">
        <f t="shared" ca="1" si="2223"/>
        <v>1532781.9455216606</v>
      </c>
      <c r="AB533" s="202">
        <f t="shared" ca="1" si="2223"/>
        <v>1270191.9997359805</v>
      </c>
      <c r="AC533" s="202">
        <f t="shared" ca="1" si="2223"/>
        <v>1280009.3722655019</v>
      </c>
      <c r="AD533" s="202">
        <f t="shared" ca="1" si="2223"/>
        <v>1486169.7177062114</v>
      </c>
      <c r="AE533" s="202">
        <f t="shared" ca="1" si="2223"/>
        <v>1803875.260416002</v>
      </c>
      <c r="AF533" s="202">
        <f t="shared" ca="1" si="2223"/>
        <v>1664137.6521314818</v>
      </c>
      <c r="AG533" s="202">
        <f t="shared" ca="1" si="2223"/>
        <v>1498823.4834882047</v>
      </c>
      <c r="AH533" s="202">
        <f t="shared" ca="1" si="2223"/>
        <v>1499296.7989145813</v>
      </c>
      <c r="AI533" s="202">
        <f t="shared" ca="1" si="2223"/>
        <v>1334960.3524208853</v>
      </c>
      <c r="AJ533" s="202">
        <f t="shared" ca="1" si="2223"/>
        <v>1809956.752382033</v>
      </c>
      <c r="AK533" s="202">
        <f t="shared" ca="1" si="2223"/>
        <v>2126301.6132028098</v>
      </c>
      <c r="AL533" s="202">
        <f t="shared" ca="1" si="2223"/>
        <v>2144584.7456423594</v>
      </c>
      <c r="AM533" s="202">
        <f t="shared" ca="1" si="2223"/>
        <v>1690274.4099519635</v>
      </c>
      <c r="AN533" s="202">
        <f t="shared" ca="1" si="2223"/>
        <v>1393664.2326004801</v>
      </c>
      <c r="AO533" s="202">
        <f t="shared" ca="1" si="2223"/>
        <v>1404531.8550515333</v>
      </c>
      <c r="AP533" s="202">
        <f t="shared" ca="1" si="2223"/>
        <v>1633165.055388116</v>
      </c>
      <c r="AQ533" s="202">
        <f t="shared" ca="1" si="2223"/>
        <v>1989960.3872434208</v>
      </c>
      <c r="AR533" s="202">
        <f t="shared" ca="1" si="2223"/>
        <v>1832771.7252194299</v>
      </c>
      <c r="AS533" s="202">
        <f t="shared" ca="1" si="2223"/>
        <v>1648287.5329783061</v>
      </c>
      <c r="AT533" s="202">
        <f t="shared" ca="1" si="2223"/>
        <v>1649370.2336332488</v>
      </c>
      <c r="AU533" s="202">
        <f t="shared" ca="1" si="2223"/>
        <v>1465643.2092432461</v>
      </c>
      <c r="AV533" s="202">
        <f t="shared" ca="1" si="2223"/>
        <v>2000280.3760538935</v>
      </c>
      <c r="AW533" s="202">
        <f t="shared" ca="1" si="2223"/>
        <v>2357034.4198382357</v>
      </c>
      <c r="AX533" s="202">
        <f t="shared" ca="1" si="2223"/>
        <v>2377421.2058061329</v>
      </c>
      <c r="AY533" s="202">
        <f t="shared" ca="1" si="2223"/>
        <v>1865315.3799436812</v>
      </c>
      <c r="AZ533" s="202">
        <f t="shared" ca="1" si="2223"/>
        <v>1530386.2235488591</v>
      </c>
      <c r="BA533" s="202">
        <f t="shared" ca="1" si="2223"/>
        <v>1542424.1161723596</v>
      </c>
      <c r="BB533" s="202">
        <f t="shared" ca="1" si="2223"/>
        <v>1796127.3024419092</v>
      </c>
      <c r="BC533" s="202"/>
      <c r="BD533" s="183">
        <f ca="1">SUM(G533:BC533)</f>
        <v>67104252.195133716</v>
      </c>
    </row>
    <row r="534" spans="1:56" s="170" customFormat="1" hidden="1" outlineLevel="1" x14ac:dyDescent="0.3">
      <c r="A534" s="184" t="str">
        <f ca="1">Language!A$773</f>
        <v>кредиторская задолженность</v>
      </c>
      <c r="B534" s="174"/>
      <c r="C534" s="163" t="str">
        <f t="shared" ca="1" si="2222"/>
        <v>руб.</v>
      </c>
      <c r="D534" s="174"/>
      <c r="F534" s="170" t="s">
        <v>2350</v>
      </c>
      <c r="G534" s="287">
        <f ca="1">IF(AND($B535=0,G$2&gt;1),F534,(G527+G528)*$B535/Параметры!G$30)</f>
        <v>0</v>
      </c>
      <c r="H534" s="287">
        <f ca="1">IF(AND($B535=0,H$2&gt;1),G534,(H527+H528)*$B535/Параметры!H$30)</f>
        <v>0</v>
      </c>
      <c r="I534" s="287">
        <f ca="1">IF(AND($B535=0,I$2&gt;1),H534,(I527+I528)*$B535/Параметры!I$30)</f>
        <v>0</v>
      </c>
      <c r="J534" s="287">
        <f ca="1">IF(AND($B535=0,J$2&gt;1),I534,(J527+J528)*$B535/Параметры!J$30)</f>
        <v>0</v>
      </c>
      <c r="K534" s="287">
        <f ca="1">IF(AND($B535=0,K$2&gt;1),J534,(K527+K528)*$B535/Параметры!K$30)</f>
        <v>0</v>
      </c>
      <c r="L534" s="287">
        <f ca="1">IF(AND($B535=0,L$2&gt;1),K534,(L527+L528)*$B535/Параметры!L$30)</f>
        <v>0</v>
      </c>
      <c r="M534" s="287">
        <f ca="1">IF(AND($B535=0,M$2&gt;1),L534,(M527+M528)*$B535/Параметры!M$30)</f>
        <v>278101.82471567771</v>
      </c>
      <c r="N534" s="287">
        <f ca="1">IF(AND($B535=0,N$2&gt;1),M534,(N527+N528)*$B535/Параметры!N$30)</f>
        <v>326774.3794083838</v>
      </c>
      <c r="O534" s="287">
        <f ca="1">IF(AND($B535=0,O$2&gt;1),N534,(O527+O528)*$B535/Параметры!O$30)</f>
        <v>376340.2642995104</v>
      </c>
      <c r="P534" s="287">
        <f ca="1">IF(AND($B535=0,P$2&gt;1),O534,(P527+P528)*$B535/Параметры!P$30)</f>
        <v>430294.45101888926</v>
      </c>
      <c r="Q534" s="287">
        <f ca="1">IF(AND($B535=0,Q$2&gt;1),P534,(Q527+Q528)*$B535/Параметры!Q$30)</f>
        <v>433682.86079403909</v>
      </c>
      <c r="R534" s="287">
        <f ca="1">IF(AND($B535=0,R$2&gt;1),Q534,(R527+R528)*$B535/Параметры!R$30)</f>
        <v>451165.26287784742</v>
      </c>
      <c r="S534" s="287">
        <f ca="1">IF(AND($B535=0,S$2&gt;1),R534,(S527+S528)*$B535/Параметры!S$30)</f>
        <v>545467.52000000025</v>
      </c>
      <c r="T534" s="287">
        <f ca="1">IF(AND($B535=0,T$2&gt;1),S534,(T527+T528)*$B535/Параметры!T$30)</f>
        <v>504062.42848539236</v>
      </c>
      <c r="U534" s="287">
        <f ca="1">IF(AND($B535=0,U$2&gt;1),T534,(U527+U528)*$B535/Параметры!U$30)</f>
        <v>454665.99540967215</v>
      </c>
      <c r="V534" s="287">
        <f ca="1">IF(AND($B535=0,V$2&gt;1),U534,(V527+V528)*$B535/Параметры!V$30)</f>
        <v>454652.23430433345</v>
      </c>
      <c r="W534" s="287">
        <f ca="1">IF(AND($B535=0,W$2&gt;1),V534,(W527+W528)*$B535/Параметры!W$30)</f>
        <v>405641.40652546484</v>
      </c>
      <c r="X534" s="287">
        <f ca="1">IF(AND($B535=0,X$2&gt;1),W534,(X527+X528)*$B535/Параметры!X$30)</f>
        <v>546295.82038850675</v>
      </c>
      <c r="Y534" s="287">
        <f ca="1">IF(AND($B535=0,Y$2&gt;1),X534,(Y527+Y528)*$B535/Параметры!Y$30)</f>
        <v>639778.07819861895</v>
      </c>
      <c r="Z534" s="287">
        <f ca="1">IF(AND($B535=0,Z$2&gt;1),Y534,(Z527+Z528)*$B535/Параметры!Z$30)</f>
        <v>645245.75230406155</v>
      </c>
      <c r="AA534" s="287">
        <f ca="1">IF(AND($B535=0,AA$2&gt;1),Z534,(AA527+AA528)*$B535/Параметры!AA$30)</f>
        <v>510927.31517388683</v>
      </c>
      <c r="AB534" s="287">
        <f ca="1">IF(AND($B535=0,AB$2&gt;1),AA534,(AB527+AB528)*$B535/Параметры!AB$30)</f>
        <v>423397.33324532682</v>
      </c>
      <c r="AC534" s="287">
        <f ca="1">IF(AND($B535=0,AC$2&gt;1),AB534,(AC527+AC528)*$B535/Параметры!AC$30)</f>
        <v>426669.79075516731</v>
      </c>
      <c r="AD534" s="287">
        <f ca="1">IF(AND($B535=0,AD$2&gt;1),AC534,(AD527+AD528)*$B535/Параметры!AD$30)</f>
        <v>495389.9059020704</v>
      </c>
      <c r="AE534" s="287">
        <f ca="1">IF(AND($B535=0,AE$2&gt;1),AD534,(AE527+AE528)*$B535/Параметры!AE$30)</f>
        <v>601291.75347200059</v>
      </c>
      <c r="AF534" s="287">
        <f ca="1">IF(AND($B535=0,AF$2&gt;1),AE534,(AF527+AF528)*$B535/Параметры!AF$30)</f>
        <v>554712.55071049393</v>
      </c>
      <c r="AG534" s="287">
        <f ca="1">IF(AND($B535=0,AG$2&gt;1),AF534,(AG527+AG528)*$B535/Параметры!AG$30)</f>
        <v>499607.82782940159</v>
      </c>
      <c r="AH534" s="287">
        <f ca="1">IF(AND($B535=0,AH$2&gt;1),AG534,(AH527+AH528)*$B535/Параметры!AH$30)</f>
        <v>499765.59963819379</v>
      </c>
      <c r="AI534" s="287">
        <f ca="1">IF(AND($B535=0,AI$2&gt;1),AH534,(AI527+AI528)*$B535/Параметры!AI$30)</f>
        <v>444986.78414029512</v>
      </c>
      <c r="AJ534" s="287">
        <f ca="1">IF(AND($B535=0,AJ$2&gt;1),AI534,(AJ527+AJ528)*$B535/Параметры!AJ$30)</f>
        <v>603318.91746067768</v>
      </c>
      <c r="AK534" s="287">
        <f ca="1">IF(AND($B535=0,AK$2&gt;1),AJ534,(AK527+AK528)*$B535/Параметры!AK$30)</f>
        <v>708767.20440093661</v>
      </c>
      <c r="AL534" s="287">
        <f ca="1">IF(AND($B535=0,AL$2&gt;1),AK534,(AL527+AL528)*$B535/Параметры!AL$30)</f>
        <v>714861.58188078657</v>
      </c>
      <c r="AM534" s="287">
        <f ca="1">IF(AND($B535=0,AM$2&gt;1),AL534,(AM527+AM528)*$B535/Параметры!AM$30)</f>
        <v>563424.80331732112</v>
      </c>
      <c r="AN534" s="287">
        <f ca="1">IF(AND($B535=0,AN$2&gt;1),AM534,(AN527+AN528)*$B535/Параметры!AN$30)</f>
        <v>464554.74420016003</v>
      </c>
      <c r="AO534" s="287">
        <f ca="1">IF(AND($B535=0,AO$2&gt;1),AN534,(AO527+AO528)*$B535/Параметры!AO$30)</f>
        <v>468177.28501717775</v>
      </c>
      <c r="AP534" s="287">
        <f ca="1">IF(AND($B535=0,AP$2&gt;1),AO534,(AP527+AP528)*$B535/Параметры!AP$30)</f>
        <v>544388.35179603868</v>
      </c>
      <c r="AQ534" s="287">
        <f ca="1">IF(AND($B535=0,AQ$2&gt;1),AP534,(AQ527+AQ528)*$B535/Параметры!AQ$30)</f>
        <v>663320.12908114016</v>
      </c>
      <c r="AR534" s="287">
        <f ca="1">IF(AND($B535=0,AR$2&gt;1),AQ534,(AR527+AR528)*$B535/Параметры!AR$30)</f>
        <v>610923.90840647672</v>
      </c>
      <c r="AS534" s="287">
        <f ca="1">IF(AND($B535=0,AS$2&gt;1),AR534,(AS527+AS528)*$B535/Параметры!AS$30)</f>
        <v>549429.17765943531</v>
      </c>
      <c r="AT534" s="287">
        <f ca="1">IF(AND($B535=0,AT$2&gt;1),AS534,(AT527+AT528)*$B535/Параметры!AT$30)</f>
        <v>549790.07787774957</v>
      </c>
      <c r="AU534" s="287">
        <f ca="1">IF(AND($B535=0,AU$2&gt;1),AT534,(AU527+AU528)*$B535/Параметры!AU$30)</f>
        <v>488547.73641441541</v>
      </c>
      <c r="AV534" s="287">
        <f ca="1">IF(AND($B535=0,AV$2&gt;1),AU534,(AV527+AV528)*$B535/Параметры!AV$30)</f>
        <v>666760.1253512979</v>
      </c>
      <c r="AW534" s="287">
        <f ca="1">IF(AND($B535=0,AW$2&gt;1),AV534,(AW527+AW528)*$B535/Параметры!AW$30)</f>
        <v>785678.13994607853</v>
      </c>
      <c r="AX534" s="287">
        <f ca="1">IF(AND($B535=0,AX$2&gt;1),AW534,(AX527+AX528)*$B535/Параметры!AX$30)</f>
        <v>792473.73526871088</v>
      </c>
      <c r="AY534" s="287">
        <f ca="1">IF(AND($B535=0,AY$2&gt;1),AX534,(AY527+AY528)*$B535/Параметры!AY$30)</f>
        <v>621771.79331456043</v>
      </c>
      <c r="AZ534" s="287">
        <f ca="1">IF(AND($B535=0,AZ$2&gt;1),AY534,(AZ527+AZ528)*$B535/Параметры!AZ$30)</f>
        <v>510128.74118295306</v>
      </c>
      <c r="BA534" s="287">
        <f ca="1">IF(AND($B535=0,BA$2&gt;1),AZ534,(BA527+BA528)*$B535/Параметры!BA$30)</f>
        <v>514141.37205745315</v>
      </c>
      <c r="BB534" s="287">
        <f ca="1">IF(AND($B535=0,BB$2&gt;1),BA534,(BB527+BB528)*$B535/Параметры!BB$30)</f>
        <v>598709.10081396974</v>
      </c>
      <c r="BC534" s="188"/>
      <c r="BD534" s="186"/>
    </row>
    <row r="535" spans="1:56" s="170" customFormat="1" hidden="1" outlineLevel="1" x14ac:dyDescent="0.3">
      <c r="A535" s="187" t="str">
        <f ca="1">Language!A$774</f>
        <v>период отсрочки платежа</v>
      </c>
      <c r="B535" s="288">
        <f>$B$603</f>
        <v>10</v>
      </c>
      <c r="C535" s="163" t="str">
        <f ca="1">Language!$A$1474</f>
        <v>дней</v>
      </c>
      <c r="F535" s="170" t="s">
        <v>2347</v>
      </c>
      <c r="G535" s="185"/>
      <c r="H535" s="185"/>
      <c r="I535" s="185"/>
      <c r="J535" s="185"/>
      <c r="K535" s="185"/>
      <c r="L535" s="185"/>
      <c r="M535" s="185"/>
      <c r="N535" s="185"/>
      <c r="O535" s="185"/>
      <c r="P535" s="185"/>
      <c r="Q535" s="185"/>
      <c r="R535" s="185"/>
      <c r="S535" s="185"/>
      <c r="T535" s="185"/>
      <c r="U535" s="185"/>
      <c r="V535" s="185"/>
      <c r="W535" s="185"/>
      <c r="X535" s="185"/>
      <c r="Y535" s="185"/>
      <c r="Z535" s="185"/>
      <c r="AA535" s="185"/>
      <c r="AB535" s="185"/>
      <c r="AC535" s="185"/>
      <c r="AD535" s="185"/>
      <c r="AE535" s="185"/>
      <c r="AF535" s="185"/>
      <c r="AG535" s="185"/>
      <c r="AH535" s="185"/>
      <c r="AI535" s="185"/>
      <c r="AJ535" s="185"/>
      <c r="AK535" s="185"/>
      <c r="AL535" s="185"/>
      <c r="AM535" s="185"/>
      <c r="AN535" s="185"/>
      <c r="AO535" s="185"/>
      <c r="AP535" s="185"/>
      <c r="AQ535" s="185"/>
      <c r="AR535" s="185"/>
      <c r="AS535" s="185"/>
      <c r="AT535" s="185"/>
      <c r="AU535" s="185"/>
      <c r="AV535" s="185"/>
      <c r="AW535" s="185"/>
      <c r="AX535" s="185"/>
      <c r="AY535" s="185"/>
      <c r="AZ535" s="185"/>
      <c r="BA535" s="185"/>
      <c r="BB535" s="185"/>
      <c r="BC535" s="185"/>
      <c r="BD535" s="186"/>
    </row>
    <row r="536" spans="1:56" s="170" customFormat="1" hidden="1" outlineLevel="1" x14ac:dyDescent="0.3">
      <c r="A536" s="184" t="str">
        <f ca="1">Language!A$775</f>
        <v>авансы уплаченные</v>
      </c>
      <c r="B536" s="174"/>
      <c r="C536" s="163" t="str">
        <f t="shared" ca="1" si="2222"/>
        <v>руб.</v>
      </c>
      <c r="D536" s="174"/>
      <c r="F536" s="170" t="s">
        <v>2350</v>
      </c>
      <c r="G536" s="287">
        <f ca="1">IF(OR(AND($B537=0,G$2&gt;1),G$2=Prj_Len),F536,(OFFSET(G527,0,1)+OFFSET(G528,0,1))*$B537/Параметры!G$30)</f>
        <v>0</v>
      </c>
      <c r="H536" s="287">
        <f ca="1">IF(OR(AND($B537=0,H$2&gt;1),H$2=Prj_Len),G536,(OFFSET(H527,0,1)+OFFSET(H528,0,1))*$B537/Параметры!H$30)</f>
        <v>0</v>
      </c>
      <c r="I536" s="287">
        <f ca="1">IF(OR(AND($B537=0,I$2&gt;1),I$2=Prj_Len),H536,(OFFSET(I527,0,1)+OFFSET(I528,0,1))*$B537/Параметры!I$30)</f>
        <v>0</v>
      </c>
      <c r="J536" s="287">
        <f ca="1">IF(OR(AND($B537=0,J$2&gt;1),J$2=Prj_Len),I536,(OFFSET(J527,0,1)+OFFSET(J528,0,1))*$B537/Параметры!J$30)</f>
        <v>0</v>
      </c>
      <c r="K536" s="287">
        <f ca="1">IF(OR(AND($B537=0,K$2&gt;1),K$2=Prj_Len),J536,(OFFSET(K527,0,1)+OFFSET(K528,0,1))*$B537/Параметры!K$30)</f>
        <v>0</v>
      </c>
      <c r="L536" s="287">
        <f ca="1">IF(OR(AND($B537=0,L$2&gt;1),L$2=Prj_Len),K536,(OFFSET(L527,0,1)+OFFSET(L528,0,1))*$B537/Параметры!L$30)</f>
        <v>139050.91235783885</v>
      </c>
      <c r="M536" s="287">
        <f ca="1">IF(OR(AND($B537=0,M$2&gt;1),M$2=Prj_Len),L536,(OFFSET(M527,0,1)+OFFSET(M528,0,1))*$B537/Параметры!M$30)</f>
        <v>163387.1897041919</v>
      </c>
      <c r="N536" s="287">
        <f ca="1">IF(OR(AND($B537=0,N$2&gt;1),N$2=Prj_Len),M536,(OFFSET(N527,0,1)+OFFSET(N528,0,1))*$B537/Параметры!N$30)</f>
        <v>188170.1321497552</v>
      </c>
      <c r="O536" s="287">
        <f ca="1">IF(OR(AND($B537=0,O$2&gt;1),O$2=Prj_Len),N536,(OFFSET(O527,0,1)+OFFSET(O528,0,1))*$B537/Параметры!O$30)</f>
        <v>215147.22550944463</v>
      </c>
      <c r="P536" s="287">
        <f ca="1">IF(OR(AND($B537=0,P$2&gt;1),P$2=Prj_Len),O536,(OFFSET(P527,0,1)+OFFSET(P528,0,1))*$B537/Параметры!P$30)</f>
        <v>216841.43039701955</v>
      </c>
      <c r="Q536" s="287">
        <f ca="1">IF(OR(AND($B537=0,Q$2&gt;1),Q$2=Prj_Len),P536,(OFFSET(Q527,0,1)+OFFSET(Q528,0,1))*$B537/Параметры!Q$30)</f>
        <v>225582.63143892371</v>
      </c>
      <c r="R536" s="287">
        <f ca="1">IF(OR(AND($B537=0,R$2&gt;1),R$2=Prj_Len),Q536,(OFFSET(R527,0,1)+OFFSET(R528,0,1))*$B537/Параметры!R$30)</f>
        <v>272733.76000000013</v>
      </c>
      <c r="S536" s="287">
        <f ca="1">IF(OR(AND($B537=0,S$2&gt;1),S$2=Prj_Len),R536,(OFFSET(S527,0,1)+OFFSET(S528,0,1))*$B537/Параметры!S$30)</f>
        <v>252031.21424269618</v>
      </c>
      <c r="T536" s="287">
        <f ca="1">IF(OR(AND($B537=0,T$2&gt;1),T$2=Prj_Len),S536,(OFFSET(T527,0,1)+OFFSET(T528,0,1))*$B537/Параметры!T$30)</f>
        <v>227332.99770483607</v>
      </c>
      <c r="U536" s="287">
        <f ca="1">IF(OR(AND($B537=0,U$2&gt;1),U$2=Prj_Len),T536,(OFFSET(U527,0,1)+OFFSET(U528,0,1))*$B537/Параметры!U$30)</f>
        <v>227326.11715216673</v>
      </c>
      <c r="V536" s="287">
        <f ca="1">IF(OR(AND($B537=0,V$2&gt;1),V$2=Prj_Len),U536,(OFFSET(V527,0,1)+OFFSET(V528,0,1))*$B537/Параметры!V$30)</f>
        <v>202820.70326273242</v>
      </c>
      <c r="W536" s="287">
        <f ca="1">IF(OR(AND($B537=0,W$2&gt;1),W$2=Prj_Len),V536,(OFFSET(W527,0,1)+OFFSET(W528,0,1))*$B537/Параметры!W$30)</f>
        <v>273147.91019425337</v>
      </c>
      <c r="X536" s="287">
        <f ca="1">IF(OR(AND($B537=0,X$2&gt;1),X$2=Prj_Len),W536,(OFFSET(X527,0,1)+OFFSET(X528,0,1))*$B537/Параметры!X$30)</f>
        <v>319889.03909930948</v>
      </c>
      <c r="Y536" s="287">
        <f ca="1">IF(OR(AND($B537=0,Y$2&gt;1),Y$2=Prj_Len),X536,(OFFSET(Y527,0,1)+OFFSET(Y528,0,1))*$B537/Параметры!Y$30)</f>
        <v>322622.87615203077</v>
      </c>
      <c r="Z536" s="287">
        <f ca="1">IF(OR(AND($B537=0,Z$2&gt;1),Z$2=Prj_Len),Y536,(OFFSET(Z527,0,1)+OFFSET(Z528,0,1))*$B537/Параметры!Z$30)</f>
        <v>255463.65758694342</v>
      </c>
      <c r="AA536" s="287">
        <f ca="1">IF(OR(AND($B537=0,AA$2&gt;1),AA$2=Prj_Len),Z536,(OFFSET(AA527,0,1)+OFFSET(AA528,0,1))*$B537/Параметры!AA$30)</f>
        <v>211698.66662266341</v>
      </c>
      <c r="AB536" s="287">
        <f ca="1">IF(OR(AND($B537=0,AB$2&gt;1),AB$2=Prj_Len),AA536,(OFFSET(AB527,0,1)+OFFSET(AB528,0,1))*$B537/Параметры!AB$30)</f>
        <v>213334.89537758366</v>
      </c>
      <c r="AC536" s="287">
        <f ca="1">IF(OR(AND($B537=0,AC$2&gt;1),AC$2=Prj_Len),AB536,(OFFSET(AC527,0,1)+OFFSET(AC528,0,1))*$B537/Параметры!AC$30)</f>
        <v>247694.9529510352</v>
      </c>
      <c r="AD536" s="287">
        <f ca="1">IF(OR(AND($B537=0,AD$2&gt;1),AD$2=Prj_Len),AC536,(OFFSET(AD527,0,1)+OFFSET(AD528,0,1))*$B537/Параметры!AD$30)</f>
        <v>300645.8767360003</v>
      </c>
      <c r="AE536" s="287">
        <f ca="1">IF(OR(AND($B537=0,AE$2&gt;1),AE$2=Prj_Len),AD536,(OFFSET(AE527,0,1)+OFFSET(AE528,0,1))*$B537/Параметры!AE$30)</f>
        <v>277356.27535524697</v>
      </c>
      <c r="AF536" s="287">
        <f ca="1">IF(OR(AND($B537=0,AF$2&gt;1),AF$2=Prj_Len),AE536,(OFFSET(AF527,0,1)+OFFSET(AF528,0,1))*$B537/Параметры!AF$30)</f>
        <v>249803.9139147008</v>
      </c>
      <c r="AG536" s="287">
        <f ca="1">IF(OR(AND($B537=0,AG$2&gt;1),AG$2=Prj_Len),AF536,(OFFSET(AG527,0,1)+OFFSET(AG528,0,1))*$B537/Параметры!AG$30)</f>
        <v>249882.79981909689</v>
      </c>
      <c r="AH536" s="287">
        <f ca="1">IF(OR(AND($B537=0,AH$2&gt;1),AH$2=Prj_Len),AG536,(OFFSET(AH527,0,1)+OFFSET(AH528,0,1))*$B537/Параметры!AH$30)</f>
        <v>222493.39207014756</v>
      </c>
      <c r="AI536" s="287">
        <f ca="1">IF(OR(AND($B537=0,AI$2&gt;1),AI$2=Prj_Len),AH536,(OFFSET(AI527,0,1)+OFFSET(AI528,0,1))*$B537/Параметры!AI$30)</f>
        <v>301659.45873033884</v>
      </c>
      <c r="AJ536" s="287">
        <f ca="1">IF(OR(AND($B537=0,AJ$2&gt;1),AJ$2=Prj_Len),AI536,(OFFSET(AJ527,0,1)+OFFSET(AJ528,0,1))*$B537/Параметры!AJ$30)</f>
        <v>354383.6022004683</v>
      </c>
      <c r="AK536" s="287">
        <f ca="1">IF(OR(AND($B537=0,AK$2&gt;1),AK$2=Prj_Len),AJ536,(OFFSET(AK527,0,1)+OFFSET(AK528,0,1))*$B537/Параметры!AK$30)</f>
        <v>357430.79094039329</v>
      </c>
      <c r="AL536" s="287">
        <f ca="1">IF(OR(AND($B537=0,AL$2&gt;1),AL$2=Prj_Len),AK536,(OFFSET(AL527,0,1)+OFFSET(AL528,0,1))*$B537/Параметры!AL$30)</f>
        <v>281712.40165866056</v>
      </c>
      <c r="AM536" s="287">
        <f ca="1">IF(OR(AND($B537=0,AM$2&gt;1),AM$2=Prj_Len),AL536,(OFFSET(AM527,0,1)+OFFSET(AM528,0,1))*$B537/Параметры!AM$30)</f>
        <v>232277.37210008001</v>
      </c>
      <c r="AN536" s="287">
        <f ca="1">IF(OR(AND($B537=0,AN$2&gt;1),AN$2=Prj_Len),AM536,(OFFSET(AN527,0,1)+OFFSET(AN528,0,1))*$B537/Параметры!AN$30)</f>
        <v>234088.64250858888</v>
      </c>
      <c r="AO536" s="287">
        <f ca="1">IF(OR(AND($B537=0,AO$2&gt;1),AO$2=Prj_Len),AN536,(OFFSET(AO527,0,1)+OFFSET(AO528,0,1))*$B537/Параметры!AO$30)</f>
        <v>272194.17589801934</v>
      </c>
      <c r="AP536" s="287">
        <f ca="1">IF(OR(AND($B537=0,AP$2&gt;1),AP$2=Prj_Len),AO536,(OFFSET(AP527,0,1)+OFFSET(AP528,0,1))*$B537/Параметры!AP$30)</f>
        <v>331660.06454057008</v>
      </c>
      <c r="AQ536" s="287">
        <f ca="1">IF(OR(AND($B537=0,AQ$2&gt;1),AQ$2=Prj_Len),AP536,(OFFSET(AQ527,0,1)+OFFSET(AQ528,0,1))*$B537/Параметры!AQ$30)</f>
        <v>305461.95420323836</v>
      </c>
      <c r="AR536" s="287">
        <f ca="1">IF(OR(AND($B537=0,AR$2&gt;1),AR$2=Prj_Len),AQ536,(OFFSET(AR527,0,1)+OFFSET(AR528,0,1))*$B537/Параметры!AR$30)</f>
        <v>274714.58882971766</v>
      </c>
      <c r="AS536" s="287">
        <f ca="1">IF(OR(AND($B537=0,AS$2&gt;1),AS$2=Prj_Len),AR536,(OFFSET(AS527,0,1)+OFFSET(AS528,0,1))*$B537/Параметры!AS$30)</f>
        <v>274895.03893887479</v>
      </c>
      <c r="AT536" s="287">
        <f ca="1">IF(OR(AND($B537=0,AT$2&gt;1),AT$2=Prj_Len),AS536,(OFFSET(AT527,0,1)+OFFSET(AT528,0,1))*$B537/Параметры!AT$30)</f>
        <v>244273.86820720771</v>
      </c>
      <c r="AU536" s="287">
        <f ca="1">IF(OR(AND($B537=0,AU$2&gt;1),AU$2=Prj_Len),AT536,(OFFSET(AU527,0,1)+OFFSET(AU528,0,1))*$B537/Параметры!AU$30)</f>
        <v>333380.06267564895</v>
      </c>
      <c r="AV536" s="287">
        <f ca="1">IF(OR(AND($B537=0,AV$2&gt;1),AV$2=Prj_Len),AU536,(OFFSET(AV527,0,1)+OFFSET(AV528,0,1))*$B537/Параметры!AV$30)</f>
        <v>392839.06997303927</v>
      </c>
      <c r="AW536" s="287">
        <f ca="1">IF(OR(AND($B537=0,AW$2&gt;1),AW$2=Prj_Len),AV536,(OFFSET(AW527,0,1)+OFFSET(AW528,0,1))*$B537/Параметры!AW$30)</f>
        <v>396236.86763435544</v>
      </c>
      <c r="AX536" s="287">
        <f ca="1">IF(OR(AND($B537=0,AX$2&gt;1),AX$2=Prj_Len),AW536,(OFFSET(AX527,0,1)+OFFSET(AX528,0,1))*$B537/Параметры!AX$30)</f>
        <v>310885.89665728022</v>
      </c>
      <c r="AY536" s="287">
        <f ca="1">IF(OR(AND($B537=0,AY$2&gt;1),AY$2=Prj_Len),AX536,(OFFSET(AY527,0,1)+OFFSET(AY528,0,1))*$B537/Параметры!AY$30)</f>
        <v>255064.37059147653</v>
      </c>
      <c r="AZ536" s="287">
        <f ca="1">IF(OR(AND($B537=0,AZ$2&gt;1),AZ$2=Prj_Len),AY536,(OFFSET(AZ527,0,1)+OFFSET(AZ528,0,1))*$B537/Параметры!AZ$30)</f>
        <v>257070.68602872657</v>
      </c>
      <c r="BA536" s="287">
        <f ca="1">IF(OR(AND($B537=0,BA$2&gt;1),BA$2=Prj_Len),AZ536,(OFFSET(BA527,0,1)+OFFSET(BA528,0,1))*$B537/Параметры!BA$30)</f>
        <v>299354.55040698487</v>
      </c>
      <c r="BB536" s="287">
        <f ca="1">IF(OR(AND($B537=0,BB$2&gt;1),BB$2=Prj_Len),BA536,(OFFSET(BB527,0,1)+OFFSET(BB528,0,1))*$B537/Параметры!BB$30)</f>
        <v>299354.55040698487</v>
      </c>
      <c r="BC536" s="188"/>
      <c r="BD536" s="186"/>
    </row>
    <row r="537" spans="1:56" s="170" customFormat="1" hidden="1" outlineLevel="1" x14ac:dyDescent="0.3">
      <c r="A537" s="187" t="str">
        <f ca="1">Language!A$776</f>
        <v>период предоплаты</v>
      </c>
      <c r="B537" s="288">
        <v>5</v>
      </c>
      <c r="C537" s="163" t="str">
        <f ca="1">Language!$A$1474</f>
        <v>дней</v>
      </c>
      <c r="F537" s="170" t="s">
        <v>2347</v>
      </c>
      <c r="G537" s="185"/>
      <c r="H537" s="185"/>
      <c r="I537" s="185"/>
      <c r="J537" s="185"/>
      <c r="K537" s="185"/>
      <c r="L537" s="185"/>
      <c r="M537" s="185"/>
      <c r="N537" s="185"/>
      <c r="O537" s="185"/>
      <c r="P537" s="185"/>
      <c r="Q537" s="185"/>
      <c r="R537" s="185"/>
      <c r="S537" s="185"/>
      <c r="T537" s="185"/>
      <c r="U537" s="185"/>
      <c r="V537" s="185"/>
      <c r="W537" s="185"/>
      <c r="X537" s="185"/>
      <c r="Y537" s="185"/>
      <c r="Z537" s="185"/>
      <c r="AA537" s="185"/>
      <c r="AB537" s="185"/>
      <c r="AC537" s="185"/>
      <c r="AD537" s="185"/>
      <c r="AE537" s="185"/>
      <c r="AF537" s="185"/>
      <c r="AG537" s="185"/>
      <c r="AH537" s="185"/>
      <c r="AI537" s="185"/>
      <c r="AJ537" s="185"/>
      <c r="AK537" s="185"/>
      <c r="AL537" s="185"/>
      <c r="AM537" s="185"/>
      <c r="AN537" s="185"/>
      <c r="AO537" s="185"/>
      <c r="AP537" s="185"/>
      <c r="AQ537" s="185"/>
      <c r="AR537" s="185"/>
      <c r="AS537" s="185"/>
      <c r="AT537" s="185"/>
      <c r="AU537" s="185"/>
      <c r="AV537" s="185"/>
      <c r="AW537" s="185"/>
      <c r="AX537" s="185"/>
      <c r="AY537" s="185"/>
      <c r="AZ537" s="185"/>
      <c r="BA537" s="185"/>
      <c r="BB537" s="185"/>
      <c r="BC537" s="185"/>
      <c r="BD537" s="186"/>
    </row>
    <row r="538" spans="1:56" hidden="1" outlineLevel="1" x14ac:dyDescent="0.3">
      <c r="A538" s="175" t="str">
        <f ca="1">Language!A$777</f>
        <v>оплата постоянных издержек, с НДС</v>
      </c>
      <c r="B538" s="170"/>
      <c r="C538" s="194" t="str">
        <f t="shared" ca="1" si="2222"/>
        <v>руб.</v>
      </c>
      <c r="D538" s="174"/>
      <c r="F538" s="170" t="s">
        <v>740</v>
      </c>
      <c r="G538" s="201">
        <f t="shared" ref="G538:BB538" ca="1" si="2224">G527+G528-IF(G$2=1,G534,G534-F534)+IF(G$2=1,G536,G536-F536)</f>
        <v>0</v>
      </c>
      <c r="H538" s="201">
        <f t="shared" ca="1" si="2224"/>
        <v>0</v>
      </c>
      <c r="I538" s="201">
        <f t="shared" ca="1" si="2224"/>
        <v>0</v>
      </c>
      <c r="J538" s="201">
        <f t="shared" ca="1" si="2224"/>
        <v>0</v>
      </c>
      <c r="K538" s="201">
        <f t="shared" ca="1" si="2224"/>
        <v>0</v>
      </c>
      <c r="L538" s="201">
        <f t="shared" ca="1" si="2224"/>
        <v>139050.91235783885</v>
      </c>
      <c r="M538" s="201">
        <f t="shared" ca="1" si="2224"/>
        <v>580539.92677770858</v>
      </c>
      <c r="N538" s="201">
        <f t="shared" ca="1" si="2224"/>
        <v>956433.52597800863</v>
      </c>
      <c r="O538" s="201">
        <f t="shared" ca="1" si="2224"/>
        <v>1106432.0013670942</v>
      </c>
      <c r="P538" s="201">
        <f t="shared" ca="1" si="2224"/>
        <v>1238623.3712248639</v>
      </c>
      <c r="Q538" s="201">
        <f t="shared" ca="1" si="2224"/>
        <v>1306401.3736488717</v>
      </c>
      <c r="R538" s="201">
        <f t="shared" ca="1" si="2224"/>
        <v>1383164.5151108105</v>
      </c>
      <c r="S538" s="201">
        <f t="shared" ca="1" si="2224"/>
        <v>1521397.7571205441</v>
      </c>
      <c r="T538" s="201">
        <f t="shared" ca="1" si="2224"/>
        <v>1528894.160432925</v>
      </c>
      <c r="U538" s="201">
        <f t="shared" ca="1" si="2224"/>
        <v>1413387.5387520674</v>
      </c>
      <c r="V538" s="201">
        <f t="shared" ca="1" si="2224"/>
        <v>1339465.0501289051</v>
      </c>
      <c r="W538" s="201">
        <f t="shared" ca="1" si="2224"/>
        <v>1336262.2542867842</v>
      </c>
      <c r="X538" s="201">
        <f t="shared" ca="1" si="2224"/>
        <v>1544974.1762075345</v>
      </c>
      <c r="Y538" s="201">
        <f t="shared" ca="1" si="2224"/>
        <v>1828585.8138384658</v>
      </c>
      <c r="Z538" s="201">
        <f t="shared" ca="1" si="2224"/>
        <v>1863110.3642416548</v>
      </c>
      <c r="AA538" s="201">
        <f t="shared" ca="1" si="2224"/>
        <v>1623335.3916875552</v>
      </c>
      <c r="AB538" s="201">
        <f t="shared" ca="1" si="2224"/>
        <v>1359358.2104194607</v>
      </c>
      <c r="AC538" s="201">
        <f t="shared" ca="1" si="2224"/>
        <v>1311096.9723291132</v>
      </c>
      <c r="AD538" s="201">
        <f t="shared" ca="1" si="2224"/>
        <v>1470400.5263442735</v>
      </c>
      <c r="AE538" s="201">
        <f t="shared" ca="1" si="2224"/>
        <v>1674683.8114653185</v>
      </c>
      <c r="AF538" s="201">
        <f t="shared" ca="1" si="2224"/>
        <v>1683164.4934524423</v>
      </c>
      <c r="AG538" s="201">
        <f t="shared" ca="1" si="2224"/>
        <v>1554007.0922736933</v>
      </c>
      <c r="AH538" s="201">
        <f t="shared" ca="1" si="2224"/>
        <v>1471749.6193568399</v>
      </c>
      <c r="AI538" s="201">
        <f t="shared" ca="1" si="2224"/>
        <v>1468905.2345789755</v>
      </c>
      <c r="AJ538" s="201">
        <f t="shared" ca="1" si="2224"/>
        <v>1704348.7625317799</v>
      </c>
      <c r="AK538" s="201">
        <f t="shared" ca="1" si="2224"/>
        <v>2023900.5150024758</v>
      </c>
      <c r="AL538" s="201">
        <f t="shared" ca="1" si="2224"/>
        <v>2062771.9788807768</v>
      </c>
      <c r="AM538" s="201">
        <f t="shared" ca="1" si="2224"/>
        <v>1792276.1589568483</v>
      </c>
      <c r="AN538" s="201">
        <f t="shared" ca="1" si="2224"/>
        <v>1494345.5621261499</v>
      </c>
      <c r="AO538" s="201">
        <f t="shared" ca="1" si="2224"/>
        <v>1439014.8476239461</v>
      </c>
      <c r="AP538" s="201">
        <f t="shared" ca="1" si="2224"/>
        <v>1616419.8772518057</v>
      </c>
      <c r="AQ538" s="201">
        <f t="shared" ca="1" si="2224"/>
        <v>1844830.4996209878</v>
      </c>
      <c r="AR538" s="201">
        <f t="shared" ca="1" si="2224"/>
        <v>1854420.5805205726</v>
      </c>
      <c r="AS538" s="201">
        <f t="shared" ca="1" si="2224"/>
        <v>1709962.7138345046</v>
      </c>
      <c r="AT538" s="201">
        <f t="shared" ca="1" si="2224"/>
        <v>1618388.1626832676</v>
      </c>
      <c r="AU538" s="201">
        <f t="shared" ca="1" si="2224"/>
        <v>1615991.7451750215</v>
      </c>
      <c r="AV538" s="201">
        <f t="shared" ca="1" si="2224"/>
        <v>1881526.9944144015</v>
      </c>
      <c r="AW538" s="201">
        <f t="shared" ca="1" si="2224"/>
        <v>2241514.2029047711</v>
      </c>
      <c r="AX538" s="201">
        <f t="shared" ca="1" si="2224"/>
        <v>2285274.6395064252</v>
      </c>
      <c r="AY538" s="201">
        <f t="shared" ca="1" si="2224"/>
        <v>1980195.7958320281</v>
      </c>
      <c r="AZ538" s="201">
        <f t="shared" ca="1" si="2224"/>
        <v>1644035.5911177166</v>
      </c>
      <c r="BA538" s="201">
        <f t="shared" ca="1" si="2224"/>
        <v>1580695.3496761178</v>
      </c>
      <c r="BB538" s="201">
        <f t="shared" ca="1" si="2224"/>
        <v>1711559.5736853927</v>
      </c>
      <c r="BC538" s="177"/>
      <c r="BD538" s="178">
        <f ca="1">SUM(G538:BC538)</f>
        <v>66804897.644726738</v>
      </c>
    </row>
    <row r="539" spans="1:56" collapsed="1" x14ac:dyDescent="0.3">
      <c r="A539" s="169" t="str">
        <f ca="1">Language!A$778</f>
        <v>Итого: Управленческие издержки, с НДС</v>
      </c>
      <c r="B539" s="170"/>
      <c r="C539" s="194" t="str">
        <f t="shared" ca="1" si="2197"/>
        <v>руб.</v>
      </c>
      <c r="D539" s="174">
        <v>1</v>
      </c>
      <c r="F539" s="170" t="s">
        <v>740</v>
      </c>
      <c r="G539" s="177">
        <f t="shared" ref="G539:M539" si="2225">G540+G541</f>
        <v>0</v>
      </c>
      <c r="H539" s="177">
        <f t="shared" si="2225"/>
        <v>0</v>
      </c>
      <c r="I539" s="177">
        <f t="shared" si="2225"/>
        <v>0</v>
      </c>
      <c r="J539" s="177">
        <f t="shared" si="2225"/>
        <v>0</v>
      </c>
      <c r="K539" s="177">
        <f t="shared" si="2225"/>
        <v>0</v>
      </c>
      <c r="L539" s="177">
        <f t="shared" si="2225"/>
        <v>0</v>
      </c>
      <c r="M539" s="177">
        <f t="shared" si="2225"/>
        <v>0</v>
      </c>
      <c r="N539" s="177">
        <f t="shared" ref="N539:O539" si="2226">N540+N541</f>
        <v>0</v>
      </c>
      <c r="O539" s="177">
        <f t="shared" si="2226"/>
        <v>0</v>
      </c>
      <c r="P539" s="177">
        <f t="shared" ref="P539:Q539" si="2227">P540+P541</f>
        <v>0</v>
      </c>
      <c r="Q539" s="177">
        <f t="shared" si="2227"/>
        <v>0</v>
      </c>
      <c r="R539" s="177">
        <f t="shared" ref="R539:S539" si="2228">R540+R541</f>
        <v>0</v>
      </c>
      <c r="S539" s="177">
        <f t="shared" si="2228"/>
        <v>0</v>
      </c>
      <c r="T539" s="177">
        <f t="shared" ref="T539:U539" si="2229">T540+T541</f>
        <v>0</v>
      </c>
      <c r="U539" s="177">
        <f t="shared" si="2229"/>
        <v>0</v>
      </c>
      <c r="V539" s="177">
        <f t="shared" ref="V539:W539" si="2230">V540+V541</f>
        <v>0</v>
      </c>
      <c r="W539" s="177">
        <f t="shared" si="2230"/>
        <v>0</v>
      </c>
      <c r="X539" s="177">
        <f t="shared" ref="X539:Y539" si="2231">X540+X541</f>
        <v>0</v>
      </c>
      <c r="Y539" s="177">
        <f t="shared" si="2231"/>
        <v>0</v>
      </c>
      <c r="Z539" s="177">
        <f t="shared" ref="Z539:AA539" si="2232">Z540+Z541</f>
        <v>0</v>
      </c>
      <c r="AA539" s="177">
        <f t="shared" si="2232"/>
        <v>0</v>
      </c>
      <c r="AB539" s="177">
        <f t="shared" ref="AB539:AC539" si="2233">AB540+AB541</f>
        <v>0</v>
      </c>
      <c r="AC539" s="177">
        <f t="shared" si="2233"/>
        <v>0</v>
      </c>
      <c r="AD539" s="177">
        <f t="shared" ref="AD539:AE539" si="2234">AD540+AD541</f>
        <v>0</v>
      </c>
      <c r="AE539" s="177">
        <f t="shared" si="2234"/>
        <v>0</v>
      </c>
      <c r="AF539" s="177">
        <f t="shared" ref="AF539:AG539" si="2235">AF540+AF541</f>
        <v>0</v>
      </c>
      <c r="AG539" s="177">
        <f t="shared" si="2235"/>
        <v>0</v>
      </c>
      <c r="AH539" s="177">
        <f t="shared" ref="AH539:AI539" si="2236">AH540+AH541</f>
        <v>0</v>
      </c>
      <c r="AI539" s="177">
        <f t="shared" si="2236"/>
        <v>0</v>
      </c>
      <c r="AJ539" s="177">
        <f t="shared" ref="AJ539:AK539" si="2237">AJ540+AJ541</f>
        <v>0</v>
      </c>
      <c r="AK539" s="177">
        <f t="shared" si="2237"/>
        <v>0</v>
      </c>
      <c r="AL539" s="177">
        <f t="shared" ref="AL539:AM539" si="2238">AL540+AL541</f>
        <v>0</v>
      </c>
      <c r="AM539" s="177">
        <f t="shared" si="2238"/>
        <v>0</v>
      </c>
      <c r="AN539" s="177">
        <f t="shared" ref="AN539:AO539" si="2239">AN540+AN541</f>
        <v>0</v>
      </c>
      <c r="AO539" s="177">
        <f t="shared" si="2239"/>
        <v>0</v>
      </c>
      <c r="AP539" s="177">
        <f t="shared" ref="AP539:AQ539" si="2240">AP540+AP541</f>
        <v>0</v>
      </c>
      <c r="AQ539" s="177">
        <f t="shared" si="2240"/>
        <v>0</v>
      </c>
      <c r="AR539" s="177">
        <f t="shared" ref="AR539:AS539" si="2241">AR540+AR541</f>
        <v>0</v>
      </c>
      <c r="AS539" s="177">
        <f t="shared" si="2241"/>
        <v>0</v>
      </c>
      <c r="AT539" s="177">
        <f t="shared" ref="AT539:AU539" si="2242">AT540+AT541</f>
        <v>0</v>
      </c>
      <c r="AU539" s="177">
        <f t="shared" si="2242"/>
        <v>0</v>
      </c>
      <c r="AV539" s="177">
        <f t="shared" ref="AV539:AW539" si="2243">AV540+AV541</f>
        <v>0</v>
      </c>
      <c r="AW539" s="177">
        <f t="shared" si="2243"/>
        <v>0</v>
      </c>
      <c r="AX539" s="177">
        <f t="shared" ref="AX539:AY539" si="2244">AX540+AX541</f>
        <v>0</v>
      </c>
      <c r="AY539" s="177">
        <f t="shared" si="2244"/>
        <v>0</v>
      </c>
      <c r="AZ539" s="177">
        <f t="shared" ref="AZ539:BA539" si="2245">AZ540+AZ541</f>
        <v>0</v>
      </c>
      <c r="BA539" s="177">
        <f t="shared" si="2245"/>
        <v>0</v>
      </c>
      <c r="BB539" s="177">
        <f t="shared" ref="BB539" si="2246">BB540+BB541</f>
        <v>0</v>
      </c>
      <c r="BC539" s="177"/>
      <c r="BD539" s="178">
        <f>SUM(G539:BC539)</f>
        <v>0</v>
      </c>
    </row>
    <row r="540" spans="1:56" hidden="1" outlineLevel="1" x14ac:dyDescent="0.3">
      <c r="A540" s="175" t="str">
        <f ca="1">Language!A$779</f>
        <v>сумма без НДС</v>
      </c>
      <c r="B540" s="170"/>
      <c r="C540" s="194" t="str">
        <f t="shared" ca="1" si="2197"/>
        <v>руб.</v>
      </c>
      <c r="D540" s="174">
        <v>1</v>
      </c>
      <c r="F540" s="170" t="s">
        <v>1052</v>
      </c>
      <c r="G540" s="177">
        <v>0</v>
      </c>
      <c r="H540" s="177">
        <v>0</v>
      </c>
      <c r="I540" s="177">
        <v>0</v>
      </c>
      <c r="J540" s="177">
        <v>0</v>
      </c>
      <c r="K540" s="177">
        <v>0</v>
      </c>
      <c r="L540" s="177">
        <v>0</v>
      </c>
      <c r="M540" s="177">
        <v>0</v>
      </c>
      <c r="N540" s="177">
        <v>0</v>
      </c>
      <c r="O540" s="177">
        <v>0</v>
      </c>
      <c r="P540" s="177">
        <v>0</v>
      </c>
      <c r="Q540" s="177">
        <v>0</v>
      </c>
      <c r="R540" s="177">
        <v>0</v>
      </c>
      <c r="S540" s="177">
        <v>0</v>
      </c>
      <c r="T540" s="177">
        <v>0</v>
      </c>
      <c r="U540" s="177">
        <v>0</v>
      </c>
      <c r="V540" s="177">
        <v>0</v>
      </c>
      <c r="W540" s="177">
        <v>0</v>
      </c>
      <c r="X540" s="177">
        <v>0</v>
      </c>
      <c r="Y540" s="177">
        <v>0</v>
      </c>
      <c r="Z540" s="177">
        <v>0</v>
      </c>
      <c r="AA540" s="177">
        <v>0</v>
      </c>
      <c r="AB540" s="177">
        <v>0</v>
      </c>
      <c r="AC540" s="177">
        <v>0</v>
      </c>
      <c r="AD540" s="177">
        <v>0</v>
      </c>
      <c r="AE540" s="177">
        <v>0</v>
      </c>
      <c r="AF540" s="177">
        <v>0</v>
      </c>
      <c r="AG540" s="177">
        <v>0</v>
      </c>
      <c r="AH540" s="177">
        <v>0</v>
      </c>
      <c r="AI540" s="177">
        <v>0</v>
      </c>
      <c r="AJ540" s="177">
        <v>0</v>
      </c>
      <c r="AK540" s="177">
        <v>0</v>
      </c>
      <c r="AL540" s="177">
        <v>0</v>
      </c>
      <c r="AM540" s="177">
        <v>0</v>
      </c>
      <c r="AN540" s="177">
        <v>0</v>
      </c>
      <c r="AO540" s="177">
        <v>0</v>
      </c>
      <c r="AP540" s="177">
        <v>0</v>
      </c>
      <c r="AQ540" s="177">
        <v>0</v>
      </c>
      <c r="AR540" s="177">
        <v>0</v>
      </c>
      <c r="AS540" s="177">
        <v>0</v>
      </c>
      <c r="AT540" s="177">
        <v>0</v>
      </c>
      <c r="AU540" s="177">
        <v>0</v>
      </c>
      <c r="AV540" s="177">
        <v>0</v>
      </c>
      <c r="AW540" s="177">
        <v>0</v>
      </c>
      <c r="AX540" s="177">
        <v>0</v>
      </c>
      <c r="AY540" s="177">
        <v>0</v>
      </c>
      <c r="AZ540" s="177">
        <v>0</v>
      </c>
      <c r="BA540" s="177">
        <v>0</v>
      </c>
      <c r="BB540" s="177">
        <v>0</v>
      </c>
      <c r="BC540" s="177"/>
      <c r="BD540" s="178">
        <f>SUM(G540:BC540)</f>
        <v>0</v>
      </c>
    </row>
    <row r="541" spans="1:56" hidden="1" outlineLevel="1" x14ac:dyDescent="0.3">
      <c r="A541" s="175" t="str">
        <f ca="1">Language!A$780</f>
        <v>НДС начисленный</v>
      </c>
      <c r="B541" s="170"/>
      <c r="C541" s="194"/>
      <c r="D541" s="174">
        <v>1</v>
      </c>
      <c r="F541" s="170" t="s">
        <v>1112</v>
      </c>
      <c r="G541" s="177">
        <v>0</v>
      </c>
      <c r="H541" s="177">
        <v>0</v>
      </c>
      <c r="I541" s="177">
        <v>0</v>
      </c>
      <c r="J541" s="177">
        <v>0</v>
      </c>
      <c r="K541" s="177">
        <v>0</v>
      </c>
      <c r="L541" s="177">
        <v>0</v>
      </c>
      <c r="M541" s="177">
        <v>0</v>
      </c>
      <c r="N541" s="177">
        <v>0</v>
      </c>
      <c r="O541" s="177">
        <v>0</v>
      </c>
      <c r="P541" s="177">
        <v>0</v>
      </c>
      <c r="Q541" s="177">
        <v>0</v>
      </c>
      <c r="R541" s="177">
        <v>0</v>
      </c>
      <c r="S541" s="177">
        <v>0</v>
      </c>
      <c r="T541" s="177">
        <v>0</v>
      </c>
      <c r="U541" s="177">
        <v>0</v>
      </c>
      <c r="V541" s="177">
        <v>0</v>
      </c>
      <c r="W541" s="177">
        <v>0</v>
      </c>
      <c r="X541" s="177">
        <v>0</v>
      </c>
      <c r="Y541" s="177">
        <v>0</v>
      </c>
      <c r="Z541" s="177">
        <v>0</v>
      </c>
      <c r="AA541" s="177">
        <v>0</v>
      </c>
      <c r="AB541" s="177">
        <v>0</v>
      </c>
      <c r="AC541" s="177">
        <v>0</v>
      </c>
      <c r="AD541" s="177">
        <v>0</v>
      </c>
      <c r="AE541" s="177">
        <v>0</v>
      </c>
      <c r="AF541" s="177">
        <v>0</v>
      </c>
      <c r="AG541" s="177">
        <v>0</v>
      </c>
      <c r="AH541" s="177">
        <v>0</v>
      </c>
      <c r="AI541" s="177">
        <v>0</v>
      </c>
      <c r="AJ541" s="177">
        <v>0</v>
      </c>
      <c r="AK541" s="177">
        <v>0</v>
      </c>
      <c r="AL541" s="177">
        <v>0</v>
      </c>
      <c r="AM541" s="177">
        <v>0</v>
      </c>
      <c r="AN541" s="177">
        <v>0</v>
      </c>
      <c r="AO541" s="177">
        <v>0</v>
      </c>
      <c r="AP541" s="177">
        <v>0</v>
      </c>
      <c r="AQ541" s="177">
        <v>0</v>
      </c>
      <c r="AR541" s="177">
        <v>0</v>
      </c>
      <c r="AS541" s="177">
        <v>0</v>
      </c>
      <c r="AT541" s="177">
        <v>0</v>
      </c>
      <c r="AU541" s="177">
        <v>0</v>
      </c>
      <c r="AV541" s="177">
        <v>0</v>
      </c>
      <c r="AW541" s="177">
        <v>0</v>
      </c>
      <c r="AX541" s="177">
        <v>0</v>
      </c>
      <c r="AY541" s="177">
        <v>0</v>
      </c>
      <c r="AZ541" s="177">
        <v>0</v>
      </c>
      <c r="BA541" s="177">
        <v>0</v>
      </c>
      <c r="BB541" s="177">
        <v>0</v>
      </c>
      <c r="BC541" s="177"/>
      <c r="BD541" s="178">
        <f>SUM(G541:BC541)</f>
        <v>0</v>
      </c>
    </row>
    <row r="542" spans="1:56" s="170" customFormat="1" hidden="1" outlineLevel="1" x14ac:dyDescent="0.3">
      <c r="A542" s="184" t="str">
        <f ca="1">Language!A$781</f>
        <v>затраты в запасах готовой продукции</v>
      </c>
      <c r="B542" s="163"/>
      <c r="C542" s="163" t="str">
        <f t="shared" ref="C542:C551" ca="1" si="2247">CurName1</f>
        <v>руб.</v>
      </c>
      <c r="D542" s="174"/>
      <c r="F542" s="170" t="s">
        <v>2350</v>
      </c>
      <c r="G542" s="287">
        <f>IF(AND($B543=0,G$2&gt;1), F542, G540*$B543/Параметры!G$30)</f>
        <v>0</v>
      </c>
      <c r="H542" s="287">
        <f>IF(AND($B543=0,H$2&gt;1), G542, H540*$B543/Параметры!H$30)</f>
        <v>0</v>
      </c>
      <c r="I542" s="287">
        <f>IF(AND($B543=0,I$2&gt;1), H542, I540*$B543/Параметры!I$30)</f>
        <v>0</v>
      </c>
      <c r="J542" s="287">
        <f>IF(AND($B543=0,J$2&gt;1), I542, J540*$B543/Параметры!J$30)</f>
        <v>0</v>
      </c>
      <c r="K542" s="287">
        <f>IF(AND($B543=0,K$2&gt;1), J542, K540*$B543/Параметры!K$30)</f>
        <v>0</v>
      </c>
      <c r="L542" s="287">
        <f>IF(AND($B543=0,L$2&gt;1), K542, L540*$B543/Параметры!L$30)</f>
        <v>0</v>
      </c>
      <c r="M542" s="287">
        <f>IF(AND($B543=0,M$2&gt;1), L542, M540*$B543/Параметры!M$30)</f>
        <v>0</v>
      </c>
      <c r="N542" s="287">
        <f>IF(AND($B543=0,N$2&gt;1), M542, N540*$B543/Параметры!N$30)</f>
        <v>0</v>
      </c>
      <c r="O542" s="287">
        <f>IF(AND($B543=0,O$2&gt;1), N542, O540*$B543/Параметры!O$30)</f>
        <v>0</v>
      </c>
      <c r="P542" s="287">
        <f>IF(AND($B543=0,P$2&gt;1), O542, P540*$B543/Параметры!P$30)</f>
        <v>0</v>
      </c>
      <c r="Q542" s="287">
        <f>IF(AND($B543=0,Q$2&gt;1), P542, Q540*$B543/Параметры!Q$30)</f>
        <v>0</v>
      </c>
      <c r="R542" s="287">
        <f>IF(AND($B543=0,R$2&gt;1), Q542, R540*$B543/Параметры!R$30)</f>
        <v>0</v>
      </c>
      <c r="S542" s="287">
        <f>IF(AND($B543=0,S$2&gt;1), R542, S540*$B543/Параметры!S$30)</f>
        <v>0</v>
      </c>
      <c r="T542" s="287">
        <f>IF(AND($B543=0,T$2&gt;1), S542, T540*$B543/Параметры!T$30)</f>
        <v>0</v>
      </c>
      <c r="U542" s="287">
        <f>IF(AND($B543=0,U$2&gt;1), T542, U540*$B543/Параметры!U$30)</f>
        <v>0</v>
      </c>
      <c r="V542" s="287">
        <f>IF(AND($B543=0,V$2&gt;1), U542, V540*$B543/Параметры!V$30)</f>
        <v>0</v>
      </c>
      <c r="W542" s="287">
        <f>IF(AND($B543=0,W$2&gt;1), V542, W540*$B543/Параметры!W$30)</f>
        <v>0</v>
      </c>
      <c r="X542" s="287">
        <f>IF(AND($B543=0,X$2&gt;1), W542, X540*$B543/Параметры!X$30)</f>
        <v>0</v>
      </c>
      <c r="Y542" s="287">
        <f>IF(AND($B543=0,Y$2&gt;1), X542, Y540*$B543/Параметры!Y$30)</f>
        <v>0</v>
      </c>
      <c r="Z542" s="287">
        <f>IF(AND($B543=0,Z$2&gt;1), Y542, Z540*$B543/Параметры!Z$30)</f>
        <v>0</v>
      </c>
      <c r="AA542" s="287">
        <f>IF(AND($B543=0,AA$2&gt;1), Z542, AA540*$B543/Параметры!AA$30)</f>
        <v>0</v>
      </c>
      <c r="AB542" s="287">
        <f>IF(AND($B543=0,AB$2&gt;1), AA542, AB540*$B543/Параметры!AB$30)</f>
        <v>0</v>
      </c>
      <c r="AC542" s="287">
        <f>IF(AND($B543=0,AC$2&gt;1), AB542, AC540*$B543/Параметры!AC$30)</f>
        <v>0</v>
      </c>
      <c r="AD542" s="287">
        <f>IF(AND($B543=0,AD$2&gt;1), AC542, AD540*$B543/Параметры!AD$30)</f>
        <v>0</v>
      </c>
      <c r="AE542" s="287">
        <f>IF(AND($B543=0,AE$2&gt;1), AD542, AE540*$B543/Параметры!AE$30)</f>
        <v>0</v>
      </c>
      <c r="AF542" s="287">
        <f>IF(AND($B543=0,AF$2&gt;1), AE542, AF540*$B543/Параметры!AF$30)</f>
        <v>0</v>
      </c>
      <c r="AG542" s="287">
        <f>IF(AND($B543=0,AG$2&gt;1), AF542, AG540*$B543/Параметры!AG$30)</f>
        <v>0</v>
      </c>
      <c r="AH542" s="287">
        <f>IF(AND($B543=0,AH$2&gt;1), AG542, AH540*$B543/Параметры!AH$30)</f>
        <v>0</v>
      </c>
      <c r="AI542" s="287">
        <f>IF(AND($B543=0,AI$2&gt;1), AH542, AI540*$B543/Параметры!AI$30)</f>
        <v>0</v>
      </c>
      <c r="AJ542" s="287">
        <f>IF(AND($B543=0,AJ$2&gt;1), AI542, AJ540*$B543/Параметры!AJ$30)</f>
        <v>0</v>
      </c>
      <c r="AK542" s="287">
        <f>IF(AND($B543=0,AK$2&gt;1), AJ542, AK540*$B543/Параметры!AK$30)</f>
        <v>0</v>
      </c>
      <c r="AL542" s="287">
        <f>IF(AND($B543=0,AL$2&gt;1), AK542, AL540*$B543/Параметры!AL$30)</f>
        <v>0</v>
      </c>
      <c r="AM542" s="287">
        <f>IF(AND($B543=0,AM$2&gt;1), AL542, AM540*$B543/Параметры!AM$30)</f>
        <v>0</v>
      </c>
      <c r="AN542" s="287">
        <f>IF(AND($B543=0,AN$2&gt;1), AM542, AN540*$B543/Параметры!AN$30)</f>
        <v>0</v>
      </c>
      <c r="AO542" s="287">
        <f>IF(AND($B543=0,AO$2&gt;1), AN542, AO540*$B543/Параметры!AO$30)</f>
        <v>0</v>
      </c>
      <c r="AP542" s="287">
        <f>IF(AND($B543=0,AP$2&gt;1), AO542, AP540*$B543/Параметры!AP$30)</f>
        <v>0</v>
      </c>
      <c r="AQ542" s="287">
        <f>IF(AND($B543=0,AQ$2&gt;1), AP542, AQ540*$B543/Параметры!AQ$30)</f>
        <v>0</v>
      </c>
      <c r="AR542" s="287">
        <f>IF(AND($B543=0,AR$2&gt;1), AQ542, AR540*$B543/Параметры!AR$30)</f>
        <v>0</v>
      </c>
      <c r="AS542" s="287">
        <f>IF(AND($B543=0,AS$2&gt;1), AR542, AS540*$B543/Параметры!AS$30)</f>
        <v>0</v>
      </c>
      <c r="AT542" s="287">
        <f>IF(AND($B543=0,AT$2&gt;1), AS542, AT540*$B543/Параметры!AT$30)</f>
        <v>0</v>
      </c>
      <c r="AU542" s="287">
        <f>IF(AND($B543=0,AU$2&gt;1), AT542, AU540*$B543/Параметры!AU$30)</f>
        <v>0</v>
      </c>
      <c r="AV542" s="287">
        <f>IF(AND($B543=0,AV$2&gt;1), AU542, AV540*$B543/Параметры!AV$30)</f>
        <v>0</v>
      </c>
      <c r="AW542" s="287">
        <f>IF(AND($B543=0,AW$2&gt;1), AV542, AW540*$B543/Параметры!AW$30)</f>
        <v>0</v>
      </c>
      <c r="AX542" s="287">
        <f>IF(AND($B543=0,AX$2&gt;1), AW542, AX540*$B543/Параметры!AX$30)</f>
        <v>0</v>
      </c>
      <c r="AY542" s="287">
        <f>IF(AND($B543=0,AY$2&gt;1), AX542, AY540*$B543/Параметры!AY$30)</f>
        <v>0</v>
      </c>
      <c r="AZ542" s="287">
        <f>IF(AND($B543=0,AZ$2&gt;1), AY542, AZ540*$B543/Параметры!AZ$30)</f>
        <v>0</v>
      </c>
      <c r="BA542" s="287">
        <f>IF(AND($B543=0,BA$2&gt;1), AZ542, BA540*$B543/Параметры!BA$30)</f>
        <v>0</v>
      </c>
      <c r="BB542" s="287">
        <f>IF(AND($B543=0,BB$2&gt;1), BA542, BB540*$B543/Параметры!BB$30)</f>
        <v>0</v>
      </c>
      <c r="BC542" s="185"/>
      <c r="BD542" s="193"/>
    </row>
    <row r="543" spans="1:56" s="170" customFormat="1" hidden="1" outlineLevel="1" x14ac:dyDescent="0.3">
      <c r="A543" s="187" t="str">
        <f ca="1">Language!A$782</f>
        <v>периодичность отгрузки</v>
      </c>
      <c r="B543" s="288">
        <v>0</v>
      </c>
      <c r="C543" s="163" t="str">
        <f ca="1">Language!$A$1474</f>
        <v>дней</v>
      </c>
      <c r="D543" s="174"/>
      <c r="F543" s="170" t="s">
        <v>2347</v>
      </c>
      <c r="G543" s="185"/>
      <c r="H543" s="185"/>
      <c r="I543" s="185"/>
      <c r="J543" s="185"/>
      <c r="K543" s="185"/>
      <c r="L543" s="185"/>
      <c r="M543" s="185"/>
      <c r="N543" s="185"/>
      <c r="O543" s="185"/>
      <c r="P543" s="185"/>
      <c r="Q543" s="185"/>
      <c r="R543" s="185"/>
      <c r="S543" s="185"/>
      <c r="T543" s="185"/>
      <c r="U543" s="185"/>
      <c r="V543" s="185"/>
      <c r="W543" s="185"/>
      <c r="X543" s="185"/>
      <c r="Y543" s="185"/>
      <c r="Z543" s="185"/>
      <c r="AA543" s="185"/>
      <c r="AB543" s="185"/>
      <c r="AC543" s="185"/>
      <c r="AD543" s="185"/>
      <c r="AE543" s="185"/>
      <c r="AF543" s="185"/>
      <c r="AG543" s="185"/>
      <c r="AH543" s="185"/>
      <c r="AI543" s="185"/>
      <c r="AJ543" s="185"/>
      <c r="AK543" s="185"/>
      <c r="AL543" s="185"/>
      <c r="AM543" s="185"/>
      <c r="AN543" s="185"/>
      <c r="AO543" s="185"/>
      <c r="AP543" s="185"/>
      <c r="AQ543" s="185"/>
      <c r="AR543" s="185"/>
      <c r="AS543" s="185"/>
      <c r="AT543" s="185"/>
      <c r="AU543" s="185"/>
      <c r="AV543" s="185"/>
      <c r="AW543" s="185"/>
      <c r="AX543" s="185"/>
      <c r="AY543" s="185"/>
      <c r="AZ543" s="185"/>
      <c r="BA543" s="185"/>
      <c r="BB543" s="185"/>
      <c r="BC543" s="185"/>
      <c r="BD543" s="193"/>
    </row>
    <row r="544" spans="1:56" s="170" customFormat="1" hidden="1" outlineLevel="1" x14ac:dyDescent="0.3">
      <c r="A544" s="184" t="str">
        <f ca="1">Language!A$783</f>
        <v>затраты в незавершенном производстве</v>
      </c>
      <c r="B544" s="163"/>
      <c r="C544" s="163" t="str">
        <f t="shared" ca="1" si="2247"/>
        <v>руб.</v>
      </c>
      <c r="D544" s="174"/>
      <c r="F544" s="170" t="s">
        <v>2350</v>
      </c>
      <c r="G544" s="287">
        <f>IF(AND($B545=0,G$2&gt;1), F544, G540*$B545/Параметры!G$30)</f>
        <v>0</v>
      </c>
      <c r="H544" s="287">
        <f>IF(AND($B545=0,H$2&gt;1), G544, H540*$B545/Параметры!H$30)</f>
        <v>0</v>
      </c>
      <c r="I544" s="287">
        <f>IF(AND($B545=0,I$2&gt;1), H544, I540*$B545/Параметры!I$30)</f>
        <v>0</v>
      </c>
      <c r="J544" s="287">
        <f>IF(AND($B545=0,J$2&gt;1), I544, J540*$B545/Параметры!J$30)</f>
        <v>0</v>
      </c>
      <c r="K544" s="287">
        <f>IF(AND($B545=0,K$2&gt;1), J544, K540*$B545/Параметры!K$30)</f>
        <v>0</v>
      </c>
      <c r="L544" s="287">
        <f>IF(AND($B545=0,L$2&gt;1), K544, L540*$B545/Параметры!L$30)</f>
        <v>0</v>
      </c>
      <c r="M544" s="287">
        <f>IF(AND($B545=0,M$2&gt;1), L544, M540*$B545/Параметры!M$30)</f>
        <v>0</v>
      </c>
      <c r="N544" s="287">
        <f>IF(AND($B545=0,N$2&gt;1), M544, N540*$B545/Параметры!N$30)</f>
        <v>0</v>
      </c>
      <c r="O544" s="287">
        <f>IF(AND($B545=0,O$2&gt;1), N544, O540*$B545/Параметры!O$30)</f>
        <v>0</v>
      </c>
      <c r="P544" s="287">
        <f>IF(AND($B545=0,P$2&gt;1), O544, P540*$B545/Параметры!P$30)</f>
        <v>0</v>
      </c>
      <c r="Q544" s="287">
        <f>IF(AND($B545=0,Q$2&gt;1), P544, Q540*$B545/Параметры!Q$30)</f>
        <v>0</v>
      </c>
      <c r="R544" s="287">
        <f>IF(AND($B545=0,R$2&gt;1), Q544, R540*$B545/Параметры!R$30)</f>
        <v>0</v>
      </c>
      <c r="S544" s="287">
        <f>IF(AND($B545=0,S$2&gt;1), R544, S540*$B545/Параметры!S$30)</f>
        <v>0</v>
      </c>
      <c r="T544" s="287">
        <f>IF(AND($B545=0,T$2&gt;1), S544, T540*$B545/Параметры!T$30)</f>
        <v>0</v>
      </c>
      <c r="U544" s="287">
        <f>IF(AND($B545=0,U$2&gt;1), T544, U540*$B545/Параметры!U$30)</f>
        <v>0</v>
      </c>
      <c r="V544" s="287">
        <f>IF(AND($B545=0,V$2&gt;1), U544, V540*$B545/Параметры!V$30)</f>
        <v>0</v>
      </c>
      <c r="W544" s="287">
        <f>IF(AND($B545=0,W$2&gt;1), V544, W540*$B545/Параметры!W$30)</f>
        <v>0</v>
      </c>
      <c r="X544" s="287">
        <f>IF(AND($B545=0,X$2&gt;1), W544, X540*$B545/Параметры!X$30)</f>
        <v>0</v>
      </c>
      <c r="Y544" s="287">
        <f>IF(AND($B545=0,Y$2&gt;1), X544, Y540*$B545/Параметры!Y$30)</f>
        <v>0</v>
      </c>
      <c r="Z544" s="287">
        <f>IF(AND($B545=0,Z$2&gt;1), Y544, Z540*$B545/Параметры!Z$30)</f>
        <v>0</v>
      </c>
      <c r="AA544" s="287">
        <f>IF(AND($B545=0,AA$2&gt;1), Z544, AA540*$B545/Параметры!AA$30)</f>
        <v>0</v>
      </c>
      <c r="AB544" s="287">
        <f>IF(AND($B545=0,AB$2&gt;1), AA544, AB540*$B545/Параметры!AB$30)</f>
        <v>0</v>
      </c>
      <c r="AC544" s="287">
        <f>IF(AND($B545=0,AC$2&gt;1), AB544, AC540*$B545/Параметры!AC$30)</f>
        <v>0</v>
      </c>
      <c r="AD544" s="287">
        <f>IF(AND($B545=0,AD$2&gt;1), AC544, AD540*$B545/Параметры!AD$30)</f>
        <v>0</v>
      </c>
      <c r="AE544" s="287">
        <f>IF(AND($B545=0,AE$2&gt;1), AD544, AE540*$B545/Параметры!AE$30)</f>
        <v>0</v>
      </c>
      <c r="AF544" s="287">
        <f>IF(AND($B545=0,AF$2&gt;1), AE544, AF540*$B545/Параметры!AF$30)</f>
        <v>0</v>
      </c>
      <c r="AG544" s="287">
        <f>IF(AND($B545=0,AG$2&gt;1), AF544, AG540*$B545/Параметры!AG$30)</f>
        <v>0</v>
      </c>
      <c r="AH544" s="287">
        <f>IF(AND($B545=0,AH$2&gt;1), AG544, AH540*$B545/Параметры!AH$30)</f>
        <v>0</v>
      </c>
      <c r="AI544" s="287">
        <f>IF(AND($B545=0,AI$2&gt;1), AH544, AI540*$B545/Параметры!AI$30)</f>
        <v>0</v>
      </c>
      <c r="AJ544" s="287">
        <f>IF(AND($B545=0,AJ$2&gt;1), AI544, AJ540*$B545/Параметры!AJ$30)</f>
        <v>0</v>
      </c>
      <c r="AK544" s="287">
        <f>IF(AND($B545=0,AK$2&gt;1), AJ544, AK540*$B545/Параметры!AK$30)</f>
        <v>0</v>
      </c>
      <c r="AL544" s="287">
        <f>IF(AND($B545=0,AL$2&gt;1), AK544, AL540*$B545/Параметры!AL$30)</f>
        <v>0</v>
      </c>
      <c r="AM544" s="287">
        <f>IF(AND($B545=0,AM$2&gt;1), AL544, AM540*$B545/Параметры!AM$30)</f>
        <v>0</v>
      </c>
      <c r="AN544" s="287">
        <f>IF(AND($B545=0,AN$2&gt;1), AM544, AN540*$B545/Параметры!AN$30)</f>
        <v>0</v>
      </c>
      <c r="AO544" s="287">
        <f>IF(AND($B545=0,AO$2&gt;1), AN544, AO540*$B545/Параметры!AO$30)</f>
        <v>0</v>
      </c>
      <c r="AP544" s="287">
        <f>IF(AND($B545=0,AP$2&gt;1), AO544, AP540*$B545/Параметры!AP$30)</f>
        <v>0</v>
      </c>
      <c r="AQ544" s="287">
        <f>IF(AND($B545=0,AQ$2&gt;1), AP544, AQ540*$B545/Параметры!AQ$30)</f>
        <v>0</v>
      </c>
      <c r="AR544" s="287">
        <f>IF(AND($B545=0,AR$2&gt;1), AQ544, AR540*$B545/Параметры!AR$30)</f>
        <v>0</v>
      </c>
      <c r="AS544" s="287">
        <f>IF(AND($B545=0,AS$2&gt;1), AR544, AS540*$B545/Параметры!AS$30)</f>
        <v>0</v>
      </c>
      <c r="AT544" s="287">
        <f>IF(AND($B545=0,AT$2&gt;1), AS544, AT540*$B545/Параметры!AT$30)</f>
        <v>0</v>
      </c>
      <c r="AU544" s="287">
        <f>IF(AND($B545=0,AU$2&gt;1), AT544, AU540*$B545/Параметры!AU$30)</f>
        <v>0</v>
      </c>
      <c r="AV544" s="287">
        <f>IF(AND($B545=0,AV$2&gt;1), AU544, AV540*$B545/Параметры!AV$30)</f>
        <v>0</v>
      </c>
      <c r="AW544" s="287">
        <f>IF(AND($B545=0,AW$2&gt;1), AV544, AW540*$B545/Параметры!AW$30)</f>
        <v>0</v>
      </c>
      <c r="AX544" s="287">
        <f>IF(AND($B545=0,AX$2&gt;1), AW544, AX540*$B545/Параметры!AX$30)</f>
        <v>0</v>
      </c>
      <c r="AY544" s="287">
        <f>IF(AND($B545=0,AY$2&gt;1), AX544, AY540*$B545/Параметры!AY$30)</f>
        <v>0</v>
      </c>
      <c r="AZ544" s="287">
        <f>IF(AND($B545=0,AZ$2&gt;1), AY544, AZ540*$B545/Параметры!AZ$30)</f>
        <v>0</v>
      </c>
      <c r="BA544" s="287">
        <f>IF(AND($B545=0,BA$2&gt;1), AZ544, BA540*$B545/Параметры!BA$30)</f>
        <v>0</v>
      </c>
      <c r="BB544" s="287">
        <f>IF(AND($B545=0,BB$2&gt;1), BA544, BB540*$B545/Параметры!BB$30)</f>
        <v>0</v>
      </c>
      <c r="BC544" s="185"/>
      <c r="BD544" s="193"/>
    </row>
    <row r="545" spans="1:56" s="170" customFormat="1" hidden="1" outlineLevel="1" x14ac:dyDescent="0.3">
      <c r="A545" s="187" t="str">
        <f ca="1">Language!A$784</f>
        <v>длительность производственного цикла</v>
      </c>
      <c r="B545" s="288">
        <v>0</v>
      </c>
      <c r="C545" s="163" t="str">
        <f ca="1">Language!$A$1474</f>
        <v>дней</v>
      </c>
      <c r="D545" s="174"/>
      <c r="F545" s="170" t="s">
        <v>2347</v>
      </c>
      <c r="G545" s="185"/>
      <c r="H545" s="185"/>
      <c r="I545" s="185"/>
      <c r="J545" s="185"/>
      <c r="K545" s="185"/>
      <c r="L545" s="185"/>
      <c r="M545" s="185"/>
      <c r="N545" s="185"/>
      <c r="O545" s="185"/>
      <c r="P545" s="185"/>
      <c r="Q545" s="185"/>
      <c r="R545" s="185"/>
      <c r="S545" s="185"/>
      <c r="T545" s="185"/>
      <c r="U545" s="185"/>
      <c r="V545" s="185"/>
      <c r="W545" s="185"/>
      <c r="X545" s="185"/>
      <c r="Y545" s="185"/>
      <c r="Z545" s="185"/>
      <c r="AA545" s="185"/>
      <c r="AB545" s="185"/>
      <c r="AC545" s="185"/>
      <c r="AD545" s="185"/>
      <c r="AE545" s="185"/>
      <c r="AF545" s="185"/>
      <c r="AG545" s="185"/>
      <c r="AH545" s="185"/>
      <c r="AI545" s="185"/>
      <c r="AJ545" s="185"/>
      <c r="AK545" s="185"/>
      <c r="AL545" s="185"/>
      <c r="AM545" s="185"/>
      <c r="AN545" s="185"/>
      <c r="AO545" s="185"/>
      <c r="AP545" s="185"/>
      <c r="AQ545" s="185"/>
      <c r="AR545" s="185"/>
      <c r="AS545" s="185"/>
      <c r="AT545" s="185"/>
      <c r="AU545" s="185"/>
      <c r="AV545" s="185"/>
      <c r="AW545" s="185"/>
      <c r="AX545" s="185"/>
      <c r="AY545" s="185"/>
      <c r="AZ545" s="185"/>
      <c r="BA545" s="185"/>
      <c r="BB545" s="185"/>
      <c r="BC545" s="185"/>
      <c r="BD545" s="193"/>
    </row>
    <row r="546" spans="1:56" s="173" customFormat="1" hidden="1" outlineLevel="1" x14ac:dyDescent="0.3">
      <c r="A546" s="181" t="str">
        <f ca="1">Language!A$785</f>
        <v>списано на продажи</v>
      </c>
      <c r="B546" s="176"/>
      <c r="C546" s="176" t="str">
        <f t="shared" ca="1" si="2247"/>
        <v>руб.</v>
      </c>
      <c r="D546" s="174"/>
      <c r="E546" s="170"/>
      <c r="F546" s="170" t="s">
        <v>740</v>
      </c>
      <c r="G546" s="202">
        <f t="shared" ref="G546:BB546" si="2248">G540-G542-G544 + IF(G$2&gt;1, F542+F544, 0)</f>
        <v>0</v>
      </c>
      <c r="H546" s="202">
        <f t="shared" si="2248"/>
        <v>0</v>
      </c>
      <c r="I546" s="202">
        <f t="shared" si="2248"/>
        <v>0</v>
      </c>
      <c r="J546" s="202">
        <f t="shared" si="2248"/>
        <v>0</v>
      </c>
      <c r="K546" s="202">
        <f t="shared" si="2248"/>
        <v>0</v>
      </c>
      <c r="L546" s="202">
        <f t="shared" si="2248"/>
        <v>0</v>
      </c>
      <c r="M546" s="202">
        <f t="shared" si="2248"/>
        <v>0</v>
      </c>
      <c r="N546" s="202">
        <f t="shared" si="2248"/>
        <v>0</v>
      </c>
      <c r="O546" s="202">
        <f t="shared" si="2248"/>
        <v>0</v>
      </c>
      <c r="P546" s="202">
        <f t="shared" si="2248"/>
        <v>0</v>
      </c>
      <c r="Q546" s="202">
        <f t="shared" si="2248"/>
        <v>0</v>
      </c>
      <c r="R546" s="202">
        <f t="shared" si="2248"/>
        <v>0</v>
      </c>
      <c r="S546" s="202">
        <f t="shared" si="2248"/>
        <v>0</v>
      </c>
      <c r="T546" s="202">
        <f t="shared" si="2248"/>
        <v>0</v>
      </c>
      <c r="U546" s="202">
        <f t="shared" si="2248"/>
        <v>0</v>
      </c>
      <c r="V546" s="202">
        <f t="shared" si="2248"/>
        <v>0</v>
      </c>
      <c r="W546" s="202">
        <f t="shared" si="2248"/>
        <v>0</v>
      </c>
      <c r="X546" s="202">
        <f t="shared" si="2248"/>
        <v>0</v>
      </c>
      <c r="Y546" s="202">
        <f t="shared" si="2248"/>
        <v>0</v>
      </c>
      <c r="Z546" s="202">
        <f t="shared" si="2248"/>
        <v>0</v>
      </c>
      <c r="AA546" s="202">
        <f t="shared" si="2248"/>
        <v>0</v>
      </c>
      <c r="AB546" s="202">
        <f t="shared" si="2248"/>
        <v>0</v>
      </c>
      <c r="AC546" s="202">
        <f t="shared" si="2248"/>
        <v>0</v>
      </c>
      <c r="AD546" s="202">
        <f t="shared" si="2248"/>
        <v>0</v>
      </c>
      <c r="AE546" s="202">
        <f t="shared" si="2248"/>
        <v>0</v>
      </c>
      <c r="AF546" s="202">
        <f t="shared" si="2248"/>
        <v>0</v>
      </c>
      <c r="AG546" s="202">
        <f t="shared" si="2248"/>
        <v>0</v>
      </c>
      <c r="AH546" s="202">
        <f t="shared" si="2248"/>
        <v>0</v>
      </c>
      <c r="AI546" s="202">
        <f t="shared" si="2248"/>
        <v>0</v>
      </c>
      <c r="AJ546" s="202">
        <f t="shared" si="2248"/>
        <v>0</v>
      </c>
      <c r="AK546" s="202">
        <f t="shared" si="2248"/>
        <v>0</v>
      </c>
      <c r="AL546" s="202">
        <f t="shared" si="2248"/>
        <v>0</v>
      </c>
      <c r="AM546" s="202">
        <f t="shared" si="2248"/>
        <v>0</v>
      </c>
      <c r="AN546" s="202">
        <f t="shared" si="2248"/>
        <v>0</v>
      </c>
      <c r="AO546" s="202">
        <f t="shared" si="2248"/>
        <v>0</v>
      </c>
      <c r="AP546" s="202">
        <f t="shared" si="2248"/>
        <v>0</v>
      </c>
      <c r="AQ546" s="202">
        <f t="shared" si="2248"/>
        <v>0</v>
      </c>
      <c r="AR546" s="202">
        <f t="shared" si="2248"/>
        <v>0</v>
      </c>
      <c r="AS546" s="202">
        <f t="shared" si="2248"/>
        <v>0</v>
      </c>
      <c r="AT546" s="202">
        <f t="shared" si="2248"/>
        <v>0</v>
      </c>
      <c r="AU546" s="202">
        <f t="shared" si="2248"/>
        <v>0</v>
      </c>
      <c r="AV546" s="202">
        <f t="shared" si="2248"/>
        <v>0</v>
      </c>
      <c r="AW546" s="202">
        <f t="shared" si="2248"/>
        <v>0</v>
      </c>
      <c r="AX546" s="202">
        <f t="shared" si="2248"/>
        <v>0</v>
      </c>
      <c r="AY546" s="202">
        <f t="shared" si="2248"/>
        <v>0</v>
      </c>
      <c r="AZ546" s="202">
        <f t="shared" si="2248"/>
        <v>0</v>
      </c>
      <c r="BA546" s="202">
        <f t="shared" si="2248"/>
        <v>0</v>
      </c>
      <c r="BB546" s="202">
        <f t="shared" si="2248"/>
        <v>0</v>
      </c>
      <c r="BC546" s="202"/>
      <c r="BD546" s="183">
        <f>SUM(G546:BC546)</f>
        <v>0</v>
      </c>
    </row>
    <row r="547" spans="1:56" s="170" customFormat="1" hidden="1" outlineLevel="1" x14ac:dyDescent="0.3">
      <c r="A547" s="184" t="str">
        <f ca="1">Language!A$786</f>
        <v>кредиторская задолженность</v>
      </c>
      <c r="B547" s="174"/>
      <c r="C547" s="163" t="str">
        <f t="shared" ca="1" si="2247"/>
        <v>руб.</v>
      </c>
      <c r="D547" s="174"/>
      <c r="F547" s="170" t="s">
        <v>2350</v>
      </c>
      <c r="G547" s="287">
        <f>IF(AND($B548=0,G$2&gt;1),F547,(G540+G541)*$B548/Параметры!G$30)</f>
        <v>0</v>
      </c>
      <c r="H547" s="287">
        <f>IF(AND($B548=0,H$2&gt;1),G547,(H540+H541)*$B548/Параметры!H$30)</f>
        <v>0</v>
      </c>
      <c r="I547" s="287">
        <f>IF(AND($B548=0,I$2&gt;1),H547,(I540+I541)*$B548/Параметры!I$30)</f>
        <v>0</v>
      </c>
      <c r="J547" s="287">
        <f>IF(AND($B548=0,J$2&gt;1),I547,(J540+J541)*$B548/Параметры!J$30)</f>
        <v>0</v>
      </c>
      <c r="K547" s="287">
        <f>IF(AND($B548=0,K$2&gt;1),J547,(K540+K541)*$B548/Параметры!K$30)</f>
        <v>0</v>
      </c>
      <c r="L547" s="287">
        <f>IF(AND($B548=0,L$2&gt;1),K547,(L540+L541)*$B548/Параметры!L$30)</f>
        <v>0</v>
      </c>
      <c r="M547" s="287">
        <f>IF(AND($B548=0,M$2&gt;1),L547,(M540+M541)*$B548/Параметры!M$30)</f>
        <v>0</v>
      </c>
      <c r="N547" s="287">
        <f>IF(AND($B548=0,N$2&gt;1),M547,(N540+N541)*$B548/Параметры!N$30)</f>
        <v>0</v>
      </c>
      <c r="O547" s="287">
        <f>IF(AND($B548=0,O$2&gt;1),N547,(O540+O541)*$B548/Параметры!O$30)</f>
        <v>0</v>
      </c>
      <c r="P547" s="287">
        <f>IF(AND($B548=0,P$2&gt;1),O547,(P540+P541)*$B548/Параметры!P$30)</f>
        <v>0</v>
      </c>
      <c r="Q547" s="287">
        <f>IF(AND($B548=0,Q$2&gt;1),P547,(Q540+Q541)*$B548/Параметры!Q$30)</f>
        <v>0</v>
      </c>
      <c r="R547" s="287">
        <f>IF(AND($B548=0,R$2&gt;1),Q547,(R540+R541)*$B548/Параметры!R$30)</f>
        <v>0</v>
      </c>
      <c r="S547" s="287">
        <f>IF(AND($B548=0,S$2&gt;1),R547,(S540+S541)*$B548/Параметры!S$30)</f>
        <v>0</v>
      </c>
      <c r="T547" s="287">
        <f>IF(AND($B548=0,T$2&gt;1),S547,(T540+T541)*$B548/Параметры!T$30)</f>
        <v>0</v>
      </c>
      <c r="U547" s="287">
        <f>IF(AND($B548=0,U$2&gt;1),T547,(U540+U541)*$B548/Параметры!U$30)</f>
        <v>0</v>
      </c>
      <c r="V547" s="287">
        <f>IF(AND($B548=0,V$2&gt;1),U547,(V540+V541)*$B548/Параметры!V$30)</f>
        <v>0</v>
      </c>
      <c r="W547" s="287">
        <f>IF(AND($B548=0,W$2&gt;1),V547,(W540+W541)*$B548/Параметры!W$30)</f>
        <v>0</v>
      </c>
      <c r="X547" s="287">
        <f>IF(AND($B548=0,X$2&gt;1),W547,(X540+X541)*$B548/Параметры!X$30)</f>
        <v>0</v>
      </c>
      <c r="Y547" s="287">
        <f>IF(AND($B548=0,Y$2&gt;1),X547,(Y540+Y541)*$B548/Параметры!Y$30)</f>
        <v>0</v>
      </c>
      <c r="Z547" s="287">
        <f>IF(AND($B548=0,Z$2&gt;1),Y547,(Z540+Z541)*$B548/Параметры!Z$30)</f>
        <v>0</v>
      </c>
      <c r="AA547" s="287">
        <f>IF(AND($B548=0,AA$2&gt;1),Z547,(AA540+AA541)*$B548/Параметры!AA$30)</f>
        <v>0</v>
      </c>
      <c r="AB547" s="287">
        <f>IF(AND($B548=0,AB$2&gt;1),AA547,(AB540+AB541)*$B548/Параметры!AB$30)</f>
        <v>0</v>
      </c>
      <c r="AC547" s="287">
        <f>IF(AND($B548=0,AC$2&gt;1),AB547,(AC540+AC541)*$B548/Параметры!AC$30)</f>
        <v>0</v>
      </c>
      <c r="AD547" s="287">
        <f>IF(AND($B548=0,AD$2&gt;1),AC547,(AD540+AD541)*$B548/Параметры!AD$30)</f>
        <v>0</v>
      </c>
      <c r="AE547" s="287">
        <f>IF(AND($B548=0,AE$2&gt;1),AD547,(AE540+AE541)*$B548/Параметры!AE$30)</f>
        <v>0</v>
      </c>
      <c r="AF547" s="287">
        <f>IF(AND($B548=0,AF$2&gt;1),AE547,(AF540+AF541)*$B548/Параметры!AF$30)</f>
        <v>0</v>
      </c>
      <c r="AG547" s="287">
        <f>IF(AND($B548=0,AG$2&gt;1),AF547,(AG540+AG541)*$B548/Параметры!AG$30)</f>
        <v>0</v>
      </c>
      <c r="AH547" s="287">
        <f>IF(AND($B548=0,AH$2&gt;1),AG547,(AH540+AH541)*$B548/Параметры!AH$30)</f>
        <v>0</v>
      </c>
      <c r="AI547" s="287">
        <f>IF(AND($B548=0,AI$2&gt;1),AH547,(AI540+AI541)*$B548/Параметры!AI$30)</f>
        <v>0</v>
      </c>
      <c r="AJ547" s="287">
        <f>IF(AND($B548=0,AJ$2&gt;1),AI547,(AJ540+AJ541)*$B548/Параметры!AJ$30)</f>
        <v>0</v>
      </c>
      <c r="AK547" s="287">
        <f>IF(AND($B548=0,AK$2&gt;1),AJ547,(AK540+AK541)*$B548/Параметры!AK$30)</f>
        <v>0</v>
      </c>
      <c r="AL547" s="287">
        <f>IF(AND($B548=0,AL$2&gt;1),AK547,(AL540+AL541)*$B548/Параметры!AL$30)</f>
        <v>0</v>
      </c>
      <c r="AM547" s="287">
        <f>IF(AND($B548=0,AM$2&gt;1),AL547,(AM540+AM541)*$B548/Параметры!AM$30)</f>
        <v>0</v>
      </c>
      <c r="AN547" s="287">
        <f>IF(AND($B548=0,AN$2&gt;1),AM547,(AN540+AN541)*$B548/Параметры!AN$30)</f>
        <v>0</v>
      </c>
      <c r="AO547" s="287">
        <f>IF(AND($B548=0,AO$2&gt;1),AN547,(AO540+AO541)*$B548/Параметры!AO$30)</f>
        <v>0</v>
      </c>
      <c r="AP547" s="287">
        <f>IF(AND($B548=0,AP$2&gt;1),AO547,(AP540+AP541)*$B548/Параметры!AP$30)</f>
        <v>0</v>
      </c>
      <c r="AQ547" s="287">
        <f>IF(AND($B548=0,AQ$2&gt;1),AP547,(AQ540+AQ541)*$B548/Параметры!AQ$30)</f>
        <v>0</v>
      </c>
      <c r="AR547" s="287">
        <f>IF(AND($B548=0,AR$2&gt;1),AQ547,(AR540+AR541)*$B548/Параметры!AR$30)</f>
        <v>0</v>
      </c>
      <c r="AS547" s="287">
        <f>IF(AND($B548=0,AS$2&gt;1),AR547,(AS540+AS541)*$B548/Параметры!AS$30)</f>
        <v>0</v>
      </c>
      <c r="AT547" s="287">
        <f>IF(AND($B548=0,AT$2&gt;1),AS547,(AT540+AT541)*$B548/Параметры!AT$30)</f>
        <v>0</v>
      </c>
      <c r="AU547" s="287">
        <f>IF(AND($B548=0,AU$2&gt;1),AT547,(AU540+AU541)*$B548/Параметры!AU$30)</f>
        <v>0</v>
      </c>
      <c r="AV547" s="287">
        <f>IF(AND($B548=0,AV$2&gt;1),AU547,(AV540+AV541)*$B548/Параметры!AV$30)</f>
        <v>0</v>
      </c>
      <c r="AW547" s="287">
        <f>IF(AND($B548=0,AW$2&gt;1),AV547,(AW540+AW541)*$B548/Параметры!AW$30)</f>
        <v>0</v>
      </c>
      <c r="AX547" s="287">
        <f>IF(AND($B548=0,AX$2&gt;1),AW547,(AX540+AX541)*$B548/Параметры!AX$30)</f>
        <v>0</v>
      </c>
      <c r="AY547" s="287">
        <f>IF(AND($B548=0,AY$2&gt;1),AX547,(AY540+AY541)*$B548/Параметры!AY$30)</f>
        <v>0</v>
      </c>
      <c r="AZ547" s="287">
        <f>IF(AND($B548=0,AZ$2&gt;1),AY547,(AZ540+AZ541)*$B548/Параметры!AZ$30)</f>
        <v>0</v>
      </c>
      <c r="BA547" s="287">
        <f>IF(AND($B548=0,BA$2&gt;1),AZ547,(BA540+BA541)*$B548/Параметры!BA$30)</f>
        <v>0</v>
      </c>
      <c r="BB547" s="287">
        <f>IF(AND($B548=0,BB$2&gt;1),BA547,(BB540+BB541)*$B548/Параметры!BB$30)</f>
        <v>0</v>
      </c>
      <c r="BC547" s="188"/>
      <c r="BD547" s="186"/>
    </row>
    <row r="548" spans="1:56" s="170" customFormat="1" hidden="1" outlineLevel="1" x14ac:dyDescent="0.3">
      <c r="A548" s="187" t="str">
        <f ca="1">Language!A$787</f>
        <v>период отсрочки платежа</v>
      </c>
      <c r="B548" s="288">
        <f>$B$603</f>
        <v>10</v>
      </c>
      <c r="C548" s="163" t="str">
        <f ca="1">Language!$A$1474</f>
        <v>дней</v>
      </c>
      <c r="F548" s="170" t="s">
        <v>2347</v>
      </c>
      <c r="G548" s="185"/>
      <c r="H548" s="185"/>
      <c r="I548" s="185"/>
      <c r="J548" s="185"/>
      <c r="K548" s="185"/>
      <c r="L548" s="185"/>
      <c r="M548" s="185"/>
      <c r="N548" s="185"/>
      <c r="O548" s="185"/>
      <c r="P548" s="185"/>
      <c r="Q548" s="185"/>
      <c r="R548" s="185"/>
      <c r="S548" s="185"/>
      <c r="T548" s="185"/>
      <c r="U548" s="185"/>
      <c r="V548" s="185"/>
      <c r="W548" s="185"/>
      <c r="X548" s="185"/>
      <c r="Y548" s="185"/>
      <c r="Z548" s="185"/>
      <c r="AA548" s="185"/>
      <c r="AB548" s="185"/>
      <c r="AC548" s="185"/>
      <c r="AD548" s="185"/>
      <c r="AE548" s="185"/>
      <c r="AF548" s="185"/>
      <c r="AG548" s="185"/>
      <c r="AH548" s="185"/>
      <c r="AI548" s="185"/>
      <c r="AJ548" s="185"/>
      <c r="AK548" s="185"/>
      <c r="AL548" s="185"/>
      <c r="AM548" s="185"/>
      <c r="AN548" s="185"/>
      <c r="AO548" s="185"/>
      <c r="AP548" s="185"/>
      <c r="AQ548" s="185"/>
      <c r="AR548" s="185"/>
      <c r="AS548" s="185"/>
      <c r="AT548" s="185"/>
      <c r="AU548" s="185"/>
      <c r="AV548" s="185"/>
      <c r="AW548" s="185"/>
      <c r="AX548" s="185"/>
      <c r="AY548" s="185"/>
      <c r="AZ548" s="185"/>
      <c r="BA548" s="185"/>
      <c r="BB548" s="185"/>
      <c r="BC548" s="185"/>
      <c r="BD548" s="186"/>
    </row>
    <row r="549" spans="1:56" s="170" customFormat="1" hidden="1" outlineLevel="1" x14ac:dyDescent="0.3">
      <c r="A549" s="184" t="str">
        <f ca="1">Language!A$788</f>
        <v>авансы уплаченные</v>
      </c>
      <c r="B549" s="174"/>
      <c r="C549" s="163" t="str">
        <f t="shared" ca="1" si="2247"/>
        <v>руб.</v>
      </c>
      <c r="D549" s="174"/>
      <c r="F549" s="170" t="s">
        <v>2350</v>
      </c>
      <c r="G549" s="287">
        <f ca="1">IF(OR(AND($B550=0,G$2&gt;1),G$2=Prj_Len),F549,(OFFSET(G540,0,1)+OFFSET(G541,0,1))*$B550/Параметры!G$30)</f>
        <v>0</v>
      </c>
      <c r="H549" s="287">
        <f ca="1">IF(OR(AND($B550=0,H$2&gt;1),H$2=Prj_Len),G549,(OFFSET(H540,0,1)+OFFSET(H541,0,1))*$B550/Параметры!H$30)</f>
        <v>0</v>
      </c>
      <c r="I549" s="287">
        <f ca="1">IF(OR(AND($B550=0,I$2&gt;1),I$2=Prj_Len),H549,(OFFSET(I540,0,1)+OFFSET(I541,0,1))*$B550/Параметры!I$30)</f>
        <v>0</v>
      </c>
      <c r="J549" s="287">
        <f ca="1">IF(OR(AND($B550=0,J$2&gt;1),J$2=Prj_Len),I549,(OFFSET(J540,0,1)+OFFSET(J541,0,1))*$B550/Параметры!J$30)</f>
        <v>0</v>
      </c>
      <c r="K549" s="287">
        <f ca="1">IF(OR(AND($B550=0,K$2&gt;1),K$2=Prj_Len),J549,(OFFSET(K540,0,1)+OFFSET(K541,0,1))*$B550/Параметры!K$30)</f>
        <v>0</v>
      </c>
      <c r="L549" s="287">
        <f ca="1">IF(OR(AND($B550=0,L$2&gt;1),L$2=Prj_Len),K549,(OFFSET(L540,0,1)+OFFSET(L541,0,1))*$B550/Параметры!L$30)</f>
        <v>0</v>
      </c>
      <c r="M549" s="287">
        <f ca="1">IF(OR(AND($B550=0,M$2&gt;1),M$2=Prj_Len),L549,(OFFSET(M540,0,1)+OFFSET(M541,0,1))*$B550/Параметры!M$30)</f>
        <v>0</v>
      </c>
      <c r="N549" s="287">
        <f ca="1">IF(OR(AND($B550=0,N$2&gt;1),N$2=Prj_Len),M549,(OFFSET(N540,0,1)+OFFSET(N541,0,1))*$B550/Параметры!N$30)</f>
        <v>0</v>
      </c>
      <c r="O549" s="287">
        <f ca="1">IF(OR(AND($B550=0,O$2&gt;1),O$2=Prj_Len),N549,(OFFSET(O540,0,1)+OFFSET(O541,0,1))*$B550/Параметры!O$30)</f>
        <v>0</v>
      </c>
      <c r="P549" s="287">
        <f ca="1">IF(OR(AND($B550=0,P$2&gt;1),P$2=Prj_Len),O549,(OFFSET(P540,0,1)+OFFSET(P541,0,1))*$B550/Параметры!P$30)</f>
        <v>0</v>
      </c>
      <c r="Q549" s="287">
        <f ca="1">IF(OR(AND($B550=0,Q$2&gt;1),Q$2=Prj_Len),P549,(OFFSET(Q540,0,1)+OFFSET(Q541,0,1))*$B550/Параметры!Q$30)</f>
        <v>0</v>
      </c>
      <c r="R549" s="287">
        <f ca="1">IF(OR(AND($B550=0,R$2&gt;1),R$2=Prj_Len),Q549,(OFFSET(R540,0,1)+OFFSET(R541,0,1))*$B550/Параметры!R$30)</f>
        <v>0</v>
      </c>
      <c r="S549" s="287">
        <f ca="1">IF(OR(AND($B550=0,S$2&gt;1),S$2=Prj_Len),R549,(OFFSET(S540,0,1)+OFFSET(S541,0,1))*$B550/Параметры!S$30)</f>
        <v>0</v>
      </c>
      <c r="T549" s="287">
        <f ca="1">IF(OR(AND($B550=0,T$2&gt;1),T$2=Prj_Len),S549,(OFFSET(T540,0,1)+OFFSET(T541,0,1))*$B550/Параметры!T$30)</f>
        <v>0</v>
      </c>
      <c r="U549" s="287">
        <f ca="1">IF(OR(AND($B550=0,U$2&gt;1),U$2=Prj_Len),T549,(OFFSET(U540,0,1)+OFFSET(U541,0,1))*$B550/Параметры!U$30)</f>
        <v>0</v>
      </c>
      <c r="V549" s="287">
        <f ca="1">IF(OR(AND($B550=0,V$2&gt;1),V$2=Prj_Len),U549,(OFFSET(V540,0,1)+OFFSET(V541,0,1))*$B550/Параметры!V$30)</f>
        <v>0</v>
      </c>
      <c r="W549" s="287">
        <f ca="1">IF(OR(AND($B550=0,W$2&gt;1),W$2=Prj_Len),V549,(OFFSET(W540,0,1)+OFFSET(W541,0,1))*$B550/Параметры!W$30)</f>
        <v>0</v>
      </c>
      <c r="X549" s="287">
        <f ca="1">IF(OR(AND($B550=0,X$2&gt;1),X$2=Prj_Len),W549,(OFFSET(X540,0,1)+OFFSET(X541,0,1))*$B550/Параметры!X$30)</f>
        <v>0</v>
      </c>
      <c r="Y549" s="287">
        <f ca="1">IF(OR(AND($B550=0,Y$2&gt;1),Y$2=Prj_Len),X549,(OFFSET(Y540,0,1)+OFFSET(Y541,0,1))*$B550/Параметры!Y$30)</f>
        <v>0</v>
      </c>
      <c r="Z549" s="287">
        <f ca="1">IF(OR(AND($B550=0,Z$2&gt;1),Z$2=Prj_Len),Y549,(OFFSET(Z540,0,1)+OFFSET(Z541,0,1))*$B550/Параметры!Z$30)</f>
        <v>0</v>
      </c>
      <c r="AA549" s="287">
        <f ca="1">IF(OR(AND($B550=0,AA$2&gt;1),AA$2=Prj_Len),Z549,(OFFSET(AA540,0,1)+OFFSET(AA541,0,1))*$B550/Параметры!AA$30)</f>
        <v>0</v>
      </c>
      <c r="AB549" s="287">
        <f ca="1">IF(OR(AND($B550=0,AB$2&gt;1),AB$2=Prj_Len),AA549,(OFFSET(AB540,0,1)+OFFSET(AB541,0,1))*$B550/Параметры!AB$30)</f>
        <v>0</v>
      </c>
      <c r="AC549" s="287">
        <f ca="1">IF(OR(AND($B550=0,AC$2&gt;1),AC$2=Prj_Len),AB549,(OFFSET(AC540,0,1)+OFFSET(AC541,0,1))*$B550/Параметры!AC$30)</f>
        <v>0</v>
      </c>
      <c r="AD549" s="287">
        <f ca="1">IF(OR(AND($B550=0,AD$2&gt;1),AD$2=Prj_Len),AC549,(OFFSET(AD540,0,1)+OFFSET(AD541,0,1))*$B550/Параметры!AD$30)</f>
        <v>0</v>
      </c>
      <c r="AE549" s="287">
        <f ca="1">IF(OR(AND($B550=0,AE$2&gt;1),AE$2=Prj_Len),AD549,(OFFSET(AE540,0,1)+OFFSET(AE541,0,1))*$B550/Параметры!AE$30)</f>
        <v>0</v>
      </c>
      <c r="AF549" s="287">
        <f ca="1">IF(OR(AND($B550=0,AF$2&gt;1),AF$2=Prj_Len),AE549,(OFFSET(AF540,0,1)+OFFSET(AF541,0,1))*$B550/Параметры!AF$30)</f>
        <v>0</v>
      </c>
      <c r="AG549" s="287">
        <f ca="1">IF(OR(AND($B550=0,AG$2&gt;1),AG$2=Prj_Len),AF549,(OFFSET(AG540,0,1)+OFFSET(AG541,0,1))*$B550/Параметры!AG$30)</f>
        <v>0</v>
      </c>
      <c r="AH549" s="287">
        <f ca="1">IF(OR(AND($B550=0,AH$2&gt;1),AH$2=Prj_Len),AG549,(OFFSET(AH540,0,1)+OFFSET(AH541,0,1))*$B550/Параметры!AH$30)</f>
        <v>0</v>
      </c>
      <c r="AI549" s="287">
        <f ca="1">IF(OR(AND($B550=0,AI$2&gt;1),AI$2=Prj_Len),AH549,(OFFSET(AI540,0,1)+OFFSET(AI541,0,1))*$B550/Параметры!AI$30)</f>
        <v>0</v>
      </c>
      <c r="AJ549" s="287">
        <f ca="1">IF(OR(AND($B550=0,AJ$2&gt;1),AJ$2=Prj_Len),AI549,(OFFSET(AJ540,0,1)+OFFSET(AJ541,0,1))*$B550/Параметры!AJ$30)</f>
        <v>0</v>
      </c>
      <c r="AK549" s="287">
        <f ca="1">IF(OR(AND($B550=0,AK$2&gt;1),AK$2=Prj_Len),AJ549,(OFFSET(AK540,0,1)+OFFSET(AK541,0,1))*$B550/Параметры!AK$30)</f>
        <v>0</v>
      </c>
      <c r="AL549" s="287">
        <f ca="1">IF(OR(AND($B550=0,AL$2&gt;1),AL$2=Prj_Len),AK549,(OFFSET(AL540,0,1)+OFFSET(AL541,0,1))*$B550/Параметры!AL$30)</f>
        <v>0</v>
      </c>
      <c r="AM549" s="287">
        <f ca="1">IF(OR(AND($B550=0,AM$2&gt;1),AM$2=Prj_Len),AL549,(OFFSET(AM540,0,1)+OFFSET(AM541,0,1))*$B550/Параметры!AM$30)</f>
        <v>0</v>
      </c>
      <c r="AN549" s="287">
        <f ca="1">IF(OR(AND($B550=0,AN$2&gt;1),AN$2=Prj_Len),AM549,(OFFSET(AN540,0,1)+OFFSET(AN541,0,1))*$B550/Параметры!AN$30)</f>
        <v>0</v>
      </c>
      <c r="AO549" s="287">
        <f ca="1">IF(OR(AND($B550=0,AO$2&gt;1),AO$2=Prj_Len),AN549,(OFFSET(AO540,0,1)+OFFSET(AO541,0,1))*$B550/Параметры!AO$30)</f>
        <v>0</v>
      </c>
      <c r="AP549" s="287">
        <f ca="1">IF(OR(AND($B550=0,AP$2&gt;1),AP$2=Prj_Len),AO549,(OFFSET(AP540,0,1)+OFFSET(AP541,0,1))*$B550/Параметры!AP$30)</f>
        <v>0</v>
      </c>
      <c r="AQ549" s="287">
        <f ca="1">IF(OR(AND($B550=0,AQ$2&gt;1),AQ$2=Prj_Len),AP549,(OFFSET(AQ540,0,1)+OFFSET(AQ541,0,1))*$B550/Параметры!AQ$30)</f>
        <v>0</v>
      </c>
      <c r="AR549" s="287">
        <f ca="1">IF(OR(AND($B550=0,AR$2&gt;1),AR$2=Prj_Len),AQ549,(OFFSET(AR540,0,1)+OFFSET(AR541,0,1))*$B550/Параметры!AR$30)</f>
        <v>0</v>
      </c>
      <c r="AS549" s="287">
        <f ca="1">IF(OR(AND($B550=0,AS$2&gt;1),AS$2=Prj_Len),AR549,(OFFSET(AS540,0,1)+OFFSET(AS541,0,1))*$B550/Параметры!AS$30)</f>
        <v>0</v>
      </c>
      <c r="AT549" s="287">
        <f ca="1">IF(OR(AND($B550=0,AT$2&gt;1),AT$2=Prj_Len),AS549,(OFFSET(AT540,0,1)+OFFSET(AT541,0,1))*$B550/Параметры!AT$30)</f>
        <v>0</v>
      </c>
      <c r="AU549" s="287">
        <f ca="1">IF(OR(AND($B550=0,AU$2&gt;1),AU$2=Prj_Len),AT549,(OFFSET(AU540,0,1)+OFFSET(AU541,0,1))*$B550/Параметры!AU$30)</f>
        <v>0</v>
      </c>
      <c r="AV549" s="287">
        <f ca="1">IF(OR(AND($B550=0,AV$2&gt;1),AV$2=Prj_Len),AU549,(OFFSET(AV540,0,1)+OFFSET(AV541,0,1))*$B550/Параметры!AV$30)</f>
        <v>0</v>
      </c>
      <c r="AW549" s="287">
        <f ca="1">IF(OR(AND($B550=0,AW$2&gt;1),AW$2=Prj_Len),AV549,(OFFSET(AW540,0,1)+OFFSET(AW541,0,1))*$B550/Параметры!AW$30)</f>
        <v>0</v>
      </c>
      <c r="AX549" s="287">
        <f ca="1">IF(OR(AND($B550=0,AX$2&gt;1),AX$2=Prj_Len),AW549,(OFFSET(AX540,0,1)+OFFSET(AX541,0,1))*$B550/Параметры!AX$30)</f>
        <v>0</v>
      </c>
      <c r="AY549" s="287">
        <f ca="1">IF(OR(AND($B550=0,AY$2&gt;1),AY$2=Prj_Len),AX549,(OFFSET(AY540,0,1)+OFFSET(AY541,0,1))*$B550/Параметры!AY$30)</f>
        <v>0</v>
      </c>
      <c r="AZ549" s="287">
        <f ca="1">IF(OR(AND($B550=0,AZ$2&gt;1),AZ$2=Prj_Len),AY549,(OFFSET(AZ540,0,1)+OFFSET(AZ541,0,1))*$B550/Параметры!AZ$30)</f>
        <v>0</v>
      </c>
      <c r="BA549" s="287">
        <f ca="1">IF(OR(AND($B550=0,BA$2&gt;1),BA$2=Prj_Len),AZ549,(OFFSET(BA540,0,1)+OFFSET(BA541,0,1))*$B550/Параметры!BA$30)</f>
        <v>0</v>
      </c>
      <c r="BB549" s="287">
        <f ca="1">IF(OR(AND($B550=0,BB$2&gt;1),BB$2=Prj_Len),BA549,(OFFSET(BB540,0,1)+OFFSET(BB541,0,1))*$B550/Параметры!BB$30)</f>
        <v>0</v>
      </c>
      <c r="BC549" s="188"/>
      <c r="BD549" s="186"/>
    </row>
    <row r="550" spans="1:56" s="170" customFormat="1" hidden="1" outlineLevel="1" x14ac:dyDescent="0.3">
      <c r="A550" s="187" t="str">
        <f ca="1">Language!A$789</f>
        <v>период предоплаты</v>
      </c>
      <c r="B550" s="288">
        <f>$B$610</f>
        <v>10</v>
      </c>
      <c r="C550" s="163" t="str">
        <f ca="1">Language!$A$1474</f>
        <v>дней</v>
      </c>
      <c r="F550" s="170" t="s">
        <v>2347</v>
      </c>
      <c r="G550" s="185"/>
      <c r="H550" s="185"/>
      <c r="I550" s="185"/>
      <c r="J550" s="185"/>
      <c r="K550" s="185"/>
      <c r="L550" s="185"/>
      <c r="M550" s="185"/>
      <c r="N550" s="185"/>
      <c r="O550" s="185"/>
      <c r="P550" s="185"/>
      <c r="Q550" s="185"/>
      <c r="R550" s="185"/>
      <c r="S550" s="185"/>
      <c r="T550" s="185"/>
      <c r="U550" s="185"/>
      <c r="V550" s="185"/>
      <c r="W550" s="185"/>
      <c r="X550" s="185"/>
      <c r="Y550" s="185"/>
      <c r="Z550" s="185"/>
      <c r="AA550" s="185"/>
      <c r="AB550" s="185"/>
      <c r="AC550" s="185"/>
      <c r="AD550" s="185"/>
      <c r="AE550" s="185"/>
      <c r="AF550" s="185"/>
      <c r="AG550" s="185"/>
      <c r="AH550" s="185"/>
      <c r="AI550" s="185"/>
      <c r="AJ550" s="185"/>
      <c r="AK550" s="185"/>
      <c r="AL550" s="185"/>
      <c r="AM550" s="185"/>
      <c r="AN550" s="185"/>
      <c r="AO550" s="185"/>
      <c r="AP550" s="185"/>
      <c r="AQ550" s="185"/>
      <c r="AR550" s="185"/>
      <c r="AS550" s="185"/>
      <c r="AT550" s="185"/>
      <c r="AU550" s="185"/>
      <c r="AV550" s="185"/>
      <c r="AW550" s="185"/>
      <c r="AX550" s="185"/>
      <c r="AY550" s="185"/>
      <c r="AZ550" s="185"/>
      <c r="BA550" s="185"/>
      <c r="BB550" s="185"/>
      <c r="BC550" s="185"/>
      <c r="BD550" s="186"/>
    </row>
    <row r="551" spans="1:56" hidden="1" outlineLevel="1" x14ac:dyDescent="0.3">
      <c r="A551" s="175" t="str">
        <f ca="1">Language!A$790</f>
        <v>оплата постоянных издержек, с НДС</v>
      </c>
      <c r="B551" s="170"/>
      <c r="C551" s="194" t="str">
        <f t="shared" ca="1" si="2247"/>
        <v>руб.</v>
      </c>
      <c r="D551" s="174"/>
      <c r="F551" s="170" t="s">
        <v>740</v>
      </c>
      <c r="G551" s="201">
        <f t="shared" ref="G551:BB551" ca="1" si="2249">G540+G541-IF(G$2=1,G547,G547-F547)+IF(G$2=1,G549,G549-F549)</f>
        <v>0</v>
      </c>
      <c r="H551" s="201">
        <f t="shared" ca="1" si="2249"/>
        <v>0</v>
      </c>
      <c r="I551" s="201">
        <f t="shared" ca="1" si="2249"/>
        <v>0</v>
      </c>
      <c r="J551" s="201">
        <f t="shared" ca="1" si="2249"/>
        <v>0</v>
      </c>
      <c r="K551" s="201">
        <f t="shared" ca="1" si="2249"/>
        <v>0</v>
      </c>
      <c r="L551" s="201">
        <f t="shared" ca="1" si="2249"/>
        <v>0</v>
      </c>
      <c r="M551" s="201">
        <f t="shared" ca="1" si="2249"/>
        <v>0</v>
      </c>
      <c r="N551" s="201">
        <f t="shared" ca="1" si="2249"/>
        <v>0</v>
      </c>
      <c r="O551" s="201">
        <f t="shared" ca="1" si="2249"/>
        <v>0</v>
      </c>
      <c r="P551" s="201">
        <f t="shared" ca="1" si="2249"/>
        <v>0</v>
      </c>
      <c r="Q551" s="201">
        <f t="shared" ca="1" si="2249"/>
        <v>0</v>
      </c>
      <c r="R551" s="201">
        <f t="shared" ca="1" si="2249"/>
        <v>0</v>
      </c>
      <c r="S551" s="201">
        <f t="shared" ca="1" si="2249"/>
        <v>0</v>
      </c>
      <c r="T551" s="201">
        <f t="shared" ca="1" si="2249"/>
        <v>0</v>
      </c>
      <c r="U551" s="201">
        <f t="shared" ca="1" si="2249"/>
        <v>0</v>
      </c>
      <c r="V551" s="201">
        <f t="shared" ca="1" si="2249"/>
        <v>0</v>
      </c>
      <c r="W551" s="201">
        <f t="shared" ca="1" si="2249"/>
        <v>0</v>
      </c>
      <c r="X551" s="201">
        <f t="shared" ca="1" si="2249"/>
        <v>0</v>
      </c>
      <c r="Y551" s="201">
        <f t="shared" ca="1" si="2249"/>
        <v>0</v>
      </c>
      <c r="Z551" s="201">
        <f t="shared" ca="1" si="2249"/>
        <v>0</v>
      </c>
      <c r="AA551" s="201">
        <f t="shared" ca="1" si="2249"/>
        <v>0</v>
      </c>
      <c r="AB551" s="201">
        <f t="shared" ca="1" si="2249"/>
        <v>0</v>
      </c>
      <c r="AC551" s="201">
        <f t="shared" ca="1" si="2249"/>
        <v>0</v>
      </c>
      <c r="AD551" s="201">
        <f t="shared" ca="1" si="2249"/>
        <v>0</v>
      </c>
      <c r="AE551" s="201">
        <f t="shared" ca="1" si="2249"/>
        <v>0</v>
      </c>
      <c r="AF551" s="201">
        <f t="shared" ca="1" si="2249"/>
        <v>0</v>
      </c>
      <c r="AG551" s="201">
        <f t="shared" ca="1" si="2249"/>
        <v>0</v>
      </c>
      <c r="AH551" s="201">
        <f t="shared" ca="1" si="2249"/>
        <v>0</v>
      </c>
      <c r="AI551" s="201">
        <f t="shared" ca="1" si="2249"/>
        <v>0</v>
      </c>
      <c r="AJ551" s="201">
        <f t="shared" ca="1" si="2249"/>
        <v>0</v>
      </c>
      <c r="AK551" s="201">
        <f t="shared" ca="1" si="2249"/>
        <v>0</v>
      </c>
      <c r="AL551" s="201">
        <f t="shared" ca="1" si="2249"/>
        <v>0</v>
      </c>
      <c r="AM551" s="201">
        <f t="shared" ca="1" si="2249"/>
        <v>0</v>
      </c>
      <c r="AN551" s="201">
        <f t="shared" ca="1" si="2249"/>
        <v>0</v>
      </c>
      <c r="AO551" s="201">
        <f t="shared" ca="1" si="2249"/>
        <v>0</v>
      </c>
      <c r="AP551" s="201">
        <f t="shared" ca="1" si="2249"/>
        <v>0</v>
      </c>
      <c r="AQ551" s="201">
        <f t="shared" ca="1" si="2249"/>
        <v>0</v>
      </c>
      <c r="AR551" s="201">
        <f t="shared" ca="1" si="2249"/>
        <v>0</v>
      </c>
      <c r="AS551" s="201">
        <f t="shared" ca="1" si="2249"/>
        <v>0</v>
      </c>
      <c r="AT551" s="201">
        <f t="shared" ca="1" si="2249"/>
        <v>0</v>
      </c>
      <c r="AU551" s="201">
        <f t="shared" ca="1" si="2249"/>
        <v>0</v>
      </c>
      <c r="AV551" s="201">
        <f t="shared" ca="1" si="2249"/>
        <v>0</v>
      </c>
      <c r="AW551" s="201">
        <f t="shared" ca="1" si="2249"/>
        <v>0</v>
      </c>
      <c r="AX551" s="201">
        <f t="shared" ca="1" si="2249"/>
        <v>0</v>
      </c>
      <c r="AY551" s="201">
        <f t="shared" ca="1" si="2249"/>
        <v>0</v>
      </c>
      <c r="AZ551" s="201">
        <f t="shared" ca="1" si="2249"/>
        <v>0</v>
      </c>
      <c r="BA551" s="201">
        <f t="shared" ca="1" si="2249"/>
        <v>0</v>
      </c>
      <c r="BB551" s="201">
        <f t="shared" ca="1" si="2249"/>
        <v>0</v>
      </c>
      <c r="BC551" s="177"/>
      <c r="BD551" s="178">
        <f ca="1">SUM(G551:BC551)</f>
        <v>0</v>
      </c>
    </row>
    <row r="552" spans="1:56" collapsed="1" x14ac:dyDescent="0.3">
      <c r="A552" s="169" t="str">
        <f ca="1">Language!A$791</f>
        <v>Итого: Коммерческие издержки, с НДС</v>
      </c>
      <c r="B552" s="170"/>
      <c r="C552" s="194" t="str">
        <f t="shared" ca="1" si="2197"/>
        <v>руб.</v>
      </c>
      <c r="D552" s="174">
        <v>1</v>
      </c>
      <c r="F552" s="170" t="s">
        <v>740</v>
      </c>
      <c r="G552" s="177">
        <f t="shared" ref="G552:M552" ca="1" si="2250">G553+G554</f>
        <v>0</v>
      </c>
      <c r="H552" s="177">
        <f t="shared" ca="1" si="2250"/>
        <v>0</v>
      </c>
      <c r="I552" s="177">
        <f t="shared" ca="1" si="2250"/>
        <v>0</v>
      </c>
      <c r="J552" s="177">
        <f t="shared" ca="1" si="2250"/>
        <v>0</v>
      </c>
      <c r="K552" s="177">
        <f t="shared" ca="1" si="2250"/>
        <v>0</v>
      </c>
      <c r="L552" s="177">
        <f t="shared" ca="1" si="2250"/>
        <v>0</v>
      </c>
      <c r="M552" s="177">
        <f t="shared" ca="1" si="2250"/>
        <v>385416.00000000006</v>
      </c>
      <c r="N552" s="177">
        <f t="shared" ref="N552:O552" ca="1" si="2251">N553+N554</f>
        <v>518902.9272231569</v>
      </c>
      <c r="O552" s="177">
        <f t="shared" ca="1" si="2251"/>
        <v>654958.49261113524</v>
      </c>
      <c r="P552" s="177">
        <f t="shared" ref="P552:Q552" ca="1" si="2252">P553+P554</f>
        <v>793620.11728372949</v>
      </c>
      <c r="Q552" s="177">
        <f t="shared" ca="1" si="2252"/>
        <v>801364.89266476815</v>
      </c>
      <c r="R552" s="177">
        <f t="shared" ref="R552:S552" ca="1" si="2253">R553+R554</f>
        <v>809185.24771471391</v>
      </c>
      <c r="S552" s="177">
        <f t="shared" ca="1" si="2253"/>
        <v>1089442.560000001</v>
      </c>
      <c r="T552" s="177">
        <f t="shared" ref="T552:U552" ca="1" si="2254">T553+T554</f>
        <v>962564.92999895674</v>
      </c>
      <c r="U552" s="177">
        <f t="shared" ca="1" si="2254"/>
        <v>833107.20260136435</v>
      </c>
      <c r="V552" s="177">
        <f t="shared" ref="V552:W552" ca="1" si="2255">V553+V554</f>
        <v>841237.32432075369</v>
      </c>
      <c r="W552" s="177">
        <f t="shared" ca="1" si="2255"/>
        <v>707872.32185387868</v>
      </c>
      <c r="X552" s="177">
        <f t="shared" ref="X552:Y552" ca="1" si="2256">X553+X554</f>
        <v>1143648.4834367959</v>
      </c>
      <c r="Y552" s="177">
        <f t="shared" ca="1" si="2256"/>
        <v>1443511.3920000012</v>
      </c>
      <c r="Z552" s="177">
        <f t="shared" ref="Z552:AA552" ca="1" si="2257">Z553+Z554</f>
        <v>1457598.3225698487</v>
      </c>
      <c r="AA552" s="177">
        <f t="shared" ca="1" si="2257"/>
        <v>1030275.9072170208</v>
      </c>
      <c r="AB552" s="177">
        <f t="shared" ref="AB552:AC552" ca="1" si="2258">AB553+AB554</f>
        <v>743092.96981666586</v>
      </c>
      <c r="AC552" s="177">
        <f t="shared" ca="1" si="2258"/>
        <v>750344.66116511158</v>
      </c>
      <c r="AD552" s="177">
        <f t="shared" ref="AD552:AE552" ca="1" si="2259">AD553+AD554</f>
        <v>909200.54433225305</v>
      </c>
      <c r="AE552" s="177">
        <f t="shared" ca="1" si="2259"/>
        <v>1224097.6604160017</v>
      </c>
      <c r="AF552" s="177">
        <f t="shared" ref="AF552:AG552" ca="1" si="2260">AF553+AF554</f>
        <v>1081537.9553468281</v>
      </c>
      <c r="AG552" s="177">
        <f t="shared" ca="1" si="2260"/>
        <v>936079.25284289324</v>
      </c>
      <c r="AH552" s="177">
        <f t="shared" ref="AH552:AI552" ca="1" si="2261">AH553+AH554</f>
        <v>945214.25760679948</v>
      </c>
      <c r="AI552" s="177">
        <f t="shared" ca="1" si="2261"/>
        <v>795365.34083501843</v>
      </c>
      <c r="AJ552" s="177">
        <f t="shared" ref="AJ552:AK552" ca="1" si="2262">AJ553+AJ554</f>
        <v>1285003.4359895848</v>
      </c>
      <c r="AK552" s="177">
        <f t="shared" ca="1" si="2262"/>
        <v>1621929.4000512029</v>
      </c>
      <c r="AL552" s="177">
        <f t="shared" ref="AL552:AM552" ca="1" si="2263">AL553+AL554</f>
        <v>1637757.4752394829</v>
      </c>
      <c r="AM552" s="177">
        <f t="shared" ca="1" si="2263"/>
        <v>1157618.0093490449</v>
      </c>
      <c r="AN552" s="177">
        <f t="shared" ref="AN552:AO552" ca="1" si="2264">AN553+AN554</f>
        <v>834939.26088600629</v>
      </c>
      <c r="AO552" s="177">
        <f t="shared" ca="1" si="2264"/>
        <v>843087.26128511969</v>
      </c>
      <c r="AP552" s="177">
        <f t="shared" ref="AP552:AQ552" ca="1" si="2265">AP553+AP554</f>
        <v>1021577.7316117201</v>
      </c>
      <c r="AQ552" s="177">
        <f t="shared" ca="1" si="2265"/>
        <v>1375396.1312434205</v>
      </c>
      <c r="AR552" s="177">
        <f t="shared" ref="AR552:AS552" ca="1" si="2266">AR553+AR554</f>
        <v>1215216.0466276968</v>
      </c>
      <c r="AS552" s="177">
        <f t="shared" ca="1" si="2266"/>
        <v>1051778.6484942755</v>
      </c>
      <c r="AT552" s="177">
        <f t="shared" ref="AT552:AU552" ca="1" si="2267">AT553+AT554</f>
        <v>1062042.7398470002</v>
      </c>
      <c r="AU552" s="177">
        <f t="shared" ca="1" si="2267"/>
        <v>893672.49696222716</v>
      </c>
      <c r="AV552" s="177">
        <f t="shared" ref="AV552:AW552" ca="1" si="2268">AV553+AV554</f>
        <v>1443829.8606778984</v>
      </c>
      <c r="AW552" s="177">
        <f t="shared" ca="1" si="2268"/>
        <v>1822399.873897532</v>
      </c>
      <c r="AX552" s="177">
        <f t="shared" ref="AX552:AY552" ca="1" si="2269">AX553+AX554</f>
        <v>1840184.2991790841</v>
      </c>
      <c r="AY552" s="177">
        <f t="shared" ca="1" si="2269"/>
        <v>1300699.5953045874</v>
      </c>
      <c r="AZ552" s="177">
        <f t="shared" ref="AZ552:BA552" ca="1" si="2270">AZ553+AZ554</f>
        <v>938137.75353151711</v>
      </c>
      <c r="BA552" s="177">
        <f t="shared" ca="1" si="2270"/>
        <v>947292.84677996091</v>
      </c>
      <c r="BB552" s="177">
        <f t="shared" ref="BB552" ca="1" si="2271">BB553+BB554</f>
        <v>1147844.7392389292</v>
      </c>
      <c r="BC552" s="177"/>
      <c r="BD552" s="178">
        <f ca="1">SUM(G552:BC552)</f>
        <v>44298046.370053977</v>
      </c>
    </row>
    <row r="553" spans="1:56" hidden="1" outlineLevel="1" x14ac:dyDescent="0.3">
      <c r="A553" s="175" t="str">
        <f ca="1">Language!A$792</f>
        <v>сумма без НДС</v>
      </c>
      <c r="B553" s="170"/>
      <c r="C553" s="194" t="str">
        <f t="shared" ca="1" si="2197"/>
        <v>руб.</v>
      </c>
      <c r="D553" s="174">
        <v>1</v>
      </c>
      <c r="F553" s="170" t="s">
        <v>1065</v>
      </c>
      <c r="G553" s="177">
        <f t="shared" ref="G553:AL553" ca="1" si="2272">SUM(G$519)</f>
        <v>0</v>
      </c>
      <c r="H553" s="177">
        <f t="shared" ca="1" si="2272"/>
        <v>0</v>
      </c>
      <c r="I553" s="177">
        <f t="shared" ca="1" si="2272"/>
        <v>0</v>
      </c>
      <c r="J553" s="177">
        <f t="shared" ca="1" si="2272"/>
        <v>0</v>
      </c>
      <c r="K553" s="177">
        <f t="shared" ca="1" si="2272"/>
        <v>0</v>
      </c>
      <c r="L553" s="177">
        <f t="shared" ca="1" si="2272"/>
        <v>0</v>
      </c>
      <c r="M553" s="177">
        <f t="shared" ca="1" si="2272"/>
        <v>385416.00000000006</v>
      </c>
      <c r="N553" s="177">
        <f t="shared" ca="1" si="2272"/>
        <v>518902.9272231569</v>
      </c>
      <c r="O553" s="177">
        <f t="shared" ca="1" si="2272"/>
        <v>654958.49261113524</v>
      </c>
      <c r="P553" s="177">
        <f t="shared" ca="1" si="2272"/>
        <v>793620.11728372949</v>
      </c>
      <c r="Q553" s="177">
        <f t="shared" ca="1" si="2272"/>
        <v>801364.89266476815</v>
      </c>
      <c r="R553" s="177">
        <f t="shared" ca="1" si="2272"/>
        <v>809185.24771471391</v>
      </c>
      <c r="S553" s="177">
        <f t="shared" ca="1" si="2272"/>
        <v>1089442.560000001</v>
      </c>
      <c r="T553" s="177">
        <f t="shared" ca="1" si="2272"/>
        <v>962564.92999895674</v>
      </c>
      <c r="U553" s="177">
        <f t="shared" ca="1" si="2272"/>
        <v>833107.20260136435</v>
      </c>
      <c r="V553" s="177">
        <f t="shared" ca="1" si="2272"/>
        <v>841237.32432075369</v>
      </c>
      <c r="W553" s="177">
        <f t="shared" ca="1" si="2272"/>
        <v>707872.32185387868</v>
      </c>
      <c r="X553" s="177">
        <f t="shared" ca="1" si="2272"/>
        <v>1143648.4834367959</v>
      </c>
      <c r="Y553" s="177">
        <f t="shared" ca="1" si="2272"/>
        <v>1443511.3920000012</v>
      </c>
      <c r="Z553" s="177">
        <f t="shared" ca="1" si="2272"/>
        <v>1457598.3225698487</v>
      </c>
      <c r="AA553" s="177">
        <f t="shared" ca="1" si="2272"/>
        <v>1030275.9072170208</v>
      </c>
      <c r="AB553" s="177">
        <f t="shared" ca="1" si="2272"/>
        <v>743092.96981666586</v>
      </c>
      <c r="AC553" s="177">
        <f t="shared" ca="1" si="2272"/>
        <v>750344.66116511158</v>
      </c>
      <c r="AD553" s="177">
        <f t="shared" ca="1" si="2272"/>
        <v>909200.54433225305</v>
      </c>
      <c r="AE553" s="177">
        <f t="shared" ca="1" si="2272"/>
        <v>1224097.6604160017</v>
      </c>
      <c r="AF553" s="177">
        <f t="shared" ca="1" si="2272"/>
        <v>1081537.9553468281</v>
      </c>
      <c r="AG553" s="177">
        <f t="shared" ca="1" si="2272"/>
        <v>936079.25284289324</v>
      </c>
      <c r="AH553" s="177">
        <f t="shared" ca="1" si="2272"/>
        <v>945214.25760679948</v>
      </c>
      <c r="AI553" s="177">
        <f t="shared" ca="1" si="2272"/>
        <v>795365.34083501843</v>
      </c>
      <c r="AJ553" s="177">
        <f t="shared" ca="1" si="2272"/>
        <v>1285003.4359895848</v>
      </c>
      <c r="AK553" s="177">
        <f t="shared" ca="1" si="2272"/>
        <v>1621929.4000512029</v>
      </c>
      <c r="AL553" s="177">
        <f t="shared" ca="1" si="2272"/>
        <v>1637757.4752394829</v>
      </c>
      <c r="AM553" s="177">
        <f t="shared" ref="AM553:BB553" ca="1" si="2273">SUM(AM$519)</f>
        <v>1157618.0093490449</v>
      </c>
      <c r="AN553" s="177">
        <f t="shared" ca="1" si="2273"/>
        <v>834939.26088600629</v>
      </c>
      <c r="AO553" s="177">
        <f t="shared" ca="1" si="2273"/>
        <v>843087.26128511969</v>
      </c>
      <c r="AP553" s="177">
        <f t="shared" ca="1" si="2273"/>
        <v>1021577.7316117201</v>
      </c>
      <c r="AQ553" s="177">
        <f t="shared" ca="1" si="2273"/>
        <v>1375396.1312434205</v>
      </c>
      <c r="AR553" s="177">
        <f t="shared" ca="1" si="2273"/>
        <v>1215216.0466276968</v>
      </c>
      <c r="AS553" s="177">
        <f t="shared" ca="1" si="2273"/>
        <v>1051778.6484942755</v>
      </c>
      <c r="AT553" s="177">
        <f t="shared" ca="1" si="2273"/>
        <v>1062042.7398470002</v>
      </c>
      <c r="AU553" s="177">
        <f t="shared" ca="1" si="2273"/>
        <v>893672.49696222716</v>
      </c>
      <c r="AV553" s="177">
        <f t="shared" ca="1" si="2273"/>
        <v>1443829.8606778984</v>
      </c>
      <c r="AW553" s="177">
        <f t="shared" ca="1" si="2273"/>
        <v>1822399.873897532</v>
      </c>
      <c r="AX553" s="177">
        <f t="shared" ca="1" si="2273"/>
        <v>1840184.2991790841</v>
      </c>
      <c r="AY553" s="177">
        <f t="shared" ca="1" si="2273"/>
        <v>1300699.5953045874</v>
      </c>
      <c r="AZ553" s="177">
        <f t="shared" ca="1" si="2273"/>
        <v>938137.75353151711</v>
      </c>
      <c r="BA553" s="177">
        <f t="shared" ca="1" si="2273"/>
        <v>947292.84677996091</v>
      </c>
      <c r="BB553" s="177">
        <f t="shared" ca="1" si="2273"/>
        <v>1147844.7392389292</v>
      </c>
      <c r="BC553" s="177"/>
      <c r="BD553" s="178">
        <f ca="1">SUM(G553:BC553)</f>
        <v>44298046.370053977</v>
      </c>
    </row>
    <row r="554" spans="1:56" hidden="1" outlineLevel="1" x14ac:dyDescent="0.3">
      <c r="A554" s="175" t="str">
        <f ca="1">Language!A$793</f>
        <v>НДС начисленный</v>
      </c>
      <c r="B554" s="170"/>
      <c r="C554" s="194"/>
      <c r="D554" s="174">
        <v>1</v>
      </c>
      <c r="F554" s="170" t="s">
        <v>1113</v>
      </c>
      <c r="G554" s="177">
        <f t="shared" ref="G554:AL554" ca="1" si="2274">SUM(G$524)</f>
        <v>0</v>
      </c>
      <c r="H554" s="177">
        <f t="shared" ca="1" si="2274"/>
        <v>0</v>
      </c>
      <c r="I554" s="177">
        <f t="shared" ca="1" si="2274"/>
        <v>0</v>
      </c>
      <c r="J554" s="177">
        <f t="shared" ca="1" si="2274"/>
        <v>0</v>
      </c>
      <c r="K554" s="177">
        <f t="shared" ca="1" si="2274"/>
        <v>0</v>
      </c>
      <c r="L554" s="177">
        <f t="shared" ca="1" si="2274"/>
        <v>0</v>
      </c>
      <c r="M554" s="177">
        <f t="shared" ca="1" si="2274"/>
        <v>0</v>
      </c>
      <c r="N554" s="177">
        <f t="shared" ca="1" si="2274"/>
        <v>0</v>
      </c>
      <c r="O554" s="177">
        <f t="shared" ca="1" si="2274"/>
        <v>0</v>
      </c>
      <c r="P554" s="177">
        <f t="shared" ca="1" si="2274"/>
        <v>0</v>
      </c>
      <c r="Q554" s="177">
        <f t="shared" ca="1" si="2274"/>
        <v>0</v>
      </c>
      <c r="R554" s="177">
        <f t="shared" ca="1" si="2274"/>
        <v>0</v>
      </c>
      <c r="S554" s="177">
        <f t="shared" ca="1" si="2274"/>
        <v>0</v>
      </c>
      <c r="T554" s="177">
        <f t="shared" ca="1" si="2274"/>
        <v>0</v>
      </c>
      <c r="U554" s="177">
        <f t="shared" ca="1" si="2274"/>
        <v>0</v>
      </c>
      <c r="V554" s="177">
        <f t="shared" ca="1" si="2274"/>
        <v>0</v>
      </c>
      <c r="W554" s="177">
        <f t="shared" ca="1" si="2274"/>
        <v>0</v>
      </c>
      <c r="X554" s="177">
        <f t="shared" ca="1" si="2274"/>
        <v>0</v>
      </c>
      <c r="Y554" s="177">
        <f t="shared" ca="1" si="2274"/>
        <v>0</v>
      </c>
      <c r="Z554" s="177">
        <f t="shared" ca="1" si="2274"/>
        <v>0</v>
      </c>
      <c r="AA554" s="177">
        <f t="shared" ca="1" si="2274"/>
        <v>0</v>
      </c>
      <c r="AB554" s="177">
        <f t="shared" ca="1" si="2274"/>
        <v>0</v>
      </c>
      <c r="AC554" s="177">
        <f t="shared" ca="1" si="2274"/>
        <v>0</v>
      </c>
      <c r="AD554" s="177">
        <f t="shared" ca="1" si="2274"/>
        <v>0</v>
      </c>
      <c r="AE554" s="177">
        <f t="shared" ca="1" si="2274"/>
        <v>0</v>
      </c>
      <c r="AF554" s="177">
        <f t="shared" ca="1" si="2274"/>
        <v>0</v>
      </c>
      <c r="AG554" s="177">
        <f t="shared" ca="1" si="2274"/>
        <v>0</v>
      </c>
      <c r="AH554" s="177">
        <f t="shared" ca="1" si="2274"/>
        <v>0</v>
      </c>
      <c r="AI554" s="177">
        <f t="shared" ca="1" si="2274"/>
        <v>0</v>
      </c>
      <c r="AJ554" s="177">
        <f t="shared" ca="1" si="2274"/>
        <v>0</v>
      </c>
      <c r="AK554" s="177">
        <f t="shared" ca="1" si="2274"/>
        <v>0</v>
      </c>
      <c r="AL554" s="177">
        <f t="shared" ca="1" si="2274"/>
        <v>0</v>
      </c>
      <c r="AM554" s="177">
        <f t="shared" ref="AM554:BB554" ca="1" si="2275">SUM(AM$524)</f>
        <v>0</v>
      </c>
      <c r="AN554" s="177">
        <f t="shared" ca="1" si="2275"/>
        <v>0</v>
      </c>
      <c r="AO554" s="177">
        <f t="shared" ca="1" si="2275"/>
        <v>0</v>
      </c>
      <c r="AP554" s="177">
        <f t="shared" ca="1" si="2275"/>
        <v>0</v>
      </c>
      <c r="AQ554" s="177">
        <f t="shared" ca="1" si="2275"/>
        <v>0</v>
      </c>
      <c r="AR554" s="177">
        <f t="shared" ca="1" si="2275"/>
        <v>0</v>
      </c>
      <c r="AS554" s="177">
        <f t="shared" ca="1" si="2275"/>
        <v>0</v>
      </c>
      <c r="AT554" s="177">
        <f t="shared" ca="1" si="2275"/>
        <v>0</v>
      </c>
      <c r="AU554" s="177">
        <f t="shared" ca="1" si="2275"/>
        <v>0</v>
      </c>
      <c r="AV554" s="177">
        <f t="shared" ca="1" si="2275"/>
        <v>0</v>
      </c>
      <c r="AW554" s="177">
        <f t="shared" ca="1" si="2275"/>
        <v>0</v>
      </c>
      <c r="AX554" s="177">
        <f t="shared" ca="1" si="2275"/>
        <v>0</v>
      </c>
      <c r="AY554" s="177">
        <f t="shared" ca="1" si="2275"/>
        <v>0</v>
      </c>
      <c r="AZ554" s="177">
        <f t="shared" ca="1" si="2275"/>
        <v>0</v>
      </c>
      <c r="BA554" s="177">
        <f t="shared" ca="1" si="2275"/>
        <v>0</v>
      </c>
      <c r="BB554" s="177">
        <f t="shared" ca="1" si="2275"/>
        <v>0</v>
      </c>
      <c r="BC554" s="177"/>
      <c r="BD554" s="178">
        <f ca="1">SUM(G554:BC554)</f>
        <v>0</v>
      </c>
    </row>
    <row r="555" spans="1:56" s="170" customFormat="1" hidden="1" outlineLevel="1" x14ac:dyDescent="0.3">
      <c r="A555" s="184" t="str">
        <f ca="1">Language!A$794</f>
        <v>затраты в запасах готовой продукции</v>
      </c>
      <c r="B555" s="163"/>
      <c r="C555" s="163" t="str">
        <f t="shared" ref="C555:C564" ca="1" si="2276">CurName1</f>
        <v>руб.</v>
      </c>
      <c r="D555" s="174"/>
      <c r="F555" s="170" t="s">
        <v>2350</v>
      </c>
      <c r="G555" s="287">
        <f ca="1">IF(AND($B556=0,G$2&gt;1), F555, G553*$B556/Параметры!G$30)</f>
        <v>0</v>
      </c>
      <c r="H555" s="287">
        <f ca="1">IF(AND($B556=0,H$2&gt;1), G555, H553*$B556/Параметры!H$30)</f>
        <v>0</v>
      </c>
      <c r="I555" s="287">
        <f ca="1">IF(AND($B556=0,I$2&gt;1), H555, I553*$B556/Параметры!I$30)</f>
        <v>0</v>
      </c>
      <c r="J555" s="287">
        <f ca="1">IF(AND($B556=0,J$2&gt;1), I555, J553*$B556/Параметры!J$30)</f>
        <v>0</v>
      </c>
      <c r="K555" s="287">
        <f ca="1">IF(AND($B556=0,K$2&gt;1), J555, K553*$B556/Параметры!K$30)</f>
        <v>0</v>
      </c>
      <c r="L555" s="287">
        <f ca="1">IF(AND($B556=0,L$2&gt;1), K555, L553*$B556/Параметры!L$30)</f>
        <v>0</v>
      </c>
      <c r="M555" s="287">
        <f ca="1">IF(AND($B556=0,M$2&gt;1), L555, M553*$B556/Параметры!M$30)</f>
        <v>0</v>
      </c>
      <c r="N555" s="287">
        <f ca="1">IF(AND($B556=0,N$2&gt;1), M555, N553*$B556/Параметры!N$30)</f>
        <v>0</v>
      </c>
      <c r="O555" s="287">
        <f ca="1">IF(AND($B556=0,O$2&gt;1), N555, O553*$B556/Параметры!O$30)</f>
        <v>0</v>
      </c>
      <c r="P555" s="287">
        <f ca="1">IF(AND($B556=0,P$2&gt;1), O555, P553*$B556/Параметры!P$30)</f>
        <v>0</v>
      </c>
      <c r="Q555" s="287">
        <f ca="1">IF(AND($B556=0,Q$2&gt;1), P555, Q553*$B556/Параметры!Q$30)</f>
        <v>0</v>
      </c>
      <c r="R555" s="287">
        <f ca="1">IF(AND($B556=0,R$2&gt;1), Q555, R553*$B556/Параметры!R$30)</f>
        <v>0</v>
      </c>
      <c r="S555" s="287">
        <f ca="1">IF(AND($B556=0,S$2&gt;1), R555, S553*$B556/Параметры!S$30)</f>
        <v>0</v>
      </c>
      <c r="T555" s="287">
        <f ca="1">IF(AND($B556=0,T$2&gt;1), S555, T553*$B556/Параметры!T$30)</f>
        <v>0</v>
      </c>
      <c r="U555" s="287">
        <f ca="1">IF(AND($B556=0,U$2&gt;1), T555, U553*$B556/Параметры!U$30)</f>
        <v>0</v>
      </c>
      <c r="V555" s="287">
        <f ca="1">IF(AND($B556=0,V$2&gt;1), U555, V553*$B556/Параметры!V$30)</f>
        <v>0</v>
      </c>
      <c r="W555" s="287">
        <f ca="1">IF(AND($B556=0,W$2&gt;1), V555, W553*$B556/Параметры!W$30)</f>
        <v>0</v>
      </c>
      <c r="X555" s="287">
        <f ca="1">IF(AND($B556=0,X$2&gt;1), W555, X553*$B556/Параметры!X$30)</f>
        <v>0</v>
      </c>
      <c r="Y555" s="287">
        <f ca="1">IF(AND($B556=0,Y$2&gt;1), X555, Y553*$B556/Параметры!Y$30)</f>
        <v>0</v>
      </c>
      <c r="Z555" s="287">
        <f ca="1">IF(AND($B556=0,Z$2&gt;1), Y555, Z553*$B556/Параметры!Z$30)</f>
        <v>0</v>
      </c>
      <c r="AA555" s="287">
        <f ca="1">IF(AND($B556=0,AA$2&gt;1), Z555, AA553*$B556/Параметры!AA$30)</f>
        <v>0</v>
      </c>
      <c r="AB555" s="287">
        <f ca="1">IF(AND($B556=0,AB$2&gt;1), AA555, AB553*$B556/Параметры!AB$30)</f>
        <v>0</v>
      </c>
      <c r="AC555" s="287">
        <f ca="1">IF(AND($B556=0,AC$2&gt;1), AB555, AC553*$B556/Параметры!AC$30)</f>
        <v>0</v>
      </c>
      <c r="AD555" s="287">
        <f ca="1">IF(AND($B556=0,AD$2&gt;1), AC555, AD553*$B556/Параметры!AD$30)</f>
        <v>0</v>
      </c>
      <c r="AE555" s="287">
        <f ca="1">IF(AND($B556=0,AE$2&gt;1), AD555, AE553*$B556/Параметры!AE$30)</f>
        <v>0</v>
      </c>
      <c r="AF555" s="287">
        <f ca="1">IF(AND($B556=0,AF$2&gt;1), AE555, AF553*$B556/Параметры!AF$30)</f>
        <v>0</v>
      </c>
      <c r="AG555" s="287">
        <f ca="1">IF(AND($B556=0,AG$2&gt;1), AF555, AG553*$B556/Параметры!AG$30)</f>
        <v>0</v>
      </c>
      <c r="AH555" s="287">
        <f ca="1">IF(AND($B556=0,AH$2&gt;1), AG555, AH553*$B556/Параметры!AH$30)</f>
        <v>0</v>
      </c>
      <c r="AI555" s="287">
        <f ca="1">IF(AND($B556=0,AI$2&gt;1), AH555, AI553*$B556/Параметры!AI$30)</f>
        <v>0</v>
      </c>
      <c r="AJ555" s="287">
        <f ca="1">IF(AND($B556=0,AJ$2&gt;1), AI555, AJ553*$B556/Параметры!AJ$30)</f>
        <v>0</v>
      </c>
      <c r="AK555" s="287">
        <f ca="1">IF(AND($B556=0,AK$2&gt;1), AJ555, AK553*$B556/Параметры!AK$30)</f>
        <v>0</v>
      </c>
      <c r="AL555" s="287">
        <f ca="1">IF(AND($B556=0,AL$2&gt;1), AK555, AL553*$B556/Параметры!AL$30)</f>
        <v>0</v>
      </c>
      <c r="AM555" s="287">
        <f ca="1">IF(AND($B556=0,AM$2&gt;1), AL555, AM553*$B556/Параметры!AM$30)</f>
        <v>0</v>
      </c>
      <c r="AN555" s="287">
        <f ca="1">IF(AND($B556=0,AN$2&gt;1), AM555, AN553*$B556/Параметры!AN$30)</f>
        <v>0</v>
      </c>
      <c r="AO555" s="287">
        <f ca="1">IF(AND($B556=0,AO$2&gt;1), AN555, AO553*$B556/Параметры!AO$30)</f>
        <v>0</v>
      </c>
      <c r="AP555" s="287">
        <f ca="1">IF(AND($B556=0,AP$2&gt;1), AO555, AP553*$B556/Параметры!AP$30)</f>
        <v>0</v>
      </c>
      <c r="AQ555" s="287">
        <f ca="1">IF(AND($B556=0,AQ$2&gt;1), AP555, AQ553*$B556/Параметры!AQ$30)</f>
        <v>0</v>
      </c>
      <c r="AR555" s="287">
        <f ca="1">IF(AND($B556=0,AR$2&gt;1), AQ555, AR553*$B556/Параметры!AR$30)</f>
        <v>0</v>
      </c>
      <c r="AS555" s="287">
        <f ca="1">IF(AND($B556=0,AS$2&gt;1), AR555, AS553*$B556/Параметры!AS$30)</f>
        <v>0</v>
      </c>
      <c r="AT555" s="287">
        <f ca="1">IF(AND($B556=0,AT$2&gt;1), AS555, AT553*$B556/Параметры!AT$30)</f>
        <v>0</v>
      </c>
      <c r="AU555" s="287">
        <f ca="1">IF(AND($B556=0,AU$2&gt;1), AT555, AU553*$B556/Параметры!AU$30)</f>
        <v>0</v>
      </c>
      <c r="AV555" s="287">
        <f ca="1">IF(AND($B556=0,AV$2&gt;1), AU555, AV553*$B556/Параметры!AV$30)</f>
        <v>0</v>
      </c>
      <c r="AW555" s="287">
        <f ca="1">IF(AND($B556=0,AW$2&gt;1), AV555, AW553*$B556/Параметры!AW$30)</f>
        <v>0</v>
      </c>
      <c r="AX555" s="287">
        <f ca="1">IF(AND($B556=0,AX$2&gt;1), AW555, AX553*$B556/Параметры!AX$30)</f>
        <v>0</v>
      </c>
      <c r="AY555" s="287">
        <f ca="1">IF(AND($B556=0,AY$2&gt;1), AX555, AY553*$B556/Параметры!AY$30)</f>
        <v>0</v>
      </c>
      <c r="AZ555" s="287">
        <f ca="1">IF(AND($B556=0,AZ$2&gt;1), AY555, AZ553*$B556/Параметры!AZ$30)</f>
        <v>0</v>
      </c>
      <c r="BA555" s="287">
        <f ca="1">IF(AND($B556=0,BA$2&gt;1), AZ555, BA553*$B556/Параметры!BA$30)</f>
        <v>0</v>
      </c>
      <c r="BB555" s="287">
        <f ca="1">IF(AND($B556=0,BB$2&gt;1), BA555, BB553*$B556/Параметры!BB$30)</f>
        <v>0</v>
      </c>
      <c r="BC555" s="185"/>
      <c r="BD555" s="193"/>
    </row>
    <row r="556" spans="1:56" s="170" customFormat="1" hidden="1" outlineLevel="1" x14ac:dyDescent="0.3">
      <c r="A556" s="187" t="str">
        <f ca="1">Language!A$795</f>
        <v>периодичность отгрузки</v>
      </c>
      <c r="B556" s="288">
        <v>0</v>
      </c>
      <c r="C556" s="163" t="str">
        <f ca="1">Language!$A$1474</f>
        <v>дней</v>
      </c>
      <c r="D556" s="174"/>
      <c r="F556" s="170" t="s">
        <v>2347</v>
      </c>
      <c r="G556" s="185"/>
      <c r="H556" s="185"/>
      <c r="I556" s="185"/>
      <c r="J556" s="185"/>
      <c r="K556" s="185"/>
      <c r="L556" s="185"/>
      <c r="M556" s="185"/>
      <c r="N556" s="185"/>
      <c r="O556" s="185"/>
      <c r="P556" s="185"/>
      <c r="Q556" s="185"/>
      <c r="R556" s="185"/>
      <c r="S556" s="185"/>
      <c r="T556" s="185"/>
      <c r="U556" s="185"/>
      <c r="V556" s="185"/>
      <c r="W556" s="185"/>
      <c r="X556" s="185"/>
      <c r="Y556" s="185"/>
      <c r="Z556" s="185"/>
      <c r="AA556" s="185"/>
      <c r="AB556" s="185"/>
      <c r="AC556" s="185"/>
      <c r="AD556" s="185"/>
      <c r="AE556" s="185"/>
      <c r="AF556" s="185"/>
      <c r="AG556" s="185"/>
      <c r="AH556" s="185"/>
      <c r="AI556" s="185"/>
      <c r="AJ556" s="185"/>
      <c r="AK556" s="185"/>
      <c r="AL556" s="185"/>
      <c r="AM556" s="185"/>
      <c r="AN556" s="185"/>
      <c r="AO556" s="185"/>
      <c r="AP556" s="185"/>
      <c r="AQ556" s="185"/>
      <c r="AR556" s="185"/>
      <c r="AS556" s="185"/>
      <c r="AT556" s="185"/>
      <c r="AU556" s="185"/>
      <c r="AV556" s="185"/>
      <c r="AW556" s="185"/>
      <c r="AX556" s="185"/>
      <c r="AY556" s="185"/>
      <c r="AZ556" s="185"/>
      <c r="BA556" s="185"/>
      <c r="BB556" s="185"/>
      <c r="BC556" s="185"/>
      <c r="BD556" s="193"/>
    </row>
    <row r="557" spans="1:56" s="170" customFormat="1" hidden="1" outlineLevel="1" x14ac:dyDescent="0.3">
      <c r="A557" s="184" t="str">
        <f ca="1">Language!A$796</f>
        <v>затраты в незавершенном производстве</v>
      </c>
      <c r="B557" s="163"/>
      <c r="C557" s="163" t="str">
        <f t="shared" ca="1" si="2276"/>
        <v>руб.</v>
      </c>
      <c r="D557" s="174"/>
      <c r="F557" s="170" t="s">
        <v>2350</v>
      </c>
      <c r="G557" s="287">
        <f ca="1">IF(AND($B558=0,G$2&gt;1), F557, G553*$B558/Параметры!G$30)</f>
        <v>0</v>
      </c>
      <c r="H557" s="287">
        <f ca="1">IF(AND($B558=0,H$2&gt;1), G557, H553*$B558/Параметры!H$30)</f>
        <v>0</v>
      </c>
      <c r="I557" s="287">
        <f ca="1">IF(AND($B558=0,I$2&gt;1), H557, I553*$B558/Параметры!I$30)</f>
        <v>0</v>
      </c>
      <c r="J557" s="287">
        <f ca="1">IF(AND($B558=0,J$2&gt;1), I557, J553*$B558/Параметры!J$30)</f>
        <v>0</v>
      </c>
      <c r="K557" s="287">
        <f ca="1">IF(AND($B558=0,K$2&gt;1), J557, K553*$B558/Параметры!K$30)</f>
        <v>0</v>
      </c>
      <c r="L557" s="287">
        <f ca="1">IF(AND($B558=0,L$2&gt;1), K557, L553*$B558/Параметры!L$30)</f>
        <v>0</v>
      </c>
      <c r="M557" s="287">
        <f ca="1">IF(AND($B558=0,M$2&gt;1), L557, M553*$B558/Параметры!M$30)</f>
        <v>0</v>
      </c>
      <c r="N557" s="287">
        <f ca="1">IF(AND($B558=0,N$2&gt;1), M557, N553*$B558/Параметры!N$30)</f>
        <v>0</v>
      </c>
      <c r="O557" s="287">
        <f ca="1">IF(AND($B558=0,O$2&gt;1), N557, O553*$B558/Параметры!O$30)</f>
        <v>0</v>
      </c>
      <c r="P557" s="287">
        <f ca="1">IF(AND($B558=0,P$2&gt;1), O557, P553*$B558/Параметры!P$30)</f>
        <v>0</v>
      </c>
      <c r="Q557" s="287">
        <f ca="1">IF(AND($B558=0,Q$2&gt;1), P557, Q553*$B558/Параметры!Q$30)</f>
        <v>0</v>
      </c>
      <c r="R557" s="287">
        <f ca="1">IF(AND($B558=0,R$2&gt;1), Q557, R553*$B558/Параметры!R$30)</f>
        <v>0</v>
      </c>
      <c r="S557" s="287">
        <f ca="1">IF(AND($B558=0,S$2&gt;1), R557, S553*$B558/Параметры!S$30)</f>
        <v>0</v>
      </c>
      <c r="T557" s="287">
        <f ca="1">IF(AND($B558=0,T$2&gt;1), S557, T553*$B558/Параметры!T$30)</f>
        <v>0</v>
      </c>
      <c r="U557" s="287">
        <f ca="1">IF(AND($B558=0,U$2&gt;1), T557, U553*$B558/Параметры!U$30)</f>
        <v>0</v>
      </c>
      <c r="V557" s="287">
        <f ca="1">IF(AND($B558=0,V$2&gt;1), U557, V553*$B558/Параметры!V$30)</f>
        <v>0</v>
      </c>
      <c r="W557" s="287">
        <f ca="1">IF(AND($B558=0,W$2&gt;1), V557, W553*$B558/Параметры!W$30)</f>
        <v>0</v>
      </c>
      <c r="X557" s="287">
        <f ca="1">IF(AND($B558=0,X$2&gt;1), W557, X553*$B558/Параметры!X$30)</f>
        <v>0</v>
      </c>
      <c r="Y557" s="287">
        <f ca="1">IF(AND($B558=0,Y$2&gt;1), X557, Y553*$B558/Параметры!Y$30)</f>
        <v>0</v>
      </c>
      <c r="Z557" s="287">
        <f ca="1">IF(AND($B558=0,Z$2&gt;1), Y557, Z553*$B558/Параметры!Z$30)</f>
        <v>0</v>
      </c>
      <c r="AA557" s="287">
        <f ca="1">IF(AND($B558=0,AA$2&gt;1), Z557, AA553*$B558/Параметры!AA$30)</f>
        <v>0</v>
      </c>
      <c r="AB557" s="287">
        <f ca="1">IF(AND($B558=0,AB$2&gt;1), AA557, AB553*$B558/Параметры!AB$30)</f>
        <v>0</v>
      </c>
      <c r="AC557" s="287">
        <f ca="1">IF(AND($B558=0,AC$2&gt;1), AB557, AC553*$B558/Параметры!AC$30)</f>
        <v>0</v>
      </c>
      <c r="AD557" s="287">
        <f ca="1">IF(AND($B558=0,AD$2&gt;1), AC557, AD553*$B558/Параметры!AD$30)</f>
        <v>0</v>
      </c>
      <c r="AE557" s="287">
        <f ca="1">IF(AND($B558=0,AE$2&gt;1), AD557, AE553*$B558/Параметры!AE$30)</f>
        <v>0</v>
      </c>
      <c r="AF557" s="287">
        <f ca="1">IF(AND($B558=0,AF$2&gt;1), AE557, AF553*$B558/Параметры!AF$30)</f>
        <v>0</v>
      </c>
      <c r="AG557" s="287">
        <f ca="1">IF(AND($B558=0,AG$2&gt;1), AF557, AG553*$B558/Параметры!AG$30)</f>
        <v>0</v>
      </c>
      <c r="AH557" s="287">
        <f ca="1">IF(AND($B558=0,AH$2&gt;1), AG557, AH553*$B558/Параметры!AH$30)</f>
        <v>0</v>
      </c>
      <c r="AI557" s="287">
        <f ca="1">IF(AND($B558=0,AI$2&gt;1), AH557, AI553*$B558/Параметры!AI$30)</f>
        <v>0</v>
      </c>
      <c r="AJ557" s="287">
        <f ca="1">IF(AND($B558=0,AJ$2&gt;1), AI557, AJ553*$B558/Параметры!AJ$30)</f>
        <v>0</v>
      </c>
      <c r="AK557" s="287">
        <f ca="1">IF(AND($B558=0,AK$2&gt;1), AJ557, AK553*$B558/Параметры!AK$30)</f>
        <v>0</v>
      </c>
      <c r="AL557" s="287">
        <f ca="1">IF(AND($B558=0,AL$2&gt;1), AK557, AL553*$B558/Параметры!AL$30)</f>
        <v>0</v>
      </c>
      <c r="AM557" s="287">
        <f ca="1">IF(AND($B558=0,AM$2&gt;1), AL557, AM553*$B558/Параметры!AM$30)</f>
        <v>0</v>
      </c>
      <c r="AN557" s="287">
        <f ca="1">IF(AND($B558=0,AN$2&gt;1), AM557, AN553*$B558/Параметры!AN$30)</f>
        <v>0</v>
      </c>
      <c r="AO557" s="287">
        <f ca="1">IF(AND($B558=0,AO$2&gt;1), AN557, AO553*$B558/Параметры!AO$30)</f>
        <v>0</v>
      </c>
      <c r="AP557" s="287">
        <f ca="1">IF(AND($B558=0,AP$2&gt;1), AO557, AP553*$B558/Параметры!AP$30)</f>
        <v>0</v>
      </c>
      <c r="AQ557" s="287">
        <f ca="1">IF(AND($B558=0,AQ$2&gt;1), AP557, AQ553*$B558/Параметры!AQ$30)</f>
        <v>0</v>
      </c>
      <c r="AR557" s="287">
        <f ca="1">IF(AND($B558=0,AR$2&gt;1), AQ557, AR553*$B558/Параметры!AR$30)</f>
        <v>0</v>
      </c>
      <c r="AS557" s="287">
        <f ca="1">IF(AND($B558=0,AS$2&gt;1), AR557, AS553*$B558/Параметры!AS$30)</f>
        <v>0</v>
      </c>
      <c r="AT557" s="287">
        <f ca="1">IF(AND($B558=0,AT$2&gt;1), AS557, AT553*$B558/Параметры!AT$30)</f>
        <v>0</v>
      </c>
      <c r="AU557" s="287">
        <f ca="1">IF(AND($B558=0,AU$2&gt;1), AT557, AU553*$B558/Параметры!AU$30)</f>
        <v>0</v>
      </c>
      <c r="AV557" s="287">
        <f ca="1">IF(AND($B558=0,AV$2&gt;1), AU557, AV553*$B558/Параметры!AV$30)</f>
        <v>0</v>
      </c>
      <c r="AW557" s="287">
        <f ca="1">IF(AND($B558=0,AW$2&gt;1), AV557, AW553*$B558/Параметры!AW$30)</f>
        <v>0</v>
      </c>
      <c r="AX557" s="287">
        <f ca="1">IF(AND($B558=0,AX$2&gt;1), AW557, AX553*$B558/Параметры!AX$30)</f>
        <v>0</v>
      </c>
      <c r="AY557" s="287">
        <f ca="1">IF(AND($B558=0,AY$2&gt;1), AX557, AY553*$B558/Параметры!AY$30)</f>
        <v>0</v>
      </c>
      <c r="AZ557" s="287">
        <f ca="1">IF(AND($B558=0,AZ$2&gt;1), AY557, AZ553*$B558/Параметры!AZ$30)</f>
        <v>0</v>
      </c>
      <c r="BA557" s="287">
        <f ca="1">IF(AND($B558=0,BA$2&gt;1), AZ557, BA553*$B558/Параметры!BA$30)</f>
        <v>0</v>
      </c>
      <c r="BB557" s="287">
        <f ca="1">IF(AND($B558=0,BB$2&gt;1), BA557, BB553*$B558/Параметры!BB$30)</f>
        <v>0</v>
      </c>
      <c r="BC557" s="185"/>
      <c r="BD557" s="193"/>
    </row>
    <row r="558" spans="1:56" s="170" customFormat="1" hidden="1" outlineLevel="1" x14ac:dyDescent="0.3">
      <c r="A558" s="187" t="str">
        <f ca="1">Language!A$797</f>
        <v>длительность производственного цикла</v>
      </c>
      <c r="B558" s="288">
        <v>0</v>
      </c>
      <c r="C558" s="163" t="str">
        <f ca="1">Language!$A$1474</f>
        <v>дней</v>
      </c>
      <c r="D558" s="174"/>
      <c r="F558" s="170" t="s">
        <v>2347</v>
      </c>
      <c r="G558" s="185"/>
      <c r="H558" s="185"/>
      <c r="I558" s="185"/>
      <c r="J558" s="185"/>
      <c r="K558" s="185"/>
      <c r="L558" s="185"/>
      <c r="M558" s="185"/>
      <c r="N558" s="185"/>
      <c r="O558" s="185"/>
      <c r="P558" s="185"/>
      <c r="Q558" s="185"/>
      <c r="R558" s="185"/>
      <c r="S558" s="185"/>
      <c r="T558" s="185"/>
      <c r="U558" s="185"/>
      <c r="V558" s="185"/>
      <c r="W558" s="185"/>
      <c r="X558" s="185"/>
      <c r="Y558" s="185"/>
      <c r="Z558" s="185"/>
      <c r="AA558" s="185"/>
      <c r="AB558" s="185"/>
      <c r="AC558" s="185"/>
      <c r="AD558" s="185"/>
      <c r="AE558" s="185"/>
      <c r="AF558" s="185"/>
      <c r="AG558" s="185"/>
      <c r="AH558" s="185"/>
      <c r="AI558" s="185"/>
      <c r="AJ558" s="185"/>
      <c r="AK558" s="185"/>
      <c r="AL558" s="185"/>
      <c r="AM558" s="185"/>
      <c r="AN558" s="185"/>
      <c r="AO558" s="185"/>
      <c r="AP558" s="185"/>
      <c r="AQ558" s="185"/>
      <c r="AR558" s="185"/>
      <c r="AS558" s="185"/>
      <c r="AT558" s="185"/>
      <c r="AU558" s="185"/>
      <c r="AV558" s="185"/>
      <c r="AW558" s="185"/>
      <c r="AX558" s="185"/>
      <c r="AY558" s="185"/>
      <c r="AZ558" s="185"/>
      <c r="BA558" s="185"/>
      <c r="BB558" s="185"/>
      <c r="BC558" s="185"/>
      <c r="BD558" s="193"/>
    </row>
    <row r="559" spans="1:56" s="173" customFormat="1" hidden="1" outlineLevel="1" x14ac:dyDescent="0.3">
      <c r="A559" s="181" t="str">
        <f ca="1">Language!A$798</f>
        <v>списано на продажи</v>
      </c>
      <c r="B559" s="176"/>
      <c r="C559" s="176" t="str">
        <f t="shared" ca="1" si="2276"/>
        <v>руб.</v>
      </c>
      <c r="D559" s="174"/>
      <c r="E559" s="170"/>
      <c r="F559" s="170" t="s">
        <v>740</v>
      </c>
      <c r="G559" s="202">
        <f t="shared" ref="G559:BB559" ca="1" si="2277">G553-G555-G557 + IF(G$2&gt;1, F555+F557, 0)</f>
        <v>0</v>
      </c>
      <c r="H559" s="202">
        <f t="shared" ca="1" si="2277"/>
        <v>0</v>
      </c>
      <c r="I559" s="202">
        <f t="shared" ca="1" si="2277"/>
        <v>0</v>
      </c>
      <c r="J559" s="202">
        <f t="shared" ca="1" si="2277"/>
        <v>0</v>
      </c>
      <c r="K559" s="202">
        <f t="shared" ca="1" si="2277"/>
        <v>0</v>
      </c>
      <c r="L559" s="202">
        <f t="shared" ca="1" si="2277"/>
        <v>0</v>
      </c>
      <c r="M559" s="202">
        <f t="shared" ca="1" si="2277"/>
        <v>385416.00000000006</v>
      </c>
      <c r="N559" s="202">
        <f t="shared" ca="1" si="2277"/>
        <v>518902.9272231569</v>
      </c>
      <c r="O559" s="202">
        <f t="shared" ca="1" si="2277"/>
        <v>654958.49261113524</v>
      </c>
      <c r="P559" s="202">
        <f t="shared" ca="1" si="2277"/>
        <v>793620.11728372949</v>
      </c>
      <c r="Q559" s="202">
        <f t="shared" ca="1" si="2277"/>
        <v>801364.89266476815</v>
      </c>
      <c r="R559" s="202">
        <f t="shared" ca="1" si="2277"/>
        <v>809185.24771471391</v>
      </c>
      <c r="S559" s="202">
        <f t="shared" ca="1" si="2277"/>
        <v>1089442.560000001</v>
      </c>
      <c r="T559" s="202">
        <f t="shared" ca="1" si="2277"/>
        <v>962564.92999895674</v>
      </c>
      <c r="U559" s="202">
        <f t="shared" ca="1" si="2277"/>
        <v>833107.20260136435</v>
      </c>
      <c r="V559" s="202">
        <f t="shared" ca="1" si="2277"/>
        <v>841237.32432075369</v>
      </c>
      <c r="W559" s="202">
        <f t="shared" ca="1" si="2277"/>
        <v>707872.32185387868</v>
      </c>
      <c r="X559" s="202">
        <f t="shared" ca="1" si="2277"/>
        <v>1143648.4834367959</v>
      </c>
      <c r="Y559" s="202">
        <f t="shared" ca="1" si="2277"/>
        <v>1443511.3920000012</v>
      </c>
      <c r="Z559" s="202">
        <f t="shared" ca="1" si="2277"/>
        <v>1457598.3225698487</v>
      </c>
      <c r="AA559" s="202">
        <f t="shared" ca="1" si="2277"/>
        <v>1030275.9072170208</v>
      </c>
      <c r="AB559" s="202">
        <f t="shared" ca="1" si="2277"/>
        <v>743092.96981666586</v>
      </c>
      <c r="AC559" s="202">
        <f t="shared" ca="1" si="2277"/>
        <v>750344.66116511158</v>
      </c>
      <c r="AD559" s="202">
        <f t="shared" ca="1" si="2277"/>
        <v>909200.54433225305</v>
      </c>
      <c r="AE559" s="202">
        <f t="shared" ca="1" si="2277"/>
        <v>1224097.6604160017</v>
      </c>
      <c r="AF559" s="202">
        <f t="shared" ca="1" si="2277"/>
        <v>1081537.9553468281</v>
      </c>
      <c r="AG559" s="202">
        <f t="shared" ca="1" si="2277"/>
        <v>936079.25284289324</v>
      </c>
      <c r="AH559" s="202">
        <f t="shared" ca="1" si="2277"/>
        <v>945214.25760679948</v>
      </c>
      <c r="AI559" s="202">
        <f t="shared" ca="1" si="2277"/>
        <v>795365.34083501843</v>
      </c>
      <c r="AJ559" s="202">
        <f t="shared" ca="1" si="2277"/>
        <v>1285003.4359895848</v>
      </c>
      <c r="AK559" s="202">
        <f t="shared" ca="1" si="2277"/>
        <v>1621929.4000512029</v>
      </c>
      <c r="AL559" s="202">
        <f t="shared" ca="1" si="2277"/>
        <v>1637757.4752394829</v>
      </c>
      <c r="AM559" s="202">
        <f t="shared" ca="1" si="2277"/>
        <v>1157618.0093490449</v>
      </c>
      <c r="AN559" s="202">
        <f t="shared" ca="1" si="2277"/>
        <v>834939.26088600629</v>
      </c>
      <c r="AO559" s="202">
        <f t="shared" ca="1" si="2277"/>
        <v>843087.26128511969</v>
      </c>
      <c r="AP559" s="202">
        <f t="shared" ca="1" si="2277"/>
        <v>1021577.7316117201</v>
      </c>
      <c r="AQ559" s="202">
        <f t="shared" ca="1" si="2277"/>
        <v>1375396.1312434205</v>
      </c>
      <c r="AR559" s="202">
        <f t="shared" ca="1" si="2277"/>
        <v>1215216.0466276968</v>
      </c>
      <c r="AS559" s="202">
        <f t="shared" ca="1" si="2277"/>
        <v>1051778.6484942755</v>
      </c>
      <c r="AT559" s="202">
        <f t="shared" ca="1" si="2277"/>
        <v>1062042.7398470002</v>
      </c>
      <c r="AU559" s="202">
        <f t="shared" ca="1" si="2277"/>
        <v>893672.49696222716</v>
      </c>
      <c r="AV559" s="202">
        <f t="shared" ca="1" si="2277"/>
        <v>1443829.8606778984</v>
      </c>
      <c r="AW559" s="202">
        <f t="shared" ca="1" si="2277"/>
        <v>1822399.873897532</v>
      </c>
      <c r="AX559" s="202">
        <f t="shared" ca="1" si="2277"/>
        <v>1840184.2991790841</v>
      </c>
      <c r="AY559" s="202">
        <f t="shared" ca="1" si="2277"/>
        <v>1300699.5953045874</v>
      </c>
      <c r="AZ559" s="202">
        <f t="shared" ca="1" si="2277"/>
        <v>938137.75353151711</v>
      </c>
      <c r="BA559" s="202">
        <f t="shared" ca="1" si="2277"/>
        <v>947292.84677996091</v>
      </c>
      <c r="BB559" s="202">
        <f t="shared" ca="1" si="2277"/>
        <v>1147844.7392389292</v>
      </c>
      <c r="BC559" s="202"/>
      <c r="BD559" s="183">
        <f ca="1">SUM(G559:BC559)</f>
        <v>44298046.370053977</v>
      </c>
    </row>
    <row r="560" spans="1:56" s="170" customFormat="1" hidden="1" outlineLevel="1" x14ac:dyDescent="0.3">
      <c r="A560" s="184" t="str">
        <f ca="1">Language!A$799</f>
        <v>кредиторская задолженность</v>
      </c>
      <c r="B560" s="174"/>
      <c r="C560" s="163" t="str">
        <f t="shared" ca="1" si="2276"/>
        <v>руб.</v>
      </c>
      <c r="D560" s="174"/>
      <c r="F560" s="170" t="s">
        <v>2350</v>
      </c>
      <c r="G560" s="287">
        <f ca="1">IF(AND($B561=0,G$2&gt;1),F560,(G553+G554)*$B561/Параметры!G$30)</f>
        <v>0</v>
      </c>
      <c r="H560" s="287">
        <f ca="1">IF(AND($B561=0,H$2&gt;1),G560,(H553+H554)*$B561/Параметры!H$30)</f>
        <v>0</v>
      </c>
      <c r="I560" s="287">
        <f ca="1">IF(AND($B561=0,I$2&gt;1),H560,(I553+I554)*$B561/Параметры!I$30)</f>
        <v>0</v>
      </c>
      <c r="J560" s="287">
        <f ca="1">IF(AND($B561=0,J$2&gt;1),I560,(J553+J554)*$B561/Параметры!J$30)</f>
        <v>0</v>
      </c>
      <c r="K560" s="287">
        <f ca="1">IF(AND($B561=0,K$2&gt;1),J560,(K553+K554)*$B561/Параметры!K$30)</f>
        <v>0</v>
      </c>
      <c r="L560" s="287">
        <f ca="1">IF(AND($B561=0,L$2&gt;1),K560,(L553+L554)*$B561/Параметры!L$30)</f>
        <v>0</v>
      </c>
      <c r="M560" s="287">
        <f ca="1">IF(AND($B561=0,M$2&gt;1),L560,(M553+M554)*$B561/Параметры!M$30)</f>
        <v>128472.00000000001</v>
      </c>
      <c r="N560" s="287">
        <f ca="1">IF(AND($B561=0,N$2&gt;1),M560,(N553+N554)*$B561/Параметры!N$30)</f>
        <v>172967.64240771899</v>
      </c>
      <c r="O560" s="287">
        <f ca="1">IF(AND($B561=0,O$2&gt;1),N560,(O553+O554)*$B561/Параметры!O$30)</f>
        <v>218319.4975370451</v>
      </c>
      <c r="P560" s="287">
        <f ca="1">IF(AND($B561=0,P$2&gt;1),O560,(P553+P554)*$B561/Параметры!P$30)</f>
        <v>264540.0390945765</v>
      </c>
      <c r="Q560" s="287">
        <f ca="1">IF(AND($B561=0,Q$2&gt;1),P560,(Q553+Q554)*$B561/Параметры!Q$30)</f>
        <v>267121.63088825607</v>
      </c>
      <c r="R560" s="287">
        <f ca="1">IF(AND($B561=0,R$2&gt;1),Q560,(R553+R554)*$B561/Параметры!R$30)</f>
        <v>269728.41590490466</v>
      </c>
      <c r="S560" s="287">
        <f ca="1">IF(AND($B561=0,S$2&gt;1),R560,(S553+S554)*$B561/Параметры!S$30)</f>
        <v>363147.52000000031</v>
      </c>
      <c r="T560" s="287">
        <f ca="1">IF(AND($B561=0,T$2&gt;1),S560,(T553+T554)*$B561/Параметры!T$30)</f>
        <v>320854.97666631895</v>
      </c>
      <c r="U560" s="287">
        <f ca="1">IF(AND($B561=0,U$2&gt;1),T560,(U553+U554)*$B561/Параметры!U$30)</f>
        <v>277702.40086712147</v>
      </c>
      <c r="V560" s="287">
        <f ca="1">IF(AND($B561=0,V$2&gt;1),U560,(V553+V554)*$B561/Параметры!V$30)</f>
        <v>280412.44144025125</v>
      </c>
      <c r="W560" s="287">
        <f ca="1">IF(AND($B561=0,W$2&gt;1),V560,(W553+W554)*$B561/Параметры!W$30)</f>
        <v>235957.44061795957</v>
      </c>
      <c r="X560" s="287">
        <f ca="1">IF(AND($B561=0,X$2&gt;1),W560,(X553+X554)*$B561/Параметры!X$30)</f>
        <v>381216.16114559863</v>
      </c>
      <c r="Y560" s="287">
        <f ca="1">IF(AND($B561=0,Y$2&gt;1),X560,(Y553+Y554)*$B561/Параметры!Y$30)</f>
        <v>481170.46400000039</v>
      </c>
      <c r="Z560" s="287">
        <f ca="1">IF(AND($B561=0,Z$2&gt;1),Y560,(Z553+Z554)*$B561/Параметры!Z$30)</f>
        <v>485866.10752328293</v>
      </c>
      <c r="AA560" s="287">
        <f ca="1">IF(AND($B561=0,AA$2&gt;1),Z560,(AA553+AA554)*$B561/Параметры!AA$30)</f>
        <v>343425.3024056736</v>
      </c>
      <c r="AB560" s="287">
        <f ca="1">IF(AND($B561=0,AB$2&gt;1),AA560,(AB553+AB554)*$B561/Параметры!AB$30)</f>
        <v>247697.6566055553</v>
      </c>
      <c r="AC560" s="287">
        <f ca="1">IF(AND($B561=0,AC$2&gt;1),AB560,(AC553+AC554)*$B561/Параметры!AC$30)</f>
        <v>250114.88705503719</v>
      </c>
      <c r="AD560" s="287">
        <f ca="1">IF(AND($B561=0,AD$2&gt;1),AC560,(AD553+AD554)*$B561/Параметры!AD$30)</f>
        <v>303066.84811075102</v>
      </c>
      <c r="AE560" s="287">
        <f ca="1">IF(AND($B561=0,AE$2&gt;1),AD560,(AE553+AE554)*$B561/Параметры!AE$30)</f>
        <v>408032.55347200052</v>
      </c>
      <c r="AF560" s="287">
        <f ca="1">IF(AND($B561=0,AF$2&gt;1),AE560,(AF553+AF554)*$B561/Параметры!AF$30)</f>
        <v>360512.65178227605</v>
      </c>
      <c r="AG560" s="287">
        <f ca="1">IF(AND($B561=0,AG$2&gt;1),AF560,(AG553+AG554)*$B561/Параметры!AG$30)</f>
        <v>312026.41761429777</v>
      </c>
      <c r="AH560" s="287">
        <f ca="1">IF(AND($B561=0,AH$2&gt;1),AG560,(AH553+AH554)*$B561/Параметры!AH$30)</f>
        <v>315071.41920226649</v>
      </c>
      <c r="AI560" s="287">
        <f ca="1">IF(AND($B561=0,AI$2&gt;1),AH560,(AI553+AI554)*$B561/Параметры!AI$30)</f>
        <v>265121.78027833946</v>
      </c>
      <c r="AJ560" s="287">
        <f ca="1">IF(AND($B561=0,AJ$2&gt;1),AI560,(AJ553+AJ554)*$B561/Параметры!AJ$30)</f>
        <v>428334.47866319492</v>
      </c>
      <c r="AK560" s="287">
        <f ca="1">IF(AND($B561=0,AK$2&gt;1),AJ560,(AK553+AK554)*$B561/Параметры!AK$30)</f>
        <v>540643.13335040095</v>
      </c>
      <c r="AL560" s="287">
        <f ca="1">IF(AND($B561=0,AL$2&gt;1),AK560,(AL553+AL554)*$B561/Параметры!AL$30)</f>
        <v>545919.15841316094</v>
      </c>
      <c r="AM560" s="287">
        <f ca="1">IF(AND($B561=0,AM$2&gt;1),AL560,(AM553+AM554)*$B561/Параметры!AM$30)</f>
        <v>385872.66978301492</v>
      </c>
      <c r="AN560" s="287">
        <f ca="1">IF(AND($B561=0,AN$2&gt;1),AM560,(AN553+AN554)*$B561/Параметры!AN$30)</f>
        <v>278313.0869620021</v>
      </c>
      <c r="AO560" s="287">
        <f ca="1">IF(AND($B561=0,AO$2&gt;1),AN560,(AO553+AO554)*$B561/Параметры!AO$30)</f>
        <v>281029.0870950399</v>
      </c>
      <c r="AP560" s="287">
        <f ca="1">IF(AND($B561=0,AP$2&gt;1),AO560,(AP553+AP554)*$B561/Параметры!AP$30)</f>
        <v>340525.91053724004</v>
      </c>
      <c r="AQ560" s="287">
        <f ca="1">IF(AND($B561=0,AQ$2&gt;1),AP560,(AQ553+AQ554)*$B561/Параметры!AQ$30)</f>
        <v>458465.37708114018</v>
      </c>
      <c r="AR560" s="287">
        <f ca="1">IF(AND($B561=0,AR$2&gt;1),AQ560,(AR553+AR554)*$B561/Параметры!AR$30)</f>
        <v>405072.01554256561</v>
      </c>
      <c r="AS560" s="287">
        <f ca="1">IF(AND($B561=0,AS$2&gt;1),AR560,(AS553+AS554)*$B561/Параметры!AS$30)</f>
        <v>350592.88283142517</v>
      </c>
      <c r="AT560" s="287">
        <f ca="1">IF(AND($B561=0,AT$2&gt;1),AS560,(AT553+AT554)*$B561/Параметры!AT$30)</f>
        <v>354014.24661566678</v>
      </c>
      <c r="AU560" s="287">
        <f ca="1">IF(AND($B561=0,AU$2&gt;1),AT560,(AU553+AU554)*$B561/Параметры!AU$30)</f>
        <v>297890.83232074237</v>
      </c>
      <c r="AV560" s="287">
        <f ca="1">IF(AND($B561=0,AV$2&gt;1),AU560,(AV553+AV554)*$B561/Параметры!AV$30)</f>
        <v>481276.62022596609</v>
      </c>
      <c r="AW560" s="287">
        <f ca="1">IF(AND($B561=0,AW$2&gt;1),AV560,(AW553+AW554)*$B561/Параметры!AW$30)</f>
        <v>607466.62463251071</v>
      </c>
      <c r="AX560" s="287">
        <f ca="1">IF(AND($B561=0,AX$2&gt;1),AW560,(AX553+AX554)*$B561/Параметры!AX$30)</f>
        <v>613394.76639302808</v>
      </c>
      <c r="AY560" s="287">
        <f ca="1">IF(AND($B561=0,AY$2&gt;1),AX560,(AY553+AY554)*$B561/Параметры!AY$30)</f>
        <v>433566.53176819585</v>
      </c>
      <c r="AZ560" s="287">
        <f ca="1">IF(AND($B561=0,AZ$2&gt;1),AY560,(AZ553+AZ554)*$B561/Параметры!AZ$30)</f>
        <v>312712.58451050572</v>
      </c>
      <c r="BA560" s="287">
        <f ca="1">IF(AND($B561=0,BA$2&gt;1),AZ560,(BA553+BA554)*$B561/Параметры!BA$30)</f>
        <v>315764.28225998697</v>
      </c>
      <c r="BB560" s="287">
        <f ca="1">IF(AND($B561=0,BB$2&gt;1),BA560,(BB553+BB554)*$B561/Параметры!BB$30)</f>
        <v>382614.91307964304</v>
      </c>
      <c r="BC560" s="188"/>
      <c r="BD560" s="186"/>
    </row>
    <row r="561" spans="1:56" s="170" customFormat="1" hidden="1" outlineLevel="1" x14ac:dyDescent="0.3">
      <c r="A561" s="187" t="str">
        <f ca="1">Language!A$800</f>
        <v>период отсрочки платежа</v>
      </c>
      <c r="B561" s="288">
        <f>$B$603</f>
        <v>10</v>
      </c>
      <c r="C561" s="163" t="str">
        <f ca="1">Language!$A$1474</f>
        <v>дней</v>
      </c>
      <c r="F561" s="170" t="s">
        <v>2347</v>
      </c>
      <c r="G561" s="185"/>
      <c r="H561" s="185"/>
      <c r="I561" s="185"/>
      <c r="J561" s="185"/>
      <c r="K561" s="185"/>
      <c r="L561" s="185"/>
      <c r="M561" s="185"/>
      <c r="N561" s="185"/>
      <c r="O561" s="185"/>
      <c r="P561" s="185"/>
      <c r="Q561" s="185"/>
      <c r="R561" s="185"/>
      <c r="S561" s="185"/>
      <c r="T561" s="185"/>
      <c r="U561" s="185"/>
      <c r="V561" s="185"/>
      <c r="W561" s="185"/>
      <c r="X561" s="185"/>
      <c r="Y561" s="185"/>
      <c r="Z561" s="185"/>
      <c r="AA561" s="185"/>
      <c r="AB561" s="185"/>
      <c r="AC561" s="185"/>
      <c r="AD561" s="185"/>
      <c r="AE561" s="185"/>
      <c r="AF561" s="185"/>
      <c r="AG561" s="185"/>
      <c r="AH561" s="185"/>
      <c r="AI561" s="185"/>
      <c r="AJ561" s="185"/>
      <c r="AK561" s="185"/>
      <c r="AL561" s="185"/>
      <c r="AM561" s="185"/>
      <c r="AN561" s="185"/>
      <c r="AO561" s="185"/>
      <c r="AP561" s="185"/>
      <c r="AQ561" s="185"/>
      <c r="AR561" s="185"/>
      <c r="AS561" s="185"/>
      <c r="AT561" s="185"/>
      <c r="AU561" s="185"/>
      <c r="AV561" s="185"/>
      <c r="AW561" s="185"/>
      <c r="AX561" s="185"/>
      <c r="AY561" s="185"/>
      <c r="AZ561" s="185"/>
      <c r="BA561" s="185"/>
      <c r="BB561" s="185"/>
      <c r="BC561" s="185"/>
      <c r="BD561" s="186"/>
    </row>
    <row r="562" spans="1:56" s="170" customFormat="1" hidden="1" outlineLevel="1" x14ac:dyDescent="0.3">
      <c r="A562" s="184" t="str">
        <f ca="1">Language!A$801</f>
        <v>авансы уплаченные</v>
      </c>
      <c r="B562" s="174"/>
      <c r="C562" s="163" t="str">
        <f t="shared" ca="1" si="2276"/>
        <v>руб.</v>
      </c>
      <c r="D562" s="174"/>
      <c r="F562" s="170" t="s">
        <v>2350</v>
      </c>
      <c r="G562" s="287">
        <f ca="1">IF(OR(AND($B563=0,G$2&gt;1),G$2=Prj_Len),F562,(OFFSET(G553,0,1)+OFFSET(G554,0,1))*$B563/Параметры!G$30)</f>
        <v>0</v>
      </c>
      <c r="H562" s="287">
        <f ca="1">IF(OR(AND($B563=0,H$2&gt;1),H$2=Prj_Len),G562,(OFFSET(H553,0,1)+OFFSET(H554,0,1))*$B563/Параметры!H$30)</f>
        <v>0</v>
      </c>
      <c r="I562" s="287">
        <f ca="1">IF(OR(AND($B563=0,I$2&gt;1),I$2=Prj_Len),H562,(OFFSET(I553,0,1)+OFFSET(I554,0,1))*$B563/Параметры!I$30)</f>
        <v>0</v>
      </c>
      <c r="J562" s="287">
        <f ca="1">IF(OR(AND($B563=0,J$2&gt;1),J$2=Prj_Len),I562,(OFFSET(J553,0,1)+OFFSET(J554,0,1))*$B563/Параметры!J$30)</f>
        <v>0</v>
      </c>
      <c r="K562" s="287">
        <f ca="1">IF(OR(AND($B563=0,K$2&gt;1),K$2=Prj_Len),J562,(OFFSET(K553,0,1)+OFFSET(K554,0,1))*$B563/Параметры!K$30)</f>
        <v>0</v>
      </c>
      <c r="L562" s="287">
        <f ca="1">IF(OR(AND($B563=0,L$2&gt;1),L$2=Prj_Len),K562,(OFFSET(L553,0,1)+OFFSET(L554,0,1))*$B563/Параметры!L$30)</f>
        <v>128472.00000000001</v>
      </c>
      <c r="M562" s="287">
        <f ca="1">IF(OR(AND($B563=0,M$2&gt;1),M$2=Prj_Len),L562,(OFFSET(M553,0,1)+OFFSET(M554,0,1))*$B563/Параметры!M$30)</f>
        <v>172967.64240771899</v>
      </c>
      <c r="N562" s="287">
        <f ca="1">IF(OR(AND($B563=0,N$2&gt;1),N$2=Prj_Len),M562,(OFFSET(N553,0,1)+OFFSET(N554,0,1))*$B563/Параметры!N$30)</f>
        <v>218319.4975370451</v>
      </c>
      <c r="O562" s="287">
        <f ca="1">IF(OR(AND($B563=0,O$2&gt;1),O$2=Prj_Len),N562,(OFFSET(O553,0,1)+OFFSET(O554,0,1))*$B563/Параметры!O$30)</f>
        <v>264540.0390945765</v>
      </c>
      <c r="P562" s="287">
        <f ca="1">IF(OR(AND($B563=0,P$2&gt;1),P$2=Prj_Len),O562,(OFFSET(P553,0,1)+OFFSET(P554,0,1))*$B563/Параметры!P$30)</f>
        <v>267121.63088825607</v>
      </c>
      <c r="Q562" s="287">
        <f ca="1">IF(OR(AND($B563=0,Q$2&gt;1),Q$2=Prj_Len),P562,(OFFSET(Q553,0,1)+OFFSET(Q554,0,1))*$B563/Параметры!Q$30)</f>
        <v>269728.41590490466</v>
      </c>
      <c r="R562" s="287">
        <f ca="1">IF(OR(AND($B563=0,R$2&gt;1),R$2=Prj_Len),Q562,(OFFSET(R553,0,1)+OFFSET(R554,0,1))*$B563/Параметры!R$30)</f>
        <v>363147.52000000031</v>
      </c>
      <c r="S562" s="287">
        <f ca="1">IF(OR(AND($B563=0,S$2&gt;1),S$2=Prj_Len),R562,(OFFSET(S553,0,1)+OFFSET(S554,0,1))*$B563/Параметры!S$30)</f>
        <v>320854.97666631895</v>
      </c>
      <c r="T562" s="287">
        <f ca="1">IF(OR(AND($B563=0,T$2&gt;1),T$2=Prj_Len),S562,(OFFSET(T553,0,1)+OFFSET(T554,0,1))*$B563/Параметры!T$30)</f>
        <v>277702.40086712147</v>
      </c>
      <c r="U562" s="287">
        <f ca="1">IF(OR(AND($B563=0,U$2&gt;1),U$2=Prj_Len),T562,(OFFSET(U553,0,1)+OFFSET(U554,0,1))*$B563/Параметры!U$30)</f>
        <v>280412.44144025125</v>
      </c>
      <c r="V562" s="287">
        <f ca="1">IF(OR(AND($B563=0,V$2&gt;1),V$2=Prj_Len),U562,(OFFSET(V553,0,1)+OFFSET(V554,0,1))*$B563/Параметры!V$30)</f>
        <v>235957.44061795957</v>
      </c>
      <c r="W562" s="287">
        <f ca="1">IF(OR(AND($B563=0,W$2&gt;1),W$2=Prj_Len),V562,(OFFSET(W553,0,1)+OFFSET(W554,0,1))*$B563/Параметры!W$30)</f>
        <v>381216.16114559863</v>
      </c>
      <c r="X562" s="287">
        <f ca="1">IF(OR(AND($B563=0,X$2&gt;1),X$2=Prj_Len),W562,(OFFSET(X553,0,1)+OFFSET(X554,0,1))*$B563/Параметры!X$30)</f>
        <v>481170.46400000039</v>
      </c>
      <c r="Y562" s="287">
        <f ca="1">IF(OR(AND($B563=0,Y$2&gt;1),Y$2=Prj_Len),X562,(OFFSET(Y553,0,1)+OFFSET(Y554,0,1))*$B563/Параметры!Y$30)</f>
        <v>485866.10752328293</v>
      </c>
      <c r="Z562" s="287">
        <f ca="1">IF(OR(AND($B563=0,Z$2&gt;1),Z$2=Prj_Len),Y562,(OFFSET(Z553,0,1)+OFFSET(Z554,0,1))*$B563/Параметры!Z$30)</f>
        <v>343425.3024056736</v>
      </c>
      <c r="AA562" s="287">
        <f ca="1">IF(OR(AND($B563=0,AA$2&gt;1),AA$2=Prj_Len),Z562,(OFFSET(AA553,0,1)+OFFSET(AA554,0,1))*$B563/Параметры!AA$30)</f>
        <v>247697.6566055553</v>
      </c>
      <c r="AB562" s="287">
        <f ca="1">IF(OR(AND($B563=0,AB$2&gt;1),AB$2=Prj_Len),AA562,(OFFSET(AB553,0,1)+OFFSET(AB554,0,1))*$B563/Параметры!AB$30)</f>
        <v>250114.88705503719</v>
      </c>
      <c r="AC562" s="287">
        <f ca="1">IF(OR(AND($B563=0,AC$2&gt;1),AC$2=Prj_Len),AB562,(OFFSET(AC553,0,1)+OFFSET(AC554,0,1))*$B563/Параметры!AC$30)</f>
        <v>303066.84811075102</v>
      </c>
      <c r="AD562" s="287">
        <f ca="1">IF(OR(AND($B563=0,AD$2&gt;1),AD$2=Prj_Len),AC562,(OFFSET(AD553,0,1)+OFFSET(AD554,0,1))*$B563/Параметры!AD$30)</f>
        <v>408032.55347200052</v>
      </c>
      <c r="AE562" s="287">
        <f ca="1">IF(OR(AND($B563=0,AE$2&gt;1),AE$2=Prj_Len),AD562,(OFFSET(AE553,0,1)+OFFSET(AE554,0,1))*$B563/Параметры!AE$30)</f>
        <v>360512.65178227605</v>
      </c>
      <c r="AF562" s="287">
        <f ca="1">IF(OR(AND($B563=0,AF$2&gt;1),AF$2=Prj_Len),AE562,(OFFSET(AF553,0,1)+OFFSET(AF554,0,1))*$B563/Параметры!AF$30)</f>
        <v>312026.41761429777</v>
      </c>
      <c r="AG562" s="287">
        <f ca="1">IF(OR(AND($B563=0,AG$2&gt;1),AG$2=Prj_Len),AF562,(OFFSET(AG553,0,1)+OFFSET(AG554,0,1))*$B563/Параметры!AG$30)</f>
        <v>315071.41920226649</v>
      </c>
      <c r="AH562" s="287">
        <f ca="1">IF(OR(AND($B563=0,AH$2&gt;1),AH$2=Prj_Len),AG562,(OFFSET(AH553,0,1)+OFFSET(AH554,0,1))*$B563/Параметры!AH$30)</f>
        <v>265121.78027833946</v>
      </c>
      <c r="AI562" s="287">
        <f ca="1">IF(OR(AND($B563=0,AI$2&gt;1),AI$2=Prj_Len),AH562,(OFFSET(AI553,0,1)+OFFSET(AI554,0,1))*$B563/Параметры!AI$30)</f>
        <v>428334.47866319492</v>
      </c>
      <c r="AJ562" s="287">
        <f ca="1">IF(OR(AND($B563=0,AJ$2&gt;1),AJ$2=Prj_Len),AI562,(OFFSET(AJ553,0,1)+OFFSET(AJ554,0,1))*$B563/Параметры!AJ$30)</f>
        <v>540643.13335040095</v>
      </c>
      <c r="AK562" s="287">
        <f ca="1">IF(OR(AND($B563=0,AK$2&gt;1),AK$2=Prj_Len),AJ562,(OFFSET(AK553,0,1)+OFFSET(AK554,0,1))*$B563/Параметры!AK$30)</f>
        <v>545919.15841316094</v>
      </c>
      <c r="AL562" s="287">
        <f ca="1">IF(OR(AND($B563=0,AL$2&gt;1),AL$2=Prj_Len),AK562,(OFFSET(AL553,0,1)+OFFSET(AL554,0,1))*$B563/Параметры!AL$30)</f>
        <v>385872.66978301492</v>
      </c>
      <c r="AM562" s="287">
        <f ca="1">IF(OR(AND($B563=0,AM$2&gt;1),AM$2=Prj_Len),AL562,(OFFSET(AM553,0,1)+OFFSET(AM554,0,1))*$B563/Параметры!AM$30)</f>
        <v>278313.0869620021</v>
      </c>
      <c r="AN562" s="287">
        <f ca="1">IF(OR(AND($B563=0,AN$2&gt;1),AN$2=Prj_Len),AM562,(OFFSET(AN553,0,1)+OFFSET(AN554,0,1))*$B563/Параметры!AN$30)</f>
        <v>281029.0870950399</v>
      </c>
      <c r="AO562" s="287">
        <f ca="1">IF(OR(AND($B563=0,AO$2&gt;1),AO$2=Prj_Len),AN562,(OFFSET(AO553,0,1)+OFFSET(AO554,0,1))*$B563/Параметры!AO$30)</f>
        <v>340525.91053724004</v>
      </c>
      <c r="AP562" s="287">
        <f ca="1">IF(OR(AND($B563=0,AP$2&gt;1),AP$2=Prj_Len),AO562,(OFFSET(AP553,0,1)+OFFSET(AP554,0,1))*$B563/Параметры!AP$30)</f>
        <v>458465.37708114018</v>
      </c>
      <c r="AQ562" s="287">
        <f ca="1">IF(OR(AND($B563=0,AQ$2&gt;1),AQ$2=Prj_Len),AP562,(OFFSET(AQ553,0,1)+OFFSET(AQ554,0,1))*$B563/Параметры!AQ$30)</f>
        <v>405072.01554256561</v>
      </c>
      <c r="AR562" s="287">
        <f ca="1">IF(OR(AND($B563=0,AR$2&gt;1),AR$2=Prj_Len),AQ562,(OFFSET(AR553,0,1)+OFFSET(AR554,0,1))*$B563/Параметры!AR$30)</f>
        <v>350592.88283142517</v>
      </c>
      <c r="AS562" s="287">
        <f ca="1">IF(OR(AND($B563=0,AS$2&gt;1),AS$2=Prj_Len),AR562,(OFFSET(AS553,0,1)+OFFSET(AS554,0,1))*$B563/Параметры!AS$30)</f>
        <v>354014.24661566678</v>
      </c>
      <c r="AT562" s="287">
        <f ca="1">IF(OR(AND($B563=0,AT$2&gt;1),AT$2=Prj_Len),AS562,(OFFSET(AT553,0,1)+OFFSET(AT554,0,1))*$B563/Параметры!AT$30)</f>
        <v>297890.83232074237</v>
      </c>
      <c r="AU562" s="287">
        <f ca="1">IF(OR(AND($B563=0,AU$2&gt;1),AU$2=Prj_Len),AT562,(OFFSET(AU553,0,1)+OFFSET(AU554,0,1))*$B563/Параметры!AU$30)</f>
        <v>481276.62022596609</v>
      </c>
      <c r="AV562" s="287">
        <f ca="1">IF(OR(AND($B563=0,AV$2&gt;1),AV$2=Prj_Len),AU562,(OFFSET(AV553,0,1)+OFFSET(AV554,0,1))*$B563/Параметры!AV$30)</f>
        <v>607466.62463251071</v>
      </c>
      <c r="AW562" s="287">
        <f ca="1">IF(OR(AND($B563=0,AW$2&gt;1),AW$2=Prj_Len),AV562,(OFFSET(AW553,0,1)+OFFSET(AW554,0,1))*$B563/Параметры!AW$30)</f>
        <v>613394.76639302808</v>
      </c>
      <c r="AX562" s="287">
        <f ca="1">IF(OR(AND($B563=0,AX$2&gt;1),AX$2=Prj_Len),AW562,(OFFSET(AX553,0,1)+OFFSET(AX554,0,1))*$B563/Параметры!AX$30)</f>
        <v>433566.53176819585</v>
      </c>
      <c r="AY562" s="287">
        <f ca="1">IF(OR(AND($B563=0,AY$2&gt;1),AY$2=Prj_Len),AX562,(OFFSET(AY553,0,1)+OFFSET(AY554,0,1))*$B563/Параметры!AY$30)</f>
        <v>312712.58451050572</v>
      </c>
      <c r="AZ562" s="287">
        <f ca="1">IF(OR(AND($B563=0,AZ$2&gt;1),AZ$2=Prj_Len),AY562,(OFFSET(AZ553,0,1)+OFFSET(AZ554,0,1))*$B563/Параметры!AZ$30)</f>
        <v>315764.28225998697</v>
      </c>
      <c r="BA562" s="287">
        <f ca="1">IF(OR(AND($B563=0,BA$2&gt;1),BA$2=Prj_Len),AZ562,(OFFSET(BA553,0,1)+OFFSET(BA554,0,1))*$B563/Параметры!BA$30)</f>
        <v>382614.91307964304</v>
      </c>
      <c r="BB562" s="287">
        <f ca="1">IF(OR(AND($B563=0,BB$2&gt;1),BB$2=Prj_Len),BA562,(OFFSET(BB553,0,1)+OFFSET(BB554,0,1))*$B563/Параметры!BB$30)</f>
        <v>382614.91307964304</v>
      </c>
      <c r="BC562" s="188"/>
      <c r="BD562" s="186"/>
    </row>
    <row r="563" spans="1:56" s="170" customFormat="1" hidden="1" outlineLevel="1" x14ac:dyDescent="0.3">
      <c r="A563" s="187" t="str">
        <f ca="1">Language!A$802</f>
        <v>период предоплаты</v>
      </c>
      <c r="B563" s="288">
        <f>$B$610</f>
        <v>10</v>
      </c>
      <c r="C563" s="163" t="str">
        <f ca="1">Language!$A$1474</f>
        <v>дней</v>
      </c>
      <c r="F563" s="170" t="s">
        <v>2347</v>
      </c>
      <c r="G563" s="185"/>
      <c r="H563" s="185"/>
      <c r="I563" s="185"/>
      <c r="J563" s="185"/>
      <c r="K563" s="185"/>
      <c r="L563" s="185"/>
      <c r="M563" s="185"/>
      <c r="N563" s="185"/>
      <c r="O563" s="185"/>
      <c r="P563" s="185"/>
      <c r="Q563" s="185"/>
      <c r="R563" s="185"/>
      <c r="S563" s="185"/>
      <c r="T563" s="185"/>
      <c r="U563" s="185"/>
      <c r="V563" s="185"/>
      <c r="W563" s="185"/>
      <c r="X563" s="185"/>
      <c r="Y563" s="185"/>
      <c r="Z563" s="185"/>
      <c r="AA563" s="185"/>
      <c r="AB563" s="185"/>
      <c r="AC563" s="185"/>
      <c r="AD563" s="185"/>
      <c r="AE563" s="185"/>
      <c r="AF563" s="185"/>
      <c r="AG563" s="185"/>
      <c r="AH563" s="185"/>
      <c r="AI563" s="185"/>
      <c r="AJ563" s="185"/>
      <c r="AK563" s="185"/>
      <c r="AL563" s="185"/>
      <c r="AM563" s="185"/>
      <c r="AN563" s="185"/>
      <c r="AO563" s="185"/>
      <c r="AP563" s="185"/>
      <c r="AQ563" s="185"/>
      <c r="AR563" s="185"/>
      <c r="AS563" s="185"/>
      <c r="AT563" s="185"/>
      <c r="AU563" s="185"/>
      <c r="AV563" s="185"/>
      <c r="AW563" s="185"/>
      <c r="AX563" s="185"/>
      <c r="AY563" s="185"/>
      <c r="AZ563" s="185"/>
      <c r="BA563" s="185"/>
      <c r="BB563" s="185"/>
      <c r="BC563" s="185"/>
      <c r="BD563" s="186"/>
    </row>
    <row r="564" spans="1:56" hidden="1" outlineLevel="1" x14ac:dyDescent="0.3">
      <c r="A564" s="175" t="str">
        <f ca="1">Language!A$803</f>
        <v>оплата постоянных издержек, с НДС</v>
      </c>
      <c r="C564" s="194" t="str">
        <f t="shared" ca="1" si="2276"/>
        <v>руб.</v>
      </c>
      <c r="D564" s="174"/>
      <c r="F564" s="170" t="s">
        <v>740</v>
      </c>
      <c r="G564" s="201">
        <f t="shared" ref="G564:BB564" ca="1" si="2278">G553+G554-IF(G$2=1,G560,G560-F560)+IF(G$2=1,G562,G562-F562)</f>
        <v>0</v>
      </c>
      <c r="H564" s="201">
        <f t="shared" ca="1" si="2278"/>
        <v>0</v>
      </c>
      <c r="I564" s="201">
        <f t="shared" ca="1" si="2278"/>
        <v>0</v>
      </c>
      <c r="J564" s="201">
        <f t="shared" ca="1" si="2278"/>
        <v>0</v>
      </c>
      <c r="K564" s="201">
        <f t="shared" ca="1" si="2278"/>
        <v>0</v>
      </c>
      <c r="L564" s="201">
        <f t="shared" ca="1" si="2278"/>
        <v>128472.00000000001</v>
      </c>
      <c r="M564" s="201">
        <f t="shared" ca="1" si="2278"/>
        <v>301439.64240771905</v>
      </c>
      <c r="N564" s="201">
        <f t="shared" ca="1" si="2278"/>
        <v>519759.13994476403</v>
      </c>
      <c r="O564" s="201">
        <f t="shared" ca="1" si="2278"/>
        <v>655827.17903934047</v>
      </c>
      <c r="P564" s="201">
        <f t="shared" ca="1" si="2278"/>
        <v>749981.16751987766</v>
      </c>
      <c r="Q564" s="201">
        <f t="shared" ca="1" si="2278"/>
        <v>801390.08588773722</v>
      </c>
      <c r="R564" s="201">
        <f t="shared" ca="1" si="2278"/>
        <v>899997.56679316098</v>
      </c>
      <c r="S564" s="201">
        <f t="shared" ca="1" si="2278"/>
        <v>953730.91257122392</v>
      </c>
      <c r="T564" s="201">
        <f t="shared" ca="1" si="2278"/>
        <v>961704.89753344073</v>
      </c>
      <c r="U564" s="201">
        <f t="shared" ca="1" si="2278"/>
        <v>878969.81897369155</v>
      </c>
      <c r="V564" s="201">
        <f t="shared" ca="1" si="2278"/>
        <v>794072.2829253322</v>
      </c>
      <c r="W564" s="201">
        <f t="shared" ca="1" si="2278"/>
        <v>897586.04320380941</v>
      </c>
      <c r="X564" s="201">
        <f t="shared" ca="1" si="2278"/>
        <v>1098344.0657635587</v>
      </c>
      <c r="Y564" s="201">
        <f t="shared" ca="1" si="2278"/>
        <v>1348252.732668882</v>
      </c>
      <c r="Z564" s="201">
        <f t="shared" ca="1" si="2278"/>
        <v>1310461.8739289567</v>
      </c>
      <c r="AA564" s="201">
        <f t="shared" ca="1" si="2278"/>
        <v>1076989.0665345117</v>
      </c>
      <c r="AB564" s="201">
        <f t="shared" ca="1" si="2278"/>
        <v>841237.84606626607</v>
      </c>
      <c r="AC564" s="201">
        <f t="shared" ca="1" si="2278"/>
        <v>800879.39177134354</v>
      </c>
      <c r="AD564" s="201">
        <f t="shared" ca="1" si="2278"/>
        <v>961214.28863778873</v>
      </c>
      <c r="AE564" s="201">
        <f t="shared" ca="1" si="2278"/>
        <v>1071612.0533650275</v>
      </c>
      <c r="AF564" s="201">
        <f t="shared" ca="1" si="2278"/>
        <v>1080571.6228685742</v>
      </c>
      <c r="AG564" s="201">
        <f t="shared" ca="1" si="2278"/>
        <v>987610.48859884031</v>
      </c>
      <c r="AH564" s="201">
        <f t="shared" ca="1" si="2278"/>
        <v>892219.61709490372</v>
      </c>
      <c r="AI564" s="201">
        <f t="shared" ca="1" si="2278"/>
        <v>1008527.6781438009</v>
      </c>
      <c r="AJ564" s="201">
        <f t="shared" ca="1" si="2278"/>
        <v>1234099.3922919354</v>
      </c>
      <c r="AK564" s="201">
        <f t="shared" ca="1" si="2278"/>
        <v>1514896.7704267567</v>
      </c>
      <c r="AL564" s="201">
        <f t="shared" ca="1" si="2278"/>
        <v>1472434.9615465768</v>
      </c>
      <c r="AM564" s="201">
        <f t="shared" ca="1" si="2278"/>
        <v>1210104.9151581782</v>
      </c>
      <c r="AN564" s="201">
        <f t="shared" ca="1" si="2278"/>
        <v>945214.84384005691</v>
      </c>
      <c r="AO564" s="201">
        <f t="shared" ca="1" si="2278"/>
        <v>899868.08459428209</v>
      </c>
      <c r="AP564" s="201">
        <f t="shared" ca="1" si="2278"/>
        <v>1080020.3747134199</v>
      </c>
      <c r="AQ564" s="201">
        <f t="shared" ca="1" si="2278"/>
        <v>1204063.3031609459</v>
      </c>
      <c r="AR564" s="201">
        <f t="shared" ca="1" si="2278"/>
        <v>1214130.275455131</v>
      </c>
      <c r="AS564" s="201">
        <f t="shared" ca="1" si="2278"/>
        <v>1109679.1449896577</v>
      </c>
      <c r="AT564" s="201">
        <f t="shared" ca="1" si="2278"/>
        <v>1002497.9617678344</v>
      </c>
      <c r="AU564" s="201">
        <f t="shared" ca="1" si="2278"/>
        <v>1133181.6991623752</v>
      </c>
      <c r="AV564" s="201">
        <f t="shared" ca="1" si="2278"/>
        <v>1386634.0771792193</v>
      </c>
      <c r="AW564" s="201">
        <f t="shared" ca="1" si="2278"/>
        <v>1702138.0112515048</v>
      </c>
      <c r="AX564" s="201">
        <f t="shared" ca="1" si="2278"/>
        <v>1654427.9227937346</v>
      </c>
      <c r="AY564" s="201">
        <f t="shared" ca="1" si="2278"/>
        <v>1359673.8826717294</v>
      </c>
      <c r="AZ564" s="201">
        <f t="shared" ca="1" si="2278"/>
        <v>1062043.3985386884</v>
      </c>
      <c r="BA564" s="201">
        <f t="shared" ca="1" si="2278"/>
        <v>1011091.7798501357</v>
      </c>
      <c r="BB564" s="201">
        <f t="shared" ca="1" si="2278"/>
        <v>1080994.108419273</v>
      </c>
      <c r="BC564" s="177"/>
      <c r="BD564" s="178">
        <f ca="1">SUM(G564:BC564)</f>
        <v>44298046.370053977</v>
      </c>
    </row>
    <row r="565" spans="1:56" x14ac:dyDescent="0.3">
      <c r="A565" s="195" t="str">
        <f ca="1">Language!A$804</f>
        <v>Всего постоянных издержек, без НДС</v>
      </c>
      <c r="C565" s="194" t="str">
        <f ca="1">CurName1</f>
        <v>руб.</v>
      </c>
      <c r="D565" s="174">
        <v>1</v>
      </c>
      <c r="F565" s="170" t="s">
        <v>740</v>
      </c>
      <c r="G565" s="213">
        <f t="shared" ref="G565:M565" ca="1" si="2279">G527+G553+G540</f>
        <v>0</v>
      </c>
      <c r="H565" s="213">
        <f t="shared" ca="1" si="2279"/>
        <v>0</v>
      </c>
      <c r="I565" s="213">
        <f t="shared" ca="1" si="2279"/>
        <v>0</v>
      </c>
      <c r="J565" s="213">
        <f t="shared" ca="1" si="2279"/>
        <v>0</v>
      </c>
      <c r="K565" s="213">
        <f t="shared" ca="1" si="2279"/>
        <v>0</v>
      </c>
      <c r="L565" s="213">
        <f t="shared" ca="1" si="2279"/>
        <v>0</v>
      </c>
      <c r="M565" s="213">
        <f t="shared" ca="1" si="2279"/>
        <v>1219721.4741470332</v>
      </c>
      <c r="N565" s="213">
        <f t="shared" ref="N565:O565" ca="1" si="2280">N527+N553+N540</f>
        <v>1499226.0654483084</v>
      </c>
      <c r="O565" s="213">
        <f t="shared" ca="1" si="2280"/>
        <v>1783979.2855096664</v>
      </c>
      <c r="P565" s="213">
        <f t="shared" ref="P565:Q565" ca="1" si="2281">P527+P553+P540</f>
        <v>2084503.4703403972</v>
      </c>
      <c r="Q565" s="213">
        <f t="shared" ca="1" si="2281"/>
        <v>2102413.4750468852</v>
      </c>
      <c r="R565" s="213">
        <f t="shared" ref="R565:S565" ca="1" si="2282">R527+R553+R540</f>
        <v>2162681.0363482563</v>
      </c>
      <c r="S565" s="213">
        <f t="shared" ca="1" si="2282"/>
        <v>2725845.120000002</v>
      </c>
      <c r="T565" s="213">
        <f t="shared" ref="T565:U565" ca="1" si="2283">T527+T553+T540</f>
        <v>2474752.2154551339</v>
      </c>
      <c r="U565" s="213">
        <f t="shared" ca="1" si="2283"/>
        <v>2197105.1888303808</v>
      </c>
      <c r="V565" s="213">
        <f t="shared" ref="V565:W565" ca="1" si="2284">V527+V553+V540</f>
        <v>2205194.0272337543</v>
      </c>
      <c r="W565" s="213">
        <f t="shared" ca="1" si="2284"/>
        <v>1924796.5414302733</v>
      </c>
      <c r="X565" s="213">
        <f t="shared" ref="X565:Y565" ca="1" si="2285">X527+X553+X540</f>
        <v>2782535.9446023162</v>
      </c>
      <c r="Y565" s="213">
        <f t="shared" ca="1" si="2285"/>
        <v>3362845.6265958576</v>
      </c>
      <c r="Z565" s="213">
        <f t="shared" ref="Z565:AA565" ca="1" si="2286">Z527+Z553+Z540</f>
        <v>3393335.5794820334</v>
      </c>
      <c r="AA565" s="213">
        <f t="shared" ca="1" si="2286"/>
        <v>2563057.8527386812</v>
      </c>
      <c r="AB565" s="213">
        <f t="shared" ref="AB565:AC565" ca="1" si="2287">AB527+AB553+AB540</f>
        <v>2013284.9695526464</v>
      </c>
      <c r="AC565" s="213">
        <f t="shared" ca="1" si="2287"/>
        <v>2030354.0334306136</v>
      </c>
      <c r="AD565" s="213">
        <f t="shared" ref="AD565:AE565" ca="1" si="2288">AD527+AD553+AD540</f>
        <v>2395370.2620384647</v>
      </c>
      <c r="AE565" s="213">
        <f t="shared" ca="1" si="2288"/>
        <v>3027972.9208320035</v>
      </c>
      <c r="AF565" s="213">
        <f t="shared" ref="AF565:AG565" ca="1" si="2289">AF527+AF553+AF540</f>
        <v>2745675.6074783099</v>
      </c>
      <c r="AG565" s="213">
        <f t="shared" ca="1" si="2289"/>
        <v>2434902.7363310978</v>
      </c>
      <c r="AH565" s="213">
        <f t="shared" ref="AH565:AI565" ca="1" si="2290">AH527+AH553+AH540</f>
        <v>2444511.0565213808</v>
      </c>
      <c r="AI565" s="213">
        <f t="shared" ca="1" si="2290"/>
        <v>2130325.6932559037</v>
      </c>
      <c r="AJ565" s="213">
        <f t="shared" ref="AJ565:AK565" ca="1" si="2291">AJ527+AJ553+AJ540</f>
        <v>3094960.1883716178</v>
      </c>
      <c r="AK565" s="213">
        <f t="shared" ca="1" si="2291"/>
        <v>3748231.0132540129</v>
      </c>
      <c r="AL565" s="213">
        <f t="shared" ref="AL565:AM565" ca="1" si="2292">AL527+AL553+AL540</f>
        <v>3782342.2208818421</v>
      </c>
      <c r="AM565" s="213">
        <f t="shared" ca="1" si="2292"/>
        <v>2847892.4193010083</v>
      </c>
      <c r="AN565" s="213">
        <f t="shared" ref="AN565:AO565" ca="1" si="2293">AN527+AN553+AN540</f>
        <v>2228603.4934864864</v>
      </c>
      <c r="AO565" s="213">
        <f t="shared" ca="1" si="2293"/>
        <v>2247619.116336653</v>
      </c>
      <c r="AP565" s="213">
        <f t="shared" ref="AP565:AQ565" ca="1" si="2294">AP527+AP553+AP540</f>
        <v>2654742.7869998361</v>
      </c>
      <c r="AQ565" s="213">
        <f t="shared" ca="1" si="2294"/>
        <v>3365356.5184868416</v>
      </c>
      <c r="AR565" s="213">
        <f t="shared" ref="AR565:AS565" ca="1" si="2295">AR527+AR553+AR540</f>
        <v>3047987.771847127</v>
      </c>
      <c r="AS565" s="213">
        <f t="shared" ca="1" si="2295"/>
        <v>2700066.1814725818</v>
      </c>
      <c r="AT565" s="213">
        <f t="shared" ref="AT565:AU565" ca="1" si="2296">AT527+AT553+AT540</f>
        <v>2711412.9734802488</v>
      </c>
      <c r="AU565" s="213">
        <f t="shared" ca="1" si="2296"/>
        <v>2359315.7062054733</v>
      </c>
      <c r="AV565" s="213">
        <f t="shared" ref="AV565:AW565" ca="1" si="2297">AV527+AV553+AV540</f>
        <v>3444110.2367317919</v>
      </c>
      <c r="AW565" s="213">
        <f t="shared" ca="1" si="2297"/>
        <v>4179434.2937357677</v>
      </c>
      <c r="AX565" s="213">
        <f t="shared" ref="AX565:AY565" ca="1" si="2298">AX527+AX553+AX540</f>
        <v>4217605.504985217</v>
      </c>
      <c r="AY565" s="213">
        <f t="shared" ca="1" si="2298"/>
        <v>3166014.9752482688</v>
      </c>
      <c r="AZ565" s="213">
        <f t="shared" ref="AZ565:BA565" ca="1" si="2299">AZ527+AZ553+AZ540</f>
        <v>2468523.9770803764</v>
      </c>
      <c r="BA565" s="213">
        <f t="shared" ca="1" si="2299"/>
        <v>2489716.9629523205</v>
      </c>
      <c r="BB565" s="213">
        <f t="shared" ref="BB565" ca="1" si="2300">BB527+BB553+BB540</f>
        <v>2943972.0416808384</v>
      </c>
      <c r="BC565" s="210"/>
      <c r="BD565" s="211">
        <f ca="1">SUM(G565:BC565)</f>
        <v>111402298.56518772</v>
      </c>
    </row>
    <row r="566" spans="1:56" x14ac:dyDescent="0.3">
      <c r="A566" s="195" t="str">
        <f ca="1">Language!A$805</f>
        <v>Всего постоянных издержек, с НДС</v>
      </c>
      <c r="C566" s="194" t="str">
        <f ca="1">CurName1</f>
        <v>руб.</v>
      </c>
      <c r="D566" s="174">
        <v>1</v>
      </c>
      <c r="F566" s="170" t="s">
        <v>740</v>
      </c>
      <c r="G566" s="210">
        <f t="shared" ref="G566:M566" ca="1" si="2301">G526+G552+G539</f>
        <v>0</v>
      </c>
      <c r="H566" s="210">
        <f t="shared" ca="1" si="2301"/>
        <v>0</v>
      </c>
      <c r="I566" s="210">
        <f t="shared" ca="1" si="2301"/>
        <v>0</v>
      </c>
      <c r="J566" s="210">
        <f t="shared" ca="1" si="2301"/>
        <v>0</v>
      </c>
      <c r="K566" s="210">
        <f t="shared" ca="1" si="2301"/>
        <v>0</v>
      </c>
      <c r="L566" s="210">
        <f t="shared" ca="1" si="2301"/>
        <v>0</v>
      </c>
      <c r="M566" s="210">
        <f t="shared" ca="1" si="2301"/>
        <v>1219721.4741470332</v>
      </c>
      <c r="N566" s="210">
        <f t="shared" ref="N566:O566" ca="1" si="2302">N526+N552+N539</f>
        <v>1499226.0654483084</v>
      </c>
      <c r="O566" s="210">
        <f t="shared" ca="1" si="2302"/>
        <v>1783979.2855096664</v>
      </c>
      <c r="P566" s="210">
        <f t="shared" ref="P566:Q566" ca="1" si="2303">P526+P552+P539</f>
        <v>2084503.4703403972</v>
      </c>
      <c r="Q566" s="210">
        <f t="shared" ca="1" si="2303"/>
        <v>2102413.4750468852</v>
      </c>
      <c r="R566" s="210">
        <f t="shared" ref="R566:S566" ca="1" si="2304">R526+R552+R539</f>
        <v>2162681.0363482563</v>
      </c>
      <c r="S566" s="210">
        <f t="shared" ca="1" si="2304"/>
        <v>2725845.120000002</v>
      </c>
      <c r="T566" s="210">
        <f t="shared" ref="T566:U566" ca="1" si="2305">T526+T552+T539</f>
        <v>2474752.2154551339</v>
      </c>
      <c r="U566" s="210">
        <f t="shared" ca="1" si="2305"/>
        <v>2197105.1888303808</v>
      </c>
      <c r="V566" s="210">
        <f t="shared" ref="V566:W566" ca="1" si="2306">V526+V552+V539</f>
        <v>2205194.0272337543</v>
      </c>
      <c r="W566" s="210">
        <f t="shared" ca="1" si="2306"/>
        <v>1924796.5414302733</v>
      </c>
      <c r="X566" s="210">
        <f t="shared" ref="X566:Y566" ca="1" si="2307">X526+X552+X539</f>
        <v>2782535.9446023162</v>
      </c>
      <c r="Y566" s="210">
        <f t="shared" ca="1" si="2307"/>
        <v>3362845.6265958576</v>
      </c>
      <c r="Z566" s="210">
        <f t="shared" ref="Z566:AA566" ca="1" si="2308">Z526+Z552+Z539</f>
        <v>3393335.5794820334</v>
      </c>
      <c r="AA566" s="210">
        <f t="shared" ca="1" si="2308"/>
        <v>2563057.8527386812</v>
      </c>
      <c r="AB566" s="210">
        <f t="shared" ref="AB566:AC566" ca="1" si="2309">AB526+AB552+AB539</f>
        <v>2013284.9695526464</v>
      </c>
      <c r="AC566" s="210">
        <f t="shared" ca="1" si="2309"/>
        <v>2030354.0334306136</v>
      </c>
      <c r="AD566" s="210">
        <f t="shared" ref="AD566:AE566" ca="1" si="2310">AD526+AD552+AD539</f>
        <v>2395370.2620384647</v>
      </c>
      <c r="AE566" s="210">
        <f t="shared" ca="1" si="2310"/>
        <v>3027972.9208320035</v>
      </c>
      <c r="AF566" s="210">
        <f t="shared" ref="AF566:AG566" ca="1" si="2311">AF526+AF552+AF539</f>
        <v>2745675.6074783099</v>
      </c>
      <c r="AG566" s="210">
        <f t="shared" ca="1" si="2311"/>
        <v>2434902.7363310978</v>
      </c>
      <c r="AH566" s="210">
        <f t="shared" ref="AH566:AI566" ca="1" si="2312">AH526+AH552+AH539</f>
        <v>2444511.0565213808</v>
      </c>
      <c r="AI566" s="210">
        <f t="shared" ca="1" si="2312"/>
        <v>2130325.6932559037</v>
      </c>
      <c r="AJ566" s="210">
        <f t="shared" ref="AJ566:AK566" ca="1" si="2313">AJ526+AJ552+AJ539</f>
        <v>3094960.1883716178</v>
      </c>
      <c r="AK566" s="210">
        <f t="shared" ca="1" si="2313"/>
        <v>3748231.0132540129</v>
      </c>
      <c r="AL566" s="210">
        <f t="shared" ref="AL566:AM566" ca="1" si="2314">AL526+AL552+AL539</f>
        <v>3782342.2208818421</v>
      </c>
      <c r="AM566" s="210">
        <f t="shared" ca="1" si="2314"/>
        <v>2847892.4193010083</v>
      </c>
      <c r="AN566" s="210">
        <f t="shared" ref="AN566:AO566" ca="1" si="2315">AN526+AN552+AN539</f>
        <v>2228603.4934864864</v>
      </c>
      <c r="AO566" s="210">
        <f t="shared" ca="1" si="2315"/>
        <v>2247619.116336653</v>
      </c>
      <c r="AP566" s="210">
        <f t="shared" ref="AP566:AQ566" ca="1" si="2316">AP526+AP552+AP539</f>
        <v>2654742.7869998361</v>
      </c>
      <c r="AQ566" s="210">
        <f t="shared" ca="1" si="2316"/>
        <v>3365356.5184868416</v>
      </c>
      <c r="AR566" s="210">
        <f t="shared" ref="AR566:AS566" ca="1" si="2317">AR526+AR552+AR539</f>
        <v>3047987.771847127</v>
      </c>
      <c r="AS566" s="210">
        <f t="shared" ca="1" si="2317"/>
        <v>2700066.1814725818</v>
      </c>
      <c r="AT566" s="210">
        <f t="shared" ref="AT566:AU566" ca="1" si="2318">AT526+AT552+AT539</f>
        <v>2711412.9734802488</v>
      </c>
      <c r="AU566" s="210">
        <f t="shared" ca="1" si="2318"/>
        <v>2359315.7062054733</v>
      </c>
      <c r="AV566" s="210">
        <f t="shared" ref="AV566:AW566" ca="1" si="2319">AV526+AV552+AV539</f>
        <v>3444110.2367317919</v>
      </c>
      <c r="AW566" s="210">
        <f t="shared" ca="1" si="2319"/>
        <v>4179434.2937357677</v>
      </c>
      <c r="AX566" s="210">
        <f t="shared" ref="AX566:AY566" ca="1" si="2320">AX526+AX552+AX539</f>
        <v>4217605.504985217</v>
      </c>
      <c r="AY566" s="210">
        <f t="shared" ca="1" si="2320"/>
        <v>3166014.9752482688</v>
      </c>
      <c r="AZ566" s="210">
        <f t="shared" ref="AZ566:BA566" ca="1" si="2321">AZ526+AZ552+AZ539</f>
        <v>2468523.9770803764</v>
      </c>
      <c r="BA566" s="210">
        <f t="shared" ca="1" si="2321"/>
        <v>2489716.9629523205</v>
      </c>
      <c r="BB566" s="210">
        <f t="shared" ref="BB566" ca="1" si="2322">BB526+BB552+BB539</f>
        <v>2943972.0416808384</v>
      </c>
      <c r="BC566" s="210"/>
      <c r="BD566" s="211">
        <f ca="1">SUM(G566:BC566)</f>
        <v>111402298.56518772</v>
      </c>
    </row>
    <row r="567" spans="1:56" x14ac:dyDescent="0.3">
      <c r="A567" s="196"/>
      <c r="B567" s="196"/>
      <c r="C567" s="196"/>
      <c r="D567" s="197"/>
      <c r="E567" s="197" t="s">
        <v>778</v>
      </c>
      <c r="F567" s="197"/>
      <c r="G567" s="196"/>
      <c r="H567" s="196"/>
      <c r="I567" s="196"/>
      <c r="J567" s="196"/>
      <c r="K567" s="196"/>
      <c r="L567" s="196"/>
      <c r="M567" s="196"/>
      <c r="N567" s="196"/>
      <c r="O567" s="196"/>
      <c r="P567" s="196"/>
      <c r="Q567" s="196"/>
      <c r="R567" s="196"/>
      <c r="S567" s="196"/>
      <c r="T567" s="196"/>
      <c r="U567" s="196"/>
      <c r="V567" s="196"/>
      <c r="W567" s="196"/>
      <c r="X567" s="196"/>
      <c r="Y567" s="196"/>
      <c r="Z567" s="196"/>
      <c r="AA567" s="196"/>
      <c r="AB567" s="196"/>
      <c r="AC567" s="196"/>
      <c r="AD567" s="196"/>
      <c r="AE567" s="196"/>
      <c r="AF567" s="196"/>
      <c r="AG567" s="196"/>
      <c r="AH567" s="196"/>
      <c r="AI567" s="196"/>
      <c r="AJ567" s="196"/>
      <c r="AK567" s="196"/>
      <c r="AL567" s="196"/>
      <c r="AM567" s="196"/>
      <c r="AN567" s="196"/>
      <c r="AO567" s="196"/>
      <c r="AP567" s="196"/>
      <c r="AQ567" s="196"/>
      <c r="AR567" s="196"/>
      <c r="AS567" s="196"/>
      <c r="AT567" s="196"/>
      <c r="AU567" s="196"/>
      <c r="AV567" s="196"/>
      <c r="AW567" s="196"/>
      <c r="AX567" s="196"/>
      <c r="AY567" s="196"/>
      <c r="AZ567" s="196"/>
      <c r="BA567" s="196"/>
      <c r="BB567" s="196"/>
      <c r="BC567" s="196"/>
      <c r="BD567" s="204"/>
    </row>
    <row r="570" spans="1:56" s="168" customFormat="1" ht="25.5" customHeight="1" thickBot="1" x14ac:dyDescent="0.35">
      <c r="A570" s="330" t="str">
        <f ca="1">Language!A$806</f>
        <v>ОБОРОТНЫЙ КАПИТАЛ</v>
      </c>
      <c r="B570" s="331"/>
      <c r="C570" s="332"/>
      <c r="D570" s="333"/>
      <c r="E570" s="333" t="s">
        <v>989</v>
      </c>
      <c r="F570" s="333"/>
      <c r="G570" s="334" t="str">
        <f ca="1">Параметры!G$34</f>
        <v>янв.25</v>
      </c>
      <c r="H570" s="334" t="str">
        <f ca="1">Параметры!H$34</f>
        <v>фев.25</v>
      </c>
      <c r="I570" s="334" t="str">
        <f ca="1">Параметры!I$34</f>
        <v>мар.25</v>
      </c>
      <c r="J570" s="334" t="str">
        <f ca="1">Параметры!J$34</f>
        <v>апр.25</v>
      </c>
      <c r="K570" s="334" t="str">
        <f ca="1">Параметры!K$34</f>
        <v>май.25</v>
      </c>
      <c r="L570" s="334" t="str">
        <f ca="1">Параметры!L$34</f>
        <v>июн.25</v>
      </c>
      <c r="M570" s="335" t="str">
        <f ca="1">Параметры!M$34</f>
        <v>июл.25</v>
      </c>
      <c r="N570" s="335" t="str">
        <f ca="1">Параметры!N$34</f>
        <v>авг.25</v>
      </c>
      <c r="O570" s="335" t="str">
        <f ca="1">Параметры!O$34</f>
        <v>сен.25</v>
      </c>
      <c r="P570" s="335" t="str">
        <f ca="1">Параметры!P$34</f>
        <v>окт.25</v>
      </c>
      <c r="Q570" s="335" t="str">
        <f ca="1">Параметры!Q$34</f>
        <v>ноя.25</v>
      </c>
      <c r="R570" s="335" t="str">
        <f ca="1">Параметры!R$34</f>
        <v>дек.25</v>
      </c>
      <c r="S570" s="335" t="str">
        <f ca="1">Параметры!S$34</f>
        <v>янв.26</v>
      </c>
      <c r="T570" s="335" t="str">
        <f ca="1">Параметры!T$34</f>
        <v>фев.26</v>
      </c>
      <c r="U570" s="335" t="str">
        <f ca="1">Параметры!U$34</f>
        <v>мар.26</v>
      </c>
      <c r="V570" s="335" t="str">
        <f ca="1">Параметры!V$34</f>
        <v>апр.26</v>
      </c>
      <c r="W570" s="335" t="str">
        <f ca="1">Параметры!W$34</f>
        <v>май.26</v>
      </c>
      <c r="X570" s="335" t="str">
        <f ca="1">Параметры!X$34</f>
        <v>июн.26</v>
      </c>
      <c r="Y570" s="335" t="str">
        <f ca="1">Параметры!Y$34</f>
        <v>июл.26</v>
      </c>
      <c r="Z570" s="335" t="str">
        <f ca="1">Параметры!Z$34</f>
        <v>авг.26</v>
      </c>
      <c r="AA570" s="335" t="str">
        <f ca="1">Параметры!AA$34</f>
        <v>сен.26</v>
      </c>
      <c r="AB570" s="335" t="str">
        <f ca="1">Параметры!AB$34</f>
        <v>окт.26</v>
      </c>
      <c r="AC570" s="335" t="str">
        <f ca="1">Параметры!AC$34</f>
        <v>ноя.26</v>
      </c>
      <c r="AD570" s="335" t="str">
        <f ca="1">Параметры!AD$34</f>
        <v>дек.26</v>
      </c>
      <c r="AE570" s="335" t="str">
        <f ca="1">Параметры!AE$34</f>
        <v>янв.27</v>
      </c>
      <c r="AF570" s="335" t="str">
        <f ca="1">Параметры!AF$34</f>
        <v>фев.27</v>
      </c>
      <c r="AG570" s="335" t="str">
        <f ca="1">Параметры!AG$34</f>
        <v>мар.27</v>
      </c>
      <c r="AH570" s="335" t="str">
        <f ca="1">Параметры!AH$34</f>
        <v>апр.27</v>
      </c>
      <c r="AI570" s="335" t="str">
        <f ca="1">Параметры!AI$34</f>
        <v>май.27</v>
      </c>
      <c r="AJ570" s="335" t="str">
        <f ca="1">Параметры!AJ$34</f>
        <v>июн.27</v>
      </c>
      <c r="AK570" s="335" t="str">
        <f ca="1">Параметры!AK$34</f>
        <v>июл.27</v>
      </c>
      <c r="AL570" s="335" t="str">
        <f ca="1">Параметры!AL$34</f>
        <v>авг.27</v>
      </c>
      <c r="AM570" s="335" t="str">
        <f ca="1">Параметры!AM$34</f>
        <v>сен.27</v>
      </c>
      <c r="AN570" s="335" t="str">
        <f ca="1">Параметры!AN$34</f>
        <v>окт.27</v>
      </c>
      <c r="AO570" s="335" t="str">
        <f ca="1">Параметры!AO$34</f>
        <v>ноя.27</v>
      </c>
      <c r="AP570" s="335" t="str">
        <f ca="1">Параметры!AP$34</f>
        <v>дек.27</v>
      </c>
      <c r="AQ570" s="335" t="str">
        <f ca="1">Параметры!AQ$34</f>
        <v>янв.28</v>
      </c>
      <c r="AR570" s="335" t="str">
        <f ca="1">Параметры!AR$34</f>
        <v>фев.28</v>
      </c>
      <c r="AS570" s="335" t="str">
        <f ca="1">Параметры!AS$34</f>
        <v>мар.28</v>
      </c>
      <c r="AT570" s="335" t="str">
        <f ca="1">Параметры!AT$34</f>
        <v>апр.28</v>
      </c>
      <c r="AU570" s="335" t="str">
        <f ca="1">Параметры!AU$34</f>
        <v>май.28</v>
      </c>
      <c r="AV570" s="335" t="str">
        <f ca="1">Параметры!AV$34</f>
        <v>июн.28</v>
      </c>
      <c r="AW570" s="335" t="str">
        <f ca="1">Параметры!AW$34</f>
        <v>июл.28</v>
      </c>
      <c r="AX570" s="335" t="str">
        <f ca="1">Параметры!AX$34</f>
        <v>авг.28</v>
      </c>
      <c r="AY570" s="335" t="str">
        <f ca="1">Параметры!AY$34</f>
        <v>сен.28</v>
      </c>
      <c r="AZ570" s="335" t="str">
        <f ca="1">Параметры!AZ$34</f>
        <v>окт.28</v>
      </c>
      <c r="BA570" s="335" t="str">
        <f ca="1">Параметры!BA$34</f>
        <v>ноя.28</v>
      </c>
      <c r="BB570" s="335" t="str">
        <f ca="1">Параметры!BB$34</f>
        <v>дек.28</v>
      </c>
      <c r="BC570" s="335"/>
      <c r="BD570" s="336" t="str">
        <f ca="1">Language!$A$1473</f>
        <v>ИТОГО</v>
      </c>
    </row>
    <row r="571" spans="1:56" ht="14.4" thickTop="1" x14ac:dyDescent="0.3">
      <c r="A571" s="245"/>
    </row>
    <row r="572" spans="1:56" x14ac:dyDescent="0.3">
      <c r="A572" s="214" t="str">
        <f ca="1">Language!A$807</f>
        <v>Дебиторская задолженность</v>
      </c>
      <c r="B572" s="163"/>
      <c r="C572" s="176" t="str">
        <f ca="1">CurName1</f>
        <v>руб.</v>
      </c>
      <c r="F572" s="170" t="s">
        <v>741</v>
      </c>
      <c r="G572" s="177">
        <f ca="1">G574+G575</f>
        <v>0</v>
      </c>
      <c r="H572" s="177">
        <f t="shared" ref="H572:K572" ca="1" si="2323">H574+H575</f>
        <v>0</v>
      </c>
      <c r="I572" s="177">
        <f t="shared" ca="1" si="2323"/>
        <v>0</v>
      </c>
      <c r="J572" s="177">
        <f t="shared" ca="1" si="2323"/>
        <v>0</v>
      </c>
      <c r="K572" s="177">
        <f t="shared" ca="1" si="2323"/>
        <v>0</v>
      </c>
      <c r="L572" s="177">
        <f t="shared" ref="L572:M572" ca="1" si="2324">L574+L575</f>
        <v>0</v>
      </c>
      <c r="M572" s="177">
        <f t="shared" ca="1" si="2324"/>
        <v>2495660.7461752496</v>
      </c>
      <c r="N572" s="177">
        <f t="shared" ref="N572:O572" ca="1" si="2325">N574+N575</f>
        <v>3343744.6680682655</v>
      </c>
      <c r="O572" s="177">
        <f t="shared" ca="1" si="2325"/>
        <v>4200025.6428971058</v>
      </c>
      <c r="P572" s="177">
        <f t="shared" ref="P572:Q572" ca="1" si="2326">P574+P575</f>
        <v>5064563.3761075735</v>
      </c>
      <c r="Q572" s="177">
        <f t="shared" ca="1" si="2326"/>
        <v>5089215.3944321619</v>
      </c>
      <c r="R572" s="177">
        <f t="shared" ref="R572:S572" ca="1" si="2327">R574+R575</f>
        <v>5113987.4077024832</v>
      </c>
      <c r="S572" s="177">
        <f t="shared" ca="1" si="2327"/>
        <v>6851840.0000000037</v>
      </c>
      <c r="T572" s="177">
        <f t="shared" ref="T572:U572" ca="1" si="2328">T574+T575</f>
        <v>6024542.717957438</v>
      </c>
      <c r="U572" s="177">
        <f t="shared" ca="1" si="2328"/>
        <v>5189029.2722315704</v>
      </c>
      <c r="V572" s="177">
        <f t="shared" ref="V572:W572" ca="1" si="2329">V574+V575</f>
        <v>5214287.1345992023</v>
      </c>
      <c r="W572" s="177">
        <f t="shared" ca="1" si="2329"/>
        <v>4366389.9507409018</v>
      </c>
      <c r="X572" s="177">
        <f t="shared" ref="X572:Y572" ca="1" si="2330">X574+X575</f>
        <v>7020229.7193826223</v>
      </c>
      <c r="Y572" s="177">
        <f t="shared" ca="1" si="2330"/>
        <v>8818001.3031525519</v>
      </c>
      <c r="Z572" s="177">
        <f t="shared" ref="Z572:AA572" ca="1" si="2331">Z574+Z575</f>
        <v>8860923.3703809083</v>
      </c>
      <c r="AA572" s="177">
        <f t="shared" ca="1" si="2331"/>
        <v>6232838.0540593062</v>
      </c>
      <c r="AB572" s="177">
        <f t="shared" ref="AB572:AC572" ca="1" si="2332">AB574+AB575</f>
        <v>4473697.6488950253</v>
      </c>
      <c r="AC572" s="177">
        <f t="shared" ca="1" si="2332"/>
        <v>4495473.5984150777</v>
      </c>
      <c r="AD572" s="177">
        <f t="shared" ref="AD572:AE572" ca="1" si="2333">AD574+AD575</f>
        <v>5420826.6521646334</v>
      </c>
      <c r="AE572" s="177">
        <f t="shared" ca="1" si="2333"/>
        <v>7262950.400000005</v>
      </c>
      <c r="AF572" s="177">
        <f t="shared" ref="AF572:AG572" ca="1" si="2334">AF574+AF575</f>
        <v>6386015.2810348859</v>
      </c>
      <c r="AG572" s="177">
        <f t="shared" ca="1" si="2334"/>
        <v>5500371.0285654655</v>
      </c>
      <c r="AH572" s="177">
        <f t="shared" ref="AH572:AI572" ca="1" si="2335">AH574+AH575</f>
        <v>5527144.3626751555</v>
      </c>
      <c r="AI572" s="177">
        <f t="shared" ca="1" si="2335"/>
        <v>4628373.3477853565</v>
      </c>
      <c r="AJ572" s="177">
        <f t="shared" ref="AJ572:AK572" ca="1" si="2336">AJ574+AJ575</f>
        <v>7441443.5025455812</v>
      </c>
      <c r="AK572" s="177">
        <f t="shared" ca="1" si="2336"/>
        <v>9347081.3813417051</v>
      </c>
      <c r="AL572" s="177">
        <f t="shared" ref="AL572:AM572" ca="1" si="2337">AL574+AL575</f>
        <v>9392578.7726037633</v>
      </c>
      <c r="AM572" s="177">
        <f t="shared" ca="1" si="2337"/>
        <v>6606808.3373028673</v>
      </c>
      <c r="AN572" s="177">
        <f t="shared" ref="AN572:AO572" ca="1" si="2338">AN574+AN575</f>
        <v>4742119.5078287264</v>
      </c>
      <c r="AO572" s="177">
        <f t="shared" ca="1" si="2338"/>
        <v>4765202.0143199842</v>
      </c>
      <c r="AP572" s="177">
        <f t="shared" ref="AP572:AQ572" ca="1" si="2339">AP574+AP575</f>
        <v>5746076.2512945123</v>
      </c>
      <c r="AQ572" s="177">
        <f t="shared" ca="1" si="2339"/>
        <v>7698727.4240000062</v>
      </c>
      <c r="AR572" s="177">
        <f t="shared" ref="AR572:AS572" ca="1" si="2340">AR574+AR575</f>
        <v>6769176.1978969807</v>
      </c>
      <c r="AS572" s="177">
        <f t="shared" ca="1" si="2340"/>
        <v>5830393.2902793959</v>
      </c>
      <c r="AT572" s="177">
        <f t="shared" ref="AT572:AU572" ca="1" si="2341">AT574+AT575</f>
        <v>5858773.0244356673</v>
      </c>
      <c r="AU572" s="177">
        <f t="shared" ca="1" si="2341"/>
        <v>4906075.7486524805</v>
      </c>
      <c r="AV572" s="177">
        <f t="shared" ref="AV572:AW572" ca="1" si="2342">AV574+AV575</f>
        <v>7887930.1126983203</v>
      </c>
      <c r="AW572" s="177">
        <f t="shared" ca="1" si="2342"/>
        <v>9907906.2642222121</v>
      </c>
      <c r="AX572" s="177">
        <f t="shared" ref="AX572:AY572" ca="1" si="2343">AX574+AX575</f>
        <v>9956133.4989599939</v>
      </c>
      <c r="AY572" s="177">
        <f t="shared" ca="1" si="2343"/>
        <v>7003216.8375410419</v>
      </c>
      <c r="AZ572" s="177">
        <f t="shared" ref="AZ572:BA572" ca="1" si="2344">AZ574+AZ575</f>
        <v>5026646.6782984529</v>
      </c>
      <c r="BA572" s="177">
        <f t="shared" ca="1" si="2344"/>
        <v>5051114.1351791844</v>
      </c>
      <c r="BB572" s="177">
        <f t="shared" ref="BB572" ca="1" si="2345">BB574+BB575</f>
        <v>6090840.8263721857</v>
      </c>
    </row>
    <row r="573" spans="1:56" collapsed="1" x14ac:dyDescent="0.3">
      <c r="A573" s="175" t="str">
        <f ca="1">Language!A$808</f>
        <v>средний период отсрочки платежа</v>
      </c>
      <c r="B573" s="295">
        <v>10</v>
      </c>
      <c r="C573" s="176" t="str">
        <f ca="1">Language!$A$1474</f>
        <v>дней</v>
      </c>
      <c r="G573" s="177"/>
      <c r="H573" s="177"/>
      <c r="I573" s="177"/>
      <c r="J573" s="177"/>
      <c r="K573" s="177"/>
      <c r="L573" s="177"/>
      <c r="M573" s="177"/>
      <c r="N573" s="177"/>
      <c r="O573" s="177"/>
      <c r="P573" s="177"/>
      <c r="Q573" s="177"/>
      <c r="R573" s="177"/>
      <c r="S573" s="177"/>
      <c r="T573" s="177"/>
      <c r="U573" s="177"/>
      <c r="V573" s="177"/>
      <c r="W573" s="177"/>
      <c r="X573" s="177"/>
      <c r="Y573" s="177"/>
      <c r="Z573" s="177"/>
      <c r="AA573" s="177"/>
      <c r="AB573" s="177"/>
      <c r="AC573" s="177"/>
      <c r="AD573" s="177"/>
      <c r="AE573" s="177"/>
      <c r="AF573" s="177"/>
      <c r="AG573" s="177"/>
      <c r="AH573" s="177"/>
      <c r="AI573" s="177"/>
      <c r="AJ573" s="177"/>
      <c r="AK573" s="177"/>
      <c r="AL573" s="177"/>
      <c r="AM573" s="177"/>
      <c r="AN573" s="177"/>
      <c r="AO573" s="177"/>
      <c r="AP573" s="177"/>
      <c r="AQ573" s="177"/>
      <c r="AR573" s="177"/>
      <c r="AS573" s="177"/>
      <c r="AT573" s="177"/>
      <c r="AU573" s="177"/>
      <c r="AV573" s="177"/>
      <c r="AW573" s="177"/>
      <c r="AX573" s="177"/>
      <c r="AY573" s="177"/>
      <c r="AZ573" s="177"/>
      <c r="BA573" s="177"/>
      <c r="BB573" s="177"/>
    </row>
    <row r="574" spans="1:56" hidden="1" outlineLevel="1" x14ac:dyDescent="0.3">
      <c r="A574" s="184" t="str">
        <f ca="1">Language!A$809</f>
        <v>величина из плана продаж</v>
      </c>
      <c r="B574" s="184"/>
      <c r="C574" s="174" t="str">
        <f ca="1">CurName1</f>
        <v>руб.</v>
      </c>
      <c r="F574" s="170" t="s">
        <v>741</v>
      </c>
      <c r="G574" s="185">
        <f t="shared" ref="G574:BB574" ca="1" si="2346">G133</f>
        <v>0</v>
      </c>
      <c r="H574" s="185">
        <f t="shared" ca="1" si="2346"/>
        <v>0</v>
      </c>
      <c r="I574" s="185">
        <f t="shared" ca="1" si="2346"/>
        <v>0</v>
      </c>
      <c r="J574" s="185">
        <f t="shared" ca="1" si="2346"/>
        <v>0</v>
      </c>
      <c r="K574" s="185">
        <f t="shared" ca="1" si="2346"/>
        <v>0</v>
      </c>
      <c r="L574" s="185">
        <f t="shared" ca="1" si="2346"/>
        <v>0</v>
      </c>
      <c r="M574" s="185">
        <f t="shared" ca="1" si="2346"/>
        <v>2495660.7461752496</v>
      </c>
      <c r="N574" s="185">
        <f t="shared" ca="1" si="2346"/>
        <v>3343744.6680682655</v>
      </c>
      <c r="O574" s="185">
        <f t="shared" ca="1" si="2346"/>
        <v>4200025.6428971058</v>
      </c>
      <c r="P574" s="185">
        <f t="shared" ca="1" si="2346"/>
        <v>5064563.3761075735</v>
      </c>
      <c r="Q574" s="185">
        <f t="shared" ca="1" si="2346"/>
        <v>5089215.3944321619</v>
      </c>
      <c r="R574" s="185">
        <f t="shared" ca="1" si="2346"/>
        <v>5113987.4077024832</v>
      </c>
      <c r="S574" s="185">
        <f t="shared" ca="1" si="2346"/>
        <v>6851840.0000000037</v>
      </c>
      <c r="T574" s="185">
        <f t="shared" ca="1" si="2346"/>
        <v>6024542.717957438</v>
      </c>
      <c r="U574" s="185">
        <f t="shared" ca="1" si="2346"/>
        <v>5189029.2722315704</v>
      </c>
      <c r="V574" s="185">
        <f t="shared" ca="1" si="2346"/>
        <v>5214287.1345992023</v>
      </c>
      <c r="W574" s="185">
        <f t="shared" ca="1" si="2346"/>
        <v>4366389.9507409018</v>
      </c>
      <c r="X574" s="185">
        <f t="shared" ca="1" si="2346"/>
        <v>7020229.7193826223</v>
      </c>
      <c r="Y574" s="185">
        <f t="shared" ca="1" si="2346"/>
        <v>8818001.3031525519</v>
      </c>
      <c r="Z574" s="185">
        <f t="shared" ca="1" si="2346"/>
        <v>8860923.3703809083</v>
      </c>
      <c r="AA574" s="185">
        <f t="shared" ca="1" si="2346"/>
        <v>6232838.0540593062</v>
      </c>
      <c r="AB574" s="185">
        <f t="shared" ca="1" si="2346"/>
        <v>4473697.6488950253</v>
      </c>
      <c r="AC574" s="185">
        <f t="shared" ca="1" si="2346"/>
        <v>4495473.5984150777</v>
      </c>
      <c r="AD574" s="185">
        <f t="shared" ca="1" si="2346"/>
        <v>5420826.6521646334</v>
      </c>
      <c r="AE574" s="185">
        <f t="shared" ca="1" si="2346"/>
        <v>7262950.400000005</v>
      </c>
      <c r="AF574" s="185">
        <f t="shared" ca="1" si="2346"/>
        <v>6386015.2810348859</v>
      </c>
      <c r="AG574" s="185">
        <f t="shared" ca="1" si="2346"/>
        <v>5500371.0285654655</v>
      </c>
      <c r="AH574" s="185">
        <f t="shared" ca="1" si="2346"/>
        <v>5527144.3626751555</v>
      </c>
      <c r="AI574" s="185">
        <f t="shared" ca="1" si="2346"/>
        <v>4628373.3477853565</v>
      </c>
      <c r="AJ574" s="185">
        <f t="shared" ca="1" si="2346"/>
        <v>7441443.5025455812</v>
      </c>
      <c r="AK574" s="185">
        <f t="shared" ca="1" si="2346"/>
        <v>9347081.3813417051</v>
      </c>
      <c r="AL574" s="185">
        <f t="shared" ca="1" si="2346"/>
        <v>9392578.7726037633</v>
      </c>
      <c r="AM574" s="185">
        <f t="shared" ca="1" si="2346"/>
        <v>6606808.3373028673</v>
      </c>
      <c r="AN574" s="185">
        <f t="shared" ca="1" si="2346"/>
        <v>4742119.5078287264</v>
      </c>
      <c r="AO574" s="185">
        <f t="shared" ca="1" si="2346"/>
        <v>4765202.0143199842</v>
      </c>
      <c r="AP574" s="185">
        <f t="shared" ca="1" si="2346"/>
        <v>5746076.2512945123</v>
      </c>
      <c r="AQ574" s="185">
        <f t="shared" ca="1" si="2346"/>
        <v>7698727.4240000062</v>
      </c>
      <c r="AR574" s="185">
        <f t="shared" ca="1" si="2346"/>
        <v>6769176.1978969807</v>
      </c>
      <c r="AS574" s="185">
        <f t="shared" ca="1" si="2346"/>
        <v>5830393.2902793959</v>
      </c>
      <c r="AT574" s="185">
        <f t="shared" ca="1" si="2346"/>
        <v>5858773.0244356673</v>
      </c>
      <c r="AU574" s="185">
        <f t="shared" ca="1" si="2346"/>
        <v>4906075.7486524805</v>
      </c>
      <c r="AV574" s="185">
        <f t="shared" ca="1" si="2346"/>
        <v>7887930.1126983203</v>
      </c>
      <c r="AW574" s="185">
        <f t="shared" ca="1" si="2346"/>
        <v>9907906.2642222121</v>
      </c>
      <c r="AX574" s="185">
        <f t="shared" ca="1" si="2346"/>
        <v>9956133.4989599939</v>
      </c>
      <c r="AY574" s="185">
        <f t="shared" ca="1" si="2346"/>
        <v>7003216.8375410419</v>
      </c>
      <c r="AZ574" s="185">
        <f t="shared" ca="1" si="2346"/>
        <v>5026646.6782984529</v>
      </c>
      <c r="BA574" s="185">
        <f t="shared" ca="1" si="2346"/>
        <v>5051114.1351791844</v>
      </c>
      <c r="BB574" s="185">
        <f t="shared" ca="1" si="2346"/>
        <v>6090840.8263721857</v>
      </c>
    </row>
    <row r="575" spans="1:56" hidden="1" outlineLevel="1" x14ac:dyDescent="0.3">
      <c r="A575" s="184" t="str">
        <f ca="1">Language!A$810</f>
        <v>величина из стартового баланса</v>
      </c>
      <c r="B575" s="212">
        <f>Старт!B7</f>
        <v>0</v>
      </c>
      <c r="C575" s="174" t="str">
        <f ca="1">CurName1</f>
        <v>руб.</v>
      </c>
      <c r="F575" s="170" t="s">
        <v>2350</v>
      </c>
      <c r="G575" s="287">
        <f ca="1">IF(SUM($G574:G574)=0,$B575,0)</f>
        <v>0</v>
      </c>
      <c r="H575" s="287">
        <f ca="1">IF(SUM($G574:H574)=0,$B575,0)</f>
        <v>0</v>
      </c>
      <c r="I575" s="287">
        <f ca="1">IF(SUM($G574:I574)=0,$B575,0)</f>
        <v>0</v>
      </c>
      <c r="J575" s="287">
        <f ca="1">IF(SUM($G574:J574)=0,$B575,0)</f>
        <v>0</v>
      </c>
      <c r="K575" s="287">
        <f ca="1">IF(SUM($G574:K574)=0,$B575,0)</f>
        <v>0</v>
      </c>
      <c r="L575" s="287">
        <f ca="1">IF(SUM($G574:L574)=0,$B575,0)</f>
        <v>0</v>
      </c>
      <c r="M575" s="287">
        <f ca="1">IF(SUM($G574:M574)=0,$B575,0)</f>
        <v>0</v>
      </c>
      <c r="N575" s="287">
        <f ca="1">IF(SUM($G574:N574)=0,$B575,0)</f>
        <v>0</v>
      </c>
      <c r="O575" s="287">
        <f ca="1">IF(SUM($G574:O574)=0,$B575,0)</f>
        <v>0</v>
      </c>
      <c r="P575" s="287">
        <f ca="1">IF(SUM($G574:P574)=0,$B575,0)</f>
        <v>0</v>
      </c>
      <c r="Q575" s="287">
        <f ca="1">IF(SUM($G574:Q574)=0,$B575,0)</f>
        <v>0</v>
      </c>
      <c r="R575" s="287">
        <f ca="1">IF(SUM($G574:R574)=0,$B575,0)</f>
        <v>0</v>
      </c>
      <c r="S575" s="287">
        <f ca="1">IF(SUM($G574:S574)=0,$B575,0)</f>
        <v>0</v>
      </c>
      <c r="T575" s="287">
        <f ca="1">IF(SUM($G574:T574)=0,$B575,0)</f>
        <v>0</v>
      </c>
      <c r="U575" s="287">
        <f ca="1">IF(SUM($G574:U574)=0,$B575,0)</f>
        <v>0</v>
      </c>
      <c r="V575" s="287">
        <f ca="1">IF(SUM($G574:V574)=0,$B575,0)</f>
        <v>0</v>
      </c>
      <c r="W575" s="287">
        <f ca="1">IF(SUM($G574:W574)=0,$B575,0)</f>
        <v>0</v>
      </c>
      <c r="X575" s="287">
        <f ca="1">IF(SUM($G574:X574)=0,$B575,0)</f>
        <v>0</v>
      </c>
      <c r="Y575" s="287">
        <f ca="1">IF(SUM($G574:Y574)=0,$B575,0)</f>
        <v>0</v>
      </c>
      <c r="Z575" s="287">
        <f ca="1">IF(SUM($G574:Z574)=0,$B575,0)</f>
        <v>0</v>
      </c>
      <c r="AA575" s="287">
        <f ca="1">IF(SUM($G574:AA574)=0,$B575,0)</f>
        <v>0</v>
      </c>
      <c r="AB575" s="287">
        <f ca="1">IF(SUM($G574:AB574)=0,$B575,0)</f>
        <v>0</v>
      </c>
      <c r="AC575" s="287">
        <f ca="1">IF(SUM($G574:AC574)=0,$B575,0)</f>
        <v>0</v>
      </c>
      <c r="AD575" s="287">
        <f ca="1">IF(SUM($G574:AD574)=0,$B575,0)</f>
        <v>0</v>
      </c>
      <c r="AE575" s="287">
        <f ca="1">IF(SUM($G574:AE574)=0,$B575,0)</f>
        <v>0</v>
      </c>
      <c r="AF575" s="287">
        <f ca="1">IF(SUM($G574:AF574)=0,$B575,0)</f>
        <v>0</v>
      </c>
      <c r="AG575" s="287">
        <f ca="1">IF(SUM($G574:AG574)=0,$B575,0)</f>
        <v>0</v>
      </c>
      <c r="AH575" s="287">
        <f ca="1">IF(SUM($G574:AH574)=0,$B575,0)</f>
        <v>0</v>
      </c>
      <c r="AI575" s="287">
        <f ca="1">IF(SUM($G574:AI574)=0,$B575,0)</f>
        <v>0</v>
      </c>
      <c r="AJ575" s="287">
        <f ca="1">IF(SUM($G574:AJ574)=0,$B575,0)</f>
        <v>0</v>
      </c>
      <c r="AK575" s="287">
        <f ca="1">IF(SUM($G574:AK574)=0,$B575,0)</f>
        <v>0</v>
      </c>
      <c r="AL575" s="287">
        <f ca="1">IF(SUM($G574:AL574)=0,$B575,0)</f>
        <v>0</v>
      </c>
      <c r="AM575" s="287">
        <f ca="1">IF(SUM($G574:AM574)=0,$B575,0)</f>
        <v>0</v>
      </c>
      <c r="AN575" s="287">
        <f ca="1">IF(SUM($G574:AN574)=0,$B575,0)</f>
        <v>0</v>
      </c>
      <c r="AO575" s="287">
        <f ca="1">IF(SUM($G574:AO574)=0,$B575,0)</f>
        <v>0</v>
      </c>
      <c r="AP575" s="287">
        <f ca="1">IF(SUM($G574:AP574)=0,$B575,0)</f>
        <v>0</v>
      </c>
      <c r="AQ575" s="287">
        <f ca="1">IF(SUM($G574:AQ574)=0,$B575,0)</f>
        <v>0</v>
      </c>
      <c r="AR575" s="287">
        <f ca="1">IF(SUM($G574:AR574)=0,$B575,0)</f>
        <v>0</v>
      </c>
      <c r="AS575" s="287">
        <f ca="1">IF(SUM($G574:AS574)=0,$B575,0)</f>
        <v>0</v>
      </c>
      <c r="AT575" s="287">
        <f ca="1">IF(SUM($G574:AT574)=0,$B575,0)</f>
        <v>0</v>
      </c>
      <c r="AU575" s="287">
        <f ca="1">IF(SUM($G574:AU574)=0,$B575,0)</f>
        <v>0</v>
      </c>
      <c r="AV575" s="287">
        <f ca="1">IF(SUM($G574:AV574)=0,$B575,0)</f>
        <v>0</v>
      </c>
      <c r="AW575" s="287">
        <f ca="1">IF(SUM($G574:AW574)=0,$B575,0)</f>
        <v>0</v>
      </c>
      <c r="AX575" s="287">
        <f ca="1">IF(SUM($G574:AX574)=0,$B575,0)</f>
        <v>0</v>
      </c>
      <c r="AY575" s="287">
        <f ca="1">IF(SUM($G574:AY574)=0,$B575,0)</f>
        <v>0</v>
      </c>
      <c r="AZ575" s="287">
        <f ca="1">IF(SUM($G574:AZ574)=0,$B575,0)</f>
        <v>0</v>
      </c>
      <c r="BA575" s="287">
        <f ca="1">IF(SUM($G574:BA574)=0,$B575,0)</f>
        <v>0</v>
      </c>
      <c r="BB575" s="287">
        <f ca="1">IF(SUM($G574:BB574)=0,$B575,0)</f>
        <v>0</v>
      </c>
    </row>
    <row r="576" spans="1:56" hidden="1" outlineLevel="1" x14ac:dyDescent="0.3">
      <c r="A576" s="184" t="str">
        <f ca="1">Language!A$811</f>
        <v>влияние стартового баланса на денежные средства</v>
      </c>
      <c r="B576" s="184"/>
      <c r="C576" s="174" t="str">
        <f ca="1">CurName1</f>
        <v>руб.</v>
      </c>
      <c r="F576" s="170" t="s">
        <v>740</v>
      </c>
      <c r="G576" s="185">
        <f ca="1">IF(G$2=1,$B575-G575,F575-G575)</f>
        <v>0</v>
      </c>
      <c r="H576" s="185">
        <f t="shared" ref="H576:BB576" ca="1" si="2347">IF(H$2=1,$B575-H575,G575-H575)</f>
        <v>0</v>
      </c>
      <c r="I576" s="185">
        <f t="shared" ca="1" si="2347"/>
        <v>0</v>
      </c>
      <c r="J576" s="185">
        <f t="shared" ca="1" si="2347"/>
        <v>0</v>
      </c>
      <c r="K576" s="185">
        <f t="shared" ca="1" si="2347"/>
        <v>0</v>
      </c>
      <c r="L576" s="185">
        <f t="shared" ca="1" si="2347"/>
        <v>0</v>
      </c>
      <c r="M576" s="185">
        <f t="shared" ca="1" si="2347"/>
        <v>0</v>
      </c>
      <c r="N576" s="185">
        <f t="shared" ca="1" si="2347"/>
        <v>0</v>
      </c>
      <c r="O576" s="185">
        <f t="shared" ca="1" si="2347"/>
        <v>0</v>
      </c>
      <c r="P576" s="185">
        <f t="shared" ca="1" si="2347"/>
        <v>0</v>
      </c>
      <c r="Q576" s="185">
        <f t="shared" ca="1" si="2347"/>
        <v>0</v>
      </c>
      <c r="R576" s="185">
        <f t="shared" ca="1" si="2347"/>
        <v>0</v>
      </c>
      <c r="S576" s="185">
        <f t="shared" ca="1" si="2347"/>
        <v>0</v>
      </c>
      <c r="T576" s="185">
        <f t="shared" ca="1" si="2347"/>
        <v>0</v>
      </c>
      <c r="U576" s="185">
        <f t="shared" ca="1" si="2347"/>
        <v>0</v>
      </c>
      <c r="V576" s="185">
        <f t="shared" ca="1" si="2347"/>
        <v>0</v>
      </c>
      <c r="W576" s="185">
        <f t="shared" ca="1" si="2347"/>
        <v>0</v>
      </c>
      <c r="X576" s="185">
        <f t="shared" ca="1" si="2347"/>
        <v>0</v>
      </c>
      <c r="Y576" s="185">
        <f t="shared" ca="1" si="2347"/>
        <v>0</v>
      </c>
      <c r="Z576" s="185">
        <f t="shared" ca="1" si="2347"/>
        <v>0</v>
      </c>
      <c r="AA576" s="185">
        <f t="shared" ca="1" si="2347"/>
        <v>0</v>
      </c>
      <c r="AB576" s="185">
        <f t="shared" ca="1" si="2347"/>
        <v>0</v>
      </c>
      <c r="AC576" s="185">
        <f t="shared" ca="1" si="2347"/>
        <v>0</v>
      </c>
      <c r="AD576" s="185">
        <f t="shared" ca="1" si="2347"/>
        <v>0</v>
      </c>
      <c r="AE576" s="185">
        <f t="shared" ca="1" si="2347"/>
        <v>0</v>
      </c>
      <c r="AF576" s="185">
        <f t="shared" ca="1" si="2347"/>
        <v>0</v>
      </c>
      <c r="AG576" s="185">
        <f t="shared" ca="1" si="2347"/>
        <v>0</v>
      </c>
      <c r="AH576" s="185">
        <f t="shared" ca="1" si="2347"/>
        <v>0</v>
      </c>
      <c r="AI576" s="185">
        <f t="shared" ca="1" si="2347"/>
        <v>0</v>
      </c>
      <c r="AJ576" s="185">
        <f t="shared" ca="1" si="2347"/>
        <v>0</v>
      </c>
      <c r="AK576" s="185">
        <f t="shared" ca="1" si="2347"/>
        <v>0</v>
      </c>
      <c r="AL576" s="185">
        <f t="shared" ca="1" si="2347"/>
        <v>0</v>
      </c>
      <c r="AM576" s="185">
        <f t="shared" ca="1" si="2347"/>
        <v>0</v>
      </c>
      <c r="AN576" s="185">
        <f t="shared" ca="1" si="2347"/>
        <v>0</v>
      </c>
      <c r="AO576" s="185">
        <f t="shared" ca="1" si="2347"/>
        <v>0</v>
      </c>
      <c r="AP576" s="185">
        <f t="shared" ca="1" si="2347"/>
        <v>0</v>
      </c>
      <c r="AQ576" s="185">
        <f t="shared" ca="1" si="2347"/>
        <v>0</v>
      </c>
      <c r="AR576" s="185">
        <f t="shared" ca="1" si="2347"/>
        <v>0</v>
      </c>
      <c r="AS576" s="185">
        <f t="shared" ca="1" si="2347"/>
        <v>0</v>
      </c>
      <c r="AT576" s="185">
        <f t="shared" ca="1" si="2347"/>
        <v>0</v>
      </c>
      <c r="AU576" s="185">
        <f t="shared" ca="1" si="2347"/>
        <v>0</v>
      </c>
      <c r="AV576" s="185">
        <f t="shared" ca="1" si="2347"/>
        <v>0</v>
      </c>
      <c r="AW576" s="185">
        <f t="shared" ca="1" si="2347"/>
        <v>0</v>
      </c>
      <c r="AX576" s="185">
        <f t="shared" ca="1" si="2347"/>
        <v>0</v>
      </c>
      <c r="AY576" s="185">
        <f t="shared" ca="1" si="2347"/>
        <v>0</v>
      </c>
      <c r="AZ576" s="185">
        <f t="shared" ca="1" si="2347"/>
        <v>0</v>
      </c>
      <c r="BA576" s="185">
        <f t="shared" ca="1" si="2347"/>
        <v>0</v>
      </c>
      <c r="BB576" s="185">
        <f t="shared" ca="1" si="2347"/>
        <v>0</v>
      </c>
    </row>
    <row r="577" spans="1:54" x14ac:dyDescent="0.3">
      <c r="A577" s="214"/>
      <c r="B577" s="199"/>
      <c r="C577" s="176"/>
      <c r="G577" s="177"/>
      <c r="H577" s="177"/>
      <c r="I577" s="177"/>
      <c r="J577" s="177"/>
      <c r="K577" s="177"/>
      <c r="L577" s="177"/>
      <c r="M577" s="177"/>
      <c r="N577" s="177"/>
      <c r="O577" s="177"/>
      <c r="P577" s="177"/>
      <c r="Q577" s="177"/>
      <c r="R577" s="177"/>
      <c r="S577" s="177"/>
      <c r="T577" s="177"/>
      <c r="U577" s="177"/>
      <c r="V577" s="177"/>
      <c r="W577" s="177"/>
      <c r="X577" s="177"/>
      <c r="Y577" s="177"/>
      <c r="Z577" s="177"/>
      <c r="AA577" s="177"/>
      <c r="AB577" s="177"/>
      <c r="AC577" s="177"/>
      <c r="AD577" s="177"/>
      <c r="AE577" s="177"/>
      <c r="AF577" s="177"/>
      <c r="AG577" s="177"/>
      <c r="AH577" s="177"/>
      <c r="AI577" s="177"/>
      <c r="AJ577" s="177"/>
      <c r="AK577" s="177"/>
      <c r="AL577" s="177"/>
      <c r="AM577" s="177"/>
      <c r="AN577" s="177"/>
      <c r="AO577" s="177"/>
      <c r="AP577" s="177"/>
      <c r="AQ577" s="177"/>
      <c r="AR577" s="177"/>
      <c r="AS577" s="177"/>
      <c r="AT577" s="177"/>
      <c r="AU577" s="177"/>
      <c r="AV577" s="177"/>
      <c r="AW577" s="177"/>
      <c r="AX577" s="177"/>
      <c r="AY577" s="177"/>
      <c r="AZ577" s="177"/>
      <c r="BA577" s="177"/>
      <c r="BB577" s="177"/>
    </row>
    <row r="578" spans="1:54" x14ac:dyDescent="0.3">
      <c r="A578" s="214" t="str">
        <f ca="1">Language!A$812</f>
        <v>Авансы полученные</v>
      </c>
      <c r="B578" s="163"/>
      <c r="C578" s="176" t="str">
        <f ca="1">CurName1</f>
        <v>руб.</v>
      </c>
      <c r="F578" s="170" t="s">
        <v>741</v>
      </c>
      <c r="G578" s="177">
        <f ca="1">G580+G581</f>
        <v>0</v>
      </c>
      <c r="H578" s="177">
        <f t="shared" ref="H578:K578" ca="1" si="2348">H580+H581</f>
        <v>0</v>
      </c>
      <c r="I578" s="177">
        <f t="shared" ca="1" si="2348"/>
        <v>0</v>
      </c>
      <c r="J578" s="177">
        <f t="shared" ca="1" si="2348"/>
        <v>0</v>
      </c>
      <c r="K578" s="177">
        <f t="shared" ca="1" si="2348"/>
        <v>0</v>
      </c>
      <c r="L578" s="177">
        <f t="shared" ref="L578:M578" ca="1" si="2349">L580+L581</f>
        <v>0</v>
      </c>
      <c r="M578" s="177">
        <f t="shared" ca="1" si="2349"/>
        <v>0</v>
      </c>
      <c r="N578" s="177">
        <f t="shared" ref="N578:O578" ca="1" si="2350">N580+N581</f>
        <v>0</v>
      </c>
      <c r="O578" s="177">
        <f t="shared" ca="1" si="2350"/>
        <v>0</v>
      </c>
      <c r="P578" s="177">
        <f t="shared" ref="P578:Q578" ca="1" si="2351">P580+P581</f>
        <v>0</v>
      </c>
      <c r="Q578" s="177">
        <f t="shared" ca="1" si="2351"/>
        <v>0</v>
      </c>
      <c r="R578" s="177">
        <f t="shared" ref="R578:S578" ca="1" si="2352">R580+R581</f>
        <v>0</v>
      </c>
      <c r="S578" s="177">
        <f t="shared" ca="1" si="2352"/>
        <v>0</v>
      </c>
      <c r="T578" s="177">
        <f t="shared" ref="T578:U578" ca="1" si="2353">T580+T581</f>
        <v>0</v>
      </c>
      <c r="U578" s="177">
        <f t="shared" ca="1" si="2353"/>
        <v>0</v>
      </c>
      <c r="V578" s="177">
        <f t="shared" ref="V578:W578" ca="1" si="2354">V580+V581</f>
        <v>0</v>
      </c>
      <c r="W578" s="177">
        <f t="shared" ca="1" si="2354"/>
        <v>0</v>
      </c>
      <c r="X578" s="177">
        <f t="shared" ref="X578:Y578" ca="1" si="2355">X580+X581</f>
        <v>0</v>
      </c>
      <c r="Y578" s="177">
        <f t="shared" ca="1" si="2355"/>
        <v>0</v>
      </c>
      <c r="Z578" s="177">
        <f t="shared" ref="Z578:AA578" ca="1" si="2356">Z580+Z581</f>
        <v>0</v>
      </c>
      <c r="AA578" s="177">
        <f t="shared" ca="1" si="2356"/>
        <v>0</v>
      </c>
      <c r="AB578" s="177">
        <f t="shared" ref="AB578:AC578" ca="1" si="2357">AB580+AB581</f>
        <v>0</v>
      </c>
      <c r="AC578" s="177">
        <f t="shared" ca="1" si="2357"/>
        <v>0</v>
      </c>
      <c r="AD578" s="177">
        <f t="shared" ref="AD578:AE578" ca="1" si="2358">AD580+AD581</f>
        <v>0</v>
      </c>
      <c r="AE578" s="177">
        <f t="shared" ca="1" si="2358"/>
        <v>0</v>
      </c>
      <c r="AF578" s="177">
        <f t="shared" ref="AF578:AG578" ca="1" si="2359">AF580+AF581</f>
        <v>0</v>
      </c>
      <c r="AG578" s="177">
        <f t="shared" ca="1" si="2359"/>
        <v>0</v>
      </c>
      <c r="AH578" s="177">
        <f t="shared" ref="AH578:AI578" ca="1" si="2360">AH580+AH581</f>
        <v>0</v>
      </c>
      <c r="AI578" s="177">
        <f t="shared" ca="1" si="2360"/>
        <v>0</v>
      </c>
      <c r="AJ578" s="177">
        <f t="shared" ref="AJ578:AK578" ca="1" si="2361">AJ580+AJ581</f>
        <v>0</v>
      </c>
      <c r="AK578" s="177">
        <f t="shared" ca="1" si="2361"/>
        <v>0</v>
      </c>
      <c r="AL578" s="177">
        <f t="shared" ref="AL578:AM578" ca="1" si="2362">AL580+AL581</f>
        <v>0</v>
      </c>
      <c r="AM578" s="177">
        <f t="shared" ca="1" si="2362"/>
        <v>0</v>
      </c>
      <c r="AN578" s="177">
        <f t="shared" ref="AN578:AO578" ca="1" si="2363">AN580+AN581</f>
        <v>0</v>
      </c>
      <c r="AO578" s="177">
        <f t="shared" ca="1" si="2363"/>
        <v>0</v>
      </c>
      <c r="AP578" s="177">
        <f t="shared" ref="AP578:AQ578" ca="1" si="2364">AP580+AP581</f>
        <v>0</v>
      </c>
      <c r="AQ578" s="177">
        <f t="shared" ca="1" si="2364"/>
        <v>0</v>
      </c>
      <c r="AR578" s="177">
        <f t="shared" ref="AR578:AS578" ca="1" si="2365">AR580+AR581</f>
        <v>0</v>
      </c>
      <c r="AS578" s="177">
        <f t="shared" ca="1" si="2365"/>
        <v>0</v>
      </c>
      <c r="AT578" s="177">
        <f t="shared" ref="AT578:AU578" ca="1" si="2366">AT580+AT581</f>
        <v>0</v>
      </c>
      <c r="AU578" s="177">
        <f t="shared" ca="1" si="2366"/>
        <v>0</v>
      </c>
      <c r="AV578" s="177">
        <f t="shared" ref="AV578:AW578" ca="1" si="2367">AV580+AV581</f>
        <v>0</v>
      </c>
      <c r="AW578" s="177">
        <f t="shared" ca="1" si="2367"/>
        <v>0</v>
      </c>
      <c r="AX578" s="177">
        <f t="shared" ref="AX578:AY578" ca="1" si="2368">AX580+AX581</f>
        <v>0</v>
      </c>
      <c r="AY578" s="177">
        <f t="shared" ca="1" si="2368"/>
        <v>0</v>
      </c>
      <c r="AZ578" s="177">
        <f t="shared" ref="AZ578:BA578" ca="1" si="2369">AZ580+AZ581</f>
        <v>0</v>
      </c>
      <c r="BA578" s="177">
        <f t="shared" ca="1" si="2369"/>
        <v>0</v>
      </c>
      <c r="BB578" s="177">
        <f t="shared" ref="BB578" ca="1" si="2370">BB580+BB581</f>
        <v>0</v>
      </c>
    </row>
    <row r="579" spans="1:54" collapsed="1" x14ac:dyDescent="0.3">
      <c r="A579" s="175" t="str">
        <f ca="1">Language!A$813</f>
        <v>средний период предоплаты</v>
      </c>
      <c r="B579" s="295">
        <f ca="1">IF(OFFSET(G128,0,1)&gt;0,B581*Параметры!G$30/OFFSET(G128,0,1),IF(OFFSET(INDEX(G128:BC128,1,MATCH(0,G128:BC128)+1),0,1)=0,0,B581*Параметры!G$30/OFFSET(INDEX(G128:BC128,1,MATCH(0,G128:BC128)+1),0,1)))</f>
        <v>0</v>
      </c>
      <c r="C579" s="176" t="str">
        <f ca="1">Language!$A$1474</f>
        <v>дней</v>
      </c>
      <c r="G579" s="177"/>
      <c r="H579" s="177"/>
      <c r="I579" s="177"/>
      <c r="J579" s="177"/>
      <c r="K579" s="177"/>
      <c r="L579" s="177"/>
      <c r="M579" s="177"/>
      <c r="N579" s="177"/>
      <c r="O579" s="177"/>
      <c r="P579" s="177"/>
      <c r="Q579" s="177"/>
      <c r="R579" s="177"/>
      <c r="S579" s="177"/>
      <c r="T579" s="177"/>
      <c r="U579" s="177"/>
      <c r="V579" s="177"/>
      <c r="W579" s="177"/>
      <c r="X579" s="177"/>
      <c r="Y579" s="177"/>
      <c r="Z579" s="177"/>
      <c r="AA579" s="177"/>
      <c r="AB579" s="177"/>
      <c r="AC579" s="177"/>
      <c r="AD579" s="177"/>
      <c r="AE579" s="177"/>
      <c r="AF579" s="177"/>
      <c r="AG579" s="177"/>
      <c r="AH579" s="177"/>
      <c r="AI579" s="177"/>
      <c r="AJ579" s="177"/>
      <c r="AK579" s="177"/>
      <c r="AL579" s="177"/>
      <c r="AM579" s="177"/>
      <c r="AN579" s="177"/>
      <c r="AO579" s="177"/>
      <c r="AP579" s="177"/>
      <c r="AQ579" s="177"/>
      <c r="AR579" s="177"/>
      <c r="AS579" s="177"/>
      <c r="AT579" s="177"/>
      <c r="AU579" s="177"/>
      <c r="AV579" s="177"/>
      <c r="AW579" s="177"/>
      <c r="AX579" s="177"/>
      <c r="AY579" s="177"/>
      <c r="AZ579" s="177"/>
      <c r="BA579" s="177"/>
      <c r="BB579" s="177"/>
    </row>
    <row r="580" spans="1:54" hidden="1" outlineLevel="1" x14ac:dyDescent="0.3">
      <c r="A580" s="184" t="str">
        <f ca="1">Language!A$814</f>
        <v>величина из плана продаж</v>
      </c>
      <c r="B580" s="184"/>
      <c r="C580" s="174" t="str">
        <f ca="1">CurName1</f>
        <v>руб.</v>
      </c>
      <c r="F580" s="170" t="s">
        <v>741</v>
      </c>
      <c r="G580" s="185">
        <f t="shared" ref="G580:BB580" ca="1" si="2371">G134-G135</f>
        <v>0</v>
      </c>
      <c r="H580" s="185">
        <f t="shared" ca="1" si="2371"/>
        <v>0</v>
      </c>
      <c r="I580" s="185">
        <f t="shared" ca="1" si="2371"/>
        <v>0</v>
      </c>
      <c r="J580" s="185">
        <f t="shared" ca="1" si="2371"/>
        <v>0</v>
      </c>
      <c r="K580" s="185">
        <f t="shared" ca="1" si="2371"/>
        <v>0</v>
      </c>
      <c r="L580" s="185">
        <f t="shared" ca="1" si="2371"/>
        <v>0</v>
      </c>
      <c r="M580" s="185">
        <f t="shared" ca="1" si="2371"/>
        <v>0</v>
      </c>
      <c r="N580" s="185">
        <f t="shared" ca="1" si="2371"/>
        <v>0</v>
      </c>
      <c r="O580" s="185">
        <f t="shared" ca="1" si="2371"/>
        <v>0</v>
      </c>
      <c r="P580" s="185">
        <f t="shared" ca="1" si="2371"/>
        <v>0</v>
      </c>
      <c r="Q580" s="185">
        <f t="shared" ca="1" si="2371"/>
        <v>0</v>
      </c>
      <c r="R580" s="185">
        <f t="shared" ca="1" si="2371"/>
        <v>0</v>
      </c>
      <c r="S580" s="185">
        <f t="shared" ca="1" si="2371"/>
        <v>0</v>
      </c>
      <c r="T580" s="185">
        <f t="shared" ca="1" si="2371"/>
        <v>0</v>
      </c>
      <c r="U580" s="185">
        <f t="shared" ca="1" si="2371"/>
        <v>0</v>
      </c>
      <c r="V580" s="185">
        <f t="shared" ca="1" si="2371"/>
        <v>0</v>
      </c>
      <c r="W580" s="185">
        <f t="shared" ca="1" si="2371"/>
        <v>0</v>
      </c>
      <c r="X580" s="185">
        <f t="shared" ca="1" si="2371"/>
        <v>0</v>
      </c>
      <c r="Y580" s="185">
        <f t="shared" ca="1" si="2371"/>
        <v>0</v>
      </c>
      <c r="Z580" s="185">
        <f t="shared" ca="1" si="2371"/>
        <v>0</v>
      </c>
      <c r="AA580" s="185">
        <f t="shared" ca="1" si="2371"/>
        <v>0</v>
      </c>
      <c r="AB580" s="185">
        <f t="shared" ca="1" si="2371"/>
        <v>0</v>
      </c>
      <c r="AC580" s="185">
        <f t="shared" ca="1" si="2371"/>
        <v>0</v>
      </c>
      <c r="AD580" s="185">
        <f t="shared" ca="1" si="2371"/>
        <v>0</v>
      </c>
      <c r="AE580" s="185">
        <f t="shared" ca="1" si="2371"/>
        <v>0</v>
      </c>
      <c r="AF580" s="185">
        <f t="shared" ca="1" si="2371"/>
        <v>0</v>
      </c>
      <c r="AG580" s="185">
        <f t="shared" ca="1" si="2371"/>
        <v>0</v>
      </c>
      <c r="AH580" s="185">
        <f t="shared" ca="1" si="2371"/>
        <v>0</v>
      </c>
      <c r="AI580" s="185">
        <f t="shared" ca="1" si="2371"/>
        <v>0</v>
      </c>
      <c r="AJ580" s="185">
        <f t="shared" ca="1" si="2371"/>
        <v>0</v>
      </c>
      <c r="AK580" s="185">
        <f t="shared" ca="1" si="2371"/>
        <v>0</v>
      </c>
      <c r="AL580" s="185">
        <f t="shared" ca="1" si="2371"/>
        <v>0</v>
      </c>
      <c r="AM580" s="185">
        <f t="shared" ca="1" si="2371"/>
        <v>0</v>
      </c>
      <c r="AN580" s="185">
        <f t="shared" ca="1" si="2371"/>
        <v>0</v>
      </c>
      <c r="AO580" s="185">
        <f t="shared" ca="1" si="2371"/>
        <v>0</v>
      </c>
      <c r="AP580" s="185">
        <f t="shared" ca="1" si="2371"/>
        <v>0</v>
      </c>
      <c r="AQ580" s="185">
        <f t="shared" ca="1" si="2371"/>
        <v>0</v>
      </c>
      <c r="AR580" s="185">
        <f t="shared" ca="1" si="2371"/>
        <v>0</v>
      </c>
      <c r="AS580" s="185">
        <f t="shared" ca="1" si="2371"/>
        <v>0</v>
      </c>
      <c r="AT580" s="185">
        <f t="shared" ca="1" si="2371"/>
        <v>0</v>
      </c>
      <c r="AU580" s="185">
        <f t="shared" ca="1" si="2371"/>
        <v>0</v>
      </c>
      <c r="AV580" s="185">
        <f t="shared" ca="1" si="2371"/>
        <v>0</v>
      </c>
      <c r="AW580" s="185">
        <f t="shared" ca="1" si="2371"/>
        <v>0</v>
      </c>
      <c r="AX580" s="185">
        <f t="shared" ca="1" si="2371"/>
        <v>0</v>
      </c>
      <c r="AY580" s="185">
        <f t="shared" ca="1" si="2371"/>
        <v>0</v>
      </c>
      <c r="AZ580" s="185">
        <f t="shared" ca="1" si="2371"/>
        <v>0</v>
      </c>
      <c r="BA580" s="185">
        <f t="shared" ca="1" si="2371"/>
        <v>0</v>
      </c>
      <c r="BB580" s="185">
        <f t="shared" ca="1" si="2371"/>
        <v>0</v>
      </c>
    </row>
    <row r="581" spans="1:54" hidden="1" outlineLevel="1" x14ac:dyDescent="0.3">
      <c r="A581" s="184" t="str">
        <f ca="1">Language!A$815</f>
        <v>величина из стартового баланса</v>
      </c>
      <c r="B581" s="212">
        <f>Старт!B32</f>
        <v>0</v>
      </c>
      <c r="C581" s="174" t="str">
        <f ca="1">CurName1</f>
        <v>руб.</v>
      </c>
      <c r="F581" s="170" t="s">
        <v>2350</v>
      </c>
      <c r="G581" s="287">
        <f ca="1">IF(SUM($G580:G580)=0,$B581,0)</f>
        <v>0</v>
      </c>
      <c r="H581" s="287">
        <f ca="1">IF(SUM($G580:H580)=0,$B581,0)</f>
        <v>0</v>
      </c>
      <c r="I581" s="287">
        <f ca="1">IF(SUM($G580:I580)=0,$B581,0)</f>
        <v>0</v>
      </c>
      <c r="J581" s="287">
        <f ca="1">IF(SUM($G580:J580)=0,$B581,0)</f>
        <v>0</v>
      </c>
      <c r="K581" s="287">
        <f ca="1">IF(SUM($G580:K580)=0,$B581,0)</f>
        <v>0</v>
      </c>
      <c r="L581" s="287">
        <f ca="1">IF(SUM($G580:L580)=0,$B581,0)</f>
        <v>0</v>
      </c>
      <c r="M581" s="287">
        <f ca="1">IF(SUM($G580:M580)=0,$B581,0)</f>
        <v>0</v>
      </c>
      <c r="N581" s="287">
        <f ca="1">IF(SUM($G580:N580)=0,$B581,0)</f>
        <v>0</v>
      </c>
      <c r="O581" s="287">
        <f ca="1">IF(SUM($G580:O580)=0,$B581,0)</f>
        <v>0</v>
      </c>
      <c r="P581" s="287">
        <f ca="1">IF(SUM($G580:P580)=0,$B581,0)</f>
        <v>0</v>
      </c>
      <c r="Q581" s="287">
        <f ca="1">IF(SUM($G580:Q580)=0,$B581,0)</f>
        <v>0</v>
      </c>
      <c r="R581" s="287">
        <f ca="1">IF(SUM($G580:R580)=0,$B581,0)</f>
        <v>0</v>
      </c>
      <c r="S581" s="287">
        <f ca="1">IF(SUM($G580:S580)=0,$B581,0)</f>
        <v>0</v>
      </c>
      <c r="T581" s="287">
        <f ca="1">IF(SUM($G580:T580)=0,$B581,0)</f>
        <v>0</v>
      </c>
      <c r="U581" s="287">
        <f ca="1">IF(SUM($G580:U580)=0,$B581,0)</f>
        <v>0</v>
      </c>
      <c r="V581" s="287">
        <f ca="1">IF(SUM($G580:V580)=0,$B581,0)</f>
        <v>0</v>
      </c>
      <c r="W581" s="287">
        <f ca="1">IF(SUM($G580:W580)=0,$B581,0)</f>
        <v>0</v>
      </c>
      <c r="X581" s="287">
        <f ca="1">IF(SUM($G580:X580)=0,$B581,0)</f>
        <v>0</v>
      </c>
      <c r="Y581" s="287">
        <f ca="1">IF(SUM($G580:Y580)=0,$B581,0)</f>
        <v>0</v>
      </c>
      <c r="Z581" s="287">
        <f ca="1">IF(SUM($G580:Z580)=0,$B581,0)</f>
        <v>0</v>
      </c>
      <c r="AA581" s="287">
        <f ca="1">IF(SUM($G580:AA580)=0,$B581,0)</f>
        <v>0</v>
      </c>
      <c r="AB581" s="287">
        <f ca="1">IF(SUM($G580:AB580)=0,$B581,0)</f>
        <v>0</v>
      </c>
      <c r="AC581" s="287">
        <f ca="1">IF(SUM($G580:AC580)=0,$B581,0)</f>
        <v>0</v>
      </c>
      <c r="AD581" s="287">
        <f ca="1">IF(SUM($G580:AD580)=0,$B581,0)</f>
        <v>0</v>
      </c>
      <c r="AE581" s="287">
        <f ca="1">IF(SUM($G580:AE580)=0,$B581,0)</f>
        <v>0</v>
      </c>
      <c r="AF581" s="287">
        <f ca="1">IF(SUM($G580:AF580)=0,$B581,0)</f>
        <v>0</v>
      </c>
      <c r="AG581" s="287">
        <f ca="1">IF(SUM($G580:AG580)=0,$B581,0)</f>
        <v>0</v>
      </c>
      <c r="AH581" s="287">
        <f ca="1">IF(SUM($G580:AH580)=0,$B581,0)</f>
        <v>0</v>
      </c>
      <c r="AI581" s="287">
        <f ca="1">IF(SUM($G580:AI580)=0,$B581,0)</f>
        <v>0</v>
      </c>
      <c r="AJ581" s="287">
        <f ca="1">IF(SUM($G580:AJ580)=0,$B581,0)</f>
        <v>0</v>
      </c>
      <c r="AK581" s="287">
        <f ca="1">IF(SUM($G580:AK580)=0,$B581,0)</f>
        <v>0</v>
      </c>
      <c r="AL581" s="287">
        <f ca="1">IF(SUM($G580:AL580)=0,$B581,0)</f>
        <v>0</v>
      </c>
      <c r="AM581" s="287">
        <f ca="1">IF(SUM($G580:AM580)=0,$B581,0)</f>
        <v>0</v>
      </c>
      <c r="AN581" s="287">
        <f ca="1">IF(SUM($G580:AN580)=0,$B581,0)</f>
        <v>0</v>
      </c>
      <c r="AO581" s="287">
        <f ca="1">IF(SUM($G580:AO580)=0,$B581,0)</f>
        <v>0</v>
      </c>
      <c r="AP581" s="287">
        <f ca="1">IF(SUM($G580:AP580)=0,$B581,0)</f>
        <v>0</v>
      </c>
      <c r="AQ581" s="287">
        <f ca="1">IF(SUM($G580:AQ580)=0,$B581,0)</f>
        <v>0</v>
      </c>
      <c r="AR581" s="287">
        <f ca="1">IF(SUM($G580:AR580)=0,$B581,0)</f>
        <v>0</v>
      </c>
      <c r="AS581" s="287">
        <f ca="1">IF(SUM($G580:AS580)=0,$B581,0)</f>
        <v>0</v>
      </c>
      <c r="AT581" s="287">
        <f ca="1">IF(SUM($G580:AT580)=0,$B581,0)</f>
        <v>0</v>
      </c>
      <c r="AU581" s="287">
        <f ca="1">IF(SUM($G580:AU580)=0,$B581,0)</f>
        <v>0</v>
      </c>
      <c r="AV581" s="287">
        <f ca="1">IF(SUM($G580:AV580)=0,$B581,0)</f>
        <v>0</v>
      </c>
      <c r="AW581" s="287">
        <f ca="1">IF(SUM($G580:AW580)=0,$B581,0)</f>
        <v>0</v>
      </c>
      <c r="AX581" s="287">
        <f ca="1">IF(SUM($G580:AX580)=0,$B581,0)</f>
        <v>0</v>
      </c>
      <c r="AY581" s="287">
        <f ca="1">IF(SUM($G580:AY580)=0,$B581,0)</f>
        <v>0</v>
      </c>
      <c r="AZ581" s="287">
        <f ca="1">IF(SUM($G580:AZ580)=0,$B581,0)</f>
        <v>0</v>
      </c>
      <c r="BA581" s="287">
        <f ca="1">IF(SUM($G580:BA580)=0,$B581,0)</f>
        <v>0</v>
      </c>
      <c r="BB581" s="287">
        <f ca="1">IF(SUM($G580:BB580)=0,$B581,0)</f>
        <v>0</v>
      </c>
    </row>
    <row r="582" spans="1:54" hidden="1" outlineLevel="1" x14ac:dyDescent="0.3">
      <c r="A582" s="184" t="str">
        <f ca="1">Language!A$816</f>
        <v>влияние стартового баланса на денежные средства</v>
      </c>
      <c r="B582" s="184"/>
      <c r="C582" s="174" t="str">
        <f ca="1">CurName1</f>
        <v>руб.</v>
      </c>
      <c r="F582" s="170" t="s">
        <v>740</v>
      </c>
      <c r="G582" s="185">
        <f ca="1">IF(G$2=1,G581-$B581,G581-F581)</f>
        <v>0</v>
      </c>
      <c r="H582" s="185">
        <f t="shared" ref="H582:BB582" ca="1" si="2372">IF(H$2=1,H581-$B581,H581-G581)</f>
        <v>0</v>
      </c>
      <c r="I582" s="185">
        <f t="shared" ca="1" si="2372"/>
        <v>0</v>
      </c>
      <c r="J582" s="185">
        <f t="shared" ca="1" si="2372"/>
        <v>0</v>
      </c>
      <c r="K582" s="185">
        <f t="shared" ca="1" si="2372"/>
        <v>0</v>
      </c>
      <c r="L582" s="185">
        <f t="shared" ca="1" si="2372"/>
        <v>0</v>
      </c>
      <c r="M582" s="185">
        <f t="shared" ca="1" si="2372"/>
        <v>0</v>
      </c>
      <c r="N582" s="185">
        <f t="shared" ca="1" si="2372"/>
        <v>0</v>
      </c>
      <c r="O582" s="185">
        <f t="shared" ca="1" si="2372"/>
        <v>0</v>
      </c>
      <c r="P582" s="185">
        <f t="shared" ca="1" si="2372"/>
        <v>0</v>
      </c>
      <c r="Q582" s="185">
        <f t="shared" ca="1" si="2372"/>
        <v>0</v>
      </c>
      <c r="R582" s="185">
        <f t="shared" ca="1" si="2372"/>
        <v>0</v>
      </c>
      <c r="S582" s="185">
        <f t="shared" ca="1" si="2372"/>
        <v>0</v>
      </c>
      <c r="T582" s="185">
        <f t="shared" ca="1" si="2372"/>
        <v>0</v>
      </c>
      <c r="U582" s="185">
        <f t="shared" ca="1" si="2372"/>
        <v>0</v>
      </c>
      <c r="V582" s="185">
        <f t="shared" ca="1" si="2372"/>
        <v>0</v>
      </c>
      <c r="W582" s="185">
        <f t="shared" ca="1" si="2372"/>
        <v>0</v>
      </c>
      <c r="X582" s="185">
        <f t="shared" ca="1" si="2372"/>
        <v>0</v>
      </c>
      <c r="Y582" s="185">
        <f t="shared" ca="1" si="2372"/>
        <v>0</v>
      </c>
      <c r="Z582" s="185">
        <f t="shared" ca="1" si="2372"/>
        <v>0</v>
      </c>
      <c r="AA582" s="185">
        <f t="shared" ca="1" si="2372"/>
        <v>0</v>
      </c>
      <c r="AB582" s="185">
        <f t="shared" ca="1" si="2372"/>
        <v>0</v>
      </c>
      <c r="AC582" s="185">
        <f t="shared" ca="1" si="2372"/>
        <v>0</v>
      </c>
      <c r="AD582" s="185">
        <f t="shared" ca="1" si="2372"/>
        <v>0</v>
      </c>
      <c r="AE582" s="185">
        <f t="shared" ca="1" si="2372"/>
        <v>0</v>
      </c>
      <c r="AF582" s="185">
        <f t="shared" ca="1" si="2372"/>
        <v>0</v>
      </c>
      <c r="AG582" s="185">
        <f t="shared" ca="1" si="2372"/>
        <v>0</v>
      </c>
      <c r="AH582" s="185">
        <f t="shared" ca="1" si="2372"/>
        <v>0</v>
      </c>
      <c r="AI582" s="185">
        <f t="shared" ca="1" si="2372"/>
        <v>0</v>
      </c>
      <c r="AJ582" s="185">
        <f t="shared" ca="1" si="2372"/>
        <v>0</v>
      </c>
      <c r="AK582" s="185">
        <f t="shared" ca="1" si="2372"/>
        <v>0</v>
      </c>
      <c r="AL582" s="185">
        <f t="shared" ca="1" si="2372"/>
        <v>0</v>
      </c>
      <c r="AM582" s="185">
        <f t="shared" ca="1" si="2372"/>
        <v>0</v>
      </c>
      <c r="AN582" s="185">
        <f t="shared" ca="1" si="2372"/>
        <v>0</v>
      </c>
      <c r="AO582" s="185">
        <f t="shared" ca="1" si="2372"/>
        <v>0</v>
      </c>
      <c r="AP582" s="185">
        <f t="shared" ca="1" si="2372"/>
        <v>0</v>
      </c>
      <c r="AQ582" s="185">
        <f t="shared" ca="1" si="2372"/>
        <v>0</v>
      </c>
      <c r="AR582" s="185">
        <f t="shared" ca="1" si="2372"/>
        <v>0</v>
      </c>
      <c r="AS582" s="185">
        <f t="shared" ca="1" si="2372"/>
        <v>0</v>
      </c>
      <c r="AT582" s="185">
        <f t="shared" ca="1" si="2372"/>
        <v>0</v>
      </c>
      <c r="AU582" s="185">
        <f t="shared" ca="1" si="2372"/>
        <v>0</v>
      </c>
      <c r="AV582" s="185">
        <f t="shared" ca="1" si="2372"/>
        <v>0</v>
      </c>
      <c r="AW582" s="185">
        <f t="shared" ca="1" si="2372"/>
        <v>0</v>
      </c>
      <c r="AX582" s="185">
        <f t="shared" ca="1" si="2372"/>
        <v>0</v>
      </c>
      <c r="AY582" s="185">
        <f t="shared" ca="1" si="2372"/>
        <v>0</v>
      </c>
      <c r="AZ582" s="185">
        <f t="shared" ca="1" si="2372"/>
        <v>0</v>
      </c>
      <c r="BA582" s="185">
        <f t="shared" ca="1" si="2372"/>
        <v>0</v>
      </c>
      <c r="BB582" s="185">
        <f t="shared" ca="1" si="2372"/>
        <v>0</v>
      </c>
    </row>
    <row r="583" spans="1:54" x14ac:dyDescent="0.3">
      <c r="A583" s="214"/>
      <c r="G583" s="177"/>
      <c r="H583" s="177"/>
      <c r="I583" s="177"/>
      <c r="J583" s="177"/>
      <c r="K583" s="177"/>
      <c r="L583" s="177"/>
      <c r="M583" s="177"/>
      <c r="N583" s="177"/>
      <c r="O583" s="177"/>
      <c r="P583" s="177"/>
      <c r="Q583" s="177"/>
      <c r="R583" s="177"/>
      <c r="S583" s="177"/>
      <c r="T583" s="177"/>
      <c r="U583" s="177"/>
      <c r="V583" s="177"/>
      <c r="W583" s="177"/>
      <c r="X583" s="177"/>
      <c r="Y583" s="177"/>
      <c r="Z583" s="177"/>
      <c r="AA583" s="177"/>
      <c r="AB583" s="177"/>
      <c r="AC583" s="177"/>
      <c r="AD583" s="177"/>
      <c r="AE583" s="177"/>
      <c r="AF583" s="177"/>
      <c r="AG583" s="177"/>
      <c r="AH583" s="177"/>
      <c r="AI583" s="177"/>
      <c r="AJ583" s="177"/>
      <c r="AK583" s="177"/>
      <c r="AL583" s="177"/>
      <c r="AM583" s="177"/>
      <c r="AN583" s="177"/>
      <c r="AO583" s="177"/>
      <c r="AP583" s="177"/>
      <c r="AQ583" s="177"/>
      <c r="AR583" s="177"/>
      <c r="AS583" s="177"/>
      <c r="AT583" s="177"/>
      <c r="AU583" s="177"/>
      <c r="AV583" s="177"/>
      <c r="AW583" s="177"/>
      <c r="AX583" s="177"/>
      <c r="AY583" s="177"/>
      <c r="AZ583" s="177"/>
      <c r="BA583" s="177"/>
      <c r="BB583" s="177"/>
    </row>
    <row r="584" spans="1:54" x14ac:dyDescent="0.3">
      <c r="A584" s="214" t="str">
        <f ca="1">Language!A$817</f>
        <v>Запасы материалов и комплектующих</v>
      </c>
      <c r="C584" s="176" t="str">
        <f ca="1">CurName1</f>
        <v>руб.</v>
      </c>
      <c r="F584" s="170" t="s">
        <v>741</v>
      </c>
      <c r="G584" s="177">
        <f ca="1">G586+G587</f>
        <v>0</v>
      </c>
      <c r="H584" s="177">
        <f t="shared" ref="H584:K584" ca="1" si="2373">H586+H587</f>
        <v>0</v>
      </c>
      <c r="I584" s="177">
        <f t="shared" ca="1" si="2373"/>
        <v>0</v>
      </c>
      <c r="J584" s="177">
        <f t="shared" ca="1" si="2373"/>
        <v>0</v>
      </c>
      <c r="K584" s="177">
        <f t="shared" ca="1" si="2373"/>
        <v>0</v>
      </c>
      <c r="L584" s="177">
        <f t="shared" ref="L584:M584" ca="1" si="2374">L586+L587</f>
        <v>0</v>
      </c>
      <c r="M584" s="177">
        <f t="shared" ca="1" si="2374"/>
        <v>607801.61104531935</v>
      </c>
      <c r="N584" s="177">
        <f t="shared" ref="N584:O584" ca="1" si="2375">N586+N587</f>
        <v>816860.3728926063</v>
      </c>
      <c r="O584" s="177">
        <f t="shared" ca="1" si="2375"/>
        <v>1029218.2033643425</v>
      </c>
      <c r="P584" s="177">
        <f t="shared" ref="P584:Q584" ca="1" si="2376">P586+P587</f>
        <v>1244917.8438675725</v>
      </c>
      <c r="Q584" s="177">
        <f t="shared" ca="1" si="2376"/>
        <v>1254859.3337527823</v>
      </c>
      <c r="R584" s="177">
        <f t="shared" ref="R584:S584" ca="1" si="2377">R586+R587</f>
        <v>1264887.0959258261</v>
      </c>
      <c r="S584" s="177">
        <f t="shared" ca="1" si="2377"/>
        <v>1700002.560000001</v>
      </c>
      <c r="T584" s="177">
        <f t="shared" ref="T584:U584" ca="1" si="2378">T586+T587</f>
        <v>1499405.3702129857</v>
      </c>
      <c r="U584" s="177">
        <f t="shared" ca="1" si="2378"/>
        <v>1295495.9496319001</v>
      </c>
      <c r="V584" s="177">
        <f t="shared" ref="V584:W584" ca="1" si="2379">V586+V587</f>
        <v>1305876.7719583062</v>
      </c>
      <c r="W584" s="177">
        <f t="shared" ca="1" si="2379"/>
        <v>1096956.5748901963</v>
      </c>
      <c r="X584" s="177">
        <f t="shared" ref="X584:Y584" ca="1" si="2380">X586+X587</f>
        <v>1769213.5079362374</v>
      </c>
      <c r="Y584" s="177">
        <f t="shared" ca="1" si="2380"/>
        <v>2229273.884360129</v>
      </c>
      <c r="Z584" s="177">
        <f t="shared" ref="Z584:AA584" ca="1" si="2381">Z586+Z587</f>
        <v>2247185.5535938889</v>
      </c>
      <c r="AA584" s="177">
        <f t="shared" ca="1" si="2381"/>
        <v>1585677.3179747805</v>
      </c>
      <c r="AB584" s="177">
        <f t="shared" ref="AB584:AC584" ca="1" si="2382">AB586+AB587</f>
        <v>1141739.2949657273</v>
      </c>
      <c r="AC584" s="177">
        <f t="shared" ca="1" si="2382"/>
        <v>1150931.4174595242</v>
      </c>
      <c r="AD584" s="177">
        <f t="shared" ref="AD584:AE584" ca="1" si="2383">AD586+AD587</f>
        <v>1392244.5034360322</v>
      </c>
      <c r="AE584" s="177">
        <f t="shared" ca="1" si="2383"/>
        <v>1871291.260416002</v>
      </c>
      <c r="AF584" s="177">
        <f t="shared" ref="AF584:AG584" ca="1" si="2384">AF586+AF587</f>
        <v>1650588.8219736987</v>
      </c>
      <c r="AG584" s="177">
        <f t="shared" ca="1" si="2384"/>
        <v>1426211.3246952614</v>
      </c>
      <c r="AH584" s="177">
        <f t="shared" ref="AH584:AI584" ca="1" si="2385">AH586+AH587</f>
        <v>1437732.0721026054</v>
      </c>
      <c r="AI584" s="177">
        <f t="shared" ca="1" si="2385"/>
        <v>1207794.6490535154</v>
      </c>
      <c r="AJ584" s="177">
        <f t="shared" ref="AJ584:AK584" ca="1" si="2386">AJ586+AJ587</f>
        <v>1948102.3619589927</v>
      </c>
      <c r="AK584" s="177">
        <f t="shared" ca="1" si="2386"/>
        <v>2454837.6419529389</v>
      </c>
      <c r="AL584" s="177">
        <f t="shared" ref="AL584:AM584" ca="1" si="2387">AL586+AL587</f>
        <v>2474719.9401249667</v>
      </c>
      <c r="AM584" s="177">
        <f t="shared" ca="1" si="2387"/>
        <v>1746343.5047522706</v>
      </c>
      <c r="AN584" s="177">
        <f t="shared" ref="AN584:AO584" ca="1" si="2388">AN586+AN587</f>
        <v>1257504.3655440114</v>
      </c>
      <c r="AO584" s="177">
        <f t="shared" ca="1" si="2388"/>
        <v>1267709.2229571973</v>
      </c>
      <c r="AP584" s="177">
        <f t="shared" ref="AP584:AQ584" ca="1" si="2389">AP586+AP587</f>
        <v>1533604.3282617261</v>
      </c>
      <c r="AQ584" s="177">
        <f t="shared" ca="1" si="2389"/>
        <v>2061421.3472434208</v>
      </c>
      <c r="AR584" s="177">
        <f t="shared" ref="AR584:AS584" ca="1" si="2390">AR586+AR587</f>
        <v>1818409.9652521801</v>
      </c>
      <c r="AS584" s="177">
        <f t="shared" ca="1" si="2390"/>
        <v>1571318.644657786</v>
      </c>
      <c r="AT584" s="177">
        <f t="shared" ref="AT584:AU584" ca="1" si="2391">AT586+AT587</f>
        <v>1584111.6232125545</v>
      </c>
      <c r="AU584" s="177">
        <f t="shared" ca="1" si="2391"/>
        <v>1330847.5636738343</v>
      </c>
      <c r="AV584" s="177">
        <f t="shared" ref="AV584:AW584" ca="1" si="2392">AV586+AV587</f>
        <v>2146714.7222054712</v>
      </c>
      <c r="AW584" s="177">
        <f t="shared" ca="1" si="2392"/>
        <v>2705282.6103133727</v>
      </c>
      <c r="AX584" s="177">
        <f t="shared" ref="AX584:AY584" ca="1" si="2393">AX586+AX587</f>
        <v>2727364.5119576976</v>
      </c>
      <c r="AY584" s="177">
        <f t="shared" ca="1" si="2393"/>
        <v>1924748.6204320067</v>
      </c>
      <c r="AZ584" s="177">
        <f t="shared" ref="AZ584:BA584" ca="1" si="2394">AZ586+AZ587</f>
        <v>1386056.7644690028</v>
      </c>
      <c r="BA584" s="177">
        <f t="shared" ca="1" si="2394"/>
        <v>1397392.1261523631</v>
      </c>
      <c r="BB584" s="177">
        <f t="shared" ref="BB584" ca="1" si="2395">BB586+BB587</f>
        <v>1690592.9316879357</v>
      </c>
    </row>
    <row r="585" spans="1:54" x14ac:dyDescent="0.3">
      <c r="A585" s="175" t="str">
        <f ca="1">Language!A$636</f>
        <v>средняя оборачиваемость запасов</v>
      </c>
      <c r="B585" s="295">
        <v>15</v>
      </c>
      <c r="C585" s="176" t="str">
        <f ca="1">Language!$A$1474</f>
        <v>дней</v>
      </c>
      <c r="G585" s="177"/>
      <c r="H585" s="177"/>
      <c r="I585" s="177"/>
      <c r="J585" s="177"/>
      <c r="K585" s="177"/>
      <c r="L585" s="177"/>
      <c r="M585" s="177"/>
      <c r="N585" s="177"/>
      <c r="O585" s="177"/>
      <c r="P585" s="177"/>
      <c r="Q585" s="177"/>
      <c r="R585" s="177"/>
      <c r="S585" s="177"/>
      <c r="T585" s="177"/>
      <c r="U585" s="177"/>
      <c r="V585" s="177"/>
      <c r="W585" s="177"/>
      <c r="X585" s="177"/>
      <c r="Y585" s="177"/>
      <c r="Z585" s="177"/>
      <c r="AA585" s="177"/>
      <c r="AB585" s="177"/>
      <c r="AC585" s="177"/>
      <c r="AD585" s="177"/>
      <c r="AE585" s="177"/>
      <c r="AF585" s="177"/>
      <c r="AG585" s="177"/>
      <c r="AH585" s="177"/>
      <c r="AI585" s="177"/>
      <c r="AJ585" s="177"/>
      <c r="AK585" s="177"/>
      <c r="AL585" s="177"/>
      <c r="AM585" s="177"/>
      <c r="AN585" s="177"/>
      <c r="AO585" s="177"/>
      <c r="AP585" s="177"/>
      <c r="AQ585" s="177"/>
      <c r="AR585" s="177"/>
      <c r="AS585" s="177"/>
      <c r="AT585" s="177"/>
      <c r="AU585" s="177"/>
      <c r="AV585" s="177"/>
      <c r="AW585" s="177"/>
      <c r="AX585" s="177"/>
      <c r="AY585" s="177"/>
      <c r="AZ585" s="177"/>
      <c r="BA585" s="177"/>
      <c r="BB585" s="177"/>
    </row>
    <row r="586" spans="1:54" outlineLevel="1" x14ac:dyDescent="0.3">
      <c r="A586" s="184" t="str">
        <f ca="1">Language!A$819</f>
        <v>величина из плана затрат</v>
      </c>
      <c r="B586" s="184"/>
      <c r="C586" s="174" t="str">
        <f ca="1">CurName1</f>
        <v>руб.</v>
      </c>
      <c r="F586" s="170" t="s">
        <v>741</v>
      </c>
      <c r="G586" s="185">
        <f t="shared" ref="G586:BB586" ca="1" si="2396">G275</f>
        <v>0</v>
      </c>
      <c r="H586" s="185">
        <f t="shared" ca="1" si="2396"/>
        <v>0</v>
      </c>
      <c r="I586" s="185">
        <f t="shared" ca="1" si="2396"/>
        <v>0</v>
      </c>
      <c r="J586" s="185">
        <f t="shared" ca="1" si="2396"/>
        <v>0</v>
      </c>
      <c r="K586" s="185">
        <f t="shared" ca="1" si="2396"/>
        <v>0</v>
      </c>
      <c r="L586" s="185">
        <f t="shared" ca="1" si="2396"/>
        <v>0</v>
      </c>
      <c r="M586" s="185">
        <f t="shared" ca="1" si="2396"/>
        <v>607801.61104531935</v>
      </c>
      <c r="N586" s="185">
        <f t="shared" ca="1" si="2396"/>
        <v>816860.3728926063</v>
      </c>
      <c r="O586" s="185">
        <f t="shared" ca="1" si="2396"/>
        <v>1029218.2033643425</v>
      </c>
      <c r="P586" s="185">
        <f t="shared" ca="1" si="2396"/>
        <v>1244917.8438675725</v>
      </c>
      <c r="Q586" s="185">
        <f t="shared" ca="1" si="2396"/>
        <v>1254859.3337527823</v>
      </c>
      <c r="R586" s="185">
        <f t="shared" ca="1" si="2396"/>
        <v>1264887.0959258261</v>
      </c>
      <c r="S586" s="185">
        <f t="shared" ca="1" si="2396"/>
        <v>1700002.560000001</v>
      </c>
      <c r="T586" s="185">
        <f t="shared" ca="1" si="2396"/>
        <v>1499405.3702129857</v>
      </c>
      <c r="U586" s="185">
        <f t="shared" ca="1" si="2396"/>
        <v>1295495.9496319001</v>
      </c>
      <c r="V586" s="185">
        <f t="shared" ca="1" si="2396"/>
        <v>1305876.7719583062</v>
      </c>
      <c r="W586" s="185">
        <f t="shared" ca="1" si="2396"/>
        <v>1096956.5748901963</v>
      </c>
      <c r="X586" s="185">
        <f t="shared" ca="1" si="2396"/>
        <v>1769213.5079362374</v>
      </c>
      <c r="Y586" s="185">
        <f t="shared" ca="1" si="2396"/>
        <v>2229273.884360129</v>
      </c>
      <c r="Z586" s="185">
        <f t="shared" ca="1" si="2396"/>
        <v>2247185.5535938889</v>
      </c>
      <c r="AA586" s="185">
        <f t="shared" ca="1" si="2396"/>
        <v>1585677.3179747805</v>
      </c>
      <c r="AB586" s="185">
        <f t="shared" ca="1" si="2396"/>
        <v>1141739.2949657273</v>
      </c>
      <c r="AC586" s="185">
        <f t="shared" ca="1" si="2396"/>
        <v>1150931.4174595242</v>
      </c>
      <c r="AD586" s="185">
        <f t="shared" ca="1" si="2396"/>
        <v>1392244.5034360322</v>
      </c>
      <c r="AE586" s="185">
        <f t="shared" ca="1" si="2396"/>
        <v>1871291.260416002</v>
      </c>
      <c r="AF586" s="185">
        <f t="shared" ca="1" si="2396"/>
        <v>1650588.8219736987</v>
      </c>
      <c r="AG586" s="185">
        <f t="shared" ca="1" si="2396"/>
        <v>1426211.3246952614</v>
      </c>
      <c r="AH586" s="185">
        <f t="shared" ca="1" si="2396"/>
        <v>1437732.0721026054</v>
      </c>
      <c r="AI586" s="185">
        <f t="shared" ca="1" si="2396"/>
        <v>1207794.6490535154</v>
      </c>
      <c r="AJ586" s="185">
        <f t="shared" ca="1" si="2396"/>
        <v>1948102.3619589927</v>
      </c>
      <c r="AK586" s="185">
        <f t="shared" ca="1" si="2396"/>
        <v>2454837.6419529389</v>
      </c>
      <c r="AL586" s="185">
        <f t="shared" ca="1" si="2396"/>
        <v>2474719.9401249667</v>
      </c>
      <c r="AM586" s="185">
        <f t="shared" ca="1" si="2396"/>
        <v>1746343.5047522706</v>
      </c>
      <c r="AN586" s="185">
        <f t="shared" ca="1" si="2396"/>
        <v>1257504.3655440114</v>
      </c>
      <c r="AO586" s="185">
        <f t="shared" ca="1" si="2396"/>
        <v>1267709.2229571973</v>
      </c>
      <c r="AP586" s="185">
        <f t="shared" ca="1" si="2396"/>
        <v>1533604.3282617261</v>
      </c>
      <c r="AQ586" s="185">
        <f t="shared" ca="1" si="2396"/>
        <v>2061421.3472434208</v>
      </c>
      <c r="AR586" s="185">
        <f t="shared" ca="1" si="2396"/>
        <v>1818409.9652521801</v>
      </c>
      <c r="AS586" s="185">
        <f t="shared" ca="1" si="2396"/>
        <v>1571318.644657786</v>
      </c>
      <c r="AT586" s="185">
        <f t="shared" ca="1" si="2396"/>
        <v>1584111.6232125545</v>
      </c>
      <c r="AU586" s="185">
        <f t="shared" ca="1" si="2396"/>
        <v>1330847.5636738343</v>
      </c>
      <c r="AV586" s="185">
        <f t="shared" ca="1" si="2396"/>
        <v>2146714.7222054712</v>
      </c>
      <c r="AW586" s="185">
        <f t="shared" ca="1" si="2396"/>
        <v>2705282.6103133727</v>
      </c>
      <c r="AX586" s="185">
        <f t="shared" ca="1" si="2396"/>
        <v>2727364.5119576976</v>
      </c>
      <c r="AY586" s="185">
        <f t="shared" ca="1" si="2396"/>
        <v>1924748.6204320067</v>
      </c>
      <c r="AZ586" s="185">
        <f t="shared" ca="1" si="2396"/>
        <v>1386056.7644690028</v>
      </c>
      <c r="BA586" s="185">
        <f t="shared" ca="1" si="2396"/>
        <v>1397392.1261523631</v>
      </c>
      <c r="BB586" s="185">
        <f t="shared" ca="1" si="2396"/>
        <v>1690592.9316879357</v>
      </c>
    </row>
    <row r="587" spans="1:54" outlineLevel="1" x14ac:dyDescent="0.3">
      <c r="A587" s="184" t="str">
        <f ca="1">Language!A$820</f>
        <v>величина из стартового баланса</v>
      </c>
      <c r="B587" s="212">
        <f>Старт!B11</f>
        <v>0</v>
      </c>
      <c r="C587" s="174" t="str">
        <f ca="1">CurName1</f>
        <v>руб.</v>
      </c>
      <c r="F587" s="170" t="s">
        <v>2350</v>
      </c>
      <c r="G587" s="287">
        <f ca="1">IF(SUM($G586:G586)=0,$B587,0)</f>
        <v>0</v>
      </c>
      <c r="H587" s="287">
        <f ca="1">IF(SUM($G586:H586)=0,$B587,0)</f>
        <v>0</v>
      </c>
      <c r="I587" s="287">
        <f ca="1">IF(SUM($G586:I586)=0,$B587,0)</f>
        <v>0</v>
      </c>
      <c r="J587" s="287">
        <f ca="1">IF(SUM($G586:J586)=0,$B587,0)</f>
        <v>0</v>
      </c>
      <c r="K587" s="287">
        <f ca="1">IF(SUM($G586:K586)=0,$B587,0)</f>
        <v>0</v>
      </c>
      <c r="L587" s="287">
        <f ca="1">IF(SUM($G586:L586)=0,$B587,0)</f>
        <v>0</v>
      </c>
      <c r="M587" s="287">
        <f ca="1">IF(SUM($G586:M586)=0,$B587,0)</f>
        <v>0</v>
      </c>
      <c r="N587" s="287">
        <f ca="1">IF(SUM($G586:N586)=0,$B587,0)</f>
        <v>0</v>
      </c>
      <c r="O587" s="287">
        <f ca="1">IF(SUM($G586:O586)=0,$B587,0)</f>
        <v>0</v>
      </c>
      <c r="P587" s="287">
        <f ca="1">IF(SUM($G586:P586)=0,$B587,0)</f>
        <v>0</v>
      </c>
      <c r="Q587" s="287">
        <f ca="1">IF(SUM($G586:Q586)=0,$B587,0)</f>
        <v>0</v>
      </c>
      <c r="R587" s="287">
        <f ca="1">IF(SUM($G586:R586)=0,$B587,0)</f>
        <v>0</v>
      </c>
      <c r="S587" s="287">
        <f ca="1">IF(SUM($G586:S586)=0,$B587,0)</f>
        <v>0</v>
      </c>
      <c r="T587" s="287">
        <f ca="1">IF(SUM($G586:T586)=0,$B587,0)</f>
        <v>0</v>
      </c>
      <c r="U587" s="287">
        <f ca="1">IF(SUM($G586:U586)=0,$B587,0)</f>
        <v>0</v>
      </c>
      <c r="V587" s="287">
        <f ca="1">IF(SUM($G586:V586)=0,$B587,0)</f>
        <v>0</v>
      </c>
      <c r="W587" s="287">
        <f ca="1">IF(SUM($G586:W586)=0,$B587,0)</f>
        <v>0</v>
      </c>
      <c r="X587" s="287">
        <f ca="1">IF(SUM($G586:X586)=0,$B587,0)</f>
        <v>0</v>
      </c>
      <c r="Y587" s="287">
        <f ca="1">IF(SUM($G586:Y586)=0,$B587,0)</f>
        <v>0</v>
      </c>
      <c r="Z587" s="287">
        <f ca="1">IF(SUM($G586:Z586)=0,$B587,0)</f>
        <v>0</v>
      </c>
      <c r="AA587" s="287">
        <f ca="1">IF(SUM($G586:AA586)=0,$B587,0)</f>
        <v>0</v>
      </c>
      <c r="AB587" s="287">
        <f ca="1">IF(SUM($G586:AB586)=0,$B587,0)</f>
        <v>0</v>
      </c>
      <c r="AC587" s="287">
        <f ca="1">IF(SUM($G586:AC586)=0,$B587,0)</f>
        <v>0</v>
      </c>
      <c r="AD587" s="287">
        <f ca="1">IF(SUM($G586:AD586)=0,$B587,0)</f>
        <v>0</v>
      </c>
      <c r="AE587" s="287">
        <f ca="1">IF(SUM($G586:AE586)=0,$B587,0)</f>
        <v>0</v>
      </c>
      <c r="AF587" s="287">
        <f ca="1">IF(SUM($G586:AF586)=0,$B587,0)</f>
        <v>0</v>
      </c>
      <c r="AG587" s="287">
        <f ca="1">IF(SUM($G586:AG586)=0,$B587,0)</f>
        <v>0</v>
      </c>
      <c r="AH587" s="287">
        <f ca="1">IF(SUM($G586:AH586)=0,$B587,0)</f>
        <v>0</v>
      </c>
      <c r="AI587" s="287">
        <f ca="1">IF(SUM($G586:AI586)=0,$B587,0)</f>
        <v>0</v>
      </c>
      <c r="AJ587" s="287">
        <f ca="1">IF(SUM($G586:AJ586)=0,$B587,0)</f>
        <v>0</v>
      </c>
      <c r="AK587" s="287">
        <f ca="1">IF(SUM($G586:AK586)=0,$B587,0)</f>
        <v>0</v>
      </c>
      <c r="AL587" s="287">
        <f ca="1">IF(SUM($G586:AL586)=0,$B587,0)</f>
        <v>0</v>
      </c>
      <c r="AM587" s="287">
        <f ca="1">IF(SUM($G586:AM586)=0,$B587,0)</f>
        <v>0</v>
      </c>
      <c r="AN587" s="287">
        <f ca="1">IF(SUM($G586:AN586)=0,$B587,0)</f>
        <v>0</v>
      </c>
      <c r="AO587" s="287">
        <f ca="1">IF(SUM($G586:AO586)=0,$B587,0)</f>
        <v>0</v>
      </c>
      <c r="AP587" s="287">
        <f ca="1">IF(SUM($G586:AP586)=0,$B587,0)</f>
        <v>0</v>
      </c>
      <c r="AQ587" s="287">
        <f ca="1">IF(SUM($G586:AQ586)=0,$B587,0)</f>
        <v>0</v>
      </c>
      <c r="AR587" s="287">
        <f ca="1">IF(SUM($G586:AR586)=0,$B587,0)</f>
        <v>0</v>
      </c>
      <c r="AS587" s="287">
        <f ca="1">IF(SUM($G586:AS586)=0,$B587,0)</f>
        <v>0</v>
      </c>
      <c r="AT587" s="287">
        <f ca="1">IF(SUM($G586:AT586)=0,$B587,0)</f>
        <v>0</v>
      </c>
      <c r="AU587" s="287">
        <f ca="1">IF(SUM($G586:AU586)=0,$B587,0)</f>
        <v>0</v>
      </c>
      <c r="AV587" s="287">
        <f ca="1">IF(SUM($G586:AV586)=0,$B587,0)</f>
        <v>0</v>
      </c>
      <c r="AW587" s="287">
        <f ca="1">IF(SUM($G586:AW586)=0,$B587,0)</f>
        <v>0</v>
      </c>
      <c r="AX587" s="287">
        <f ca="1">IF(SUM($G586:AX586)=0,$B587,0)</f>
        <v>0</v>
      </c>
      <c r="AY587" s="287">
        <f ca="1">IF(SUM($G586:AY586)=0,$B587,0)</f>
        <v>0</v>
      </c>
      <c r="AZ587" s="287">
        <f ca="1">IF(SUM($G586:AZ586)=0,$B587,0)</f>
        <v>0</v>
      </c>
      <c r="BA587" s="287">
        <f ca="1">IF(SUM($G586:BA586)=0,$B587,0)</f>
        <v>0</v>
      </c>
      <c r="BB587" s="287">
        <f ca="1">IF(SUM($G586:BB586)=0,$B587,0)</f>
        <v>0</v>
      </c>
    </row>
    <row r="588" spans="1:54" outlineLevel="1" x14ac:dyDescent="0.3">
      <c r="A588" s="184" t="str">
        <f ca="1">Language!A$821</f>
        <v>влияние стартового баланса на денежные средства</v>
      </c>
      <c r="B588" s="184"/>
      <c r="C588" s="174" t="str">
        <f ca="1">CurName1</f>
        <v>руб.</v>
      </c>
      <c r="F588" s="170" t="s">
        <v>740</v>
      </c>
      <c r="G588" s="185">
        <f ca="1">IF(G$2=1,$B587-G587,F587-G587)</f>
        <v>0</v>
      </c>
      <c r="H588" s="185">
        <f t="shared" ref="H588" ca="1" si="2397">IF(H$2=1,$B587-H587,G587-H587)</f>
        <v>0</v>
      </c>
      <c r="I588" s="185">
        <f t="shared" ref="I588" ca="1" si="2398">IF(I$2=1,$B587-I587,H587-I587)</f>
        <v>0</v>
      </c>
      <c r="J588" s="185">
        <f t="shared" ref="J588" ca="1" si="2399">IF(J$2=1,$B587-J587,I587-J587)</f>
        <v>0</v>
      </c>
      <c r="K588" s="185">
        <f t="shared" ref="K588:BB588" ca="1" si="2400">IF(K$2=1,$B587-K587,J587-K587)</f>
        <v>0</v>
      </c>
      <c r="L588" s="185">
        <f t="shared" ca="1" si="2400"/>
        <v>0</v>
      </c>
      <c r="M588" s="185">
        <f t="shared" ca="1" si="2400"/>
        <v>0</v>
      </c>
      <c r="N588" s="185">
        <f t="shared" ca="1" si="2400"/>
        <v>0</v>
      </c>
      <c r="O588" s="185">
        <f t="shared" ca="1" si="2400"/>
        <v>0</v>
      </c>
      <c r="P588" s="185">
        <f t="shared" ca="1" si="2400"/>
        <v>0</v>
      </c>
      <c r="Q588" s="185">
        <f t="shared" ca="1" si="2400"/>
        <v>0</v>
      </c>
      <c r="R588" s="185">
        <f t="shared" ca="1" si="2400"/>
        <v>0</v>
      </c>
      <c r="S588" s="185">
        <f t="shared" ca="1" si="2400"/>
        <v>0</v>
      </c>
      <c r="T588" s="185">
        <f t="shared" ca="1" si="2400"/>
        <v>0</v>
      </c>
      <c r="U588" s="185">
        <f t="shared" ca="1" si="2400"/>
        <v>0</v>
      </c>
      <c r="V588" s="185">
        <f t="shared" ca="1" si="2400"/>
        <v>0</v>
      </c>
      <c r="W588" s="185">
        <f t="shared" ca="1" si="2400"/>
        <v>0</v>
      </c>
      <c r="X588" s="185">
        <f t="shared" ca="1" si="2400"/>
        <v>0</v>
      </c>
      <c r="Y588" s="185">
        <f t="shared" ca="1" si="2400"/>
        <v>0</v>
      </c>
      <c r="Z588" s="185">
        <f t="shared" ca="1" si="2400"/>
        <v>0</v>
      </c>
      <c r="AA588" s="185">
        <f t="shared" ca="1" si="2400"/>
        <v>0</v>
      </c>
      <c r="AB588" s="185">
        <f t="shared" ca="1" si="2400"/>
        <v>0</v>
      </c>
      <c r="AC588" s="185">
        <f t="shared" ca="1" si="2400"/>
        <v>0</v>
      </c>
      <c r="AD588" s="185">
        <f t="shared" ca="1" si="2400"/>
        <v>0</v>
      </c>
      <c r="AE588" s="185">
        <f t="shared" ca="1" si="2400"/>
        <v>0</v>
      </c>
      <c r="AF588" s="185">
        <f t="shared" ca="1" si="2400"/>
        <v>0</v>
      </c>
      <c r="AG588" s="185">
        <f t="shared" ca="1" si="2400"/>
        <v>0</v>
      </c>
      <c r="AH588" s="185">
        <f t="shared" ca="1" si="2400"/>
        <v>0</v>
      </c>
      <c r="AI588" s="185">
        <f t="shared" ca="1" si="2400"/>
        <v>0</v>
      </c>
      <c r="AJ588" s="185">
        <f t="shared" ca="1" si="2400"/>
        <v>0</v>
      </c>
      <c r="AK588" s="185">
        <f t="shared" ca="1" si="2400"/>
        <v>0</v>
      </c>
      <c r="AL588" s="185">
        <f t="shared" ca="1" si="2400"/>
        <v>0</v>
      </c>
      <c r="AM588" s="185">
        <f t="shared" ca="1" si="2400"/>
        <v>0</v>
      </c>
      <c r="AN588" s="185">
        <f t="shared" ca="1" si="2400"/>
        <v>0</v>
      </c>
      <c r="AO588" s="185">
        <f t="shared" ca="1" si="2400"/>
        <v>0</v>
      </c>
      <c r="AP588" s="185">
        <f t="shared" ca="1" si="2400"/>
        <v>0</v>
      </c>
      <c r="AQ588" s="185">
        <f t="shared" ca="1" si="2400"/>
        <v>0</v>
      </c>
      <c r="AR588" s="185">
        <f t="shared" ca="1" si="2400"/>
        <v>0</v>
      </c>
      <c r="AS588" s="185">
        <f t="shared" ca="1" si="2400"/>
        <v>0</v>
      </c>
      <c r="AT588" s="185">
        <f t="shared" ca="1" si="2400"/>
        <v>0</v>
      </c>
      <c r="AU588" s="185">
        <f t="shared" ca="1" si="2400"/>
        <v>0</v>
      </c>
      <c r="AV588" s="185">
        <f t="shared" ca="1" si="2400"/>
        <v>0</v>
      </c>
      <c r="AW588" s="185">
        <f t="shared" ca="1" si="2400"/>
        <v>0</v>
      </c>
      <c r="AX588" s="185">
        <f t="shared" ca="1" si="2400"/>
        <v>0</v>
      </c>
      <c r="AY588" s="185">
        <f t="shared" ca="1" si="2400"/>
        <v>0</v>
      </c>
      <c r="AZ588" s="185">
        <f t="shared" ca="1" si="2400"/>
        <v>0</v>
      </c>
      <c r="BA588" s="185">
        <f t="shared" ca="1" si="2400"/>
        <v>0</v>
      </c>
      <c r="BB588" s="185">
        <f t="shared" ca="1" si="2400"/>
        <v>0</v>
      </c>
    </row>
    <row r="589" spans="1:54" x14ac:dyDescent="0.3">
      <c r="A589" s="214"/>
      <c r="B589" s="199"/>
      <c r="C589" s="176"/>
      <c r="G589" s="177"/>
      <c r="H589" s="177"/>
      <c r="I589" s="177"/>
      <c r="J589" s="177"/>
      <c r="K589" s="177"/>
      <c r="L589" s="177"/>
      <c r="M589" s="177"/>
      <c r="N589" s="177"/>
      <c r="O589" s="177"/>
      <c r="P589" s="177"/>
      <c r="Q589" s="177"/>
      <c r="R589" s="177"/>
      <c r="S589" s="177"/>
      <c r="T589" s="177"/>
      <c r="U589" s="177"/>
      <c r="V589" s="177"/>
      <c r="W589" s="177"/>
      <c r="X589" s="177"/>
      <c r="Y589" s="177"/>
      <c r="Z589" s="177"/>
      <c r="AA589" s="177"/>
      <c r="AB589" s="177"/>
      <c r="AC589" s="177"/>
      <c r="AD589" s="177"/>
      <c r="AE589" s="177"/>
      <c r="AF589" s="177"/>
      <c r="AG589" s="177"/>
      <c r="AH589" s="177"/>
      <c r="AI589" s="177"/>
      <c r="AJ589" s="177"/>
      <c r="AK589" s="177"/>
      <c r="AL589" s="177"/>
      <c r="AM589" s="177"/>
      <c r="AN589" s="177"/>
      <c r="AO589" s="177"/>
      <c r="AP589" s="177"/>
      <c r="AQ589" s="177"/>
      <c r="AR589" s="177"/>
      <c r="AS589" s="177"/>
      <c r="AT589" s="177"/>
      <c r="AU589" s="177"/>
      <c r="AV589" s="177"/>
      <c r="AW589" s="177"/>
      <c r="AX589" s="177"/>
      <c r="AY589" s="177"/>
      <c r="AZ589" s="177"/>
      <c r="BA589" s="177"/>
      <c r="BB589" s="177"/>
    </row>
    <row r="590" spans="1:54" x14ac:dyDescent="0.3">
      <c r="A590" s="214" t="str">
        <f ca="1">Language!A$822</f>
        <v>Незавершенное производство</v>
      </c>
      <c r="C590" s="176" t="str">
        <f ca="1">CurName1</f>
        <v>руб.</v>
      </c>
      <c r="F590" s="170" t="s">
        <v>741</v>
      </c>
      <c r="G590" s="177">
        <f ca="1">G592+G593</f>
        <v>0</v>
      </c>
      <c r="H590" s="177">
        <f t="shared" ref="H590:K590" ca="1" si="2401">H592+H593</f>
        <v>0</v>
      </c>
      <c r="I590" s="177">
        <f t="shared" ca="1" si="2401"/>
        <v>0</v>
      </c>
      <c r="J590" s="177">
        <f t="shared" ca="1" si="2401"/>
        <v>0</v>
      </c>
      <c r="K590" s="177">
        <f t="shared" ca="1" si="2401"/>
        <v>0</v>
      </c>
      <c r="L590" s="177">
        <f t="shared" ref="L590:M590" ca="1" si="2402">L592+L593</f>
        <v>0</v>
      </c>
      <c r="M590" s="177">
        <f t="shared" ca="1" si="2402"/>
        <v>0</v>
      </c>
      <c r="N590" s="177">
        <f t="shared" ref="N590:O590" ca="1" si="2403">N592+N593</f>
        <v>0</v>
      </c>
      <c r="O590" s="177">
        <f t="shared" ca="1" si="2403"/>
        <v>0</v>
      </c>
      <c r="P590" s="177">
        <f t="shared" ref="P590:Q590" ca="1" si="2404">P592+P593</f>
        <v>0</v>
      </c>
      <c r="Q590" s="177">
        <f t="shared" ca="1" si="2404"/>
        <v>0</v>
      </c>
      <c r="R590" s="177">
        <f t="shared" ref="R590:S590" ca="1" si="2405">R592+R593</f>
        <v>0</v>
      </c>
      <c r="S590" s="177">
        <f t="shared" ca="1" si="2405"/>
        <v>0</v>
      </c>
      <c r="T590" s="177">
        <f t="shared" ref="T590:U590" ca="1" si="2406">T592+T593</f>
        <v>0</v>
      </c>
      <c r="U590" s="177">
        <f t="shared" ca="1" si="2406"/>
        <v>0</v>
      </c>
      <c r="V590" s="177">
        <f t="shared" ref="V590:W590" ca="1" si="2407">V592+V593</f>
        <v>0</v>
      </c>
      <c r="W590" s="177">
        <f t="shared" ca="1" si="2407"/>
        <v>0</v>
      </c>
      <c r="X590" s="177">
        <f t="shared" ref="X590:Y590" ca="1" si="2408">X592+X593</f>
        <v>0</v>
      </c>
      <c r="Y590" s="177">
        <f t="shared" ca="1" si="2408"/>
        <v>0</v>
      </c>
      <c r="Z590" s="177">
        <f t="shared" ref="Z590:AA590" ca="1" si="2409">Z592+Z593</f>
        <v>0</v>
      </c>
      <c r="AA590" s="177">
        <f t="shared" ca="1" si="2409"/>
        <v>0</v>
      </c>
      <c r="AB590" s="177">
        <f t="shared" ref="AB590:AC590" ca="1" si="2410">AB592+AB593</f>
        <v>0</v>
      </c>
      <c r="AC590" s="177">
        <f t="shared" ca="1" si="2410"/>
        <v>0</v>
      </c>
      <c r="AD590" s="177">
        <f t="shared" ref="AD590:AE590" ca="1" si="2411">AD592+AD593</f>
        <v>0</v>
      </c>
      <c r="AE590" s="177">
        <f t="shared" ca="1" si="2411"/>
        <v>0</v>
      </c>
      <c r="AF590" s="177">
        <f t="shared" ref="AF590:AG590" ca="1" si="2412">AF592+AF593</f>
        <v>0</v>
      </c>
      <c r="AG590" s="177">
        <f t="shared" ca="1" si="2412"/>
        <v>0</v>
      </c>
      <c r="AH590" s="177">
        <f t="shared" ref="AH590:AI590" ca="1" si="2413">AH592+AH593</f>
        <v>0</v>
      </c>
      <c r="AI590" s="177">
        <f t="shared" ca="1" si="2413"/>
        <v>0</v>
      </c>
      <c r="AJ590" s="177">
        <f t="shared" ref="AJ590:AK590" ca="1" si="2414">AJ592+AJ593</f>
        <v>0</v>
      </c>
      <c r="AK590" s="177">
        <f t="shared" ca="1" si="2414"/>
        <v>0</v>
      </c>
      <c r="AL590" s="177">
        <f t="shared" ref="AL590:AM590" ca="1" si="2415">AL592+AL593</f>
        <v>0</v>
      </c>
      <c r="AM590" s="177">
        <f t="shared" ca="1" si="2415"/>
        <v>0</v>
      </c>
      <c r="AN590" s="177">
        <f t="shared" ref="AN590:AO590" ca="1" si="2416">AN592+AN593</f>
        <v>0</v>
      </c>
      <c r="AO590" s="177">
        <f t="shared" ca="1" si="2416"/>
        <v>0</v>
      </c>
      <c r="AP590" s="177">
        <f t="shared" ref="AP590:AQ590" ca="1" si="2417">AP592+AP593</f>
        <v>0</v>
      </c>
      <c r="AQ590" s="177">
        <f t="shared" ca="1" si="2417"/>
        <v>0</v>
      </c>
      <c r="AR590" s="177">
        <f t="shared" ref="AR590:AS590" ca="1" si="2418">AR592+AR593</f>
        <v>0</v>
      </c>
      <c r="AS590" s="177">
        <f t="shared" ca="1" si="2418"/>
        <v>0</v>
      </c>
      <c r="AT590" s="177">
        <f t="shared" ref="AT590:AU590" ca="1" si="2419">AT592+AT593</f>
        <v>0</v>
      </c>
      <c r="AU590" s="177">
        <f t="shared" ca="1" si="2419"/>
        <v>0</v>
      </c>
      <c r="AV590" s="177">
        <f t="shared" ref="AV590:AW590" ca="1" si="2420">AV592+AV593</f>
        <v>0</v>
      </c>
      <c r="AW590" s="177">
        <f t="shared" ca="1" si="2420"/>
        <v>0</v>
      </c>
      <c r="AX590" s="177">
        <f t="shared" ref="AX590:AY590" ca="1" si="2421">AX592+AX593</f>
        <v>0</v>
      </c>
      <c r="AY590" s="177">
        <f t="shared" ca="1" si="2421"/>
        <v>0</v>
      </c>
      <c r="AZ590" s="177">
        <f t="shared" ref="AZ590:BA590" ca="1" si="2422">AZ592+AZ593</f>
        <v>0</v>
      </c>
      <c r="BA590" s="177">
        <f t="shared" ca="1" si="2422"/>
        <v>0</v>
      </c>
      <c r="BB590" s="177">
        <f t="shared" ref="BB590" ca="1" si="2423">BB592+BB593</f>
        <v>0</v>
      </c>
    </row>
    <row r="591" spans="1:54" collapsed="1" x14ac:dyDescent="0.3">
      <c r="A591" s="175" t="str">
        <f ca="1">Language!A$665</f>
        <v>длительность производственного цикла</v>
      </c>
      <c r="B591" s="295">
        <v>0</v>
      </c>
      <c r="C591" s="176" t="str">
        <f ca="1">Language!$A$1474</f>
        <v>дней</v>
      </c>
      <c r="G591" s="177"/>
      <c r="H591" s="177"/>
      <c r="I591" s="177"/>
      <c r="J591" s="177"/>
      <c r="K591" s="177"/>
      <c r="L591" s="177"/>
      <c r="M591" s="177"/>
      <c r="N591" s="177"/>
      <c r="O591" s="177"/>
      <c r="P591" s="177"/>
      <c r="Q591" s="177"/>
      <c r="R591" s="177"/>
      <c r="S591" s="177"/>
      <c r="T591" s="177"/>
      <c r="U591" s="177"/>
      <c r="V591" s="177"/>
      <c r="W591" s="177"/>
      <c r="X591" s="177"/>
      <c r="Y591" s="177"/>
      <c r="Z591" s="177"/>
      <c r="AA591" s="177"/>
      <c r="AB591" s="177"/>
      <c r="AC591" s="177"/>
      <c r="AD591" s="177"/>
      <c r="AE591" s="177"/>
      <c r="AF591" s="177"/>
      <c r="AG591" s="177"/>
      <c r="AH591" s="177"/>
      <c r="AI591" s="177"/>
      <c r="AJ591" s="177"/>
      <c r="AK591" s="177"/>
      <c r="AL591" s="177"/>
      <c r="AM591" s="177"/>
      <c r="AN591" s="177"/>
      <c r="AO591" s="177"/>
      <c r="AP591" s="177"/>
      <c r="AQ591" s="177"/>
      <c r="AR591" s="177"/>
      <c r="AS591" s="177"/>
      <c r="AT591" s="177"/>
      <c r="AU591" s="177"/>
      <c r="AV591" s="177"/>
      <c r="AW591" s="177"/>
      <c r="AX591" s="177"/>
      <c r="AY591" s="177"/>
      <c r="AZ591" s="177"/>
      <c r="BA591" s="177"/>
      <c r="BB591" s="177"/>
    </row>
    <row r="592" spans="1:54" hidden="1" outlineLevel="1" x14ac:dyDescent="0.3">
      <c r="A592" s="184" t="str">
        <f ca="1">Language!A$824</f>
        <v>величина из плана затрат</v>
      </c>
      <c r="B592" s="184"/>
      <c r="C592" s="174" t="str">
        <f ca="1">CurName1</f>
        <v>руб.</v>
      </c>
      <c r="F592" s="170" t="s">
        <v>741</v>
      </c>
      <c r="G592" s="185">
        <f t="shared" ref="G592:BB592" ca="1" si="2424">G276+G391+G399+G407+G531+G557+G544</f>
        <v>0</v>
      </c>
      <c r="H592" s="185">
        <f t="shared" ca="1" si="2424"/>
        <v>0</v>
      </c>
      <c r="I592" s="185">
        <f t="shared" ca="1" si="2424"/>
        <v>0</v>
      </c>
      <c r="J592" s="185">
        <f t="shared" ca="1" si="2424"/>
        <v>0</v>
      </c>
      <c r="K592" s="185">
        <f t="shared" ca="1" si="2424"/>
        <v>0</v>
      </c>
      <c r="L592" s="185">
        <f t="shared" ca="1" si="2424"/>
        <v>0</v>
      </c>
      <c r="M592" s="185">
        <f t="shared" ca="1" si="2424"/>
        <v>0</v>
      </c>
      <c r="N592" s="185">
        <f t="shared" ca="1" si="2424"/>
        <v>0</v>
      </c>
      <c r="O592" s="185">
        <f t="shared" ca="1" si="2424"/>
        <v>0</v>
      </c>
      <c r="P592" s="185">
        <f t="shared" ca="1" si="2424"/>
        <v>0</v>
      </c>
      <c r="Q592" s="185">
        <f t="shared" ca="1" si="2424"/>
        <v>0</v>
      </c>
      <c r="R592" s="185">
        <f t="shared" ca="1" si="2424"/>
        <v>0</v>
      </c>
      <c r="S592" s="185">
        <f t="shared" ca="1" si="2424"/>
        <v>0</v>
      </c>
      <c r="T592" s="185">
        <f t="shared" ca="1" si="2424"/>
        <v>0</v>
      </c>
      <c r="U592" s="185">
        <f t="shared" ca="1" si="2424"/>
        <v>0</v>
      </c>
      <c r="V592" s="185">
        <f t="shared" ca="1" si="2424"/>
        <v>0</v>
      </c>
      <c r="W592" s="185">
        <f t="shared" ca="1" si="2424"/>
        <v>0</v>
      </c>
      <c r="X592" s="185">
        <f t="shared" ca="1" si="2424"/>
        <v>0</v>
      </c>
      <c r="Y592" s="185">
        <f t="shared" ca="1" si="2424"/>
        <v>0</v>
      </c>
      <c r="Z592" s="185">
        <f t="shared" ca="1" si="2424"/>
        <v>0</v>
      </c>
      <c r="AA592" s="185">
        <f t="shared" ca="1" si="2424"/>
        <v>0</v>
      </c>
      <c r="AB592" s="185">
        <f t="shared" ca="1" si="2424"/>
        <v>0</v>
      </c>
      <c r="AC592" s="185">
        <f t="shared" ca="1" si="2424"/>
        <v>0</v>
      </c>
      <c r="AD592" s="185">
        <f t="shared" ca="1" si="2424"/>
        <v>0</v>
      </c>
      <c r="AE592" s="185">
        <f t="shared" ca="1" si="2424"/>
        <v>0</v>
      </c>
      <c r="AF592" s="185">
        <f t="shared" ca="1" si="2424"/>
        <v>0</v>
      </c>
      <c r="AG592" s="185">
        <f t="shared" ca="1" si="2424"/>
        <v>0</v>
      </c>
      <c r="AH592" s="185">
        <f t="shared" ca="1" si="2424"/>
        <v>0</v>
      </c>
      <c r="AI592" s="185">
        <f t="shared" ca="1" si="2424"/>
        <v>0</v>
      </c>
      <c r="AJ592" s="185">
        <f t="shared" ca="1" si="2424"/>
        <v>0</v>
      </c>
      <c r="AK592" s="185">
        <f t="shared" ca="1" si="2424"/>
        <v>0</v>
      </c>
      <c r="AL592" s="185">
        <f t="shared" ca="1" si="2424"/>
        <v>0</v>
      </c>
      <c r="AM592" s="185">
        <f t="shared" ca="1" si="2424"/>
        <v>0</v>
      </c>
      <c r="AN592" s="185">
        <f t="shared" ca="1" si="2424"/>
        <v>0</v>
      </c>
      <c r="AO592" s="185">
        <f t="shared" ca="1" si="2424"/>
        <v>0</v>
      </c>
      <c r="AP592" s="185">
        <f t="shared" ca="1" si="2424"/>
        <v>0</v>
      </c>
      <c r="AQ592" s="185">
        <f t="shared" ca="1" si="2424"/>
        <v>0</v>
      </c>
      <c r="AR592" s="185">
        <f t="shared" ca="1" si="2424"/>
        <v>0</v>
      </c>
      <c r="AS592" s="185">
        <f t="shared" ca="1" si="2424"/>
        <v>0</v>
      </c>
      <c r="AT592" s="185">
        <f t="shared" ca="1" si="2424"/>
        <v>0</v>
      </c>
      <c r="AU592" s="185">
        <f t="shared" ca="1" si="2424"/>
        <v>0</v>
      </c>
      <c r="AV592" s="185">
        <f t="shared" ca="1" si="2424"/>
        <v>0</v>
      </c>
      <c r="AW592" s="185">
        <f t="shared" ca="1" si="2424"/>
        <v>0</v>
      </c>
      <c r="AX592" s="185">
        <f t="shared" ca="1" si="2424"/>
        <v>0</v>
      </c>
      <c r="AY592" s="185">
        <f t="shared" ca="1" si="2424"/>
        <v>0</v>
      </c>
      <c r="AZ592" s="185">
        <f t="shared" ca="1" si="2424"/>
        <v>0</v>
      </c>
      <c r="BA592" s="185">
        <f t="shared" ca="1" si="2424"/>
        <v>0</v>
      </c>
      <c r="BB592" s="185">
        <f t="shared" ca="1" si="2424"/>
        <v>0</v>
      </c>
    </row>
    <row r="593" spans="1:54" hidden="1" outlineLevel="1" x14ac:dyDescent="0.3">
      <c r="A593" s="184" t="str">
        <f ca="1">Language!A$825</f>
        <v>величина из стартового баланса</v>
      </c>
      <c r="B593" s="212">
        <f>Старт!B10</f>
        <v>0</v>
      </c>
      <c r="C593" s="174" t="str">
        <f ca="1">CurName1</f>
        <v>руб.</v>
      </c>
      <c r="F593" s="170" t="s">
        <v>2350</v>
      </c>
      <c r="G593" s="287">
        <f ca="1">IF(SUM($G592:G592)=0,$B593,0)</f>
        <v>0</v>
      </c>
      <c r="H593" s="287">
        <f ca="1">IF(SUM($G592:H592)=0,$B593,0)</f>
        <v>0</v>
      </c>
      <c r="I593" s="287">
        <f ca="1">IF(SUM($G592:I592)=0,$B593,0)</f>
        <v>0</v>
      </c>
      <c r="J593" s="287">
        <f ca="1">IF(SUM($G592:J592)=0,$B593,0)</f>
        <v>0</v>
      </c>
      <c r="K593" s="287">
        <f ca="1">IF(SUM($G592:K592)=0,$B593,0)</f>
        <v>0</v>
      </c>
      <c r="L593" s="287">
        <f ca="1">IF(SUM($G592:L592)=0,$B593,0)</f>
        <v>0</v>
      </c>
      <c r="M593" s="287">
        <f ca="1">IF(SUM($G592:M592)=0,$B593,0)</f>
        <v>0</v>
      </c>
      <c r="N593" s="287">
        <f ca="1">IF(SUM($G592:N592)=0,$B593,0)</f>
        <v>0</v>
      </c>
      <c r="O593" s="287">
        <f ca="1">IF(SUM($G592:O592)=0,$B593,0)</f>
        <v>0</v>
      </c>
      <c r="P593" s="287">
        <f ca="1">IF(SUM($G592:P592)=0,$B593,0)</f>
        <v>0</v>
      </c>
      <c r="Q593" s="287">
        <f ca="1">IF(SUM($G592:Q592)=0,$B593,0)</f>
        <v>0</v>
      </c>
      <c r="R593" s="287">
        <f ca="1">IF(SUM($G592:R592)=0,$B593,0)</f>
        <v>0</v>
      </c>
      <c r="S593" s="287">
        <f ca="1">IF(SUM($G592:S592)=0,$B593,0)</f>
        <v>0</v>
      </c>
      <c r="T593" s="287">
        <f ca="1">IF(SUM($G592:T592)=0,$B593,0)</f>
        <v>0</v>
      </c>
      <c r="U593" s="287">
        <f ca="1">IF(SUM($G592:U592)=0,$B593,0)</f>
        <v>0</v>
      </c>
      <c r="V593" s="287">
        <f ca="1">IF(SUM($G592:V592)=0,$B593,0)</f>
        <v>0</v>
      </c>
      <c r="W593" s="287">
        <f ca="1">IF(SUM($G592:W592)=0,$B593,0)</f>
        <v>0</v>
      </c>
      <c r="X593" s="287">
        <f ca="1">IF(SUM($G592:X592)=0,$B593,0)</f>
        <v>0</v>
      </c>
      <c r="Y593" s="287">
        <f ca="1">IF(SUM($G592:Y592)=0,$B593,0)</f>
        <v>0</v>
      </c>
      <c r="Z593" s="287">
        <f ca="1">IF(SUM($G592:Z592)=0,$B593,0)</f>
        <v>0</v>
      </c>
      <c r="AA593" s="287">
        <f ca="1">IF(SUM($G592:AA592)=0,$B593,0)</f>
        <v>0</v>
      </c>
      <c r="AB593" s="287">
        <f ca="1">IF(SUM($G592:AB592)=0,$B593,0)</f>
        <v>0</v>
      </c>
      <c r="AC593" s="287">
        <f ca="1">IF(SUM($G592:AC592)=0,$B593,0)</f>
        <v>0</v>
      </c>
      <c r="AD593" s="287">
        <f ca="1">IF(SUM($G592:AD592)=0,$B593,0)</f>
        <v>0</v>
      </c>
      <c r="AE593" s="287">
        <f ca="1">IF(SUM($G592:AE592)=0,$B593,0)</f>
        <v>0</v>
      </c>
      <c r="AF593" s="287">
        <f ca="1">IF(SUM($G592:AF592)=0,$B593,0)</f>
        <v>0</v>
      </c>
      <c r="AG593" s="287">
        <f ca="1">IF(SUM($G592:AG592)=0,$B593,0)</f>
        <v>0</v>
      </c>
      <c r="AH593" s="287">
        <f ca="1">IF(SUM($G592:AH592)=0,$B593,0)</f>
        <v>0</v>
      </c>
      <c r="AI593" s="287">
        <f ca="1">IF(SUM($G592:AI592)=0,$B593,0)</f>
        <v>0</v>
      </c>
      <c r="AJ593" s="287">
        <f ca="1">IF(SUM($G592:AJ592)=0,$B593,0)</f>
        <v>0</v>
      </c>
      <c r="AK593" s="287">
        <f ca="1">IF(SUM($G592:AK592)=0,$B593,0)</f>
        <v>0</v>
      </c>
      <c r="AL593" s="287">
        <f ca="1">IF(SUM($G592:AL592)=0,$B593,0)</f>
        <v>0</v>
      </c>
      <c r="AM593" s="287">
        <f ca="1">IF(SUM($G592:AM592)=0,$B593,0)</f>
        <v>0</v>
      </c>
      <c r="AN593" s="287">
        <f ca="1">IF(SUM($G592:AN592)=0,$B593,0)</f>
        <v>0</v>
      </c>
      <c r="AO593" s="287">
        <f ca="1">IF(SUM($G592:AO592)=0,$B593,0)</f>
        <v>0</v>
      </c>
      <c r="AP593" s="287">
        <f ca="1">IF(SUM($G592:AP592)=0,$B593,0)</f>
        <v>0</v>
      </c>
      <c r="AQ593" s="287">
        <f ca="1">IF(SUM($G592:AQ592)=0,$B593,0)</f>
        <v>0</v>
      </c>
      <c r="AR593" s="287">
        <f ca="1">IF(SUM($G592:AR592)=0,$B593,0)</f>
        <v>0</v>
      </c>
      <c r="AS593" s="287">
        <f ca="1">IF(SUM($G592:AS592)=0,$B593,0)</f>
        <v>0</v>
      </c>
      <c r="AT593" s="287">
        <f ca="1">IF(SUM($G592:AT592)=0,$B593,0)</f>
        <v>0</v>
      </c>
      <c r="AU593" s="287">
        <f ca="1">IF(SUM($G592:AU592)=0,$B593,0)</f>
        <v>0</v>
      </c>
      <c r="AV593" s="287">
        <f ca="1">IF(SUM($G592:AV592)=0,$B593,0)</f>
        <v>0</v>
      </c>
      <c r="AW593" s="287">
        <f ca="1">IF(SUM($G592:AW592)=0,$B593,0)</f>
        <v>0</v>
      </c>
      <c r="AX593" s="287">
        <f ca="1">IF(SUM($G592:AX592)=0,$B593,0)</f>
        <v>0</v>
      </c>
      <c r="AY593" s="287">
        <f ca="1">IF(SUM($G592:AY592)=0,$B593,0)</f>
        <v>0</v>
      </c>
      <c r="AZ593" s="287">
        <f ca="1">IF(SUM($G592:AZ592)=0,$B593,0)</f>
        <v>0</v>
      </c>
      <c r="BA593" s="287">
        <f ca="1">IF(SUM($G592:BA592)=0,$B593,0)</f>
        <v>0</v>
      </c>
      <c r="BB593" s="287">
        <f ca="1">IF(SUM($G592:BB592)=0,$B593,0)</f>
        <v>0</v>
      </c>
    </row>
    <row r="594" spans="1:54" hidden="1" outlineLevel="1" x14ac:dyDescent="0.3">
      <c r="A594" s="184" t="str">
        <f ca="1">Language!A$826</f>
        <v>влияние стартового баланса на денежные средства</v>
      </c>
      <c r="B594" s="184"/>
      <c r="C594" s="174" t="str">
        <f ca="1">CurName1</f>
        <v>руб.</v>
      </c>
      <c r="F594" s="170" t="s">
        <v>740</v>
      </c>
      <c r="G594" s="185">
        <f ca="1">IF(G$2=1,$B593-G593,F593-G593)</f>
        <v>0</v>
      </c>
      <c r="H594" s="185">
        <f t="shared" ref="H594" ca="1" si="2425">IF(H$2=1,$B593-H593,G593-H593)</f>
        <v>0</v>
      </c>
      <c r="I594" s="185">
        <f t="shared" ref="I594" ca="1" si="2426">IF(I$2=1,$B593-I593,H593-I593)</f>
        <v>0</v>
      </c>
      <c r="J594" s="185">
        <f t="shared" ref="J594" ca="1" si="2427">IF(J$2=1,$B593-J593,I593-J593)</f>
        <v>0</v>
      </c>
      <c r="K594" s="185">
        <f t="shared" ref="K594:BB594" ca="1" si="2428">IF(K$2=1,$B593-K593,J593-K593)</f>
        <v>0</v>
      </c>
      <c r="L594" s="185">
        <f t="shared" ca="1" si="2428"/>
        <v>0</v>
      </c>
      <c r="M594" s="185">
        <f t="shared" ca="1" si="2428"/>
        <v>0</v>
      </c>
      <c r="N594" s="185">
        <f t="shared" ca="1" si="2428"/>
        <v>0</v>
      </c>
      <c r="O594" s="185">
        <f t="shared" ca="1" si="2428"/>
        <v>0</v>
      </c>
      <c r="P594" s="185">
        <f t="shared" ca="1" si="2428"/>
        <v>0</v>
      </c>
      <c r="Q594" s="185">
        <f t="shared" ca="1" si="2428"/>
        <v>0</v>
      </c>
      <c r="R594" s="185">
        <f t="shared" ca="1" si="2428"/>
        <v>0</v>
      </c>
      <c r="S594" s="185">
        <f t="shared" ca="1" si="2428"/>
        <v>0</v>
      </c>
      <c r="T594" s="185">
        <f t="shared" ca="1" si="2428"/>
        <v>0</v>
      </c>
      <c r="U594" s="185">
        <f t="shared" ca="1" si="2428"/>
        <v>0</v>
      </c>
      <c r="V594" s="185">
        <f t="shared" ca="1" si="2428"/>
        <v>0</v>
      </c>
      <c r="W594" s="185">
        <f t="shared" ca="1" si="2428"/>
        <v>0</v>
      </c>
      <c r="X594" s="185">
        <f t="shared" ca="1" si="2428"/>
        <v>0</v>
      </c>
      <c r="Y594" s="185">
        <f t="shared" ca="1" si="2428"/>
        <v>0</v>
      </c>
      <c r="Z594" s="185">
        <f t="shared" ca="1" si="2428"/>
        <v>0</v>
      </c>
      <c r="AA594" s="185">
        <f t="shared" ca="1" si="2428"/>
        <v>0</v>
      </c>
      <c r="AB594" s="185">
        <f t="shared" ca="1" si="2428"/>
        <v>0</v>
      </c>
      <c r="AC594" s="185">
        <f t="shared" ca="1" si="2428"/>
        <v>0</v>
      </c>
      <c r="AD594" s="185">
        <f t="shared" ca="1" si="2428"/>
        <v>0</v>
      </c>
      <c r="AE594" s="185">
        <f t="shared" ca="1" si="2428"/>
        <v>0</v>
      </c>
      <c r="AF594" s="185">
        <f t="shared" ca="1" si="2428"/>
        <v>0</v>
      </c>
      <c r="AG594" s="185">
        <f t="shared" ca="1" si="2428"/>
        <v>0</v>
      </c>
      <c r="AH594" s="185">
        <f t="shared" ca="1" si="2428"/>
        <v>0</v>
      </c>
      <c r="AI594" s="185">
        <f t="shared" ca="1" si="2428"/>
        <v>0</v>
      </c>
      <c r="AJ594" s="185">
        <f t="shared" ca="1" si="2428"/>
        <v>0</v>
      </c>
      <c r="AK594" s="185">
        <f t="shared" ca="1" si="2428"/>
        <v>0</v>
      </c>
      <c r="AL594" s="185">
        <f t="shared" ca="1" si="2428"/>
        <v>0</v>
      </c>
      <c r="AM594" s="185">
        <f t="shared" ca="1" si="2428"/>
        <v>0</v>
      </c>
      <c r="AN594" s="185">
        <f t="shared" ca="1" si="2428"/>
        <v>0</v>
      </c>
      <c r="AO594" s="185">
        <f t="shared" ca="1" si="2428"/>
        <v>0</v>
      </c>
      <c r="AP594" s="185">
        <f t="shared" ca="1" si="2428"/>
        <v>0</v>
      </c>
      <c r="AQ594" s="185">
        <f t="shared" ca="1" si="2428"/>
        <v>0</v>
      </c>
      <c r="AR594" s="185">
        <f t="shared" ca="1" si="2428"/>
        <v>0</v>
      </c>
      <c r="AS594" s="185">
        <f t="shared" ca="1" si="2428"/>
        <v>0</v>
      </c>
      <c r="AT594" s="185">
        <f t="shared" ca="1" si="2428"/>
        <v>0</v>
      </c>
      <c r="AU594" s="185">
        <f t="shared" ca="1" si="2428"/>
        <v>0</v>
      </c>
      <c r="AV594" s="185">
        <f t="shared" ca="1" si="2428"/>
        <v>0</v>
      </c>
      <c r="AW594" s="185">
        <f t="shared" ca="1" si="2428"/>
        <v>0</v>
      </c>
      <c r="AX594" s="185">
        <f t="shared" ca="1" si="2428"/>
        <v>0</v>
      </c>
      <c r="AY594" s="185">
        <f t="shared" ca="1" si="2428"/>
        <v>0</v>
      </c>
      <c r="AZ594" s="185">
        <f t="shared" ca="1" si="2428"/>
        <v>0</v>
      </c>
      <c r="BA594" s="185">
        <f t="shared" ca="1" si="2428"/>
        <v>0</v>
      </c>
      <c r="BB594" s="185">
        <f t="shared" ca="1" si="2428"/>
        <v>0</v>
      </c>
    </row>
    <row r="595" spans="1:54" x14ac:dyDescent="0.3">
      <c r="A595" s="214"/>
      <c r="B595" s="199"/>
      <c r="C595" s="176"/>
      <c r="G595" s="177"/>
      <c r="H595" s="177"/>
      <c r="I595" s="177"/>
      <c r="J595" s="177"/>
      <c r="K595" s="177"/>
      <c r="L595" s="177"/>
      <c r="M595" s="177"/>
      <c r="N595" s="177"/>
      <c r="O595" s="177"/>
      <c r="P595" s="177"/>
      <c r="Q595" s="177"/>
      <c r="R595" s="177"/>
      <c r="S595" s="177"/>
      <c r="T595" s="177"/>
      <c r="U595" s="177"/>
      <c r="V595" s="177"/>
      <c r="W595" s="177"/>
      <c r="X595" s="177"/>
      <c r="Y595" s="177"/>
      <c r="Z595" s="177"/>
      <c r="AA595" s="177"/>
      <c r="AB595" s="177"/>
      <c r="AC595" s="177"/>
      <c r="AD595" s="177"/>
      <c r="AE595" s="177"/>
      <c r="AF595" s="177"/>
      <c r="AG595" s="177"/>
      <c r="AH595" s="177"/>
      <c r="AI595" s="177"/>
      <c r="AJ595" s="177"/>
      <c r="AK595" s="177"/>
      <c r="AL595" s="177"/>
      <c r="AM595" s="177"/>
      <c r="AN595" s="177"/>
      <c r="AO595" s="177"/>
      <c r="AP595" s="177"/>
      <c r="AQ595" s="177"/>
      <c r="AR595" s="177"/>
      <c r="AS595" s="177"/>
      <c r="AT595" s="177"/>
      <c r="AU595" s="177"/>
      <c r="AV595" s="177"/>
      <c r="AW595" s="177"/>
      <c r="AX595" s="177"/>
      <c r="AY595" s="177"/>
      <c r="AZ595" s="177"/>
      <c r="BA595" s="177"/>
      <c r="BB595" s="177"/>
    </row>
    <row r="596" spans="1:54" x14ac:dyDescent="0.3">
      <c r="A596" s="214" t="str">
        <f ca="1">Language!A$827</f>
        <v>Запасы готовой продукции</v>
      </c>
      <c r="C596" s="176" t="str">
        <f ca="1">CurName1</f>
        <v>руб.</v>
      </c>
      <c r="F596" s="170" t="s">
        <v>741</v>
      </c>
      <c r="G596" s="177">
        <f ca="1">G598+G599</f>
        <v>0</v>
      </c>
      <c r="H596" s="177">
        <f t="shared" ref="H596:K596" ca="1" si="2429">H598+H599</f>
        <v>0</v>
      </c>
      <c r="I596" s="177">
        <f t="shared" ca="1" si="2429"/>
        <v>0</v>
      </c>
      <c r="J596" s="177">
        <f t="shared" ca="1" si="2429"/>
        <v>0</v>
      </c>
      <c r="K596" s="177">
        <f t="shared" ca="1" si="2429"/>
        <v>0</v>
      </c>
      <c r="L596" s="177">
        <f t="shared" ref="L596:M596" ca="1" si="2430">L598+L599</f>
        <v>0</v>
      </c>
      <c r="M596" s="177">
        <f t="shared" ca="1" si="2430"/>
        <v>607801.61104531935</v>
      </c>
      <c r="N596" s="177">
        <f t="shared" ref="N596:O596" ca="1" si="2431">N598+N599</f>
        <v>816860.3728926063</v>
      </c>
      <c r="O596" s="177">
        <f t="shared" ca="1" si="2431"/>
        <v>1029218.2033643425</v>
      </c>
      <c r="P596" s="177">
        <f t="shared" ref="P596:Q596" ca="1" si="2432">P598+P599</f>
        <v>1244917.8438675725</v>
      </c>
      <c r="Q596" s="177">
        <f t="shared" ca="1" si="2432"/>
        <v>1254859.3337527823</v>
      </c>
      <c r="R596" s="177">
        <f t="shared" ref="R596:S596" ca="1" si="2433">R598+R599</f>
        <v>1264887.0959258261</v>
      </c>
      <c r="S596" s="177">
        <f t="shared" ca="1" si="2433"/>
        <v>1700002.560000001</v>
      </c>
      <c r="T596" s="177">
        <f t="shared" ref="T596:U596" ca="1" si="2434">T598+T599</f>
        <v>1499405.3702129857</v>
      </c>
      <c r="U596" s="177">
        <f t="shared" ca="1" si="2434"/>
        <v>1295495.9496319001</v>
      </c>
      <c r="V596" s="177">
        <f t="shared" ref="V596:W596" ca="1" si="2435">V598+V599</f>
        <v>1305876.7719583062</v>
      </c>
      <c r="W596" s="177">
        <f t="shared" ca="1" si="2435"/>
        <v>1096956.5748901963</v>
      </c>
      <c r="X596" s="177">
        <f t="shared" ref="X596:Y596" ca="1" si="2436">X598+X599</f>
        <v>1769213.5079362374</v>
      </c>
      <c r="Y596" s="177">
        <f t="shared" ca="1" si="2436"/>
        <v>2229273.884360129</v>
      </c>
      <c r="Z596" s="177">
        <f t="shared" ref="Z596:AA596" ca="1" si="2437">Z598+Z599</f>
        <v>2247185.5535938889</v>
      </c>
      <c r="AA596" s="177">
        <f t="shared" ca="1" si="2437"/>
        <v>1585677.3179747805</v>
      </c>
      <c r="AB596" s="177">
        <f t="shared" ref="AB596:AC596" ca="1" si="2438">AB598+AB599</f>
        <v>1141739.2949657273</v>
      </c>
      <c r="AC596" s="177">
        <f t="shared" ca="1" si="2438"/>
        <v>1150931.4174595242</v>
      </c>
      <c r="AD596" s="177">
        <f t="shared" ref="AD596:AE596" ca="1" si="2439">AD598+AD599</f>
        <v>1392244.5034360322</v>
      </c>
      <c r="AE596" s="177">
        <f t="shared" ca="1" si="2439"/>
        <v>1871291.260416002</v>
      </c>
      <c r="AF596" s="177">
        <f t="shared" ref="AF596:AG596" ca="1" si="2440">AF598+AF599</f>
        <v>1650588.8219736987</v>
      </c>
      <c r="AG596" s="177">
        <f t="shared" ca="1" si="2440"/>
        <v>1426211.3246952614</v>
      </c>
      <c r="AH596" s="177">
        <f t="shared" ref="AH596:AI596" ca="1" si="2441">AH598+AH599</f>
        <v>1437732.0721026054</v>
      </c>
      <c r="AI596" s="177">
        <f t="shared" ca="1" si="2441"/>
        <v>1207794.6490535154</v>
      </c>
      <c r="AJ596" s="177">
        <f t="shared" ref="AJ596:AK596" ca="1" si="2442">AJ598+AJ599</f>
        <v>1948102.3619589927</v>
      </c>
      <c r="AK596" s="177">
        <f t="shared" ca="1" si="2442"/>
        <v>2454837.6419529389</v>
      </c>
      <c r="AL596" s="177">
        <f t="shared" ref="AL596:AM596" ca="1" si="2443">AL598+AL599</f>
        <v>2474719.9401249667</v>
      </c>
      <c r="AM596" s="177">
        <f t="shared" ca="1" si="2443"/>
        <v>1746343.5047522706</v>
      </c>
      <c r="AN596" s="177">
        <f t="shared" ref="AN596:AO596" ca="1" si="2444">AN598+AN599</f>
        <v>1257504.3655440114</v>
      </c>
      <c r="AO596" s="177">
        <f t="shared" ca="1" si="2444"/>
        <v>1267709.2229571973</v>
      </c>
      <c r="AP596" s="177">
        <f t="shared" ref="AP596:AQ596" ca="1" si="2445">AP598+AP599</f>
        <v>1533604.3282617261</v>
      </c>
      <c r="AQ596" s="177">
        <f t="shared" ca="1" si="2445"/>
        <v>2061421.3472434208</v>
      </c>
      <c r="AR596" s="177">
        <f t="shared" ref="AR596:AS596" ca="1" si="2446">AR598+AR599</f>
        <v>1818409.9652521801</v>
      </c>
      <c r="AS596" s="177">
        <f t="shared" ca="1" si="2446"/>
        <v>1571318.644657786</v>
      </c>
      <c r="AT596" s="177">
        <f t="shared" ref="AT596:AU596" ca="1" si="2447">AT598+AT599</f>
        <v>1584111.6232125545</v>
      </c>
      <c r="AU596" s="177">
        <f t="shared" ca="1" si="2447"/>
        <v>1330847.5636738343</v>
      </c>
      <c r="AV596" s="177">
        <f t="shared" ref="AV596:AW596" ca="1" si="2448">AV598+AV599</f>
        <v>2146714.7222054712</v>
      </c>
      <c r="AW596" s="177">
        <f t="shared" ca="1" si="2448"/>
        <v>2705282.6103133727</v>
      </c>
      <c r="AX596" s="177">
        <f t="shared" ref="AX596:AY596" ca="1" si="2449">AX598+AX599</f>
        <v>2727364.5119576976</v>
      </c>
      <c r="AY596" s="177">
        <f t="shared" ca="1" si="2449"/>
        <v>1924748.6204320067</v>
      </c>
      <c r="AZ596" s="177">
        <f t="shared" ref="AZ596:BA596" ca="1" si="2450">AZ598+AZ599</f>
        <v>1386056.7644690028</v>
      </c>
      <c r="BA596" s="177">
        <f t="shared" ca="1" si="2450"/>
        <v>1397392.1261523631</v>
      </c>
      <c r="BB596" s="177">
        <f t="shared" ref="BB596" ca="1" si="2451">BB598+BB599</f>
        <v>1690592.9316879357</v>
      </c>
    </row>
    <row r="597" spans="1:54" collapsed="1" x14ac:dyDescent="0.3">
      <c r="A597" s="175" t="str">
        <f ca="1">Language!A$638</f>
        <v>средняя оборачиваемость готовой продукции</v>
      </c>
      <c r="B597" s="295">
        <v>15</v>
      </c>
      <c r="C597" s="176" t="str">
        <f ca="1">Language!$A$1474</f>
        <v>дней</v>
      </c>
      <c r="G597" s="177"/>
      <c r="H597" s="177"/>
      <c r="I597" s="177"/>
      <c r="J597" s="177"/>
      <c r="K597" s="177"/>
      <c r="L597" s="177"/>
      <c r="M597" s="177"/>
      <c r="N597" s="177"/>
      <c r="O597" s="177"/>
      <c r="P597" s="177"/>
      <c r="Q597" s="177"/>
      <c r="R597" s="177"/>
      <c r="S597" s="177"/>
      <c r="T597" s="177"/>
      <c r="U597" s="177"/>
      <c r="V597" s="177"/>
      <c r="W597" s="177"/>
      <c r="X597" s="177"/>
      <c r="Y597" s="177"/>
      <c r="Z597" s="177"/>
      <c r="AA597" s="177"/>
      <c r="AB597" s="177"/>
      <c r="AC597" s="177"/>
      <c r="AD597" s="177"/>
      <c r="AE597" s="177"/>
      <c r="AF597" s="177"/>
      <c r="AG597" s="177"/>
      <c r="AH597" s="177"/>
      <c r="AI597" s="177"/>
      <c r="AJ597" s="177"/>
      <c r="AK597" s="177"/>
      <c r="AL597" s="177"/>
      <c r="AM597" s="177"/>
      <c r="AN597" s="177"/>
      <c r="AO597" s="177"/>
      <c r="AP597" s="177"/>
      <c r="AQ597" s="177"/>
      <c r="AR597" s="177"/>
      <c r="AS597" s="177"/>
      <c r="AT597" s="177"/>
      <c r="AU597" s="177"/>
      <c r="AV597" s="177"/>
      <c r="AW597" s="177"/>
      <c r="AX597" s="177"/>
      <c r="AY597" s="177"/>
      <c r="AZ597" s="177"/>
      <c r="BA597" s="177"/>
      <c r="BB597" s="177"/>
    </row>
    <row r="598" spans="1:54" hidden="1" outlineLevel="1" x14ac:dyDescent="0.3">
      <c r="A598" s="184" t="str">
        <f ca="1">Language!A$829</f>
        <v>величина из плана затрат</v>
      </c>
      <c r="B598" s="184"/>
      <c r="C598" s="174" t="str">
        <f ca="1">CurName1</f>
        <v>руб.</v>
      </c>
      <c r="F598" s="170" t="s">
        <v>741</v>
      </c>
      <c r="G598" s="185">
        <f t="shared" ref="G598:BB598" ca="1" si="2452">G277+G389+G397+G405+G529+G555+G542</f>
        <v>0</v>
      </c>
      <c r="H598" s="185">
        <f t="shared" ca="1" si="2452"/>
        <v>0</v>
      </c>
      <c r="I598" s="185">
        <f t="shared" ca="1" si="2452"/>
        <v>0</v>
      </c>
      <c r="J598" s="185">
        <f t="shared" ca="1" si="2452"/>
        <v>0</v>
      </c>
      <c r="K598" s="185">
        <f t="shared" ca="1" si="2452"/>
        <v>0</v>
      </c>
      <c r="L598" s="185">
        <f t="shared" ca="1" si="2452"/>
        <v>0</v>
      </c>
      <c r="M598" s="185">
        <f t="shared" ca="1" si="2452"/>
        <v>607801.61104531935</v>
      </c>
      <c r="N598" s="185">
        <f t="shared" ca="1" si="2452"/>
        <v>816860.3728926063</v>
      </c>
      <c r="O598" s="185">
        <f t="shared" ca="1" si="2452"/>
        <v>1029218.2033643425</v>
      </c>
      <c r="P598" s="185">
        <f t="shared" ca="1" si="2452"/>
        <v>1244917.8438675725</v>
      </c>
      <c r="Q598" s="185">
        <f t="shared" ca="1" si="2452"/>
        <v>1254859.3337527823</v>
      </c>
      <c r="R598" s="185">
        <f t="shared" ca="1" si="2452"/>
        <v>1264887.0959258261</v>
      </c>
      <c r="S598" s="185">
        <f t="shared" ca="1" si="2452"/>
        <v>1700002.560000001</v>
      </c>
      <c r="T598" s="185">
        <f t="shared" ca="1" si="2452"/>
        <v>1499405.3702129857</v>
      </c>
      <c r="U598" s="185">
        <f t="shared" ca="1" si="2452"/>
        <v>1295495.9496319001</v>
      </c>
      <c r="V598" s="185">
        <f t="shared" ca="1" si="2452"/>
        <v>1305876.7719583062</v>
      </c>
      <c r="W598" s="185">
        <f t="shared" ca="1" si="2452"/>
        <v>1096956.5748901963</v>
      </c>
      <c r="X598" s="185">
        <f t="shared" ca="1" si="2452"/>
        <v>1769213.5079362374</v>
      </c>
      <c r="Y598" s="185">
        <f t="shared" ca="1" si="2452"/>
        <v>2229273.884360129</v>
      </c>
      <c r="Z598" s="185">
        <f t="shared" ca="1" si="2452"/>
        <v>2247185.5535938889</v>
      </c>
      <c r="AA598" s="185">
        <f t="shared" ca="1" si="2452"/>
        <v>1585677.3179747805</v>
      </c>
      <c r="AB598" s="185">
        <f t="shared" ca="1" si="2452"/>
        <v>1141739.2949657273</v>
      </c>
      <c r="AC598" s="185">
        <f t="shared" ca="1" si="2452"/>
        <v>1150931.4174595242</v>
      </c>
      <c r="AD598" s="185">
        <f t="shared" ca="1" si="2452"/>
        <v>1392244.5034360322</v>
      </c>
      <c r="AE598" s="185">
        <f t="shared" ca="1" si="2452"/>
        <v>1871291.260416002</v>
      </c>
      <c r="AF598" s="185">
        <f t="shared" ca="1" si="2452"/>
        <v>1650588.8219736987</v>
      </c>
      <c r="AG598" s="185">
        <f t="shared" ca="1" si="2452"/>
        <v>1426211.3246952614</v>
      </c>
      <c r="AH598" s="185">
        <f t="shared" ca="1" si="2452"/>
        <v>1437732.0721026054</v>
      </c>
      <c r="AI598" s="185">
        <f t="shared" ca="1" si="2452"/>
        <v>1207794.6490535154</v>
      </c>
      <c r="AJ598" s="185">
        <f t="shared" ca="1" si="2452"/>
        <v>1948102.3619589927</v>
      </c>
      <c r="AK598" s="185">
        <f t="shared" ca="1" si="2452"/>
        <v>2454837.6419529389</v>
      </c>
      <c r="AL598" s="185">
        <f t="shared" ca="1" si="2452"/>
        <v>2474719.9401249667</v>
      </c>
      <c r="AM598" s="185">
        <f t="shared" ca="1" si="2452"/>
        <v>1746343.5047522706</v>
      </c>
      <c r="AN598" s="185">
        <f t="shared" ca="1" si="2452"/>
        <v>1257504.3655440114</v>
      </c>
      <c r="AO598" s="185">
        <f t="shared" ca="1" si="2452"/>
        <v>1267709.2229571973</v>
      </c>
      <c r="AP598" s="185">
        <f t="shared" ca="1" si="2452"/>
        <v>1533604.3282617261</v>
      </c>
      <c r="AQ598" s="185">
        <f t="shared" ca="1" si="2452"/>
        <v>2061421.3472434208</v>
      </c>
      <c r="AR598" s="185">
        <f t="shared" ca="1" si="2452"/>
        <v>1818409.9652521801</v>
      </c>
      <c r="AS598" s="185">
        <f t="shared" ca="1" si="2452"/>
        <v>1571318.644657786</v>
      </c>
      <c r="AT598" s="185">
        <f t="shared" ca="1" si="2452"/>
        <v>1584111.6232125545</v>
      </c>
      <c r="AU598" s="185">
        <f t="shared" ca="1" si="2452"/>
        <v>1330847.5636738343</v>
      </c>
      <c r="AV598" s="185">
        <f t="shared" ca="1" si="2452"/>
        <v>2146714.7222054712</v>
      </c>
      <c r="AW598" s="185">
        <f t="shared" ca="1" si="2452"/>
        <v>2705282.6103133727</v>
      </c>
      <c r="AX598" s="185">
        <f t="shared" ca="1" si="2452"/>
        <v>2727364.5119576976</v>
      </c>
      <c r="AY598" s="185">
        <f t="shared" ca="1" si="2452"/>
        <v>1924748.6204320067</v>
      </c>
      <c r="AZ598" s="185">
        <f t="shared" ca="1" si="2452"/>
        <v>1386056.7644690028</v>
      </c>
      <c r="BA598" s="185">
        <f t="shared" ca="1" si="2452"/>
        <v>1397392.1261523631</v>
      </c>
      <c r="BB598" s="185">
        <f t="shared" ca="1" si="2452"/>
        <v>1690592.9316879357</v>
      </c>
    </row>
    <row r="599" spans="1:54" hidden="1" outlineLevel="1" x14ac:dyDescent="0.3">
      <c r="A599" s="184" t="str">
        <f ca="1">Language!A$830</f>
        <v>величина из стартового баланса</v>
      </c>
      <c r="B599" s="212">
        <f>Старт!B9</f>
        <v>0</v>
      </c>
      <c r="C599" s="174" t="str">
        <f ca="1">CurName1</f>
        <v>руб.</v>
      </c>
      <c r="F599" s="170" t="s">
        <v>2350</v>
      </c>
      <c r="G599" s="287">
        <f ca="1">IF(SUM($G598:G598)=0,$B599,0)</f>
        <v>0</v>
      </c>
      <c r="H599" s="287">
        <f ca="1">IF(SUM($G598:H598)=0,$B599,0)</f>
        <v>0</v>
      </c>
      <c r="I599" s="287">
        <f ca="1">IF(SUM($G598:I598)=0,$B599,0)</f>
        <v>0</v>
      </c>
      <c r="J599" s="287">
        <f ca="1">IF(SUM($G598:J598)=0,$B599,0)</f>
        <v>0</v>
      </c>
      <c r="K599" s="287">
        <f ca="1">IF(SUM($G598:K598)=0,$B599,0)</f>
        <v>0</v>
      </c>
      <c r="L599" s="287">
        <f ca="1">IF(SUM($G598:L598)=0,$B599,0)</f>
        <v>0</v>
      </c>
      <c r="M599" s="287">
        <f ca="1">IF(SUM($G598:M598)=0,$B599,0)</f>
        <v>0</v>
      </c>
      <c r="N599" s="287">
        <f ca="1">IF(SUM($G598:N598)=0,$B599,0)</f>
        <v>0</v>
      </c>
      <c r="O599" s="287">
        <f ca="1">IF(SUM($G598:O598)=0,$B599,0)</f>
        <v>0</v>
      </c>
      <c r="P599" s="287">
        <f ca="1">IF(SUM($G598:P598)=0,$B599,0)</f>
        <v>0</v>
      </c>
      <c r="Q599" s="287">
        <f ca="1">IF(SUM($G598:Q598)=0,$B599,0)</f>
        <v>0</v>
      </c>
      <c r="R599" s="287">
        <f ca="1">IF(SUM($G598:R598)=0,$B599,0)</f>
        <v>0</v>
      </c>
      <c r="S599" s="287">
        <f ca="1">IF(SUM($G598:S598)=0,$B599,0)</f>
        <v>0</v>
      </c>
      <c r="T599" s="287">
        <f ca="1">IF(SUM($G598:T598)=0,$B599,0)</f>
        <v>0</v>
      </c>
      <c r="U599" s="287">
        <f ca="1">IF(SUM($G598:U598)=0,$B599,0)</f>
        <v>0</v>
      </c>
      <c r="V599" s="287">
        <f ca="1">IF(SUM($G598:V598)=0,$B599,0)</f>
        <v>0</v>
      </c>
      <c r="W599" s="287">
        <f ca="1">IF(SUM($G598:W598)=0,$B599,0)</f>
        <v>0</v>
      </c>
      <c r="X599" s="287">
        <f ca="1">IF(SUM($G598:X598)=0,$B599,0)</f>
        <v>0</v>
      </c>
      <c r="Y599" s="287">
        <f ca="1">IF(SUM($G598:Y598)=0,$B599,0)</f>
        <v>0</v>
      </c>
      <c r="Z599" s="287">
        <f ca="1">IF(SUM($G598:Z598)=0,$B599,0)</f>
        <v>0</v>
      </c>
      <c r="AA599" s="287">
        <f ca="1">IF(SUM($G598:AA598)=0,$B599,0)</f>
        <v>0</v>
      </c>
      <c r="AB599" s="287">
        <f ca="1">IF(SUM($G598:AB598)=0,$B599,0)</f>
        <v>0</v>
      </c>
      <c r="AC599" s="287">
        <f ca="1">IF(SUM($G598:AC598)=0,$B599,0)</f>
        <v>0</v>
      </c>
      <c r="AD599" s="287">
        <f ca="1">IF(SUM($G598:AD598)=0,$B599,0)</f>
        <v>0</v>
      </c>
      <c r="AE599" s="287">
        <f ca="1">IF(SUM($G598:AE598)=0,$B599,0)</f>
        <v>0</v>
      </c>
      <c r="AF599" s="287">
        <f ca="1">IF(SUM($G598:AF598)=0,$B599,0)</f>
        <v>0</v>
      </c>
      <c r="AG599" s="287">
        <f ca="1">IF(SUM($G598:AG598)=0,$B599,0)</f>
        <v>0</v>
      </c>
      <c r="AH599" s="287">
        <f ca="1">IF(SUM($G598:AH598)=0,$B599,0)</f>
        <v>0</v>
      </c>
      <c r="AI599" s="287">
        <f ca="1">IF(SUM($G598:AI598)=0,$B599,0)</f>
        <v>0</v>
      </c>
      <c r="AJ599" s="287">
        <f ca="1">IF(SUM($G598:AJ598)=0,$B599,0)</f>
        <v>0</v>
      </c>
      <c r="AK599" s="287">
        <f ca="1">IF(SUM($G598:AK598)=0,$B599,0)</f>
        <v>0</v>
      </c>
      <c r="AL599" s="287">
        <f ca="1">IF(SUM($G598:AL598)=0,$B599,0)</f>
        <v>0</v>
      </c>
      <c r="AM599" s="287">
        <f ca="1">IF(SUM($G598:AM598)=0,$B599,0)</f>
        <v>0</v>
      </c>
      <c r="AN599" s="287">
        <f ca="1">IF(SUM($G598:AN598)=0,$B599,0)</f>
        <v>0</v>
      </c>
      <c r="AO599" s="287">
        <f ca="1">IF(SUM($G598:AO598)=0,$B599,0)</f>
        <v>0</v>
      </c>
      <c r="AP599" s="287">
        <f ca="1">IF(SUM($G598:AP598)=0,$B599,0)</f>
        <v>0</v>
      </c>
      <c r="AQ599" s="287">
        <f ca="1">IF(SUM($G598:AQ598)=0,$B599,0)</f>
        <v>0</v>
      </c>
      <c r="AR599" s="287">
        <f ca="1">IF(SUM($G598:AR598)=0,$B599,0)</f>
        <v>0</v>
      </c>
      <c r="AS599" s="287">
        <f ca="1">IF(SUM($G598:AS598)=0,$B599,0)</f>
        <v>0</v>
      </c>
      <c r="AT599" s="287">
        <f ca="1">IF(SUM($G598:AT598)=0,$B599,0)</f>
        <v>0</v>
      </c>
      <c r="AU599" s="287">
        <f ca="1">IF(SUM($G598:AU598)=0,$B599,0)</f>
        <v>0</v>
      </c>
      <c r="AV599" s="287">
        <f ca="1">IF(SUM($G598:AV598)=0,$B599,0)</f>
        <v>0</v>
      </c>
      <c r="AW599" s="287">
        <f ca="1">IF(SUM($G598:AW598)=0,$B599,0)</f>
        <v>0</v>
      </c>
      <c r="AX599" s="287">
        <f ca="1">IF(SUM($G598:AX598)=0,$B599,0)</f>
        <v>0</v>
      </c>
      <c r="AY599" s="287">
        <f ca="1">IF(SUM($G598:AY598)=0,$B599,0)</f>
        <v>0</v>
      </c>
      <c r="AZ599" s="287">
        <f ca="1">IF(SUM($G598:AZ598)=0,$B599,0)</f>
        <v>0</v>
      </c>
      <c r="BA599" s="287">
        <f ca="1">IF(SUM($G598:BA598)=0,$B599,0)</f>
        <v>0</v>
      </c>
      <c r="BB599" s="287">
        <f ca="1">IF(SUM($G598:BB598)=0,$B599,0)</f>
        <v>0</v>
      </c>
    </row>
    <row r="600" spans="1:54" hidden="1" outlineLevel="1" x14ac:dyDescent="0.3">
      <c r="A600" s="184" t="str">
        <f ca="1">Language!A$831</f>
        <v>влияние стартового баланса на денежные средства</v>
      </c>
      <c r="B600" s="184"/>
      <c r="C600" s="174" t="str">
        <f ca="1">CurName1</f>
        <v>руб.</v>
      </c>
      <c r="F600" s="170" t="s">
        <v>740</v>
      </c>
      <c r="G600" s="185">
        <f ca="1">IF(G$2=1,$B599-G599,F599-G599)</f>
        <v>0</v>
      </c>
      <c r="H600" s="185">
        <f t="shared" ref="H600" ca="1" si="2453">IF(H$2=1,$B599-H599,G599-H599)</f>
        <v>0</v>
      </c>
      <c r="I600" s="185">
        <f t="shared" ref="I600" ca="1" si="2454">IF(I$2=1,$B599-I599,H599-I599)</f>
        <v>0</v>
      </c>
      <c r="J600" s="185">
        <f t="shared" ref="J600" ca="1" si="2455">IF(J$2=1,$B599-J599,I599-J599)</f>
        <v>0</v>
      </c>
      <c r="K600" s="185">
        <f t="shared" ref="K600:BB600" ca="1" si="2456">IF(K$2=1,$B599-K599,J599-K599)</f>
        <v>0</v>
      </c>
      <c r="L600" s="185">
        <f t="shared" ca="1" si="2456"/>
        <v>0</v>
      </c>
      <c r="M600" s="185">
        <f t="shared" ca="1" si="2456"/>
        <v>0</v>
      </c>
      <c r="N600" s="185">
        <f t="shared" ca="1" si="2456"/>
        <v>0</v>
      </c>
      <c r="O600" s="185">
        <f t="shared" ca="1" si="2456"/>
        <v>0</v>
      </c>
      <c r="P600" s="185">
        <f t="shared" ca="1" si="2456"/>
        <v>0</v>
      </c>
      <c r="Q600" s="185">
        <f t="shared" ca="1" si="2456"/>
        <v>0</v>
      </c>
      <c r="R600" s="185">
        <f t="shared" ca="1" si="2456"/>
        <v>0</v>
      </c>
      <c r="S600" s="185">
        <f t="shared" ca="1" si="2456"/>
        <v>0</v>
      </c>
      <c r="T600" s="185">
        <f t="shared" ca="1" si="2456"/>
        <v>0</v>
      </c>
      <c r="U600" s="185">
        <f t="shared" ca="1" si="2456"/>
        <v>0</v>
      </c>
      <c r="V600" s="185">
        <f t="shared" ca="1" si="2456"/>
        <v>0</v>
      </c>
      <c r="W600" s="185">
        <f t="shared" ca="1" si="2456"/>
        <v>0</v>
      </c>
      <c r="X600" s="185">
        <f t="shared" ca="1" si="2456"/>
        <v>0</v>
      </c>
      <c r="Y600" s="185">
        <f t="shared" ca="1" si="2456"/>
        <v>0</v>
      </c>
      <c r="Z600" s="185">
        <f t="shared" ca="1" si="2456"/>
        <v>0</v>
      </c>
      <c r="AA600" s="185">
        <f t="shared" ca="1" si="2456"/>
        <v>0</v>
      </c>
      <c r="AB600" s="185">
        <f t="shared" ca="1" si="2456"/>
        <v>0</v>
      </c>
      <c r="AC600" s="185">
        <f t="shared" ca="1" si="2456"/>
        <v>0</v>
      </c>
      <c r="AD600" s="185">
        <f t="shared" ca="1" si="2456"/>
        <v>0</v>
      </c>
      <c r="AE600" s="185">
        <f t="shared" ca="1" si="2456"/>
        <v>0</v>
      </c>
      <c r="AF600" s="185">
        <f t="shared" ca="1" si="2456"/>
        <v>0</v>
      </c>
      <c r="AG600" s="185">
        <f t="shared" ca="1" si="2456"/>
        <v>0</v>
      </c>
      <c r="AH600" s="185">
        <f t="shared" ca="1" si="2456"/>
        <v>0</v>
      </c>
      <c r="AI600" s="185">
        <f t="shared" ca="1" si="2456"/>
        <v>0</v>
      </c>
      <c r="AJ600" s="185">
        <f t="shared" ca="1" si="2456"/>
        <v>0</v>
      </c>
      <c r="AK600" s="185">
        <f t="shared" ca="1" si="2456"/>
        <v>0</v>
      </c>
      <c r="AL600" s="185">
        <f t="shared" ca="1" si="2456"/>
        <v>0</v>
      </c>
      <c r="AM600" s="185">
        <f t="shared" ca="1" si="2456"/>
        <v>0</v>
      </c>
      <c r="AN600" s="185">
        <f t="shared" ca="1" si="2456"/>
        <v>0</v>
      </c>
      <c r="AO600" s="185">
        <f t="shared" ca="1" si="2456"/>
        <v>0</v>
      </c>
      <c r="AP600" s="185">
        <f t="shared" ca="1" si="2456"/>
        <v>0</v>
      </c>
      <c r="AQ600" s="185">
        <f t="shared" ca="1" si="2456"/>
        <v>0</v>
      </c>
      <c r="AR600" s="185">
        <f t="shared" ca="1" si="2456"/>
        <v>0</v>
      </c>
      <c r="AS600" s="185">
        <f t="shared" ca="1" si="2456"/>
        <v>0</v>
      </c>
      <c r="AT600" s="185">
        <f t="shared" ca="1" si="2456"/>
        <v>0</v>
      </c>
      <c r="AU600" s="185">
        <f t="shared" ca="1" si="2456"/>
        <v>0</v>
      </c>
      <c r="AV600" s="185">
        <f t="shared" ca="1" si="2456"/>
        <v>0</v>
      </c>
      <c r="AW600" s="185">
        <f t="shared" ca="1" si="2456"/>
        <v>0</v>
      </c>
      <c r="AX600" s="185">
        <f t="shared" ca="1" si="2456"/>
        <v>0</v>
      </c>
      <c r="AY600" s="185">
        <f t="shared" ca="1" si="2456"/>
        <v>0</v>
      </c>
      <c r="AZ600" s="185">
        <f t="shared" ca="1" si="2456"/>
        <v>0</v>
      </c>
      <c r="BA600" s="185">
        <f t="shared" ca="1" si="2456"/>
        <v>0</v>
      </c>
      <c r="BB600" s="185">
        <f t="shared" ca="1" si="2456"/>
        <v>0</v>
      </c>
    </row>
    <row r="601" spans="1:54" x14ac:dyDescent="0.3">
      <c r="A601" s="214"/>
      <c r="G601" s="177"/>
      <c r="H601" s="177"/>
      <c r="I601" s="177"/>
      <c r="J601" s="177"/>
      <c r="K601" s="177"/>
      <c r="L601" s="177"/>
      <c r="M601" s="177"/>
      <c r="N601" s="177"/>
      <c r="O601" s="177"/>
      <c r="P601" s="177"/>
      <c r="Q601" s="177"/>
      <c r="R601" s="177"/>
      <c r="S601" s="177"/>
      <c r="T601" s="177"/>
      <c r="U601" s="177"/>
      <c r="V601" s="177"/>
      <c r="W601" s="177"/>
      <c r="X601" s="177"/>
      <c r="Y601" s="177"/>
      <c r="Z601" s="177"/>
      <c r="AA601" s="177"/>
      <c r="AB601" s="177"/>
      <c r="AC601" s="177"/>
      <c r="AD601" s="177"/>
      <c r="AE601" s="177"/>
      <c r="AF601" s="177"/>
      <c r="AG601" s="177"/>
      <c r="AH601" s="177"/>
      <c r="AI601" s="177"/>
      <c r="AJ601" s="177"/>
      <c r="AK601" s="177"/>
      <c r="AL601" s="177"/>
      <c r="AM601" s="177"/>
      <c r="AN601" s="177"/>
      <c r="AO601" s="177"/>
      <c r="AP601" s="177"/>
      <c r="AQ601" s="177"/>
      <c r="AR601" s="177"/>
      <c r="AS601" s="177"/>
      <c r="AT601" s="177"/>
      <c r="AU601" s="177"/>
      <c r="AV601" s="177"/>
      <c r="AW601" s="177"/>
      <c r="AX601" s="177"/>
      <c r="AY601" s="177"/>
      <c r="AZ601" s="177"/>
      <c r="BA601" s="177"/>
      <c r="BB601" s="177"/>
    </row>
    <row r="602" spans="1:54" x14ac:dyDescent="0.3">
      <c r="A602" s="214" t="str">
        <f ca="1">Language!A$832</f>
        <v>Кредиторская задолженность перед поставщиками</v>
      </c>
      <c r="C602" s="176" t="str">
        <f ca="1">CurName1</f>
        <v>руб.</v>
      </c>
      <c r="F602" s="170" t="s">
        <v>741</v>
      </c>
      <c r="G602" s="177">
        <f ca="1">G604+G605</f>
        <v>0</v>
      </c>
      <c r="H602" s="177">
        <f t="shared" ref="H602:K602" ca="1" si="2457">H604+H605</f>
        <v>0</v>
      </c>
      <c r="I602" s="177">
        <f t="shared" ca="1" si="2457"/>
        <v>0</v>
      </c>
      <c r="J602" s="177">
        <f t="shared" ca="1" si="2457"/>
        <v>0</v>
      </c>
      <c r="K602" s="177">
        <f t="shared" ca="1" si="2457"/>
        <v>0</v>
      </c>
      <c r="L602" s="177">
        <f t="shared" ref="L602:M602" ca="1" si="2458">L604+L605</f>
        <v>0</v>
      </c>
      <c r="M602" s="177">
        <f t="shared" ca="1" si="2458"/>
        <v>1216975.9727761033</v>
      </c>
      <c r="N602" s="177">
        <f t="shared" ref="N602:O602" ca="1" si="2459">N604+N605</f>
        <v>1183688.1116426983</v>
      </c>
      <c r="O602" s="177">
        <f t="shared" ca="1" si="2459"/>
        <v>1422377.1177272743</v>
      </c>
      <c r="P602" s="177">
        <f t="shared" ref="P602:Q602" ca="1" si="2460">P604+P605</f>
        <v>1668579.4796940009</v>
      </c>
      <c r="Q602" s="177">
        <f t="shared" ca="1" si="2460"/>
        <v>1544005.0407742898</v>
      </c>
      <c r="R602" s="177">
        <f t="shared" ref="R602:S602" ca="1" si="2461">R604+R605</f>
        <v>1570836.9175153319</v>
      </c>
      <c r="S602" s="177">
        <f t="shared" ca="1" si="2461"/>
        <v>2332027.0560494512</v>
      </c>
      <c r="T602" s="177">
        <f t="shared" ref="T602:U602" ca="1" si="2462">T604+T605</f>
        <v>1690789.5254356917</v>
      </c>
      <c r="U602" s="177">
        <f t="shared" ca="1" si="2462"/>
        <v>1460092.7489773366</v>
      </c>
      <c r="V602" s="177">
        <f t="shared" ref="V602:W602" ca="1" si="2463">V604+V605</f>
        <v>1612569.7386010597</v>
      </c>
      <c r="W602" s="177">
        <f t="shared" ca="1" si="2463"/>
        <v>1233623.0990248155</v>
      </c>
      <c r="X602" s="177">
        <f t="shared" ref="X602:Y602" ca="1" si="2464">X604+X605</f>
        <v>2555158.9421889577</v>
      </c>
      <c r="Y602" s="177">
        <f t="shared" ca="1" si="2464"/>
        <v>2913838.0493879663</v>
      </c>
      <c r="Z602" s="177">
        <f t="shared" ref="Z602:AA602" ca="1" si="2465">Z604+Z605</f>
        <v>2641176.6750457776</v>
      </c>
      <c r="AA602" s="177">
        <f t="shared" ca="1" si="2465"/>
        <v>1470465.3391500083</v>
      </c>
      <c r="AB602" s="177">
        <f t="shared" ref="AB602:AC602" ca="1" si="2466">AB604+AB605</f>
        <v>1136295.8378219979</v>
      </c>
      <c r="AC602" s="177">
        <f t="shared" ca="1" si="2466"/>
        <v>1450200.3711124188</v>
      </c>
      <c r="AD602" s="177">
        <f t="shared" ref="AD602:AE602" ca="1" si="2467">AD604+AD605</f>
        <v>1887495.1469545148</v>
      </c>
      <c r="AE602" s="177">
        <f t="shared" ca="1" si="2467"/>
        <v>2576216.3185413158</v>
      </c>
      <c r="AF602" s="177">
        <f t="shared" ref="AF602:AG602" ca="1" si="2468">AF604+AF605</f>
        <v>1868482.7915137005</v>
      </c>
      <c r="AG602" s="177">
        <f t="shared" ca="1" si="2468"/>
        <v>1612856.7970549155</v>
      </c>
      <c r="AH602" s="177">
        <f t="shared" ref="AH602:AI602" ca="1" si="2469">AH604+AH605</f>
        <v>1781005.5651804265</v>
      </c>
      <c r="AI602" s="177">
        <f t="shared" ca="1" si="2469"/>
        <v>1362013.3817549183</v>
      </c>
      <c r="AJ602" s="177">
        <f t="shared" ref="AJ602:AK602" ca="1" si="2470">AJ604+AJ605</f>
        <v>2823926.7793668527</v>
      </c>
      <c r="AK602" s="177">
        <f t="shared" ca="1" si="2470"/>
        <v>3223792.2857159274</v>
      </c>
      <c r="AL602" s="177">
        <f t="shared" ref="AL602:AM602" ca="1" si="2471">AL604+AL605</f>
        <v>2923848.8991586105</v>
      </c>
      <c r="AM602" s="177">
        <f t="shared" ca="1" si="2471"/>
        <v>1627942.1860200525</v>
      </c>
      <c r="AN602" s="177">
        <f t="shared" ref="AN602:AO602" ca="1" si="2472">AN604+AN605</f>
        <v>1255311.3153859968</v>
      </c>
      <c r="AO602" s="177">
        <f t="shared" ca="1" si="2472"/>
        <v>1601149.0923591398</v>
      </c>
      <c r="AP602" s="177">
        <f t="shared" ref="AP602:AQ602" ca="1" si="2473">AP604+AP605</f>
        <v>2084580.5513774485</v>
      </c>
      <c r="AQ602" s="177">
        <f t="shared" ca="1" si="2473"/>
        <v>2847944.4169790242</v>
      </c>
      <c r="AR602" s="177">
        <f t="shared" ref="AR602:AS602" ca="1" si="2474">AR604+AR605</f>
        <v>2066261.6461230018</v>
      </c>
      <c r="AS602" s="177">
        <f t="shared" ca="1" si="2474"/>
        <v>1782840.2765331215</v>
      </c>
      <c r="AT602" s="177">
        <f t="shared" ref="AT602:AU602" ca="1" si="2475">AT604+AT605</f>
        <v>1968407.3923382987</v>
      </c>
      <c r="AU602" s="177">
        <f t="shared" ca="1" si="2475"/>
        <v>1504827.5714919004</v>
      </c>
      <c r="AV602" s="177">
        <f t="shared" ref="AV602:AW602" ca="1" si="2476">AV604+AV605</f>
        <v>3123091.3327353364</v>
      </c>
      <c r="AW602" s="177">
        <f t="shared" ca="1" si="2476"/>
        <v>3569045.0968594383</v>
      </c>
      <c r="AX602" s="177">
        <f t="shared" ref="AX602:AY602" ca="1" si="2477">AX604+AX605</f>
        <v>3238832.77739642</v>
      </c>
      <c r="AY602" s="177">
        <f t="shared" ca="1" si="2477"/>
        <v>1803426.8110203003</v>
      </c>
      <c r="AZ602" s="177">
        <f t="shared" ref="AZ602:BA602" ca="1" si="2478">AZ604+AZ605</f>
        <v>1387751.2646974579</v>
      </c>
      <c r="BA602" s="177">
        <f t="shared" ca="1" si="2478"/>
        <v>1769057.3128745893</v>
      </c>
      <c r="BB602" s="177">
        <f t="shared" ref="BB602" ca="1" si="2479">BB604+BB605</f>
        <v>2303853.172042618</v>
      </c>
    </row>
    <row r="603" spans="1:54" collapsed="1" x14ac:dyDescent="0.3">
      <c r="A603" s="175" t="str">
        <f ca="1">Language!A$833</f>
        <v>средний период отсрочки платежа</v>
      </c>
      <c r="B603" s="295">
        <v>10</v>
      </c>
      <c r="C603" s="176" t="str">
        <f ca="1">Language!$A$1474</f>
        <v>дней</v>
      </c>
      <c r="G603" s="177"/>
      <c r="H603" s="177"/>
      <c r="I603" s="177"/>
      <c r="J603" s="177"/>
      <c r="K603" s="177"/>
      <c r="L603" s="177"/>
      <c r="M603" s="177"/>
      <c r="N603" s="177"/>
      <c r="O603" s="177"/>
      <c r="P603" s="177"/>
      <c r="Q603" s="177"/>
      <c r="R603" s="177"/>
      <c r="S603" s="177"/>
      <c r="T603" s="177"/>
      <c r="U603" s="177"/>
      <c r="V603" s="177"/>
      <c r="W603" s="177"/>
      <c r="X603" s="177"/>
      <c r="Y603" s="177"/>
      <c r="Z603" s="177"/>
      <c r="AA603" s="177"/>
      <c r="AB603" s="177"/>
      <c r="AC603" s="177"/>
      <c r="AD603" s="177"/>
      <c r="AE603" s="177"/>
      <c r="AF603" s="177"/>
      <c r="AG603" s="177"/>
      <c r="AH603" s="177"/>
      <c r="AI603" s="177"/>
      <c r="AJ603" s="177"/>
      <c r="AK603" s="177"/>
      <c r="AL603" s="177"/>
      <c r="AM603" s="177"/>
      <c r="AN603" s="177"/>
      <c r="AO603" s="177"/>
      <c r="AP603" s="177"/>
      <c r="AQ603" s="177"/>
      <c r="AR603" s="177"/>
      <c r="AS603" s="177"/>
      <c r="AT603" s="177"/>
      <c r="AU603" s="177"/>
      <c r="AV603" s="177"/>
      <c r="AW603" s="177"/>
      <c r="AX603" s="177"/>
      <c r="AY603" s="177"/>
      <c r="AZ603" s="177"/>
      <c r="BA603" s="177"/>
      <c r="BB603" s="177"/>
    </row>
    <row r="604" spans="1:54" hidden="1" outlineLevel="1" x14ac:dyDescent="0.3">
      <c r="A604" s="184" t="str">
        <f ca="1">Language!A$834</f>
        <v>величина из плана затрат</v>
      </c>
      <c r="B604" s="184"/>
      <c r="C604" s="174" t="str">
        <f ca="1">CurName1</f>
        <v>руб.</v>
      </c>
      <c r="F604" s="170" t="s">
        <v>741</v>
      </c>
      <c r="G604" s="185">
        <f t="shared" ref="G604:BB604" ca="1" si="2480">G278+G534+G560+G547</f>
        <v>0</v>
      </c>
      <c r="H604" s="185">
        <f t="shared" ca="1" si="2480"/>
        <v>0</v>
      </c>
      <c r="I604" s="185">
        <f t="shared" ca="1" si="2480"/>
        <v>0</v>
      </c>
      <c r="J604" s="185">
        <f t="shared" ca="1" si="2480"/>
        <v>0</v>
      </c>
      <c r="K604" s="185">
        <f t="shared" ca="1" si="2480"/>
        <v>0</v>
      </c>
      <c r="L604" s="185">
        <f t="shared" ca="1" si="2480"/>
        <v>0</v>
      </c>
      <c r="M604" s="185">
        <f t="shared" ca="1" si="2480"/>
        <v>1216975.9727761033</v>
      </c>
      <c r="N604" s="185">
        <f t="shared" ca="1" si="2480"/>
        <v>1183688.1116426983</v>
      </c>
      <c r="O604" s="185">
        <f t="shared" ca="1" si="2480"/>
        <v>1422377.1177272743</v>
      </c>
      <c r="P604" s="185">
        <f t="shared" ca="1" si="2480"/>
        <v>1668579.4796940009</v>
      </c>
      <c r="Q604" s="185">
        <f t="shared" ca="1" si="2480"/>
        <v>1544005.0407742898</v>
      </c>
      <c r="R604" s="185">
        <f t="shared" ca="1" si="2480"/>
        <v>1570836.9175153319</v>
      </c>
      <c r="S604" s="185">
        <f t="shared" ca="1" si="2480"/>
        <v>2332027.0560494512</v>
      </c>
      <c r="T604" s="185">
        <f t="shared" ca="1" si="2480"/>
        <v>1690789.5254356917</v>
      </c>
      <c r="U604" s="185">
        <f t="shared" ca="1" si="2480"/>
        <v>1460092.7489773366</v>
      </c>
      <c r="V604" s="185">
        <f t="shared" ca="1" si="2480"/>
        <v>1612569.7386010597</v>
      </c>
      <c r="W604" s="185">
        <f t="shared" ca="1" si="2480"/>
        <v>1233623.0990248155</v>
      </c>
      <c r="X604" s="185">
        <f t="shared" ca="1" si="2480"/>
        <v>2555158.9421889577</v>
      </c>
      <c r="Y604" s="185">
        <f t="shared" ca="1" si="2480"/>
        <v>2913838.0493879663</v>
      </c>
      <c r="Z604" s="185">
        <f t="shared" ca="1" si="2480"/>
        <v>2641176.6750457776</v>
      </c>
      <c r="AA604" s="185">
        <f t="shared" ca="1" si="2480"/>
        <v>1470465.3391500083</v>
      </c>
      <c r="AB604" s="185">
        <f t="shared" ca="1" si="2480"/>
        <v>1136295.8378219979</v>
      </c>
      <c r="AC604" s="185">
        <f t="shared" ca="1" si="2480"/>
        <v>1450200.3711124188</v>
      </c>
      <c r="AD604" s="185">
        <f t="shared" ca="1" si="2480"/>
        <v>1887495.1469545148</v>
      </c>
      <c r="AE604" s="185">
        <f t="shared" ca="1" si="2480"/>
        <v>2576216.3185413158</v>
      </c>
      <c r="AF604" s="185">
        <f t="shared" ca="1" si="2480"/>
        <v>1868482.7915137005</v>
      </c>
      <c r="AG604" s="185">
        <f t="shared" ca="1" si="2480"/>
        <v>1612856.7970549155</v>
      </c>
      <c r="AH604" s="185">
        <f t="shared" ca="1" si="2480"/>
        <v>1781005.5651804265</v>
      </c>
      <c r="AI604" s="185">
        <f t="shared" ca="1" si="2480"/>
        <v>1362013.3817549183</v>
      </c>
      <c r="AJ604" s="185">
        <f t="shared" ca="1" si="2480"/>
        <v>2823926.7793668527</v>
      </c>
      <c r="AK604" s="185">
        <f t="shared" ca="1" si="2480"/>
        <v>3223792.2857159274</v>
      </c>
      <c r="AL604" s="185">
        <f t="shared" ca="1" si="2480"/>
        <v>2923848.8991586105</v>
      </c>
      <c r="AM604" s="185">
        <f t="shared" ca="1" si="2480"/>
        <v>1627942.1860200525</v>
      </c>
      <c r="AN604" s="185">
        <f t="shared" ca="1" si="2480"/>
        <v>1255311.3153859968</v>
      </c>
      <c r="AO604" s="185">
        <f t="shared" ca="1" si="2480"/>
        <v>1601149.0923591398</v>
      </c>
      <c r="AP604" s="185">
        <f t="shared" ca="1" si="2480"/>
        <v>2084580.5513774485</v>
      </c>
      <c r="AQ604" s="185">
        <f t="shared" ca="1" si="2480"/>
        <v>2847944.4169790242</v>
      </c>
      <c r="AR604" s="185">
        <f t="shared" ca="1" si="2480"/>
        <v>2066261.6461230018</v>
      </c>
      <c r="AS604" s="185">
        <f t="shared" ca="1" si="2480"/>
        <v>1782840.2765331215</v>
      </c>
      <c r="AT604" s="185">
        <f t="shared" ca="1" si="2480"/>
        <v>1968407.3923382987</v>
      </c>
      <c r="AU604" s="185">
        <f t="shared" ca="1" si="2480"/>
        <v>1504827.5714919004</v>
      </c>
      <c r="AV604" s="185">
        <f t="shared" ca="1" si="2480"/>
        <v>3123091.3327353364</v>
      </c>
      <c r="AW604" s="185">
        <f t="shared" ca="1" si="2480"/>
        <v>3569045.0968594383</v>
      </c>
      <c r="AX604" s="185">
        <f t="shared" ca="1" si="2480"/>
        <v>3238832.77739642</v>
      </c>
      <c r="AY604" s="185">
        <f t="shared" ca="1" si="2480"/>
        <v>1803426.8110203003</v>
      </c>
      <c r="AZ604" s="185">
        <f t="shared" ca="1" si="2480"/>
        <v>1387751.2646974579</v>
      </c>
      <c r="BA604" s="185">
        <f t="shared" ca="1" si="2480"/>
        <v>1769057.3128745893</v>
      </c>
      <c r="BB604" s="185">
        <f t="shared" ca="1" si="2480"/>
        <v>2303853.172042618</v>
      </c>
    </row>
    <row r="605" spans="1:54" hidden="1" outlineLevel="1" x14ac:dyDescent="0.3">
      <c r="A605" s="184" t="str">
        <f ca="1">Language!A$835</f>
        <v>величина из стартового баланса</v>
      </c>
      <c r="B605" s="212">
        <f>Старт!B28</f>
        <v>0</v>
      </c>
      <c r="C605" s="174" t="str">
        <f ca="1">CurName1</f>
        <v>руб.</v>
      </c>
      <c r="F605" s="170" t="s">
        <v>2350</v>
      </c>
      <c r="G605" s="287">
        <f ca="1">IF(SUM($G604:G604)=0,$B605,0)</f>
        <v>0</v>
      </c>
      <c r="H605" s="287">
        <f ca="1">IF(SUM($G604:H604)=0,$B605,0)</f>
        <v>0</v>
      </c>
      <c r="I605" s="287">
        <f ca="1">IF(SUM($G604:I604)=0,$B605,0)</f>
        <v>0</v>
      </c>
      <c r="J605" s="287">
        <f ca="1">IF(SUM($G604:J604)=0,$B605,0)</f>
        <v>0</v>
      </c>
      <c r="K605" s="287">
        <f ca="1">IF(SUM($G604:K604)=0,$B605,0)</f>
        <v>0</v>
      </c>
      <c r="L605" s="287">
        <f ca="1">IF(SUM($G604:L604)=0,$B605,0)</f>
        <v>0</v>
      </c>
      <c r="M605" s="287">
        <f ca="1">IF(SUM($G604:M604)=0,$B605,0)</f>
        <v>0</v>
      </c>
      <c r="N605" s="287">
        <f ca="1">IF(SUM($G604:N604)=0,$B605,0)</f>
        <v>0</v>
      </c>
      <c r="O605" s="287">
        <f ca="1">IF(SUM($G604:O604)=0,$B605,0)</f>
        <v>0</v>
      </c>
      <c r="P605" s="287">
        <f ca="1">IF(SUM($G604:P604)=0,$B605,0)</f>
        <v>0</v>
      </c>
      <c r="Q605" s="287">
        <f ca="1">IF(SUM($G604:Q604)=0,$B605,0)</f>
        <v>0</v>
      </c>
      <c r="R605" s="287">
        <f ca="1">IF(SUM($G604:R604)=0,$B605,0)</f>
        <v>0</v>
      </c>
      <c r="S605" s="287">
        <f ca="1">IF(SUM($G604:S604)=0,$B605,0)</f>
        <v>0</v>
      </c>
      <c r="T605" s="287">
        <f ca="1">IF(SUM($G604:T604)=0,$B605,0)</f>
        <v>0</v>
      </c>
      <c r="U605" s="287">
        <f ca="1">IF(SUM($G604:U604)=0,$B605,0)</f>
        <v>0</v>
      </c>
      <c r="V605" s="287">
        <f ca="1">IF(SUM($G604:V604)=0,$B605,0)</f>
        <v>0</v>
      </c>
      <c r="W605" s="287">
        <f ca="1">IF(SUM($G604:W604)=0,$B605,0)</f>
        <v>0</v>
      </c>
      <c r="X605" s="287">
        <f ca="1">IF(SUM($G604:X604)=0,$B605,0)</f>
        <v>0</v>
      </c>
      <c r="Y605" s="287">
        <f ca="1">IF(SUM($G604:Y604)=0,$B605,0)</f>
        <v>0</v>
      </c>
      <c r="Z605" s="287">
        <f ca="1">IF(SUM($G604:Z604)=0,$B605,0)</f>
        <v>0</v>
      </c>
      <c r="AA605" s="287">
        <f ca="1">IF(SUM($G604:AA604)=0,$B605,0)</f>
        <v>0</v>
      </c>
      <c r="AB605" s="287">
        <f ca="1">IF(SUM($G604:AB604)=0,$B605,0)</f>
        <v>0</v>
      </c>
      <c r="AC605" s="287">
        <f ca="1">IF(SUM($G604:AC604)=0,$B605,0)</f>
        <v>0</v>
      </c>
      <c r="AD605" s="287">
        <f ca="1">IF(SUM($G604:AD604)=0,$B605,0)</f>
        <v>0</v>
      </c>
      <c r="AE605" s="287">
        <f ca="1">IF(SUM($G604:AE604)=0,$B605,0)</f>
        <v>0</v>
      </c>
      <c r="AF605" s="287">
        <f ca="1">IF(SUM($G604:AF604)=0,$B605,0)</f>
        <v>0</v>
      </c>
      <c r="AG605" s="287">
        <f ca="1">IF(SUM($G604:AG604)=0,$B605,0)</f>
        <v>0</v>
      </c>
      <c r="AH605" s="287">
        <f ca="1">IF(SUM($G604:AH604)=0,$B605,0)</f>
        <v>0</v>
      </c>
      <c r="AI605" s="287">
        <f ca="1">IF(SUM($G604:AI604)=0,$B605,0)</f>
        <v>0</v>
      </c>
      <c r="AJ605" s="287">
        <f ca="1">IF(SUM($G604:AJ604)=0,$B605,0)</f>
        <v>0</v>
      </c>
      <c r="AK605" s="287">
        <f ca="1">IF(SUM($G604:AK604)=0,$B605,0)</f>
        <v>0</v>
      </c>
      <c r="AL605" s="287">
        <f ca="1">IF(SUM($G604:AL604)=0,$B605,0)</f>
        <v>0</v>
      </c>
      <c r="AM605" s="287">
        <f ca="1">IF(SUM($G604:AM604)=0,$B605,0)</f>
        <v>0</v>
      </c>
      <c r="AN605" s="287">
        <f ca="1">IF(SUM($G604:AN604)=0,$B605,0)</f>
        <v>0</v>
      </c>
      <c r="AO605" s="287">
        <f ca="1">IF(SUM($G604:AO604)=0,$B605,0)</f>
        <v>0</v>
      </c>
      <c r="AP605" s="287">
        <f ca="1">IF(SUM($G604:AP604)=0,$B605,0)</f>
        <v>0</v>
      </c>
      <c r="AQ605" s="287">
        <f ca="1">IF(SUM($G604:AQ604)=0,$B605,0)</f>
        <v>0</v>
      </c>
      <c r="AR605" s="287">
        <f ca="1">IF(SUM($G604:AR604)=0,$B605,0)</f>
        <v>0</v>
      </c>
      <c r="AS605" s="287">
        <f ca="1">IF(SUM($G604:AS604)=0,$B605,0)</f>
        <v>0</v>
      </c>
      <c r="AT605" s="287">
        <f ca="1">IF(SUM($G604:AT604)=0,$B605,0)</f>
        <v>0</v>
      </c>
      <c r="AU605" s="287">
        <f ca="1">IF(SUM($G604:AU604)=0,$B605,0)</f>
        <v>0</v>
      </c>
      <c r="AV605" s="287">
        <f ca="1">IF(SUM($G604:AV604)=0,$B605,0)</f>
        <v>0</v>
      </c>
      <c r="AW605" s="287">
        <f ca="1">IF(SUM($G604:AW604)=0,$B605,0)</f>
        <v>0</v>
      </c>
      <c r="AX605" s="287">
        <f ca="1">IF(SUM($G604:AX604)=0,$B605,0)</f>
        <v>0</v>
      </c>
      <c r="AY605" s="287">
        <f ca="1">IF(SUM($G604:AY604)=0,$B605,0)</f>
        <v>0</v>
      </c>
      <c r="AZ605" s="287">
        <f ca="1">IF(SUM($G604:AZ604)=0,$B605,0)</f>
        <v>0</v>
      </c>
      <c r="BA605" s="287">
        <f ca="1">IF(SUM($G604:BA604)=0,$B605,0)</f>
        <v>0</v>
      </c>
      <c r="BB605" s="287">
        <f ca="1">IF(SUM($G604:BB604)=0,$B605,0)</f>
        <v>0</v>
      </c>
    </row>
    <row r="606" spans="1:54" hidden="1" outlineLevel="1" x14ac:dyDescent="0.3">
      <c r="A606" s="184" t="str">
        <f ca="1">Language!A$836</f>
        <v>влияние стартового баланса на денежные средства</v>
      </c>
      <c r="B606" s="184"/>
      <c r="C606" s="174" t="str">
        <f ca="1">CurName1</f>
        <v>руб.</v>
      </c>
      <c r="F606" s="170" t="s">
        <v>740</v>
      </c>
      <c r="G606" s="185">
        <f ca="1">IF(G$2=1,G605-$B605,G605-F605)</f>
        <v>0</v>
      </c>
      <c r="H606" s="185">
        <f t="shared" ref="H606" ca="1" si="2481">IF(H$2=1,H605-$B605,H605-G605)</f>
        <v>0</v>
      </c>
      <c r="I606" s="185">
        <f t="shared" ref="I606" ca="1" si="2482">IF(I$2=1,I605-$B605,I605-H605)</f>
        <v>0</v>
      </c>
      <c r="J606" s="185">
        <f t="shared" ref="J606" ca="1" si="2483">IF(J$2=1,J605-$B605,J605-I605)</f>
        <v>0</v>
      </c>
      <c r="K606" s="185">
        <f t="shared" ref="K606:BB606" ca="1" si="2484">IF(K$2=1,K605-$B605,K605-J605)</f>
        <v>0</v>
      </c>
      <c r="L606" s="185">
        <f t="shared" ca="1" si="2484"/>
        <v>0</v>
      </c>
      <c r="M606" s="185">
        <f t="shared" ca="1" si="2484"/>
        <v>0</v>
      </c>
      <c r="N606" s="185">
        <f t="shared" ca="1" si="2484"/>
        <v>0</v>
      </c>
      <c r="O606" s="185">
        <f t="shared" ca="1" si="2484"/>
        <v>0</v>
      </c>
      <c r="P606" s="185">
        <f t="shared" ca="1" si="2484"/>
        <v>0</v>
      </c>
      <c r="Q606" s="185">
        <f t="shared" ca="1" si="2484"/>
        <v>0</v>
      </c>
      <c r="R606" s="185">
        <f t="shared" ca="1" si="2484"/>
        <v>0</v>
      </c>
      <c r="S606" s="185">
        <f t="shared" ca="1" si="2484"/>
        <v>0</v>
      </c>
      <c r="T606" s="185">
        <f t="shared" ca="1" si="2484"/>
        <v>0</v>
      </c>
      <c r="U606" s="185">
        <f t="shared" ca="1" si="2484"/>
        <v>0</v>
      </c>
      <c r="V606" s="185">
        <f t="shared" ca="1" si="2484"/>
        <v>0</v>
      </c>
      <c r="W606" s="185">
        <f t="shared" ca="1" si="2484"/>
        <v>0</v>
      </c>
      <c r="X606" s="185">
        <f t="shared" ca="1" si="2484"/>
        <v>0</v>
      </c>
      <c r="Y606" s="185">
        <f t="shared" ca="1" si="2484"/>
        <v>0</v>
      </c>
      <c r="Z606" s="185">
        <f t="shared" ca="1" si="2484"/>
        <v>0</v>
      </c>
      <c r="AA606" s="185">
        <f t="shared" ca="1" si="2484"/>
        <v>0</v>
      </c>
      <c r="AB606" s="185">
        <f t="shared" ca="1" si="2484"/>
        <v>0</v>
      </c>
      <c r="AC606" s="185">
        <f t="shared" ca="1" si="2484"/>
        <v>0</v>
      </c>
      <c r="AD606" s="185">
        <f t="shared" ca="1" si="2484"/>
        <v>0</v>
      </c>
      <c r="AE606" s="185">
        <f t="shared" ca="1" si="2484"/>
        <v>0</v>
      </c>
      <c r="AF606" s="185">
        <f t="shared" ca="1" si="2484"/>
        <v>0</v>
      </c>
      <c r="AG606" s="185">
        <f t="shared" ca="1" si="2484"/>
        <v>0</v>
      </c>
      <c r="AH606" s="185">
        <f t="shared" ca="1" si="2484"/>
        <v>0</v>
      </c>
      <c r="AI606" s="185">
        <f t="shared" ca="1" si="2484"/>
        <v>0</v>
      </c>
      <c r="AJ606" s="185">
        <f t="shared" ca="1" si="2484"/>
        <v>0</v>
      </c>
      <c r="AK606" s="185">
        <f t="shared" ca="1" si="2484"/>
        <v>0</v>
      </c>
      <c r="AL606" s="185">
        <f t="shared" ca="1" si="2484"/>
        <v>0</v>
      </c>
      <c r="AM606" s="185">
        <f t="shared" ca="1" si="2484"/>
        <v>0</v>
      </c>
      <c r="AN606" s="185">
        <f t="shared" ca="1" si="2484"/>
        <v>0</v>
      </c>
      <c r="AO606" s="185">
        <f t="shared" ca="1" si="2484"/>
        <v>0</v>
      </c>
      <c r="AP606" s="185">
        <f t="shared" ca="1" si="2484"/>
        <v>0</v>
      </c>
      <c r="AQ606" s="185">
        <f t="shared" ca="1" si="2484"/>
        <v>0</v>
      </c>
      <c r="AR606" s="185">
        <f t="shared" ca="1" si="2484"/>
        <v>0</v>
      </c>
      <c r="AS606" s="185">
        <f t="shared" ca="1" si="2484"/>
        <v>0</v>
      </c>
      <c r="AT606" s="185">
        <f t="shared" ca="1" si="2484"/>
        <v>0</v>
      </c>
      <c r="AU606" s="185">
        <f t="shared" ca="1" si="2484"/>
        <v>0</v>
      </c>
      <c r="AV606" s="185">
        <f t="shared" ca="1" si="2484"/>
        <v>0</v>
      </c>
      <c r="AW606" s="185">
        <f t="shared" ca="1" si="2484"/>
        <v>0</v>
      </c>
      <c r="AX606" s="185">
        <f t="shared" ca="1" si="2484"/>
        <v>0</v>
      </c>
      <c r="AY606" s="185">
        <f t="shared" ca="1" si="2484"/>
        <v>0</v>
      </c>
      <c r="AZ606" s="185">
        <f t="shared" ca="1" si="2484"/>
        <v>0</v>
      </c>
      <c r="BA606" s="185">
        <f t="shared" ca="1" si="2484"/>
        <v>0</v>
      </c>
      <c r="BB606" s="185">
        <f t="shared" ca="1" si="2484"/>
        <v>0</v>
      </c>
    </row>
    <row r="607" spans="1:54" hidden="1" outlineLevel="1" x14ac:dyDescent="0.3">
      <c r="A607" s="184" t="str">
        <f ca="1">Language!A1521</f>
        <v>затраты для расчета среднего периода оборота</v>
      </c>
      <c r="B607" s="184"/>
      <c r="C607" s="174" t="str">
        <f ca="1">CurName1</f>
        <v>руб.</v>
      </c>
      <c r="F607" s="170" t="s">
        <v>740</v>
      </c>
      <c r="G607" s="185">
        <f ca="1">IF(Старт!$B9+Старт!$B10+Старт!$B11=0,G272,G270)+G566</f>
        <v>0</v>
      </c>
      <c r="H607" s="185">
        <f ca="1">IF(Старт!$B9+Старт!$B10+Старт!$B11=0,H272,H270)+H566</f>
        <v>0</v>
      </c>
      <c r="I607" s="185">
        <f ca="1">IF(Старт!$B9+Старт!$B10+Старт!$B11=0,I272,I270)+I566</f>
        <v>0</v>
      </c>
      <c r="J607" s="185">
        <f ca="1">IF(Старт!$B9+Старт!$B10+Старт!$B11=0,J272,J270)+J566</f>
        <v>0</v>
      </c>
      <c r="K607" s="185">
        <f ca="1">IF(Старт!$B9+Старт!$B10+Старт!$B11=0,K272,K270)+K566</f>
        <v>0</v>
      </c>
      <c r="L607" s="185">
        <f ca="1">IF(Старт!$B9+Старт!$B10+Старт!$B11=0,L272,L270)+L566</f>
        <v>0</v>
      </c>
      <c r="M607" s="185">
        <f ca="1">IF(Старт!$B9+Старт!$B10+Старт!$B11=0,M272,M270)+M566</f>
        <v>3650927.9183283104</v>
      </c>
      <c r="N607" s="185">
        <f ca="1">IF(Старт!$B9+Старт!$B10+Старт!$B11=0,N272,N270)+N566</f>
        <v>3551064.3349280949</v>
      </c>
      <c r="O607" s="185">
        <f ca="1">IF(Старт!$B9+Старт!$B10+Старт!$B11=0,O272,O270)+O566</f>
        <v>4267131.3531818241</v>
      </c>
      <c r="P607" s="185">
        <f ca="1">IF(Старт!$B9+Старт!$B10+Старт!$B11=0,P272,P270)+P566</f>
        <v>5005738.4390820023</v>
      </c>
      <c r="Q607" s="185">
        <f ca="1">IF(Старт!$B9+Старт!$B10+Старт!$B11=0,Q272,Q270)+Q566</f>
        <v>4632015.1223228695</v>
      </c>
      <c r="R607" s="185">
        <f ca="1">IF(Старт!$B9+Старт!$B10+Старт!$B11=0,R272,R270)+R566</f>
        <v>4712510.7525459956</v>
      </c>
      <c r="S607" s="185">
        <f ca="1">IF(Старт!$B9+Старт!$B10+Старт!$B11=0,S272,S270)+S566</f>
        <v>6996081.1681483537</v>
      </c>
      <c r="T607" s="185">
        <f ca="1">IF(Старт!$B9+Старт!$B10+Старт!$B11=0,T272,T270)+T566</f>
        <v>5072368.5763070751</v>
      </c>
      <c r="U607" s="185">
        <f ca="1">IF(Старт!$B9+Старт!$B10+Старт!$B11=0,U272,U270)+U566</f>
        <v>4380278.2469320092</v>
      </c>
      <c r="V607" s="185">
        <f ca="1">IF(Старт!$B9+Старт!$B10+Старт!$B11=0,V272,V270)+V566</f>
        <v>4837709.215803179</v>
      </c>
      <c r="W607" s="185">
        <f ca="1">IF(Старт!$B9+Старт!$B10+Старт!$B11=0,W272,W270)+W566</f>
        <v>3700869.2970744465</v>
      </c>
      <c r="X607" s="185">
        <f ca="1">IF(Старт!$B9+Старт!$B10+Старт!$B11=0,X272,X270)+X566</f>
        <v>7665476.8265668731</v>
      </c>
      <c r="Y607" s="185">
        <f ca="1">IF(Старт!$B9+Старт!$B10+Старт!$B11=0,Y272,Y270)+Y566</f>
        <v>8741514.1481638998</v>
      </c>
      <c r="Z607" s="185">
        <f ca="1">IF(Старт!$B9+Старт!$B10+Старт!$B11=0,Z272,Z270)+Z566</f>
        <v>7923530.0251373332</v>
      </c>
      <c r="AA607" s="185">
        <f ca="1">IF(Старт!$B9+Старт!$B10+Старт!$B11=0,AA272,AA270)+AA566</f>
        <v>4411396.0174500253</v>
      </c>
      <c r="AB607" s="185">
        <f ca="1">IF(Старт!$B9+Старт!$B10+Старт!$B11=0,AB272,AB270)+AB566</f>
        <v>3408887.513465994</v>
      </c>
      <c r="AC607" s="185">
        <f ca="1">IF(Старт!$B9+Старт!$B10+Старт!$B11=0,AC272,AC270)+AC566</f>
        <v>4350601.113337256</v>
      </c>
      <c r="AD607" s="185">
        <f ca="1">IF(Старт!$B9+Старт!$B10+Старт!$B11=0,AD272,AD270)+AD566</f>
        <v>5662485.4408635441</v>
      </c>
      <c r="AE607" s="185">
        <f ca="1">IF(Старт!$B9+Старт!$B10+Старт!$B11=0,AE272,AE270)+AE566</f>
        <v>7728648.9556239471</v>
      </c>
      <c r="AF607" s="185">
        <f ca="1">IF(Старт!$B9+Старт!$B10+Старт!$B11=0,AF272,AF270)+AF566</f>
        <v>5605448.374541102</v>
      </c>
      <c r="AG607" s="185">
        <f ca="1">IF(Старт!$B9+Старт!$B10+Старт!$B11=0,AG272,AG270)+AG566</f>
        <v>4838570.3911647461</v>
      </c>
      <c r="AH607" s="185">
        <f ca="1">IF(Старт!$B9+Старт!$B10+Старт!$B11=0,AH272,AH270)+AH566</f>
        <v>5343016.6955412794</v>
      </c>
      <c r="AI607" s="185">
        <f ca="1">IF(Старт!$B9+Старт!$B10+Старт!$B11=0,AI272,AI270)+AI566</f>
        <v>4086040.1452647545</v>
      </c>
      <c r="AJ607" s="185">
        <f ca="1">IF(Старт!$B9+Старт!$B10+Старт!$B11=0,AJ272,AJ270)+AJ566</f>
        <v>8471780.3381005581</v>
      </c>
      <c r="AK607" s="185">
        <f ca="1">IF(Старт!$B9+Старт!$B10+Старт!$B11=0,AK272,AK270)+AK566</f>
        <v>9671376.857147783</v>
      </c>
      <c r="AL607" s="185">
        <f ca="1">IF(Старт!$B9+Старт!$B10+Старт!$B11=0,AL272,AL270)+AL566</f>
        <v>8771546.697475832</v>
      </c>
      <c r="AM607" s="185">
        <f ca="1">IF(Старт!$B9+Старт!$B10+Старт!$B11=0,AM272,AM270)+AM566</f>
        <v>4883826.558060158</v>
      </c>
      <c r="AN607" s="185">
        <f ca="1">IF(Старт!$B9+Старт!$B10+Старт!$B11=0,AN272,AN270)+AN566</f>
        <v>3765933.946157991</v>
      </c>
      <c r="AO607" s="185">
        <f ca="1">IF(Старт!$B9+Старт!$B10+Старт!$B11=0,AO272,AO270)+AO566</f>
        <v>4803447.2770774197</v>
      </c>
      <c r="AP607" s="185">
        <f ca="1">IF(Старт!$B9+Старт!$B10+Старт!$B11=0,AP272,AP270)+AP566</f>
        <v>6253741.6541323457</v>
      </c>
      <c r="AQ607" s="185">
        <f ca="1">IF(Старт!$B9+Старт!$B10+Старт!$B11=0,AQ272,AQ270)+AQ566</f>
        <v>8543833.2509370744</v>
      </c>
      <c r="AR607" s="185">
        <f ca="1">IF(Старт!$B9+Старт!$B10+Старт!$B11=0,AR272,AR270)+AR566</f>
        <v>6198784.938369005</v>
      </c>
      <c r="AS607" s="185">
        <f ca="1">IF(Старт!$B9+Старт!$B10+Старт!$B11=0,AS272,AS270)+AS566</f>
        <v>5348520.8295993647</v>
      </c>
      <c r="AT607" s="185">
        <f ca="1">IF(Старт!$B9+Старт!$B10+Старт!$B11=0,AT272,AT270)+AT566</f>
        <v>5905222.1770148948</v>
      </c>
      <c r="AU607" s="185">
        <f ca="1">IF(Старт!$B9+Старт!$B10+Старт!$B11=0,AU272,AU270)+AU566</f>
        <v>4514482.7144757006</v>
      </c>
      <c r="AV607" s="185">
        <f ca="1">IF(Старт!$B9+Старт!$B10+Старт!$B11=0,AV272,AV270)+AV566</f>
        <v>9369273.9982060082</v>
      </c>
      <c r="AW607" s="185">
        <f ca="1">IF(Старт!$B9+Старт!$B10+Старт!$B11=0,AW272,AW270)+AW566</f>
        <v>10707135.290578315</v>
      </c>
      <c r="AX607" s="185">
        <f ca="1">IF(Старт!$B9+Старт!$B10+Старт!$B11=0,AX272,AX270)+AX566</f>
        <v>9716498.3321892619</v>
      </c>
      <c r="AY607" s="185">
        <f ca="1">IF(Старт!$B9+Старт!$B10+Старт!$B11=0,AY272,AY270)+AY566</f>
        <v>5410280.4330609003</v>
      </c>
      <c r="AZ607" s="185">
        <f ca="1">IF(Старт!$B9+Старт!$B10+Старт!$B11=0,AZ272,AZ270)+AZ566</f>
        <v>4163253.7940923739</v>
      </c>
      <c r="BA607" s="185">
        <f ca="1">IF(Старт!$B9+Старт!$B10+Старт!$B11=0,BA272,BA270)+BA566</f>
        <v>5307171.9386237673</v>
      </c>
      <c r="BB607" s="185">
        <f ca="1">IF(Старт!$B9+Старт!$B10+Старт!$B11=0,BB272,BB270)+BB566</f>
        <v>6911559.5161278546</v>
      </c>
    </row>
    <row r="608" spans="1:54" x14ac:dyDescent="0.3">
      <c r="A608" s="214"/>
      <c r="B608" s="199"/>
      <c r="C608" s="176"/>
      <c r="G608" s="177"/>
      <c r="H608" s="177"/>
      <c r="I608" s="177"/>
      <c r="J608" s="177"/>
      <c r="K608" s="177"/>
      <c r="L608" s="177"/>
      <c r="M608" s="177"/>
      <c r="N608" s="177"/>
      <c r="O608" s="177"/>
      <c r="P608" s="177"/>
      <c r="Q608" s="177"/>
      <c r="R608" s="177"/>
      <c r="S608" s="177"/>
      <c r="T608" s="177"/>
      <c r="U608" s="177"/>
      <c r="V608" s="177"/>
      <c r="W608" s="177"/>
      <c r="X608" s="177"/>
      <c r="Y608" s="177"/>
      <c r="Z608" s="177"/>
      <c r="AA608" s="177"/>
      <c r="AB608" s="177"/>
      <c r="AC608" s="177"/>
      <c r="AD608" s="177"/>
      <c r="AE608" s="177"/>
      <c r="AF608" s="177"/>
      <c r="AG608" s="177"/>
      <c r="AH608" s="177"/>
      <c r="AI608" s="177"/>
      <c r="AJ608" s="177"/>
      <c r="AK608" s="177"/>
      <c r="AL608" s="177"/>
      <c r="AM608" s="177"/>
      <c r="AN608" s="177"/>
      <c r="AO608" s="177"/>
      <c r="AP608" s="177"/>
      <c r="AQ608" s="177"/>
      <c r="AR608" s="177"/>
      <c r="AS608" s="177"/>
      <c r="AT608" s="177"/>
      <c r="AU608" s="177"/>
      <c r="AV608" s="177"/>
      <c r="AW608" s="177"/>
      <c r="AX608" s="177"/>
      <c r="AY608" s="177"/>
      <c r="AZ608" s="177"/>
      <c r="BA608" s="177"/>
      <c r="BB608" s="177"/>
    </row>
    <row r="609" spans="1:54" x14ac:dyDescent="0.3">
      <c r="A609" s="214" t="str">
        <f ca="1">Language!A$837</f>
        <v>Авансы уплаченные</v>
      </c>
      <c r="C609" s="176" t="str">
        <f ca="1">CurName1</f>
        <v>руб.</v>
      </c>
      <c r="F609" s="170" t="s">
        <v>741</v>
      </c>
      <c r="G609" s="177">
        <f ca="1">G611+G612</f>
        <v>0</v>
      </c>
      <c r="H609" s="177">
        <f t="shared" ref="H609:K609" ca="1" si="2485">H611+H612</f>
        <v>0</v>
      </c>
      <c r="I609" s="177">
        <f t="shared" ca="1" si="2485"/>
        <v>0</v>
      </c>
      <c r="J609" s="177">
        <f t="shared" ca="1" si="2485"/>
        <v>0</v>
      </c>
      <c r="K609" s="177">
        <f t="shared" ca="1" si="2485"/>
        <v>0</v>
      </c>
      <c r="L609" s="177">
        <f t="shared" ref="L609:M609" ca="1" si="2486">L611+L612</f>
        <v>1077925.0604182645</v>
      </c>
      <c r="M609" s="177">
        <f t="shared" ca="1" si="2486"/>
        <v>1020300.9219385064</v>
      </c>
      <c r="N609" s="177">
        <f t="shared" ref="N609:O609" ca="1" si="2487">N611+N612</f>
        <v>1234206.9855775193</v>
      </c>
      <c r="O609" s="177">
        <f t="shared" ca="1" si="2487"/>
        <v>1453432.2541845562</v>
      </c>
      <c r="P609" s="177">
        <f t="shared" ref="P609:Q609" ca="1" si="2488">P611+P612</f>
        <v>1327163.6103772703</v>
      </c>
      <c r="Q609" s="177">
        <f t="shared" ca="1" si="2488"/>
        <v>1345254.2860764083</v>
      </c>
      <c r="R609" s="177">
        <f t="shared" ref="R609:S609" ca="1" si="2489">R611+R612</f>
        <v>2059293.2960494512</v>
      </c>
      <c r="S609" s="177">
        <f t="shared" ca="1" si="2489"/>
        <v>1438758.3111929956</v>
      </c>
      <c r="T609" s="177">
        <f t="shared" ref="T609:U609" ca="1" si="2490">T611+T612</f>
        <v>1232759.7512725005</v>
      </c>
      <c r="U609" s="177">
        <f t="shared" ca="1" si="2490"/>
        <v>1385243.6214488929</v>
      </c>
      <c r="V609" s="177">
        <f t="shared" ref="V609:W609" ca="1" si="2491">V611+V612</f>
        <v>1030802.395762083</v>
      </c>
      <c r="W609" s="177">
        <f t="shared" ca="1" si="2491"/>
        <v>2282011.0319947042</v>
      </c>
      <c r="X609" s="177">
        <f t="shared" ref="X609:Y609" ca="1" si="2492">X611+X612</f>
        <v>2593949.0102886567</v>
      </c>
      <c r="Y609" s="177">
        <f t="shared" ca="1" si="2492"/>
        <v>2318553.7988937469</v>
      </c>
      <c r="Z609" s="177">
        <f t="shared" ref="Z609:AA609" ca="1" si="2493">Z611+Z612</f>
        <v>1215001.6815630649</v>
      </c>
      <c r="AA609" s="177">
        <f t="shared" ca="1" si="2493"/>
        <v>924597.17119933455</v>
      </c>
      <c r="AB609" s="177">
        <f t="shared" ref="AB609:AC609" ca="1" si="2494">AB611+AB612</f>
        <v>1236865.475734835</v>
      </c>
      <c r="AC609" s="177">
        <f t="shared" ca="1" si="2494"/>
        <v>1639800.1940034796</v>
      </c>
      <c r="AD609" s="177">
        <f t="shared" ref="AD609:AE609" ca="1" si="2495">AD611+AD612</f>
        <v>2275570.4418053157</v>
      </c>
      <c r="AE609" s="177">
        <f t="shared" ca="1" si="2495"/>
        <v>1591126.5161584537</v>
      </c>
      <c r="AF609" s="177">
        <f t="shared" ref="AF609:AG609" ca="1" si="2496">AF611+AF612</f>
        <v>1363052.8831402145</v>
      </c>
      <c r="AG609" s="177">
        <f t="shared" ca="1" si="2496"/>
        <v>1531122.7653613295</v>
      </c>
      <c r="AH609" s="177">
        <f t="shared" ref="AH609:AI609" ca="1" si="2497">AH611+AH612</f>
        <v>1139519.9896847706</v>
      </c>
      <c r="AI609" s="177">
        <f t="shared" ca="1" si="2497"/>
        <v>2522267.3206365136</v>
      </c>
      <c r="AJ609" s="177">
        <f t="shared" ref="AJ609:AK609" ca="1" si="2498">AJ611+AJ612</f>
        <v>2869408.6835154593</v>
      </c>
      <c r="AK609" s="177">
        <f t="shared" ca="1" si="2498"/>
        <v>2566418.1082182173</v>
      </c>
      <c r="AL609" s="177">
        <f t="shared" ref="AL609:AM609" ca="1" si="2499">AL611+AL612</f>
        <v>1346229.7843613918</v>
      </c>
      <c r="AM609" s="177">
        <f t="shared" ca="1" si="2499"/>
        <v>1023033.9432859169</v>
      </c>
      <c r="AN609" s="177">
        <f t="shared" ref="AN609:AO609" ca="1" si="2500">AN611+AN612</f>
        <v>1367060.4498505509</v>
      </c>
      <c r="AO609" s="177">
        <f t="shared" ca="1" si="2500"/>
        <v>1812386.375479429</v>
      </c>
      <c r="AP609" s="177">
        <f t="shared" ref="AP609:AQ609" ca="1" si="2501">AP611+AP612</f>
        <v>2516284.3524384545</v>
      </c>
      <c r="AQ609" s="177">
        <f t="shared" ca="1" si="2501"/>
        <v>1760799.6919197633</v>
      </c>
      <c r="AR609" s="177">
        <f t="shared" ref="AR609:AS609" ca="1" si="2502">AR611+AR612</f>
        <v>1508125.6877034039</v>
      </c>
      <c r="AS609" s="177">
        <f t="shared" ca="1" si="2502"/>
        <v>1693512.3533994239</v>
      </c>
      <c r="AT609" s="177">
        <f t="shared" ref="AT609:AU609" ca="1" si="2503">AT611+AT612</f>
        <v>1260553.7032846925</v>
      </c>
      <c r="AU609" s="177">
        <f t="shared" ca="1" si="2503"/>
        <v>2789711.2700596871</v>
      </c>
      <c r="AV609" s="177">
        <f t="shared" ref="AV609:AW609" ca="1" si="2504">AV611+AV612</f>
        <v>3176206.0268863994</v>
      </c>
      <c r="AW609" s="177">
        <f t="shared" ca="1" si="2504"/>
        <v>2842595.9097620649</v>
      </c>
      <c r="AX609" s="177">
        <f t="shared" ref="AX609:AY609" ca="1" si="2505">AX611+AX612</f>
        <v>1492540.9143630199</v>
      </c>
      <c r="AY609" s="177">
        <f t="shared" ca="1" si="2505"/>
        <v>1132686.8941059816</v>
      </c>
      <c r="AZ609" s="177">
        <f t="shared" ref="AZ609:BA609" ca="1" si="2506">AZ611+AZ612</f>
        <v>1511986.6268458627</v>
      </c>
      <c r="BA609" s="177">
        <f t="shared" ca="1" si="2506"/>
        <v>2004498.6216356331</v>
      </c>
      <c r="BB609" s="177">
        <f t="shared" ref="BB609" ca="1" si="2507">BB611+BB612</f>
        <v>2004498.6216356331</v>
      </c>
    </row>
    <row r="610" spans="1:54" collapsed="1" x14ac:dyDescent="0.3">
      <c r="A610" s="175" t="str">
        <f ca="1">Language!A$838</f>
        <v>средний период предоплаты</v>
      </c>
      <c r="B610" s="295">
        <v>10</v>
      </c>
      <c r="C610" s="176" t="str">
        <f ca="1">Language!$A$1474</f>
        <v>дней</v>
      </c>
      <c r="G610" s="177"/>
      <c r="H610" s="177"/>
      <c r="I610" s="177"/>
      <c r="J610" s="177"/>
      <c r="K610" s="177"/>
      <c r="L610" s="177"/>
      <c r="M610" s="177"/>
      <c r="N610" s="177"/>
      <c r="O610" s="177"/>
      <c r="P610" s="177"/>
      <c r="Q610" s="177"/>
      <c r="R610" s="177"/>
      <c r="S610" s="177"/>
      <c r="T610" s="177"/>
      <c r="U610" s="177"/>
      <c r="V610" s="177"/>
      <c r="W610" s="177"/>
      <c r="X610" s="177"/>
      <c r="Y610" s="177"/>
      <c r="Z610" s="177"/>
      <c r="AA610" s="177"/>
      <c r="AB610" s="177"/>
      <c r="AC610" s="177"/>
      <c r="AD610" s="177"/>
      <c r="AE610" s="177"/>
      <c r="AF610" s="177"/>
      <c r="AG610" s="177"/>
      <c r="AH610" s="177"/>
      <c r="AI610" s="177"/>
      <c r="AJ610" s="177"/>
      <c r="AK610" s="177"/>
      <c r="AL610" s="177"/>
      <c r="AM610" s="177"/>
      <c r="AN610" s="177"/>
      <c r="AO610" s="177"/>
      <c r="AP610" s="177"/>
      <c r="AQ610" s="177"/>
      <c r="AR610" s="177"/>
      <c r="AS610" s="177"/>
      <c r="AT610" s="177"/>
      <c r="AU610" s="177"/>
      <c r="AV610" s="177"/>
      <c r="AW610" s="177"/>
      <c r="AX610" s="177"/>
      <c r="AY610" s="177"/>
      <c r="AZ610" s="177"/>
      <c r="BA610" s="177"/>
      <c r="BB610" s="177"/>
    </row>
    <row r="611" spans="1:54" hidden="1" outlineLevel="1" x14ac:dyDescent="0.3">
      <c r="A611" s="184" t="str">
        <f ca="1">Language!A$839</f>
        <v>величина из плана затрат</v>
      </c>
      <c r="B611" s="184"/>
      <c r="C611" s="174" t="str">
        <f ca="1">CurName1</f>
        <v>руб.</v>
      </c>
      <c r="F611" s="170" t="s">
        <v>741</v>
      </c>
      <c r="G611" s="185">
        <f t="shared" ref="G611:BB611" ca="1" si="2508">G279+G536+G562+G549</f>
        <v>0</v>
      </c>
      <c r="H611" s="185">
        <f t="shared" ca="1" si="2508"/>
        <v>0</v>
      </c>
      <c r="I611" s="185">
        <f t="shared" ca="1" si="2508"/>
        <v>0</v>
      </c>
      <c r="J611" s="185">
        <f t="shared" ca="1" si="2508"/>
        <v>0</v>
      </c>
      <c r="K611" s="185">
        <f t="shared" ca="1" si="2508"/>
        <v>0</v>
      </c>
      <c r="L611" s="185">
        <f t="shared" ca="1" si="2508"/>
        <v>1077925.0604182645</v>
      </c>
      <c r="M611" s="185">
        <f t="shared" ca="1" si="2508"/>
        <v>1020300.9219385064</v>
      </c>
      <c r="N611" s="185">
        <f t="shared" ca="1" si="2508"/>
        <v>1234206.9855775193</v>
      </c>
      <c r="O611" s="185">
        <f t="shared" ca="1" si="2508"/>
        <v>1453432.2541845562</v>
      </c>
      <c r="P611" s="185">
        <f t="shared" ca="1" si="2508"/>
        <v>1327163.6103772703</v>
      </c>
      <c r="Q611" s="185">
        <f t="shared" ca="1" si="2508"/>
        <v>1345254.2860764083</v>
      </c>
      <c r="R611" s="185">
        <f t="shared" ca="1" si="2508"/>
        <v>2059293.2960494512</v>
      </c>
      <c r="S611" s="185">
        <f t="shared" ca="1" si="2508"/>
        <v>1438758.3111929956</v>
      </c>
      <c r="T611" s="185">
        <f t="shared" ca="1" si="2508"/>
        <v>1232759.7512725005</v>
      </c>
      <c r="U611" s="185">
        <f t="shared" ca="1" si="2508"/>
        <v>1385243.6214488929</v>
      </c>
      <c r="V611" s="185">
        <f t="shared" ca="1" si="2508"/>
        <v>1030802.395762083</v>
      </c>
      <c r="W611" s="185">
        <f t="shared" ca="1" si="2508"/>
        <v>2282011.0319947042</v>
      </c>
      <c r="X611" s="185">
        <f t="shared" ca="1" si="2508"/>
        <v>2593949.0102886567</v>
      </c>
      <c r="Y611" s="185">
        <f t="shared" ca="1" si="2508"/>
        <v>2318553.7988937469</v>
      </c>
      <c r="Z611" s="185">
        <f t="shared" ca="1" si="2508"/>
        <v>1215001.6815630649</v>
      </c>
      <c r="AA611" s="185">
        <f t="shared" ca="1" si="2508"/>
        <v>924597.17119933455</v>
      </c>
      <c r="AB611" s="185">
        <f t="shared" ca="1" si="2508"/>
        <v>1236865.475734835</v>
      </c>
      <c r="AC611" s="185">
        <f t="shared" ca="1" si="2508"/>
        <v>1639800.1940034796</v>
      </c>
      <c r="AD611" s="185">
        <f t="shared" ca="1" si="2508"/>
        <v>2275570.4418053157</v>
      </c>
      <c r="AE611" s="185">
        <f t="shared" ca="1" si="2508"/>
        <v>1591126.5161584537</v>
      </c>
      <c r="AF611" s="185">
        <f t="shared" ca="1" si="2508"/>
        <v>1363052.8831402145</v>
      </c>
      <c r="AG611" s="185">
        <f t="shared" ca="1" si="2508"/>
        <v>1531122.7653613295</v>
      </c>
      <c r="AH611" s="185">
        <f t="shared" ca="1" si="2508"/>
        <v>1139519.9896847706</v>
      </c>
      <c r="AI611" s="185">
        <f t="shared" ca="1" si="2508"/>
        <v>2522267.3206365136</v>
      </c>
      <c r="AJ611" s="185">
        <f t="shared" ca="1" si="2508"/>
        <v>2869408.6835154593</v>
      </c>
      <c r="AK611" s="185">
        <f t="shared" ca="1" si="2508"/>
        <v>2566418.1082182173</v>
      </c>
      <c r="AL611" s="185">
        <f t="shared" ca="1" si="2508"/>
        <v>1346229.7843613918</v>
      </c>
      <c r="AM611" s="185">
        <f t="shared" ca="1" si="2508"/>
        <v>1023033.9432859169</v>
      </c>
      <c r="AN611" s="185">
        <f t="shared" ca="1" si="2508"/>
        <v>1367060.4498505509</v>
      </c>
      <c r="AO611" s="185">
        <f t="shared" ca="1" si="2508"/>
        <v>1812386.375479429</v>
      </c>
      <c r="AP611" s="185">
        <f t="shared" ca="1" si="2508"/>
        <v>2516284.3524384545</v>
      </c>
      <c r="AQ611" s="185">
        <f t="shared" ca="1" si="2508"/>
        <v>1760799.6919197633</v>
      </c>
      <c r="AR611" s="185">
        <f t="shared" ca="1" si="2508"/>
        <v>1508125.6877034039</v>
      </c>
      <c r="AS611" s="185">
        <f t="shared" ca="1" si="2508"/>
        <v>1693512.3533994239</v>
      </c>
      <c r="AT611" s="185">
        <f t="shared" ca="1" si="2508"/>
        <v>1260553.7032846925</v>
      </c>
      <c r="AU611" s="185">
        <f t="shared" ca="1" si="2508"/>
        <v>2789711.2700596871</v>
      </c>
      <c r="AV611" s="185">
        <f t="shared" ca="1" si="2508"/>
        <v>3176206.0268863994</v>
      </c>
      <c r="AW611" s="185">
        <f t="shared" ca="1" si="2508"/>
        <v>2842595.9097620649</v>
      </c>
      <c r="AX611" s="185">
        <f t="shared" ca="1" si="2508"/>
        <v>1492540.9143630199</v>
      </c>
      <c r="AY611" s="185">
        <f t="shared" ca="1" si="2508"/>
        <v>1132686.8941059816</v>
      </c>
      <c r="AZ611" s="185">
        <f t="shared" ca="1" si="2508"/>
        <v>1511986.6268458627</v>
      </c>
      <c r="BA611" s="185">
        <f t="shared" ca="1" si="2508"/>
        <v>2004498.6216356331</v>
      </c>
      <c r="BB611" s="185">
        <f t="shared" ca="1" si="2508"/>
        <v>2004498.6216356331</v>
      </c>
    </row>
    <row r="612" spans="1:54" hidden="1" outlineLevel="1" x14ac:dyDescent="0.3">
      <c r="A612" s="184" t="str">
        <f ca="1">Language!A$840</f>
        <v>величина из стартового баланса</v>
      </c>
      <c r="B612" s="212">
        <f>Старт!B8</f>
        <v>0</v>
      </c>
      <c r="C612" s="174" t="str">
        <f ca="1">CurName1</f>
        <v>руб.</v>
      </c>
      <c r="F612" s="170" t="s">
        <v>2350</v>
      </c>
      <c r="G612" s="287">
        <f ca="1">IF(SUM($G611:G611)=0,$B612,0)</f>
        <v>0</v>
      </c>
      <c r="H612" s="287">
        <f ca="1">IF(SUM($G611:H611)=0,$B612,0)</f>
        <v>0</v>
      </c>
      <c r="I612" s="287">
        <f ca="1">IF(SUM($G611:I611)=0,$B612,0)</f>
        <v>0</v>
      </c>
      <c r="J612" s="287">
        <f ca="1">IF(SUM($G611:J611)=0,$B612,0)</f>
        <v>0</v>
      </c>
      <c r="K612" s="287">
        <f ca="1">IF(SUM($G611:K611)=0,$B612,0)</f>
        <v>0</v>
      </c>
      <c r="L612" s="287">
        <f ca="1">IF(SUM($G611:L611)=0,$B612,0)</f>
        <v>0</v>
      </c>
      <c r="M612" s="287">
        <f ca="1">IF(SUM($G611:M611)=0,$B612,0)</f>
        <v>0</v>
      </c>
      <c r="N612" s="287">
        <f ca="1">IF(SUM($G611:N611)=0,$B612,0)</f>
        <v>0</v>
      </c>
      <c r="O612" s="287">
        <f ca="1">IF(SUM($G611:O611)=0,$B612,0)</f>
        <v>0</v>
      </c>
      <c r="P612" s="287">
        <f ca="1">IF(SUM($G611:P611)=0,$B612,0)</f>
        <v>0</v>
      </c>
      <c r="Q612" s="287">
        <f ca="1">IF(SUM($G611:Q611)=0,$B612,0)</f>
        <v>0</v>
      </c>
      <c r="R612" s="287">
        <f ca="1">IF(SUM($G611:R611)=0,$B612,0)</f>
        <v>0</v>
      </c>
      <c r="S612" s="287">
        <f ca="1">IF(SUM($G611:S611)=0,$B612,0)</f>
        <v>0</v>
      </c>
      <c r="T612" s="287">
        <f ca="1">IF(SUM($G611:T611)=0,$B612,0)</f>
        <v>0</v>
      </c>
      <c r="U612" s="287">
        <f ca="1">IF(SUM($G611:U611)=0,$B612,0)</f>
        <v>0</v>
      </c>
      <c r="V612" s="287">
        <f ca="1">IF(SUM($G611:V611)=0,$B612,0)</f>
        <v>0</v>
      </c>
      <c r="W612" s="287">
        <f ca="1">IF(SUM($G611:W611)=0,$B612,0)</f>
        <v>0</v>
      </c>
      <c r="X612" s="287">
        <f ca="1">IF(SUM($G611:X611)=0,$B612,0)</f>
        <v>0</v>
      </c>
      <c r="Y612" s="287">
        <f ca="1">IF(SUM($G611:Y611)=0,$B612,0)</f>
        <v>0</v>
      </c>
      <c r="Z612" s="287">
        <f ca="1">IF(SUM($G611:Z611)=0,$B612,0)</f>
        <v>0</v>
      </c>
      <c r="AA612" s="287">
        <f ca="1">IF(SUM($G611:AA611)=0,$B612,0)</f>
        <v>0</v>
      </c>
      <c r="AB612" s="287">
        <f ca="1">IF(SUM($G611:AB611)=0,$B612,0)</f>
        <v>0</v>
      </c>
      <c r="AC612" s="287">
        <f ca="1">IF(SUM($G611:AC611)=0,$B612,0)</f>
        <v>0</v>
      </c>
      <c r="AD612" s="287">
        <f ca="1">IF(SUM($G611:AD611)=0,$B612,0)</f>
        <v>0</v>
      </c>
      <c r="AE612" s="287">
        <f ca="1">IF(SUM($G611:AE611)=0,$B612,0)</f>
        <v>0</v>
      </c>
      <c r="AF612" s="287">
        <f ca="1">IF(SUM($G611:AF611)=0,$B612,0)</f>
        <v>0</v>
      </c>
      <c r="AG612" s="287">
        <f ca="1">IF(SUM($G611:AG611)=0,$B612,0)</f>
        <v>0</v>
      </c>
      <c r="AH612" s="287">
        <f ca="1">IF(SUM($G611:AH611)=0,$B612,0)</f>
        <v>0</v>
      </c>
      <c r="AI612" s="287">
        <f ca="1">IF(SUM($G611:AI611)=0,$B612,0)</f>
        <v>0</v>
      </c>
      <c r="AJ612" s="287">
        <f ca="1">IF(SUM($G611:AJ611)=0,$B612,0)</f>
        <v>0</v>
      </c>
      <c r="AK612" s="287">
        <f ca="1">IF(SUM($G611:AK611)=0,$B612,0)</f>
        <v>0</v>
      </c>
      <c r="AL612" s="287">
        <f ca="1">IF(SUM($G611:AL611)=0,$B612,0)</f>
        <v>0</v>
      </c>
      <c r="AM612" s="287">
        <f ca="1">IF(SUM($G611:AM611)=0,$B612,0)</f>
        <v>0</v>
      </c>
      <c r="AN612" s="287">
        <f ca="1">IF(SUM($G611:AN611)=0,$B612,0)</f>
        <v>0</v>
      </c>
      <c r="AO612" s="287">
        <f ca="1">IF(SUM($G611:AO611)=0,$B612,0)</f>
        <v>0</v>
      </c>
      <c r="AP612" s="287">
        <f ca="1">IF(SUM($G611:AP611)=0,$B612,0)</f>
        <v>0</v>
      </c>
      <c r="AQ612" s="287">
        <f ca="1">IF(SUM($G611:AQ611)=0,$B612,0)</f>
        <v>0</v>
      </c>
      <c r="AR612" s="287">
        <f ca="1">IF(SUM($G611:AR611)=0,$B612,0)</f>
        <v>0</v>
      </c>
      <c r="AS612" s="287">
        <f ca="1">IF(SUM($G611:AS611)=0,$B612,0)</f>
        <v>0</v>
      </c>
      <c r="AT612" s="287">
        <f ca="1">IF(SUM($G611:AT611)=0,$B612,0)</f>
        <v>0</v>
      </c>
      <c r="AU612" s="287">
        <f ca="1">IF(SUM($G611:AU611)=0,$B612,0)</f>
        <v>0</v>
      </c>
      <c r="AV612" s="287">
        <f ca="1">IF(SUM($G611:AV611)=0,$B612,0)</f>
        <v>0</v>
      </c>
      <c r="AW612" s="287">
        <f ca="1">IF(SUM($G611:AW611)=0,$B612,0)</f>
        <v>0</v>
      </c>
      <c r="AX612" s="287">
        <f ca="1">IF(SUM($G611:AX611)=0,$B612,0)</f>
        <v>0</v>
      </c>
      <c r="AY612" s="287">
        <f ca="1">IF(SUM($G611:AY611)=0,$B612,0)</f>
        <v>0</v>
      </c>
      <c r="AZ612" s="287">
        <f ca="1">IF(SUM($G611:AZ611)=0,$B612,0)</f>
        <v>0</v>
      </c>
      <c r="BA612" s="287">
        <f ca="1">IF(SUM($G611:BA611)=0,$B612,0)</f>
        <v>0</v>
      </c>
      <c r="BB612" s="287">
        <f ca="1">IF(SUM($G611:BB611)=0,$B612,0)</f>
        <v>0</v>
      </c>
    </row>
    <row r="613" spans="1:54" hidden="1" outlineLevel="1" x14ac:dyDescent="0.3">
      <c r="A613" s="184" t="str">
        <f ca="1">Language!A$841</f>
        <v>влияние стартового баланса на денежные средства</v>
      </c>
      <c r="B613" s="184"/>
      <c r="C613" s="174" t="str">
        <f ca="1">CurName1</f>
        <v>руб.</v>
      </c>
      <c r="F613" s="170" t="s">
        <v>740</v>
      </c>
      <c r="G613" s="185">
        <f ca="1">IF(G$2=1,$B612-G612,F612-G612)</f>
        <v>0</v>
      </c>
      <c r="H613" s="185">
        <f t="shared" ref="H613" ca="1" si="2509">IF(H$2=1,$B612-H612,G612-H612)</f>
        <v>0</v>
      </c>
      <c r="I613" s="185">
        <f t="shared" ref="I613" ca="1" si="2510">IF(I$2=1,$B612-I612,H612-I612)</f>
        <v>0</v>
      </c>
      <c r="J613" s="185">
        <f t="shared" ref="J613" ca="1" si="2511">IF(J$2=1,$B612-J612,I612-J612)</f>
        <v>0</v>
      </c>
      <c r="K613" s="185">
        <f t="shared" ref="K613:BB613" ca="1" si="2512">IF(K$2=1,$B612-K612,J612-K612)</f>
        <v>0</v>
      </c>
      <c r="L613" s="185">
        <f t="shared" ca="1" si="2512"/>
        <v>0</v>
      </c>
      <c r="M613" s="185">
        <f t="shared" ca="1" si="2512"/>
        <v>0</v>
      </c>
      <c r="N613" s="185">
        <f t="shared" ca="1" si="2512"/>
        <v>0</v>
      </c>
      <c r="O613" s="185">
        <f t="shared" ca="1" si="2512"/>
        <v>0</v>
      </c>
      <c r="P613" s="185">
        <f t="shared" ca="1" si="2512"/>
        <v>0</v>
      </c>
      <c r="Q613" s="185">
        <f t="shared" ca="1" si="2512"/>
        <v>0</v>
      </c>
      <c r="R613" s="185">
        <f t="shared" ca="1" si="2512"/>
        <v>0</v>
      </c>
      <c r="S613" s="185">
        <f t="shared" ca="1" si="2512"/>
        <v>0</v>
      </c>
      <c r="T613" s="185">
        <f t="shared" ca="1" si="2512"/>
        <v>0</v>
      </c>
      <c r="U613" s="185">
        <f t="shared" ca="1" si="2512"/>
        <v>0</v>
      </c>
      <c r="V613" s="185">
        <f t="shared" ca="1" si="2512"/>
        <v>0</v>
      </c>
      <c r="W613" s="185">
        <f t="shared" ca="1" si="2512"/>
        <v>0</v>
      </c>
      <c r="X613" s="185">
        <f t="shared" ca="1" si="2512"/>
        <v>0</v>
      </c>
      <c r="Y613" s="185">
        <f t="shared" ca="1" si="2512"/>
        <v>0</v>
      </c>
      <c r="Z613" s="185">
        <f t="shared" ca="1" si="2512"/>
        <v>0</v>
      </c>
      <c r="AA613" s="185">
        <f t="shared" ca="1" si="2512"/>
        <v>0</v>
      </c>
      <c r="AB613" s="185">
        <f t="shared" ca="1" si="2512"/>
        <v>0</v>
      </c>
      <c r="AC613" s="185">
        <f t="shared" ca="1" si="2512"/>
        <v>0</v>
      </c>
      <c r="AD613" s="185">
        <f t="shared" ca="1" si="2512"/>
        <v>0</v>
      </c>
      <c r="AE613" s="185">
        <f t="shared" ca="1" si="2512"/>
        <v>0</v>
      </c>
      <c r="AF613" s="185">
        <f t="shared" ca="1" si="2512"/>
        <v>0</v>
      </c>
      <c r="AG613" s="185">
        <f t="shared" ca="1" si="2512"/>
        <v>0</v>
      </c>
      <c r="AH613" s="185">
        <f t="shared" ca="1" si="2512"/>
        <v>0</v>
      </c>
      <c r="AI613" s="185">
        <f t="shared" ca="1" si="2512"/>
        <v>0</v>
      </c>
      <c r="AJ613" s="185">
        <f t="shared" ca="1" si="2512"/>
        <v>0</v>
      </c>
      <c r="AK613" s="185">
        <f t="shared" ca="1" si="2512"/>
        <v>0</v>
      </c>
      <c r="AL613" s="185">
        <f t="shared" ca="1" si="2512"/>
        <v>0</v>
      </c>
      <c r="AM613" s="185">
        <f t="shared" ca="1" si="2512"/>
        <v>0</v>
      </c>
      <c r="AN613" s="185">
        <f t="shared" ca="1" si="2512"/>
        <v>0</v>
      </c>
      <c r="AO613" s="185">
        <f t="shared" ca="1" si="2512"/>
        <v>0</v>
      </c>
      <c r="AP613" s="185">
        <f t="shared" ca="1" si="2512"/>
        <v>0</v>
      </c>
      <c r="AQ613" s="185">
        <f t="shared" ca="1" si="2512"/>
        <v>0</v>
      </c>
      <c r="AR613" s="185">
        <f t="shared" ca="1" si="2512"/>
        <v>0</v>
      </c>
      <c r="AS613" s="185">
        <f t="shared" ca="1" si="2512"/>
        <v>0</v>
      </c>
      <c r="AT613" s="185">
        <f t="shared" ca="1" si="2512"/>
        <v>0</v>
      </c>
      <c r="AU613" s="185">
        <f t="shared" ca="1" si="2512"/>
        <v>0</v>
      </c>
      <c r="AV613" s="185">
        <f t="shared" ca="1" si="2512"/>
        <v>0</v>
      </c>
      <c r="AW613" s="185">
        <f t="shared" ca="1" si="2512"/>
        <v>0</v>
      </c>
      <c r="AX613" s="185">
        <f t="shared" ca="1" si="2512"/>
        <v>0</v>
      </c>
      <c r="AY613" s="185">
        <f t="shared" ca="1" si="2512"/>
        <v>0</v>
      </c>
      <c r="AZ613" s="185">
        <f t="shared" ca="1" si="2512"/>
        <v>0</v>
      </c>
      <c r="BA613" s="185">
        <f t="shared" ca="1" si="2512"/>
        <v>0</v>
      </c>
      <c r="BB613" s="185">
        <f t="shared" ca="1" si="2512"/>
        <v>0</v>
      </c>
    </row>
    <row r="614" spans="1:54" x14ac:dyDescent="0.3">
      <c r="A614" s="175"/>
      <c r="B614" s="199"/>
      <c r="C614" s="176"/>
      <c r="G614" s="177"/>
      <c r="H614" s="177"/>
      <c r="I614" s="177"/>
      <c r="J614" s="177"/>
      <c r="K614" s="177"/>
      <c r="L614" s="177"/>
      <c r="M614" s="177"/>
      <c r="N614" s="177"/>
      <c r="O614" s="177"/>
      <c r="P614" s="177"/>
      <c r="Q614" s="177"/>
      <c r="R614" s="177"/>
      <c r="S614" s="177"/>
      <c r="T614" s="177"/>
      <c r="U614" s="177"/>
      <c r="V614" s="177"/>
      <c r="W614" s="177"/>
      <c r="X614" s="177"/>
      <c r="Y614" s="177"/>
      <c r="Z614" s="177"/>
      <c r="AA614" s="177"/>
      <c r="AB614" s="177"/>
      <c r="AC614" s="177"/>
      <c r="AD614" s="177"/>
      <c r="AE614" s="177"/>
      <c r="AF614" s="177"/>
      <c r="AG614" s="177"/>
      <c r="AH614" s="177"/>
      <c r="AI614" s="177"/>
      <c r="AJ614" s="177"/>
      <c r="AK614" s="177"/>
      <c r="AL614" s="177"/>
      <c r="AM614" s="177"/>
      <c r="AN614" s="177"/>
      <c r="AO614" s="177"/>
      <c r="AP614" s="177"/>
      <c r="AQ614" s="177"/>
      <c r="AR614" s="177"/>
      <c r="AS614" s="177"/>
      <c r="AT614" s="177"/>
      <c r="AU614" s="177"/>
      <c r="AV614" s="177"/>
      <c r="AW614" s="177"/>
      <c r="AX614" s="177"/>
      <c r="AY614" s="177"/>
      <c r="AZ614" s="177"/>
      <c r="BA614" s="177"/>
      <c r="BB614" s="177"/>
    </row>
    <row r="615" spans="1:54" x14ac:dyDescent="0.3">
      <c r="A615" s="214" t="str">
        <f ca="1">Language!A$842</f>
        <v>Задолженность по заработной плате</v>
      </c>
      <c r="C615" s="176" t="str">
        <f ca="1">CurName1</f>
        <v>руб.</v>
      </c>
      <c r="F615" s="170" t="s">
        <v>741</v>
      </c>
      <c r="G615" s="177">
        <f ca="1">G617+G618</f>
        <v>0</v>
      </c>
      <c r="H615" s="177">
        <f t="shared" ref="H615:K615" ca="1" si="2513">H617+H618</f>
        <v>0</v>
      </c>
      <c r="I615" s="177">
        <f t="shared" ca="1" si="2513"/>
        <v>0</v>
      </c>
      <c r="J615" s="177">
        <f t="shared" ca="1" si="2513"/>
        <v>0</v>
      </c>
      <c r="K615" s="177">
        <f t="shared" ca="1" si="2513"/>
        <v>0</v>
      </c>
      <c r="L615" s="177">
        <f t="shared" ref="L615:M615" ca="1" si="2514">L617+L618</f>
        <v>0</v>
      </c>
      <c r="M615" s="177">
        <f t="shared" ca="1" si="2514"/>
        <v>501911.96937311621</v>
      </c>
      <c r="N615" s="177">
        <f t="shared" ref="N615:O615" ca="1" si="2515">N617+N618</f>
        <v>504355.05126339087</v>
      </c>
      <c r="O615" s="177">
        <f t="shared" ca="1" si="2515"/>
        <v>506810.0249783016</v>
      </c>
      <c r="P615" s="177">
        <f t="shared" ref="P615:Q615" ca="1" si="2516">P617+P618</f>
        <v>509276.94840190629</v>
      </c>
      <c r="Q615" s="177">
        <f t="shared" ca="1" si="2516"/>
        <v>511755.87970001617</v>
      </c>
      <c r="R615" s="177">
        <f t="shared" ref="R615:S615" ca="1" si="2517">R617+R618</f>
        <v>514246.87732156762</v>
      </c>
      <c r="S615" s="177">
        <f t="shared" ca="1" si="2517"/>
        <v>516750.00000000012</v>
      </c>
      <c r="T615" s="177">
        <f t="shared" ref="T615:U615" ca="1" si="2518">T617+T618</f>
        <v>519265.30675464118</v>
      </c>
      <c r="U615" s="177">
        <f t="shared" ca="1" si="2518"/>
        <v>521792.85689209774</v>
      </c>
      <c r="V615" s="177">
        <f t="shared" ref="V615:W615" ca="1" si="2519">V617+V618</f>
        <v>524332.71000765485</v>
      </c>
      <c r="W615" s="177">
        <f t="shared" ca="1" si="2519"/>
        <v>526884.92598668055</v>
      </c>
      <c r="X615" s="177">
        <f t="shared" ref="X615:Y615" ca="1" si="2520">X617+X618</f>
        <v>529449.56500603771</v>
      </c>
      <c r="Y615" s="177">
        <f t="shared" ca="1" si="2520"/>
        <v>532026.68753550341</v>
      </c>
      <c r="Z615" s="177">
        <f t="shared" ref="Z615:AA615" ca="1" si="2521">Z617+Z618</f>
        <v>534616.35433919448</v>
      </c>
      <c r="AA615" s="177">
        <f t="shared" ca="1" si="2521"/>
        <v>537218.62647699995</v>
      </c>
      <c r="AB615" s="177">
        <f t="shared" ref="AB615:AC615" ca="1" si="2522">AB617+AB618</f>
        <v>539833.56530602078</v>
      </c>
      <c r="AC615" s="177">
        <f t="shared" ca="1" si="2522"/>
        <v>542461.23248201737</v>
      </c>
      <c r="AD615" s="177">
        <f t="shared" ref="AD615:AE615" ca="1" si="2523">AD617+AD618</f>
        <v>545101.68996086181</v>
      </c>
      <c r="AE615" s="177">
        <f t="shared" ca="1" si="2523"/>
        <v>547755.00000000023</v>
      </c>
      <c r="AF615" s="177">
        <f t="shared" ref="AF615:AG615" ca="1" si="2524">AF617+AF618</f>
        <v>550421.2251599197</v>
      </c>
      <c r="AG615" s="177">
        <f t="shared" ca="1" si="2524"/>
        <v>553100.42830562382</v>
      </c>
      <c r="AH615" s="177">
        <f t="shared" ref="AH615:AI615" ca="1" si="2525">AH617+AH618</f>
        <v>555792.67260811431</v>
      </c>
      <c r="AI615" s="177">
        <f t="shared" ca="1" si="2525"/>
        <v>558498.02154588141</v>
      </c>
      <c r="AJ615" s="177">
        <f t="shared" ref="AJ615:AK615" ca="1" si="2526">AJ617+AJ618</f>
        <v>561216.53890640021</v>
      </c>
      <c r="AK615" s="177">
        <f t="shared" ca="1" si="2526"/>
        <v>563948.28878763376</v>
      </c>
      <c r="AL615" s="177">
        <f t="shared" ref="AL615:AM615" ca="1" si="2527">AL617+AL618</f>
        <v>566693.3355995462</v>
      </c>
      <c r="AM615" s="177">
        <f t="shared" ca="1" si="2527"/>
        <v>569451.74406562001</v>
      </c>
      <c r="AN615" s="177">
        <f t="shared" ref="AN615:AO615" ca="1" si="2528">AN617+AN618</f>
        <v>572223.57922438206</v>
      </c>
      <c r="AO615" s="177">
        <f t="shared" ca="1" si="2528"/>
        <v>575008.9064309384</v>
      </c>
      <c r="AP615" s="177">
        <f t="shared" ref="AP615:AQ615" ca="1" si="2529">AP617+AP618</f>
        <v>577807.79135851364</v>
      </c>
      <c r="AQ615" s="177">
        <f t="shared" ca="1" si="2529"/>
        <v>580620.30000000028</v>
      </c>
      <c r="AR615" s="177">
        <f t="shared" ref="AR615:AS615" ca="1" si="2530">AR617+AR618</f>
        <v>583446.49866951501</v>
      </c>
      <c r="AS615" s="177">
        <f t="shared" ca="1" si="2530"/>
        <v>586286.45400396117</v>
      </c>
      <c r="AT615" s="177">
        <f t="shared" ref="AT615:AU615" ca="1" si="2531">AT617+AT618</f>
        <v>589140.23296460113</v>
      </c>
      <c r="AU615" s="177">
        <f t="shared" ca="1" si="2531"/>
        <v>592007.90283863433</v>
      </c>
      <c r="AV615" s="177">
        <f t="shared" ref="AV615:AW615" ca="1" si="2532">AV617+AV618</f>
        <v>594889.5312407841</v>
      </c>
      <c r="AW615" s="177">
        <f t="shared" ca="1" si="2532"/>
        <v>597785.1861148919</v>
      </c>
      <c r="AX615" s="177">
        <f t="shared" ref="AX615:AY615" ca="1" si="2533">AX617+AX618</f>
        <v>600694.93573551893</v>
      </c>
      <c r="AY615" s="177">
        <f t="shared" ca="1" si="2533"/>
        <v>603618.84870955721</v>
      </c>
      <c r="AZ615" s="177">
        <f t="shared" ref="AZ615:BA615" ca="1" si="2534">AZ617+AZ618</f>
        <v>606556.99397784518</v>
      </c>
      <c r="BA615" s="177">
        <f t="shared" ca="1" si="2534"/>
        <v>609509.44081679487</v>
      </c>
      <c r="BB615" s="177">
        <f t="shared" ref="BB615" ca="1" si="2535">BB617+BB618</f>
        <v>612476.25884002447</v>
      </c>
    </row>
    <row r="616" spans="1:54" collapsed="1" x14ac:dyDescent="0.3">
      <c r="A616" s="175" t="str">
        <f ca="1">Language!A$738</f>
        <v>периодичность выплаты заработной платы</v>
      </c>
      <c r="B616" s="295">
        <v>15</v>
      </c>
      <c r="C616" s="176" t="str">
        <f ca="1">Language!$A$1474</f>
        <v>дней</v>
      </c>
      <c r="G616" s="177"/>
      <c r="H616" s="177"/>
      <c r="I616" s="177"/>
      <c r="J616" s="177"/>
      <c r="K616" s="177"/>
      <c r="L616" s="177"/>
      <c r="M616" s="177"/>
      <c r="N616" s="177"/>
      <c r="O616" s="177"/>
      <c r="P616" s="177"/>
      <c r="Q616" s="177"/>
      <c r="R616" s="177"/>
      <c r="S616" s="177"/>
      <c r="T616" s="177"/>
      <c r="U616" s="177"/>
      <c r="V616" s="177"/>
      <c r="W616" s="177"/>
      <c r="X616" s="177"/>
      <c r="Y616" s="177"/>
      <c r="Z616" s="177"/>
      <c r="AA616" s="177"/>
      <c r="AB616" s="177"/>
      <c r="AC616" s="177"/>
      <c r="AD616" s="177"/>
      <c r="AE616" s="177"/>
      <c r="AF616" s="177"/>
      <c r="AG616" s="177"/>
      <c r="AH616" s="177"/>
      <c r="AI616" s="177"/>
      <c r="AJ616" s="177"/>
      <c r="AK616" s="177"/>
      <c r="AL616" s="177"/>
      <c r="AM616" s="177"/>
      <c r="AN616" s="177"/>
      <c r="AO616" s="177"/>
      <c r="AP616" s="177"/>
      <c r="AQ616" s="177"/>
      <c r="AR616" s="177"/>
      <c r="AS616" s="177"/>
      <c r="AT616" s="177"/>
      <c r="AU616" s="177"/>
      <c r="AV616" s="177"/>
      <c r="AW616" s="177"/>
      <c r="AX616" s="177"/>
      <c r="AY616" s="177"/>
      <c r="AZ616" s="177"/>
      <c r="BA616" s="177"/>
      <c r="BB616" s="177"/>
    </row>
    <row r="617" spans="1:54" hidden="1" outlineLevel="1" x14ac:dyDescent="0.3">
      <c r="A617" s="184" t="str">
        <f ca="1">Language!A$844</f>
        <v>величина из плана затрат</v>
      </c>
      <c r="B617" s="184"/>
      <c r="C617" s="174" t="str">
        <f ca="1">CurName1</f>
        <v>руб.</v>
      </c>
      <c r="F617" s="170" t="s">
        <v>741</v>
      </c>
      <c r="G617" s="185">
        <f t="shared" ref="G617:AL617" ca="1" si="2536">G414</f>
        <v>0</v>
      </c>
      <c r="H617" s="185">
        <f t="shared" ca="1" si="2536"/>
        <v>0</v>
      </c>
      <c r="I617" s="185">
        <f t="shared" ca="1" si="2536"/>
        <v>0</v>
      </c>
      <c r="J617" s="185">
        <f t="shared" ca="1" si="2536"/>
        <v>0</v>
      </c>
      <c r="K617" s="185">
        <f t="shared" ca="1" si="2536"/>
        <v>0</v>
      </c>
      <c r="L617" s="185">
        <f t="shared" ca="1" si="2536"/>
        <v>0</v>
      </c>
      <c r="M617" s="185">
        <f t="shared" ca="1" si="2536"/>
        <v>501911.96937311621</v>
      </c>
      <c r="N617" s="185">
        <f t="shared" ca="1" si="2536"/>
        <v>504355.05126339087</v>
      </c>
      <c r="O617" s="185">
        <f t="shared" ca="1" si="2536"/>
        <v>506810.0249783016</v>
      </c>
      <c r="P617" s="185">
        <f t="shared" ca="1" si="2536"/>
        <v>509276.94840190629</v>
      </c>
      <c r="Q617" s="185">
        <f t="shared" ca="1" si="2536"/>
        <v>511755.87970001617</v>
      </c>
      <c r="R617" s="185">
        <f t="shared" ca="1" si="2536"/>
        <v>514246.87732156762</v>
      </c>
      <c r="S617" s="185">
        <f t="shared" ca="1" si="2536"/>
        <v>516750.00000000012</v>
      </c>
      <c r="T617" s="185">
        <f t="shared" ca="1" si="2536"/>
        <v>519265.30675464118</v>
      </c>
      <c r="U617" s="185">
        <f t="shared" ca="1" si="2536"/>
        <v>521792.85689209774</v>
      </c>
      <c r="V617" s="185">
        <f t="shared" ca="1" si="2536"/>
        <v>524332.71000765485</v>
      </c>
      <c r="W617" s="185">
        <f t="shared" ca="1" si="2536"/>
        <v>526884.92598668055</v>
      </c>
      <c r="X617" s="185">
        <f t="shared" ca="1" si="2536"/>
        <v>529449.56500603771</v>
      </c>
      <c r="Y617" s="185">
        <f t="shared" ca="1" si="2536"/>
        <v>532026.68753550341</v>
      </c>
      <c r="Z617" s="185">
        <f t="shared" ca="1" si="2536"/>
        <v>534616.35433919448</v>
      </c>
      <c r="AA617" s="185">
        <f t="shared" ca="1" si="2536"/>
        <v>537218.62647699995</v>
      </c>
      <c r="AB617" s="185">
        <f t="shared" ca="1" si="2536"/>
        <v>539833.56530602078</v>
      </c>
      <c r="AC617" s="185">
        <f t="shared" ca="1" si="2536"/>
        <v>542461.23248201737</v>
      </c>
      <c r="AD617" s="185">
        <f t="shared" ca="1" si="2536"/>
        <v>545101.68996086181</v>
      </c>
      <c r="AE617" s="185">
        <f t="shared" ca="1" si="2536"/>
        <v>547755.00000000023</v>
      </c>
      <c r="AF617" s="185">
        <f t="shared" ca="1" si="2536"/>
        <v>550421.2251599197</v>
      </c>
      <c r="AG617" s="185">
        <f t="shared" ca="1" si="2536"/>
        <v>553100.42830562382</v>
      </c>
      <c r="AH617" s="185">
        <f t="shared" ca="1" si="2536"/>
        <v>555792.67260811431</v>
      </c>
      <c r="AI617" s="185">
        <f t="shared" ca="1" si="2536"/>
        <v>558498.02154588141</v>
      </c>
      <c r="AJ617" s="185">
        <f t="shared" ca="1" si="2536"/>
        <v>561216.53890640021</v>
      </c>
      <c r="AK617" s="185">
        <f t="shared" ca="1" si="2536"/>
        <v>563948.28878763376</v>
      </c>
      <c r="AL617" s="185">
        <f t="shared" ca="1" si="2536"/>
        <v>566693.3355995462</v>
      </c>
      <c r="AM617" s="185">
        <f t="shared" ref="AM617:BB617" ca="1" si="2537">AM414</f>
        <v>569451.74406562001</v>
      </c>
      <c r="AN617" s="185">
        <f t="shared" ca="1" si="2537"/>
        <v>572223.57922438206</v>
      </c>
      <c r="AO617" s="185">
        <f t="shared" ca="1" si="2537"/>
        <v>575008.9064309384</v>
      </c>
      <c r="AP617" s="185">
        <f t="shared" ca="1" si="2537"/>
        <v>577807.79135851364</v>
      </c>
      <c r="AQ617" s="185">
        <f t="shared" ca="1" si="2537"/>
        <v>580620.30000000028</v>
      </c>
      <c r="AR617" s="185">
        <f t="shared" ca="1" si="2537"/>
        <v>583446.49866951501</v>
      </c>
      <c r="AS617" s="185">
        <f t="shared" ca="1" si="2537"/>
        <v>586286.45400396117</v>
      </c>
      <c r="AT617" s="185">
        <f t="shared" ca="1" si="2537"/>
        <v>589140.23296460113</v>
      </c>
      <c r="AU617" s="185">
        <f t="shared" ca="1" si="2537"/>
        <v>592007.90283863433</v>
      </c>
      <c r="AV617" s="185">
        <f t="shared" ca="1" si="2537"/>
        <v>594889.5312407841</v>
      </c>
      <c r="AW617" s="185">
        <f t="shared" ca="1" si="2537"/>
        <v>597785.1861148919</v>
      </c>
      <c r="AX617" s="185">
        <f t="shared" ca="1" si="2537"/>
        <v>600694.93573551893</v>
      </c>
      <c r="AY617" s="185">
        <f t="shared" ca="1" si="2537"/>
        <v>603618.84870955721</v>
      </c>
      <c r="AZ617" s="185">
        <f t="shared" ca="1" si="2537"/>
        <v>606556.99397784518</v>
      </c>
      <c r="BA617" s="185">
        <f t="shared" ca="1" si="2537"/>
        <v>609509.44081679487</v>
      </c>
      <c r="BB617" s="185">
        <f t="shared" ca="1" si="2537"/>
        <v>612476.25884002447</v>
      </c>
    </row>
    <row r="618" spans="1:54" hidden="1" outlineLevel="1" x14ac:dyDescent="0.3">
      <c r="A618" s="184" t="str">
        <f ca="1">Language!A$845</f>
        <v>величина из стартового баланса</v>
      </c>
      <c r="B618" s="212">
        <f>Старт!B31</f>
        <v>0</v>
      </c>
      <c r="C618" s="174" t="str">
        <f ca="1">CurName1</f>
        <v>руб.</v>
      </c>
      <c r="F618" s="170" t="s">
        <v>2350</v>
      </c>
      <c r="G618" s="287">
        <f ca="1">IF(SUM($G617:G617)=0,$B618,0)</f>
        <v>0</v>
      </c>
      <c r="H618" s="287">
        <f ca="1">IF(SUM($G617:H617)=0,$B618,0)</f>
        <v>0</v>
      </c>
      <c r="I618" s="287">
        <f ca="1">IF(SUM($G617:I617)=0,$B618,0)</f>
        <v>0</v>
      </c>
      <c r="J618" s="287">
        <f ca="1">IF(SUM($G617:J617)=0,$B618,0)</f>
        <v>0</v>
      </c>
      <c r="K618" s="287">
        <f ca="1">IF(SUM($G617:K617)=0,$B618,0)</f>
        <v>0</v>
      </c>
      <c r="L618" s="287">
        <f ca="1">IF(SUM($G617:L617)=0,$B618,0)</f>
        <v>0</v>
      </c>
      <c r="M618" s="287">
        <f ca="1">IF(SUM($G617:M617)=0,$B618,0)</f>
        <v>0</v>
      </c>
      <c r="N618" s="287">
        <f ca="1">IF(SUM($G617:N617)=0,$B618,0)</f>
        <v>0</v>
      </c>
      <c r="O618" s="287">
        <f ca="1">IF(SUM($G617:O617)=0,$B618,0)</f>
        <v>0</v>
      </c>
      <c r="P618" s="287">
        <f ca="1">IF(SUM($G617:P617)=0,$B618,0)</f>
        <v>0</v>
      </c>
      <c r="Q618" s="287">
        <f ca="1">IF(SUM($G617:Q617)=0,$B618,0)</f>
        <v>0</v>
      </c>
      <c r="R618" s="287">
        <f ca="1">IF(SUM($G617:R617)=0,$B618,0)</f>
        <v>0</v>
      </c>
      <c r="S618" s="287">
        <f ca="1">IF(SUM($G617:S617)=0,$B618,0)</f>
        <v>0</v>
      </c>
      <c r="T618" s="287">
        <f ca="1">IF(SUM($G617:T617)=0,$B618,0)</f>
        <v>0</v>
      </c>
      <c r="U618" s="287">
        <f ca="1">IF(SUM($G617:U617)=0,$B618,0)</f>
        <v>0</v>
      </c>
      <c r="V618" s="287">
        <f ca="1">IF(SUM($G617:V617)=0,$B618,0)</f>
        <v>0</v>
      </c>
      <c r="W618" s="287">
        <f ca="1">IF(SUM($G617:W617)=0,$B618,0)</f>
        <v>0</v>
      </c>
      <c r="X618" s="287">
        <f ca="1">IF(SUM($G617:X617)=0,$B618,0)</f>
        <v>0</v>
      </c>
      <c r="Y618" s="287">
        <f ca="1">IF(SUM($G617:Y617)=0,$B618,0)</f>
        <v>0</v>
      </c>
      <c r="Z618" s="287">
        <f ca="1">IF(SUM($G617:Z617)=0,$B618,0)</f>
        <v>0</v>
      </c>
      <c r="AA618" s="287">
        <f ca="1">IF(SUM($G617:AA617)=0,$B618,0)</f>
        <v>0</v>
      </c>
      <c r="AB618" s="287">
        <f ca="1">IF(SUM($G617:AB617)=0,$B618,0)</f>
        <v>0</v>
      </c>
      <c r="AC618" s="287">
        <f ca="1">IF(SUM($G617:AC617)=0,$B618,0)</f>
        <v>0</v>
      </c>
      <c r="AD618" s="287">
        <f ca="1">IF(SUM($G617:AD617)=0,$B618,0)</f>
        <v>0</v>
      </c>
      <c r="AE618" s="287">
        <f ca="1">IF(SUM($G617:AE617)=0,$B618,0)</f>
        <v>0</v>
      </c>
      <c r="AF618" s="287">
        <f ca="1">IF(SUM($G617:AF617)=0,$B618,0)</f>
        <v>0</v>
      </c>
      <c r="AG618" s="287">
        <f ca="1">IF(SUM($G617:AG617)=0,$B618,0)</f>
        <v>0</v>
      </c>
      <c r="AH618" s="287">
        <f ca="1">IF(SUM($G617:AH617)=0,$B618,0)</f>
        <v>0</v>
      </c>
      <c r="AI618" s="287">
        <f ca="1">IF(SUM($G617:AI617)=0,$B618,0)</f>
        <v>0</v>
      </c>
      <c r="AJ618" s="287">
        <f ca="1">IF(SUM($G617:AJ617)=0,$B618,0)</f>
        <v>0</v>
      </c>
      <c r="AK618" s="287">
        <f ca="1">IF(SUM($G617:AK617)=0,$B618,0)</f>
        <v>0</v>
      </c>
      <c r="AL618" s="287">
        <f ca="1">IF(SUM($G617:AL617)=0,$B618,0)</f>
        <v>0</v>
      </c>
      <c r="AM618" s="287">
        <f ca="1">IF(SUM($G617:AM617)=0,$B618,0)</f>
        <v>0</v>
      </c>
      <c r="AN618" s="287">
        <f ca="1">IF(SUM($G617:AN617)=0,$B618,0)</f>
        <v>0</v>
      </c>
      <c r="AO618" s="287">
        <f ca="1">IF(SUM($G617:AO617)=0,$B618,0)</f>
        <v>0</v>
      </c>
      <c r="AP618" s="287">
        <f ca="1">IF(SUM($G617:AP617)=0,$B618,0)</f>
        <v>0</v>
      </c>
      <c r="AQ618" s="287">
        <f ca="1">IF(SUM($G617:AQ617)=0,$B618,0)</f>
        <v>0</v>
      </c>
      <c r="AR618" s="287">
        <f ca="1">IF(SUM($G617:AR617)=0,$B618,0)</f>
        <v>0</v>
      </c>
      <c r="AS618" s="287">
        <f ca="1">IF(SUM($G617:AS617)=0,$B618,0)</f>
        <v>0</v>
      </c>
      <c r="AT618" s="287">
        <f ca="1">IF(SUM($G617:AT617)=0,$B618,0)</f>
        <v>0</v>
      </c>
      <c r="AU618" s="287">
        <f ca="1">IF(SUM($G617:AU617)=0,$B618,0)</f>
        <v>0</v>
      </c>
      <c r="AV618" s="287">
        <f ca="1">IF(SUM($G617:AV617)=0,$B618,0)</f>
        <v>0</v>
      </c>
      <c r="AW618" s="287">
        <f ca="1">IF(SUM($G617:AW617)=0,$B618,0)</f>
        <v>0</v>
      </c>
      <c r="AX618" s="287">
        <f ca="1">IF(SUM($G617:AX617)=0,$B618,0)</f>
        <v>0</v>
      </c>
      <c r="AY618" s="287">
        <f ca="1">IF(SUM($G617:AY617)=0,$B618,0)</f>
        <v>0</v>
      </c>
      <c r="AZ618" s="287">
        <f ca="1">IF(SUM($G617:AZ617)=0,$B618,0)</f>
        <v>0</v>
      </c>
      <c r="BA618" s="287">
        <f ca="1">IF(SUM($G617:BA617)=0,$B618,0)</f>
        <v>0</v>
      </c>
      <c r="BB618" s="287">
        <f ca="1">IF(SUM($G617:BB617)=0,$B618,0)</f>
        <v>0</v>
      </c>
    </row>
    <row r="619" spans="1:54" hidden="1" outlineLevel="1" x14ac:dyDescent="0.3">
      <c r="A619" s="184" t="str">
        <f ca="1">Language!A$846</f>
        <v>влияние стартового баланса на денежные средства</v>
      </c>
      <c r="B619" s="184"/>
      <c r="C619" s="174" t="str">
        <f ca="1">CurName1</f>
        <v>руб.</v>
      </c>
      <c r="F619" s="170" t="s">
        <v>740</v>
      </c>
      <c r="G619" s="185">
        <f ca="1">IF(G$2=1,G618-$B618,G618-F618)</f>
        <v>0</v>
      </c>
      <c r="H619" s="185">
        <f t="shared" ref="H619" ca="1" si="2538">IF(H$2=1,H618-$B618,H618-G618)</f>
        <v>0</v>
      </c>
      <c r="I619" s="185">
        <f t="shared" ref="I619" ca="1" si="2539">IF(I$2=1,I618-$B618,I618-H618)</f>
        <v>0</v>
      </c>
      <c r="J619" s="185">
        <f t="shared" ref="J619" ca="1" si="2540">IF(J$2=1,J618-$B618,J618-I618)</f>
        <v>0</v>
      </c>
      <c r="K619" s="185">
        <f t="shared" ref="K619:BB619" ca="1" si="2541">IF(K$2=1,K618-$B618,K618-J618)</f>
        <v>0</v>
      </c>
      <c r="L619" s="185">
        <f t="shared" ca="1" si="2541"/>
        <v>0</v>
      </c>
      <c r="M619" s="185">
        <f t="shared" ca="1" si="2541"/>
        <v>0</v>
      </c>
      <c r="N619" s="185">
        <f t="shared" ca="1" si="2541"/>
        <v>0</v>
      </c>
      <c r="O619" s="185">
        <f t="shared" ca="1" si="2541"/>
        <v>0</v>
      </c>
      <c r="P619" s="185">
        <f t="shared" ca="1" si="2541"/>
        <v>0</v>
      </c>
      <c r="Q619" s="185">
        <f t="shared" ca="1" si="2541"/>
        <v>0</v>
      </c>
      <c r="R619" s="185">
        <f t="shared" ca="1" si="2541"/>
        <v>0</v>
      </c>
      <c r="S619" s="185">
        <f t="shared" ca="1" si="2541"/>
        <v>0</v>
      </c>
      <c r="T619" s="185">
        <f t="shared" ca="1" si="2541"/>
        <v>0</v>
      </c>
      <c r="U619" s="185">
        <f t="shared" ca="1" si="2541"/>
        <v>0</v>
      </c>
      <c r="V619" s="185">
        <f t="shared" ca="1" si="2541"/>
        <v>0</v>
      </c>
      <c r="W619" s="185">
        <f t="shared" ca="1" si="2541"/>
        <v>0</v>
      </c>
      <c r="X619" s="185">
        <f t="shared" ca="1" si="2541"/>
        <v>0</v>
      </c>
      <c r="Y619" s="185">
        <f t="shared" ca="1" si="2541"/>
        <v>0</v>
      </c>
      <c r="Z619" s="185">
        <f t="shared" ca="1" si="2541"/>
        <v>0</v>
      </c>
      <c r="AA619" s="185">
        <f t="shared" ca="1" si="2541"/>
        <v>0</v>
      </c>
      <c r="AB619" s="185">
        <f t="shared" ca="1" si="2541"/>
        <v>0</v>
      </c>
      <c r="AC619" s="185">
        <f t="shared" ca="1" si="2541"/>
        <v>0</v>
      </c>
      <c r="AD619" s="185">
        <f t="shared" ca="1" si="2541"/>
        <v>0</v>
      </c>
      <c r="AE619" s="185">
        <f t="shared" ca="1" si="2541"/>
        <v>0</v>
      </c>
      <c r="AF619" s="185">
        <f t="shared" ca="1" si="2541"/>
        <v>0</v>
      </c>
      <c r="AG619" s="185">
        <f t="shared" ca="1" si="2541"/>
        <v>0</v>
      </c>
      <c r="AH619" s="185">
        <f t="shared" ca="1" si="2541"/>
        <v>0</v>
      </c>
      <c r="AI619" s="185">
        <f t="shared" ca="1" si="2541"/>
        <v>0</v>
      </c>
      <c r="AJ619" s="185">
        <f t="shared" ca="1" si="2541"/>
        <v>0</v>
      </c>
      <c r="AK619" s="185">
        <f t="shared" ca="1" si="2541"/>
        <v>0</v>
      </c>
      <c r="AL619" s="185">
        <f t="shared" ca="1" si="2541"/>
        <v>0</v>
      </c>
      <c r="AM619" s="185">
        <f t="shared" ca="1" si="2541"/>
        <v>0</v>
      </c>
      <c r="AN619" s="185">
        <f t="shared" ca="1" si="2541"/>
        <v>0</v>
      </c>
      <c r="AO619" s="185">
        <f t="shared" ca="1" si="2541"/>
        <v>0</v>
      </c>
      <c r="AP619" s="185">
        <f t="shared" ca="1" si="2541"/>
        <v>0</v>
      </c>
      <c r="AQ619" s="185">
        <f t="shared" ca="1" si="2541"/>
        <v>0</v>
      </c>
      <c r="AR619" s="185">
        <f t="shared" ca="1" si="2541"/>
        <v>0</v>
      </c>
      <c r="AS619" s="185">
        <f t="shared" ca="1" si="2541"/>
        <v>0</v>
      </c>
      <c r="AT619" s="185">
        <f t="shared" ca="1" si="2541"/>
        <v>0</v>
      </c>
      <c r="AU619" s="185">
        <f t="shared" ca="1" si="2541"/>
        <v>0</v>
      </c>
      <c r="AV619" s="185">
        <f t="shared" ca="1" si="2541"/>
        <v>0</v>
      </c>
      <c r="AW619" s="185">
        <f t="shared" ca="1" si="2541"/>
        <v>0</v>
      </c>
      <c r="AX619" s="185">
        <f t="shared" ca="1" si="2541"/>
        <v>0</v>
      </c>
      <c r="AY619" s="185">
        <f t="shared" ca="1" si="2541"/>
        <v>0</v>
      </c>
      <c r="AZ619" s="185">
        <f t="shared" ca="1" si="2541"/>
        <v>0</v>
      </c>
      <c r="BA619" s="185">
        <f t="shared" ca="1" si="2541"/>
        <v>0</v>
      </c>
      <c r="BB619" s="185">
        <f t="shared" ca="1" si="2541"/>
        <v>0</v>
      </c>
    </row>
    <row r="620" spans="1:54" x14ac:dyDescent="0.3">
      <c r="A620" s="175"/>
      <c r="B620" s="199"/>
      <c r="C620" s="176"/>
      <c r="G620" s="177"/>
      <c r="H620" s="177"/>
      <c r="I620" s="177"/>
      <c r="J620" s="177"/>
      <c r="K620" s="177"/>
      <c r="L620" s="177"/>
      <c r="M620" s="177"/>
      <c r="N620" s="177"/>
      <c r="O620" s="177"/>
      <c r="P620" s="177"/>
      <c r="Q620" s="177"/>
      <c r="R620" s="177"/>
      <c r="S620" s="177"/>
      <c r="T620" s="177"/>
      <c r="U620" s="177"/>
      <c r="V620" s="177"/>
      <c r="W620" s="177"/>
      <c r="X620" s="177"/>
      <c r="Y620" s="177"/>
      <c r="Z620" s="177"/>
      <c r="AA620" s="177"/>
      <c r="AB620" s="177"/>
      <c r="AC620" s="177"/>
      <c r="AD620" s="177"/>
      <c r="AE620" s="177"/>
      <c r="AF620" s="177"/>
      <c r="AG620" s="177"/>
      <c r="AH620" s="177"/>
      <c r="AI620" s="177"/>
      <c r="AJ620" s="177"/>
      <c r="AK620" s="177"/>
      <c r="AL620" s="177"/>
      <c r="AM620" s="177"/>
      <c r="AN620" s="177"/>
      <c r="AO620" s="177"/>
      <c r="AP620" s="177"/>
      <c r="AQ620" s="177"/>
      <c r="AR620" s="177"/>
      <c r="AS620" s="177"/>
      <c r="AT620" s="177"/>
      <c r="AU620" s="177"/>
      <c r="AV620" s="177"/>
      <c r="AW620" s="177"/>
      <c r="AX620" s="177"/>
      <c r="AY620" s="177"/>
      <c r="AZ620" s="177"/>
      <c r="BA620" s="177"/>
      <c r="BB620" s="177"/>
    </row>
    <row r="621" spans="1:54" collapsed="1" x14ac:dyDescent="0.3">
      <c r="A621" s="214" t="str">
        <f ca="1">Language!A$847</f>
        <v>Задолженность перед бюджетом и внебюджетными фондами</v>
      </c>
      <c r="C621" s="176" t="str">
        <f ca="1">CurName1</f>
        <v>руб.</v>
      </c>
      <c r="F621" s="170" t="s">
        <v>741</v>
      </c>
      <c r="G621" s="177">
        <f ca="1">G622+G623</f>
        <v>0</v>
      </c>
      <c r="H621" s="177">
        <f t="shared" ref="H621:K621" ca="1" si="2542">H622+H623</f>
        <v>0</v>
      </c>
      <c r="I621" s="177">
        <f t="shared" ca="1" si="2542"/>
        <v>0</v>
      </c>
      <c r="J621" s="177">
        <f t="shared" ca="1" si="2542"/>
        <v>0</v>
      </c>
      <c r="K621" s="177">
        <f t="shared" ca="1" si="2542"/>
        <v>0</v>
      </c>
      <c r="L621" s="177">
        <f t="shared" ref="L621:M621" ca="1" si="2543">L622+L623</f>
        <v>0</v>
      </c>
      <c r="M621" s="177">
        <f t="shared" ca="1" si="2543"/>
        <v>610664.71055236214</v>
      </c>
      <c r="N621" s="177">
        <f t="shared" ref="N621:O621" ca="1" si="2544">N622+N623</f>
        <v>863689.13672200916</v>
      </c>
      <c r="O621" s="177">
        <f t="shared" ca="1" si="2544"/>
        <v>1018849.9727182956</v>
      </c>
      <c r="P621" s="177">
        <f t="shared" ref="P621:Q621" ca="1" si="2545">P622+P623</f>
        <v>1175500.851715917</v>
      </c>
      <c r="Q621" s="177">
        <f t="shared" ca="1" si="2545"/>
        <v>1231868.2953123241</v>
      </c>
      <c r="R621" s="177">
        <f t="shared" ref="R621:S621" ca="1" si="2546">R622+R623</f>
        <v>1237864.4765295996</v>
      </c>
      <c r="S621" s="177">
        <f t="shared" ca="1" si="2546"/>
        <v>1449445.0444621497</v>
      </c>
      <c r="T621" s="177">
        <f t="shared" ref="T621:U621" ca="1" si="2547">T622+T623</f>
        <v>1456000.0163427703</v>
      </c>
      <c r="U621" s="177">
        <f t="shared" ca="1" si="2547"/>
        <v>1307667.6470183353</v>
      </c>
      <c r="V621" s="177">
        <f t="shared" ref="V621:W621" ca="1" si="2548">V622+V623</f>
        <v>1262142.4926905446</v>
      </c>
      <c r="W621" s="177">
        <f t="shared" ca="1" si="2548"/>
        <v>1163492.6762766023</v>
      </c>
      <c r="X621" s="177">
        <f t="shared" ref="X621:Y621" ca="1" si="2549">X622+X623</f>
        <v>1432669.6936741122</v>
      </c>
      <c r="Y621" s="177">
        <f t="shared" ca="1" si="2549"/>
        <v>1809230.4858132759</v>
      </c>
      <c r="Z621" s="177">
        <f t="shared" ref="Z621:AA621" ca="1" si="2550">Z622+Z623</f>
        <v>1923853.0223251625</v>
      </c>
      <c r="AA621" s="177">
        <f t="shared" ca="1" si="2550"/>
        <v>1612671.5171257115</v>
      </c>
      <c r="AB621" s="177">
        <f t="shared" ref="AB621:AC621" ca="1" si="2551">AB622+AB623</f>
        <v>1245510.8116006942</v>
      </c>
      <c r="AC621" s="177">
        <f t="shared" ca="1" si="2551"/>
        <v>1144204.6548823616</v>
      </c>
      <c r="AD621" s="177">
        <f t="shared" ref="AD621:AE621" ca="1" si="2552">AD622+AD623</f>
        <v>1258190.6619403949</v>
      </c>
      <c r="AE621" s="177">
        <f t="shared" ca="1" si="2552"/>
        <v>1536411.7471298785</v>
      </c>
      <c r="AF621" s="177">
        <f t="shared" ref="AF621:AG621" ca="1" si="2553">AF622+AF623</f>
        <v>1543360.0173233366</v>
      </c>
      <c r="AG621" s="177">
        <f t="shared" ca="1" si="2553"/>
        <v>1386127.7058394358</v>
      </c>
      <c r="AH621" s="177">
        <f t="shared" ref="AH621:AI621" ca="1" si="2554">AH622+AH623</f>
        <v>1337871.0422519774</v>
      </c>
      <c r="AI621" s="177">
        <f t="shared" ca="1" si="2554"/>
        <v>1233302.2368531986</v>
      </c>
      <c r="AJ621" s="177">
        <f t="shared" ref="AJ621:AK621" ca="1" si="2555">AJ622+AJ623</f>
        <v>1518629.8752945592</v>
      </c>
      <c r="AK621" s="177">
        <f t="shared" ca="1" si="2555"/>
        <v>1917784.3149620728</v>
      </c>
      <c r="AL621" s="177">
        <f t="shared" ref="AL621:AM621" ca="1" si="2556">AL622+AL623</f>
        <v>2039284.2036646723</v>
      </c>
      <c r="AM621" s="177">
        <f t="shared" ca="1" si="2556"/>
        <v>1709431.808153254</v>
      </c>
      <c r="AN621" s="177">
        <f t="shared" ref="AN621:AO621" ca="1" si="2557">AN622+AN623</f>
        <v>1320241.4602967361</v>
      </c>
      <c r="AO621" s="177">
        <f t="shared" ca="1" si="2557"/>
        <v>1212856.9341753032</v>
      </c>
      <c r="AP621" s="177">
        <f t="shared" ref="AP621:AQ621" ca="1" si="2558">AP622+AP623</f>
        <v>1333682.101656819</v>
      </c>
      <c r="AQ621" s="177">
        <f t="shared" ca="1" si="2558"/>
        <v>1628596.4519576719</v>
      </c>
      <c r="AR621" s="177">
        <f t="shared" ref="AR621:AS621" ca="1" si="2559">AR622+AR623</f>
        <v>1635961.6183627371</v>
      </c>
      <c r="AS621" s="177">
        <f t="shared" ca="1" si="2559"/>
        <v>1469295.3681898024</v>
      </c>
      <c r="AT621" s="177">
        <f t="shared" ref="AT621:AU621" ca="1" si="2560">AT622+AT623</f>
        <v>1418143.3047870966</v>
      </c>
      <c r="AU621" s="177">
        <f t="shared" ca="1" si="2560"/>
        <v>1307300.371064391</v>
      </c>
      <c r="AV621" s="177">
        <f t="shared" ref="AV621:AW621" ca="1" si="2561">AV622+AV623</f>
        <v>1609747.6678122333</v>
      </c>
      <c r="AW621" s="177">
        <f t="shared" ca="1" si="2561"/>
        <v>2032851.3738597974</v>
      </c>
      <c r="AX621" s="177">
        <f t="shared" ref="AX621:AY621" ca="1" si="2562">AX622+AX623</f>
        <v>2161641.2558845538</v>
      </c>
      <c r="AY621" s="177">
        <f t="shared" ca="1" si="2562"/>
        <v>1811997.7166424498</v>
      </c>
      <c r="AZ621" s="177">
        <f t="shared" ref="AZ621:BA621" ca="1" si="2563">AZ622+AZ623</f>
        <v>1399455.9479145408</v>
      </c>
      <c r="BA621" s="177">
        <f t="shared" ca="1" si="2563"/>
        <v>1285628.3502258221</v>
      </c>
      <c r="BB621" s="177">
        <f t="shared" ref="BB621" ca="1" si="2564">BB622+BB623</f>
        <v>1413703.0277562286</v>
      </c>
    </row>
    <row r="622" spans="1:54" hidden="1" outlineLevel="1" x14ac:dyDescent="0.3">
      <c r="A622" s="184" t="str">
        <f ca="1">Language!A$848</f>
        <v>величина из плана продаж и затрат</v>
      </c>
      <c r="B622" s="184"/>
      <c r="C622" s="174" t="str">
        <f ca="1">CurName1</f>
        <v>руб.</v>
      </c>
      <c r="F622" s="170" t="s">
        <v>741</v>
      </c>
      <c r="G622" s="185">
        <f ca="1">G1355</f>
        <v>0</v>
      </c>
      <c r="H622" s="185">
        <f t="shared" ref="H622:K622" ca="1" si="2565">H1355</f>
        <v>0</v>
      </c>
      <c r="I622" s="185">
        <f t="shared" ca="1" si="2565"/>
        <v>0</v>
      </c>
      <c r="J622" s="185">
        <f t="shared" ca="1" si="2565"/>
        <v>0</v>
      </c>
      <c r="K622" s="185">
        <f t="shared" ca="1" si="2565"/>
        <v>0</v>
      </c>
      <c r="L622" s="185">
        <f t="shared" ref="L622:M622" ca="1" si="2566">L1355</f>
        <v>0</v>
      </c>
      <c r="M622" s="185">
        <f t="shared" ca="1" si="2566"/>
        <v>610664.71055236214</v>
      </c>
      <c r="N622" s="185">
        <f t="shared" ref="N622:O622" ca="1" si="2567">N1355</f>
        <v>863689.13672200916</v>
      </c>
      <c r="O622" s="185">
        <f t="shared" ca="1" si="2567"/>
        <v>1018849.9727182956</v>
      </c>
      <c r="P622" s="185">
        <f t="shared" ref="P622:Q622" ca="1" si="2568">P1355</f>
        <v>1175500.851715917</v>
      </c>
      <c r="Q622" s="185">
        <f t="shared" ca="1" si="2568"/>
        <v>1231868.2953123241</v>
      </c>
      <c r="R622" s="185">
        <f t="shared" ref="R622:S622" ca="1" si="2569">R1355</f>
        <v>1237864.4765295996</v>
      </c>
      <c r="S622" s="185">
        <f t="shared" ca="1" si="2569"/>
        <v>1449445.0444621497</v>
      </c>
      <c r="T622" s="185">
        <f t="shared" ref="T622:U622" ca="1" si="2570">T1355</f>
        <v>1456000.0163427703</v>
      </c>
      <c r="U622" s="185">
        <f t="shared" ca="1" si="2570"/>
        <v>1307667.6470183353</v>
      </c>
      <c r="V622" s="185">
        <f t="shared" ref="V622:W622" ca="1" si="2571">V1355</f>
        <v>1262142.4926905446</v>
      </c>
      <c r="W622" s="185">
        <f t="shared" ca="1" si="2571"/>
        <v>1163492.6762766023</v>
      </c>
      <c r="X622" s="185">
        <f t="shared" ref="X622:Y622" ca="1" si="2572">X1355</f>
        <v>1432669.6936741122</v>
      </c>
      <c r="Y622" s="185">
        <f t="shared" ca="1" si="2572"/>
        <v>1809230.4858132759</v>
      </c>
      <c r="Z622" s="185">
        <f t="shared" ref="Z622:AA622" ca="1" si="2573">Z1355</f>
        <v>1923853.0223251625</v>
      </c>
      <c r="AA622" s="185">
        <f t="shared" ca="1" si="2573"/>
        <v>1612671.5171257115</v>
      </c>
      <c r="AB622" s="185">
        <f t="shared" ref="AB622:AC622" ca="1" si="2574">AB1355</f>
        <v>1245510.8116006942</v>
      </c>
      <c r="AC622" s="185">
        <f t="shared" ca="1" si="2574"/>
        <v>1144204.6548823616</v>
      </c>
      <c r="AD622" s="185">
        <f t="shared" ref="AD622:AE622" ca="1" si="2575">AD1355</f>
        <v>1258190.6619403949</v>
      </c>
      <c r="AE622" s="185">
        <f t="shared" ca="1" si="2575"/>
        <v>1536411.7471298785</v>
      </c>
      <c r="AF622" s="185">
        <f t="shared" ref="AF622:AG622" ca="1" si="2576">AF1355</f>
        <v>1543360.0173233366</v>
      </c>
      <c r="AG622" s="185">
        <f t="shared" ca="1" si="2576"/>
        <v>1386127.7058394358</v>
      </c>
      <c r="AH622" s="185">
        <f t="shared" ref="AH622:AI622" ca="1" si="2577">AH1355</f>
        <v>1337871.0422519774</v>
      </c>
      <c r="AI622" s="185">
        <f t="shared" ca="1" si="2577"/>
        <v>1233302.2368531986</v>
      </c>
      <c r="AJ622" s="185">
        <f t="shared" ref="AJ622:AK622" ca="1" si="2578">AJ1355</f>
        <v>1518629.8752945592</v>
      </c>
      <c r="AK622" s="185">
        <f t="shared" ca="1" si="2578"/>
        <v>1917784.3149620728</v>
      </c>
      <c r="AL622" s="185">
        <f t="shared" ref="AL622:AM622" ca="1" si="2579">AL1355</f>
        <v>2039284.2036646723</v>
      </c>
      <c r="AM622" s="185">
        <f t="shared" ca="1" si="2579"/>
        <v>1709431.808153254</v>
      </c>
      <c r="AN622" s="185">
        <f t="shared" ref="AN622:AO622" ca="1" si="2580">AN1355</f>
        <v>1320241.4602967361</v>
      </c>
      <c r="AO622" s="185">
        <f t="shared" ca="1" si="2580"/>
        <v>1212856.9341753032</v>
      </c>
      <c r="AP622" s="185">
        <f t="shared" ref="AP622:AQ622" ca="1" si="2581">AP1355</f>
        <v>1333682.101656819</v>
      </c>
      <c r="AQ622" s="185">
        <f t="shared" ca="1" si="2581"/>
        <v>1628596.4519576719</v>
      </c>
      <c r="AR622" s="185">
        <f t="shared" ref="AR622:AS622" ca="1" si="2582">AR1355</f>
        <v>1635961.6183627371</v>
      </c>
      <c r="AS622" s="185">
        <f t="shared" ca="1" si="2582"/>
        <v>1469295.3681898024</v>
      </c>
      <c r="AT622" s="185">
        <f t="shared" ref="AT622:AU622" ca="1" si="2583">AT1355</f>
        <v>1418143.3047870966</v>
      </c>
      <c r="AU622" s="185">
        <f t="shared" ca="1" si="2583"/>
        <v>1307300.371064391</v>
      </c>
      <c r="AV622" s="185">
        <f t="shared" ref="AV622:AW622" ca="1" si="2584">AV1355</f>
        <v>1609747.6678122333</v>
      </c>
      <c r="AW622" s="185">
        <f t="shared" ca="1" si="2584"/>
        <v>2032851.3738597974</v>
      </c>
      <c r="AX622" s="185">
        <f t="shared" ref="AX622:AY622" ca="1" si="2585">AX1355</f>
        <v>2161641.2558845538</v>
      </c>
      <c r="AY622" s="185">
        <f t="shared" ca="1" si="2585"/>
        <v>1811997.7166424498</v>
      </c>
      <c r="AZ622" s="185">
        <f t="shared" ref="AZ622:BA622" ca="1" si="2586">AZ1355</f>
        <v>1399455.9479145408</v>
      </c>
      <c r="BA622" s="185">
        <f t="shared" ca="1" si="2586"/>
        <v>1285628.3502258221</v>
      </c>
      <c r="BB622" s="185">
        <f t="shared" ref="BB622" ca="1" si="2587">BB1355</f>
        <v>1413703.0277562286</v>
      </c>
    </row>
    <row r="623" spans="1:54" hidden="1" outlineLevel="1" x14ac:dyDescent="0.3">
      <c r="A623" s="184" t="str">
        <f ca="1">Language!A$849</f>
        <v>величина из стартового баланса</v>
      </c>
      <c r="B623" s="212">
        <f>Старт!B30</f>
        <v>0</v>
      </c>
      <c r="C623" s="174" t="str">
        <f ca="1">CurName1</f>
        <v>руб.</v>
      </c>
      <c r="F623" s="170" t="s">
        <v>2350</v>
      </c>
      <c r="G623" s="287">
        <f>IF(G$2=1,$B623,F623)</f>
        <v>0</v>
      </c>
      <c r="H623" s="287">
        <f t="shared" ref="H623" si="2588">IF(H$2=1,$B623,G623)</f>
        <v>0</v>
      </c>
      <c r="I623" s="287">
        <f t="shared" ref="I623" si="2589">IF(I$2=1,$B623,H623)</f>
        <v>0</v>
      </c>
      <c r="J623" s="287">
        <f t="shared" ref="J623" si="2590">IF(J$2=1,$B623,I623)</f>
        <v>0</v>
      </c>
      <c r="K623" s="287">
        <f t="shared" ref="K623:BB623" si="2591">IF(K$2=1,$B623,J623)</f>
        <v>0</v>
      </c>
      <c r="L623" s="287">
        <f t="shared" si="2591"/>
        <v>0</v>
      </c>
      <c r="M623" s="287">
        <f t="shared" si="2591"/>
        <v>0</v>
      </c>
      <c r="N623" s="287">
        <f t="shared" si="2591"/>
        <v>0</v>
      </c>
      <c r="O623" s="287">
        <f t="shared" si="2591"/>
        <v>0</v>
      </c>
      <c r="P623" s="287">
        <f t="shared" si="2591"/>
        <v>0</v>
      </c>
      <c r="Q623" s="287">
        <f t="shared" si="2591"/>
        <v>0</v>
      </c>
      <c r="R623" s="287">
        <f t="shared" si="2591"/>
        <v>0</v>
      </c>
      <c r="S623" s="287">
        <f t="shared" si="2591"/>
        <v>0</v>
      </c>
      <c r="T623" s="287">
        <f t="shared" si="2591"/>
        <v>0</v>
      </c>
      <c r="U623" s="287">
        <f t="shared" si="2591"/>
        <v>0</v>
      </c>
      <c r="V623" s="287">
        <f t="shared" si="2591"/>
        <v>0</v>
      </c>
      <c r="W623" s="287">
        <f t="shared" si="2591"/>
        <v>0</v>
      </c>
      <c r="X623" s="287">
        <f t="shared" si="2591"/>
        <v>0</v>
      </c>
      <c r="Y623" s="287">
        <f t="shared" si="2591"/>
        <v>0</v>
      </c>
      <c r="Z623" s="287">
        <f t="shared" si="2591"/>
        <v>0</v>
      </c>
      <c r="AA623" s="287">
        <f t="shared" si="2591"/>
        <v>0</v>
      </c>
      <c r="AB623" s="287">
        <f t="shared" si="2591"/>
        <v>0</v>
      </c>
      <c r="AC623" s="287">
        <f t="shared" si="2591"/>
        <v>0</v>
      </c>
      <c r="AD623" s="287">
        <f t="shared" si="2591"/>
        <v>0</v>
      </c>
      <c r="AE623" s="287">
        <f t="shared" si="2591"/>
        <v>0</v>
      </c>
      <c r="AF623" s="287">
        <f t="shared" si="2591"/>
        <v>0</v>
      </c>
      <c r="AG623" s="287">
        <f t="shared" si="2591"/>
        <v>0</v>
      </c>
      <c r="AH623" s="287">
        <f t="shared" si="2591"/>
        <v>0</v>
      </c>
      <c r="AI623" s="287">
        <f t="shared" si="2591"/>
        <v>0</v>
      </c>
      <c r="AJ623" s="287">
        <f t="shared" si="2591"/>
        <v>0</v>
      </c>
      <c r="AK623" s="287">
        <f t="shared" si="2591"/>
        <v>0</v>
      </c>
      <c r="AL623" s="287">
        <f t="shared" si="2591"/>
        <v>0</v>
      </c>
      <c r="AM623" s="287">
        <f t="shared" si="2591"/>
        <v>0</v>
      </c>
      <c r="AN623" s="287">
        <f t="shared" si="2591"/>
        <v>0</v>
      </c>
      <c r="AO623" s="287">
        <f t="shared" si="2591"/>
        <v>0</v>
      </c>
      <c r="AP623" s="287">
        <f t="shared" si="2591"/>
        <v>0</v>
      </c>
      <c r="AQ623" s="287">
        <f t="shared" si="2591"/>
        <v>0</v>
      </c>
      <c r="AR623" s="287">
        <f t="shared" si="2591"/>
        <v>0</v>
      </c>
      <c r="AS623" s="287">
        <f t="shared" si="2591"/>
        <v>0</v>
      </c>
      <c r="AT623" s="287">
        <f t="shared" si="2591"/>
        <v>0</v>
      </c>
      <c r="AU623" s="287">
        <f t="shared" si="2591"/>
        <v>0</v>
      </c>
      <c r="AV623" s="287">
        <f t="shared" si="2591"/>
        <v>0</v>
      </c>
      <c r="AW623" s="287">
        <f t="shared" si="2591"/>
        <v>0</v>
      </c>
      <c r="AX623" s="287">
        <f t="shared" si="2591"/>
        <v>0</v>
      </c>
      <c r="AY623" s="287">
        <f t="shared" si="2591"/>
        <v>0</v>
      </c>
      <c r="AZ623" s="287">
        <f t="shared" si="2591"/>
        <v>0</v>
      </c>
      <c r="BA623" s="287">
        <f t="shared" si="2591"/>
        <v>0</v>
      </c>
      <c r="BB623" s="287">
        <f t="shared" si="2591"/>
        <v>0</v>
      </c>
    </row>
    <row r="624" spans="1:54" hidden="1" outlineLevel="1" x14ac:dyDescent="0.3">
      <c r="A624" s="184" t="str">
        <f ca="1">Language!A$850</f>
        <v>влияние стартового баланса на денежные средства</v>
      </c>
      <c r="B624" s="184"/>
      <c r="C624" s="174" t="str">
        <f ca="1">CurName1</f>
        <v>руб.</v>
      </c>
      <c r="F624" s="170" t="s">
        <v>740</v>
      </c>
      <c r="G624" s="185">
        <f>IF(G$2=1,G623-$B623,G623-F623)</f>
        <v>0</v>
      </c>
      <c r="H624" s="185">
        <f t="shared" ref="H624" si="2592">IF(H$2=1,H623-$B623,H623-G623)</f>
        <v>0</v>
      </c>
      <c r="I624" s="185">
        <f t="shared" ref="I624" si="2593">IF(I$2=1,I623-$B623,I623-H623)</f>
        <v>0</v>
      </c>
      <c r="J624" s="185">
        <f t="shared" ref="J624" si="2594">IF(J$2=1,J623-$B623,J623-I623)</f>
        <v>0</v>
      </c>
      <c r="K624" s="185">
        <f t="shared" ref="K624:BB624" si="2595">IF(K$2=1,K623-$B623,K623-J623)</f>
        <v>0</v>
      </c>
      <c r="L624" s="185">
        <f t="shared" si="2595"/>
        <v>0</v>
      </c>
      <c r="M624" s="185">
        <f t="shared" si="2595"/>
        <v>0</v>
      </c>
      <c r="N624" s="185">
        <f t="shared" si="2595"/>
        <v>0</v>
      </c>
      <c r="O624" s="185">
        <f t="shared" si="2595"/>
        <v>0</v>
      </c>
      <c r="P624" s="185">
        <f t="shared" si="2595"/>
        <v>0</v>
      </c>
      <c r="Q624" s="185">
        <f t="shared" si="2595"/>
        <v>0</v>
      </c>
      <c r="R624" s="185">
        <f t="shared" si="2595"/>
        <v>0</v>
      </c>
      <c r="S624" s="185">
        <f t="shared" si="2595"/>
        <v>0</v>
      </c>
      <c r="T624" s="185">
        <f t="shared" si="2595"/>
        <v>0</v>
      </c>
      <c r="U624" s="185">
        <f t="shared" si="2595"/>
        <v>0</v>
      </c>
      <c r="V624" s="185">
        <f t="shared" si="2595"/>
        <v>0</v>
      </c>
      <c r="W624" s="185">
        <f t="shared" si="2595"/>
        <v>0</v>
      </c>
      <c r="X624" s="185">
        <f t="shared" si="2595"/>
        <v>0</v>
      </c>
      <c r="Y624" s="185">
        <f t="shared" si="2595"/>
        <v>0</v>
      </c>
      <c r="Z624" s="185">
        <f t="shared" si="2595"/>
        <v>0</v>
      </c>
      <c r="AA624" s="185">
        <f t="shared" si="2595"/>
        <v>0</v>
      </c>
      <c r="AB624" s="185">
        <f t="shared" si="2595"/>
        <v>0</v>
      </c>
      <c r="AC624" s="185">
        <f t="shared" si="2595"/>
        <v>0</v>
      </c>
      <c r="AD624" s="185">
        <f t="shared" si="2595"/>
        <v>0</v>
      </c>
      <c r="AE624" s="185">
        <f t="shared" si="2595"/>
        <v>0</v>
      </c>
      <c r="AF624" s="185">
        <f t="shared" si="2595"/>
        <v>0</v>
      </c>
      <c r="AG624" s="185">
        <f t="shared" si="2595"/>
        <v>0</v>
      </c>
      <c r="AH624" s="185">
        <f t="shared" si="2595"/>
        <v>0</v>
      </c>
      <c r="AI624" s="185">
        <f t="shared" si="2595"/>
        <v>0</v>
      </c>
      <c r="AJ624" s="185">
        <f t="shared" si="2595"/>
        <v>0</v>
      </c>
      <c r="AK624" s="185">
        <f t="shared" si="2595"/>
        <v>0</v>
      </c>
      <c r="AL624" s="185">
        <f t="shared" si="2595"/>
        <v>0</v>
      </c>
      <c r="AM624" s="185">
        <f t="shared" si="2595"/>
        <v>0</v>
      </c>
      <c r="AN624" s="185">
        <f t="shared" si="2595"/>
        <v>0</v>
      </c>
      <c r="AO624" s="185">
        <f t="shared" si="2595"/>
        <v>0</v>
      </c>
      <c r="AP624" s="185">
        <f t="shared" si="2595"/>
        <v>0</v>
      </c>
      <c r="AQ624" s="185">
        <f t="shared" si="2595"/>
        <v>0</v>
      </c>
      <c r="AR624" s="185">
        <f t="shared" si="2595"/>
        <v>0</v>
      </c>
      <c r="AS624" s="185">
        <f t="shared" si="2595"/>
        <v>0</v>
      </c>
      <c r="AT624" s="185">
        <f t="shared" si="2595"/>
        <v>0</v>
      </c>
      <c r="AU624" s="185">
        <f t="shared" si="2595"/>
        <v>0</v>
      </c>
      <c r="AV624" s="185">
        <f t="shared" si="2595"/>
        <v>0</v>
      </c>
      <c r="AW624" s="185">
        <f t="shared" si="2595"/>
        <v>0</v>
      </c>
      <c r="AX624" s="185">
        <f t="shared" si="2595"/>
        <v>0</v>
      </c>
      <c r="AY624" s="185">
        <f t="shared" si="2595"/>
        <v>0</v>
      </c>
      <c r="AZ624" s="185">
        <f t="shared" si="2595"/>
        <v>0</v>
      </c>
      <c r="BA624" s="185">
        <f t="shared" si="2595"/>
        <v>0</v>
      </c>
      <c r="BB624" s="185">
        <f t="shared" si="2595"/>
        <v>0</v>
      </c>
    </row>
    <row r="625" spans="1:56" x14ac:dyDescent="0.3">
      <c r="A625" s="184"/>
      <c r="B625" s="184"/>
      <c r="C625" s="174"/>
      <c r="G625" s="185"/>
      <c r="H625" s="185"/>
      <c r="I625" s="185"/>
      <c r="J625" s="185"/>
      <c r="K625" s="185"/>
      <c r="L625" s="185"/>
      <c r="M625" s="185"/>
      <c r="N625" s="185"/>
      <c r="O625" s="185"/>
      <c r="P625" s="185"/>
      <c r="Q625" s="185"/>
      <c r="R625" s="185"/>
      <c r="S625" s="185"/>
      <c r="T625" s="185"/>
      <c r="U625" s="185"/>
      <c r="V625" s="185"/>
      <c r="W625" s="185"/>
      <c r="X625" s="185"/>
      <c r="Y625" s="185"/>
      <c r="Z625" s="185"/>
      <c r="AA625" s="185"/>
      <c r="AB625" s="185"/>
      <c r="AC625" s="185"/>
      <c r="AD625" s="185"/>
      <c r="AE625" s="185"/>
      <c r="AF625" s="185"/>
      <c r="AG625" s="185"/>
      <c r="AH625" s="185"/>
      <c r="AI625" s="185"/>
      <c r="AJ625" s="185"/>
      <c r="AK625" s="185"/>
      <c r="AL625" s="185"/>
      <c r="AM625" s="185"/>
      <c r="AN625" s="185"/>
      <c r="AO625" s="185"/>
      <c r="AP625" s="185"/>
      <c r="AQ625" s="185"/>
      <c r="AR625" s="185"/>
      <c r="AS625" s="185"/>
      <c r="AT625" s="185"/>
      <c r="AU625" s="185"/>
      <c r="AV625" s="185"/>
      <c r="AW625" s="185"/>
      <c r="AX625" s="185"/>
      <c r="AY625" s="185"/>
      <c r="AZ625" s="185"/>
      <c r="BA625" s="185"/>
      <c r="BB625" s="185"/>
    </row>
    <row r="626" spans="1:56" collapsed="1" x14ac:dyDescent="0.3">
      <c r="A626" s="214" t="str">
        <f ca="1">Language!A$851</f>
        <v>Кредиторская задолженность за внеоборотные активы</v>
      </c>
      <c r="C626" s="176" t="str">
        <f ca="1">CurName1</f>
        <v>руб.</v>
      </c>
      <c r="F626" s="170" t="s">
        <v>741</v>
      </c>
      <c r="G626" s="177">
        <f>G628+G627</f>
        <v>0</v>
      </c>
      <c r="H626" s="177">
        <f t="shared" ref="H626:K626" si="2596">H628+H627</f>
        <v>0</v>
      </c>
      <c r="I626" s="177">
        <f t="shared" si="2596"/>
        <v>0</v>
      </c>
      <c r="J626" s="177">
        <f t="shared" si="2596"/>
        <v>0</v>
      </c>
      <c r="K626" s="177">
        <f t="shared" si="2596"/>
        <v>0</v>
      </c>
      <c r="L626" s="177">
        <f t="shared" ref="L626:M626" si="2597">L628+L627</f>
        <v>0</v>
      </c>
      <c r="M626" s="177">
        <f t="shared" si="2597"/>
        <v>10000000</v>
      </c>
      <c r="N626" s="177">
        <f t="shared" ref="N626:O626" si="2598">N628+N627</f>
        <v>0</v>
      </c>
      <c r="O626" s="177">
        <f t="shared" si="2598"/>
        <v>0</v>
      </c>
      <c r="P626" s="177">
        <f t="shared" ref="P626:Q626" si="2599">P628+P627</f>
        <v>0</v>
      </c>
      <c r="Q626" s="177">
        <f t="shared" si="2599"/>
        <v>0</v>
      </c>
      <c r="R626" s="177">
        <f t="shared" ref="R626:S626" si="2600">R628+R627</f>
        <v>0</v>
      </c>
      <c r="S626" s="177">
        <f t="shared" si="2600"/>
        <v>0</v>
      </c>
      <c r="T626" s="177">
        <f t="shared" ref="T626:U626" si="2601">T628+T627</f>
        <v>0</v>
      </c>
      <c r="U626" s="177">
        <f t="shared" si="2601"/>
        <v>0</v>
      </c>
      <c r="V626" s="177">
        <f t="shared" ref="V626:W626" si="2602">V628+V627</f>
        <v>0</v>
      </c>
      <c r="W626" s="177">
        <f t="shared" si="2602"/>
        <v>0</v>
      </c>
      <c r="X626" s="177">
        <f t="shared" ref="X626:Y626" si="2603">X628+X627</f>
        <v>0</v>
      </c>
      <c r="Y626" s="177">
        <f t="shared" si="2603"/>
        <v>0</v>
      </c>
      <c r="Z626" s="177">
        <f t="shared" ref="Z626:AA626" si="2604">Z628+Z627</f>
        <v>0</v>
      </c>
      <c r="AA626" s="177">
        <f t="shared" si="2604"/>
        <v>0</v>
      </c>
      <c r="AB626" s="177">
        <f t="shared" ref="AB626:AC626" si="2605">AB628+AB627</f>
        <v>0</v>
      </c>
      <c r="AC626" s="177">
        <f t="shared" si="2605"/>
        <v>0</v>
      </c>
      <c r="AD626" s="177">
        <f t="shared" ref="AD626:AE626" si="2606">AD628+AD627</f>
        <v>0</v>
      </c>
      <c r="AE626" s="177">
        <f t="shared" si="2606"/>
        <v>0</v>
      </c>
      <c r="AF626" s="177">
        <f t="shared" ref="AF626:AG626" si="2607">AF628+AF627</f>
        <v>0</v>
      </c>
      <c r="AG626" s="177">
        <f t="shared" si="2607"/>
        <v>0</v>
      </c>
      <c r="AH626" s="177">
        <f t="shared" ref="AH626:AI626" si="2608">AH628+AH627</f>
        <v>0</v>
      </c>
      <c r="AI626" s="177">
        <f t="shared" si="2608"/>
        <v>0</v>
      </c>
      <c r="AJ626" s="177">
        <f t="shared" ref="AJ626:AK626" si="2609">AJ628+AJ627</f>
        <v>0</v>
      </c>
      <c r="AK626" s="177">
        <f t="shared" si="2609"/>
        <v>0</v>
      </c>
      <c r="AL626" s="177">
        <f t="shared" ref="AL626:AM626" si="2610">AL628+AL627</f>
        <v>0</v>
      </c>
      <c r="AM626" s="177">
        <f t="shared" si="2610"/>
        <v>0</v>
      </c>
      <c r="AN626" s="177">
        <f t="shared" ref="AN626:AO626" si="2611">AN628+AN627</f>
        <v>0</v>
      </c>
      <c r="AO626" s="177">
        <f t="shared" si="2611"/>
        <v>0</v>
      </c>
      <c r="AP626" s="177">
        <f t="shared" ref="AP626:AQ626" si="2612">AP628+AP627</f>
        <v>0</v>
      </c>
      <c r="AQ626" s="177">
        <f t="shared" si="2612"/>
        <v>0</v>
      </c>
      <c r="AR626" s="177">
        <f t="shared" ref="AR626:AS626" si="2613">AR628+AR627</f>
        <v>0</v>
      </c>
      <c r="AS626" s="177">
        <f t="shared" si="2613"/>
        <v>0</v>
      </c>
      <c r="AT626" s="177">
        <f t="shared" ref="AT626:AU626" si="2614">AT628+AT627</f>
        <v>0</v>
      </c>
      <c r="AU626" s="177">
        <f t="shared" si="2614"/>
        <v>0</v>
      </c>
      <c r="AV626" s="177">
        <f t="shared" ref="AV626:AW626" si="2615">AV628+AV627</f>
        <v>0</v>
      </c>
      <c r="AW626" s="177">
        <f t="shared" si="2615"/>
        <v>0</v>
      </c>
      <c r="AX626" s="177">
        <f t="shared" ref="AX626:AY626" si="2616">AX628+AX627</f>
        <v>0</v>
      </c>
      <c r="AY626" s="177">
        <f t="shared" si="2616"/>
        <v>0</v>
      </c>
      <c r="AZ626" s="177">
        <f t="shared" ref="AZ626:BA626" si="2617">AZ628+AZ627</f>
        <v>0</v>
      </c>
      <c r="BA626" s="177">
        <f t="shared" si="2617"/>
        <v>0</v>
      </c>
      <c r="BB626" s="177">
        <f t="shared" ref="BB626" si="2618">BB628+BB627</f>
        <v>0</v>
      </c>
    </row>
    <row r="627" spans="1:56" hidden="1" outlineLevel="1" x14ac:dyDescent="0.3">
      <c r="A627" s="184" t="str">
        <f ca="1">Language!A$852</f>
        <v>величина из плана инвестиций</v>
      </c>
      <c r="B627" s="184"/>
      <c r="C627" s="174" t="str">
        <f ca="1">CurName1</f>
        <v>руб.</v>
      </c>
      <c r="F627" s="170" t="s">
        <v>741</v>
      </c>
      <c r="G627" s="185">
        <f>G945+G952+G967+G981</f>
        <v>0</v>
      </c>
      <c r="H627" s="185">
        <f t="shared" ref="H627:K627" si="2619">H945+H952+H967+H981</f>
        <v>0</v>
      </c>
      <c r="I627" s="185">
        <f t="shared" si="2619"/>
        <v>0</v>
      </c>
      <c r="J627" s="185">
        <f t="shared" si="2619"/>
        <v>0</v>
      </c>
      <c r="K627" s="185">
        <f t="shared" si="2619"/>
        <v>0</v>
      </c>
      <c r="L627" s="185">
        <f t="shared" ref="L627:M627" si="2620">L945+L952+L967+L981</f>
        <v>0</v>
      </c>
      <c r="M627" s="185">
        <f t="shared" si="2620"/>
        <v>10000000</v>
      </c>
      <c r="N627" s="185">
        <f t="shared" ref="N627:O627" si="2621">N945+N952+N967+N981</f>
        <v>0</v>
      </c>
      <c r="O627" s="185">
        <f t="shared" si="2621"/>
        <v>0</v>
      </c>
      <c r="P627" s="185">
        <f t="shared" ref="P627:Q627" si="2622">P945+P952+P967+P981</f>
        <v>0</v>
      </c>
      <c r="Q627" s="185">
        <f t="shared" si="2622"/>
        <v>0</v>
      </c>
      <c r="R627" s="185">
        <f t="shared" ref="R627:S627" si="2623">R945+R952+R967+R981</f>
        <v>0</v>
      </c>
      <c r="S627" s="185">
        <f t="shared" si="2623"/>
        <v>0</v>
      </c>
      <c r="T627" s="185">
        <f t="shared" ref="T627:U627" si="2624">T945+T952+T967+T981</f>
        <v>0</v>
      </c>
      <c r="U627" s="185">
        <f t="shared" si="2624"/>
        <v>0</v>
      </c>
      <c r="V627" s="185">
        <f t="shared" ref="V627:W627" si="2625">V945+V952+V967+V981</f>
        <v>0</v>
      </c>
      <c r="W627" s="185">
        <f t="shared" si="2625"/>
        <v>0</v>
      </c>
      <c r="X627" s="185">
        <f t="shared" ref="X627:Y627" si="2626">X945+X952+X967+X981</f>
        <v>0</v>
      </c>
      <c r="Y627" s="185">
        <f t="shared" si="2626"/>
        <v>0</v>
      </c>
      <c r="Z627" s="185">
        <f t="shared" ref="Z627:AA627" si="2627">Z945+Z952+Z967+Z981</f>
        <v>0</v>
      </c>
      <c r="AA627" s="185">
        <f t="shared" si="2627"/>
        <v>0</v>
      </c>
      <c r="AB627" s="185">
        <f t="shared" ref="AB627:AC627" si="2628">AB945+AB952+AB967+AB981</f>
        <v>0</v>
      </c>
      <c r="AC627" s="185">
        <f t="shared" si="2628"/>
        <v>0</v>
      </c>
      <c r="AD627" s="185">
        <f t="shared" ref="AD627:AE627" si="2629">AD945+AD952+AD967+AD981</f>
        <v>0</v>
      </c>
      <c r="AE627" s="185">
        <f t="shared" si="2629"/>
        <v>0</v>
      </c>
      <c r="AF627" s="185">
        <f t="shared" ref="AF627:AG627" si="2630">AF945+AF952+AF967+AF981</f>
        <v>0</v>
      </c>
      <c r="AG627" s="185">
        <f t="shared" si="2630"/>
        <v>0</v>
      </c>
      <c r="AH627" s="185">
        <f t="shared" ref="AH627:AI627" si="2631">AH945+AH952+AH967+AH981</f>
        <v>0</v>
      </c>
      <c r="AI627" s="185">
        <f t="shared" si="2631"/>
        <v>0</v>
      </c>
      <c r="AJ627" s="185">
        <f t="shared" ref="AJ627:AK627" si="2632">AJ945+AJ952+AJ967+AJ981</f>
        <v>0</v>
      </c>
      <c r="AK627" s="185">
        <f t="shared" si="2632"/>
        <v>0</v>
      </c>
      <c r="AL627" s="185">
        <f t="shared" ref="AL627:AM627" si="2633">AL945+AL952+AL967+AL981</f>
        <v>0</v>
      </c>
      <c r="AM627" s="185">
        <f t="shared" si="2633"/>
        <v>0</v>
      </c>
      <c r="AN627" s="185">
        <f t="shared" ref="AN627:AO627" si="2634">AN945+AN952+AN967+AN981</f>
        <v>0</v>
      </c>
      <c r="AO627" s="185">
        <f t="shared" si="2634"/>
        <v>0</v>
      </c>
      <c r="AP627" s="185">
        <f t="shared" ref="AP627:AQ627" si="2635">AP945+AP952+AP967+AP981</f>
        <v>0</v>
      </c>
      <c r="AQ627" s="185">
        <f t="shared" si="2635"/>
        <v>0</v>
      </c>
      <c r="AR627" s="185">
        <f t="shared" ref="AR627:AS627" si="2636">AR945+AR952+AR967+AR981</f>
        <v>0</v>
      </c>
      <c r="AS627" s="185">
        <f t="shared" si="2636"/>
        <v>0</v>
      </c>
      <c r="AT627" s="185">
        <f t="shared" ref="AT627:AU627" si="2637">AT945+AT952+AT967+AT981</f>
        <v>0</v>
      </c>
      <c r="AU627" s="185">
        <f t="shared" si="2637"/>
        <v>0</v>
      </c>
      <c r="AV627" s="185">
        <f t="shared" ref="AV627:AW627" si="2638">AV945+AV952+AV967+AV981</f>
        <v>0</v>
      </c>
      <c r="AW627" s="185">
        <f t="shared" si="2638"/>
        <v>0</v>
      </c>
      <c r="AX627" s="185">
        <f t="shared" ref="AX627:AY627" si="2639">AX945+AX952+AX967+AX981</f>
        <v>0</v>
      </c>
      <c r="AY627" s="185">
        <f t="shared" si="2639"/>
        <v>0</v>
      </c>
      <c r="AZ627" s="185">
        <f t="shared" ref="AZ627:BA627" si="2640">AZ945+AZ952+AZ967+AZ981</f>
        <v>0</v>
      </c>
      <c r="BA627" s="185">
        <f t="shared" si="2640"/>
        <v>0</v>
      </c>
      <c r="BB627" s="185">
        <f t="shared" ref="BB627" si="2641">BB945+BB952+BB967+BB981</f>
        <v>0</v>
      </c>
    </row>
    <row r="628" spans="1:56" hidden="1" outlineLevel="1" x14ac:dyDescent="0.3">
      <c r="A628" s="184" t="str">
        <f ca="1">Language!A$853</f>
        <v>величина из стартового баланса</v>
      </c>
      <c r="B628" s="212">
        <f>Старт!B29</f>
        <v>0</v>
      </c>
      <c r="C628" s="174" t="str">
        <f ca="1">CurName1</f>
        <v>руб.</v>
      </c>
      <c r="F628" s="170" t="s">
        <v>2350</v>
      </c>
      <c r="G628" s="287">
        <f>IF(G$2=1,$B628,F628)</f>
        <v>0</v>
      </c>
      <c r="H628" s="287">
        <f t="shared" ref="H628" si="2642">IF(H$2=1,$B628,G628)</f>
        <v>0</v>
      </c>
      <c r="I628" s="287">
        <f t="shared" ref="I628" si="2643">IF(I$2=1,$B628,H628)</f>
        <v>0</v>
      </c>
      <c r="J628" s="287">
        <f t="shared" ref="J628" si="2644">IF(J$2=1,$B628,I628)</f>
        <v>0</v>
      </c>
      <c r="K628" s="287">
        <f t="shared" ref="K628:BB628" si="2645">IF(K$2=1,$B628,J628)</f>
        <v>0</v>
      </c>
      <c r="L628" s="287">
        <f t="shared" si="2645"/>
        <v>0</v>
      </c>
      <c r="M628" s="287">
        <f t="shared" si="2645"/>
        <v>0</v>
      </c>
      <c r="N628" s="287">
        <f t="shared" si="2645"/>
        <v>0</v>
      </c>
      <c r="O628" s="287">
        <f t="shared" si="2645"/>
        <v>0</v>
      </c>
      <c r="P628" s="287">
        <f t="shared" si="2645"/>
        <v>0</v>
      </c>
      <c r="Q628" s="287">
        <f t="shared" si="2645"/>
        <v>0</v>
      </c>
      <c r="R628" s="287">
        <f t="shared" si="2645"/>
        <v>0</v>
      </c>
      <c r="S628" s="287">
        <f t="shared" si="2645"/>
        <v>0</v>
      </c>
      <c r="T628" s="287">
        <f t="shared" si="2645"/>
        <v>0</v>
      </c>
      <c r="U628" s="287">
        <f t="shared" si="2645"/>
        <v>0</v>
      </c>
      <c r="V628" s="287">
        <f t="shared" si="2645"/>
        <v>0</v>
      </c>
      <c r="W628" s="287">
        <f t="shared" si="2645"/>
        <v>0</v>
      </c>
      <c r="X628" s="287">
        <f t="shared" si="2645"/>
        <v>0</v>
      </c>
      <c r="Y628" s="287">
        <f t="shared" si="2645"/>
        <v>0</v>
      </c>
      <c r="Z628" s="287">
        <f t="shared" si="2645"/>
        <v>0</v>
      </c>
      <c r="AA628" s="287">
        <f t="shared" si="2645"/>
        <v>0</v>
      </c>
      <c r="AB628" s="287">
        <f t="shared" si="2645"/>
        <v>0</v>
      </c>
      <c r="AC628" s="287">
        <f t="shared" si="2645"/>
        <v>0</v>
      </c>
      <c r="AD628" s="287">
        <f t="shared" si="2645"/>
        <v>0</v>
      </c>
      <c r="AE628" s="287">
        <f t="shared" si="2645"/>
        <v>0</v>
      </c>
      <c r="AF628" s="287">
        <f t="shared" si="2645"/>
        <v>0</v>
      </c>
      <c r="AG628" s="287">
        <f t="shared" si="2645"/>
        <v>0</v>
      </c>
      <c r="AH628" s="287">
        <f t="shared" si="2645"/>
        <v>0</v>
      </c>
      <c r="AI628" s="287">
        <f t="shared" si="2645"/>
        <v>0</v>
      </c>
      <c r="AJ628" s="287">
        <f t="shared" si="2645"/>
        <v>0</v>
      </c>
      <c r="AK628" s="287">
        <f t="shared" si="2645"/>
        <v>0</v>
      </c>
      <c r="AL628" s="287">
        <f t="shared" si="2645"/>
        <v>0</v>
      </c>
      <c r="AM628" s="287">
        <f t="shared" si="2645"/>
        <v>0</v>
      </c>
      <c r="AN628" s="287">
        <f t="shared" si="2645"/>
        <v>0</v>
      </c>
      <c r="AO628" s="287">
        <f t="shared" si="2645"/>
        <v>0</v>
      </c>
      <c r="AP628" s="287">
        <f t="shared" si="2645"/>
        <v>0</v>
      </c>
      <c r="AQ628" s="287">
        <f t="shared" si="2645"/>
        <v>0</v>
      </c>
      <c r="AR628" s="287">
        <f t="shared" si="2645"/>
        <v>0</v>
      </c>
      <c r="AS628" s="287">
        <f t="shared" si="2645"/>
        <v>0</v>
      </c>
      <c r="AT628" s="287">
        <f t="shared" si="2645"/>
        <v>0</v>
      </c>
      <c r="AU628" s="287">
        <f t="shared" si="2645"/>
        <v>0</v>
      </c>
      <c r="AV628" s="287">
        <f t="shared" si="2645"/>
        <v>0</v>
      </c>
      <c r="AW628" s="287">
        <f t="shared" si="2645"/>
        <v>0</v>
      </c>
      <c r="AX628" s="287">
        <f t="shared" si="2645"/>
        <v>0</v>
      </c>
      <c r="AY628" s="287">
        <f t="shared" si="2645"/>
        <v>0</v>
      </c>
      <c r="AZ628" s="287">
        <f t="shared" si="2645"/>
        <v>0</v>
      </c>
      <c r="BA628" s="287">
        <f t="shared" si="2645"/>
        <v>0</v>
      </c>
      <c r="BB628" s="287">
        <f t="shared" si="2645"/>
        <v>0</v>
      </c>
    </row>
    <row r="629" spans="1:56" hidden="1" outlineLevel="1" x14ac:dyDescent="0.3">
      <c r="A629" s="184" t="str">
        <f ca="1">Language!A$854</f>
        <v>влияние стартового баланса на денежные средства</v>
      </c>
      <c r="B629" s="184"/>
      <c r="C629" s="174" t="str">
        <f ca="1">CurName1</f>
        <v>руб.</v>
      </c>
      <c r="F629" s="170" t="s">
        <v>740</v>
      </c>
      <c r="G629" s="185">
        <f>IF(G$2=1,G628-$B628,G628-F628)</f>
        <v>0</v>
      </c>
      <c r="H629" s="185">
        <f t="shared" ref="H629" si="2646">IF(H$2=1,H628-$B628,H628-G628)</f>
        <v>0</v>
      </c>
      <c r="I629" s="185">
        <f t="shared" ref="I629" si="2647">IF(I$2=1,I628-$B628,I628-H628)</f>
        <v>0</v>
      </c>
      <c r="J629" s="185">
        <f t="shared" ref="J629" si="2648">IF(J$2=1,J628-$B628,J628-I628)</f>
        <v>0</v>
      </c>
      <c r="K629" s="185">
        <f t="shared" ref="K629:BB629" si="2649">IF(K$2=1,K628-$B628,K628-J628)</f>
        <v>0</v>
      </c>
      <c r="L629" s="185">
        <f t="shared" si="2649"/>
        <v>0</v>
      </c>
      <c r="M629" s="185">
        <f t="shared" si="2649"/>
        <v>0</v>
      </c>
      <c r="N629" s="185">
        <f t="shared" si="2649"/>
        <v>0</v>
      </c>
      <c r="O629" s="185">
        <f t="shared" si="2649"/>
        <v>0</v>
      </c>
      <c r="P629" s="185">
        <f t="shared" si="2649"/>
        <v>0</v>
      </c>
      <c r="Q629" s="185">
        <f t="shared" si="2649"/>
        <v>0</v>
      </c>
      <c r="R629" s="185">
        <f t="shared" si="2649"/>
        <v>0</v>
      </c>
      <c r="S629" s="185">
        <f t="shared" si="2649"/>
        <v>0</v>
      </c>
      <c r="T629" s="185">
        <f t="shared" si="2649"/>
        <v>0</v>
      </c>
      <c r="U629" s="185">
        <f t="shared" si="2649"/>
        <v>0</v>
      </c>
      <c r="V629" s="185">
        <f t="shared" si="2649"/>
        <v>0</v>
      </c>
      <c r="W629" s="185">
        <f t="shared" si="2649"/>
        <v>0</v>
      </c>
      <c r="X629" s="185">
        <f t="shared" si="2649"/>
        <v>0</v>
      </c>
      <c r="Y629" s="185">
        <f t="shared" si="2649"/>
        <v>0</v>
      </c>
      <c r="Z629" s="185">
        <f t="shared" si="2649"/>
        <v>0</v>
      </c>
      <c r="AA629" s="185">
        <f t="shared" si="2649"/>
        <v>0</v>
      </c>
      <c r="AB629" s="185">
        <f t="shared" si="2649"/>
        <v>0</v>
      </c>
      <c r="AC629" s="185">
        <f t="shared" si="2649"/>
        <v>0</v>
      </c>
      <c r="AD629" s="185">
        <f t="shared" si="2649"/>
        <v>0</v>
      </c>
      <c r="AE629" s="185">
        <f t="shared" si="2649"/>
        <v>0</v>
      </c>
      <c r="AF629" s="185">
        <f t="shared" si="2649"/>
        <v>0</v>
      </c>
      <c r="AG629" s="185">
        <f t="shared" si="2649"/>
        <v>0</v>
      </c>
      <c r="AH629" s="185">
        <f t="shared" si="2649"/>
        <v>0</v>
      </c>
      <c r="AI629" s="185">
        <f t="shared" si="2649"/>
        <v>0</v>
      </c>
      <c r="AJ629" s="185">
        <f t="shared" si="2649"/>
        <v>0</v>
      </c>
      <c r="AK629" s="185">
        <f t="shared" si="2649"/>
        <v>0</v>
      </c>
      <c r="AL629" s="185">
        <f t="shared" si="2649"/>
        <v>0</v>
      </c>
      <c r="AM629" s="185">
        <f t="shared" si="2649"/>
        <v>0</v>
      </c>
      <c r="AN629" s="185">
        <f t="shared" si="2649"/>
        <v>0</v>
      </c>
      <c r="AO629" s="185">
        <f t="shared" si="2649"/>
        <v>0</v>
      </c>
      <c r="AP629" s="185">
        <f t="shared" si="2649"/>
        <v>0</v>
      </c>
      <c r="AQ629" s="185">
        <f t="shared" si="2649"/>
        <v>0</v>
      </c>
      <c r="AR629" s="185">
        <f t="shared" si="2649"/>
        <v>0</v>
      </c>
      <c r="AS629" s="185">
        <f t="shared" si="2649"/>
        <v>0</v>
      </c>
      <c r="AT629" s="185">
        <f t="shared" si="2649"/>
        <v>0</v>
      </c>
      <c r="AU629" s="185">
        <f t="shared" si="2649"/>
        <v>0</v>
      </c>
      <c r="AV629" s="185">
        <f t="shared" si="2649"/>
        <v>0</v>
      </c>
      <c r="AW629" s="185">
        <f t="shared" si="2649"/>
        <v>0</v>
      </c>
      <c r="AX629" s="185">
        <f t="shared" si="2649"/>
        <v>0</v>
      </c>
      <c r="AY629" s="185">
        <f t="shared" si="2649"/>
        <v>0</v>
      </c>
      <c r="AZ629" s="185">
        <f t="shared" si="2649"/>
        <v>0</v>
      </c>
      <c r="BA629" s="185">
        <f t="shared" si="2649"/>
        <v>0</v>
      </c>
      <c r="BB629" s="185">
        <f t="shared" si="2649"/>
        <v>0</v>
      </c>
    </row>
    <row r="630" spans="1:56" x14ac:dyDescent="0.3">
      <c r="A630" s="184"/>
      <c r="B630" s="184"/>
      <c r="C630" s="174"/>
      <c r="G630" s="185"/>
      <c r="H630" s="185"/>
      <c r="I630" s="185"/>
      <c r="J630" s="185"/>
      <c r="K630" s="185"/>
      <c r="L630" s="185"/>
      <c r="M630" s="185"/>
      <c r="N630" s="185"/>
      <c r="O630" s="185"/>
      <c r="P630" s="185"/>
      <c r="Q630" s="185"/>
      <c r="R630" s="185"/>
      <c r="S630" s="185"/>
      <c r="T630" s="185"/>
      <c r="U630" s="185"/>
      <c r="V630" s="185"/>
      <c r="W630" s="185"/>
      <c r="X630" s="185"/>
      <c r="Y630" s="185"/>
      <c r="Z630" s="185"/>
      <c r="AA630" s="185"/>
      <c r="AB630" s="185"/>
      <c r="AC630" s="185"/>
      <c r="AD630" s="185"/>
      <c r="AE630" s="185"/>
      <c r="AF630" s="185"/>
      <c r="AG630" s="185"/>
      <c r="AH630" s="185"/>
      <c r="AI630" s="185"/>
      <c r="AJ630" s="185"/>
      <c r="AK630" s="185"/>
      <c r="AL630" s="185"/>
      <c r="AM630" s="185"/>
      <c r="AN630" s="185"/>
      <c r="AO630" s="185"/>
      <c r="AP630" s="185"/>
      <c r="AQ630" s="185"/>
      <c r="AR630" s="185"/>
      <c r="AS630" s="185"/>
      <c r="AT630" s="185"/>
      <c r="AU630" s="185"/>
      <c r="AV630" s="185"/>
      <c r="AW630" s="185"/>
      <c r="AX630" s="185"/>
      <c r="AY630" s="185"/>
      <c r="AZ630" s="185"/>
      <c r="BA630" s="185"/>
      <c r="BB630" s="185"/>
    </row>
    <row r="631" spans="1:56" x14ac:dyDescent="0.3">
      <c r="A631" s="214" t="str">
        <f ca="1">Language!A$855</f>
        <v>Итого оборотные активы</v>
      </c>
      <c r="B631" s="184"/>
      <c r="C631" s="176" t="str">
        <f ca="1">CurName1</f>
        <v>руб.</v>
      </c>
      <c r="F631" s="170" t="s">
        <v>741</v>
      </c>
      <c r="G631" s="177">
        <f ca="1">G572+G584+G590+G596+G609</f>
        <v>0</v>
      </c>
      <c r="H631" s="177">
        <f t="shared" ref="H631:K631" ca="1" si="2650">H572+H584+H590+H596+H609</f>
        <v>0</v>
      </c>
      <c r="I631" s="177">
        <f t="shared" ca="1" si="2650"/>
        <v>0</v>
      </c>
      <c r="J631" s="177">
        <f t="shared" ca="1" si="2650"/>
        <v>0</v>
      </c>
      <c r="K631" s="177">
        <f t="shared" ca="1" si="2650"/>
        <v>0</v>
      </c>
      <c r="L631" s="177">
        <f t="shared" ref="L631:M631" ca="1" si="2651">L572+L584+L590+L596+L609</f>
        <v>1077925.0604182645</v>
      </c>
      <c r="M631" s="177">
        <f t="shared" ca="1" si="2651"/>
        <v>4731564.8902043942</v>
      </c>
      <c r="N631" s="177">
        <f t="shared" ref="N631:O631" ca="1" si="2652">N572+N584+N590+N596+N609</f>
        <v>6211672.3994309967</v>
      </c>
      <c r="O631" s="177">
        <f t="shared" ca="1" si="2652"/>
        <v>7711894.3038103469</v>
      </c>
      <c r="P631" s="177">
        <f t="shared" ref="P631:Q631" ca="1" si="2653">P572+P584+P590+P596+P609</f>
        <v>8881562.6742199883</v>
      </c>
      <c r="Q631" s="177">
        <f t="shared" ca="1" si="2653"/>
        <v>8944188.3480141349</v>
      </c>
      <c r="R631" s="177">
        <f t="shared" ref="R631:S631" ca="1" si="2654">R572+R584+R590+R596+R609</f>
        <v>9703054.8956035879</v>
      </c>
      <c r="S631" s="177">
        <f t="shared" ca="1" si="2654"/>
        <v>11690603.431193</v>
      </c>
      <c r="T631" s="177">
        <f t="shared" ref="T631:U631" ca="1" si="2655">T572+T584+T590+T596+T609</f>
        <v>10256113.209655911</v>
      </c>
      <c r="U631" s="177">
        <f t="shared" ca="1" si="2655"/>
        <v>9165264.7929442637</v>
      </c>
      <c r="V631" s="177">
        <f t="shared" ref="V631:W631" ca="1" si="2656">V572+V584+V590+V596+V609</f>
        <v>8856843.0742778983</v>
      </c>
      <c r="W631" s="177">
        <f t="shared" ca="1" si="2656"/>
        <v>8842314.1325159986</v>
      </c>
      <c r="X631" s="177">
        <f t="shared" ref="X631:Y631" ca="1" si="2657">X572+X584+X590+X596+X609</f>
        <v>13152605.745543756</v>
      </c>
      <c r="Y631" s="177">
        <f t="shared" ca="1" si="2657"/>
        <v>15595102.870766558</v>
      </c>
      <c r="Z631" s="177">
        <f t="shared" ref="Z631:AA631" ca="1" si="2658">Z572+Z584+Z590+Z596+Z609</f>
        <v>14570296.15913175</v>
      </c>
      <c r="AA631" s="177">
        <f t="shared" ca="1" si="2658"/>
        <v>10328789.861208202</v>
      </c>
      <c r="AB631" s="177">
        <f t="shared" ref="AB631:AC631" ca="1" si="2659">AB572+AB584+AB590+AB596+AB609</f>
        <v>7994041.7145613153</v>
      </c>
      <c r="AC631" s="177">
        <f t="shared" ca="1" si="2659"/>
        <v>8437136.6273376048</v>
      </c>
      <c r="AD631" s="177">
        <f t="shared" ref="AD631:AE631" ca="1" si="2660">AD572+AD584+AD590+AD596+AD609</f>
        <v>10480886.100842014</v>
      </c>
      <c r="AE631" s="177">
        <f t="shared" ca="1" si="2660"/>
        <v>12596659.436990462</v>
      </c>
      <c r="AF631" s="177">
        <f t="shared" ref="AF631:AG631" ca="1" si="2661">AF572+AF584+AF590+AF596+AF609</f>
        <v>11050245.808122497</v>
      </c>
      <c r="AG631" s="177">
        <f t="shared" ca="1" si="2661"/>
        <v>9883916.4433173165</v>
      </c>
      <c r="AH631" s="177">
        <f t="shared" ref="AH631:AI631" ca="1" si="2662">AH572+AH584+AH590+AH596+AH609</f>
        <v>9542128.4965651352</v>
      </c>
      <c r="AI631" s="177">
        <f t="shared" ca="1" si="2662"/>
        <v>9566229.9665289</v>
      </c>
      <c r="AJ631" s="177">
        <f t="shared" ref="AJ631:AK631" ca="1" si="2663">AJ572+AJ584+AJ590+AJ596+AJ609</f>
        <v>14207056.909979027</v>
      </c>
      <c r="AK631" s="177">
        <f t="shared" ca="1" si="2663"/>
        <v>16823174.773465801</v>
      </c>
      <c r="AL631" s="177">
        <f t="shared" ref="AL631:AM631" ca="1" si="2664">AL572+AL584+AL590+AL596+AL609</f>
        <v>15688248.437215088</v>
      </c>
      <c r="AM631" s="177">
        <f t="shared" ca="1" si="2664"/>
        <v>11122529.290093325</v>
      </c>
      <c r="AN631" s="177">
        <f t="shared" ref="AN631:AO631" ca="1" si="2665">AN572+AN584+AN590+AN596+AN609</f>
        <v>8624188.6887672991</v>
      </c>
      <c r="AO631" s="177">
        <f t="shared" ca="1" si="2665"/>
        <v>9113006.8357138075</v>
      </c>
      <c r="AP631" s="177">
        <f t="shared" ref="AP631:AQ631" ca="1" si="2666">AP572+AP584+AP590+AP596+AP609</f>
        <v>11329569.260256417</v>
      </c>
      <c r="AQ631" s="177">
        <f t="shared" ca="1" si="2666"/>
        <v>13582369.81040661</v>
      </c>
      <c r="AR631" s="177">
        <f t="shared" ref="AR631:AS631" ca="1" si="2667">AR572+AR584+AR590+AR596+AR609</f>
        <v>11914121.816104745</v>
      </c>
      <c r="AS631" s="177">
        <f t="shared" ca="1" si="2667"/>
        <v>10666542.932994392</v>
      </c>
      <c r="AT631" s="177">
        <f t="shared" ref="AT631:AU631" ca="1" si="2668">AT572+AT584+AT590+AT596+AT609</f>
        <v>10287549.974145468</v>
      </c>
      <c r="AU631" s="177">
        <f t="shared" ca="1" si="2668"/>
        <v>10357482.146059837</v>
      </c>
      <c r="AV631" s="177">
        <f t="shared" ref="AV631:AW631" ca="1" si="2669">AV572+AV584+AV590+AV596+AV609</f>
        <v>15357565.583995663</v>
      </c>
      <c r="AW631" s="177">
        <f t="shared" ca="1" si="2669"/>
        <v>18161067.394611023</v>
      </c>
      <c r="AX631" s="177">
        <f t="shared" ref="AX631:AY631" ca="1" si="2670">AX572+AX584+AX590+AX596+AX609</f>
        <v>16903403.43723841</v>
      </c>
      <c r="AY631" s="177">
        <f t="shared" ca="1" si="2670"/>
        <v>11985400.972511036</v>
      </c>
      <c r="AZ631" s="177">
        <f t="shared" ref="AZ631:BA631" ca="1" si="2671">AZ572+AZ584+AZ590+AZ596+AZ609</f>
        <v>9310746.8340823222</v>
      </c>
      <c r="BA631" s="177">
        <f t="shared" ca="1" si="2671"/>
        <v>9850397.0091195423</v>
      </c>
      <c r="BB631" s="177">
        <f t="shared" ref="BB631" ca="1" si="2672">BB572+BB584+BB590+BB596+BB609</f>
        <v>11476525.311383691</v>
      </c>
    </row>
    <row r="632" spans="1:56" x14ac:dyDescent="0.3">
      <c r="A632" s="214" t="str">
        <f ca="1">Language!A$856</f>
        <v>Итого краткосрочные обязательства</v>
      </c>
      <c r="B632" s="184"/>
      <c r="C632" s="176" t="str">
        <f ca="1">CurName1</f>
        <v>руб.</v>
      </c>
      <c r="F632" s="170" t="s">
        <v>741</v>
      </c>
      <c r="G632" s="177">
        <f ca="1">G578+G602+G615+G621+G626</f>
        <v>0</v>
      </c>
      <c r="H632" s="177">
        <f t="shared" ref="H632:K632" ca="1" si="2673">H578+H602+H615+H621+H626</f>
        <v>0</v>
      </c>
      <c r="I632" s="177">
        <f t="shared" ca="1" si="2673"/>
        <v>0</v>
      </c>
      <c r="J632" s="177">
        <f t="shared" ca="1" si="2673"/>
        <v>0</v>
      </c>
      <c r="K632" s="177">
        <f t="shared" ca="1" si="2673"/>
        <v>0</v>
      </c>
      <c r="L632" s="177">
        <f t="shared" ref="L632:M632" ca="1" si="2674">L578+L602+L615+L621+L626</f>
        <v>0</v>
      </c>
      <c r="M632" s="177">
        <f t="shared" ca="1" si="2674"/>
        <v>12329552.652701583</v>
      </c>
      <c r="N632" s="177">
        <f t="shared" ref="N632:O632" ca="1" si="2675">N578+N602+N615+N621+N626</f>
        <v>2551732.2996280985</v>
      </c>
      <c r="O632" s="177">
        <f t="shared" ca="1" si="2675"/>
        <v>2948037.1154238717</v>
      </c>
      <c r="P632" s="177">
        <f t="shared" ref="P632:Q632" ca="1" si="2676">P578+P602+P615+P621+P626</f>
        <v>3353357.2798118237</v>
      </c>
      <c r="Q632" s="177">
        <f t="shared" ca="1" si="2676"/>
        <v>3287629.2157866303</v>
      </c>
      <c r="R632" s="177">
        <f t="shared" ref="R632:S632" ca="1" si="2677">R578+R602+R615+R621+R626</f>
        <v>3322948.2713664994</v>
      </c>
      <c r="S632" s="177">
        <f t="shared" ca="1" si="2677"/>
        <v>4298222.1005116012</v>
      </c>
      <c r="T632" s="177">
        <f t="shared" ref="T632:U632" ca="1" si="2678">T578+T602+T615+T621+T626</f>
        <v>3666054.8485331032</v>
      </c>
      <c r="U632" s="177">
        <f t="shared" ca="1" si="2678"/>
        <v>3289553.2528877696</v>
      </c>
      <c r="V632" s="177">
        <f t="shared" ref="V632:W632" ca="1" si="2679">V578+V602+V615+V621+V626</f>
        <v>3399044.9412992592</v>
      </c>
      <c r="W632" s="177">
        <f t="shared" ca="1" si="2679"/>
        <v>2924000.7012880985</v>
      </c>
      <c r="X632" s="177">
        <f t="shared" ref="X632:Y632" ca="1" si="2680">X578+X602+X615+X621+X626</f>
        <v>4517278.2008691076</v>
      </c>
      <c r="Y632" s="177">
        <f t="shared" ca="1" si="2680"/>
        <v>5255095.2227367461</v>
      </c>
      <c r="Z632" s="177">
        <f t="shared" ref="Z632:AA632" ca="1" si="2681">Z578+Z602+Z615+Z621+Z626</f>
        <v>5099646.0517101344</v>
      </c>
      <c r="AA632" s="177">
        <f t="shared" ca="1" si="2681"/>
        <v>3620355.4827527199</v>
      </c>
      <c r="AB632" s="177">
        <f t="shared" ref="AB632:AC632" ca="1" si="2682">AB578+AB602+AB615+AB621+AB626</f>
        <v>2921640.214728713</v>
      </c>
      <c r="AC632" s="177">
        <f t="shared" ca="1" si="2682"/>
        <v>3136866.258476798</v>
      </c>
      <c r="AD632" s="177">
        <f t="shared" ref="AD632:AE632" ca="1" si="2683">AD578+AD602+AD615+AD621+AD626</f>
        <v>3690787.4988557715</v>
      </c>
      <c r="AE632" s="177">
        <f t="shared" ca="1" si="2683"/>
        <v>4660383.0656711943</v>
      </c>
      <c r="AF632" s="177">
        <f t="shared" ref="AF632:AG632" ca="1" si="2684">AF578+AF602+AF615+AF621+AF626</f>
        <v>3962264.0339969569</v>
      </c>
      <c r="AG632" s="177">
        <f t="shared" ca="1" si="2684"/>
        <v>3552084.9311999753</v>
      </c>
      <c r="AH632" s="177">
        <f t="shared" ref="AH632:AI632" ca="1" si="2685">AH578+AH602+AH615+AH621+AH626</f>
        <v>3674669.2800405184</v>
      </c>
      <c r="AI632" s="177">
        <f t="shared" ca="1" si="2685"/>
        <v>3153813.6401539985</v>
      </c>
      <c r="AJ632" s="177">
        <f t="shared" ref="AJ632:AK632" ca="1" si="2686">AJ578+AJ602+AJ615+AJ621+AJ626</f>
        <v>4903773.1935678124</v>
      </c>
      <c r="AK632" s="177">
        <f t="shared" ca="1" si="2686"/>
        <v>5705524.8894656338</v>
      </c>
      <c r="AL632" s="177">
        <f t="shared" ref="AL632:AM632" ca="1" si="2687">AL578+AL602+AL615+AL621+AL626</f>
        <v>5529826.4384228289</v>
      </c>
      <c r="AM632" s="177">
        <f t="shared" ca="1" si="2687"/>
        <v>3906825.7382389265</v>
      </c>
      <c r="AN632" s="177">
        <f t="shared" ref="AN632:AO632" ca="1" si="2688">AN578+AN602+AN615+AN621+AN626</f>
        <v>3147776.354907115</v>
      </c>
      <c r="AO632" s="177">
        <f t="shared" ca="1" si="2688"/>
        <v>3389014.9329653815</v>
      </c>
      <c r="AP632" s="177">
        <f t="shared" ref="AP632:AQ632" ca="1" si="2689">AP578+AP602+AP615+AP621+AP626</f>
        <v>3996070.4443927808</v>
      </c>
      <c r="AQ632" s="177">
        <f t="shared" ca="1" si="2689"/>
        <v>5057161.1689366959</v>
      </c>
      <c r="AR632" s="177">
        <f t="shared" ref="AR632:AS632" ca="1" si="2690">AR578+AR602+AR615+AR621+AR626</f>
        <v>4285669.7631552536</v>
      </c>
      <c r="AS632" s="177">
        <f t="shared" ca="1" si="2690"/>
        <v>3838422.0987268849</v>
      </c>
      <c r="AT632" s="177">
        <f t="shared" ref="AT632:AU632" ca="1" si="2691">AT578+AT602+AT615+AT621+AT626</f>
        <v>3975690.9300899962</v>
      </c>
      <c r="AU632" s="177">
        <f t="shared" ca="1" si="2691"/>
        <v>3404135.8453949257</v>
      </c>
      <c r="AV632" s="177">
        <f t="shared" ref="AV632:AW632" ca="1" si="2692">AV578+AV602+AV615+AV621+AV626</f>
        <v>5327728.5317883538</v>
      </c>
      <c r="AW632" s="177">
        <f t="shared" ca="1" si="2692"/>
        <v>6199681.6568341274</v>
      </c>
      <c r="AX632" s="177">
        <f t="shared" ref="AX632:AY632" ca="1" si="2693">AX578+AX602+AX615+AX621+AX626</f>
        <v>6001168.9690164924</v>
      </c>
      <c r="AY632" s="177">
        <f t="shared" ca="1" si="2693"/>
        <v>4219043.3763723075</v>
      </c>
      <c r="AZ632" s="177">
        <f t="shared" ref="AZ632:BA632" ca="1" si="2694">AZ578+AZ602+AZ615+AZ621+AZ626</f>
        <v>3393764.2065898441</v>
      </c>
      <c r="BA632" s="177">
        <f t="shared" ca="1" si="2694"/>
        <v>3664195.1039172062</v>
      </c>
      <c r="BB632" s="177">
        <f t="shared" ref="BB632" ca="1" si="2695">BB578+BB602+BB615+BB621+BB626</f>
        <v>4330032.4586388711</v>
      </c>
    </row>
    <row r="633" spans="1:56" x14ac:dyDescent="0.3">
      <c r="A633" s="214" t="str">
        <f ca="1">Language!A$857</f>
        <v>Чистый оборотный капитал</v>
      </c>
      <c r="B633" s="184"/>
      <c r="C633" s="176" t="str">
        <f ca="1">CurName1</f>
        <v>руб.</v>
      </c>
      <c r="F633" s="170" t="s">
        <v>741</v>
      </c>
      <c r="G633" s="177">
        <f ca="1">G631-G632</f>
        <v>0</v>
      </c>
      <c r="H633" s="177">
        <f t="shared" ref="H633:K633" ca="1" si="2696">H631-H632</f>
        <v>0</v>
      </c>
      <c r="I633" s="177">
        <f t="shared" ca="1" si="2696"/>
        <v>0</v>
      </c>
      <c r="J633" s="177">
        <f t="shared" ca="1" si="2696"/>
        <v>0</v>
      </c>
      <c r="K633" s="177">
        <f t="shared" ca="1" si="2696"/>
        <v>0</v>
      </c>
      <c r="L633" s="177">
        <f t="shared" ref="L633:M633" ca="1" si="2697">L631-L632</f>
        <v>1077925.0604182645</v>
      </c>
      <c r="M633" s="177">
        <f t="shared" ca="1" si="2697"/>
        <v>-7597987.7624971885</v>
      </c>
      <c r="N633" s="177">
        <f t="shared" ref="N633:O633" ca="1" si="2698">N631-N632</f>
        <v>3659940.0998028982</v>
      </c>
      <c r="O633" s="177">
        <f t="shared" ca="1" si="2698"/>
        <v>4763857.1883864757</v>
      </c>
      <c r="P633" s="177">
        <f t="shared" ref="P633:Q633" ca="1" si="2699">P631-P632</f>
        <v>5528205.3944081645</v>
      </c>
      <c r="Q633" s="177">
        <f t="shared" ca="1" si="2699"/>
        <v>5656559.1322275046</v>
      </c>
      <c r="R633" s="177">
        <f t="shared" ref="R633:S633" ca="1" si="2700">R631-R632</f>
        <v>6380106.6242370885</v>
      </c>
      <c r="S633" s="177">
        <f t="shared" ca="1" si="2700"/>
        <v>7392381.3306813985</v>
      </c>
      <c r="T633" s="177">
        <f t="shared" ref="T633:U633" ca="1" si="2701">T631-T632</f>
        <v>6590058.3611228075</v>
      </c>
      <c r="U633" s="177">
        <f t="shared" ca="1" si="2701"/>
        <v>5875711.5400564941</v>
      </c>
      <c r="V633" s="177">
        <f t="shared" ref="V633:W633" ca="1" si="2702">V631-V632</f>
        <v>5457798.1329786386</v>
      </c>
      <c r="W633" s="177">
        <f t="shared" ca="1" si="2702"/>
        <v>5918313.4312279001</v>
      </c>
      <c r="X633" s="177">
        <f t="shared" ref="X633:Y633" ca="1" si="2703">X631-X632</f>
        <v>8635327.544674648</v>
      </c>
      <c r="Y633" s="177">
        <f t="shared" ca="1" si="2703"/>
        <v>10340007.648029812</v>
      </c>
      <c r="Z633" s="177">
        <f t="shared" ref="Z633:AA633" ca="1" si="2704">Z631-Z632</f>
        <v>9470650.1074216161</v>
      </c>
      <c r="AA633" s="177">
        <f t="shared" ca="1" si="2704"/>
        <v>6708434.3784554824</v>
      </c>
      <c r="AB633" s="177">
        <f t="shared" ref="AB633:AC633" ca="1" si="2705">AB631-AB632</f>
        <v>5072401.4998326022</v>
      </c>
      <c r="AC633" s="177">
        <f t="shared" ca="1" si="2705"/>
        <v>5300270.3688608073</v>
      </c>
      <c r="AD633" s="177">
        <f t="shared" ref="AD633:AE633" ca="1" si="2706">AD631-AD632</f>
        <v>6790098.6019862425</v>
      </c>
      <c r="AE633" s="177">
        <f t="shared" ca="1" si="2706"/>
        <v>7936276.3713192679</v>
      </c>
      <c r="AF633" s="177">
        <f t="shared" ref="AF633:AG633" ca="1" si="2707">AF631-AF632</f>
        <v>7087981.7741255406</v>
      </c>
      <c r="AG633" s="177">
        <f t="shared" ca="1" si="2707"/>
        <v>6331831.5121173412</v>
      </c>
      <c r="AH633" s="177">
        <f t="shared" ref="AH633:AI633" ca="1" si="2708">AH631-AH632</f>
        <v>5867459.2165246168</v>
      </c>
      <c r="AI633" s="177">
        <f t="shared" ca="1" si="2708"/>
        <v>6412416.3263749015</v>
      </c>
      <c r="AJ633" s="177">
        <f t="shared" ref="AJ633:AK633" ca="1" si="2709">AJ631-AJ632</f>
        <v>9303283.7164112143</v>
      </c>
      <c r="AK633" s="177">
        <f t="shared" ca="1" si="2709"/>
        <v>11117649.884000167</v>
      </c>
      <c r="AL633" s="177">
        <f t="shared" ref="AL633:AM633" ca="1" si="2710">AL631-AL632</f>
        <v>10158421.998792259</v>
      </c>
      <c r="AM633" s="177">
        <f t="shared" ca="1" si="2710"/>
        <v>7215703.5518543981</v>
      </c>
      <c r="AN633" s="177">
        <f t="shared" ref="AN633:AO633" ca="1" si="2711">AN631-AN632</f>
        <v>5476412.3338601841</v>
      </c>
      <c r="AO633" s="177">
        <f t="shared" ca="1" si="2711"/>
        <v>5723991.9027484264</v>
      </c>
      <c r="AP633" s="177">
        <f t="shared" ref="AP633:AQ633" ca="1" si="2712">AP631-AP632</f>
        <v>7333498.8158636363</v>
      </c>
      <c r="AQ633" s="177">
        <f t="shared" ca="1" si="2712"/>
        <v>8525208.6414699145</v>
      </c>
      <c r="AR633" s="177">
        <f t="shared" ref="AR633:AS633" ca="1" si="2713">AR631-AR632</f>
        <v>7628452.0529494919</v>
      </c>
      <c r="AS633" s="177">
        <f t="shared" ca="1" si="2713"/>
        <v>6828120.8342675064</v>
      </c>
      <c r="AT633" s="177">
        <f t="shared" ref="AT633:AU633" ca="1" si="2714">AT631-AT632</f>
        <v>6311859.0440554721</v>
      </c>
      <c r="AU633" s="177">
        <f t="shared" ca="1" si="2714"/>
        <v>6953346.300664911</v>
      </c>
      <c r="AV633" s="177">
        <f t="shared" ref="AV633:AW633" ca="1" si="2715">AV631-AV632</f>
        <v>10029837.05220731</v>
      </c>
      <c r="AW633" s="177">
        <f t="shared" ca="1" si="2715"/>
        <v>11961385.737776896</v>
      </c>
      <c r="AX633" s="177">
        <f t="shared" ref="AX633:AY633" ca="1" si="2716">AX631-AX632</f>
        <v>10902234.468221918</v>
      </c>
      <c r="AY633" s="177">
        <f t="shared" ca="1" si="2716"/>
        <v>7766357.5961387288</v>
      </c>
      <c r="AZ633" s="177">
        <f t="shared" ref="AZ633:BA633" ca="1" si="2717">AZ631-AZ632</f>
        <v>5916982.6274924781</v>
      </c>
      <c r="BA633" s="177">
        <f t="shared" ca="1" si="2717"/>
        <v>6186201.9052023366</v>
      </c>
      <c r="BB633" s="177">
        <f t="shared" ref="BB633" ca="1" si="2718">BB631-BB632</f>
        <v>7146492.8527448196</v>
      </c>
    </row>
    <row r="634" spans="1:56" x14ac:dyDescent="0.3">
      <c r="A634" s="214" t="str">
        <f ca="1">Language!A$858</f>
        <v>Изменение чистого оборотного капитала</v>
      </c>
      <c r="B634" s="184"/>
      <c r="C634" s="176" t="str">
        <f ca="1">CurName1</f>
        <v>руб.</v>
      </c>
      <c r="F634" s="170" t="s">
        <v>740</v>
      </c>
      <c r="G634" s="177">
        <f ca="1">G633-IF(G$2=1,$B575+$B587+$B593+$B599+$B612-($B581+$B605+$B618+$B623+$B628),F633)</f>
        <v>0</v>
      </c>
      <c r="H634" s="177">
        <f t="shared" ref="H634:BB634" ca="1" si="2719">H633-IF(H$2=1,$B575+$B587+$B593+$B599+$B612-($B581+$B605+$B618+$B623+$B628),G633)</f>
        <v>0</v>
      </c>
      <c r="I634" s="177">
        <f t="shared" ca="1" si="2719"/>
        <v>0</v>
      </c>
      <c r="J634" s="177">
        <f t="shared" ca="1" si="2719"/>
        <v>0</v>
      </c>
      <c r="K634" s="177">
        <f t="shared" ca="1" si="2719"/>
        <v>0</v>
      </c>
      <c r="L634" s="177">
        <f t="shared" ca="1" si="2719"/>
        <v>1077925.0604182645</v>
      </c>
      <c r="M634" s="177">
        <f t="shared" ca="1" si="2719"/>
        <v>-8675912.8229154535</v>
      </c>
      <c r="N634" s="177">
        <f t="shared" ca="1" si="2719"/>
        <v>11257927.862300087</v>
      </c>
      <c r="O634" s="177">
        <f t="shared" ca="1" si="2719"/>
        <v>1103917.0885835774</v>
      </c>
      <c r="P634" s="177">
        <f t="shared" ca="1" si="2719"/>
        <v>764348.20602168888</v>
      </c>
      <c r="Q634" s="177">
        <f t="shared" ca="1" si="2719"/>
        <v>128353.73781934008</v>
      </c>
      <c r="R634" s="177">
        <f t="shared" ca="1" si="2719"/>
        <v>723547.49200958386</v>
      </c>
      <c r="S634" s="177">
        <f t="shared" ca="1" si="2719"/>
        <v>1012274.70644431</v>
      </c>
      <c r="T634" s="177">
        <f t="shared" ca="1" si="2719"/>
        <v>-802322.96955859102</v>
      </c>
      <c r="U634" s="177">
        <f t="shared" ca="1" si="2719"/>
        <v>-714346.82106631342</v>
      </c>
      <c r="V634" s="177">
        <f t="shared" ca="1" si="2719"/>
        <v>-417913.40707785543</v>
      </c>
      <c r="W634" s="177">
        <f t="shared" ca="1" si="2719"/>
        <v>460515.29824926145</v>
      </c>
      <c r="X634" s="177">
        <f t="shared" ca="1" si="2719"/>
        <v>2717014.1134467479</v>
      </c>
      <c r="Y634" s="177">
        <f t="shared" ca="1" si="2719"/>
        <v>1704680.1033551637</v>
      </c>
      <c r="Z634" s="177">
        <f t="shared" ca="1" si="2719"/>
        <v>-869357.54060819559</v>
      </c>
      <c r="AA634" s="177">
        <f t="shared" ca="1" si="2719"/>
        <v>-2762215.7289661337</v>
      </c>
      <c r="AB634" s="177">
        <f t="shared" ca="1" si="2719"/>
        <v>-1636032.8786228802</v>
      </c>
      <c r="AC634" s="177">
        <f t="shared" ca="1" si="2719"/>
        <v>227868.86902820505</v>
      </c>
      <c r="AD634" s="177">
        <f t="shared" ca="1" si="2719"/>
        <v>1489828.2331254352</v>
      </c>
      <c r="AE634" s="177">
        <f t="shared" ca="1" si="2719"/>
        <v>1146177.7693330254</v>
      </c>
      <c r="AF634" s="177">
        <f t="shared" ca="1" si="2719"/>
        <v>-848294.59719372727</v>
      </c>
      <c r="AG634" s="177">
        <f t="shared" ca="1" si="2719"/>
        <v>-756150.26200819947</v>
      </c>
      <c r="AH634" s="177">
        <f t="shared" ca="1" si="2719"/>
        <v>-464372.29559272435</v>
      </c>
      <c r="AI634" s="177">
        <f t="shared" ca="1" si="2719"/>
        <v>544957.10985028464</v>
      </c>
      <c r="AJ634" s="177">
        <f t="shared" ca="1" si="2719"/>
        <v>2890867.3900363129</v>
      </c>
      <c r="AK634" s="177">
        <f t="shared" ca="1" si="2719"/>
        <v>1814366.1675889529</v>
      </c>
      <c r="AL634" s="177">
        <f t="shared" ca="1" si="2719"/>
        <v>-959227.88520790823</v>
      </c>
      <c r="AM634" s="177">
        <f t="shared" ca="1" si="2719"/>
        <v>-2942718.4469378609</v>
      </c>
      <c r="AN634" s="177">
        <f t="shared" ca="1" si="2719"/>
        <v>-1739291.217994214</v>
      </c>
      <c r="AO634" s="177">
        <f t="shared" ca="1" si="2719"/>
        <v>247579.56888824236</v>
      </c>
      <c r="AP634" s="177">
        <f t="shared" ca="1" si="2719"/>
        <v>1609506.9131152099</v>
      </c>
      <c r="AQ634" s="177">
        <f t="shared" ca="1" si="2719"/>
        <v>1191709.8256062781</v>
      </c>
      <c r="AR634" s="177">
        <f t="shared" ca="1" si="2719"/>
        <v>-896756.58852042258</v>
      </c>
      <c r="AS634" s="177">
        <f t="shared" ca="1" si="2719"/>
        <v>-800331.21868198551</v>
      </c>
      <c r="AT634" s="177">
        <f t="shared" ca="1" si="2719"/>
        <v>-516261.79021203425</v>
      </c>
      <c r="AU634" s="177">
        <f t="shared" ca="1" si="2719"/>
        <v>641487.25660943892</v>
      </c>
      <c r="AV634" s="177">
        <f t="shared" ca="1" si="2719"/>
        <v>3076490.7515423987</v>
      </c>
      <c r="AW634" s="177">
        <f t="shared" ca="1" si="2719"/>
        <v>1931548.6855695862</v>
      </c>
      <c r="AX634" s="177">
        <f t="shared" ca="1" si="2719"/>
        <v>-1059151.2695549782</v>
      </c>
      <c r="AY634" s="177">
        <f t="shared" ca="1" si="2719"/>
        <v>-3135876.872083189</v>
      </c>
      <c r="AZ634" s="177">
        <f t="shared" ca="1" si="2719"/>
        <v>-1849374.9686462507</v>
      </c>
      <c r="BA634" s="177">
        <f t="shared" ca="1" si="2719"/>
        <v>269219.27770985849</v>
      </c>
      <c r="BB634" s="177">
        <f t="shared" ca="1" si="2719"/>
        <v>960290.94754248299</v>
      </c>
    </row>
    <row r="635" spans="1:56" x14ac:dyDescent="0.3">
      <c r="A635" s="215"/>
      <c r="B635" s="196"/>
      <c r="C635" s="196"/>
      <c r="D635" s="197"/>
      <c r="E635" s="197" t="s">
        <v>991</v>
      </c>
      <c r="F635" s="197"/>
      <c r="G635" s="196"/>
      <c r="H635" s="196"/>
      <c r="I635" s="196"/>
      <c r="J635" s="196"/>
      <c r="K635" s="196"/>
      <c r="L635" s="196"/>
      <c r="M635" s="196"/>
      <c r="N635" s="196"/>
      <c r="O635" s="196"/>
      <c r="P635" s="196"/>
      <c r="Q635" s="196"/>
      <c r="R635" s="196"/>
      <c r="S635" s="196"/>
      <c r="T635" s="196"/>
      <c r="U635" s="196"/>
      <c r="V635" s="196"/>
      <c r="W635" s="196"/>
      <c r="X635" s="196"/>
      <c r="Y635" s="196"/>
      <c r="Z635" s="196"/>
      <c r="AA635" s="196"/>
      <c r="AB635" s="196"/>
      <c r="AC635" s="196"/>
      <c r="AD635" s="196"/>
      <c r="AE635" s="196"/>
      <c r="AF635" s="196"/>
      <c r="AG635" s="196"/>
      <c r="AH635" s="196"/>
      <c r="AI635" s="196"/>
      <c r="AJ635" s="196"/>
      <c r="AK635" s="196"/>
      <c r="AL635" s="196"/>
      <c r="AM635" s="196"/>
      <c r="AN635" s="196"/>
      <c r="AO635" s="196"/>
      <c r="AP635" s="196"/>
      <c r="AQ635" s="196"/>
      <c r="AR635" s="196"/>
      <c r="AS635" s="196"/>
      <c r="AT635" s="196"/>
      <c r="AU635" s="196"/>
      <c r="AV635" s="196"/>
      <c r="AW635" s="196"/>
      <c r="AX635" s="196"/>
      <c r="AY635" s="196"/>
      <c r="AZ635" s="196"/>
      <c r="BA635" s="196"/>
      <c r="BB635" s="196"/>
      <c r="BC635" s="196"/>
      <c r="BD635" s="204"/>
    </row>
    <row r="638" spans="1:56" s="168" customFormat="1" ht="25.5" customHeight="1" thickBot="1" x14ac:dyDescent="0.35">
      <c r="A638" s="330" t="str">
        <f ca="1">Language!A$859</f>
        <v>ИНВЕСТИЦИИ В ОСНОВНЫЕ СРЕДСТВА</v>
      </c>
      <c r="B638" s="331"/>
      <c r="C638" s="332"/>
      <c r="D638" s="333"/>
      <c r="E638" s="333" t="s">
        <v>885</v>
      </c>
      <c r="F638" s="333"/>
      <c r="G638" s="334" t="str">
        <f ca="1">Параметры!G$34</f>
        <v>янв.25</v>
      </c>
      <c r="H638" s="334" t="str">
        <f ca="1">Параметры!H$34</f>
        <v>фев.25</v>
      </c>
      <c r="I638" s="334" t="str">
        <f ca="1">Параметры!I$34</f>
        <v>мар.25</v>
      </c>
      <c r="J638" s="334" t="str">
        <f ca="1">Параметры!J$34</f>
        <v>апр.25</v>
      </c>
      <c r="K638" s="334" t="str">
        <f ca="1">Параметры!K$34</f>
        <v>май.25</v>
      </c>
      <c r="L638" s="334" t="str">
        <f ca="1">Параметры!L$34</f>
        <v>июн.25</v>
      </c>
      <c r="M638" s="335" t="str">
        <f ca="1">Параметры!M$34</f>
        <v>июл.25</v>
      </c>
      <c r="N638" s="335" t="str">
        <f ca="1">Параметры!N$34</f>
        <v>авг.25</v>
      </c>
      <c r="O638" s="335" t="str">
        <f ca="1">Параметры!O$34</f>
        <v>сен.25</v>
      </c>
      <c r="P638" s="335" t="str">
        <f ca="1">Параметры!P$34</f>
        <v>окт.25</v>
      </c>
      <c r="Q638" s="335" t="str">
        <f ca="1">Параметры!Q$34</f>
        <v>ноя.25</v>
      </c>
      <c r="R638" s="335" t="str">
        <f ca="1">Параметры!R$34</f>
        <v>дек.25</v>
      </c>
      <c r="S638" s="335" t="str">
        <f ca="1">Параметры!S$34</f>
        <v>янв.26</v>
      </c>
      <c r="T638" s="335" t="str">
        <f ca="1">Параметры!T$34</f>
        <v>фев.26</v>
      </c>
      <c r="U638" s="335" t="str">
        <f ca="1">Параметры!U$34</f>
        <v>мар.26</v>
      </c>
      <c r="V638" s="335" t="str">
        <f ca="1">Параметры!V$34</f>
        <v>апр.26</v>
      </c>
      <c r="W638" s="335" t="str">
        <f ca="1">Параметры!W$34</f>
        <v>май.26</v>
      </c>
      <c r="X638" s="335" t="str">
        <f ca="1">Параметры!X$34</f>
        <v>июн.26</v>
      </c>
      <c r="Y638" s="335" t="str">
        <f ca="1">Параметры!Y$34</f>
        <v>июл.26</v>
      </c>
      <c r="Z638" s="335" t="str">
        <f ca="1">Параметры!Z$34</f>
        <v>авг.26</v>
      </c>
      <c r="AA638" s="335" t="str">
        <f ca="1">Параметры!AA$34</f>
        <v>сен.26</v>
      </c>
      <c r="AB638" s="335" t="str">
        <f ca="1">Параметры!AB$34</f>
        <v>окт.26</v>
      </c>
      <c r="AC638" s="335" t="str">
        <f ca="1">Параметры!AC$34</f>
        <v>ноя.26</v>
      </c>
      <c r="AD638" s="335" t="str">
        <f ca="1">Параметры!AD$34</f>
        <v>дек.26</v>
      </c>
      <c r="AE638" s="335" t="str">
        <f ca="1">Параметры!AE$34</f>
        <v>янв.27</v>
      </c>
      <c r="AF638" s="335" t="str">
        <f ca="1">Параметры!AF$34</f>
        <v>фев.27</v>
      </c>
      <c r="AG638" s="335" t="str">
        <f ca="1">Параметры!AG$34</f>
        <v>мар.27</v>
      </c>
      <c r="AH638" s="335" t="str">
        <f ca="1">Параметры!AH$34</f>
        <v>апр.27</v>
      </c>
      <c r="AI638" s="335" t="str">
        <f ca="1">Параметры!AI$34</f>
        <v>май.27</v>
      </c>
      <c r="AJ638" s="335" t="str">
        <f ca="1">Параметры!AJ$34</f>
        <v>июн.27</v>
      </c>
      <c r="AK638" s="335" t="str">
        <f ca="1">Параметры!AK$34</f>
        <v>июл.27</v>
      </c>
      <c r="AL638" s="335" t="str">
        <f ca="1">Параметры!AL$34</f>
        <v>авг.27</v>
      </c>
      <c r="AM638" s="335" t="str">
        <f ca="1">Параметры!AM$34</f>
        <v>сен.27</v>
      </c>
      <c r="AN638" s="335" t="str">
        <f ca="1">Параметры!AN$34</f>
        <v>окт.27</v>
      </c>
      <c r="AO638" s="335" t="str">
        <f ca="1">Параметры!AO$34</f>
        <v>ноя.27</v>
      </c>
      <c r="AP638" s="335" t="str">
        <f ca="1">Параметры!AP$34</f>
        <v>дек.27</v>
      </c>
      <c r="AQ638" s="335" t="str">
        <f ca="1">Параметры!AQ$34</f>
        <v>янв.28</v>
      </c>
      <c r="AR638" s="335" t="str">
        <f ca="1">Параметры!AR$34</f>
        <v>фев.28</v>
      </c>
      <c r="AS638" s="335" t="str">
        <f ca="1">Параметры!AS$34</f>
        <v>мар.28</v>
      </c>
      <c r="AT638" s="335" t="str">
        <f ca="1">Параметры!AT$34</f>
        <v>апр.28</v>
      </c>
      <c r="AU638" s="335" t="str">
        <f ca="1">Параметры!AU$34</f>
        <v>май.28</v>
      </c>
      <c r="AV638" s="335" t="str">
        <f ca="1">Параметры!AV$34</f>
        <v>июн.28</v>
      </c>
      <c r="AW638" s="335" t="str">
        <f ca="1">Параметры!AW$34</f>
        <v>июл.28</v>
      </c>
      <c r="AX638" s="335" t="str">
        <f ca="1">Параметры!AX$34</f>
        <v>авг.28</v>
      </c>
      <c r="AY638" s="335" t="str">
        <f ca="1">Параметры!AY$34</f>
        <v>сен.28</v>
      </c>
      <c r="AZ638" s="335" t="str">
        <f ca="1">Параметры!AZ$34</f>
        <v>окт.28</v>
      </c>
      <c r="BA638" s="335" t="str">
        <f ca="1">Параметры!BA$34</f>
        <v>ноя.28</v>
      </c>
      <c r="BB638" s="335" t="str">
        <f ca="1">Параметры!BB$34</f>
        <v>дек.28</v>
      </c>
      <c r="BC638" s="335"/>
      <c r="BD638" s="336" t="str">
        <f ca="1">Language!$A$1473</f>
        <v>ИТОГО</v>
      </c>
    </row>
    <row r="639" spans="1:56" ht="14.4" hidden="1" thickTop="1" x14ac:dyDescent="0.3">
      <c r="E639" s="170" t="s">
        <v>642</v>
      </c>
      <c r="F639" s="170" t="s">
        <v>792</v>
      </c>
    </row>
    <row r="640" spans="1:56" ht="14.4" hidden="1" thickTop="1" x14ac:dyDescent="0.3">
      <c r="A640" s="283" t="str">
        <f ca="1">Language!A$860</f>
        <v>Шаблон земельного участка</v>
      </c>
      <c r="C640" s="176"/>
      <c r="D640" s="174">
        <v>1</v>
      </c>
      <c r="F640" s="170" t="s">
        <v>1275</v>
      </c>
      <c r="G640" s="177"/>
      <c r="H640" s="177"/>
      <c r="I640" s="177"/>
      <c r="J640" s="177"/>
      <c r="K640" s="177"/>
      <c r="L640" s="177"/>
      <c r="M640" s="177"/>
      <c r="N640" s="177"/>
      <c r="O640" s="177"/>
      <c r="P640" s="177"/>
      <c r="Q640" s="177"/>
      <c r="R640" s="177"/>
      <c r="S640" s="177"/>
      <c r="T640" s="177"/>
      <c r="U640" s="177"/>
      <c r="V640" s="177"/>
      <c r="W640" s="177"/>
      <c r="X640" s="177"/>
      <c r="Y640" s="177"/>
      <c r="Z640" s="177"/>
      <c r="AA640" s="177"/>
      <c r="AB640" s="177"/>
      <c r="AC640" s="177"/>
      <c r="AD640" s="177"/>
      <c r="AE640" s="177"/>
      <c r="AF640" s="177"/>
      <c r="AG640" s="177"/>
      <c r="AH640" s="177"/>
      <c r="AI640" s="177"/>
      <c r="AJ640" s="177"/>
      <c r="AK640" s="177"/>
      <c r="AL640" s="177"/>
      <c r="AM640" s="177"/>
      <c r="AN640" s="177"/>
      <c r="AO640" s="177"/>
      <c r="AP640" s="177"/>
      <c r="AQ640" s="177"/>
      <c r="AR640" s="177"/>
      <c r="AS640" s="177"/>
      <c r="AT640" s="177"/>
      <c r="AU640" s="177"/>
      <c r="AV640" s="177"/>
      <c r="AW640" s="177"/>
      <c r="AX640" s="177"/>
      <c r="AY640" s="177"/>
      <c r="AZ640" s="177"/>
      <c r="BA640" s="177"/>
      <c r="BB640" s="177"/>
      <c r="BC640" s="177"/>
      <c r="BD640" s="178"/>
    </row>
    <row r="641" spans="1:56" ht="14.4" hidden="1" thickTop="1" x14ac:dyDescent="0.3">
      <c r="A641" s="175" t="str">
        <f ca="1">Language!A$861</f>
        <v>график оплаты</v>
      </c>
      <c r="B641" s="199">
        <f>BD641</f>
        <v>0</v>
      </c>
      <c r="C641" s="176" t="str">
        <f t="shared" ref="C641:C643" ca="1" si="2720">CHOOSE(D641,CurName1,CurName2,CurName3)</f>
        <v>руб.</v>
      </c>
      <c r="D641" s="174">
        <f>D640</f>
        <v>1</v>
      </c>
      <c r="F641" s="170" t="s">
        <v>742</v>
      </c>
      <c r="G641" s="297">
        <v>0</v>
      </c>
      <c r="H641" s="297">
        <v>0</v>
      </c>
      <c r="I641" s="297">
        <v>0</v>
      </c>
      <c r="J641" s="297">
        <v>0</v>
      </c>
      <c r="K641" s="297">
        <v>0</v>
      </c>
      <c r="L641" s="297">
        <v>0</v>
      </c>
      <c r="M641" s="297">
        <v>0</v>
      </c>
      <c r="N641" s="297">
        <v>0</v>
      </c>
      <c r="O641" s="297">
        <v>0</v>
      </c>
      <c r="P641" s="297">
        <v>0</v>
      </c>
      <c r="Q641" s="297">
        <v>0</v>
      </c>
      <c r="R641" s="297">
        <v>0</v>
      </c>
      <c r="S641" s="297">
        <v>0</v>
      </c>
      <c r="T641" s="297">
        <v>0</v>
      </c>
      <c r="U641" s="297">
        <v>0</v>
      </c>
      <c r="V641" s="297">
        <v>0</v>
      </c>
      <c r="W641" s="297">
        <v>0</v>
      </c>
      <c r="X641" s="297">
        <v>0</v>
      </c>
      <c r="Y641" s="297">
        <v>0</v>
      </c>
      <c r="Z641" s="297">
        <v>0</v>
      </c>
      <c r="AA641" s="297">
        <v>0</v>
      </c>
      <c r="AB641" s="297">
        <v>0</v>
      </c>
      <c r="AC641" s="297">
        <v>0</v>
      </c>
      <c r="AD641" s="297">
        <v>0</v>
      </c>
      <c r="AE641" s="297">
        <v>0</v>
      </c>
      <c r="AF641" s="297">
        <v>0</v>
      </c>
      <c r="AG641" s="297">
        <v>0</v>
      </c>
      <c r="AH641" s="297">
        <v>0</v>
      </c>
      <c r="AI641" s="297">
        <v>0</v>
      </c>
      <c r="AJ641" s="297">
        <v>0</v>
      </c>
      <c r="AK641" s="297">
        <v>0</v>
      </c>
      <c r="AL641" s="297">
        <v>0</v>
      </c>
      <c r="AM641" s="297">
        <v>0</v>
      </c>
      <c r="AN641" s="297">
        <v>0</v>
      </c>
      <c r="AO641" s="297">
        <v>0</v>
      </c>
      <c r="AP641" s="297">
        <v>0</v>
      </c>
      <c r="AQ641" s="297">
        <v>0</v>
      </c>
      <c r="AR641" s="297">
        <v>0</v>
      </c>
      <c r="AS641" s="297">
        <v>0</v>
      </c>
      <c r="AT641" s="297">
        <v>0</v>
      </c>
      <c r="AU641" s="297">
        <v>0</v>
      </c>
      <c r="AV641" s="297">
        <v>0</v>
      </c>
      <c r="AW641" s="297">
        <v>0</v>
      </c>
      <c r="AX641" s="297">
        <v>0</v>
      </c>
      <c r="AY641" s="297">
        <v>0</v>
      </c>
      <c r="AZ641" s="297">
        <v>0</v>
      </c>
      <c r="BA641" s="297">
        <v>0</v>
      </c>
      <c r="BB641" s="297">
        <v>0</v>
      </c>
      <c r="BC641" s="177"/>
      <c r="BD641" s="178">
        <f>SUM(G641:BC641)</f>
        <v>0</v>
      </c>
    </row>
    <row r="642" spans="1:56" ht="14.4" hidden="1" thickTop="1" x14ac:dyDescent="0.3">
      <c r="A642" s="175" t="str">
        <f ca="1">Language!A$862</f>
        <v>ранее осуществленные инвестиции</v>
      </c>
      <c r="B642" s="295">
        <v>0</v>
      </c>
      <c r="C642" s="176" t="str">
        <f t="shared" ca="1" si="2720"/>
        <v>руб.</v>
      </c>
      <c r="D642" s="174">
        <f>D640</f>
        <v>1</v>
      </c>
      <c r="F642" s="170" t="s">
        <v>644</v>
      </c>
    </row>
    <row r="643" spans="1:56" ht="14.4" hidden="1" thickTop="1" x14ac:dyDescent="0.3">
      <c r="A643" s="175" t="str">
        <f ca="1">Language!A$863</f>
        <v>график ввода в эксплуатацию</v>
      </c>
      <c r="B643" s="173"/>
      <c r="C643" s="176" t="str">
        <f t="shared" ca="1" si="2720"/>
        <v>руб.</v>
      </c>
      <c r="D643" s="174">
        <f>D640</f>
        <v>1</v>
      </c>
      <c r="F643" s="170" t="s">
        <v>743</v>
      </c>
      <c r="G643" s="297">
        <f>IF(G$2&gt;=ROUNDUP(Параметры!$B$18,0)+1,MAX(0,$BD641+$B642-SUM($F643:F643)),0)</f>
        <v>0</v>
      </c>
      <c r="H643" s="297">
        <f>IF(H$2&gt;=ROUNDUP(Параметры!$B$18,0)+1,MAX(0,$BD641+$B642-SUM($F643:G643)),0)</f>
        <v>0</v>
      </c>
      <c r="I643" s="297">
        <f>IF(I$2&gt;=ROUNDUP(Параметры!$B$18,0)+1,MAX(0,$BD641+$B642-SUM($F643:H643)),0)</f>
        <v>0</v>
      </c>
      <c r="J643" s="297">
        <f>IF(J$2&gt;=ROUNDUP(Параметры!$B$18,0)+1,MAX(0,$BD641+$B642-SUM($F643:I643)),0)</f>
        <v>0</v>
      </c>
      <c r="K643" s="297">
        <f>IF(K$2&gt;=ROUNDUP(Параметры!$B$18,0)+1,MAX(0,$BD641+$B642-SUM($F643:J643)),0)</f>
        <v>0</v>
      </c>
      <c r="L643" s="297">
        <f>IF(L$2&gt;=ROUNDUP(Параметры!$B$18,0)+1,MAX(0,$BD641+$B642-SUM($F643:K643)),0)</f>
        <v>0</v>
      </c>
      <c r="M643" s="297">
        <f>IF(M$2&gt;=ROUNDUP(Параметры!$B$18,0)+1,MAX(0,$BD641+$B642-SUM($F643:L643)),0)</f>
        <v>0</v>
      </c>
      <c r="N643" s="297">
        <f>IF(N$2&gt;=ROUNDUP(Параметры!$B$18,0)+1,MAX(0,$BD641+$B642-SUM($F643:M643)),0)</f>
        <v>0</v>
      </c>
      <c r="O643" s="297">
        <f>IF(O$2&gt;=ROUNDUP(Параметры!$B$18,0)+1,MAX(0,$BD641+$B642-SUM($F643:N643)),0)</f>
        <v>0</v>
      </c>
      <c r="P643" s="297">
        <f>IF(P$2&gt;=ROUNDUP(Параметры!$B$18,0)+1,MAX(0,$BD641+$B642-SUM($F643:O643)),0)</f>
        <v>0</v>
      </c>
      <c r="Q643" s="297">
        <f>IF(Q$2&gt;=ROUNDUP(Параметры!$B$18,0)+1,MAX(0,$BD641+$B642-SUM($F643:P643)),0)</f>
        <v>0</v>
      </c>
      <c r="R643" s="297">
        <f>IF(R$2&gt;=ROUNDUP(Параметры!$B$18,0)+1,MAX(0,$BD641+$B642-SUM($F643:Q643)),0)</f>
        <v>0</v>
      </c>
      <c r="S643" s="297">
        <f>IF(S$2&gt;=ROUNDUP(Параметры!$B$18,0)+1,MAX(0,$BD641+$B642-SUM($F643:R643)),0)</f>
        <v>0</v>
      </c>
      <c r="T643" s="297">
        <f>IF(T$2&gt;=ROUNDUP(Параметры!$B$18,0)+1,MAX(0,$BD641+$B642-SUM($F643:S643)),0)</f>
        <v>0</v>
      </c>
      <c r="U643" s="297">
        <f>IF(U$2&gt;=ROUNDUP(Параметры!$B$18,0)+1,MAX(0,$BD641+$B642-SUM($F643:T643)),0)</f>
        <v>0</v>
      </c>
      <c r="V643" s="297">
        <f>IF(V$2&gt;=ROUNDUP(Параметры!$B$18,0)+1,MAX(0,$BD641+$B642-SUM($F643:U643)),0)</f>
        <v>0</v>
      </c>
      <c r="W643" s="297">
        <f>IF(W$2&gt;=ROUNDUP(Параметры!$B$18,0)+1,MAX(0,$BD641+$B642-SUM($F643:V643)),0)</f>
        <v>0</v>
      </c>
      <c r="X643" s="297">
        <f>IF(X$2&gt;=ROUNDUP(Параметры!$B$18,0)+1,MAX(0,$BD641+$B642-SUM($F643:W643)),0)</f>
        <v>0</v>
      </c>
      <c r="Y643" s="297">
        <f>IF(Y$2&gt;=ROUNDUP(Параметры!$B$18,0)+1,MAX(0,$BD641+$B642-SUM($F643:X643)),0)</f>
        <v>0</v>
      </c>
      <c r="Z643" s="297">
        <f>IF(Z$2&gt;=ROUNDUP(Параметры!$B$18,0)+1,MAX(0,$BD641+$B642-SUM($F643:Y643)),0)</f>
        <v>0</v>
      </c>
      <c r="AA643" s="297">
        <f>IF(AA$2&gt;=ROUNDUP(Параметры!$B$18,0)+1,MAX(0,$BD641+$B642-SUM($F643:Z643)),0)</f>
        <v>0</v>
      </c>
      <c r="AB643" s="297">
        <f>IF(AB$2&gt;=ROUNDUP(Параметры!$B$18,0)+1,MAX(0,$BD641+$B642-SUM($F643:AA643)),0)</f>
        <v>0</v>
      </c>
      <c r="AC643" s="297">
        <f>IF(AC$2&gt;=ROUNDUP(Параметры!$B$18,0)+1,MAX(0,$BD641+$B642-SUM($F643:AB643)),0)</f>
        <v>0</v>
      </c>
      <c r="AD643" s="297">
        <f>IF(AD$2&gt;=ROUNDUP(Параметры!$B$18,0)+1,MAX(0,$BD641+$B642-SUM($F643:AC643)),0)</f>
        <v>0</v>
      </c>
      <c r="AE643" s="297">
        <f>IF(AE$2&gt;=ROUNDUP(Параметры!$B$18,0)+1,MAX(0,$BD641+$B642-SUM($F643:AD643)),0)</f>
        <v>0</v>
      </c>
      <c r="AF643" s="297">
        <f>IF(AF$2&gt;=ROUNDUP(Параметры!$B$18,0)+1,MAX(0,$BD641+$B642-SUM($F643:AE643)),0)</f>
        <v>0</v>
      </c>
      <c r="AG643" s="297">
        <f>IF(AG$2&gt;=ROUNDUP(Параметры!$B$18,0)+1,MAX(0,$BD641+$B642-SUM($F643:AF643)),0)</f>
        <v>0</v>
      </c>
      <c r="AH643" s="297">
        <f>IF(AH$2&gt;=ROUNDUP(Параметры!$B$18,0)+1,MAX(0,$BD641+$B642-SUM($F643:AG643)),0)</f>
        <v>0</v>
      </c>
      <c r="AI643" s="297">
        <f>IF(AI$2&gt;=ROUNDUP(Параметры!$B$18,0)+1,MAX(0,$BD641+$B642-SUM($F643:AH643)),0)</f>
        <v>0</v>
      </c>
      <c r="AJ643" s="297">
        <f>IF(AJ$2&gt;=ROUNDUP(Параметры!$B$18,0)+1,MAX(0,$BD641+$B642-SUM($F643:AI643)),0)</f>
        <v>0</v>
      </c>
      <c r="AK643" s="297">
        <f>IF(AK$2&gt;=ROUNDUP(Параметры!$B$18,0)+1,MAX(0,$BD641+$B642-SUM($F643:AJ643)),0)</f>
        <v>0</v>
      </c>
      <c r="AL643" s="297">
        <f>IF(AL$2&gt;=ROUNDUP(Параметры!$B$18,0)+1,MAX(0,$BD641+$B642-SUM($F643:AK643)),0)</f>
        <v>0</v>
      </c>
      <c r="AM643" s="297">
        <f>IF(AM$2&gt;=ROUNDUP(Параметры!$B$18,0)+1,MAX(0,$BD641+$B642-SUM($F643:AL643)),0)</f>
        <v>0</v>
      </c>
      <c r="AN643" s="297">
        <f>IF(AN$2&gt;=ROUNDUP(Параметры!$B$18,0)+1,MAX(0,$BD641+$B642-SUM($F643:AM643)),0)</f>
        <v>0</v>
      </c>
      <c r="AO643" s="297">
        <f>IF(AO$2&gt;=ROUNDUP(Параметры!$B$18,0)+1,MAX(0,$BD641+$B642-SUM($F643:AN643)),0)</f>
        <v>0</v>
      </c>
      <c r="AP643" s="297">
        <f>IF(AP$2&gt;=ROUNDUP(Параметры!$B$18,0)+1,MAX(0,$BD641+$B642-SUM($F643:AO643)),0)</f>
        <v>0</v>
      </c>
      <c r="AQ643" s="297">
        <f>IF(AQ$2&gt;=ROUNDUP(Параметры!$B$18,0)+1,MAX(0,$BD641+$B642-SUM($F643:AP643)),0)</f>
        <v>0</v>
      </c>
      <c r="AR643" s="297">
        <f>IF(AR$2&gt;=ROUNDUP(Параметры!$B$18,0)+1,MAX(0,$BD641+$B642-SUM($F643:AQ643)),0)</f>
        <v>0</v>
      </c>
      <c r="AS643" s="297">
        <f>IF(AS$2&gt;=ROUNDUP(Параметры!$B$18,0)+1,MAX(0,$BD641+$B642-SUM($F643:AR643)),0)</f>
        <v>0</v>
      </c>
      <c r="AT643" s="297">
        <f>IF(AT$2&gt;=ROUNDUP(Параметры!$B$18,0)+1,MAX(0,$BD641+$B642-SUM($F643:AS643)),0)</f>
        <v>0</v>
      </c>
      <c r="AU643" s="297">
        <f>IF(AU$2&gt;=ROUNDUP(Параметры!$B$18,0)+1,MAX(0,$BD641+$B642-SUM($F643:AT643)),0)</f>
        <v>0</v>
      </c>
      <c r="AV643" s="297">
        <f>IF(AV$2&gt;=ROUNDUP(Параметры!$B$18,0)+1,MAX(0,$BD641+$B642-SUM($F643:AU643)),0)</f>
        <v>0</v>
      </c>
      <c r="AW643" s="297">
        <f>IF(AW$2&gt;=ROUNDUP(Параметры!$B$18,0)+1,MAX(0,$BD641+$B642-SUM($F643:AV643)),0)</f>
        <v>0</v>
      </c>
      <c r="AX643" s="297">
        <f>IF(AX$2&gt;=ROUNDUP(Параметры!$B$18,0)+1,MAX(0,$BD641+$B642-SUM($F643:AW643)),0)</f>
        <v>0</v>
      </c>
      <c r="AY643" s="297">
        <f>IF(AY$2&gt;=ROUNDUP(Параметры!$B$18,0)+1,MAX(0,$BD641+$B642-SUM($F643:AX643)),0)</f>
        <v>0</v>
      </c>
      <c r="AZ643" s="297">
        <f>IF(AZ$2&gt;=ROUNDUP(Параметры!$B$18,0)+1,MAX(0,$BD641+$B642-SUM($F643:AY643)),0)</f>
        <v>0</v>
      </c>
      <c r="BA643" s="297">
        <f>IF(BA$2&gt;=ROUNDUP(Параметры!$B$18,0)+1,MAX(0,$BD641+$B642-SUM($F643:AZ643)),0)</f>
        <v>0</v>
      </c>
      <c r="BB643" s="297">
        <f>IF(BB$2&gt;=ROUNDUP(Параметры!$B$18,0)+1,MAX(0,$BD641+$B642-SUM($F643:BA643)),0)</f>
        <v>0</v>
      </c>
      <c r="BC643" s="177"/>
      <c r="BD643" s="178">
        <f>SUM(G643:BC643)</f>
        <v>0</v>
      </c>
    </row>
    <row r="644" spans="1:56" s="170" customFormat="1" ht="14.4" hidden="1" thickTop="1" x14ac:dyDescent="0.3">
      <c r="A644" s="184" t="str">
        <f ca="1">Language!A$864</f>
        <v>выручка от продажи актива</v>
      </c>
      <c r="B644" s="216"/>
      <c r="C644" s="163" t="str">
        <f ca="1">CHOOSE(D644,CurName1,CurName2,CurName3)</f>
        <v>руб.</v>
      </c>
      <c r="D644" s="174">
        <v>1</v>
      </c>
      <c r="E644" s="170" t="s">
        <v>755</v>
      </c>
      <c r="F644" s="170" t="s">
        <v>2348</v>
      </c>
      <c r="G644" s="287">
        <v>0</v>
      </c>
      <c r="H644" s="287">
        <v>0</v>
      </c>
      <c r="I644" s="287">
        <v>0</v>
      </c>
      <c r="J644" s="287">
        <v>0</v>
      </c>
      <c r="K644" s="287">
        <v>0</v>
      </c>
      <c r="L644" s="287">
        <v>0</v>
      </c>
      <c r="M644" s="287">
        <v>0</v>
      </c>
      <c r="N644" s="287">
        <v>0</v>
      </c>
      <c r="O644" s="287">
        <v>0</v>
      </c>
      <c r="P644" s="287">
        <v>0</v>
      </c>
      <c r="Q644" s="287">
        <v>0</v>
      </c>
      <c r="R644" s="287">
        <v>0</v>
      </c>
      <c r="S644" s="287">
        <v>0</v>
      </c>
      <c r="T644" s="287">
        <v>0</v>
      </c>
      <c r="U644" s="287">
        <v>0</v>
      </c>
      <c r="V644" s="287">
        <v>0</v>
      </c>
      <c r="W644" s="287">
        <v>0</v>
      </c>
      <c r="X644" s="287">
        <v>0</v>
      </c>
      <c r="Y644" s="287">
        <v>0</v>
      </c>
      <c r="Z644" s="287">
        <v>0</v>
      </c>
      <c r="AA644" s="287">
        <v>0</v>
      </c>
      <c r="AB644" s="287">
        <v>0</v>
      </c>
      <c r="AC644" s="287">
        <v>0</v>
      </c>
      <c r="AD644" s="287">
        <v>0</v>
      </c>
      <c r="AE644" s="287">
        <v>0</v>
      </c>
      <c r="AF644" s="287">
        <v>0</v>
      </c>
      <c r="AG644" s="287">
        <v>0</v>
      </c>
      <c r="AH644" s="287">
        <v>0</v>
      </c>
      <c r="AI644" s="287">
        <v>0</v>
      </c>
      <c r="AJ644" s="287">
        <v>0</v>
      </c>
      <c r="AK644" s="287">
        <v>0</v>
      </c>
      <c r="AL644" s="287">
        <v>0</v>
      </c>
      <c r="AM644" s="287">
        <v>0</v>
      </c>
      <c r="AN644" s="287">
        <v>0</v>
      </c>
      <c r="AO644" s="287">
        <v>0</v>
      </c>
      <c r="AP644" s="287">
        <v>0</v>
      </c>
      <c r="AQ644" s="287">
        <v>0</v>
      </c>
      <c r="AR644" s="287">
        <v>0</v>
      </c>
      <c r="AS644" s="287">
        <v>0</v>
      </c>
      <c r="AT644" s="287">
        <v>0</v>
      </c>
      <c r="AU644" s="287">
        <v>0</v>
      </c>
      <c r="AV644" s="287">
        <v>0</v>
      </c>
      <c r="AW644" s="287">
        <v>0</v>
      </c>
      <c r="AX644" s="287">
        <v>0</v>
      </c>
      <c r="AY644" s="287">
        <v>0</v>
      </c>
      <c r="AZ644" s="287">
        <v>0</v>
      </c>
      <c r="BA644" s="287">
        <v>0</v>
      </c>
      <c r="BB644" s="287">
        <v>0</v>
      </c>
      <c r="BC644" s="185"/>
      <c r="BD644" s="193">
        <f>SUM(G644:BC644)</f>
        <v>0</v>
      </c>
    </row>
    <row r="645" spans="1:56" ht="14.4" hidden="1" thickTop="1" x14ac:dyDescent="0.3">
      <c r="A645" s="184" t="str">
        <f ca="1">Language!A$865</f>
        <v>суммы в осн. валюте: график оплаты</v>
      </c>
      <c r="B645" s="170"/>
      <c r="C645" s="163" t="str">
        <f t="shared" ref="C645:C652" ca="1" si="2721">CHOOSE(D645,CurName1,CurName2,CurName3)</f>
        <v>руб.</v>
      </c>
      <c r="D645" s="174">
        <v>1</v>
      </c>
      <c r="E645" s="170" t="s">
        <v>751</v>
      </c>
      <c r="F645" s="170" t="s">
        <v>743</v>
      </c>
      <c r="G645" s="185">
        <f>G641*CHOOSE($D641,1,Параметры!G$53,Параметры!G$59)</f>
        <v>0</v>
      </c>
      <c r="H645" s="185">
        <f>H641*CHOOSE($D641,1,Параметры!H$53,Параметры!H$59)</f>
        <v>0</v>
      </c>
      <c r="I645" s="185">
        <f>I641*CHOOSE($D641,1,Параметры!I$53,Параметры!I$59)</f>
        <v>0</v>
      </c>
      <c r="J645" s="185">
        <f>J641*CHOOSE($D641,1,Параметры!J$53,Параметры!J$59)</f>
        <v>0</v>
      </c>
      <c r="K645" s="185">
        <f>K641*CHOOSE($D641,1,Параметры!K$53,Параметры!K$59)</f>
        <v>0</v>
      </c>
      <c r="L645" s="185">
        <f>L641*CHOOSE($D641,1,Параметры!L$53,Параметры!L$59)</f>
        <v>0</v>
      </c>
      <c r="M645" s="185">
        <f>M641*CHOOSE($D641,1,Параметры!M$53,Параметры!M$59)</f>
        <v>0</v>
      </c>
      <c r="N645" s="185">
        <f>N641*CHOOSE($D641,1,Параметры!N$53,Параметры!N$59)</f>
        <v>0</v>
      </c>
      <c r="O645" s="185">
        <f>O641*CHOOSE($D641,1,Параметры!O$53,Параметры!O$59)</f>
        <v>0</v>
      </c>
      <c r="P645" s="185">
        <f>P641*CHOOSE($D641,1,Параметры!P$53,Параметры!P$59)</f>
        <v>0</v>
      </c>
      <c r="Q645" s="185">
        <f>Q641*CHOOSE($D641,1,Параметры!Q$53,Параметры!Q$59)</f>
        <v>0</v>
      </c>
      <c r="R645" s="185">
        <f>R641*CHOOSE($D641,1,Параметры!R$53,Параметры!R$59)</f>
        <v>0</v>
      </c>
      <c r="S645" s="185">
        <f>S641*CHOOSE($D641,1,Параметры!S$53,Параметры!S$59)</f>
        <v>0</v>
      </c>
      <c r="T645" s="185">
        <f>T641*CHOOSE($D641,1,Параметры!T$53,Параметры!T$59)</f>
        <v>0</v>
      </c>
      <c r="U645" s="185">
        <f>U641*CHOOSE($D641,1,Параметры!U$53,Параметры!U$59)</f>
        <v>0</v>
      </c>
      <c r="V645" s="185">
        <f>V641*CHOOSE($D641,1,Параметры!V$53,Параметры!V$59)</f>
        <v>0</v>
      </c>
      <c r="W645" s="185">
        <f>W641*CHOOSE($D641,1,Параметры!W$53,Параметры!W$59)</f>
        <v>0</v>
      </c>
      <c r="X645" s="185">
        <f>X641*CHOOSE($D641,1,Параметры!X$53,Параметры!X$59)</f>
        <v>0</v>
      </c>
      <c r="Y645" s="185">
        <f>Y641*CHOOSE($D641,1,Параметры!Y$53,Параметры!Y$59)</f>
        <v>0</v>
      </c>
      <c r="Z645" s="185">
        <f>Z641*CHOOSE($D641,1,Параметры!Z$53,Параметры!Z$59)</f>
        <v>0</v>
      </c>
      <c r="AA645" s="185">
        <f>AA641*CHOOSE($D641,1,Параметры!AA$53,Параметры!AA$59)</f>
        <v>0</v>
      </c>
      <c r="AB645" s="185">
        <f>AB641*CHOOSE($D641,1,Параметры!AB$53,Параметры!AB$59)</f>
        <v>0</v>
      </c>
      <c r="AC645" s="185">
        <f>AC641*CHOOSE($D641,1,Параметры!AC$53,Параметры!AC$59)</f>
        <v>0</v>
      </c>
      <c r="AD645" s="185">
        <f>AD641*CHOOSE($D641,1,Параметры!AD$53,Параметры!AD$59)</f>
        <v>0</v>
      </c>
      <c r="AE645" s="185">
        <f>AE641*CHOOSE($D641,1,Параметры!AE$53,Параметры!AE$59)</f>
        <v>0</v>
      </c>
      <c r="AF645" s="185">
        <f>AF641*CHOOSE($D641,1,Параметры!AF$53,Параметры!AF$59)</f>
        <v>0</v>
      </c>
      <c r="AG645" s="185">
        <f>AG641*CHOOSE($D641,1,Параметры!AG$53,Параметры!AG$59)</f>
        <v>0</v>
      </c>
      <c r="AH645" s="185">
        <f>AH641*CHOOSE($D641,1,Параметры!AH$53,Параметры!AH$59)</f>
        <v>0</v>
      </c>
      <c r="AI645" s="185">
        <f>AI641*CHOOSE($D641,1,Параметры!AI$53,Параметры!AI$59)</f>
        <v>0</v>
      </c>
      <c r="AJ645" s="185">
        <f>AJ641*CHOOSE($D641,1,Параметры!AJ$53,Параметры!AJ$59)</f>
        <v>0</v>
      </c>
      <c r="AK645" s="185">
        <f>AK641*CHOOSE($D641,1,Параметры!AK$53,Параметры!AK$59)</f>
        <v>0</v>
      </c>
      <c r="AL645" s="185">
        <f>AL641*CHOOSE($D641,1,Параметры!AL$53,Параметры!AL$59)</f>
        <v>0</v>
      </c>
      <c r="AM645" s="185">
        <f>AM641*CHOOSE($D641,1,Параметры!AM$53,Параметры!AM$59)</f>
        <v>0</v>
      </c>
      <c r="AN645" s="185">
        <f>AN641*CHOOSE($D641,1,Параметры!AN$53,Параметры!AN$59)</f>
        <v>0</v>
      </c>
      <c r="AO645" s="185">
        <f>AO641*CHOOSE($D641,1,Параметры!AO$53,Параметры!AO$59)</f>
        <v>0</v>
      </c>
      <c r="AP645" s="185">
        <f>AP641*CHOOSE($D641,1,Параметры!AP$53,Параметры!AP$59)</f>
        <v>0</v>
      </c>
      <c r="AQ645" s="185">
        <f>AQ641*CHOOSE($D641,1,Параметры!AQ$53,Параметры!AQ$59)</f>
        <v>0</v>
      </c>
      <c r="AR645" s="185">
        <f>AR641*CHOOSE($D641,1,Параметры!AR$53,Параметры!AR$59)</f>
        <v>0</v>
      </c>
      <c r="AS645" s="185">
        <f>AS641*CHOOSE($D641,1,Параметры!AS$53,Параметры!AS$59)</f>
        <v>0</v>
      </c>
      <c r="AT645" s="185">
        <f>AT641*CHOOSE($D641,1,Параметры!AT$53,Параметры!AT$59)</f>
        <v>0</v>
      </c>
      <c r="AU645" s="185">
        <f>AU641*CHOOSE($D641,1,Параметры!AU$53,Параметры!AU$59)</f>
        <v>0</v>
      </c>
      <c r="AV645" s="185">
        <f>AV641*CHOOSE($D641,1,Параметры!AV$53,Параметры!AV$59)</f>
        <v>0</v>
      </c>
      <c r="AW645" s="185">
        <f>AW641*CHOOSE($D641,1,Параметры!AW$53,Параметры!AW$59)</f>
        <v>0</v>
      </c>
      <c r="AX645" s="185">
        <f>AX641*CHOOSE($D641,1,Параметры!AX$53,Параметры!AX$59)</f>
        <v>0</v>
      </c>
      <c r="AY645" s="185">
        <f>AY641*CHOOSE($D641,1,Параметры!AY$53,Параметры!AY$59)</f>
        <v>0</v>
      </c>
      <c r="AZ645" s="185">
        <f>AZ641*CHOOSE($D641,1,Параметры!AZ$53,Параметры!AZ$59)</f>
        <v>0</v>
      </c>
      <c r="BA645" s="185">
        <f>BA641*CHOOSE($D641,1,Параметры!BA$53,Параметры!BA$59)</f>
        <v>0</v>
      </c>
      <c r="BB645" s="185">
        <f>BB641*CHOOSE($D641,1,Параметры!BB$53,Параметры!BB$59)</f>
        <v>0</v>
      </c>
      <c r="BC645" s="185"/>
      <c r="BD645" s="193">
        <f>SUM(G645:BC645)</f>
        <v>0</v>
      </c>
    </row>
    <row r="646" spans="1:56" ht="14.4" hidden="1" thickTop="1" x14ac:dyDescent="0.3">
      <c r="A646" s="187" t="str">
        <f ca="1">Language!A$866</f>
        <v>ранее осуществленные инвестици</v>
      </c>
      <c r="B646" s="212">
        <f>B642*CHOOSE(D642,1,Параметры!G$53,Параметры!G$59)</f>
        <v>0</v>
      </c>
      <c r="C646" s="163" t="str">
        <f t="shared" ca="1" si="2721"/>
        <v>руб.</v>
      </c>
      <c r="D646" s="174">
        <v>1</v>
      </c>
      <c r="E646" s="170" t="s">
        <v>1269</v>
      </c>
      <c r="F646" s="170" t="s">
        <v>644</v>
      </c>
      <c r="G646" s="185">
        <f>B646</f>
        <v>0</v>
      </c>
      <c r="H646" s="185"/>
      <c r="I646" s="185"/>
      <c r="J646" s="185"/>
      <c r="K646" s="185"/>
      <c r="L646" s="185"/>
      <c r="M646" s="185"/>
      <c r="N646" s="185"/>
      <c r="O646" s="185"/>
      <c r="P646" s="185"/>
      <c r="Q646" s="185"/>
      <c r="R646" s="185"/>
      <c r="S646" s="185"/>
      <c r="T646" s="185"/>
      <c r="U646" s="185"/>
      <c r="V646" s="185"/>
      <c r="W646" s="185"/>
      <c r="X646" s="185"/>
      <c r="Y646" s="185"/>
      <c r="Z646" s="185"/>
      <c r="AA646" s="185"/>
      <c r="AB646" s="185"/>
      <c r="AC646" s="185"/>
      <c r="AD646" s="185"/>
      <c r="AE646" s="185"/>
      <c r="AF646" s="185"/>
      <c r="AG646" s="185"/>
      <c r="AH646" s="185"/>
      <c r="AI646" s="185"/>
      <c r="AJ646" s="185"/>
      <c r="AK646" s="185"/>
      <c r="AL646" s="185"/>
      <c r="AM646" s="185"/>
      <c r="AN646" s="185"/>
      <c r="AO646" s="185"/>
      <c r="AP646" s="185"/>
      <c r="AQ646" s="185"/>
      <c r="AR646" s="185"/>
      <c r="AS646" s="185"/>
      <c r="AT646" s="185"/>
      <c r="AU646" s="185"/>
      <c r="AV646" s="185"/>
      <c r="AW646" s="185"/>
      <c r="AX646" s="185"/>
      <c r="AY646" s="185"/>
      <c r="AZ646" s="185"/>
      <c r="BA646" s="185"/>
      <c r="BB646" s="185"/>
      <c r="BC646" s="185"/>
      <c r="BD646" s="193"/>
    </row>
    <row r="647" spans="1:56" ht="14.4" hidden="1" thickTop="1" x14ac:dyDescent="0.3">
      <c r="A647" s="187" t="str">
        <f ca="1">Language!A$867</f>
        <v>график ввода в эксплуатацию</v>
      </c>
      <c r="B647" s="170"/>
      <c r="C647" s="163" t="str">
        <f t="shared" ca="1" si="2721"/>
        <v>руб.</v>
      </c>
      <c r="D647" s="174">
        <v>1</v>
      </c>
      <c r="F647" s="170" t="s">
        <v>743</v>
      </c>
      <c r="G647" s="185">
        <f>G643*CHOOSE($D643,1,Параметры!G$53,Параметры!G$59)</f>
        <v>0</v>
      </c>
      <c r="H647" s="185">
        <f>H643*CHOOSE($D643,1,Параметры!H$53,Параметры!H$59)</f>
        <v>0</v>
      </c>
      <c r="I647" s="185">
        <f>I643*CHOOSE($D643,1,Параметры!I$53,Параметры!I$59)</f>
        <v>0</v>
      </c>
      <c r="J647" s="185">
        <f>J643*CHOOSE($D643,1,Параметры!J$53,Параметры!J$59)</f>
        <v>0</v>
      </c>
      <c r="K647" s="185">
        <f>K643*CHOOSE($D643,1,Параметры!K$53,Параметры!K$59)</f>
        <v>0</v>
      </c>
      <c r="L647" s="185">
        <f>L643*CHOOSE($D643,1,Параметры!L$53,Параметры!L$59)</f>
        <v>0</v>
      </c>
      <c r="M647" s="185">
        <f>M643*CHOOSE($D643,1,Параметры!M$53,Параметры!M$59)</f>
        <v>0</v>
      </c>
      <c r="N647" s="185">
        <f>N643*CHOOSE($D643,1,Параметры!N$53,Параметры!N$59)</f>
        <v>0</v>
      </c>
      <c r="O647" s="185">
        <f>O643*CHOOSE($D643,1,Параметры!O$53,Параметры!O$59)</f>
        <v>0</v>
      </c>
      <c r="P647" s="185">
        <f>P643*CHOOSE($D643,1,Параметры!P$53,Параметры!P$59)</f>
        <v>0</v>
      </c>
      <c r="Q647" s="185">
        <f>Q643*CHOOSE($D643,1,Параметры!Q$53,Параметры!Q$59)</f>
        <v>0</v>
      </c>
      <c r="R647" s="185">
        <f>R643*CHOOSE($D643,1,Параметры!R$53,Параметры!R$59)</f>
        <v>0</v>
      </c>
      <c r="S647" s="185">
        <f>S643*CHOOSE($D643,1,Параметры!S$53,Параметры!S$59)</f>
        <v>0</v>
      </c>
      <c r="T647" s="185">
        <f>T643*CHOOSE($D643,1,Параметры!T$53,Параметры!T$59)</f>
        <v>0</v>
      </c>
      <c r="U647" s="185">
        <f>U643*CHOOSE($D643,1,Параметры!U$53,Параметры!U$59)</f>
        <v>0</v>
      </c>
      <c r="V647" s="185">
        <f>V643*CHOOSE($D643,1,Параметры!V$53,Параметры!V$59)</f>
        <v>0</v>
      </c>
      <c r="W647" s="185">
        <f>W643*CHOOSE($D643,1,Параметры!W$53,Параметры!W$59)</f>
        <v>0</v>
      </c>
      <c r="X647" s="185">
        <f>X643*CHOOSE($D643,1,Параметры!X$53,Параметры!X$59)</f>
        <v>0</v>
      </c>
      <c r="Y647" s="185">
        <f>Y643*CHOOSE($D643,1,Параметры!Y$53,Параметры!Y$59)</f>
        <v>0</v>
      </c>
      <c r="Z647" s="185">
        <f>Z643*CHOOSE($D643,1,Параметры!Z$53,Параметры!Z$59)</f>
        <v>0</v>
      </c>
      <c r="AA647" s="185">
        <f>AA643*CHOOSE($D643,1,Параметры!AA$53,Параметры!AA$59)</f>
        <v>0</v>
      </c>
      <c r="AB647" s="185">
        <f>AB643*CHOOSE($D643,1,Параметры!AB$53,Параметры!AB$59)</f>
        <v>0</v>
      </c>
      <c r="AC647" s="185">
        <f>AC643*CHOOSE($D643,1,Параметры!AC$53,Параметры!AC$59)</f>
        <v>0</v>
      </c>
      <c r="AD647" s="185">
        <f>AD643*CHOOSE($D643,1,Параметры!AD$53,Параметры!AD$59)</f>
        <v>0</v>
      </c>
      <c r="AE647" s="185">
        <f>AE643*CHOOSE($D643,1,Параметры!AE$53,Параметры!AE$59)</f>
        <v>0</v>
      </c>
      <c r="AF647" s="185">
        <f>AF643*CHOOSE($D643,1,Параметры!AF$53,Параметры!AF$59)</f>
        <v>0</v>
      </c>
      <c r="AG647" s="185">
        <f>AG643*CHOOSE($D643,1,Параметры!AG$53,Параметры!AG$59)</f>
        <v>0</v>
      </c>
      <c r="AH647" s="185">
        <f>AH643*CHOOSE($D643,1,Параметры!AH$53,Параметры!AH$59)</f>
        <v>0</v>
      </c>
      <c r="AI647" s="185">
        <f>AI643*CHOOSE($D643,1,Параметры!AI$53,Параметры!AI$59)</f>
        <v>0</v>
      </c>
      <c r="AJ647" s="185">
        <f>AJ643*CHOOSE($D643,1,Параметры!AJ$53,Параметры!AJ$59)</f>
        <v>0</v>
      </c>
      <c r="AK647" s="185">
        <f>AK643*CHOOSE($D643,1,Параметры!AK$53,Параметры!AK$59)</f>
        <v>0</v>
      </c>
      <c r="AL647" s="185">
        <f>AL643*CHOOSE($D643,1,Параметры!AL$53,Параметры!AL$59)</f>
        <v>0</v>
      </c>
      <c r="AM647" s="185">
        <f>AM643*CHOOSE($D643,1,Параметры!AM$53,Параметры!AM$59)</f>
        <v>0</v>
      </c>
      <c r="AN647" s="185">
        <f>AN643*CHOOSE($D643,1,Параметры!AN$53,Параметры!AN$59)</f>
        <v>0</v>
      </c>
      <c r="AO647" s="185">
        <f>AO643*CHOOSE($D643,1,Параметры!AO$53,Параметры!AO$59)</f>
        <v>0</v>
      </c>
      <c r="AP647" s="185">
        <f>AP643*CHOOSE($D643,1,Параметры!AP$53,Параметры!AP$59)</f>
        <v>0</v>
      </c>
      <c r="AQ647" s="185">
        <f>AQ643*CHOOSE($D643,1,Параметры!AQ$53,Параметры!AQ$59)</f>
        <v>0</v>
      </c>
      <c r="AR647" s="185">
        <f>AR643*CHOOSE($D643,1,Параметры!AR$53,Параметры!AR$59)</f>
        <v>0</v>
      </c>
      <c r="AS647" s="185">
        <f>AS643*CHOOSE($D643,1,Параметры!AS$53,Параметры!AS$59)</f>
        <v>0</v>
      </c>
      <c r="AT647" s="185">
        <f>AT643*CHOOSE($D643,1,Параметры!AT$53,Параметры!AT$59)</f>
        <v>0</v>
      </c>
      <c r="AU647" s="185">
        <f>AU643*CHOOSE($D643,1,Параметры!AU$53,Параметры!AU$59)</f>
        <v>0</v>
      </c>
      <c r="AV647" s="185">
        <f>AV643*CHOOSE($D643,1,Параметры!AV$53,Параметры!AV$59)</f>
        <v>0</v>
      </c>
      <c r="AW647" s="185">
        <f>AW643*CHOOSE($D643,1,Параметры!AW$53,Параметры!AW$59)</f>
        <v>0</v>
      </c>
      <c r="AX647" s="185">
        <f>AX643*CHOOSE($D643,1,Параметры!AX$53,Параметры!AX$59)</f>
        <v>0</v>
      </c>
      <c r="AY647" s="185">
        <f>AY643*CHOOSE($D643,1,Параметры!AY$53,Параметры!AY$59)</f>
        <v>0</v>
      </c>
      <c r="AZ647" s="185">
        <f>AZ643*CHOOSE($D643,1,Параметры!AZ$53,Параметры!AZ$59)</f>
        <v>0</v>
      </c>
      <c r="BA647" s="185">
        <f>BA643*CHOOSE($D643,1,Параметры!BA$53,Параметры!BA$59)</f>
        <v>0</v>
      </c>
      <c r="BB647" s="185">
        <f>BB643*CHOOSE($D643,1,Параметры!BB$53,Параметры!BB$59)</f>
        <v>0</v>
      </c>
      <c r="BC647" s="185"/>
      <c r="BD647" s="193">
        <f>SUM(G647:BC647)</f>
        <v>0</v>
      </c>
    </row>
    <row r="648" spans="1:56" ht="14.4" hidden="1" thickTop="1" x14ac:dyDescent="0.3">
      <c r="A648" s="184" t="str">
        <f ca="1">Language!A$868</f>
        <v>незавершенные инвестиции</v>
      </c>
      <c r="B648" s="170"/>
      <c r="C648" s="163" t="str">
        <f t="shared" ca="1" si="2721"/>
        <v>руб.</v>
      </c>
      <c r="D648" s="174">
        <v>1</v>
      </c>
      <c r="E648" s="170" t="s">
        <v>754</v>
      </c>
      <c r="F648" s="170" t="s">
        <v>747</v>
      </c>
      <c r="G648" s="185">
        <f>IF(SUM($G644:G644)&gt;0.01,0,MAX(SUM($G641:G641)+$B642-SUM($G643:G643),0))*CHOOSE($D641,1,Параметры!G$53,Параметры!G$59)</f>
        <v>0</v>
      </c>
      <c r="H648" s="185">
        <f>IF(SUM($G644:H644)&gt;0.01,0,MAX(SUM($G641:H641)+$B642-SUM($G643:H643),0))*CHOOSE($D641,1,Параметры!H$53,Параметры!H$59)</f>
        <v>0</v>
      </c>
      <c r="I648" s="185">
        <f>IF(SUM($G644:I644)&gt;0.01,0,MAX(SUM($G641:I641)+$B642-SUM($G643:I643),0))*CHOOSE($D641,1,Параметры!I$53,Параметры!I$59)</f>
        <v>0</v>
      </c>
      <c r="J648" s="185">
        <f>IF(SUM($G644:J644)&gt;0.01,0,MAX(SUM($G641:J641)+$B642-SUM($G643:J643),0))*CHOOSE($D641,1,Параметры!J$53,Параметры!J$59)</f>
        <v>0</v>
      </c>
      <c r="K648" s="185">
        <f>IF(SUM($G644:K644)&gt;0.01,0,MAX(SUM($G641:K641)+$B642-SUM($G643:K643),0))*CHOOSE($D641,1,Параметры!K$53,Параметры!K$59)</f>
        <v>0</v>
      </c>
      <c r="L648" s="185">
        <f>IF(SUM($G644:L644)&gt;0.01,0,MAX(SUM($G641:L641)+$B642-SUM($G643:L643),0))*CHOOSE($D641,1,Параметры!L$53,Параметры!L$59)</f>
        <v>0</v>
      </c>
      <c r="M648" s="185">
        <f>IF(SUM($G644:M644)&gt;0.01,0,MAX(SUM($G641:M641)+$B642-SUM($G643:M643),0))*CHOOSE($D641,1,Параметры!M$53,Параметры!M$59)</f>
        <v>0</v>
      </c>
      <c r="N648" s="185">
        <f>IF(SUM($G644:N644)&gt;0.01,0,MAX(SUM($G641:N641)+$B642-SUM($G643:N643),0))*CHOOSE($D641,1,Параметры!N$53,Параметры!N$59)</f>
        <v>0</v>
      </c>
      <c r="O648" s="185">
        <f>IF(SUM($G644:O644)&gt;0.01,0,MAX(SUM($G641:O641)+$B642-SUM($G643:O643),0))*CHOOSE($D641,1,Параметры!O$53,Параметры!O$59)</f>
        <v>0</v>
      </c>
      <c r="P648" s="185">
        <f>IF(SUM($G644:P644)&gt;0.01,0,MAX(SUM($G641:P641)+$B642-SUM($G643:P643),0))*CHOOSE($D641,1,Параметры!P$53,Параметры!P$59)</f>
        <v>0</v>
      </c>
      <c r="Q648" s="185">
        <f>IF(SUM($G644:Q644)&gt;0.01,0,MAX(SUM($G641:Q641)+$B642-SUM($G643:Q643),0))*CHOOSE($D641,1,Параметры!Q$53,Параметры!Q$59)</f>
        <v>0</v>
      </c>
      <c r="R648" s="185">
        <f>IF(SUM($G644:R644)&gt;0.01,0,MAX(SUM($G641:R641)+$B642-SUM($G643:R643),0))*CHOOSE($D641,1,Параметры!R$53,Параметры!R$59)</f>
        <v>0</v>
      </c>
      <c r="S648" s="185">
        <f>IF(SUM($G644:S644)&gt;0.01,0,MAX(SUM($G641:S641)+$B642-SUM($G643:S643),0))*CHOOSE($D641,1,Параметры!S$53,Параметры!S$59)</f>
        <v>0</v>
      </c>
      <c r="T648" s="185">
        <f>IF(SUM($G644:T644)&gt;0.01,0,MAX(SUM($G641:T641)+$B642-SUM($G643:T643),0))*CHOOSE($D641,1,Параметры!T$53,Параметры!T$59)</f>
        <v>0</v>
      </c>
      <c r="U648" s="185">
        <f>IF(SUM($G644:U644)&gt;0.01,0,MAX(SUM($G641:U641)+$B642-SUM($G643:U643),0))*CHOOSE($D641,1,Параметры!U$53,Параметры!U$59)</f>
        <v>0</v>
      </c>
      <c r="V648" s="185">
        <f>IF(SUM($G644:V644)&gt;0.01,0,MAX(SUM($G641:V641)+$B642-SUM($G643:V643),0))*CHOOSE($D641,1,Параметры!V$53,Параметры!V$59)</f>
        <v>0</v>
      </c>
      <c r="W648" s="185">
        <f>IF(SUM($G644:W644)&gt;0.01,0,MAX(SUM($G641:W641)+$B642-SUM($G643:W643),0))*CHOOSE($D641,1,Параметры!W$53,Параметры!W$59)</f>
        <v>0</v>
      </c>
      <c r="X648" s="185">
        <f>IF(SUM($G644:X644)&gt;0.01,0,MAX(SUM($G641:X641)+$B642-SUM($G643:X643),0))*CHOOSE($D641,1,Параметры!X$53,Параметры!X$59)</f>
        <v>0</v>
      </c>
      <c r="Y648" s="185">
        <f>IF(SUM($G644:Y644)&gt;0.01,0,MAX(SUM($G641:Y641)+$B642-SUM($G643:Y643),0))*CHOOSE($D641,1,Параметры!Y$53,Параметры!Y$59)</f>
        <v>0</v>
      </c>
      <c r="Z648" s="185">
        <f>IF(SUM($G644:Z644)&gt;0.01,0,MAX(SUM($G641:Z641)+$B642-SUM($G643:Z643),0))*CHOOSE($D641,1,Параметры!Z$53,Параметры!Z$59)</f>
        <v>0</v>
      </c>
      <c r="AA648" s="185">
        <f>IF(SUM($G644:AA644)&gt;0.01,0,MAX(SUM($G641:AA641)+$B642-SUM($G643:AA643),0))*CHOOSE($D641,1,Параметры!AA$53,Параметры!AA$59)</f>
        <v>0</v>
      </c>
      <c r="AB648" s="185">
        <f>IF(SUM($G644:AB644)&gt;0.01,0,MAX(SUM($G641:AB641)+$B642-SUM($G643:AB643),0))*CHOOSE($D641,1,Параметры!AB$53,Параметры!AB$59)</f>
        <v>0</v>
      </c>
      <c r="AC648" s="185">
        <f>IF(SUM($G644:AC644)&gt;0.01,0,MAX(SUM($G641:AC641)+$B642-SUM($G643:AC643),0))*CHOOSE($D641,1,Параметры!AC$53,Параметры!AC$59)</f>
        <v>0</v>
      </c>
      <c r="AD648" s="185">
        <f>IF(SUM($G644:AD644)&gt;0.01,0,MAX(SUM($G641:AD641)+$B642-SUM($G643:AD643),0))*CHOOSE($D641,1,Параметры!AD$53,Параметры!AD$59)</f>
        <v>0</v>
      </c>
      <c r="AE648" s="185">
        <f>IF(SUM($G644:AE644)&gt;0.01,0,MAX(SUM($G641:AE641)+$B642-SUM($G643:AE643),0))*CHOOSE($D641,1,Параметры!AE$53,Параметры!AE$59)</f>
        <v>0</v>
      </c>
      <c r="AF648" s="185">
        <f>IF(SUM($G644:AF644)&gt;0.01,0,MAX(SUM($G641:AF641)+$B642-SUM($G643:AF643),0))*CHOOSE($D641,1,Параметры!AF$53,Параметры!AF$59)</f>
        <v>0</v>
      </c>
      <c r="AG648" s="185">
        <f>IF(SUM($G644:AG644)&gt;0.01,0,MAX(SUM($G641:AG641)+$B642-SUM($G643:AG643),0))*CHOOSE($D641,1,Параметры!AG$53,Параметры!AG$59)</f>
        <v>0</v>
      </c>
      <c r="AH648" s="185">
        <f>IF(SUM($G644:AH644)&gt;0.01,0,MAX(SUM($G641:AH641)+$B642-SUM($G643:AH643),0))*CHOOSE($D641,1,Параметры!AH$53,Параметры!AH$59)</f>
        <v>0</v>
      </c>
      <c r="AI648" s="185">
        <f>IF(SUM($G644:AI644)&gt;0.01,0,MAX(SUM($G641:AI641)+$B642-SUM($G643:AI643),0))*CHOOSE($D641,1,Параметры!AI$53,Параметры!AI$59)</f>
        <v>0</v>
      </c>
      <c r="AJ648" s="185">
        <f>IF(SUM($G644:AJ644)&gt;0.01,0,MAX(SUM($G641:AJ641)+$B642-SUM($G643:AJ643),0))*CHOOSE($D641,1,Параметры!AJ$53,Параметры!AJ$59)</f>
        <v>0</v>
      </c>
      <c r="AK648" s="185">
        <f>IF(SUM($G644:AK644)&gt;0.01,0,MAX(SUM($G641:AK641)+$B642-SUM($G643:AK643),0))*CHOOSE($D641,1,Параметры!AK$53,Параметры!AK$59)</f>
        <v>0</v>
      </c>
      <c r="AL648" s="185">
        <f>IF(SUM($G644:AL644)&gt;0.01,0,MAX(SUM($G641:AL641)+$B642-SUM($G643:AL643),0))*CHOOSE($D641,1,Параметры!AL$53,Параметры!AL$59)</f>
        <v>0</v>
      </c>
      <c r="AM648" s="185">
        <f>IF(SUM($G644:AM644)&gt;0.01,0,MAX(SUM($G641:AM641)+$B642-SUM($G643:AM643),0))*CHOOSE($D641,1,Параметры!AM$53,Параметры!AM$59)</f>
        <v>0</v>
      </c>
      <c r="AN648" s="185">
        <f>IF(SUM($G644:AN644)&gt;0.01,0,MAX(SUM($G641:AN641)+$B642-SUM($G643:AN643),0))*CHOOSE($D641,1,Параметры!AN$53,Параметры!AN$59)</f>
        <v>0</v>
      </c>
      <c r="AO648" s="185">
        <f>IF(SUM($G644:AO644)&gt;0.01,0,MAX(SUM($G641:AO641)+$B642-SUM($G643:AO643),0))*CHOOSE($D641,1,Параметры!AO$53,Параметры!AO$59)</f>
        <v>0</v>
      </c>
      <c r="AP648" s="185">
        <f>IF(SUM($G644:AP644)&gt;0.01,0,MAX(SUM($G641:AP641)+$B642-SUM($G643:AP643),0))*CHOOSE($D641,1,Параметры!AP$53,Параметры!AP$59)</f>
        <v>0</v>
      </c>
      <c r="AQ648" s="185">
        <f>IF(SUM($G644:AQ644)&gt;0.01,0,MAX(SUM($G641:AQ641)+$B642-SUM($G643:AQ643),0))*CHOOSE($D641,1,Параметры!AQ$53,Параметры!AQ$59)</f>
        <v>0</v>
      </c>
      <c r="AR648" s="185">
        <f>IF(SUM($G644:AR644)&gt;0.01,0,MAX(SUM($G641:AR641)+$B642-SUM($G643:AR643),0))*CHOOSE($D641,1,Параметры!AR$53,Параметры!AR$59)</f>
        <v>0</v>
      </c>
      <c r="AS648" s="185">
        <f>IF(SUM($G644:AS644)&gt;0.01,0,MAX(SUM($G641:AS641)+$B642-SUM($G643:AS643),0))*CHOOSE($D641,1,Параметры!AS$53,Параметры!AS$59)</f>
        <v>0</v>
      </c>
      <c r="AT648" s="185">
        <f>IF(SUM($G644:AT644)&gt;0.01,0,MAX(SUM($G641:AT641)+$B642-SUM($G643:AT643),0))*CHOOSE($D641,1,Параметры!AT$53,Параметры!AT$59)</f>
        <v>0</v>
      </c>
      <c r="AU648" s="185">
        <f>IF(SUM($G644:AU644)&gt;0.01,0,MAX(SUM($G641:AU641)+$B642-SUM($G643:AU643),0))*CHOOSE($D641,1,Параметры!AU$53,Параметры!AU$59)</f>
        <v>0</v>
      </c>
      <c r="AV648" s="185">
        <f>IF(SUM($G644:AV644)&gt;0.01,0,MAX(SUM($G641:AV641)+$B642-SUM($G643:AV643),0))*CHOOSE($D641,1,Параметры!AV$53,Параметры!AV$59)</f>
        <v>0</v>
      </c>
      <c r="AW648" s="185">
        <f>IF(SUM($G644:AW644)&gt;0.01,0,MAX(SUM($G641:AW641)+$B642-SUM($G643:AW643),0))*CHOOSE($D641,1,Параметры!AW$53,Параметры!AW$59)</f>
        <v>0</v>
      </c>
      <c r="AX648" s="185">
        <f>IF(SUM($G644:AX644)&gt;0.01,0,MAX(SUM($G641:AX641)+$B642-SUM($G643:AX643),0))*CHOOSE($D641,1,Параметры!AX$53,Параметры!AX$59)</f>
        <v>0</v>
      </c>
      <c r="AY648" s="185">
        <f>IF(SUM($G644:AY644)&gt;0.01,0,MAX(SUM($G641:AY641)+$B642-SUM($G643:AY643),0))*CHOOSE($D641,1,Параметры!AY$53,Параметры!AY$59)</f>
        <v>0</v>
      </c>
      <c r="AZ648" s="185">
        <f>IF(SUM($G644:AZ644)&gt;0.01,0,MAX(SUM($G641:AZ641)+$B642-SUM($G643:AZ643),0))*CHOOSE($D641,1,Параметры!AZ$53,Параметры!AZ$59)</f>
        <v>0</v>
      </c>
      <c r="BA648" s="185">
        <f>IF(SUM($G644:BA644)&gt;0.01,0,MAX(SUM($G641:BA641)+$B642-SUM($G643:BA643),0))*CHOOSE($D641,1,Параметры!BA$53,Параметры!BA$59)</f>
        <v>0</v>
      </c>
      <c r="BB648" s="185">
        <f>IF(SUM($G644:BB644)&gt;0.01,0,MAX(SUM($G641:BB641)+$B642-SUM($G643:BB643),0))*CHOOSE($D641,1,Параметры!BB$53,Параметры!BB$59)</f>
        <v>0</v>
      </c>
      <c r="BC648" s="185"/>
      <c r="BD648" s="186"/>
    </row>
    <row r="649" spans="1:56" ht="14.4" hidden="1" thickTop="1" x14ac:dyDescent="0.3">
      <c r="A649" s="184" t="str">
        <f ca="1">Language!A$869</f>
        <v>кредиторская задолженность</v>
      </c>
      <c r="B649" s="170"/>
      <c r="C649" s="163" t="str">
        <f t="shared" ca="1" si="2721"/>
        <v>руб.</v>
      </c>
      <c r="D649" s="174">
        <v>1</v>
      </c>
      <c r="E649" s="170" t="s">
        <v>752</v>
      </c>
      <c r="F649" s="170" t="s">
        <v>747</v>
      </c>
      <c r="G649" s="185">
        <f>IF(SUM($G644:G644)&gt;0.01,0,MAX(SUM($G643:G643)-SUM($G641:G641)-$B642,0))*CHOOSE($D641,1,Параметры!G$53,Параметры!G$59)</f>
        <v>0</v>
      </c>
      <c r="H649" s="185">
        <f>IF(SUM($G644:H644)&gt;0.01,0,MAX(SUM($G643:H643)-SUM($G641:H641)-$B642,0))*CHOOSE($D641,1,Параметры!H$53,Параметры!H$59)</f>
        <v>0</v>
      </c>
      <c r="I649" s="185">
        <f>IF(SUM($G644:I644)&gt;0.01,0,MAX(SUM($G643:I643)-SUM($G641:I641)-$B642,0))*CHOOSE($D641,1,Параметры!I$53,Параметры!I$59)</f>
        <v>0</v>
      </c>
      <c r="J649" s="185">
        <f>IF(SUM($G644:J644)&gt;0.01,0,MAX(SUM($G643:J643)-SUM($G641:J641)-$B642,0))*CHOOSE($D641,1,Параметры!J$53,Параметры!J$59)</f>
        <v>0</v>
      </c>
      <c r="K649" s="185">
        <f>IF(SUM($G644:K644)&gt;0.01,0,MAX(SUM($G643:K643)-SUM($G641:K641)-$B642,0))*CHOOSE($D641,1,Параметры!K$53,Параметры!K$59)</f>
        <v>0</v>
      </c>
      <c r="L649" s="185">
        <f>IF(SUM($G644:L644)&gt;0.01,0,MAX(SUM($G643:L643)-SUM($G641:L641)-$B642,0))*CHOOSE($D641,1,Параметры!L$53,Параметры!L$59)</f>
        <v>0</v>
      </c>
      <c r="M649" s="185">
        <f>IF(SUM($G644:M644)&gt;0.01,0,MAX(SUM($G643:M643)-SUM($G641:M641)-$B642,0))*CHOOSE($D641,1,Параметры!M$53,Параметры!M$59)</f>
        <v>0</v>
      </c>
      <c r="N649" s="185">
        <f>IF(SUM($G644:N644)&gt;0.01,0,MAX(SUM($G643:N643)-SUM($G641:N641)-$B642,0))*CHOOSE($D641,1,Параметры!N$53,Параметры!N$59)</f>
        <v>0</v>
      </c>
      <c r="O649" s="185">
        <f>IF(SUM($G644:O644)&gt;0.01,0,MAX(SUM($G643:O643)-SUM($G641:O641)-$B642,0))*CHOOSE($D641,1,Параметры!O$53,Параметры!O$59)</f>
        <v>0</v>
      </c>
      <c r="P649" s="185">
        <f>IF(SUM($G644:P644)&gt;0.01,0,MAX(SUM($G643:P643)-SUM($G641:P641)-$B642,0))*CHOOSE($D641,1,Параметры!P$53,Параметры!P$59)</f>
        <v>0</v>
      </c>
      <c r="Q649" s="185">
        <f>IF(SUM($G644:Q644)&gt;0.01,0,MAX(SUM($G643:Q643)-SUM($G641:Q641)-$B642,0))*CHOOSE($D641,1,Параметры!Q$53,Параметры!Q$59)</f>
        <v>0</v>
      </c>
      <c r="R649" s="185">
        <f>IF(SUM($G644:R644)&gt;0.01,0,MAX(SUM($G643:R643)-SUM($G641:R641)-$B642,0))*CHOOSE($D641,1,Параметры!R$53,Параметры!R$59)</f>
        <v>0</v>
      </c>
      <c r="S649" s="185">
        <f>IF(SUM($G644:S644)&gt;0.01,0,MAX(SUM($G643:S643)-SUM($G641:S641)-$B642,0))*CHOOSE($D641,1,Параметры!S$53,Параметры!S$59)</f>
        <v>0</v>
      </c>
      <c r="T649" s="185">
        <f>IF(SUM($G644:T644)&gt;0.01,0,MAX(SUM($G643:T643)-SUM($G641:T641)-$B642,0))*CHOOSE($D641,1,Параметры!T$53,Параметры!T$59)</f>
        <v>0</v>
      </c>
      <c r="U649" s="185">
        <f>IF(SUM($G644:U644)&gt;0.01,0,MAX(SUM($G643:U643)-SUM($G641:U641)-$B642,0))*CHOOSE($D641,1,Параметры!U$53,Параметры!U$59)</f>
        <v>0</v>
      </c>
      <c r="V649" s="185">
        <f>IF(SUM($G644:V644)&gt;0.01,0,MAX(SUM($G643:V643)-SUM($G641:V641)-$B642,0))*CHOOSE($D641,1,Параметры!V$53,Параметры!V$59)</f>
        <v>0</v>
      </c>
      <c r="W649" s="185">
        <f>IF(SUM($G644:W644)&gt;0.01,0,MAX(SUM($G643:W643)-SUM($G641:W641)-$B642,0))*CHOOSE($D641,1,Параметры!W$53,Параметры!W$59)</f>
        <v>0</v>
      </c>
      <c r="X649" s="185">
        <f>IF(SUM($G644:X644)&gt;0.01,0,MAX(SUM($G643:X643)-SUM($G641:X641)-$B642,0))*CHOOSE($D641,1,Параметры!X$53,Параметры!X$59)</f>
        <v>0</v>
      </c>
      <c r="Y649" s="185">
        <f>IF(SUM($G644:Y644)&gt;0.01,0,MAX(SUM($G643:Y643)-SUM($G641:Y641)-$B642,0))*CHOOSE($D641,1,Параметры!Y$53,Параметры!Y$59)</f>
        <v>0</v>
      </c>
      <c r="Z649" s="185">
        <f>IF(SUM($G644:Z644)&gt;0.01,0,MAX(SUM($G643:Z643)-SUM($G641:Z641)-$B642,0))*CHOOSE($D641,1,Параметры!Z$53,Параметры!Z$59)</f>
        <v>0</v>
      </c>
      <c r="AA649" s="185">
        <f>IF(SUM($G644:AA644)&gt;0.01,0,MAX(SUM($G643:AA643)-SUM($G641:AA641)-$B642,0))*CHOOSE($D641,1,Параметры!AA$53,Параметры!AA$59)</f>
        <v>0</v>
      </c>
      <c r="AB649" s="185">
        <f>IF(SUM($G644:AB644)&gt;0.01,0,MAX(SUM($G643:AB643)-SUM($G641:AB641)-$B642,0))*CHOOSE($D641,1,Параметры!AB$53,Параметры!AB$59)</f>
        <v>0</v>
      </c>
      <c r="AC649" s="185">
        <f>IF(SUM($G644:AC644)&gt;0.01,0,MAX(SUM($G643:AC643)-SUM($G641:AC641)-$B642,0))*CHOOSE($D641,1,Параметры!AC$53,Параметры!AC$59)</f>
        <v>0</v>
      </c>
      <c r="AD649" s="185">
        <f>IF(SUM($G644:AD644)&gt;0.01,0,MAX(SUM($G643:AD643)-SUM($G641:AD641)-$B642,0))*CHOOSE($D641,1,Параметры!AD$53,Параметры!AD$59)</f>
        <v>0</v>
      </c>
      <c r="AE649" s="185">
        <f>IF(SUM($G644:AE644)&gt;0.01,0,MAX(SUM($G643:AE643)-SUM($G641:AE641)-$B642,0))*CHOOSE($D641,1,Параметры!AE$53,Параметры!AE$59)</f>
        <v>0</v>
      </c>
      <c r="AF649" s="185">
        <f>IF(SUM($G644:AF644)&gt;0.01,0,MAX(SUM($G643:AF643)-SUM($G641:AF641)-$B642,0))*CHOOSE($D641,1,Параметры!AF$53,Параметры!AF$59)</f>
        <v>0</v>
      </c>
      <c r="AG649" s="185">
        <f>IF(SUM($G644:AG644)&gt;0.01,0,MAX(SUM($G643:AG643)-SUM($G641:AG641)-$B642,0))*CHOOSE($D641,1,Параметры!AG$53,Параметры!AG$59)</f>
        <v>0</v>
      </c>
      <c r="AH649" s="185">
        <f>IF(SUM($G644:AH644)&gt;0.01,0,MAX(SUM($G643:AH643)-SUM($G641:AH641)-$B642,0))*CHOOSE($D641,1,Параметры!AH$53,Параметры!AH$59)</f>
        <v>0</v>
      </c>
      <c r="AI649" s="185">
        <f>IF(SUM($G644:AI644)&gt;0.01,0,MAX(SUM($G643:AI643)-SUM($G641:AI641)-$B642,0))*CHOOSE($D641,1,Параметры!AI$53,Параметры!AI$59)</f>
        <v>0</v>
      </c>
      <c r="AJ649" s="185">
        <f>IF(SUM($G644:AJ644)&gt;0.01,0,MAX(SUM($G643:AJ643)-SUM($G641:AJ641)-$B642,0))*CHOOSE($D641,1,Параметры!AJ$53,Параметры!AJ$59)</f>
        <v>0</v>
      </c>
      <c r="AK649" s="185">
        <f>IF(SUM($G644:AK644)&gt;0.01,0,MAX(SUM($G643:AK643)-SUM($G641:AK641)-$B642,0))*CHOOSE($D641,1,Параметры!AK$53,Параметры!AK$59)</f>
        <v>0</v>
      </c>
      <c r="AL649" s="185">
        <f>IF(SUM($G644:AL644)&gt;0.01,0,MAX(SUM($G643:AL643)-SUM($G641:AL641)-$B642,0))*CHOOSE($D641,1,Параметры!AL$53,Параметры!AL$59)</f>
        <v>0</v>
      </c>
      <c r="AM649" s="185">
        <f>IF(SUM($G644:AM644)&gt;0.01,0,MAX(SUM($G643:AM643)-SUM($G641:AM641)-$B642,0))*CHOOSE($D641,1,Параметры!AM$53,Параметры!AM$59)</f>
        <v>0</v>
      </c>
      <c r="AN649" s="185">
        <f>IF(SUM($G644:AN644)&gt;0.01,0,MAX(SUM($G643:AN643)-SUM($G641:AN641)-$B642,0))*CHOOSE($D641,1,Параметры!AN$53,Параметры!AN$59)</f>
        <v>0</v>
      </c>
      <c r="AO649" s="185">
        <f>IF(SUM($G644:AO644)&gt;0.01,0,MAX(SUM($G643:AO643)-SUM($G641:AO641)-$B642,0))*CHOOSE($D641,1,Параметры!AO$53,Параметры!AO$59)</f>
        <v>0</v>
      </c>
      <c r="AP649" s="185">
        <f>IF(SUM($G644:AP644)&gt;0.01,0,MAX(SUM($G643:AP643)-SUM($G641:AP641)-$B642,0))*CHOOSE($D641,1,Параметры!AP$53,Параметры!AP$59)</f>
        <v>0</v>
      </c>
      <c r="AQ649" s="185">
        <f>IF(SUM($G644:AQ644)&gt;0.01,0,MAX(SUM($G643:AQ643)-SUM($G641:AQ641)-$B642,0))*CHOOSE($D641,1,Параметры!AQ$53,Параметры!AQ$59)</f>
        <v>0</v>
      </c>
      <c r="AR649" s="185">
        <f>IF(SUM($G644:AR644)&gt;0.01,0,MAX(SUM($G643:AR643)-SUM($G641:AR641)-$B642,0))*CHOOSE($D641,1,Параметры!AR$53,Параметры!AR$59)</f>
        <v>0</v>
      </c>
      <c r="AS649" s="185">
        <f>IF(SUM($G644:AS644)&gt;0.01,0,MAX(SUM($G643:AS643)-SUM($G641:AS641)-$B642,0))*CHOOSE($D641,1,Параметры!AS$53,Параметры!AS$59)</f>
        <v>0</v>
      </c>
      <c r="AT649" s="185">
        <f>IF(SUM($G644:AT644)&gt;0.01,0,MAX(SUM($G643:AT643)-SUM($G641:AT641)-$B642,0))*CHOOSE($D641,1,Параметры!AT$53,Параметры!AT$59)</f>
        <v>0</v>
      </c>
      <c r="AU649" s="185">
        <f>IF(SUM($G644:AU644)&gt;0.01,0,MAX(SUM($G643:AU643)-SUM($G641:AU641)-$B642,0))*CHOOSE($D641,1,Параметры!AU$53,Параметры!AU$59)</f>
        <v>0</v>
      </c>
      <c r="AV649" s="185">
        <f>IF(SUM($G644:AV644)&gt;0.01,0,MAX(SUM($G643:AV643)-SUM($G641:AV641)-$B642,0))*CHOOSE($D641,1,Параметры!AV$53,Параметры!AV$59)</f>
        <v>0</v>
      </c>
      <c r="AW649" s="185">
        <f>IF(SUM($G644:AW644)&gt;0.01,0,MAX(SUM($G643:AW643)-SUM($G641:AW641)-$B642,0))*CHOOSE($D641,1,Параметры!AW$53,Параметры!AW$59)</f>
        <v>0</v>
      </c>
      <c r="AX649" s="185">
        <f>IF(SUM($G644:AX644)&gt;0.01,0,MAX(SUM($G643:AX643)-SUM($G641:AX641)-$B642,0))*CHOOSE($D641,1,Параметры!AX$53,Параметры!AX$59)</f>
        <v>0</v>
      </c>
      <c r="AY649" s="185">
        <f>IF(SUM($G644:AY644)&gt;0.01,0,MAX(SUM($G643:AY643)-SUM($G641:AY641)-$B642,0))*CHOOSE($D641,1,Параметры!AY$53,Параметры!AY$59)</f>
        <v>0</v>
      </c>
      <c r="AZ649" s="185">
        <f>IF(SUM($G644:AZ644)&gt;0.01,0,MAX(SUM($G643:AZ643)-SUM($G641:AZ641)-$B642,0))*CHOOSE($D641,1,Параметры!AZ$53,Параметры!AZ$59)</f>
        <v>0</v>
      </c>
      <c r="BA649" s="185">
        <f>IF(SUM($G644:BA644)&gt;0.01,0,MAX(SUM($G643:BA643)-SUM($G641:BA641)-$B642,0))*CHOOSE($D641,1,Параметры!BA$53,Параметры!BA$59)</f>
        <v>0</v>
      </c>
      <c r="BB649" s="185">
        <f>IF(SUM($G644:BB644)&gt;0.01,0,MAX(SUM($G643:BB643)-SUM($G641:BB641)-$B642,0))*CHOOSE($D641,1,Параметры!BB$53,Параметры!BB$59)</f>
        <v>0</v>
      </c>
      <c r="BC649" s="185"/>
      <c r="BD649" s="186"/>
    </row>
    <row r="650" spans="1:56" ht="14.4" hidden="1" thickTop="1" x14ac:dyDescent="0.3">
      <c r="A650" s="184" t="str">
        <f ca="1">Language!A$870</f>
        <v>балансовая стоимость</v>
      </c>
      <c r="B650" s="170"/>
      <c r="C650" s="163" t="str">
        <f t="shared" ca="1" si="2721"/>
        <v>руб.</v>
      </c>
      <c r="D650" s="174">
        <v>1</v>
      </c>
      <c r="E650" s="170" t="s">
        <v>750</v>
      </c>
      <c r="F650" s="170" t="s">
        <v>747</v>
      </c>
      <c r="G650" s="185">
        <f>IF(SUM($G644:G644)&gt;0.01,0,SUM($G647:G647))</f>
        <v>0</v>
      </c>
      <c r="H650" s="185">
        <f>IF(SUM($G644:H644)&gt;0.01,0,SUM($G647:H647))</f>
        <v>0</v>
      </c>
      <c r="I650" s="185">
        <f>IF(SUM($G644:I644)&gt;0.01,0,SUM($G647:I647))</f>
        <v>0</v>
      </c>
      <c r="J650" s="185">
        <f>IF(SUM($G644:J644)&gt;0.01,0,SUM($G647:J647))</f>
        <v>0</v>
      </c>
      <c r="K650" s="185">
        <f>IF(SUM($G644:K644)&gt;0.01,0,SUM($G647:K647))</f>
        <v>0</v>
      </c>
      <c r="L650" s="185">
        <f>IF(SUM($G644:L644)&gt;0.01,0,SUM($G647:L647))</f>
        <v>0</v>
      </c>
      <c r="M650" s="185">
        <f>IF(SUM($G644:M644)&gt;0.01,0,SUM($G647:M647))</f>
        <v>0</v>
      </c>
      <c r="N650" s="185">
        <f>IF(SUM($G644:N644)&gt;0.01,0,SUM($G647:N647))</f>
        <v>0</v>
      </c>
      <c r="O650" s="185">
        <f>IF(SUM($G644:O644)&gt;0.01,0,SUM($G647:O647))</f>
        <v>0</v>
      </c>
      <c r="P650" s="185">
        <f>IF(SUM($G644:P644)&gt;0.01,0,SUM($G647:P647))</f>
        <v>0</v>
      </c>
      <c r="Q650" s="185">
        <f>IF(SUM($G644:Q644)&gt;0.01,0,SUM($G647:Q647))</f>
        <v>0</v>
      </c>
      <c r="R650" s="185">
        <f>IF(SUM($G644:R644)&gt;0.01,0,SUM($G647:R647))</f>
        <v>0</v>
      </c>
      <c r="S650" s="185">
        <f>IF(SUM($G644:S644)&gt;0.01,0,SUM($G647:S647))</f>
        <v>0</v>
      </c>
      <c r="T650" s="185">
        <f>IF(SUM($G644:T644)&gt;0.01,0,SUM($G647:T647))</f>
        <v>0</v>
      </c>
      <c r="U650" s="185">
        <f>IF(SUM($G644:U644)&gt;0.01,0,SUM($G647:U647))</f>
        <v>0</v>
      </c>
      <c r="V650" s="185">
        <f>IF(SUM($G644:V644)&gt;0.01,0,SUM($G647:V647))</f>
        <v>0</v>
      </c>
      <c r="W650" s="185">
        <f>IF(SUM($G644:W644)&gt;0.01,0,SUM($G647:W647))</f>
        <v>0</v>
      </c>
      <c r="X650" s="185">
        <f>IF(SUM($G644:X644)&gt;0.01,0,SUM($G647:X647))</f>
        <v>0</v>
      </c>
      <c r="Y650" s="185">
        <f>IF(SUM($G644:Y644)&gt;0.01,0,SUM($G647:Y647))</f>
        <v>0</v>
      </c>
      <c r="Z650" s="185">
        <f>IF(SUM($G644:Z644)&gt;0.01,0,SUM($G647:Z647))</f>
        <v>0</v>
      </c>
      <c r="AA650" s="185">
        <f>IF(SUM($G644:AA644)&gt;0.01,0,SUM($G647:AA647))</f>
        <v>0</v>
      </c>
      <c r="AB650" s="185">
        <f>IF(SUM($G644:AB644)&gt;0.01,0,SUM($G647:AB647))</f>
        <v>0</v>
      </c>
      <c r="AC650" s="185">
        <f>IF(SUM($G644:AC644)&gt;0.01,0,SUM($G647:AC647))</f>
        <v>0</v>
      </c>
      <c r="AD650" s="185">
        <f>IF(SUM($G644:AD644)&gt;0.01,0,SUM($G647:AD647))</f>
        <v>0</v>
      </c>
      <c r="AE650" s="185">
        <f>IF(SUM($G644:AE644)&gt;0.01,0,SUM($G647:AE647))</f>
        <v>0</v>
      </c>
      <c r="AF650" s="185">
        <f>IF(SUM($G644:AF644)&gt;0.01,0,SUM($G647:AF647))</f>
        <v>0</v>
      </c>
      <c r="AG650" s="185">
        <f>IF(SUM($G644:AG644)&gt;0.01,0,SUM($G647:AG647))</f>
        <v>0</v>
      </c>
      <c r="AH650" s="185">
        <f>IF(SUM($G644:AH644)&gt;0.01,0,SUM($G647:AH647))</f>
        <v>0</v>
      </c>
      <c r="AI650" s="185">
        <f>IF(SUM($G644:AI644)&gt;0.01,0,SUM($G647:AI647))</f>
        <v>0</v>
      </c>
      <c r="AJ650" s="185">
        <f>IF(SUM($G644:AJ644)&gt;0.01,0,SUM($G647:AJ647))</f>
        <v>0</v>
      </c>
      <c r="AK650" s="185">
        <f>IF(SUM($G644:AK644)&gt;0.01,0,SUM($G647:AK647))</f>
        <v>0</v>
      </c>
      <c r="AL650" s="185">
        <f>IF(SUM($G644:AL644)&gt;0.01,0,SUM($G647:AL647))</f>
        <v>0</v>
      </c>
      <c r="AM650" s="185">
        <f>IF(SUM($G644:AM644)&gt;0.01,0,SUM($G647:AM647))</f>
        <v>0</v>
      </c>
      <c r="AN650" s="185">
        <f>IF(SUM($G644:AN644)&gt;0.01,0,SUM($G647:AN647))</f>
        <v>0</v>
      </c>
      <c r="AO650" s="185">
        <f>IF(SUM($G644:AO644)&gt;0.01,0,SUM($G647:AO647))</f>
        <v>0</v>
      </c>
      <c r="AP650" s="185">
        <f>IF(SUM($G644:AP644)&gt;0.01,0,SUM($G647:AP647))</f>
        <v>0</v>
      </c>
      <c r="AQ650" s="185">
        <f>IF(SUM($G644:AQ644)&gt;0.01,0,SUM($G647:AQ647))</f>
        <v>0</v>
      </c>
      <c r="AR650" s="185">
        <f>IF(SUM($G644:AR644)&gt;0.01,0,SUM($G647:AR647))</f>
        <v>0</v>
      </c>
      <c r="AS650" s="185">
        <f>IF(SUM($G644:AS644)&gt;0.01,0,SUM($G647:AS647))</f>
        <v>0</v>
      </c>
      <c r="AT650" s="185">
        <f>IF(SUM($G644:AT644)&gt;0.01,0,SUM($G647:AT647))</f>
        <v>0</v>
      </c>
      <c r="AU650" s="185">
        <f>IF(SUM($G644:AU644)&gt;0.01,0,SUM($G647:AU647))</f>
        <v>0</v>
      </c>
      <c r="AV650" s="185">
        <f>IF(SUM($G644:AV644)&gt;0.01,0,SUM($G647:AV647))</f>
        <v>0</v>
      </c>
      <c r="AW650" s="185">
        <f>IF(SUM($G644:AW644)&gt;0.01,0,SUM($G647:AW647))</f>
        <v>0</v>
      </c>
      <c r="AX650" s="185">
        <f>IF(SUM($G644:AX644)&gt;0.01,0,SUM($G647:AX647))</f>
        <v>0</v>
      </c>
      <c r="AY650" s="185">
        <f>IF(SUM($G644:AY644)&gt;0.01,0,SUM($G647:AY647))</f>
        <v>0</v>
      </c>
      <c r="AZ650" s="185">
        <f>IF(SUM($G644:AZ644)&gt;0.01,0,SUM($G647:AZ647))</f>
        <v>0</v>
      </c>
      <c r="BA650" s="185">
        <f>IF(SUM($G644:BA644)&gt;0.01,0,SUM($G647:BA647))</f>
        <v>0</v>
      </c>
      <c r="BB650" s="185">
        <f>IF(SUM($G644:BB644)&gt;0.01,0,SUM($G647:BB647))</f>
        <v>0</v>
      </c>
      <c r="BC650" s="185"/>
      <c r="BD650" s="186"/>
    </row>
    <row r="651" spans="1:56" ht="14.4" hidden="1" thickTop="1" x14ac:dyDescent="0.3">
      <c r="A651" s="184" t="str">
        <f ca="1">Language!A$871</f>
        <v>прибыль/убыток от продажи актива</v>
      </c>
      <c r="B651" s="216"/>
      <c r="C651" s="163" t="str">
        <f t="shared" ca="1" si="2721"/>
        <v>руб.</v>
      </c>
      <c r="D651" s="174">
        <v>1</v>
      </c>
      <c r="E651" s="170" t="s">
        <v>762</v>
      </c>
      <c r="F651" s="170" t="s">
        <v>743</v>
      </c>
      <c r="G651" s="185">
        <f t="shared" ref="G651:BB651" si="2722">IF(G644=0,0,G644-IF(G$2=1,G645,F648+F650))</f>
        <v>0</v>
      </c>
      <c r="H651" s="185">
        <f t="shared" si="2722"/>
        <v>0</v>
      </c>
      <c r="I651" s="185">
        <f t="shared" si="2722"/>
        <v>0</v>
      </c>
      <c r="J651" s="185">
        <f t="shared" si="2722"/>
        <v>0</v>
      </c>
      <c r="K651" s="185">
        <f t="shared" si="2722"/>
        <v>0</v>
      </c>
      <c r="L651" s="185">
        <f t="shared" si="2722"/>
        <v>0</v>
      </c>
      <c r="M651" s="185">
        <f t="shared" si="2722"/>
        <v>0</v>
      </c>
      <c r="N651" s="185">
        <f t="shared" si="2722"/>
        <v>0</v>
      </c>
      <c r="O651" s="185">
        <f t="shared" si="2722"/>
        <v>0</v>
      </c>
      <c r="P651" s="185">
        <f t="shared" si="2722"/>
        <v>0</v>
      </c>
      <c r="Q651" s="185">
        <f t="shared" si="2722"/>
        <v>0</v>
      </c>
      <c r="R651" s="185">
        <f t="shared" si="2722"/>
        <v>0</v>
      </c>
      <c r="S651" s="185">
        <f t="shared" si="2722"/>
        <v>0</v>
      </c>
      <c r="T651" s="185">
        <f t="shared" si="2722"/>
        <v>0</v>
      </c>
      <c r="U651" s="185">
        <f t="shared" si="2722"/>
        <v>0</v>
      </c>
      <c r="V651" s="185">
        <f t="shared" si="2722"/>
        <v>0</v>
      </c>
      <c r="W651" s="185">
        <f t="shared" si="2722"/>
        <v>0</v>
      </c>
      <c r="X651" s="185">
        <f t="shared" si="2722"/>
        <v>0</v>
      </c>
      <c r="Y651" s="185">
        <f t="shared" si="2722"/>
        <v>0</v>
      </c>
      <c r="Z651" s="185">
        <f t="shared" si="2722"/>
        <v>0</v>
      </c>
      <c r="AA651" s="185">
        <f t="shared" si="2722"/>
        <v>0</v>
      </c>
      <c r="AB651" s="185">
        <f t="shared" si="2722"/>
        <v>0</v>
      </c>
      <c r="AC651" s="185">
        <f t="shared" si="2722"/>
        <v>0</v>
      </c>
      <c r="AD651" s="185">
        <f t="shared" si="2722"/>
        <v>0</v>
      </c>
      <c r="AE651" s="185">
        <f t="shared" si="2722"/>
        <v>0</v>
      </c>
      <c r="AF651" s="185">
        <f t="shared" si="2722"/>
        <v>0</v>
      </c>
      <c r="AG651" s="185">
        <f t="shared" si="2722"/>
        <v>0</v>
      </c>
      <c r="AH651" s="185">
        <f t="shared" si="2722"/>
        <v>0</v>
      </c>
      <c r="AI651" s="185">
        <f t="shared" si="2722"/>
        <v>0</v>
      </c>
      <c r="AJ651" s="185">
        <f t="shared" si="2722"/>
        <v>0</v>
      </c>
      <c r="AK651" s="185">
        <f t="shared" si="2722"/>
        <v>0</v>
      </c>
      <c r="AL651" s="185">
        <f t="shared" si="2722"/>
        <v>0</v>
      </c>
      <c r="AM651" s="185">
        <f t="shared" si="2722"/>
        <v>0</v>
      </c>
      <c r="AN651" s="185">
        <f t="shared" si="2722"/>
        <v>0</v>
      </c>
      <c r="AO651" s="185">
        <f t="shared" si="2722"/>
        <v>0</v>
      </c>
      <c r="AP651" s="185">
        <f t="shared" si="2722"/>
        <v>0</v>
      </c>
      <c r="AQ651" s="185">
        <f t="shared" si="2722"/>
        <v>0</v>
      </c>
      <c r="AR651" s="185">
        <f t="shared" si="2722"/>
        <v>0</v>
      </c>
      <c r="AS651" s="185">
        <f t="shared" si="2722"/>
        <v>0</v>
      </c>
      <c r="AT651" s="185">
        <f t="shared" si="2722"/>
        <v>0</v>
      </c>
      <c r="AU651" s="185">
        <f t="shared" si="2722"/>
        <v>0</v>
      </c>
      <c r="AV651" s="185">
        <f t="shared" si="2722"/>
        <v>0</v>
      </c>
      <c r="AW651" s="185">
        <f t="shared" si="2722"/>
        <v>0</v>
      </c>
      <c r="AX651" s="185">
        <f t="shared" si="2722"/>
        <v>0</v>
      </c>
      <c r="AY651" s="185">
        <f t="shared" si="2722"/>
        <v>0</v>
      </c>
      <c r="AZ651" s="185">
        <f t="shared" si="2722"/>
        <v>0</v>
      </c>
      <c r="BA651" s="185">
        <f t="shared" si="2722"/>
        <v>0</v>
      </c>
      <c r="BB651" s="185">
        <f t="shared" si="2722"/>
        <v>0</v>
      </c>
      <c r="BC651" s="185"/>
      <c r="BD651" s="193">
        <f>SUM(G651:BC651)</f>
        <v>0</v>
      </c>
    </row>
    <row r="652" spans="1:56" ht="14.4" hidden="1" thickTop="1" x14ac:dyDescent="0.3">
      <c r="A652" s="184" t="str">
        <f ca="1">Language!A$872</f>
        <v>курсовые разницы</v>
      </c>
      <c r="B652" s="216"/>
      <c r="C652" s="163" t="str">
        <f t="shared" ca="1" si="2721"/>
        <v>руб.</v>
      </c>
      <c r="D652" s="174">
        <v>1</v>
      </c>
      <c r="E652" s="170" t="s">
        <v>1278</v>
      </c>
      <c r="F652" s="170" t="s">
        <v>743</v>
      </c>
      <c r="G652" s="185">
        <f>-(SUM($G645:G645)+$B646-G648+G649-SUM($G647:G647)+IF(G$2=1,0,SUM($F652:F652)))</f>
        <v>0</v>
      </c>
      <c r="H652" s="185">
        <f>-(SUM($G645:H645)+$B646-H648+H649-SUM($G647:H647)+IF(H$2=1,0,SUM($F652:G652)))</f>
        <v>0</v>
      </c>
      <c r="I652" s="185">
        <f>-(SUM($G645:I645)+$B646-I648+I649-SUM($G647:I647)+IF(I$2=1,0,SUM($F652:H652)))</f>
        <v>0</v>
      </c>
      <c r="J652" s="185">
        <f>-(SUM($G645:J645)+$B646-J648+J649-SUM($G647:J647)+IF(J$2=1,0,SUM($F652:I652)))</f>
        <v>0</v>
      </c>
      <c r="K652" s="185">
        <f>-(SUM($G645:K645)+$B646-K648+K649-SUM($G647:K647)+IF(K$2=1,0,SUM($F652:J652)))</f>
        <v>0</v>
      </c>
      <c r="L652" s="185">
        <f>-(SUM($G645:L645)+$B646-L648+L649-SUM($G647:L647)+IF(L$2=1,0,SUM($F652:K652)))</f>
        <v>0</v>
      </c>
      <c r="M652" s="185">
        <f>-(SUM($G645:M645)+$B646-M648+M649-SUM($G647:M647)+IF(M$2=1,0,SUM($F652:L652)))</f>
        <v>0</v>
      </c>
      <c r="N652" s="185">
        <f>-(SUM($G645:N645)+$B646-N648+N649-SUM($G647:N647)+IF(N$2=1,0,SUM($F652:M652)))</f>
        <v>0</v>
      </c>
      <c r="O652" s="185">
        <f>-(SUM($G645:O645)+$B646-O648+O649-SUM($G647:O647)+IF(O$2=1,0,SUM($F652:N652)))</f>
        <v>0</v>
      </c>
      <c r="P652" s="185">
        <f>-(SUM($G645:P645)+$B646-P648+P649-SUM($G647:P647)+IF(P$2=1,0,SUM($F652:O652)))</f>
        <v>0</v>
      </c>
      <c r="Q652" s="185">
        <f>-(SUM($G645:Q645)+$B646-Q648+Q649-SUM($G647:Q647)+IF(Q$2=1,0,SUM($F652:P652)))</f>
        <v>0</v>
      </c>
      <c r="R652" s="185">
        <f>-(SUM($G645:R645)+$B646-R648+R649-SUM($G647:R647)+IF(R$2=1,0,SUM($F652:Q652)))</f>
        <v>0</v>
      </c>
      <c r="S652" s="185">
        <f>-(SUM($G645:S645)+$B646-S648+S649-SUM($G647:S647)+IF(S$2=1,0,SUM($F652:R652)))</f>
        <v>0</v>
      </c>
      <c r="T652" s="185">
        <f>-(SUM($G645:T645)+$B646-T648+T649-SUM($G647:T647)+IF(T$2=1,0,SUM($F652:S652)))</f>
        <v>0</v>
      </c>
      <c r="U652" s="185">
        <f>-(SUM($G645:U645)+$B646-U648+U649-SUM($G647:U647)+IF(U$2=1,0,SUM($F652:T652)))</f>
        <v>0</v>
      </c>
      <c r="V652" s="185">
        <f>-(SUM($G645:V645)+$B646-V648+V649-SUM($G647:V647)+IF(V$2=1,0,SUM($F652:U652)))</f>
        <v>0</v>
      </c>
      <c r="W652" s="185">
        <f>-(SUM($G645:W645)+$B646-W648+W649-SUM($G647:W647)+IF(W$2=1,0,SUM($F652:V652)))</f>
        <v>0</v>
      </c>
      <c r="X652" s="185">
        <f>-(SUM($G645:X645)+$B646-X648+X649-SUM($G647:X647)+IF(X$2=1,0,SUM($F652:W652)))</f>
        <v>0</v>
      </c>
      <c r="Y652" s="185">
        <f>-(SUM($G645:Y645)+$B646-Y648+Y649-SUM($G647:Y647)+IF(Y$2=1,0,SUM($F652:X652)))</f>
        <v>0</v>
      </c>
      <c r="Z652" s="185">
        <f>-(SUM($G645:Z645)+$B646-Z648+Z649-SUM($G647:Z647)+IF(Z$2=1,0,SUM($F652:Y652)))</f>
        <v>0</v>
      </c>
      <c r="AA652" s="185">
        <f>-(SUM($G645:AA645)+$B646-AA648+AA649-SUM($G647:AA647)+IF(AA$2=1,0,SUM($F652:Z652)))</f>
        <v>0</v>
      </c>
      <c r="AB652" s="185">
        <f>-(SUM($G645:AB645)+$B646-AB648+AB649-SUM($G647:AB647)+IF(AB$2=1,0,SUM($F652:AA652)))</f>
        <v>0</v>
      </c>
      <c r="AC652" s="185">
        <f>-(SUM($G645:AC645)+$B646-AC648+AC649-SUM($G647:AC647)+IF(AC$2=1,0,SUM($F652:AB652)))</f>
        <v>0</v>
      </c>
      <c r="AD652" s="185">
        <f>-(SUM($G645:AD645)+$B646-AD648+AD649-SUM($G647:AD647)+IF(AD$2=1,0,SUM($F652:AC652)))</f>
        <v>0</v>
      </c>
      <c r="AE652" s="185">
        <f>-(SUM($G645:AE645)+$B646-AE648+AE649-SUM($G647:AE647)+IF(AE$2=1,0,SUM($F652:AD652)))</f>
        <v>0</v>
      </c>
      <c r="AF652" s="185">
        <f>-(SUM($G645:AF645)+$B646-AF648+AF649-SUM($G647:AF647)+IF(AF$2=1,0,SUM($F652:AE652)))</f>
        <v>0</v>
      </c>
      <c r="AG652" s="185">
        <f>-(SUM($G645:AG645)+$B646-AG648+AG649-SUM($G647:AG647)+IF(AG$2=1,0,SUM($F652:AF652)))</f>
        <v>0</v>
      </c>
      <c r="AH652" s="185">
        <f>-(SUM($G645:AH645)+$B646-AH648+AH649-SUM($G647:AH647)+IF(AH$2=1,0,SUM($F652:AG652)))</f>
        <v>0</v>
      </c>
      <c r="AI652" s="185">
        <f>-(SUM($G645:AI645)+$B646-AI648+AI649-SUM($G647:AI647)+IF(AI$2=1,0,SUM($F652:AH652)))</f>
        <v>0</v>
      </c>
      <c r="AJ652" s="185">
        <f>-(SUM($G645:AJ645)+$B646-AJ648+AJ649-SUM($G647:AJ647)+IF(AJ$2=1,0,SUM($F652:AI652)))</f>
        <v>0</v>
      </c>
      <c r="AK652" s="185">
        <f>-(SUM($G645:AK645)+$B646-AK648+AK649-SUM($G647:AK647)+IF(AK$2=1,0,SUM($F652:AJ652)))</f>
        <v>0</v>
      </c>
      <c r="AL652" s="185">
        <f>-(SUM($G645:AL645)+$B646-AL648+AL649-SUM($G647:AL647)+IF(AL$2=1,0,SUM($F652:AK652)))</f>
        <v>0</v>
      </c>
      <c r="AM652" s="185">
        <f>-(SUM($G645:AM645)+$B646-AM648+AM649-SUM($G647:AM647)+IF(AM$2=1,0,SUM($F652:AL652)))</f>
        <v>0</v>
      </c>
      <c r="AN652" s="185">
        <f>-(SUM($G645:AN645)+$B646-AN648+AN649-SUM($G647:AN647)+IF(AN$2=1,0,SUM($F652:AM652)))</f>
        <v>0</v>
      </c>
      <c r="AO652" s="185">
        <f>-(SUM($G645:AO645)+$B646-AO648+AO649-SUM($G647:AO647)+IF(AO$2=1,0,SUM($F652:AN652)))</f>
        <v>0</v>
      </c>
      <c r="AP652" s="185">
        <f>-(SUM($G645:AP645)+$B646-AP648+AP649-SUM($G647:AP647)+IF(AP$2=1,0,SUM($F652:AO652)))</f>
        <v>0</v>
      </c>
      <c r="AQ652" s="185">
        <f>-(SUM($G645:AQ645)+$B646-AQ648+AQ649-SUM($G647:AQ647)+IF(AQ$2=1,0,SUM($F652:AP652)))</f>
        <v>0</v>
      </c>
      <c r="AR652" s="185">
        <f>-(SUM($G645:AR645)+$B646-AR648+AR649-SUM($G647:AR647)+IF(AR$2=1,0,SUM($F652:AQ652)))</f>
        <v>0</v>
      </c>
      <c r="AS652" s="185">
        <f>-(SUM($G645:AS645)+$B646-AS648+AS649-SUM($G647:AS647)+IF(AS$2=1,0,SUM($F652:AR652)))</f>
        <v>0</v>
      </c>
      <c r="AT652" s="185">
        <f>-(SUM($G645:AT645)+$B646-AT648+AT649-SUM($G647:AT647)+IF(AT$2=1,0,SUM($F652:AS652)))</f>
        <v>0</v>
      </c>
      <c r="AU652" s="185">
        <f>-(SUM($G645:AU645)+$B646-AU648+AU649-SUM($G647:AU647)+IF(AU$2=1,0,SUM($F652:AT652)))</f>
        <v>0</v>
      </c>
      <c r="AV652" s="185">
        <f>-(SUM($G645:AV645)+$B646-AV648+AV649-SUM($G647:AV647)+IF(AV$2=1,0,SUM($F652:AU652)))</f>
        <v>0</v>
      </c>
      <c r="AW652" s="185">
        <f>-(SUM($G645:AW645)+$B646-AW648+AW649-SUM($G647:AW647)+IF(AW$2=1,0,SUM($F652:AV652)))</f>
        <v>0</v>
      </c>
      <c r="AX652" s="185">
        <f>-(SUM($G645:AX645)+$B646-AX648+AX649-SUM($G647:AX647)+IF(AX$2=1,0,SUM($F652:AW652)))</f>
        <v>0</v>
      </c>
      <c r="AY652" s="185">
        <f>-(SUM($G645:AY645)+$B646-AY648+AY649-SUM($G647:AY647)+IF(AY$2=1,0,SUM($F652:AX652)))</f>
        <v>0</v>
      </c>
      <c r="AZ652" s="185">
        <f>-(SUM($G645:AZ645)+$B646-AZ648+AZ649-SUM($G647:AZ647)+IF(AZ$2=1,0,SUM($F652:AY652)))</f>
        <v>0</v>
      </c>
      <c r="BA652" s="185">
        <f>-(SUM($G645:BA645)+$B646-BA648+BA649-SUM($G647:BA647)+IF(BA$2=1,0,SUM($F652:AZ652)))</f>
        <v>0</v>
      </c>
      <c r="BB652" s="185">
        <f>-(SUM($G645:BB645)+$B646-BB648+BB649-SUM($G647:BB647)+IF(BB$2=1,0,SUM($F652:BA652)))</f>
        <v>0</v>
      </c>
      <c r="BC652" s="185"/>
      <c r="BD652" s="193">
        <f>SUM(G652:BC652)</f>
        <v>0</v>
      </c>
    </row>
    <row r="653" spans="1:56" ht="14.4" hidden="1" thickTop="1" x14ac:dyDescent="0.3">
      <c r="A653" s="283" t="str">
        <f ca="1">Language!A$873</f>
        <v>Шаблон здания</v>
      </c>
      <c r="C653" s="176"/>
      <c r="D653" s="174">
        <v>1</v>
      </c>
      <c r="F653" s="170" t="s">
        <v>2293</v>
      </c>
    </row>
    <row r="654" spans="1:56" ht="14.4" hidden="1" thickTop="1" x14ac:dyDescent="0.3">
      <c r="A654" s="175" t="str">
        <f ca="1">Language!A$874</f>
        <v>график оплаты, без НДС</v>
      </c>
      <c r="B654" s="199">
        <f>BD654</f>
        <v>0</v>
      </c>
      <c r="C654" s="176" t="str">
        <f t="shared" ref="C654:C656" ca="1" si="2723">CHOOSE(D654,CurName1,CurName2,CurName3)</f>
        <v>руб.</v>
      </c>
      <c r="D654" s="174">
        <f>D653</f>
        <v>1</v>
      </c>
      <c r="F654" s="170" t="s">
        <v>742</v>
      </c>
      <c r="G654" s="297">
        <v>0</v>
      </c>
      <c r="H654" s="297">
        <v>0</v>
      </c>
      <c r="I654" s="297">
        <v>0</v>
      </c>
      <c r="J654" s="297">
        <v>0</v>
      </c>
      <c r="K654" s="297">
        <v>0</v>
      </c>
      <c r="L654" s="297">
        <v>0</v>
      </c>
      <c r="M654" s="297">
        <v>0</v>
      </c>
      <c r="N654" s="297">
        <v>0</v>
      </c>
      <c r="O654" s="297">
        <v>0</v>
      </c>
      <c r="P654" s="297">
        <v>0</v>
      </c>
      <c r="Q654" s="297">
        <v>0</v>
      </c>
      <c r="R654" s="297">
        <v>0</v>
      </c>
      <c r="S654" s="297">
        <v>0</v>
      </c>
      <c r="T654" s="297">
        <v>0</v>
      </c>
      <c r="U654" s="297">
        <v>0</v>
      </c>
      <c r="V654" s="297">
        <v>0</v>
      </c>
      <c r="W654" s="297">
        <v>0</v>
      </c>
      <c r="X654" s="297">
        <v>0</v>
      </c>
      <c r="Y654" s="297">
        <v>0</v>
      </c>
      <c r="Z654" s="297">
        <v>0</v>
      </c>
      <c r="AA654" s="297">
        <v>0</v>
      </c>
      <c r="AB654" s="297">
        <v>0</v>
      </c>
      <c r="AC654" s="297">
        <v>0</v>
      </c>
      <c r="AD654" s="297">
        <v>0</v>
      </c>
      <c r="AE654" s="297">
        <v>0</v>
      </c>
      <c r="AF654" s="297">
        <v>0</v>
      </c>
      <c r="AG654" s="297">
        <v>0</v>
      </c>
      <c r="AH654" s="297">
        <v>0</v>
      </c>
      <c r="AI654" s="297">
        <v>0</v>
      </c>
      <c r="AJ654" s="297">
        <v>0</v>
      </c>
      <c r="AK654" s="297">
        <v>0</v>
      </c>
      <c r="AL654" s="297">
        <v>0</v>
      </c>
      <c r="AM654" s="297">
        <v>0</v>
      </c>
      <c r="AN654" s="297">
        <v>0</v>
      </c>
      <c r="AO654" s="297">
        <v>0</v>
      </c>
      <c r="AP654" s="297">
        <v>0</v>
      </c>
      <c r="AQ654" s="297">
        <v>0</v>
      </c>
      <c r="AR654" s="297">
        <v>0</v>
      </c>
      <c r="AS654" s="297">
        <v>0</v>
      </c>
      <c r="AT654" s="297">
        <v>0</v>
      </c>
      <c r="AU654" s="297">
        <v>0</v>
      </c>
      <c r="AV654" s="297">
        <v>0</v>
      </c>
      <c r="AW654" s="297">
        <v>0</v>
      </c>
      <c r="AX654" s="297">
        <v>0</v>
      </c>
      <c r="AY654" s="297">
        <v>0</v>
      </c>
      <c r="AZ654" s="297">
        <v>0</v>
      </c>
      <c r="BA654" s="297">
        <v>0</v>
      </c>
      <c r="BB654" s="297">
        <v>0</v>
      </c>
      <c r="BC654" s="177"/>
      <c r="BD654" s="178">
        <f>SUM(G654:BC654)</f>
        <v>0</v>
      </c>
    </row>
    <row r="655" spans="1:56" ht="14.4" hidden="1" thickTop="1" x14ac:dyDescent="0.3">
      <c r="A655" s="175" t="str">
        <f ca="1">Language!A$875</f>
        <v>ранее осуществленные инвестиции, без НДС</v>
      </c>
      <c r="B655" s="295">
        <v>0</v>
      </c>
      <c r="C655" s="176" t="str">
        <f t="shared" ca="1" si="2723"/>
        <v>руб.</v>
      </c>
      <c r="D655" s="174">
        <f>D653</f>
        <v>1</v>
      </c>
      <c r="F655" s="170" t="s">
        <v>644</v>
      </c>
    </row>
    <row r="656" spans="1:56" ht="14.4" hidden="1" thickTop="1" x14ac:dyDescent="0.3">
      <c r="A656" s="175" t="str">
        <f ca="1">Language!A$876</f>
        <v>график ввода в эксплуатацию, без НДС</v>
      </c>
      <c r="B656" s="176"/>
      <c r="C656" s="176" t="str">
        <f t="shared" ca="1" si="2723"/>
        <v>руб.</v>
      </c>
      <c r="D656" s="174">
        <f>D653</f>
        <v>1</v>
      </c>
      <c r="F656" s="170" t="s">
        <v>743</v>
      </c>
      <c r="G656" s="297">
        <f>IF(G$2&gt;=ROUNDUP(Параметры!$B$18,0)+1,MAX(0,$BD654+$B655-SUM($F656:F656)),0)</f>
        <v>0</v>
      </c>
      <c r="H656" s="297">
        <f>IF(H$2&gt;=ROUNDUP(Параметры!$B$18,0)+1,MAX(0,$BD654+$B655-SUM($F656:G656)),0)</f>
        <v>0</v>
      </c>
      <c r="I656" s="297">
        <f>IF(I$2&gt;=ROUNDUP(Параметры!$B$18,0)+1,MAX(0,$BD654+$B655-SUM($F656:H656)),0)</f>
        <v>0</v>
      </c>
      <c r="J656" s="297">
        <f>IF(J$2&gt;=ROUNDUP(Параметры!$B$18,0)+1,MAX(0,$BD654+$B655-SUM($F656:I656)),0)</f>
        <v>0</v>
      </c>
      <c r="K656" s="297">
        <f>IF(K$2&gt;=ROUNDUP(Параметры!$B$18,0)+1,MAX(0,$BD654+$B655-SUM($F656:J656)),0)</f>
        <v>0</v>
      </c>
      <c r="L656" s="297">
        <f>IF(L$2&gt;=ROUNDUP(Параметры!$B$18,0)+1,MAX(0,$BD654+$B655-SUM($F656:K656)),0)</f>
        <v>0</v>
      </c>
      <c r="M656" s="297">
        <f>IF(M$2&gt;=ROUNDUP(Параметры!$B$18,0)+1,MAX(0,$BD654+$B655-SUM($F656:L656)),0)</f>
        <v>0</v>
      </c>
      <c r="N656" s="297">
        <f>IF(N$2&gt;=ROUNDUP(Параметры!$B$18,0)+1,MAX(0,$BD654+$B655-SUM($F656:M656)),0)</f>
        <v>0</v>
      </c>
      <c r="O656" s="297">
        <f>IF(O$2&gt;=ROUNDUP(Параметры!$B$18,0)+1,MAX(0,$BD654+$B655-SUM($F656:N656)),0)</f>
        <v>0</v>
      </c>
      <c r="P656" s="297">
        <f>IF(P$2&gt;=ROUNDUP(Параметры!$B$18,0)+1,MAX(0,$BD654+$B655-SUM($F656:O656)),0)</f>
        <v>0</v>
      </c>
      <c r="Q656" s="297">
        <f>IF(Q$2&gt;=ROUNDUP(Параметры!$B$18,0)+1,MAX(0,$BD654+$B655-SUM($F656:P656)),0)</f>
        <v>0</v>
      </c>
      <c r="R656" s="297">
        <f>IF(R$2&gt;=ROUNDUP(Параметры!$B$18,0)+1,MAX(0,$BD654+$B655-SUM($F656:Q656)),0)</f>
        <v>0</v>
      </c>
      <c r="S656" s="297">
        <f>IF(S$2&gt;=ROUNDUP(Параметры!$B$18,0)+1,MAX(0,$BD654+$B655-SUM($F656:R656)),0)</f>
        <v>0</v>
      </c>
      <c r="T656" s="297">
        <f>IF(T$2&gt;=ROUNDUP(Параметры!$B$18,0)+1,MAX(0,$BD654+$B655-SUM($F656:S656)),0)</f>
        <v>0</v>
      </c>
      <c r="U656" s="297">
        <f>IF(U$2&gt;=ROUNDUP(Параметры!$B$18,0)+1,MAX(0,$BD654+$B655-SUM($F656:T656)),0)</f>
        <v>0</v>
      </c>
      <c r="V656" s="297">
        <f>IF(V$2&gt;=ROUNDUP(Параметры!$B$18,0)+1,MAX(0,$BD654+$B655-SUM($F656:U656)),0)</f>
        <v>0</v>
      </c>
      <c r="W656" s="297">
        <f>IF(W$2&gt;=ROUNDUP(Параметры!$B$18,0)+1,MAX(0,$BD654+$B655-SUM($F656:V656)),0)</f>
        <v>0</v>
      </c>
      <c r="X656" s="297">
        <f>IF(X$2&gt;=ROUNDUP(Параметры!$B$18,0)+1,MAX(0,$BD654+$B655-SUM($F656:W656)),0)</f>
        <v>0</v>
      </c>
      <c r="Y656" s="297">
        <f>IF(Y$2&gt;=ROUNDUP(Параметры!$B$18,0)+1,MAX(0,$BD654+$B655-SUM($F656:X656)),0)</f>
        <v>0</v>
      </c>
      <c r="Z656" s="297">
        <f>IF(Z$2&gt;=ROUNDUP(Параметры!$B$18,0)+1,MAX(0,$BD654+$B655-SUM($F656:Y656)),0)</f>
        <v>0</v>
      </c>
      <c r="AA656" s="297">
        <f>IF(AA$2&gt;=ROUNDUP(Параметры!$B$18,0)+1,MAX(0,$BD654+$B655-SUM($F656:Z656)),0)</f>
        <v>0</v>
      </c>
      <c r="AB656" s="297">
        <f>IF(AB$2&gt;=ROUNDUP(Параметры!$B$18,0)+1,MAX(0,$BD654+$B655-SUM($F656:AA656)),0)</f>
        <v>0</v>
      </c>
      <c r="AC656" s="297">
        <f>IF(AC$2&gt;=ROUNDUP(Параметры!$B$18,0)+1,MAX(0,$BD654+$B655-SUM($F656:AB656)),0)</f>
        <v>0</v>
      </c>
      <c r="AD656" s="297">
        <f>IF(AD$2&gt;=ROUNDUP(Параметры!$B$18,0)+1,MAX(0,$BD654+$B655-SUM($F656:AC656)),0)</f>
        <v>0</v>
      </c>
      <c r="AE656" s="297">
        <f>IF(AE$2&gt;=ROUNDUP(Параметры!$B$18,0)+1,MAX(0,$BD654+$B655-SUM($F656:AD656)),0)</f>
        <v>0</v>
      </c>
      <c r="AF656" s="297">
        <f>IF(AF$2&gt;=ROUNDUP(Параметры!$B$18,0)+1,MAX(0,$BD654+$B655-SUM($F656:AE656)),0)</f>
        <v>0</v>
      </c>
      <c r="AG656" s="297">
        <f>IF(AG$2&gt;=ROUNDUP(Параметры!$B$18,0)+1,MAX(0,$BD654+$B655-SUM($F656:AF656)),0)</f>
        <v>0</v>
      </c>
      <c r="AH656" s="297">
        <f>IF(AH$2&gt;=ROUNDUP(Параметры!$B$18,0)+1,MAX(0,$BD654+$B655-SUM($F656:AG656)),0)</f>
        <v>0</v>
      </c>
      <c r="AI656" s="297">
        <f>IF(AI$2&gt;=ROUNDUP(Параметры!$B$18,0)+1,MAX(0,$BD654+$B655-SUM($F656:AH656)),0)</f>
        <v>0</v>
      </c>
      <c r="AJ656" s="297">
        <f>IF(AJ$2&gt;=ROUNDUP(Параметры!$B$18,0)+1,MAX(0,$BD654+$B655-SUM($F656:AI656)),0)</f>
        <v>0</v>
      </c>
      <c r="AK656" s="297">
        <f>IF(AK$2&gt;=ROUNDUP(Параметры!$B$18,0)+1,MAX(0,$BD654+$B655-SUM($F656:AJ656)),0)</f>
        <v>0</v>
      </c>
      <c r="AL656" s="297">
        <f>IF(AL$2&gt;=ROUNDUP(Параметры!$B$18,0)+1,MAX(0,$BD654+$B655-SUM($F656:AK656)),0)</f>
        <v>0</v>
      </c>
      <c r="AM656" s="297">
        <f>IF(AM$2&gt;=ROUNDUP(Параметры!$B$18,0)+1,MAX(0,$BD654+$B655-SUM($F656:AL656)),0)</f>
        <v>0</v>
      </c>
      <c r="AN656" s="297">
        <f>IF(AN$2&gt;=ROUNDUP(Параметры!$B$18,0)+1,MAX(0,$BD654+$B655-SUM($F656:AM656)),0)</f>
        <v>0</v>
      </c>
      <c r="AO656" s="297">
        <f>IF(AO$2&gt;=ROUNDUP(Параметры!$B$18,0)+1,MAX(0,$BD654+$B655-SUM($F656:AN656)),0)</f>
        <v>0</v>
      </c>
      <c r="AP656" s="297">
        <f>IF(AP$2&gt;=ROUNDUP(Параметры!$B$18,0)+1,MAX(0,$BD654+$B655-SUM($F656:AO656)),0)</f>
        <v>0</v>
      </c>
      <c r="AQ656" s="297">
        <f>IF(AQ$2&gt;=ROUNDUP(Параметры!$B$18,0)+1,MAX(0,$BD654+$B655-SUM($F656:AP656)),0)</f>
        <v>0</v>
      </c>
      <c r="AR656" s="297">
        <f>IF(AR$2&gt;=ROUNDUP(Параметры!$B$18,0)+1,MAX(0,$BD654+$B655-SUM($F656:AQ656)),0)</f>
        <v>0</v>
      </c>
      <c r="AS656" s="297">
        <f>IF(AS$2&gt;=ROUNDUP(Параметры!$B$18,0)+1,MAX(0,$BD654+$B655-SUM($F656:AR656)),0)</f>
        <v>0</v>
      </c>
      <c r="AT656" s="297">
        <f>IF(AT$2&gt;=ROUNDUP(Параметры!$B$18,0)+1,MAX(0,$BD654+$B655-SUM($F656:AS656)),0)</f>
        <v>0</v>
      </c>
      <c r="AU656" s="297">
        <f>IF(AU$2&gt;=ROUNDUP(Параметры!$B$18,0)+1,MAX(0,$BD654+$B655-SUM($F656:AT656)),0)</f>
        <v>0</v>
      </c>
      <c r="AV656" s="297">
        <f>IF(AV$2&gt;=ROUNDUP(Параметры!$B$18,0)+1,MAX(0,$BD654+$B655-SUM($F656:AU656)),0)</f>
        <v>0</v>
      </c>
      <c r="AW656" s="297">
        <f>IF(AW$2&gt;=ROUNDUP(Параметры!$B$18,0)+1,MAX(0,$BD654+$B655-SUM($F656:AV656)),0)</f>
        <v>0</v>
      </c>
      <c r="AX656" s="297">
        <f>IF(AX$2&gt;=ROUNDUP(Параметры!$B$18,0)+1,MAX(0,$BD654+$B655-SUM($F656:AW656)),0)</f>
        <v>0</v>
      </c>
      <c r="AY656" s="297">
        <f>IF(AY$2&gt;=ROUNDUP(Параметры!$B$18,0)+1,MAX(0,$BD654+$B655-SUM($F656:AX656)),0)</f>
        <v>0</v>
      </c>
      <c r="AZ656" s="297">
        <f>IF(AZ$2&gt;=ROUNDUP(Параметры!$B$18,0)+1,MAX(0,$BD654+$B655-SUM($F656:AY656)),0)</f>
        <v>0</v>
      </c>
      <c r="BA656" s="297">
        <f>IF(BA$2&gt;=ROUNDUP(Параметры!$B$18,0)+1,MAX(0,$BD654+$B655-SUM($F656:AZ656)),0)</f>
        <v>0</v>
      </c>
      <c r="BB656" s="297">
        <f>IF(BB$2&gt;=ROUNDUP(Параметры!$B$18,0)+1,MAX(0,$BD654+$B655-SUM($F656:BA656)),0)</f>
        <v>0</v>
      </c>
      <c r="BC656" s="177"/>
      <c r="BD656" s="178">
        <f>SUM(G656:BC656)</f>
        <v>0</v>
      </c>
    </row>
    <row r="657" spans="1:56" ht="14.4" hidden="1" thickTop="1" x14ac:dyDescent="0.3">
      <c r="A657" s="175" t="str">
        <f ca="1">Language!A$877</f>
        <v xml:space="preserve">срок полезного использования </v>
      </c>
      <c r="B657" s="295">
        <v>30</v>
      </c>
      <c r="C657" s="176" t="str">
        <f ca="1">Language!A$48</f>
        <v>лет</v>
      </c>
      <c r="D657" s="174">
        <v>1</v>
      </c>
      <c r="F657" s="170" t="s">
        <v>644</v>
      </c>
      <c r="G657" s="177"/>
      <c r="H657" s="177"/>
      <c r="I657" s="177"/>
      <c r="J657" s="177"/>
      <c r="K657" s="177"/>
      <c r="L657" s="177"/>
      <c r="M657" s="177"/>
      <c r="N657" s="177"/>
      <c r="O657" s="177"/>
      <c r="P657" s="177"/>
      <c r="Q657" s="177"/>
      <c r="R657" s="177"/>
      <c r="S657" s="177"/>
      <c r="T657" s="177"/>
      <c r="U657" s="177"/>
      <c r="V657" s="177"/>
      <c r="W657" s="177"/>
      <c r="X657" s="177"/>
      <c r="Y657" s="177"/>
      <c r="Z657" s="177"/>
      <c r="AA657" s="177"/>
      <c r="AB657" s="177"/>
      <c r="AC657" s="177"/>
      <c r="AD657" s="177"/>
      <c r="AE657" s="177"/>
      <c r="AF657" s="177"/>
      <c r="AG657" s="177"/>
      <c r="AH657" s="177"/>
      <c r="AI657" s="177"/>
      <c r="AJ657" s="177"/>
      <c r="AK657" s="177"/>
      <c r="AL657" s="177"/>
      <c r="AM657" s="177"/>
      <c r="AN657" s="177"/>
      <c r="AO657" s="177"/>
      <c r="AP657" s="177"/>
      <c r="AQ657" s="177"/>
      <c r="AR657" s="177"/>
      <c r="AS657" s="177"/>
      <c r="AT657" s="177"/>
      <c r="AU657" s="177"/>
      <c r="AV657" s="177"/>
      <c r="AW657" s="177"/>
      <c r="AX657" s="177"/>
      <c r="AY657" s="177"/>
      <c r="AZ657" s="177"/>
      <c r="BA657" s="177"/>
      <c r="BB657" s="177"/>
      <c r="BC657" s="177"/>
      <c r="BD657" s="178"/>
    </row>
    <row r="658" spans="1:56" s="170" customFormat="1" ht="14.4" hidden="1" thickTop="1" x14ac:dyDescent="0.3">
      <c r="A658" s="184" t="str">
        <f ca="1">Language!A$878</f>
        <v>амортизационная премия для налоговой амортизации</v>
      </c>
      <c r="B658" s="298">
        <v>0</v>
      </c>
      <c r="C658" s="163" t="s">
        <v>1</v>
      </c>
      <c r="D658" s="174">
        <v>1</v>
      </c>
      <c r="F658" s="170" t="s">
        <v>2343</v>
      </c>
      <c r="G658" s="185"/>
      <c r="H658" s="185"/>
      <c r="I658" s="185"/>
      <c r="J658" s="185"/>
      <c r="K658" s="185"/>
      <c r="L658" s="185"/>
      <c r="M658" s="185"/>
      <c r="N658" s="185"/>
      <c r="O658" s="185"/>
      <c r="P658" s="185"/>
      <c r="Q658" s="185"/>
      <c r="R658" s="185"/>
      <c r="S658" s="185"/>
      <c r="T658" s="185"/>
      <c r="U658" s="185"/>
      <c r="V658" s="185"/>
      <c r="W658" s="185"/>
      <c r="X658" s="185"/>
      <c r="Y658" s="185"/>
      <c r="Z658" s="185"/>
      <c r="AA658" s="185"/>
      <c r="AB658" s="185"/>
      <c r="AC658" s="185"/>
      <c r="AD658" s="185"/>
      <c r="AE658" s="185"/>
      <c r="AF658" s="185"/>
      <c r="AG658" s="185"/>
      <c r="AH658" s="185"/>
      <c r="AI658" s="185"/>
      <c r="AJ658" s="185"/>
      <c r="AK658" s="185"/>
      <c r="AL658" s="185"/>
      <c r="AM658" s="185"/>
      <c r="AN658" s="185"/>
      <c r="AO658" s="185"/>
      <c r="AP658" s="185"/>
      <c r="AQ658" s="185"/>
      <c r="AR658" s="185"/>
      <c r="AS658" s="185"/>
      <c r="AT658" s="185"/>
      <c r="AU658" s="185"/>
      <c r="AV658" s="185"/>
      <c r="AW658" s="185"/>
      <c r="AX658" s="185"/>
      <c r="AY658" s="185"/>
      <c r="AZ658" s="185"/>
      <c r="BA658" s="185"/>
      <c r="BB658" s="185"/>
      <c r="BC658" s="185"/>
      <c r="BD658" s="193"/>
    </row>
    <row r="659" spans="1:56" s="170" customFormat="1" ht="14.4" hidden="1" thickTop="1" x14ac:dyDescent="0.3">
      <c r="A659" s="184" t="str">
        <f ca="1">Language!A$879</f>
        <v>ставка НДС</v>
      </c>
      <c r="B659" s="203"/>
      <c r="C659" s="163" t="s">
        <v>1</v>
      </c>
      <c r="D659" s="174">
        <v>1</v>
      </c>
      <c r="F659" s="170" t="s">
        <v>2344</v>
      </c>
      <c r="G659" s="290">
        <f>IF(G$2=1,Параметры!G$72,IF(F659=Параметры!F$72,Параметры!F$72,F659))</f>
        <v>0</v>
      </c>
      <c r="H659" s="290">
        <f>IF(H$2=1,Параметры!H$72,IF(G659=Параметры!G$72,Параметры!G$72,G659))</f>
        <v>0</v>
      </c>
      <c r="I659" s="290">
        <f>IF(I$2=1,Параметры!I$72,IF(H659=Параметры!H$72,Параметры!H$72,H659))</f>
        <v>0</v>
      </c>
      <c r="J659" s="290">
        <f>IF(J$2=1,Параметры!J$72,IF(I659=Параметры!I$72,Параметры!I$72,I659))</f>
        <v>0</v>
      </c>
      <c r="K659" s="290">
        <f>IF(K$2=1,Параметры!K$72,IF(J659=Параметры!J$72,Параметры!J$72,J659))</f>
        <v>0</v>
      </c>
      <c r="L659" s="290">
        <f>IF(L$2=1,Параметры!L$72,IF(K659=Параметры!K$72,Параметры!K$72,K659))</f>
        <v>0</v>
      </c>
      <c r="M659" s="290">
        <f>IF(M$2=1,Параметры!M$72,IF(L659=Параметры!L$72,Параметры!L$72,L659))</f>
        <v>0</v>
      </c>
      <c r="N659" s="290">
        <f>IF(N$2=1,Параметры!N$72,IF(M659=Параметры!M$72,Параметры!M$72,M659))</f>
        <v>0</v>
      </c>
      <c r="O659" s="290">
        <f>IF(O$2=1,Параметры!O$72,IF(N659=Параметры!N$72,Параметры!N$72,N659))</f>
        <v>0</v>
      </c>
      <c r="P659" s="290">
        <f>IF(P$2=1,Параметры!P$72,IF(O659=Параметры!O$72,Параметры!O$72,O659))</f>
        <v>0</v>
      </c>
      <c r="Q659" s="290">
        <f>IF(Q$2=1,Параметры!Q$72,IF(P659=Параметры!P$72,Параметры!P$72,P659))</f>
        <v>0</v>
      </c>
      <c r="R659" s="290">
        <f>IF(R$2=1,Параметры!R$72,IF(Q659=Параметры!Q$72,Параметры!Q$72,Q659))</f>
        <v>0</v>
      </c>
      <c r="S659" s="290">
        <f>IF(S$2=1,Параметры!S$72,IF(R659=Параметры!R$72,Параметры!R$72,R659))</f>
        <v>0</v>
      </c>
      <c r="T659" s="290">
        <f>IF(T$2=1,Параметры!T$72,IF(S659=Параметры!S$72,Параметры!S$72,S659))</f>
        <v>0</v>
      </c>
      <c r="U659" s="290">
        <f>IF(U$2=1,Параметры!U$72,IF(T659=Параметры!T$72,Параметры!T$72,T659))</f>
        <v>0</v>
      </c>
      <c r="V659" s="290">
        <f>IF(V$2=1,Параметры!V$72,IF(U659=Параметры!U$72,Параметры!U$72,U659))</f>
        <v>0</v>
      </c>
      <c r="W659" s="290">
        <f>IF(W$2=1,Параметры!W$72,IF(V659=Параметры!V$72,Параметры!V$72,V659))</f>
        <v>0</v>
      </c>
      <c r="X659" s="290">
        <f>IF(X$2=1,Параметры!X$72,IF(W659=Параметры!W$72,Параметры!W$72,W659))</f>
        <v>0</v>
      </c>
      <c r="Y659" s="290">
        <f>IF(Y$2=1,Параметры!Y$72,IF(X659=Параметры!X$72,Параметры!X$72,X659))</f>
        <v>0</v>
      </c>
      <c r="Z659" s="290">
        <f>IF(Z$2=1,Параметры!Z$72,IF(Y659=Параметры!Y$72,Параметры!Y$72,Y659))</f>
        <v>0</v>
      </c>
      <c r="AA659" s="290">
        <f>IF(AA$2=1,Параметры!AA$72,IF(Z659=Параметры!Z$72,Параметры!Z$72,Z659))</f>
        <v>0</v>
      </c>
      <c r="AB659" s="290">
        <f>IF(AB$2=1,Параметры!AB$72,IF(AA659=Параметры!AA$72,Параметры!AA$72,AA659))</f>
        <v>0</v>
      </c>
      <c r="AC659" s="290">
        <f>IF(AC$2=1,Параметры!AC$72,IF(AB659=Параметры!AB$72,Параметры!AB$72,AB659))</f>
        <v>0</v>
      </c>
      <c r="AD659" s="290">
        <f>IF(AD$2=1,Параметры!AD$72,IF(AC659=Параметры!AC$72,Параметры!AC$72,AC659))</f>
        <v>0</v>
      </c>
      <c r="AE659" s="290">
        <f>IF(AE$2=1,Параметры!AE$72,IF(AD659=Параметры!AD$72,Параметры!AD$72,AD659))</f>
        <v>0</v>
      </c>
      <c r="AF659" s="290">
        <f>IF(AF$2=1,Параметры!AF$72,IF(AE659=Параметры!AE$72,Параметры!AE$72,AE659))</f>
        <v>0</v>
      </c>
      <c r="AG659" s="290">
        <f>IF(AG$2=1,Параметры!AG$72,IF(AF659=Параметры!AF$72,Параметры!AF$72,AF659))</f>
        <v>0</v>
      </c>
      <c r="AH659" s="290">
        <f>IF(AH$2=1,Параметры!AH$72,IF(AG659=Параметры!AG$72,Параметры!AG$72,AG659))</f>
        <v>0</v>
      </c>
      <c r="AI659" s="290">
        <f>IF(AI$2=1,Параметры!AI$72,IF(AH659=Параметры!AH$72,Параметры!AH$72,AH659))</f>
        <v>0</v>
      </c>
      <c r="AJ659" s="290">
        <f>IF(AJ$2=1,Параметры!AJ$72,IF(AI659=Параметры!AI$72,Параметры!AI$72,AI659))</f>
        <v>0</v>
      </c>
      <c r="AK659" s="290">
        <f>IF(AK$2=1,Параметры!AK$72,IF(AJ659=Параметры!AJ$72,Параметры!AJ$72,AJ659))</f>
        <v>0</v>
      </c>
      <c r="AL659" s="290">
        <f>IF(AL$2=1,Параметры!AL$72,IF(AK659=Параметры!AK$72,Параметры!AK$72,AK659))</f>
        <v>0</v>
      </c>
      <c r="AM659" s="290">
        <f>IF(AM$2=1,Параметры!AM$72,IF(AL659=Параметры!AL$72,Параметры!AL$72,AL659))</f>
        <v>0</v>
      </c>
      <c r="AN659" s="290">
        <f>IF(AN$2=1,Параметры!AN$72,IF(AM659=Параметры!AM$72,Параметры!AM$72,AM659))</f>
        <v>0</v>
      </c>
      <c r="AO659" s="290">
        <f>IF(AO$2=1,Параметры!AO$72,IF(AN659=Параметры!AN$72,Параметры!AN$72,AN659))</f>
        <v>0</v>
      </c>
      <c r="AP659" s="290">
        <f>IF(AP$2=1,Параметры!AP$72,IF(AO659=Параметры!AO$72,Параметры!AO$72,AO659))</f>
        <v>0</v>
      </c>
      <c r="AQ659" s="290">
        <f>IF(AQ$2=1,Параметры!AQ$72,IF(AP659=Параметры!AP$72,Параметры!AP$72,AP659))</f>
        <v>0</v>
      </c>
      <c r="AR659" s="290">
        <f>IF(AR$2=1,Параметры!AR$72,IF(AQ659=Параметры!AQ$72,Параметры!AQ$72,AQ659))</f>
        <v>0</v>
      </c>
      <c r="AS659" s="290">
        <f>IF(AS$2=1,Параметры!AS$72,IF(AR659=Параметры!AR$72,Параметры!AR$72,AR659))</f>
        <v>0</v>
      </c>
      <c r="AT659" s="290">
        <f>IF(AT$2=1,Параметры!AT$72,IF(AS659=Параметры!AS$72,Параметры!AS$72,AS659))</f>
        <v>0</v>
      </c>
      <c r="AU659" s="290">
        <f>IF(AU$2=1,Параметры!AU$72,IF(AT659=Параметры!AT$72,Параметры!AT$72,AT659))</f>
        <v>0</v>
      </c>
      <c r="AV659" s="290">
        <f>IF(AV$2=1,Параметры!AV$72,IF(AU659=Параметры!AU$72,Параметры!AU$72,AU659))</f>
        <v>0</v>
      </c>
      <c r="AW659" s="290">
        <f>IF(AW$2=1,Параметры!AW$72,IF(AV659=Параметры!AV$72,Параметры!AV$72,AV659))</f>
        <v>0</v>
      </c>
      <c r="AX659" s="290">
        <f>IF(AX$2=1,Параметры!AX$72,IF(AW659=Параметры!AW$72,Параметры!AW$72,AW659))</f>
        <v>0</v>
      </c>
      <c r="AY659" s="290">
        <f>IF(AY$2=1,Параметры!AY$72,IF(AX659=Параметры!AX$72,Параметры!AX$72,AX659))</f>
        <v>0</v>
      </c>
      <c r="AZ659" s="290">
        <f>IF(AZ$2=1,Параметры!AZ$72,IF(AY659=Параметры!AY$72,Параметры!AY$72,AY659))</f>
        <v>0</v>
      </c>
      <c r="BA659" s="290">
        <f>IF(BA$2=1,Параметры!BA$72,IF(AZ659=Параметры!AZ$72,Параметры!AZ$72,AZ659))</f>
        <v>0</v>
      </c>
      <c r="BB659" s="290">
        <f>IF(BB$2=1,Параметры!BB$72,IF(BA659=Параметры!BA$72,Параметры!BA$72,BA659))</f>
        <v>0</v>
      </c>
      <c r="BC659" s="190"/>
      <c r="BD659" s="186"/>
    </row>
    <row r="660" spans="1:56" ht="14.4" hidden="1" thickTop="1" x14ac:dyDescent="0.3">
      <c r="A660" s="184" t="str">
        <f ca="1">Language!A$880</f>
        <v>выручка от продажи актива, без НДС</v>
      </c>
      <c r="B660" s="217"/>
      <c r="C660" s="163" t="str">
        <f ca="1">CHOOSE(D660,CurName1,CurName2,CurName3)</f>
        <v>руб.</v>
      </c>
      <c r="D660" s="174">
        <v>1</v>
      </c>
      <c r="E660" s="170" t="s">
        <v>755</v>
      </c>
      <c r="F660" s="170" t="s">
        <v>2348</v>
      </c>
      <c r="G660" s="287">
        <v>0</v>
      </c>
      <c r="H660" s="287">
        <v>0</v>
      </c>
      <c r="I660" s="287">
        <v>0</v>
      </c>
      <c r="J660" s="287">
        <v>0</v>
      </c>
      <c r="K660" s="287">
        <v>0</v>
      </c>
      <c r="L660" s="287">
        <v>0</v>
      </c>
      <c r="M660" s="287">
        <v>0</v>
      </c>
      <c r="N660" s="287">
        <v>0</v>
      </c>
      <c r="O660" s="287">
        <v>0</v>
      </c>
      <c r="P660" s="287">
        <v>0</v>
      </c>
      <c r="Q660" s="287">
        <v>0</v>
      </c>
      <c r="R660" s="287">
        <v>0</v>
      </c>
      <c r="S660" s="287">
        <v>0</v>
      </c>
      <c r="T660" s="287">
        <v>0</v>
      </c>
      <c r="U660" s="287">
        <v>0</v>
      </c>
      <c r="V660" s="287">
        <v>0</v>
      </c>
      <c r="W660" s="287">
        <v>0</v>
      </c>
      <c r="X660" s="287">
        <v>0</v>
      </c>
      <c r="Y660" s="287">
        <v>0</v>
      </c>
      <c r="Z660" s="287">
        <v>0</v>
      </c>
      <c r="AA660" s="287">
        <v>0</v>
      </c>
      <c r="AB660" s="287">
        <v>0</v>
      </c>
      <c r="AC660" s="287">
        <v>0</v>
      </c>
      <c r="AD660" s="287">
        <v>0</v>
      </c>
      <c r="AE660" s="287">
        <v>0</v>
      </c>
      <c r="AF660" s="287">
        <v>0</v>
      </c>
      <c r="AG660" s="287">
        <v>0</v>
      </c>
      <c r="AH660" s="287">
        <v>0</v>
      </c>
      <c r="AI660" s="287">
        <v>0</v>
      </c>
      <c r="AJ660" s="287">
        <v>0</v>
      </c>
      <c r="AK660" s="287">
        <v>0</v>
      </c>
      <c r="AL660" s="287">
        <v>0</v>
      </c>
      <c r="AM660" s="287">
        <v>0</v>
      </c>
      <c r="AN660" s="287">
        <v>0</v>
      </c>
      <c r="AO660" s="287">
        <v>0</v>
      </c>
      <c r="AP660" s="287">
        <v>0</v>
      </c>
      <c r="AQ660" s="287">
        <v>0</v>
      </c>
      <c r="AR660" s="287">
        <v>0</v>
      </c>
      <c r="AS660" s="287">
        <v>0</v>
      </c>
      <c r="AT660" s="287">
        <v>0</v>
      </c>
      <c r="AU660" s="287">
        <v>0</v>
      </c>
      <c r="AV660" s="287">
        <v>0</v>
      </c>
      <c r="AW660" s="287">
        <v>0</v>
      </c>
      <c r="AX660" s="287">
        <v>0</v>
      </c>
      <c r="AY660" s="287">
        <v>0</v>
      </c>
      <c r="AZ660" s="287">
        <v>0</v>
      </c>
      <c r="BA660" s="287">
        <v>0</v>
      </c>
      <c r="BB660" s="287">
        <v>0</v>
      </c>
      <c r="BC660" s="177"/>
      <c r="BD660" s="178">
        <f>SUM(G660:BC660)</f>
        <v>0</v>
      </c>
    </row>
    <row r="661" spans="1:56" ht="14.4" hidden="1" thickTop="1" x14ac:dyDescent="0.3">
      <c r="A661" s="184" t="str">
        <f ca="1">Language!A$881</f>
        <v>суммы в осн. валюте: график оплаты, без НДС</v>
      </c>
      <c r="B661" s="163"/>
      <c r="C661" s="163" t="str">
        <f t="shared" ref="C661:C678" ca="1" si="2724">CHOOSE(D661,CurName1,CurName2,CurName3)</f>
        <v>руб.</v>
      </c>
      <c r="D661" s="174">
        <v>1</v>
      </c>
      <c r="E661" s="170" t="s">
        <v>751</v>
      </c>
      <c r="F661" s="170" t="s">
        <v>743</v>
      </c>
      <c r="G661" s="185">
        <f>G654*CHOOSE($D654,1,Параметры!G$53,Параметры!G$59)</f>
        <v>0</v>
      </c>
      <c r="H661" s="185">
        <f>H654*CHOOSE($D654,1,Параметры!H$53,Параметры!H$59)</f>
        <v>0</v>
      </c>
      <c r="I661" s="185">
        <f>I654*CHOOSE($D654,1,Параметры!I$53,Параметры!I$59)</f>
        <v>0</v>
      </c>
      <c r="J661" s="185">
        <f>J654*CHOOSE($D654,1,Параметры!J$53,Параметры!J$59)</f>
        <v>0</v>
      </c>
      <c r="K661" s="185">
        <f>K654*CHOOSE($D654,1,Параметры!K$53,Параметры!K$59)</f>
        <v>0</v>
      </c>
      <c r="L661" s="185">
        <f>L654*CHOOSE($D654,1,Параметры!L$53,Параметры!L$59)</f>
        <v>0</v>
      </c>
      <c r="M661" s="185">
        <f>M654*CHOOSE($D654,1,Параметры!M$53,Параметры!M$59)</f>
        <v>0</v>
      </c>
      <c r="N661" s="185">
        <f>N654*CHOOSE($D654,1,Параметры!N$53,Параметры!N$59)</f>
        <v>0</v>
      </c>
      <c r="O661" s="185">
        <f>O654*CHOOSE($D654,1,Параметры!O$53,Параметры!O$59)</f>
        <v>0</v>
      </c>
      <c r="P661" s="185">
        <f>P654*CHOOSE($D654,1,Параметры!P$53,Параметры!P$59)</f>
        <v>0</v>
      </c>
      <c r="Q661" s="185">
        <f>Q654*CHOOSE($D654,1,Параметры!Q$53,Параметры!Q$59)</f>
        <v>0</v>
      </c>
      <c r="R661" s="185">
        <f>R654*CHOOSE($D654,1,Параметры!R$53,Параметры!R$59)</f>
        <v>0</v>
      </c>
      <c r="S661" s="185">
        <f>S654*CHOOSE($D654,1,Параметры!S$53,Параметры!S$59)</f>
        <v>0</v>
      </c>
      <c r="T661" s="185">
        <f>T654*CHOOSE($D654,1,Параметры!T$53,Параметры!T$59)</f>
        <v>0</v>
      </c>
      <c r="U661" s="185">
        <f>U654*CHOOSE($D654,1,Параметры!U$53,Параметры!U$59)</f>
        <v>0</v>
      </c>
      <c r="V661" s="185">
        <f>V654*CHOOSE($D654,1,Параметры!V$53,Параметры!V$59)</f>
        <v>0</v>
      </c>
      <c r="W661" s="185">
        <f>W654*CHOOSE($D654,1,Параметры!W$53,Параметры!W$59)</f>
        <v>0</v>
      </c>
      <c r="X661" s="185">
        <f>X654*CHOOSE($D654,1,Параметры!X$53,Параметры!X$59)</f>
        <v>0</v>
      </c>
      <c r="Y661" s="185">
        <f>Y654*CHOOSE($D654,1,Параметры!Y$53,Параметры!Y$59)</f>
        <v>0</v>
      </c>
      <c r="Z661" s="185">
        <f>Z654*CHOOSE($D654,1,Параметры!Z$53,Параметры!Z$59)</f>
        <v>0</v>
      </c>
      <c r="AA661" s="185">
        <f>AA654*CHOOSE($D654,1,Параметры!AA$53,Параметры!AA$59)</f>
        <v>0</v>
      </c>
      <c r="AB661" s="185">
        <f>AB654*CHOOSE($D654,1,Параметры!AB$53,Параметры!AB$59)</f>
        <v>0</v>
      </c>
      <c r="AC661" s="185">
        <f>AC654*CHOOSE($D654,1,Параметры!AC$53,Параметры!AC$59)</f>
        <v>0</v>
      </c>
      <c r="AD661" s="185">
        <f>AD654*CHOOSE($D654,1,Параметры!AD$53,Параметры!AD$59)</f>
        <v>0</v>
      </c>
      <c r="AE661" s="185">
        <f>AE654*CHOOSE($D654,1,Параметры!AE$53,Параметры!AE$59)</f>
        <v>0</v>
      </c>
      <c r="AF661" s="185">
        <f>AF654*CHOOSE($D654,1,Параметры!AF$53,Параметры!AF$59)</f>
        <v>0</v>
      </c>
      <c r="AG661" s="185">
        <f>AG654*CHOOSE($D654,1,Параметры!AG$53,Параметры!AG$59)</f>
        <v>0</v>
      </c>
      <c r="AH661" s="185">
        <f>AH654*CHOOSE($D654,1,Параметры!AH$53,Параметры!AH$59)</f>
        <v>0</v>
      </c>
      <c r="AI661" s="185">
        <f>AI654*CHOOSE($D654,1,Параметры!AI$53,Параметры!AI$59)</f>
        <v>0</v>
      </c>
      <c r="AJ661" s="185">
        <f>AJ654*CHOOSE($D654,1,Параметры!AJ$53,Параметры!AJ$59)</f>
        <v>0</v>
      </c>
      <c r="AK661" s="185">
        <f>AK654*CHOOSE($D654,1,Параметры!AK$53,Параметры!AK$59)</f>
        <v>0</v>
      </c>
      <c r="AL661" s="185">
        <f>AL654*CHOOSE($D654,1,Параметры!AL$53,Параметры!AL$59)</f>
        <v>0</v>
      </c>
      <c r="AM661" s="185">
        <f>AM654*CHOOSE($D654,1,Параметры!AM$53,Параметры!AM$59)</f>
        <v>0</v>
      </c>
      <c r="AN661" s="185">
        <f>AN654*CHOOSE($D654,1,Параметры!AN$53,Параметры!AN$59)</f>
        <v>0</v>
      </c>
      <c r="AO661" s="185">
        <f>AO654*CHOOSE($D654,1,Параметры!AO$53,Параметры!AO$59)</f>
        <v>0</v>
      </c>
      <c r="AP661" s="185">
        <f>AP654*CHOOSE($D654,1,Параметры!AP$53,Параметры!AP$59)</f>
        <v>0</v>
      </c>
      <c r="AQ661" s="185">
        <f>AQ654*CHOOSE($D654,1,Параметры!AQ$53,Параметры!AQ$59)</f>
        <v>0</v>
      </c>
      <c r="AR661" s="185">
        <f>AR654*CHOOSE($D654,1,Параметры!AR$53,Параметры!AR$59)</f>
        <v>0</v>
      </c>
      <c r="AS661" s="185">
        <f>AS654*CHOOSE($D654,1,Параметры!AS$53,Параметры!AS$59)</f>
        <v>0</v>
      </c>
      <c r="AT661" s="185">
        <f>AT654*CHOOSE($D654,1,Параметры!AT$53,Параметры!AT$59)</f>
        <v>0</v>
      </c>
      <c r="AU661" s="185">
        <f>AU654*CHOOSE($D654,1,Параметры!AU$53,Параметры!AU$59)</f>
        <v>0</v>
      </c>
      <c r="AV661" s="185">
        <f>AV654*CHOOSE($D654,1,Параметры!AV$53,Параметры!AV$59)</f>
        <v>0</v>
      </c>
      <c r="AW661" s="185">
        <f>AW654*CHOOSE($D654,1,Параметры!AW$53,Параметры!AW$59)</f>
        <v>0</v>
      </c>
      <c r="AX661" s="185">
        <f>AX654*CHOOSE($D654,1,Параметры!AX$53,Параметры!AX$59)</f>
        <v>0</v>
      </c>
      <c r="AY661" s="185">
        <f>AY654*CHOOSE($D654,1,Параметры!AY$53,Параметры!AY$59)</f>
        <v>0</v>
      </c>
      <c r="AZ661" s="185">
        <f>AZ654*CHOOSE($D654,1,Параметры!AZ$53,Параметры!AZ$59)</f>
        <v>0</v>
      </c>
      <c r="BA661" s="185">
        <f>BA654*CHOOSE($D654,1,Параметры!BA$53,Параметры!BA$59)</f>
        <v>0</v>
      </c>
      <c r="BB661" s="185">
        <f>BB654*CHOOSE($D654,1,Параметры!BB$53,Параметры!BB$59)</f>
        <v>0</v>
      </c>
      <c r="BC661" s="185"/>
      <c r="BD661" s="193">
        <f>SUM(G661:BC661)</f>
        <v>0</v>
      </c>
    </row>
    <row r="662" spans="1:56" ht="14.4" hidden="1" thickTop="1" x14ac:dyDescent="0.3">
      <c r="A662" s="187" t="str">
        <f ca="1">Language!A$1509</f>
        <v>график оплаты, c НДС</v>
      </c>
      <c r="B662" s="163"/>
      <c r="C662" s="163" t="str">
        <f t="shared" ref="C662" ca="1" si="2725">CHOOSE(D662,CurName1,CurName2,CurName3)</f>
        <v>руб.</v>
      </c>
      <c r="D662" s="174">
        <v>1</v>
      </c>
      <c r="E662" s="170" t="s">
        <v>993</v>
      </c>
      <c r="F662" s="170" t="s">
        <v>743</v>
      </c>
      <c r="G662" s="185">
        <f>G661+G671</f>
        <v>0</v>
      </c>
      <c r="H662" s="185">
        <f t="shared" ref="H662:K662" si="2726">H661+H671</f>
        <v>0</v>
      </c>
      <c r="I662" s="185">
        <f t="shared" si="2726"/>
        <v>0</v>
      </c>
      <c r="J662" s="185">
        <f t="shared" si="2726"/>
        <v>0</v>
      </c>
      <c r="K662" s="185">
        <f t="shared" si="2726"/>
        <v>0</v>
      </c>
      <c r="L662" s="185">
        <f t="shared" ref="L662:M662" si="2727">L661+L671</f>
        <v>0</v>
      </c>
      <c r="M662" s="185">
        <f t="shared" si="2727"/>
        <v>0</v>
      </c>
      <c r="N662" s="185">
        <f t="shared" ref="N662:O662" si="2728">N661+N671</f>
        <v>0</v>
      </c>
      <c r="O662" s="185">
        <f t="shared" si="2728"/>
        <v>0</v>
      </c>
      <c r="P662" s="185">
        <f t="shared" ref="P662:Q662" si="2729">P661+P671</f>
        <v>0</v>
      </c>
      <c r="Q662" s="185">
        <f t="shared" si="2729"/>
        <v>0</v>
      </c>
      <c r="R662" s="185">
        <f t="shared" ref="R662:S662" si="2730">R661+R671</f>
        <v>0</v>
      </c>
      <c r="S662" s="185">
        <f t="shared" si="2730"/>
        <v>0</v>
      </c>
      <c r="T662" s="185">
        <f t="shared" ref="T662:U662" si="2731">T661+T671</f>
        <v>0</v>
      </c>
      <c r="U662" s="185">
        <f t="shared" si="2731"/>
        <v>0</v>
      </c>
      <c r="V662" s="185">
        <f t="shared" ref="V662:W662" si="2732">V661+V671</f>
        <v>0</v>
      </c>
      <c r="W662" s="185">
        <f t="shared" si="2732"/>
        <v>0</v>
      </c>
      <c r="X662" s="185">
        <f t="shared" ref="X662:Y662" si="2733">X661+X671</f>
        <v>0</v>
      </c>
      <c r="Y662" s="185">
        <f t="shared" si="2733"/>
        <v>0</v>
      </c>
      <c r="Z662" s="185">
        <f t="shared" ref="Z662:AA662" si="2734">Z661+Z671</f>
        <v>0</v>
      </c>
      <c r="AA662" s="185">
        <f t="shared" si="2734"/>
        <v>0</v>
      </c>
      <c r="AB662" s="185">
        <f t="shared" ref="AB662:AC662" si="2735">AB661+AB671</f>
        <v>0</v>
      </c>
      <c r="AC662" s="185">
        <f t="shared" si="2735"/>
        <v>0</v>
      </c>
      <c r="AD662" s="185">
        <f t="shared" ref="AD662:AE662" si="2736">AD661+AD671</f>
        <v>0</v>
      </c>
      <c r="AE662" s="185">
        <f t="shared" si="2736"/>
        <v>0</v>
      </c>
      <c r="AF662" s="185">
        <f t="shared" ref="AF662:AG662" si="2737">AF661+AF671</f>
        <v>0</v>
      </c>
      <c r="AG662" s="185">
        <f t="shared" si="2737"/>
        <v>0</v>
      </c>
      <c r="AH662" s="185">
        <f t="shared" ref="AH662:AI662" si="2738">AH661+AH671</f>
        <v>0</v>
      </c>
      <c r="AI662" s="185">
        <f t="shared" si="2738"/>
        <v>0</v>
      </c>
      <c r="AJ662" s="185">
        <f t="shared" ref="AJ662:AK662" si="2739">AJ661+AJ671</f>
        <v>0</v>
      </c>
      <c r="AK662" s="185">
        <f t="shared" si="2739"/>
        <v>0</v>
      </c>
      <c r="AL662" s="185">
        <f t="shared" ref="AL662:AM662" si="2740">AL661+AL671</f>
        <v>0</v>
      </c>
      <c r="AM662" s="185">
        <f t="shared" si="2740"/>
        <v>0</v>
      </c>
      <c r="AN662" s="185">
        <f t="shared" ref="AN662:AO662" si="2741">AN661+AN671</f>
        <v>0</v>
      </c>
      <c r="AO662" s="185">
        <f t="shared" si="2741"/>
        <v>0</v>
      </c>
      <c r="AP662" s="185">
        <f t="shared" ref="AP662:AQ662" si="2742">AP661+AP671</f>
        <v>0</v>
      </c>
      <c r="AQ662" s="185">
        <f t="shared" si="2742"/>
        <v>0</v>
      </c>
      <c r="AR662" s="185">
        <f t="shared" ref="AR662:AS662" si="2743">AR661+AR671</f>
        <v>0</v>
      </c>
      <c r="AS662" s="185">
        <f t="shared" si="2743"/>
        <v>0</v>
      </c>
      <c r="AT662" s="185">
        <f t="shared" ref="AT662:AU662" si="2744">AT661+AT671</f>
        <v>0</v>
      </c>
      <c r="AU662" s="185">
        <f t="shared" si="2744"/>
        <v>0</v>
      </c>
      <c r="AV662" s="185">
        <f t="shared" ref="AV662:AW662" si="2745">AV661+AV671</f>
        <v>0</v>
      </c>
      <c r="AW662" s="185">
        <f t="shared" si="2745"/>
        <v>0</v>
      </c>
      <c r="AX662" s="185">
        <f t="shared" ref="AX662:AY662" si="2746">AX661+AX671</f>
        <v>0</v>
      </c>
      <c r="AY662" s="185">
        <f t="shared" si="2746"/>
        <v>0</v>
      </c>
      <c r="AZ662" s="185">
        <f t="shared" ref="AZ662:BA662" si="2747">AZ661+AZ671</f>
        <v>0</v>
      </c>
      <c r="BA662" s="185">
        <f t="shared" si="2747"/>
        <v>0</v>
      </c>
      <c r="BB662" s="185">
        <f t="shared" ref="BB662" si="2748">BB661+BB671</f>
        <v>0</v>
      </c>
      <c r="BC662" s="185"/>
      <c r="BD662" s="193">
        <f>SUM(G662:BC662)</f>
        <v>0</v>
      </c>
    </row>
    <row r="663" spans="1:56" ht="14.4" hidden="1" thickTop="1" x14ac:dyDescent="0.3">
      <c r="A663" s="187" t="str">
        <f ca="1">Language!A$882</f>
        <v>ранее осуществленные инвестиции, без НДС</v>
      </c>
      <c r="B663" s="212">
        <f>B655*CHOOSE(D655,1,Параметры!G$53,Параметры!G$59)</f>
        <v>0</v>
      </c>
      <c r="C663" s="163" t="str">
        <f t="shared" ca="1" si="2724"/>
        <v>руб.</v>
      </c>
      <c r="D663" s="174">
        <v>1</v>
      </c>
      <c r="E663" s="170" t="s">
        <v>1269</v>
      </c>
      <c r="F663" s="170" t="s">
        <v>644</v>
      </c>
      <c r="G663" s="185">
        <f>B663</f>
        <v>0</v>
      </c>
      <c r="H663" s="185"/>
      <c r="I663" s="185"/>
      <c r="J663" s="185"/>
      <c r="K663" s="185"/>
      <c r="L663" s="185"/>
      <c r="M663" s="185"/>
      <c r="N663" s="185"/>
      <c r="O663" s="185"/>
      <c r="P663" s="185"/>
      <c r="Q663" s="185"/>
      <c r="R663" s="185"/>
      <c r="S663" s="185"/>
      <c r="T663" s="185"/>
      <c r="U663" s="185"/>
      <c r="V663" s="185"/>
      <c r="W663" s="185"/>
      <c r="X663" s="185"/>
      <c r="Y663" s="185"/>
      <c r="Z663" s="185"/>
      <c r="AA663" s="185"/>
      <c r="AB663" s="185"/>
      <c r="AC663" s="185"/>
      <c r="AD663" s="185"/>
      <c r="AE663" s="185"/>
      <c r="AF663" s="185"/>
      <c r="AG663" s="185"/>
      <c r="AH663" s="185"/>
      <c r="AI663" s="185"/>
      <c r="AJ663" s="185"/>
      <c r="AK663" s="185"/>
      <c r="AL663" s="185"/>
      <c r="AM663" s="185"/>
      <c r="AN663" s="185"/>
      <c r="AO663" s="185"/>
      <c r="AP663" s="185"/>
      <c r="AQ663" s="185"/>
      <c r="AR663" s="185"/>
      <c r="AS663" s="185"/>
      <c r="AT663" s="185"/>
      <c r="AU663" s="185"/>
      <c r="AV663" s="185"/>
      <c r="AW663" s="185"/>
      <c r="AX663" s="185"/>
      <c r="AY663" s="185"/>
      <c r="AZ663" s="185"/>
      <c r="BA663" s="185"/>
      <c r="BB663" s="185"/>
      <c r="BC663" s="185"/>
      <c r="BD663" s="193"/>
    </row>
    <row r="664" spans="1:56" ht="14.4" hidden="1" thickTop="1" x14ac:dyDescent="0.3">
      <c r="A664" s="187" t="str">
        <f ca="1">Language!A$883</f>
        <v>НДС к ранее осуществленным инвестициям</v>
      </c>
      <c r="B664" s="212">
        <f>B663*G659</f>
        <v>0</v>
      </c>
      <c r="C664" s="163" t="str">
        <f t="shared" ca="1" si="2724"/>
        <v>руб.</v>
      </c>
      <c r="D664" s="174">
        <v>1</v>
      </c>
      <c r="E664" s="170" t="s">
        <v>1273</v>
      </c>
      <c r="F664" s="170" t="s">
        <v>644</v>
      </c>
      <c r="G664" s="185">
        <f>B664</f>
        <v>0</v>
      </c>
      <c r="H664" s="185"/>
      <c r="I664" s="185"/>
      <c r="J664" s="185"/>
      <c r="K664" s="185"/>
      <c r="L664" s="185"/>
      <c r="M664" s="185"/>
      <c r="N664" s="185"/>
      <c r="O664" s="185"/>
      <c r="P664" s="185"/>
      <c r="Q664" s="185"/>
      <c r="R664" s="185"/>
      <c r="S664" s="185"/>
      <c r="T664" s="185"/>
      <c r="U664" s="185"/>
      <c r="V664" s="185"/>
      <c r="W664" s="185"/>
      <c r="X664" s="185"/>
      <c r="Y664" s="185"/>
      <c r="Z664" s="185"/>
      <c r="AA664" s="185"/>
      <c r="AB664" s="185"/>
      <c r="AC664" s="185"/>
      <c r="AD664" s="185"/>
      <c r="AE664" s="185"/>
      <c r="AF664" s="185"/>
      <c r="AG664" s="185"/>
      <c r="AH664" s="185"/>
      <c r="AI664" s="185"/>
      <c r="AJ664" s="185"/>
      <c r="AK664" s="185"/>
      <c r="AL664" s="185"/>
      <c r="AM664" s="185"/>
      <c r="AN664" s="185"/>
      <c r="AO664" s="185"/>
      <c r="AP664" s="185"/>
      <c r="AQ664" s="185"/>
      <c r="AR664" s="185"/>
      <c r="AS664" s="185"/>
      <c r="AT664" s="185"/>
      <c r="AU664" s="185"/>
      <c r="AV664" s="185"/>
      <c r="AW664" s="185"/>
      <c r="AX664" s="185"/>
      <c r="AY664" s="185"/>
      <c r="AZ664" s="185"/>
      <c r="BA664" s="185"/>
      <c r="BB664" s="185"/>
      <c r="BC664" s="185"/>
      <c r="BD664" s="193"/>
    </row>
    <row r="665" spans="1:56" ht="14.4" hidden="1" thickTop="1" x14ac:dyDescent="0.3">
      <c r="A665" s="187" t="str">
        <f ca="1">Language!A$884</f>
        <v>график ввода в эксплуатацию, без НДС</v>
      </c>
      <c r="B665" s="163"/>
      <c r="C665" s="163" t="str">
        <f t="shared" ca="1" si="2724"/>
        <v>руб.</v>
      </c>
      <c r="D665" s="174">
        <v>1</v>
      </c>
      <c r="F665" s="170" t="s">
        <v>743</v>
      </c>
      <c r="G665" s="185">
        <f>G656*CHOOSE($D656,1,Параметры!G$53,Параметры!G$59)</f>
        <v>0</v>
      </c>
      <c r="H665" s="185">
        <f>H656*CHOOSE($D656,1,Параметры!H$53,Параметры!H$59)</f>
        <v>0</v>
      </c>
      <c r="I665" s="185">
        <f>I656*CHOOSE($D656,1,Параметры!I$53,Параметры!I$59)</f>
        <v>0</v>
      </c>
      <c r="J665" s="185">
        <f>J656*CHOOSE($D656,1,Параметры!J$53,Параметры!J$59)</f>
        <v>0</v>
      </c>
      <c r="K665" s="185">
        <f>K656*CHOOSE($D656,1,Параметры!K$53,Параметры!K$59)</f>
        <v>0</v>
      </c>
      <c r="L665" s="185">
        <f>L656*CHOOSE($D656,1,Параметры!L$53,Параметры!L$59)</f>
        <v>0</v>
      </c>
      <c r="M665" s="185">
        <f>M656*CHOOSE($D656,1,Параметры!M$53,Параметры!M$59)</f>
        <v>0</v>
      </c>
      <c r="N665" s="185">
        <f>N656*CHOOSE($D656,1,Параметры!N$53,Параметры!N$59)</f>
        <v>0</v>
      </c>
      <c r="O665" s="185">
        <f>O656*CHOOSE($D656,1,Параметры!O$53,Параметры!O$59)</f>
        <v>0</v>
      </c>
      <c r="P665" s="185">
        <f>P656*CHOOSE($D656,1,Параметры!P$53,Параметры!P$59)</f>
        <v>0</v>
      </c>
      <c r="Q665" s="185">
        <f>Q656*CHOOSE($D656,1,Параметры!Q$53,Параметры!Q$59)</f>
        <v>0</v>
      </c>
      <c r="R665" s="185">
        <f>R656*CHOOSE($D656,1,Параметры!R$53,Параметры!R$59)</f>
        <v>0</v>
      </c>
      <c r="S665" s="185">
        <f>S656*CHOOSE($D656,1,Параметры!S$53,Параметры!S$59)</f>
        <v>0</v>
      </c>
      <c r="T665" s="185">
        <f>T656*CHOOSE($D656,1,Параметры!T$53,Параметры!T$59)</f>
        <v>0</v>
      </c>
      <c r="U665" s="185">
        <f>U656*CHOOSE($D656,1,Параметры!U$53,Параметры!U$59)</f>
        <v>0</v>
      </c>
      <c r="V665" s="185">
        <f>V656*CHOOSE($D656,1,Параметры!V$53,Параметры!V$59)</f>
        <v>0</v>
      </c>
      <c r="W665" s="185">
        <f>W656*CHOOSE($D656,1,Параметры!W$53,Параметры!W$59)</f>
        <v>0</v>
      </c>
      <c r="X665" s="185">
        <f>X656*CHOOSE($D656,1,Параметры!X$53,Параметры!X$59)</f>
        <v>0</v>
      </c>
      <c r="Y665" s="185">
        <f>Y656*CHOOSE($D656,1,Параметры!Y$53,Параметры!Y$59)</f>
        <v>0</v>
      </c>
      <c r="Z665" s="185">
        <f>Z656*CHOOSE($D656,1,Параметры!Z$53,Параметры!Z$59)</f>
        <v>0</v>
      </c>
      <c r="AA665" s="185">
        <f>AA656*CHOOSE($D656,1,Параметры!AA$53,Параметры!AA$59)</f>
        <v>0</v>
      </c>
      <c r="AB665" s="185">
        <f>AB656*CHOOSE($D656,1,Параметры!AB$53,Параметры!AB$59)</f>
        <v>0</v>
      </c>
      <c r="AC665" s="185">
        <f>AC656*CHOOSE($D656,1,Параметры!AC$53,Параметры!AC$59)</f>
        <v>0</v>
      </c>
      <c r="AD665" s="185">
        <f>AD656*CHOOSE($D656,1,Параметры!AD$53,Параметры!AD$59)</f>
        <v>0</v>
      </c>
      <c r="AE665" s="185">
        <f>AE656*CHOOSE($D656,1,Параметры!AE$53,Параметры!AE$59)</f>
        <v>0</v>
      </c>
      <c r="AF665" s="185">
        <f>AF656*CHOOSE($D656,1,Параметры!AF$53,Параметры!AF$59)</f>
        <v>0</v>
      </c>
      <c r="AG665" s="185">
        <f>AG656*CHOOSE($D656,1,Параметры!AG$53,Параметры!AG$59)</f>
        <v>0</v>
      </c>
      <c r="AH665" s="185">
        <f>AH656*CHOOSE($D656,1,Параметры!AH$53,Параметры!AH$59)</f>
        <v>0</v>
      </c>
      <c r="AI665" s="185">
        <f>AI656*CHOOSE($D656,1,Параметры!AI$53,Параметры!AI$59)</f>
        <v>0</v>
      </c>
      <c r="AJ665" s="185">
        <f>AJ656*CHOOSE($D656,1,Параметры!AJ$53,Параметры!AJ$59)</f>
        <v>0</v>
      </c>
      <c r="AK665" s="185">
        <f>AK656*CHOOSE($D656,1,Параметры!AK$53,Параметры!AK$59)</f>
        <v>0</v>
      </c>
      <c r="AL665" s="185">
        <f>AL656*CHOOSE($D656,1,Параметры!AL$53,Параметры!AL$59)</f>
        <v>0</v>
      </c>
      <c r="AM665" s="185">
        <f>AM656*CHOOSE($D656,1,Параметры!AM$53,Параметры!AM$59)</f>
        <v>0</v>
      </c>
      <c r="AN665" s="185">
        <f>AN656*CHOOSE($D656,1,Параметры!AN$53,Параметры!AN$59)</f>
        <v>0</v>
      </c>
      <c r="AO665" s="185">
        <f>AO656*CHOOSE($D656,1,Параметры!AO$53,Параметры!AO$59)</f>
        <v>0</v>
      </c>
      <c r="AP665" s="185">
        <f>AP656*CHOOSE($D656,1,Параметры!AP$53,Параметры!AP$59)</f>
        <v>0</v>
      </c>
      <c r="AQ665" s="185">
        <f>AQ656*CHOOSE($D656,1,Параметры!AQ$53,Параметры!AQ$59)</f>
        <v>0</v>
      </c>
      <c r="AR665" s="185">
        <f>AR656*CHOOSE($D656,1,Параметры!AR$53,Параметры!AR$59)</f>
        <v>0</v>
      </c>
      <c r="AS665" s="185">
        <f>AS656*CHOOSE($D656,1,Параметры!AS$53,Параметры!AS$59)</f>
        <v>0</v>
      </c>
      <c r="AT665" s="185">
        <f>AT656*CHOOSE($D656,1,Параметры!AT$53,Параметры!AT$59)</f>
        <v>0</v>
      </c>
      <c r="AU665" s="185">
        <f>AU656*CHOOSE($D656,1,Параметры!AU$53,Параметры!AU$59)</f>
        <v>0</v>
      </c>
      <c r="AV665" s="185">
        <f>AV656*CHOOSE($D656,1,Параметры!AV$53,Параметры!AV$59)</f>
        <v>0</v>
      </c>
      <c r="AW665" s="185">
        <f>AW656*CHOOSE($D656,1,Параметры!AW$53,Параметры!AW$59)</f>
        <v>0</v>
      </c>
      <c r="AX665" s="185">
        <f>AX656*CHOOSE($D656,1,Параметры!AX$53,Параметры!AX$59)</f>
        <v>0</v>
      </c>
      <c r="AY665" s="185">
        <f>AY656*CHOOSE($D656,1,Параметры!AY$53,Параметры!AY$59)</f>
        <v>0</v>
      </c>
      <c r="AZ665" s="185">
        <f>AZ656*CHOOSE($D656,1,Параметры!AZ$53,Параметры!AZ$59)</f>
        <v>0</v>
      </c>
      <c r="BA665" s="185">
        <f>BA656*CHOOSE($D656,1,Параметры!BA$53,Параметры!BA$59)</f>
        <v>0</v>
      </c>
      <c r="BB665" s="185">
        <f>BB656*CHOOSE($D656,1,Параметры!BB$53,Параметры!BB$59)</f>
        <v>0</v>
      </c>
      <c r="BC665" s="185"/>
      <c r="BD665" s="193">
        <f>SUM(G665:BC665)</f>
        <v>0</v>
      </c>
    </row>
    <row r="666" spans="1:56" ht="14.4" hidden="1" thickTop="1" x14ac:dyDescent="0.3">
      <c r="A666" s="184" t="str">
        <f ca="1">Language!A$885</f>
        <v>незавершенные инвестиции</v>
      </c>
      <c r="B666" s="170"/>
      <c r="C666" s="163" t="str">
        <f t="shared" ca="1" si="2724"/>
        <v>руб.</v>
      </c>
      <c r="D666" s="174">
        <v>1</v>
      </c>
      <c r="E666" s="170" t="s">
        <v>754</v>
      </c>
      <c r="F666" s="170" t="s">
        <v>747</v>
      </c>
      <c r="G666" s="185">
        <f>IF(SUM($G660:G660)&gt;0.01,0,MAX(SUM($G654:G654)+$B655-SUM($G656:G656),0))*CHOOSE($D654,1,Параметры!G$53,Параметры!G$59)</f>
        <v>0</v>
      </c>
      <c r="H666" s="185">
        <f>IF(SUM($G660:H660)&gt;0.01,0,MAX(SUM($G654:H654)+$B655-SUM($G656:H656),0))*CHOOSE($D654,1,Параметры!H$53,Параметры!H$59)</f>
        <v>0</v>
      </c>
      <c r="I666" s="185">
        <f>IF(SUM($G660:I660)&gt;0.01,0,MAX(SUM($G654:I654)+$B655-SUM($G656:I656),0))*CHOOSE($D654,1,Параметры!I$53,Параметры!I$59)</f>
        <v>0</v>
      </c>
      <c r="J666" s="185">
        <f>IF(SUM($G660:J660)&gt;0.01,0,MAX(SUM($G654:J654)+$B655-SUM($G656:J656),0))*CHOOSE($D654,1,Параметры!J$53,Параметры!J$59)</f>
        <v>0</v>
      </c>
      <c r="K666" s="185">
        <f>IF(SUM($G660:K660)&gt;0.01,0,MAX(SUM($G654:K654)+$B655-SUM($G656:K656),0))*CHOOSE($D654,1,Параметры!K$53,Параметры!K$59)</f>
        <v>0</v>
      </c>
      <c r="L666" s="185">
        <f>IF(SUM($G660:L660)&gt;0.01,0,MAX(SUM($G654:L654)+$B655-SUM($G656:L656),0))*CHOOSE($D654,1,Параметры!L$53,Параметры!L$59)</f>
        <v>0</v>
      </c>
      <c r="M666" s="185">
        <f>IF(SUM($G660:M660)&gt;0.01,0,MAX(SUM($G654:M654)+$B655-SUM($G656:M656),0))*CHOOSE($D654,1,Параметры!M$53,Параметры!M$59)</f>
        <v>0</v>
      </c>
      <c r="N666" s="185">
        <f>IF(SUM($G660:N660)&gt;0.01,0,MAX(SUM($G654:N654)+$B655-SUM($G656:N656),0))*CHOOSE($D654,1,Параметры!N$53,Параметры!N$59)</f>
        <v>0</v>
      </c>
      <c r="O666" s="185">
        <f>IF(SUM($G660:O660)&gt;0.01,0,MAX(SUM($G654:O654)+$B655-SUM($G656:O656),0))*CHOOSE($D654,1,Параметры!O$53,Параметры!O$59)</f>
        <v>0</v>
      </c>
      <c r="P666" s="185">
        <f>IF(SUM($G660:P660)&gt;0.01,0,MAX(SUM($G654:P654)+$B655-SUM($G656:P656),0))*CHOOSE($D654,1,Параметры!P$53,Параметры!P$59)</f>
        <v>0</v>
      </c>
      <c r="Q666" s="185">
        <f>IF(SUM($G660:Q660)&gt;0.01,0,MAX(SUM($G654:Q654)+$B655-SUM($G656:Q656),0))*CHOOSE($D654,1,Параметры!Q$53,Параметры!Q$59)</f>
        <v>0</v>
      </c>
      <c r="R666" s="185">
        <f>IF(SUM($G660:R660)&gt;0.01,0,MAX(SUM($G654:R654)+$B655-SUM($G656:R656),0))*CHOOSE($D654,1,Параметры!R$53,Параметры!R$59)</f>
        <v>0</v>
      </c>
      <c r="S666" s="185">
        <f>IF(SUM($G660:S660)&gt;0.01,0,MAX(SUM($G654:S654)+$B655-SUM($G656:S656),0))*CHOOSE($D654,1,Параметры!S$53,Параметры!S$59)</f>
        <v>0</v>
      </c>
      <c r="T666" s="185">
        <f>IF(SUM($G660:T660)&gt;0.01,0,MAX(SUM($G654:T654)+$B655-SUM($G656:T656),0))*CHOOSE($D654,1,Параметры!T$53,Параметры!T$59)</f>
        <v>0</v>
      </c>
      <c r="U666" s="185">
        <f>IF(SUM($G660:U660)&gt;0.01,0,MAX(SUM($G654:U654)+$B655-SUM($G656:U656),0))*CHOOSE($D654,1,Параметры!U$53,Параметры!U$59)</f>
        <v>0</v>
      </c>
      <c r="V666" s="185">
        <f>IF(SUM($G660:V660)&gt;0.01,0,MAX(SUM($G654:V654)+$B655-SUM($G656:V656),0))*CHOOSE($D654,1,Параметры!V$53,Параметры!V$59)</f>
        <v>0</v>
      </c>
      <c r="W666" s="185">
        <f>IF(SUM($G660:W660)&gt;0.01,0,MAX(SUM($G654:W654)+$B655-SUM($G656:W656),0))*CHOOSE($D654,1,Параметры!W$53,Параметры!W$59)</f>
        <v>0</v>
      </c>
      <c r="X666" s="185">
        <f>IF(SUM($G660:X660)&gt;0.01,0,MAX(SUM($G654:X654)+$B655-SUM($G656:X656),0))*CHOOSE($D654,1,Параметры!X$53,Параметры!X$59)</f>
        <v>0</v>
      </c>
      <c r="Y666" s="185">
        <f>IF(SUM($G660:Y660)&gt;0.01,0,MAX(SUM($G654:Y654)+$B655-SUM($G656:Y656),0))*CHOOSE($D654,1,Параметры!Y$53,Параметры!Y$59)</f>
        <v>0</v>
      </c>
      <c r="Z666" s="185">
        <f>IF(SUM($G660:Z660)&gt;0.01,0,MAX(SUM($G654:Z654)+$B655-SUM($G656:Z656),0))*CHOOSE($D654,1,Параметры!Z$53,Параметры!Z$59)</f>
        <v>0</v>
      </c>
      <c r="AA666" s="185">
        <f>IF(SUM($G660:AA660)&gt;0.01,0,MAX(SUM($G654:AA654)+$B655-SUM($G656:AA656),0))*CHOOSE($D654,1,Параметры!AA$53,Параметры!AA$59)</f>
        <v>0</v>
      </c>
      <c r="AB666" s="185">
        <f>IF(SUM($G660:AB660)&gt;0.01,0,MAX(SUM($G654:AB654)+$B655-SUM($G656:AB656),0))*CHOOSE($D654,1,Параметры!AB$53,Параметры!AB$59)</f>
        <v>0</v>
      </c>
      <c r="AC666" s="185">
        <f>IF(SUM($G660:AC660)&gt;0.01,0,MAX(SUM($G654:AC654)+$B655-SUM($G656:AC656),0))*CHOOSE($D654,1,Параметры!AC$53,Параметры!AC$59)</f>
        <v>0</v>
      </c>
      <c r="AD666" s="185">
        <f>IF(SUM($G660:AD660)&gt;0.01,0,MAX(SUM($G654:AD654)+$B655-SUM($G656:AD656),0))*CHOOSE($D654,1,Параметры!AD$53,Параметры!AD$59)</f>
        <v>0</v>
      </c>
      <c r="AE666" s="185">
        <f>IF(SUM($G660:AE660)&gt;0.01,0,MAX(SUM($G654:AE654)+$B655-SUM($G656:AE656),0))*CHOOSE($D654,1,Параметры!AE$53,Параметры!AE$59)</f>
        <v>0</v>
      </c>
      <c r="AF666" s="185">
        <f>IF(SUM($G660:AF660)&gt;0.01,0,MAX(SUM($G654:AF654)+$B655-SUM($G656:AF656),0))*CHOOSE($D654,1,Параметры!AF$53,Параметры!AF$59)</f>
        <v>0</v>
      </c>
      <c r="AG666" s="185">
        <f>IF(SUM($G660:AG660)&gt;0.01,0,MAX(SUM($G654:AG654)+$B655-SUM($G656:AG656),0))*CHOOSE($D654,1,Параметры!AG$53,Параметры!AG$59)</f>
        <v>0</v>
      </c>
      <c r="AH666" s="185">
        <f>IF(SUM($G660:AH660)&gt;0.01,0,MAX(SUM($G654:AH654)+$B655-SUM($G656:AH656),0))*CHOOSE($D654,1,Параметры!AH$53,Параметры!AH$59)</f>
        <v>0</v>
      </c>
      <c r="AI666" s="185">
        <f>IF(SUM($G660:AI660)&gt;0.01,0,MAX(SUM($G654:AI654)+$B655-SUM($G656:AI656),0))*CHOOSE($D654,1,Параметры!AI$53,Параметры!AI$59)</f>
        <v>0</v>
      </c>
      <c r="AJ666" s="185">
        <f>IF(SUM($G660:AJ660)&gt;0.01,0,MAX(SUM($G654:AJ654)+$B655-SUM($G656:AJ656),0))*CHOOSE($D654,1,Параметры!AJ$53,Параметры!AJ$59)</f>
        <v>0</v>
      </c>
      <c r="AK666" s="185">
        <f>IF(SUM($G660:AK660)&gt;0.01,0,MAX(SUM($G654:AK654)+$B655-SUM($G656:AK656),0))*CHOOSE($D654,1,Параметры!AK$53,Параметры!AK$59)</f>
        <v>0</v>
      </c>
      <c r="AL666" s="185">
        <f>IF(SUM($G660:AL660)&gt;0.01,0,MAX(SUM($G654:AL654)+$B655-SUM($G656:AL656),0))*CHOOSE($D654,1,Параметры!AL$53,Параметры!AL$59)</f>
        <v>0</v>
      </c>
      <c r="AM666" s="185">
        <f>IF(SUM($G660:AM660)&gt;0.01,0,MAX(SUM($G654:AM654)+$B655-SUM($G656:AM656),0))*CHOOSE($D654,1,Параметры!AM$53,Параметры!AM$59)</f>
        <v>0</v>
      </c>
      <c r="AN666" s="185">
        <f>IF(SUM($G660:AN660)&gt;0.01,0,MAX(SUM($G654:AN654)+$B655-SUM($G656:AN656),0))*CHOOSE($D654,1,Параметры!AN$53,Параметры!AN$59)</f>
        <v>0</v>
      </c>
      <c r="AO666" s="185">
        <f>IF(SUM($G660:AO660)&gt;0.01,0,MAX(SUM($G654:AO654)+$B655-SUM($G656:AO656),0))*CHOOSE($D654,1,Параметры!AO$53,Параметры!AO$59)</f>
        <v>0</v>
      </c>
      <c r="AP666" s="185">
        <f>IF(SUM($G660:AP660)&gt;0.01,0,MAX(SUM($G654:AP654)+$B655-SUM($G656:AP656),0))*CHOOSE($D654,1,Параметры!AP$53,Параметры!AP$59)</f>
        <v>0</v>
      </c>
      <c r="AQ666" s="185">
        <f>IF(SUM($G660:AQ660)&gt;0.01,0,MAX(SUM($G654:AQ654)+$B655-SUM($G656:AQ656),0))*CHOOSE($D654,1,Параметры!AQ$53,Параметры!AQ$59)</f>
        <v>0</v>
      </c>
      <c r="AR666" s="185">
        <f>IF(SUM($G660:AR660)&gt;0.01,0,MAX(SUM($G654:AR654)+$B655-SUM($G656:AR656),0))*CHOOSE($D654,1,Параметры!AR$53,Параметры!AR$59)</f>
        <v>0</v>
      </c>
      <c r="AS666" s="185">
        <f>IF(SUM($G660:AS660)&gt;0.01,0,MAX(SUM($G654:AS654)+$B655-SUM($G656:AS656),0))*CHOOSE($D654,1,Параметры!AS$53,Параметры!AS$59)</f>
        <v>0</v>
      </c>
      <c r="AT666" s="185">
        <f>IF(SUM($G660:AT660)&gt;0.01,0,MAX(SUM($G654:AT654)+$B655-SUM($G656:AT656),0))*CHOOSE($D654,1,Параметры!AT$53,Параметры!AT$59)</f>
        <v>0</v>
      </c>
      <c r="AU666" s="185">
        <f>IF(SUM($G660:AU660)&gt;0.01,0,MAX(SUM($G654:AU654)+$B655-SUM($G656:AU656),0))*CHOOSE($D654,1,Параметры!AU$53,Параметры!AU$59)</f>
        <v>0</v>
      </c>
      <c r="AV666" s="185">
        <f>IF(SUM($G660:AV660)&gt;0.01,0,MAX(SUM($G654:AV654)+$B655-SUM($G656:AV656),0))*CHOOSE($D654,1,Параметры!AV$53,Параметры!AV$59)</f>
        <v>0</v>
      </c>
      <c r="AW666" s="185">
        <f>IF(SUM($G660:AW660)&gt;0.01,0,MAX(SUM($G654:AW654)+$B655-SUM($G656:AW656),0))*CHOOSE($D654,1,Параметры!AW$53,Параметры!AW$59)</f>
        <v>0</v>
      </c>
      <c r="AX666" s="185">
        <f>IF(SUM($G660:AX660)&gt;0.01,0,MAX(SUM($G654:AX654)+$B655-SUM($G656:AX656),0))*CHOOSE($D654,1,Параметры!AX$53,Параметры!AX$59)</f>
        <v>0</v>
      </c>
      <c r="AY666" s="185">
        <f>IF(SUM($G660:AY660)&gt;0.01,0,MAX(SUM($G654:AY654)+$B655-SUM($G656:AY656),0))*CHOOSE($D654,1,Параметры!AY$53,Параметры!AY$59)</f>
        <v>0</v>
      </c>
      <c r="AZ666" s="185">
        <f>IF(SUM($G660:AZ660)&gt;0.01,0,MAX(SUM($G654:AZ654)+$B655-SUM($G656:AZ656),0))*CHOOSE($D654,1,Параметры!AZ$53,Параметры!AZ$59)</f>
        <v>0</v>
      </c>
      <c r="BA666" s="185">
        <f>IF(SUM($G660:BA660)&gt;0.01,0,MAX(SUM($G654:BA654)+$B655-SUM($G656:BA656),0))*CHOOSE($D654,1,Параметры!BA$53,Параметры!BA$59)</f>
        <v>0</v>
      </c>
      <c r="BB666" s="185">
        <f>IF(SUM($G660:BB660)&gt;0.01,0,MAX(SUM($G654:BB654)+$B655-SUM($G656:BB656),0))*CHOOSE($D654,1,Параметры!BB$53,Параметры!BB$59)</f>
        <v>0</v>
      </c>
      <c r="BC666" s="185"/>
      <c r="BD666" s="186"/>
    </row>
    <row r="667" spans="1:56" ht="14.4" hidden="1" thickTop="1" x14ac:dyDescent="0.3">
      <c r="A667" s="184" t="str">
        <f ca="1">Language!A$886</f>
        <v>кредиторская задолженность</v>
      </c>
      <c r="B667" s="170"/>
      <c r="C667" s="163" t="str">
        <f t="shared" ca="1" si="2724"/>
        <v>руб.</v>
      </c>
      <c r="D667" s="174">
        <v>1</v>
      </c>
      <c r="E667" s="170" t="s">
        <v>752</v>
      </c>
      <c r="F667" s="170" t="s">
        <v>747</v>
      </c>
      <c r="G667" s="185">
        <f>IF(SUM($G660:G660)&gt;0.01,0,MAX(SUM($G656:G656)-SUM($G654:G654)-$B655,0))*CHOOSE($D654,1,Параметры!G$53,Параметры!G$59)*(1+G659)</f>
        <v>0</v>
      </c>
      <c r="H667" s="185">
        <f>IF(SUM($G660:H660)&gt;0.01,0,MAX(SUM($G656:H656)-SUM($G654:H654)-$B655,0))*CHOOSE($D654,1,Параметры!H$53,Параметры!H$59)*(1+H659)</f>
        <v>0</v>
      </c>
      <c r="I667" s="185">
        <f>IF(SUM($G660:I660)&gt;0.01,0,MAX(SUM($G656:I656)-SUM($G654:I654)-$B655,0))*CHOOSE($D654,1,Параметры!I$53,Параметры!I$59)*(1+I659)</f>
        <v>0</v>
      </c>
      <c r="J667" s="185">
        <f>IF(SUM($G660:J660)&gt;0.01,0,MAX(SUM($G656:J656)-SUM($G654:J654)-$B655,0))*CHOOSE($D654,1,Параметры!J$53,Параметры!J$59)*(1+J659)</f>
        <v>0</v>
      </c>
      <c r="K667" s="185">
        <f>IF(SUM($G660:K660)&gt;0.01,0,MAX(SUM($G656:K656)-SUM($G654:K654)-$B655,0))*CHOOSE($D654,1,Параметры!K$53,Параметры!K$59)*(1+K659)</f>
        <v>0</v>
      </c>
      <c r="L667" s="185">
        <f>IF(SUM($G660:L660)&gt;0.01,0,MAX(SUM($G656:L656)-SUM($G654:L654)-$B655,0))*CHOOSE($D654,1,Параметры!L$53,Параметры!L$59)*(1+L659)</f>
        <v>0</v>
      </c>
      <c r="M667" s="185">
        <f>IF(SUM($G660:M660)&gt;0.01,0,MAX(SUM($G656:M656)-SUM($G654:M654)-$B655,0))*CHOOSE($D654,1,Параметры!M$53,Параметры!M$59)*(1+M659)</f>
        <v>0</v>
      </c>
      <c r="N667" s="185">
        <f>IF(SUM($G660:N660)&gt;0.01,0,MAX(SUM($G656:N656)-SUM($G654:N654)-$B655,0))*CHOOSE($D654,1,Параметры!N$53,Параметры!N$59)*(1+N659)</f>
        <v>0</v>
      </c>
      <c r="O667" s="185">
        <f>IF(SUM($G660:O660)&gt;0.01,0,MAX(SUM($G656:O656)-SUM($G654:O654)-$B655,0))*CHOOSE($D654,1,Параметры!O$53,Параметры!O$59)*(1+O659)</f>
        <v>0</v>
      </c>
      <c r="P667" s="185">
        <f>IF(SUM($G660:P660)&gt;0.01,0,MAX(SUM($G656:P656)-SUM($G654:P654)-$B655,0))*CHOOSE($D654,1,Параметры!P$53,Параметры!P$59)*(1+P659)</f>
        <v>0</v>
      </c>
      <c r="Q667" s="185">
        <f>IF(SUM($G660:Q660)&gt;0.01,0,MAX(SUM($G656:Q656)-SUM($G654:Q654)-$B655,0))*CHOOSE($D654,1,Параметры!Q$53,Параметры!Q$59)*(1+Q659)</f>
        <v>0</v>
      </c>
      <c r="R667" s="185">
        <f>IF(SUM($G660:R660)&gt;0.01,0,MAX(SUM($G656:R656)-SUM($G654:R654)-$B655,0))*CHOOSE($D654,1,Параметры!R$53,Параметры!R$59)*(1+R659)</f>
        <v>0</v>
      </c>
      <c r="S667" s="185">
        <f>IF(SUM($G660:S660)&gt;0.01,0,MAX(SUM($G656:S656)-SUM($G654:S654)-$B655,0))*CHOOSE($D654,1,Параметры!S$53,Параметры!S$59)*(1+S659)</f>
        <v>0</v>
      </c>
      <c r="T667" s="185">
        <f>IF(SUM($G660:T660)&gt;0.01,0,MAX(SUM($G656:T656)-SUM($G654:T654)-$B655,0))*CHOOSE($D654,1,Параметры!T$53,Параметры!T$59)*(1+T659)</f>
        <v>0</v>
      </c>
      <c r="U667" s="185">
        <f>IF(SUM($G660:U660)&gt;0.01,0,MAX(SUM($G656:U656)-SUM($G654:U654)-$B655,0))*CHOOSE($D654,1,Параметры!U$53,Параметры!U$59)*(1+U659)</f>
        <v>0</v>
      </c>
      <c r="V667" s="185">
        <f>IF(SUM($G660:V660)&gt;0.01,0,MAX(SUM($G656:V656)-SUM($G654:V654)-$B655,0))*CHOOSE($D654,1,Параметры!V$53,Параметры!V$59)*(1+V659)</f>
        <v>0</v>
      </c>
      <c r="W667" s="185">
        <f>IF(SUM($G660:W660)&gt;0.01,0,MAX(SUM($G656:W656)-SUM($G654:W654)-$B655,0))*CHOOSE($D654,1,Параметры!W$53,Параметры!W$59)*(1+W659)</f>
        <v>0</v>
      </c>
      <c r="X667" s="185">
        <f>IF(SUM($G660:X660)&gt;0.01,0,MAX(SUM($G656:X656)-SUM($G654:X654)-$B655,0))*CHOOSE($D654,1,Параметры!X$53,Параметры!X$59)*(1+X659)</f>
        <v>0</v>
      </c>
      <c r="Y667" s="185">
        <f>IF(SUM($G660:Y660)&gt;0.01,0,MAX(SUM($G656:Y656)-SUM($G654:Y654)-$B655,0))*CHOOSE($D654,1,Параметры!Y$53,Параметры!Y$59)*(1+Y659)</f>
        <v>0</v>
      </c>
      <c r="Z667" s="185">
        <f>IF(SUM($G660:Z660)&gt;0.01,0,MAX(SUM($G656:Z656)-SUM($G654:Z654)-$B655,0))*CHOOSE($D654,1,Параметры!Z$53,Параметры!Z$59)*(1+Z659)</f>
        <v>0</v>
      </c>
      <c r="AA667" s="185">
        <f>IF(SUM($G660:AA660)&gt;0.01,0,MAX(SUM($G656:AA656)-SUM($G654:AA654)-$B655,0))*CHOOSE($D654,1,Параметры!AA$53,Параметры!AA$59)*(1+AA659)</f>
        <v>0</v>
      </c>
      <c r="AB667" s="185">
        <f>IF(SUM($G660:AB660)&gt;0.01,0,MAX(SUM($G656:AB656)-SUM($G654:AB654)-$B655,0))*CHOOSE($D654,1,Параметры!AB$53,Параметры!AB$59)*(1+AB659)</f>
        <v>0</v>
      </c>
      <c r="AC667" s="185">
        <f>IF(SUM($G660:AC660)&gt;0.01,0,MAX(SUM($G656:AC656)-SUM($G654:AC654)-$B655,0))*CHOOSE($D654,1,Параметры!AC$53,Параметры!AC$59)*(1+AC659)</f>
        <v>0</v>
      </c>
      <c r="AD667" s="185">
        <f>IF(SUM($G660:AD660)&gt;0.01,0,MAX(SUM($G656:AD656)-SUM($G654:AD654)-$B655,0))*CHOOSE($D654,1,Параметры!AD$53,Параметры!AD$59)*(1+AD659)</f>
        <v>0</v>
      </c>
      <c r="AE667" s="185">
        <f>IF(SUM($G660:AE660)&gt;0.01,0,MAX(SUM($G656:AE656)-SUM($G654:AE654)-$B655,0))*CHOOSE($D654,1,Параметры!AE$53,Параметры!AE$59)*(1+AE659)</f>
        <v>0</v>
      </c>
      <c r="AF667" s="185">
        <f>IF(SUM($G660:AF660)&gt;0.01,0,MAX(SUM($G656:AF656)-SUM($G654:AF654)-$B655,0))*CHOOSE($D654,1,Параметры!AF$53,Параметры!AF$59)*(1+AF659)</f>
        <v>0</v>
      </c>
      <c r="AG667" s="185">
        <f>IF(SUM($G660:AG660)&gt;0.01,0,MAX(SUM($G656:AG656)-SUM($G654:AG654)-$B655,0))*CHOOSE($D654,1,Параметры!AG$53,Параметры!AG$59)*(1+AG659)</f>
        <v>0</v>
      </c>
      <c r="AH667" s="185">
        <f>IF(SUM($G660:AH660)&gt;0.01,0,MAX(SUM($G656:AH656)-SUM($G654:AH654)-$B655,0))*CHOOSE($D654,1,Параметры!AH$53,Параметры!AH$59)*(1+AH659)</f>
        <v>0</v>
      </c>
      <c r="AI667" s="185">
        <f>IF(SUM($G660:AI660)&gt;0.01,0,MAX(SUM($G656:AI656)-SUM($G654:AI654)-$B655,0))*CHOOSE($D654,1,Параметры!AI$53,Параметры!AI$59)*(1+AI659)</f>
        <v>0</v>
      </c>
      <c r="AJ667" s="185">
        <f>IF(SUM($G660:AJ660)&gt;0.01,0,MAX(SUM($G656:AJ656)-SUM($G654:AJ654)-$B655,0))*CHOOSE($D654,1,Параметры!AJ$53,Параметры!AJ$59)*(1+AJ659)</f>
        <v>0</v>
      </c>
      <c r="AK667" s="185">
        <f>IF(SUM($G660:AK660)&gt;0.01,0,MAX(SUM($G656:AK656)-SUM($G654:AK654)-$B655,0))*CHOOSE($D654,1,Параметры!AK$53,Параметры!AK$59)*(1+AK659)</f>
        <v>0</v>
      </c>
      <c r="AL667" s="185">
        <f>IF(SUM($G660:AL660)&gt;0.01,0,MAX(SUM($G656:AL656)-SUM($G654:AL654)-$B655,0))*CHOOSE($D654,1,Параметры!AL$53,Параметры!AL$59)*(1+AL659)</f>
        <v>0</v>
      </c>
      <c r="AM667" s="185">
        <f>IF(SUM($G660:AM660)&gt;0.01,0,MAX(SUM($G656:AM656)-SUM($G654:AM654)-$B655,0))*CHOOSE($D654,1,Параметры!AM$53,Параметры!AM$59)*(1+AM659)</f>
        <v>0</v>
      </c>
      <c r="AN667" s="185">
        <f>IF(SUM($G660:AN660)&gt;0.01,0,MAX(SUM($G656:AN656)-SUM($G654:AN654)-$B655,0))*CHOOSE($D654,1,Параметры!AN$53,Параметры!AN$59)*(1+AN659)</f>
        <v>0</v>
      </c>
      <c r="AO667" s="185">
        <f>IF(SUM($G660:AO660)&gt;0.01,0,MAX(SUM($G656:AO656)-SUM($G654:AO654)-$B655,0))*CHOOSE($D654,1,Параметры!AO$53,Параметры!AO$59)*(1+AO659)</f>
        <v>0</v>
      </c>
      <c r="AP667" s="185">
        <f>IF(SUM($G660:AP660)&gt;0.01,0,MAX(SUM($G656:AP656)-SUM($G654:AP654)-$B655,0))*CHOOSE($D654,1,Параметры!AP$53,Параметры!AP$59)*(1+AP659)</f>
        <v>0</v>
      </c>
      <c r="AQ667" s="185">
        <f>IF(SUM($G660:AQ660)&gt;0.01,0,MAX(SUM($G656:AQ656)-SUM($G654:AQ654)-$B655,0))*CHOOSE($D654,1,Параметры!AQ$53,Параметры!AQ$59)*(1+AQ659)</f>
        <v>0</v>
      </c>
      <c r="AR667" s="185">
        <f>IF(SUM($G660:AR660)&gt;0.01,0,MAX(SUM($G656:AR656)-SUM($G654:AR654)-$B655,0))*CHOOSE($D654,1,Параметры!AR$53,Параметры!AR$59)*(1+AR659)</f>
        <v>0</v>
      </c>
      <c r="AS667" s="185">
        <f>IF(SUM($G660:AS660)&gt;0.01,0,MAX(SUM($G656:AS656)-SUM($G654:AS654)-$B655,0))*CHOOSE($D654,1,Параметры!AS$53,Параметры!AS$59)*(1+AS659)</f>
        <v>0</v>
      </c>
      <c r="AT667" s="185">
        <f>IF(SUM($G660:AT660)&gt;0.01,0,MAX(SUM($G656:AT656)-SUM($G654:AT654)-$B655,0))*CHOOSE($D654,1,Параметры!AT$53,Параметры!AT$59)*(1+AT659)</f>
        <v>0</v>
      </c>
      <c r="AU667" s="185">
        <f>IF(SUM($G660:AU660)&gt;0.01,0,MAX(SUM($G656:AU656)-SUM($G654:AU654)-$B655,0))*CHOOSE($D654,1,Параметры!AU$53,Параметры!AU$59)*(1+AU659)</f>
        <v>0</v>
      </c>
      <c r="AV667" s="185">
        <f>IF(SUM($G660:AV660)&gt;0.01,0,MAX(SUM($G656:AV656)-SUM($G654:AV654)-$B655,0))*CHOOSE($D654,1,Параметры!AV$53,Параметры!AV$59)*(1+AV659)</f>
        <v>0</v>
      </c>
      <c r="AW667" s="185">
        <f>IF(SUM($G660:AW660)&gt;0.01,0,MAX(SUM($G656:AW656)-SUM($G654:AW654)-$B655,0))*CHOOSE($D654,1,Параметры!AW$53,Параметры!AW$59)*(1+AW659)</f>
        <v>0</v>
      </c>
      <c r="AX667" s="185">
        <f>IF(SUM($G660:AX660)&gt;0.01,0,MAX(SUM($G656:AX656)-SUM($G654:AX654)-$B655,0))*CHOOSE($D654,1,Параметры!AX$53,Параметры!AX$59)*(1+AX659)</f>
        <v>0</v>
      </c>
      <c r="AY667" s="185">
        <f>IF(SUM($G660:AY660)&gt;0.01,0,MAX(SUM($G656:AY656)-SUM($G654:AY654)-$B655,0))*CHOOSE($D654,1,Параметры!AY$53,Параметры!AY$59)*(1+AY659)</f>
        <v>0</v>
      </c>
      <c r="AZ667" s="185">
        <f>IF(SUM($G660:AZ660)&gt;0.01,0,MAX(SUM($G656:AZ656)-SUM($G654:AZ654)-$B655,0))*CHOOSE($D654,1,Параметры!AZ$53,Параметры!AZ$59)*(1+AZ659)</f>
        <v>0</v>
      </c>
      <c r="BA667" s="185">
        <f>IF(SUM($G660:BA660)&gt;0.01,0,MAX(SUM($G656:BA656)-SUM($G654:BA654)-$B655,0))*CHOOSE($D654,1,Параметры!BA$53,Параметры!BA$59)*(1+BA659)</f>
        <v>0</v>
      </c>
      <c r="BB667" s="185">
        <f>IF(SUM($G660:BB660)&gt;0.01,0,MAX(SUM($G656:BB656)-SUM($G654:BB654)-$B655,0))*CHOOSE($D654,1,Параметры!BB$53,Параметры!BB$59)*(1+BB659)</f>
        <v>0</v>
      </c>
      <c r="BC667" s="185"/>
      <c r="BD667" s="186"/>
    </row>
    <row r="668" spans="1:56" ht="14.4" hidden="1" thickTop="1" x14ac:dyDescent="0.3">
      <c r="A668" s="184" t="str">
        <f ca="1">Language!A$1511</f>
        <v>НДС к кредиторской задолженности</v>
      </c>
      <c r="B668" s="170"/>
      <c r="C668" s="163" t="str">
        <f t="shared" ca="1" si="2724"/>
        <v>руб.</v>
      </c>
      <c r="D668" s="174">
        <v>1</v>
      </c>
      <c r="E668" s="170" t="s">
        <v>2294</v>
      </c>
      <c r="F668" s="170" t="s">
        <v>747</v>
      </c>
      <c r="G668" s="185">
        <f>MAX(SUM($G672:G672)-SUM($G671:G671)-SUM($G664:G664),0)</f>
        <v>0</v>
      </c>
      <c r="H668" s="185">
        <f>MAX(SUM($G672:H672)-SUM($G671:H671)-SUM($G664:H664),0)</f>
        <v>0</v>
      </c>
      <c r="I668" s="185">
        <f>MAX(SUM($G672:I672)-SUM($G671:I671)-SUM($G664:I664),0)</f>
        <v>0</v>
      </c>
      <c r="J668" s="185">
        <f>MAX(SUM($G672:J672)-SUM($G671:J671)-SUM($G664:J664),0)</f>
        <v>0</v>
      </c>
      <c r="K668" s="185">
        <f>MAX(SUM($G672:K672)-SUM($G671:K671)-SUM($G664:K664),0)</f>
        <v>0</v>
      </c>
      <c r="L668" s="185">
        <f>MAX(SUM($G672:L672)-SUM($G671:L671)-SUM($G664:L664),0)</f>
        <v>0</v>
      </c>
      <c r="M668" s="185">
        <f>MAX(SUM($G672:M672)-SUM($G671:M671)-SUM($G664:M664),0)</f>
        <v>0</v>
      </c>
      <c r="N668" s="185">
        <f>MAX(SUM($G672:N672)-SUM($G671:N671)-SUM($G664:N664),0)</f>
        <v>0</v>
      </c>
      <c r="O668" s="185">
        <f>MAX(SUM($G672:O672)-SUM($G671:O671)-SUM($G664:O664),0)</f>
        <v>0</v>
      </c>
      <c r="P668" s="185">
        <f>MAX(SUM($G672:P672)-SUM($G671:P671)-SUM($G664:P664),0)</f>
        <v>0</v>
      </c>
      <c r="Q668" s="185">
        <f>MAX(SUM($G672:Q672)-SUM($G671:Q671)-SUM($G664:Q664),0)</f>
        <v>0</v>
      </c>
      <c r="R668" s="185">
        <f>MAX(SUM($G672:R672)-SUM($G671:R671)-SUM($G664:R664),0)</f>
        <v>0</v>
      </c>
      <c r="S668" s="185">
        <f>MAX(SUM($G672:S672)-SUM($G671:S671)-SUM($G664:S664),0)</f>
        <v>0</v>
      </c>
      <c r="T668" s="185">
        <f>MAX(SUM($G672:T672)-SUM($G671:T671)-SUM($G664:T664),0)</f>
        <v>0</v>
      </c>
      <c r="U668" s="185">
        <f>MAX(SUM($G672:U672)-SUM($G671:U671)-SUM($G664:U664),0)</f>
        <v>0</v>
      </c>
      <c r="V668" s="185">
        <f>MAX(SUM($G672:V672)-SUM($G671:V671)-SUM($G664:V664),0)</f>
        <v>0</v>
      </c>
      <c r="W668" s="185">
        <f>MAX(SUM($G672:W672)-SUM($G671:W671)-SUM($G664:W664),0)</f>
        <v>0</v>
      </c>
      <c r="X668" s="185">
        <f>MAX(SUM($G672:X672)-SUM($G671:X671)-SUM($G664:X664),0)</f>
        <v>0</v>
      </c>
      <c r="Y668" s="185">
        <f>MAX(SUM($G672:Y672)-SUM($G671:Y671)-SUM($G664:Y664),0)</f>
        <v>0</v>
      </c>
      <c r="Z668" s="185">
        <f>MAX(SUM($G672:Z672)-SUM($G671:Z671)-SUM($G664:Z664),0)</f>
        <v>0</v>
      </c>
      <c r="AA668" s="185">
        <f>MAX(SUM($G672:AA672)-SUM($G671:AA671)-SUM($G664:AA664),0)</f>
        <v>0</v>
      </c>
      <c r="AB668" s="185">
        <f>MAX(SUM($G672:AB672)-SUM($G671:AB671)-SUM($G664:AB664),0)</f>
        <v>0</v>
      </c>
      <c r="AC668" s="185">
        <f>MAX(SUM($G672:AC672)-SUM($G671:AC671)-SUM($G664:AC664),0)</f>
        <v>0</v>
      </c>
      <c r="AD668" s="185">
        <f>MAX(SUM($G672:AD672)-SUM($G671:AD671)-SUM($G664:AD664),0)</f>
        <v>0</v>
      </c>
      <c r="AE668" s="185">
        <f>MAX(SUM($G672:AE672)-SUM($G671:AE671)-SUM($G664:AE664),0)</f>
        <v>0</v>
      </c>
      <c r="AF668" s="185">
        <f>MAX(SUM($G672:AF672)-SUM($G671:AF671)-SUM($G664:AF664),0)</f>
        <v>0</v>
      </c>
      <c r="AG668" s="185">
        <f>MAX(SUM($G672:AG672)-SUM($G671:AG671)-SUM($G664:AG664),0)</f>
        <v>0</v>
      </c>
      <c r="AH668" s="185">
        <f>MAX(SUM($G672:AH672)-SUM($G671:AH671)-SUM($G664:AH664),0)</f>
        <v>0</v>
      </c>
      <c r="AI668" s="185">
        <f>MAX(SUM($G672:AI672)-SUM($G671:AI671)-SUM($G664:AI664),0)</f>
        <v>0</v>
      </c>
      <c r="AJ668" s="185">
        <f>MAX(SUM($G672:AJ672)-SUM($G671:AJ671)-SUM($G664:AJ664),0)</f>
        <v>0</v>
      </c>
      <c r="AK668" s="185">
        <f>MAX(SUM($G672:AK672)-SUM($G671:AK671)-SUM($G664:AK664),0)</f>
        <v>0</v>
      </c>
      <c r="AL668" s="185">
        <f>MAX(SUM($G672:AL672)-SUM($G671:AL671)-SUM($G664:AL664),0)</f>
        <v>0</v>
      </c>
      <c r="AM668" s="185">
        <f>MAX(SUM($G672:AM672)-SUM($G671:AM671)-SUM($G664:AM664),0)</f>
        <v>0</v>
      </c>
      <c r="AN668" s="185">
        <f>MAX(SUM($G672:AN672)-SUM($G671:AN671)-SUM($G664:AN664),0)</f>
        <v>0</v>
      </c>
      <c r="AO668" s="185">
        <f>MAX(SUM($G672:AO672)-SUM($G671:AO671)-SUM($G664:AO664),0)</f>
        <v>0</v>
      </c>
      <c r="AP668" s="185">
        <f>MAX(SUM($G672:AP672)-SUM($G671:AP671)-SUM($G664:AP664),0)</f>
        <v>0</v>
      </c>
      <c r="AQ668" s="185">
        <f>MAX(SUM($G672:AQ672)-SUM($G671:AQ671)-SUM($G664:AQ664),0)</f>
        <v>0</v>
      </c>
      <c r="AR668" s="185">
        <f>MAX(SUM($G672:AR672)-SUM($G671:AR671)-SUM($G664:AR664),0)</f>
        <v>0</v>
      </c>
      <c r="AS668" s="185">
        <f>MAX(SUM($G672:AS672)-SUM($G671:AS671)-SUM($G664:AS664),0)</f>
        <v>0</v>
      </c>
      <c r="AT668" s="185">
        <f>MAX(SUM($G672:AT672)-SUM($G671:AT671)-SUM($G664:AT664),0)</f>
        <v>0</v>
      </c>
      <c r="AU668" s="185">
        <f>MAX(SUM($G672:AU672)-SUM($G671:AU671)-SUM($G664:AU664),0)</f>
        <v>0</v>
      </c>
      <c r="AV668" s="185">
        <f>MAX(SUM($G672:AV672)-SUM($G671:AV671)-SUM($G664:AV664),0)</f>
        <v>0</v>
      </c>
      <c r="AW668" s="185">
        <f>MAX(SUM($G672:AW672)-SUM($G671:AW671)-SUM($G664:AW664),0)</f>
        <v>0</v>
      </c>
      <c r="AX668" s="185">
        <f>MAX(SUM($G672:AX672)-SUM($G671:AX671)-SUM($G664:AX664),0)</f>
        <v>0</v>
      </c>
      <c r="AY668" s="185">
        <f>MAX(SUM($G672:AY672)-SUM($G671:AY671)-SUM($G664:AY664),0)</f>
        <v>0</v>
      </c>
      <c r="AZ668" s="185">
        <f>MAX(SUM($G672:AZ672)-SUM($G671:AZ671)-SUM($G664:AZ664),0)</f>
        <v>0</v>
      </c>
      <c r="BA668" s="185">
        <f>MAX(SUM($G672:BA672)-SUM($G671:BA671)-SUM($G664:BA664),0)</f>
        <v>0</v>
      </c>
      <c r="BB668" s="185">
        <f>MAX(SUM($G672:BB672)-SUM($G671:BB671)-SUM($G664:BB664),0)</f>
        <v>0</v>
      </c>
      <c r="BC668" s="185"/>
      <c r="BD668" s="186"/>
    </row>
    <row r="669" spans="1:56" ht="14.4" hidden="1" thickTop="1" x14ac:dyDescent="0.3">
      <c r="A669" s="184" t="str">
        <f ca="1">Language!A$887</f>
        <v>амортизация (бухгалтерская)</v>
      </c>
      <c r="B669" s="170"/>
      <c r="C669" s="163" t="str">
        <f t="shared" ca="1" si="2724"/>
        <v>руб.</v>
      </c>
      <c r="D669" s="174">
        <v>1</v>
      </c>
      <c r="E669" s="170" t="s">
        <v>756</v>
      </c>
      <c r="F669" s="170" t="s">
        <v>743</v>
      </c>
      <c r="G669" s="185">
        <f ca="1">IF(SUM($G660:G660)&gt;0.01,0,IF($B657=0,0,MIN((SUM($G665:G665)-IF(G$2&gt;$B657*12/Prj_Step,SUM($G665:OFFSET(G665,0,-$B657*12/Prj_Step)),0))/$B657/12*Параметры!G$31,IF(G$2=1,G665,F670+SUM($F665:G665)-SUM($F665:F665)))))</f>
        <v>0</v>
      </c>
      <c r="H669" s="185">
        <f ca="1">IF(SUM($G660:H660)&gt;0.01,0,IF($B657=0,0,MIN((SUM($G665:H665)-IF(H$2&gt;$B657*12/Prj_Step,SUM($G665:OFFSET(H665,0,-$B657*12/Prj_Step)),0))/$B657/12*Параметры!H$31,IF(H$2=1,H665,G670+SUM($F665:H665)-SUM($F665:G665)))))</f>
        <v>0</v>
      </c>
      <c r="I669" s="185">
        <f ca="1">IF(SUM($G660:I660)&gt;0.01,0,IF($B657=0,0,MIN((SUM($G665:I665)-IF(I$2&gt;$B657*12/Prj_Step,SUM($G665:OFFSET(I665,0,-$B657*12/Prj_Step)),0))/$B657/12*Параметры!I$31,IF(I$2=1,I665,H670+SUM($F665:I665)-SUM($F665:H665)))))</f>
        <v>0</v>
      </c>
      <c r="J669" s="185">
        <f ca="1">IF(SUM($G660:J660)&gt;0.01,0,IF($B657=0,0,MIN((SUM($G665:J665)-IF(J$2&gt;$B657*12/Prj_Step,SUM($G665:OFFSET(J665,0,-$B657*12/Prj_Step)),0))/$B657/12*Параметры!J$31,IF(J$2=1,J665,I670+SUM($F665:J665)-SUM($F665:I665)))))</f>
        <v>0</v>
      </c>
      <c r="K669" s="185">
        <f ca="1">IF(SUM($G660:K660)&gt;0.01,0,IF($B657=0,0,MIN((SUM($G665:K665)-IF(K$2&gt;$B657*12/Prj_Step,SUM($G665:OFFSET(K665,0,-$B657*12/Prj_Step)),0))/$B657/12*Параметры!K$31,IF(K$2=1,K665,J670+SUM($F665:K665)-SUM($F665:J665)))))</f>
        <v>0</v>
      </c>
      <c r="L669" s="185">
        <f ca="1">IF(SUM($G660:L660)&gt;0.01,0,IF($B657=0,0,MIN((SUM($G665:L665)-IF(L$2&gt;$B657*12/Prj_Step,SUM($G665:OFFSET(L665,0,-$B657*12/Prj_Step)),0))/$B657/12*Параметры!L$31,IF(L$2=1,L665,K670+SUM($F665:L665)-SUM($F665:K665)))))</f>
        <v>0</v>
      </c>
      <c r="M669" s="185">
        <f ca="1">IF(SUM($G660:M660)&gt;0.01,0,IF($B657=0,0,MIN((SUM($G665:M665)-IF(M$2&gt;$B657*12/Prj_Step,SUM($G665:OFFSET(M665,0,-$B657*12/Prj_Step)),0))/$B657/12*Параметры!M$31,IF(M$2=1,M665,L670+SUM($F665:M665)-SUM($F665:L665)))))</f>
        <v>0</v>
      </c>
      <c r="N669" s="185">
        <f ca="1">IF(SUM($G660:N660)&gt;0.01,0,IF($B657=0,0,MIN((SUM($G665:N665)-IF(N$2&gt;$B657*12/Prj_Step,SUM($G665:OFFSET(N665,0,-$B657*12/Prj_Step)),0))/$B657/12*Параметры!N$31,IF(N$2=1,N665,M670+SUM($F665:N665)-SUM($F665:M665)))))</f>
        <v>0</v>
      </c>
      <c r="O669" s="185">
        <f ca="1">IF(SUM($G660:O660)&gt;0.01,0,IF($B657=0,0,MIN((SUM($G665:O665)-IF(O$2&gt;$B657*12/Prj_Step,SUM($G665:OFFSET(O665,0,-$B657*12/Prj_Step)),0))/$B657/12*Параметры!O$31,IF(O$2=1,O665,N670+SUM($F665:O665)-SUM($F665:N665)))))</f>
        <v>0</v>
      </c>
      <c r="P669" s="185">
        <f ca="1">IF(SUM($G660:P660)&gt;0.01,0,IF($B657=0,0,MIN((SUM($G665:P665)-IF(P$2&gt;$B657*12/Prj_Step,SUM($G665:OFFSET(P665,0,-$B657*12/Prj_Step)),0))/$B657/12*Параметры!P$31,IF(P$2=1,P665,O670+SUM($F665:P665)-SUM($F665:O665)))))</f>
        <v>0</v>
      </c>
      <c r="Q669" s="185">
        <f ca="1">IF(SUM($G660:Q660)&gt;0.01,0,IF($B657=0,0,MIN((SUM($G665:Q665)-IF(Q$2&gt;$B657*12/Prj_Step,SUM($G665:OFFSET(Q665,0,-$B657*12/Prj_Step)),0))/$B657/12*Параметры!Q$31,IF(Q$2=1,Q665,P670+SUM($F665:Q665)-SUM($F665:P665)))))</f>
        <v>0</v>
      </c>
      <c r="R669" s="185">
        <f ca="1">IF(SUM($G660:R660)&gt;0.01,0,IF($B657=0,0,MIN((SUM($G665:R665)-IF(R$2&gt;$B657*12/Prj_Step,SUM($G665:OFFSET(R665,0,-$B657*12/Prj_Step)),0))/$B657/12*Параметры!R$31,IF(R$2=1,R665,Q670+SUM($F665:R665)-SUM($F665:Q665)))))</f>
        <v>0</v>
      </c>
      <c r="S669" s="185">
        <f ca="1">IF(SUM($G660:S660)&gt;0.01,0,IF($B657=0,0,MIN((SUM($G665:S665)-IF(S$2&gt;$B657*12/Prj_Step,SUM($G665:OFFSET(S665,0,-$B657*12/Prj_Step)),0))/$B657/12*Параметры!S$31,IF(S$2=1,S665,R670+SUM($F665:S665)-SUM($F665:R665)))))</f>
        <v>0</v>
      </c>
      <c r="T669" s="185">
        <f ca="1">IF(SUM($G660:T660)&gt;0.01,0,IF($B657=0,0,MIN((SUM($G665:T665)-IF(T$2&gt;$B657*12/Prj_Step,SUM($G665:OFFSET(T665,0,-$B657*12/Prj_Step)),0))/$B657/12*Параметры!T$31,IF(T$2=1,T665,S670+SUM($F665:T665)-SUM($F665:S665)))))</f>
        <v>0</v>
      </c>
      <c r="U669" s="185">
        <f ca="1">IF(SUM($G660:U660)&gt;0.01,0,IF($B657=0,0,MIN((SUM($G665:U665)-IF(U$2&gt;$B657*12/Prj_Step,SUM($G665:OFFSET(U665,0,-$B657*12/Prj_Step)),0))/$B657/12*Параметры!U$31,IF(U$2=1,U665,T670+SUM($F665:U665)-SUM($F665:T665)))))</f>
        <v>0</v>
      </c>
      <c r="V669" s="185">
        <f ca="1">IF(SUM($G660:V660)&gt;0.01,0,IF($B657=0,0,MIN((SUM($G665:V665)-IF(V$2&gt;$B657*12/Prj_Step,SUM($G665:OFFSET(V665,0,-$B657*12/Prj_Step)),0))/$B657/12*Параметры!V$31,IF(V$2=1,V665,U670+SUM($F665:V665)-SUM($F665:U665)))))</f>
        <v>0</v>
      </c>
      <c r="W669" s="185">
        <f ca="1">IF(SUM($G660:W660)&gt;0.01,0,IF($B657=0,0,MIN((SUM($G665:W665)-IF(W$2&gt;$B657*12/Prj_Step,SUM($G665:OFFSET(W665,0,-$B657*12/Prj_Step)),0))/$B657/12*Параметры!W$31,IF(W$2=1,W665,V670+SUM($F665:W665)-SUM($F665:V665)))))</f>
        <v>0</v>
      </c>
      <c r="X669" s="185">
        <f ca="1">IF(SUM($G660:X660)&gt;0.01,0,IF($B657=0,0,MIN((SUM($G665:X665)-IF(X$2&gt;$B657*12/Prj_Step,SUM($G665:OFFSET(X665,0,-$B657*12/Prj_Step)),0))/$B657/12*Параметры!X$31,IF(X$2=1,X665,W670+SUM($F665:X665)-SUM($F665:W665)))))</f>
        <v>0</v>
      </c>
      <c r="Y669" s="185">
        <f ca="1">IF(SUM($G660:Y660)&gt;0.01,0,IF($B657=0,0,MIN((SUM($G665:Y665)-IF(Y$2&gt;$B657*12/Prj_Step,SUM($G665:OFFSET(Y665,0,-$B657*12/Prj_Step)),0))/$B657/12*Параметры!Y$31,IF(Y$2=1,Y665,X670+SUM($F665:Y665)-SUM($F665:X665)))))</f>
        <v>0</v>
      </c>
      <c r="Z669" s="185">
        <f ca="1">IF(SUM($G660:Z660)&gt;0.01,0,IF($B657=0,0,MIN((SUM($G665:Z665)-IF(Z$2&gt;$B657*12/Prj_Step,SUM($G665:OFFSET(Z665,0,-$B657*12/Prj_Step)),0))/$B657/12*Параметры!Z$31,IF(Z$2=1,Z665,Y670+SUM($F665:Z665)-SUM($F665:Y665)))))</f>
        <v>0</v>
      </c>
      <c r="AA669" s="185">
        <f ca="1">IF(SUM($G660:AA660)&gt;0.01,0,IF($B657=0,0,MIN((SUM($G665:AA665)-IF(AA$2&gt;$B657*12/Prj_Step,SUM($G665:OFFSET(AA665,0,-$B657*12/Prj_Step)),0))/$B657/12*Параметры!AA$31,IF(AA$2=1,AA665,Z670+SUM($F665:AA665)-SUM($F665:Z665)))))</f>
        <v>0</v>
      </c>
      <c r="AB669" s="185">
        <f ca="1">IF(SUM($G660:AB660)&gt;0.01,0,IF($B657=0,0,MIN((SUM($G665:AB665)-IF(AB$2&gt;$B657*12/Prj_Step,SUM($G665:OFFSET(AB665,0,-$B657*12/Prj_Step)),0))/$B657/12*Параметры!AB$31,IF(AB$2=1,AB665,AA670+SUM($F665:AB665)-SUM($F665:AA665)))))</f>
        <v>0</v>
      </c>
      <c r="AC669" s="185">
        <f ca="1">IF(SUM($G660:AC660)&gt;0.01,0,IF($B657=0,0,MIN((SUM($G665:AC665)-IF(AC$2&gt;$B657*12/Prj_Step,SUM($G665:OFFSET(AC665,0,-$B657*12/Prj_Step)),0))/$B657/12*Параметры!AC$31,IF(AC$2=1,AC665,AB670+SUM($F665:AC665)-SUM($F665:AB665)))))</f>
        <v>0</v>
      </c>
      <c r="AD669" s="185">
        <f ca="1">IF(SUM($G660:AD660)&gt;0.01,0,IF($B657=0,0,MIN((SUM($G665:AD665)-IF(AD$2&gt;$B657*12/Prj_Step,SUM($G665:OFFSET(AD665,0,-$B657*12/Prj_Step)),0))/$B657/12*Параметры!AD$31,IF(AD$2=1,AD665,AC670+SUM($F665:AD665)-SUM($F665:AC665)))))</f>
        <v>0</v>
      </c>
      <c r="AE669" s="185">
        <f ca="1">IF(SUM($G660:AE660)&gt;0.01,0,IF($B657=0,0,MIN((SUM($G665:AE665)-IF(AE$2&gt;$B657*12/Prj_Step,SUM($G665:OFFSET(AE665,0,-$B657*12/Prj_Step)),0))/$B657/12*Параметры!AE$31,IF(AE$2=1,AE665,AD670+SUM($F665:AE665)-SUM($F665:AD665)))))</f>
        <v>0</v>
      </c>
      <c r="AF669" s="185">
        <f ca="1">IF(SUM($G660:AF660)&gt;0.01,0,IF($B657=0,0,MIN((SUM($G665:AF665)-IF(AF$2&gt;$B657*12/Prj_Step,SUM($G665:OFFSET(AF665,0,-$B657*12/Prj_Step)),0))/$B657/12*Параметры!AF$31,IF(AF$2=1,AF665,AE670+SUM($F665:AF665)-SUM($F665:AE665)))))</f>
        <v>0</v>
      </c>
      <c r="AG669" s="185">
        <f ca="1">IF(SUM($G660:AG660)&gt;0.01,0,IF($B657=0,0,MIN((SUM($G665:AG665)-IF(AG$2&gt;$B657*12/Prj_Step,SUM($G665:OFFSET(AG665,0,-$B657*12/Prj_Step)),0))/$B657/12*Параметры!AG$31,IF(AG$2=1,AG665,AF670+SUM($F665:AG665)-SUM($F665:AF665)))))</f>
        <v>0</v>
      </c>
      <c r="AH669" s="185">
        <f ca="1">IF(SUM($G660:AH660)&gt;0.01,0,IF($B657=0,0,MIN((SUM($G665:AH665)-IF(AH$2&gt;$B657*12/Prj_Step,SUM($G665:OFFSET(AH665,0,-$B657*12/Prj_Step)),0))/$B657/12*Параметры!AH$31,IF(AH$2=1,AH665,AG670+SUM($F665:AH665)-SUM($F665:AG665)))))</f>
        <v>0</v>
      </c>
      <c r="AI669" s="185">
        <f ca="1">IF(SUM($G660:AI660)&gt;0.01,0,IF($B657=0,0,MIN((SUM($G665:AI665)-IF(AI$2&gt;$B657*12/Prj_Step,SUM($G665:OFFSET(AI665,0,-$B657*12/Prj_Step)),0))/$B657/12*Параметры!AI$31,IF(AI$2=1,AI665,AH670+SUM($F665:AI665)-SUM($F665:AH665)))))</f>
        <v>0</v>
      </c>
      <c r="AJ669" s="185">
        <f ca="1">IF(SUM($G660:AJ660)&gt;0.01,0,IF($B657=0,0,MIN((SUM($G665:AJ665)-IF(AJ$2&gt;$B657*12/Prj_Step,SUM($G665:OFFSET(AJ665,0,-$B657*12/Prj_Step)),0))/$B657/12*Параметры!AJ$31,IF(AJ$2=1,AJ665,AI670+SUM($F665:AJ665)-SUM($F665:AI665)))))</f>
        <v>0</v>
      </c>
      <c r="AK669" s="185">
        <f ca="1">IF(SUM($G660:AK660)&gt;0.01,0,IF($B657=0,0,MIN((SUM($G665:AK665)-IF(AK$2&gt;$B657*12/Prj_Step,SUM($G665:OFFSET(AK665,0,-$B657*12/Prj_Step)),0))/$B657/12*Параметры!AK$31,IF(AK$2=1,AK665,AJ670+SUM($F665:AK665)-SUM($F665:AJ665)))))</f>
        <v>0</v>
      </c>
      <c r="AL669" s="185">
        <f ca="1">IF(SUM($G660:AL660)&gt;0.01,0,IF($B657=0,0,MIN((SUM($G665:AL665)-IF(AL$2&gt;$B657*12/Prj_Step,SUM($G665:OFFSET(AL665,0,-$B657*12/Prj_Step)),0))/$B657/12*Параметры!AL$31,IF(AL$2=1,AL665,AK670+SUM($F665:AL665)-SUM($F665:AK665)))))</f>
        <v>0</v>
      </c>
      <c r="AM669" s="185">
        <f ca="1">IF(SUM($G660:AM660)&gt;0.01,0,IF($B657=0,0,MIN((SUM($G665:AM665)-IF(AM$2&gt;$B657*12/Prj_Step,SUM($G665:OFFSET(AM665,0,-$B657*12/Prj_Step)),0))/$B657/12*Параметры!AM$31,IF(AM$2=1,AM665,AL670+SUM($F665:AM665)-SUM($F665:AL665)))))</f>
        <v>0</v>
      </c>
      <c r="AN669" s="185">
        <f ca="1">IF(SUM($G660:AN660)&gt;0.01,0,IF($B657=0,0,MIN((SUM($G665:AN665)-IF(AN$2&gt;$B657*12/Prj_Step,SUM($G665:OFFSET(AN665,0,-$B657*12/Prj_Step)),0))/$B657/12*Параметры!AN$31,IF(AN$2=1,AN665,AM670+SUM($F665:AN665)-SUM($F665:AM665)))))</f>
        <v>0</v>
      </c>
      <c r="AO669" s="185">
        <f ca="1">IF(SUM($G660:AO660)&gt;0.01,0,IF($B657=0,0,MIN((SUM($G665:AO665)-IF(AO$2&gt;$B657*12/Prj_Step,SUM($G665:OFFSET(AO665,0,-$B657*12/Prj_Step)),0))/$B657/12*Параметры!AO$31,IF(AO$2=1,AO665,AN670+SUM($F665:AO665)-SUM($F665:AN665)))))</f>
        <v>0</v>
      </c>
      <c r="AP669" s="185">
        <f ca="1">IF(SUM($G660:AP660)&gt;0.01,0,IF($B657=0,0,MIN((SUM($G665:AP665)-IF(AP$2&gt;$B657*12/Prj_Step,SUM($G665:OFFSET(AP665,0,-$B657*12/Prj_Step)),0))/$B657/12*Параметры!AP$31,IF(AP$2=1,AP665,AO670+SUM($F665:AP665)-SUM($F665:AO665)))))</f>
        <v>0</v>
      </c>
      <c r="AQ669" s="185">
        <f ca="1">IF(SUM($G660:AQ660)&gt;0.01,0,IF($B657=0,0,MIN((SUM($G665:AQ665)-IF(AQ$2&gt;$B657*12/Prj_Step,SUM($G665:OFFSET(AQ665,0,-$B657*12/Prj_Step)),0))/$B657/12*Параметры!AQ$31,IF(AQ$2=1,AQ665,AP670+SUM($F665:AQ665)-SUM($F665:AP665)))))</f>
        <v>0</v>
      </c>
      <c r="AR669" s="185">
        <f ca="1">IF(SUM($G660:AR660)&gt;0.01,0,IF($B657=0,0,MIN((SUM($G665:AR665)-IF(AR$2&gt;$B657*12/Prj_Step,SUM($G665:OFFSET(AR665,0,-$B657*12/Prj_Step)),0))/$B657/12*Параметры!AR$31,IF(AR$2=1,AR665,AQ670+SUM($F665:AR665)-SUM($F665:AQ665)))))</f>
        <v>0</v>
      </c>
      <c r="AS669" s="185">
        <f ca="1">IF(SUM($G660:AS660)&gt;0.01,0,IF($B657=0,0,MIN((SUM($G665:AS665)-IF(AS$2&gt;$B657*12/Prj_Step,SUM($G665:OFFSET(AS665,0,-$B657*12/Prj_Step)),0))/$B657/12*Параметры!AS$31,IF(AS$2=1,AS665,AR670+SUM($F665:AS665)-SUM($F665:AR665)))))</f>
        <v>0</v>
      </c>
      <c r="AT669" s="185">
        <f ca="1">IF(SUM($G660:AT660)&gt;0.01,0,IF($B657=0,0,MIN((SUM($G665:AT665)-IF(AT$2&gt;$B657*12/Prj_Step,SUM($G665:OFFSET(AT665,0,-$B657*12/Prj_Step)),0))/$B657/12*Параметры!AT$31,IF(AT$2=1,AT665,AS670+SUM($F665:AT665)-SUM($F665:AS665)))))</f>
        <v>0</v>
      </c>
      <c r="AU669" s="185">
        <f ca="1">IF(SUM($G660:AU660)&gt;0.01,0,IF($B657=0,0,MIN((SUM($G665:AU665)-IF(AU$2&gt;$B657*12/Prj_Step,SUM($G665:OFFSET(AU665,0,-$B657*12/Prj_Step)),0))/$B657/12*Параметры!AU$31,IF(AU$2=1,AU665,AT670+SUM($F665:AU665)-SUM($F665:AT665)))))</f>
        <v>0</v>
      </c>
      <c r="AV669" s="185">
        <f ca="1">IF(SUM($G660:AV660)&gt;0.01,0,IF($B657=0,0,MIN((SUM($G665:AV665)-IF(AV$2&gt;$B657*12/Prj_Step,SUM($G665:OFFSET(AV665,0,-$B657*12/Prj_Step)),0))/$B657/12*Параметры!AV$31,IF(AV$2=1,AV665,AU670+SUM($F665:AV665)-SUM($F665:AU665)))))</f>
        <v>0</v>
      </c>
      <c r="AW669" s="185">
        <f ca="1">IF(SUM($G660:AW660)&gt;0.01,0,IF($B657=0,0,MIN((SUM($G665:AW665)-IF(AW$2&gt;$B657*12/Prj_Step,SUM($G665:OFFSET(AW665,0,-$B657*12/Prj_Step)),0))/$B657/12*Параметры!AW$31,IF(AW$2=1,AW665,AV670+SUM($F665:AW665)-SUM($F665:AV665)))))</f>
        <v>0</v>
      </c>
      <c r="AX669" s="185">
        <f ca="1">IF(SUM($G660:AX660)&gt;0.01,0,IF($B657=0,0,MIN((SUM($G665:AX665)-IF(AX$2&gt;$B657*12/Prj_Step,SUM($G665:OFFSET(AX665,0,-$B657*12/Prj_Step)),0))/$B657/12*Параметры!AX$31,IF(AX$2=1,AX665,AW670+SUM($F665:AX665)-SUM($F665:AW665)))))</f>
        <v>0</v>
      </c>
      <c r="AY669" s="185">
        <f ca="1">IF(SUM($G660:AY660)&gt;0.01,0,IF($B657=0,0,MIN((SUM($G665:AY665)-IF(AY$2&gt;$B657*12/Prj_Step,SUM($G665:OFFSET(AY665,0,-$B657*12/Prj_Step)),0))/$B657/12*Параметры!AY$31,IF(AY$2=1,AY665,AX670+SUM($F665:AY665)-SUM($F665:AX665)))))</f>
        <v>0</v>
      </c>
      <c r="AZ669" s="185">
        <f ca="1">IF(SUM($G660:AZ660)&gt;0.01,0,IF($B657=0,0,MIN((SUM($G665:AZ665)-IF(AZ$2&gt;$B657*12/Prj_Step,SUM($G665:OFFSET(AZ665,0,-$B657*12/Prj_Step)),0))/$B657/12*Параметры!AZ$31,IF(AZ$2=1,AZ665,AY670+SUM($F665:AZ665)-SUM($F665:AY665)))))</f>
        <v>0</v>
      </c>
      <c r="BA669" s="185">
        <f ca="1">IF(SUM($G660:BA660)&gt;0.01,0,IF($B657=0,0,MIN((SUM($G665:BA665)-IF(BA$2&gt;$B657*12/Prj_Step,SUM($G665:OFFSET(BA665,0,-$B657*12/Prj_Step)),0))/$B657/12*Параметры!BA$31,IF(BA$2=1,BA665,AZ670+SUM($F665:BA665)-SUM($F665:AZ665)))))</f>
        <v>0</v>
      </c>
      <c r="BB669" s="185">
        <f ca="1">IF(SUM($G660:BB660)&gt;0.01,0,IF($B657=0,0,MIN((SUM($G665:BB665)-IF(BB$2&gt;$B657*12/Prj_Step,SUM($G665:OFFSET(BB665,0,-$B657*12/Prj_Step)),0))/$B657/12*Параметры!BB$31,IF(BB$2=1,BB665,BA670+SUM($F665:BB665)-SUM($F665:BA665)))))</f>
        <v>0</v>
      </c>
      <c r="BC669" s="185"/>
      <c r="BD669" s="193">
        <f ca="1">SUM(G669:BC669)</f>
        <v>0</v>
      </c>
    </row>
    <row r="670" spans="1:56" ht="14.4" hidden="1" thickTop="1" x14ac:dyDescent="0.3">
      <c r="A670" s="184" t="str">
        <f ca="1">Language!A$888</f>
        <v>балансовая стоимость (бухгалтерская)</v>
      </c>
      <c r="B670" s="170"/>
      <c r="C670" s="163" t="str">
        <f t="shared" ca="1" si="2724"/>
        <v>руб.</v>
      </c>
      <c r="D670" s="174">
        <v>1</v>
      </c>
      <c r="E670" s="170" t="s">
        <v>757</v>
      </c>
      <c r="F670" s="170" t="s">
        <v>747</v>
      </c>
      <c r="G670" s="185">
        <f ca="1">IF(SUM($G660:G660)&gt;0.01,0,SUM($G665:G665)-SUM($G669:G669))</f>
        <v>0</v>
      </c>
      <c r="H670" s="185">
        <f ca="1">IF(SUM($G660:H660)&gt;0.01,0,SUM($G665:H665)-SUM($G669:H669))</f>
        <v>0</v>
      </c>
      <c r="I670" s="185">
        <f ca="1">IF(SUM($G660:I660)&gt;0.01,0,SUM($G665:I665)-SUM($G669:I669))</f>
        <v>0</v>
      </c>
      <c r="J670" s="185">
        <f ca="1">IF(SUM($G660:J660)&gt;0.01,0,SUM($G665:J665)-SUM($G669:J669))</f>
        <v>0</v>
      </c>
      <c r="K670" s="185">
        <f ca="1">IF(SUM($G660:K660)&gt;0.01,0,SUM($G665:K665)-SUM($G669:K669))</f>
        <v>0</v>
      </c>
      <c r="L670" s="185">
        <f ca="1">IF(SUM($G660:L660)&gt;0.01,0,SUM($G665:L665)-SUM($G669:L669))</f>
        <v>0</v>
      </c>
      <c r="M670" s="185">
        <f ca="1">IF(SUM($G660:M660)&gt;0.01,0,SUM($G665:M665)-SUM($G669:M669))</f>
        <v>0</v>
      </c>
      <c r="N670" s="185">
        <f ca="1">IF(SUM($G660:N660)&gt;0.01,0,SUM($G665:N665)-SUM($G669:N669))</f>
        <v>0</v>
      </c>
      <c r="O670" s="185">
        <f ca="1">IF(SUM($G660:O660)&gt;0.01,0,SUM($G665:O665)-SUM($G669:O669))</f>
        <v>0</v>
      </c>
      <c r="P670" s="185">
        <f ca="1">IF(SUM($G660:P660)&gt;0.01,0,SUM($G665:P665)-SUM($G669:P669))</f>
        <v>0</v>
      </c>
      <c r="Q670" s="185">
        <f ca="1">IF(SUM($G660:Q660)&gt;0.01,0,SUM($G665:Q665)-SUM($G669:Q669))</f>
        <v>0</v>
      </c>
      <c r="R670" s="185">
        <f ca="1">IF(SUM($G660:R660)&gt;0.01,0,SUM($G665:R665)-SUM($G669:R669))</f>
        <v>0</v>
      </c>
      <c r="S670" s="185">
        <f ca="1">IF(SUM($G660:S660)&gt;0.01,0,SUM($G665:S665)-SUM($G669:S669))</f>
        <v>0</v>
      </c>
      <c r="T670" s="185">
        <f ca="1">IF(SUM($G660:T660)&gt;0.01,0,SUM($G665:T665)-SUM($G669:T669))</f>
        <v>0</v>
      </c>
      <c r="U670" s="185">
        <f ca="1">IF(SUM($G660:U660)&gt;0.01,0,SUM($G665:U665)-SUM($G669:U669))</f>
        <v>0</v>
      </c>
      <c r="V670" s="185">
        <f ca="1">IF(SUM($G660:V660)&gt;0.01,0,SUM($G665:V665)-SUM($G669:V669))</f>
        <v>0</v>
      </c>
      <c r="W670" s="185">
        <f ca="1">IF(SUM($G660:W660)&gt;0.01,0,SUM($G665:W665)-SUM($G669:W669))</f>
        <v>0</v>
      </c>
      <c r="X670" s="185">
        <f ca="1">IF(SUM($G660:X660)&gt;0.01,0,SUM($G665:X665)-SUM($G669:X669))</f>
        <v>0</v>
      </c>
      <c r="Y670" s="185">
        <f ca="1">IF(SUM($G660:Y660)&gt;0.01,0,SUM($G665:Y665)-SUM($G669:Y669))</f>
        <v>0</v>
      </c>
      <c r="Z670" s="185">
        <f ca="1">IF(SUM($G660:Z660)&gt;0.01,0,SUM($G665:Z665)-SUM($G669:Z669))</f>
        <v>0</v>
      </c>
      <c r="AA670" s="185">
        <f ca="1">IF(SUM($G660:AA660)&gt;0.01,0,SUM($G665:AA665)-SUM($G669:AA669))</f>
        <v>0</v>
      </c>
      <c r="AB670" s="185">
        <f ca="1">IF(SUM($G660:AB660)&gt;0.01,0,SUM($G665:AB665)-SUM($G669:AB669))</f>
        <v>0</v>
      </c>
      <c r="AC670" s="185">
        <f ca="1">IF(SUM($G660:AC660)&gt;0.01,0,SUM($G665:AC665)-SUM($G669:AC669))</f>
        <v>0</v>
      </c>
      <c r="AD670" s="185">
        <f ca="1">IF(SUM($G660:AD660)&gt;0.01,0,SUM($G665:AD665)-SUM($G669:AD669))</f>
        <v>0</v>
      </c>
      <c r="AE670" s="185">
        <f ca="1">IF(SUM($G660:AE660)&gt;0.01,0,SUM($G665:AE665)-SUM($G669:AE669))</f>
        <v>0</v>
      </c>
      <c r="AF670" s="185">
        <f ca="1">IF(SUM($G660:AF660)&gt;0.01,0,SUM($G665:AF665)-SUM($G669:AF669))</f>
        <v>0</v>
      </c>
      <c r="AG670" s="185">
        <f ca="1">IF(SUM($G660:AG660)&gt;0.01,0,SUM($G665:AG665)-SUM($G669:AG669))</f>
        <v>0</v>
      </c>
      <c r="AH670" s="185">
        <f ca="1">IF(SUM($G660:AH660)&gt;0.01,0,SUM($G665:AH665)-SUM($G669:AH669))</f>
        <v>0</v>
      </c>
      <c r="AI670" s="185">
        <f ca="1">IF(SUM($G660:AI660)&gt;0.01,0,SUM($G665:AI665)-SUM($G669:AI669))</f>
        <v>0</v>
      </c>
      <c r="AJ670" s="185">
        <f ca="1">IF(SUM($G660:AJ660)&gt;0.01,0,SUM($G665:AJ665)-SUM($G669:AJ669))</f>
        <v>0</v>
      </c>
      <c r="AK670" s="185">
        <f ca="1">IF(SUM($G660:AK660)&gt;0.01,0,SUM($G665:AK665)-SUM($G669:AK669))</f>
        <v>0</v>
      </c>
      <c r="AL670" s="185">
        <f ca="1">IF(SUM($G660:AL660)&gt;0.01,0,SUM($G665:AL665)-SUM($G669:AL669))</f>
        <v>0</v>
      </c>
      <c r="AM670" s="185">
        <f ca="1">IF(SUM($G660:AM660)&gt;0.01,0,SUM($G665:AM665)-SUM($G669:AM669))</f>
        <v>0</v>
      </c>
      <c r="AN670" s="185">
        <f ca="1">IF(SUM($G660:AN660)&gt;0.01,0,SUM($G665:AN665)-SUM($G669:AN669))</f>
        <v>0</v>
      </c>
      <c r="AO670" s="185">
        <f ca="1">IF(SUM($G660:AO660)&gt;0.01,0,SUM($G665:AO665)-SUM($G669:AO669))</f>
        <v>0</v>
      </c>
      <c r="AP670" s="185">
        <f ca="1">IF(SUM($G660:AP660)&gt;0.01,0,SUM($G665:AP665)-SUM($G669:AP669))</f>
        <v>0</v>
      </c>
      <c r="AQ670" s="185">
        <f ca="1">IF(SUM($G660:AQ660)&gt;0.01,0,SUM($G665:AQ665)-SUM($G669:AQ669))</f>
        <v>0</v>
      </c>
      <c r="AR670" s="185">
        <f ca="1">IF(SUM($G660:AR660)&gt;0.01,0,SUM($G665:AR665)-SUM($G669:AR669))</f>
        <v>0</v>
      </c>
      <c r="AS670" s="185">
        <f ca="1">IF(SUM($G660:AS660)&gt;0.01,0,SUM($G665:AS665)-SUM($G669:AS669))</f>
        <v>0</v>
      </c>
      <c r="AT670" s="185">
        <f ca="1">IF(SUM($G660:AT660)&gt;0.01,0,SUM($G665:AT665)-SUM($G669:AT669))</f>
        <v>0</v>
      </c>
      <c r="AU670" s="185">
        <f ca="1">IF(SUM($G660:AU660)&gt;0.01,0,SUM($G665:AU665)-SUM($G669:AU669))</f>
        <v>0</v>
      </c>
      <c r="AV670" s="185">
        <f ca="1">IF(SUM($G660:AV660)&gt;0.01,0,SUM($G665:AV665)-SUM($G669:AV669))</f>
        <v>0</v>
      </c>
      <c r="AW670" s="185">
        <f ca="1">IF(SUM($G660:AW660)&gt;0.01,0,SUM($G665:AW665)-SUM($G669:AW669))</f>
        <v>0</v>
      </c>
      <c r="AX670" s="185">
        <f ca="1">IF(SUM($G660:AX660)&gt;0.01,0,SUM($G665:AX665)-SUM($G669:AX669))</f>
        <v>0</v>
      </c>
      <c r="AY670" s="185">
        <f ca="1">IF(SUM($G660:AY660)&gt;0.01,0,SUM($G665:AY665)-SUM($G669:AY669))</f>
        <v>0</v>
      </c>
      <c r="AZ670" s="185">
        <f ca="1">IF(SUM($G660:AZ660)&gt;0.01,0,SUM($G665:AZ665)-SUM($G669:AZ669))</f>
        <v>0</v>
      </c>
      <c r="BA670" s="185">
        <f ca="1">IF(SUM($G660:BA660)&gt;0.01,0,SUM($G665:BA665)-SUM($G669:BA669))</f>
        <v>0</v>
      </c>
      <c r="BB670" s="185">
        <f ca="1">IF(SUM($G660:BB660)&gt;0.01,0,SUM($G665:BB665)-SUM($G669:BB669))</f>
        <v>0</v>
      </c>
      <c r="BC670" s="185"/>
      <c r="BD670" s="186"/>
    </row>
    <row r="671" spans="1:56" ht="14.4" hidden="1" thickTop="1" x14ac:dyDescent="0.3">
      <c r="A671" s="184" t="str">
        <f ca="1">Language!A$889</f>
        <v>выплаченный НДС</v>
      </c>
      <c r="B671" s="170"/>
      <c r="C671" s="163" t="str">
        <f t="shared" ca="1" si="2724"/>
        <v>руб.</v>
      </c>
      <c r="D671" s="174">
        <v>1</v>
      </c>
      <c r="E671" s="170" t="s">
        <v>758</v>
      </c>
      <c r="F671" s="170" t="s">
        <v>743</v>
      </c>
      <c r="G671" s="185">
        <f t="shared" ref="G671:K671" si="2749">G661*G659</f>
        <v>0</v>
      </c>
      <c r="H671" s="185">
        <f t="shared" si="2749"/>
        <v>0</v>
      </c>
      <c r="I671" s="185">
        <f t="shared" si="2749"/>
        <v>0</v>
      </c>
      <c r="J671" s="185">
        <f t="shared" si="2749"/>
        <v>0</v>
      </c>
      <c r="K671" s="185">
        <f t="shared" si="2749"/>
        <v>0</v>
      </c>
      <c r="L671" s="185">
        <f t="shared" ref="L671:M671" si="2750">L661*L659</f>
        <v>0</v>
      </c>
      <c r="M671" s="185">
        <f t="shared" si="2750"/>
        <v>0</v>
      </c>
      <c r="N671" s="185">
        <f t="shared" ref="N671:O671" si="2751">N661*N659</f>
        <v>0</v>
      </c>
      <c r="O671" s="185">
        <f t="shared" si="2751"/>
        <v>0</v>
      </c>
      <c r="P671" s="185">
        <f t="shared" ref="P671:Q671" si="2752">P661*P659</f>
        <v>0</v>
      </c>
      <c r="Q671" s="185">
        <f t="shared" si="2752"/>
        <v>0</v>
      </c>
      <c r="R671" s="185">
        <f t="shared" ref="R671:S671" si="2753">R661*R659</f>
        <v>0</v>
      </c>
      <c r="S671" s="185">
        <f t="shared" si="2753"/>
        <v>0</v>
      </c>
      <c r="T671" s="185">
        <f t="shared" ref="T671:U671" si="2754">T661*T659</f>
        <v>0</v>
      </c>
      <c r="U671" s="185">
        <f t="shared" si="2754"/>
        <v>0</v>
      </c>
      <c r="V671" s="185">
        <f t="shared" ref="V671:W671" si="2755">V661*V659</f>
        <v>0</v>
      </c>
      <c r="W671" s="185">
        <f t="shared" si="2755"/>
        <v>0</v>
      </c>
      <c r="X671" s="185">
        <f t="shared" ref="X671:Y671" si="2756">X661*X659</f>
        <v>0</v>
      </c>
      <c r="Y671" s="185">
        <f t="shared" si="2756"/>
        <v>0</v>
      </c>
      <c r="Z671" s="185">
        <f t="shared" ref="Z671:AA671" si="2757">Z661*Z659</f>
        <v>0</v>
      </c>
      <c r="AA671" s="185">
        <f t="shared" si="2757"/>
        <v>0</v>
      </c>
      <c r="AB671" s="185">
        <f t="shared" ref="AB671:AC671" si="2758">AB661*AB659</f>
        <v>0</v>
      </c>
      <c r="AC671" s="185">
        <f t="shared" si="2758"/>
        <v>0</v>
      </c>
      <c r="AD671" s="185">
        <f t="shared" ref="AD671:AE671" si="2759">AD661*AD659</f>
        <v>0</v>
      </c>
      <c r="AE671" s="185">
        <f t="shared" si="2759"/>
        <v>0</v>
      </c>
      <c r="AF671" s="185">
        <f t="shared" ref="AF671:AG671" si="2760">AF661*AF659</f>
        <v>0</v>
      </c>
      <c r="AG671" s="185">
        <f t="shared" si="2760"/>
        <v>0</v>
      </c>
      <c r="AH671" s="185">
        <f t="shared" ref="AH671:AI671" si="2761">AH661*AH659</f>
        <v>0</v>
      </c>
      <c r="AI671" s="185">
        <f t="shared" si="2761"/>
        <v>0</v>
      </c>
      <c r="AJ671" s="185">
        <f t="shared" ref="AJ671:AK671" si="2762">AJ661*AJ659</f>
        <v>0</v>
      </c>
      <c r="AK671" s="185">
        <f t="shared" si="2762"/>
        <v>0</v>
      </c>
      <c r="AL671" s="185">
        <f t="shared" ref="AL671:AM671" si="2763">AL661*AL659</f>
        <v>0</v>
      </c>
      <c r="AM671" s="185">
        <f t="shared" si="2763"/>
        <v>0</v>
      </c>
      <c r="AN671" s="185">
        <f t="shared" ref="AN671:AO671" si="2764">AN661*AN659</f>
        <v>0</v>
      </c>
      <c r="AO671" s="185">
        <f t="shared" si="2764"/>
        <v>0</v>
      </c>
      <c r="AP671" s="185">
        <f t="shared" ref="AP671:AQ671" si="2765">AP661*AP659</f>
        <v>0</v>
      </c>
      <c r="AQ671" s="185">
        <f t="shared" si="2765"/>
        <v>0</v>
      </c>
      <c r="AR671" s="185">
        <f t="shared" ref="AR671:AS671" si="2766">AR661*AR659</f>
        <v>0</v>
      </c>
      <c r="AS671" s="185">
        <f t="shared" si="2766"/>
        <v>0</v>
      </c>
      <c r="AT671" s="185">
        <f t="shared" ref="AT671:AU671" si="2767">AT661*AT659</f>
        <v>0</v>
      </c>
      <c r="AU671" s="185">
        <f t="shared" si="2767"/>
        <v>0</v>
      </c>
      <c r="AV671" s="185">
        <f t="shared" ref="AV671:AW671" si="2768">AV661*AV659</f>
        <v>0</v>
      </c>
      <c r="AW671" s="185">
        <f t="shared" si="2768"/>
        <v>0</v>
      </c>
      <c r="AX671" s="185">
        <f t="shared" ref="AX671:AY671" si="2769">AX661*AX659</f>
        <v>0</v>
      </c>
      <c r="AY671" s="185">
        <f t="shared" si="2769"/>
        <v>0</v>
      </c>
      <c r="AZ671" s="185">
        <f t="shared" ref="AZ671:BA671" si="2770">AZ661*AZ659</f>
        <v>0</v>
      </c>
      <c r="BA671" s="185">
        <f t="shared" si="2770"/>
        <v>0</v>
      </c>
      <c r="BB671" s="185">
        <f t="shared" ref="BB671" si="2771">BB661*BB659</f>
        <v>0</v>
      </c>
      <c r="BC671" s="185"/>
      <c r="BD671" s="193">
        <f>SUM(G671:BC671)</f>
        <v>0</v>
      </c>
    </row>
    <row r="672" spans="1:56" ht="14.4" hidden="1" thickTop="1" x14ac:dyDescent="0.3">
      <c r="A672" s="184" t="str">
        <f ca="1">Language!A$890</f>
        <v>зачтенный НДС</v>
      </c>
      <c r="B672" s="170"/>
      <c r="C672" s="163" t="str">
        <f t="shared" ca="1" si="2724"/>
        <v>руб.</v>
      </c>
      <c r="D672" s="174">
        <v>1</v>
      </c>
      <c r="E672" s="170" t="s">
        <v>759</v>
      </c>
      <c r="F672" s="170" t="s">
        <v>743</v>
      </c>
      <c r="G672" s="185">
        <f t="shared" ref="G672:K672" si="2772">G665*G659</f>
        <v>0</v>
      </c>
      <c r="H672" s="185">
        <f t="shared" si="2772"/>
        <v>0</v>
      </c>
      <c r="I672" s="185">
        <f t="shared" si="2772"/>
        <v>0</v>
      </c>
      <c r="J672" s="185">
        <f t="shared" si="2772"/>
        <v>0</v>
      </c>
      <c r="K672" s="185">
        <f t="shared" si="2772"/>
        <v>0</v>
      </c>
      <c r="L672" s="185">
        <f t="shared" ref="L672:M672" si="2773">L665*L659</f>
        <v>0</v>
      </c>
      <c r="M672" s="185">
        <f t="shared" si="2773"/>
        <v>0</v>
      </c>
      <c r="N672" s="185">
        <f t="shared" ref="N672:O672" si="2774">N665*N659</f>
        <v>0</v>
      </c>
      <c r="O672" s="185">
        <f t="shared" si="2774"/>
        <v>0</v>
      </c>
      <c r="P672" s="185">
        <f t="shared" ref="P672:Q672" si="2775">P665*P659</f>
        <v>0</v>
      </c>
      <c r="Q672" s="185">
        <f t="shared" si="2775"/>
        <v>0</v>
      </c>
      <c r="R672" s="185">
        <f t="shared" ref="R672:S672" si="2776">R665*R659</f>
        <v>0</v>
      </c>
      <c r="S672" s="185">
        <f t="shared" si="2776"/>
        <v>0</v>
      </c>
      <c r="T672" s="185">
        <f t="shared" ref="T672:U672" si="2777">T665*T659</f>
        <v>0</v>
      </c>
      <c r="U672" s="185">
        <f t="shared" si="2777"/>
        <v>0</v>
      </c>
      <c r="V672" s="185">
        <f t="shared" ref="V672:W672" si="2778">V665*V659</f>
        <v>0</v>
      </c>
      <c r="W672" s="185">
        <f t="shared" si="2778"/>
        <v>0</v>
      </c>
      <c r="X672" s="185">
        <f t="shared" ref="X672:Y672" si="2779">X665*X659</f>
        <v>0</v>
      </c>
      <c r="Y672" s="185">
        <f t="shared" si="2779"/>
        <v>0</v>
      </c>
      <c r="Z672" s="185">
        <f t="shared" ref="Z672:AA672" si="2780">Z665*Z659</f>
        <v>0</v>
      </c>
      <c r="AA672" s="185">
        <f t="shared" si="2780"/>
        <v>0</v>
      </c>
      <c r="AB672" s="185">
        <f t="shared" ref="AB672:AC672" si="2781">AB665*AB659</f>
        <v>0</v>
      </c>
      <c r="AC672" s="185">
        <f t="shared" si="2781"/>
        <v>0</v>
      </c>
      <c r="AD672" s="185">
        <f t="shared" ref="AD672:AE672" si="2782">AD665*AD659</f>
        <v>0</v>
      </c>
      <c r="AE672" s="185">
        <f t="shared" si="2782"/>
        <v>0</v>
      </c>
      <c r="AF672" s="185">
        <f t="shared" ref="AF672:AG672" si="2783">AF665*AF659</f>
        <v>0</v>
      </c>
      <c r="AG672" s="185">
        <f t="shared" si="2783"/>
        <v>0</v>
      </c>
      <c r="AH672" s="185">
        <f t="shared" ref="AH672:AI672" si="2784">AH665*AH659</f>
        <v>0</v>
      </c>
      <c r="AI672" s="185">
        <f t="shared" si="2784"/>
        <v>0</v>
      </c>
      <c r="AJ672" s="185">
        <f t="shared" ref="AJ672:AK672" si="2785">AJ665*AJ659</f>
        <v>0</v>
      </c>
      <c r="AK672" s="185">
        <f t="shared" si="2785"/>
        <v>0</v>
      </c>
      <c r="AL672" s="185">
        <f t="shared" ref="AL672:AM672" si="2786">AL665*AL659</f>
        <v>0</v>
      </c>
      <c r="AM672" s="185">
        <f t="shared" si="2786"/>
        <v>0</v>
      </c>
      <c r="AN672" s="185">
        <f t="shared" ref="AN672:AO672" si="2787">AN665*AN659</f>
        <v>0</v>
      </c>
      <c r="AO672" s="185">
        <f t="shared" si="2787"/>
        <v>0</v>
      </c>
      <c r="AP672" s="185">
        <f t="shared" ref="AP672:AQ672" si="2788">AP665*AP659</f>
        <v>0</v>
      </c>
      <c r="AQ672" s="185">
        <f t="shared" si="2788"/>
        <v>0</v>
      </c>
      <c r="AR672" s="185">
        <f t="shared" ref="AR672:AS672" si="2789">AR665*AR659</f>
        <v>0</v>
      </c>
      <c r="AS672" s="185">
        <f t="shared" si="2789"/>
        <v>0</v>
      </c>
      <c r="AT672" s="185">
        <f t="shared" ref="AT672:AU672" si="2790">AT665*AT659</f>
        <v>0</v>
      </c>
      <c r="AU672" s="185">
        <f t="shared" si="2790"/>
        <v>0</v>
      </c>
      <c r="AV672" s="185">
        <f t="shared" ref="AV672:AW672" si="2791">AV665*AV659</f>
        <v>0</v>
      </c>
      <c r="AW672" s="185">
        <f t="shared" si="2791"/>
        <v>0</v>
      </c>
      <c r="AX672" s="185">
        <f t="shared" ref="AX672:AY672" si="2792">AX665*AX659</f>
        <v>0</v>
      </c>
      <c r="AY672" s="185">
        <f t="shared" si="2792"/>
        <v>0</v>
      </c>
      <c r="AZ672" s="185">
        <f t="shared" ref="AZ672:BA672" si="2793">AZ665*AZ659</f>
        <v>0</v>
      </c>
      <c r="BA672" s="185">
        <f t="shared" si="2793"/>
        <v>0</v>
      </c>
      <c r="BB672" s="185">
        <f t="shared" ref="BB672" si="2794">BB665*BB659</f>
        <v>0</v>
      </c>
      <c r="BC672" s="185"/>
      <c r="BD672" s="193">
        <f>SUM(G672:BC672)</f>
        <v>0</v>
      </c>
    </row>
    <row r="673" spans="1:56" ht="14.4" hidden="1" thickTop="1" x14ac:dyDescent="0.3">
      <c r="A673" s="184" t="str">
        <f ca="1">Language!A$891</f>
        <v>амортизация (налоговая)</v>
      </c>
      <c r="B673" s="170"/>
      <c r="C673" s="163" t="str">
        <f t="shared" ca="1" si="2724"/>
        <v>руб.</v>
      </c>
      <c r="D673" s="174">
        <v>1</v>
      </c>
      <c r="E673" s="170" t="s">
        <v>760</v>
      </c>
      <c r="F673" s="170" t="s">
        <v>743</v>
      </c>
      <c r="G673" s="185">
        <f ca="1">IF(SUM($G660:G660)&gt;0.01,0,$B658*G665+IF($B657=0,0,MIN((SUM($G665:G665)-IF(G$2&gt;$B657*12/Prj_Step,SUM($G665:OFFSET(G665,0,-$B657*12/Prj_Step)),0))*(1-$B658)/$B657/12*Параметры!G$31,IF(G$2=1,G665,F674+SUM($F665:G665)*(1-$B658)-SUM($F665:F665)*(1-$B658)))))</f>
        <v>0</v>
      </c>
      <c r="H673" s="185">
        <f ca="1">IF(SUM($G660:H660)&gt;0.01,0,$B658*H665+IF($B657=0,0,MIN((SUM($G665:H665)-IF(H$2&gt;$B657*12/Prj_Step,SUM($G665:OFFSET(H665,0,-$B657*12/Prj_Step)),0))*(1-$B658)/$B657/12*Параметры!H$31,IF(H$2=1,H665,G674+SUM($F665:H665)*(1-$B658)-SUM($F665:G665)*(1-$B658)))))</f>
        <v>0</v>
      </c>
      <c r="I673" s="185">
        <f ca="1">IF(SUM($G660:I660)&gt;0.01,0,$B658*I665+IF($B657=0,0,MIN((SUM($G665:I665)-IF(I$2&gt;$B657*12/Prj_Step,SUM($G665:OFFSET(I665,0,-$B657*12/Prj_Step)),0))*(1-$B658)/$B657/12*Параметры!I$31,IF(I$2=1,I665,H674+SUM($F665:I665)*(1-$B658)-SUM($F665:H665)*(1-$B658)))))</f>
        <v>0</v>
      </c>
      <c r="J673" s="185">
        <f ca="1">IF(SUM($G660:J660)&gt;0.01,0,$B658*J665+IF($B657=0,0,MIN((SUM($G665:J665)-IF(J$2&gt;$B657*12/Prj_Step,SUM($G665:OFFSET(J665,0,-$B657*12/Prj_Step)),0))*(1-$B658)/$B657/12*Параметры!J$31,IF(J$2=1,J665,I674+SUM($F665:J665)*(1-$B658)-SUM($F665:I665)*(1-$B658)))))</f>
        <v>0</v>
      </c>
      <c r="K673" s="185">
        <f ca="1">IF(SUM($G660:K660)&gt;0.01,0,$B658*K665+IF($B657=0,0,MIN((SUM($G665:K665)-IF(K$2&gt;$B657*12/Prj_Step,SUM($G665:OFFSET(K665,0,-$B657*12/Prj_Step)),0))*(1-$B658)/$B657/12*Параметры!K$31,IF(K$2=1,K665,J674+SUM($F665:K665)*(1-$B658)-SUM($F665:J665)*(1-$B658)))))</f>
        <v>0</v>
      </c>
      <c r="L673" s="185">
        <f ca="1">IF(SUM($G660:L660)&gt;0.01,0,$B658*L665+IF($B657=0,0,MIN((SUM($G665:L665)-IF(L$2&gt;$B657*12/Prj_Step,SUM($G665:OFFSET(L665,0,-$B657*12/Prj_Step)),0))*(1-$B658)/$B657/12*Параметры!L$31,IF(L$2=1,L665,K674+SUM($F665:L665)*(1-$B658)-SUM($F665:K665)*(1-$B658)))))</f>
        <v>0</v>
      </c>
      <c r="M673" s="185">
        <f ca="1">IF(SUM($G660:M660)&gt;0.01,0,$B658*M665+IF($B657=0,0,MIN((SUM($G665:M665)-IF(M$2&gt;$B657*12/Prj_Step,SUM($G665:OFFSET(M665,0,-$B657*12/Prj_Step)),0))*(1-$B658)/$B657/12*Параметры!M$31,IF(M$2=1,M665,L674+SUM($F665:M665)*(1-$B658)-SUM($F665:L665)*(1-$B658)))))</f>
        <v>0</v>
      </c>
      <c r="N673" s="185">
        <f ca="1">IF(SUM($G660:N660)&gt;0.01,0,$B658*N665+IF($B657=0,0,MIN((SUM($G665:N665)-IF(N$2&gt;$B657*12/Prj_Step,SUM($G665:OFFSET(N665,0,-$B657*12/Prj_Step)),0))*(1-$B658)/$B657/12*Параметры!N$31,IF(N$2=1,N665,M674+SUM($F665:N665)*(1-$B658)-SUM($F665:M665)*(1-$B658)))))</f>
        <v>0</v>
      </c>
      <c r="O673" s="185">
        <f ca="1">IF(SUM($G660:O660)&gt;0.01,0,$B658*O665+IF($B657=0,0,MIN((SUM($G665:O665)-IF(O$2&gt;$B657*12/Prj_Step,SUM($G665:OFFSET(O665,0,-$B657*12/Prj_Step)),0))*(1-$B658)/$B657/12*Параметры!O$31,IF(O$2=1,O665,N674+SUM($F665:O665)*(1-$B658)-SUM($F665:N665)*(1-$B658)))))</f>
        <v>0</v>
      </c>
      <c r="P673" s="185">
        <f ca="1">IF(SUM($G660:P660)&gt;0.01,0,$B658*P665+IF($B657=0,0,MIN((SUM($G665:P665)-IF(P$2&gt;$B657*12/Prj_Step,SUM($G665:OFFSET(P665,0,-$B657*12/Prj_Step)),0))*(1-$B658)/$B657/12*Параметры!P$31,IF(P$2=1,P665,O674+SUM($F665:P665)*(1-$B658)-SUM($F665:O665)*(1-$B658)))))</f>
        <v>0</v>
      </c>
      <c r="Q673" s="185">
        <f ca="1">IF(SUM($G660:Q660)&gt;0.01,0,$B658*Q665+IF($B657=0,0,MIN((SUM($G665:Q665)-IF(Q$2&gt;$B657*12/Prj_Step,SUM($G665:OFFSET(Q665,0,-$B657*12/Prj_Step)),0))*(1-$B658)/$B657/12*Параметры!Q$31,IF(Q$2=1,Q665,P674+SUM($F665:Q665)*(1-$B658)-SUM($F665:P665)*(1-$B658)))))</f>
        <v>0</v>
      </c>
      <c r="R673" s="185">
        <f ca="1">IF(SUM($G660:R660)&gt;0.01,0,$B658*R665+IF($B657=0,0,MIN((SUM($G665:R665)-IF(R$2&gt;$B657*12/Prj_Step,SUM($G665:OFFSET(R665,0,-$B657*12/Prj_Step)),0))*(1-$B658)/$B657/12*Параметры!R$31,IF(R$2=1,R665,Q674+SUM($F665:R665)*(1-$B658)-SUM($F665:Q665)*(1-$B658)))))</f>
        <v>0</v>
      </c>
      <c r="S673" s="185">
        <f ca="1">IF(SUM($G660:S660)&gt;0.01,0,$B658*S665+IF($B657=0,0,MIN((SUM($G665:S665)-IF(S$2&gt;$B657*12/Prj_Step,SUM($G665:OFFSET(S665,0,-$B657*12/Prj_Step)),0))*(1-$B658)/$B657/12*Параметры!S$31,IF(S$2=1,S665,R674+SUM($F665:S665)*(1-$B658)-SUM($F665:R665)*(1-$B658)))))</f>
        <v>0</v>
      </c>
      <c r="T673" s="185">
        <f ca="1">IF(SUM($G660:T660)&gt;0.01,0,$B658*T665+IF($B657=0,0,MIN((SUM($G665:T665)-IF(T$2&gt;$B657*12/Prj_Step,SUM($G665:OFFSET(T665,0,-$B657*12/Prj_Step)),0))*(1-$B658)/$B657/12*Параметры!T$31,IF(T$2=1,T665,S674+SUM($F665:T665)*(1-$B658)-SUM($F665:S665)*(1-$B658)))))</f>
        <v>0</v>
      </c>
      <c r="U673" s="185">
        <f ca="1">IF(SUM($G660:U660)&gt;0.01,0,$B658*U665+IF($B657=0,0,MIN((SUM($G665:U665)-IF(U$2&gt;$B657*12/Prj_Step,SUM($G665:OFFSET(U665,0,-$B657*12/Prj_Step)),0))*(1-$B658)/$B657/12*Параметры!U$31,IF(U$2=1,U665,T674+SUM($F665:U665)*(1-$B658)-SUM($F665:T665)*(1-$B658)))))</f>
        <v>0</v>
      </c>
      <c r="V673" s="185">
        <f ca="1">IF(SUM($G660:V660)&gt;0.01,0,$B658*V665+IF($B657=0,0,MIN((SUM($G665:V665)-IF(V$2&gt;$B657*12/Prj_Step,SUM($G665:OFFSET(V665,0,-$B657*12/Prj_Step)),0))*(1-$B658)/$B657/12*Параметры!V$31,IF(V$2=1,V665,U674+SUM($F665:V665)*(1-$B658)-SUM($F665:U665)*(1-$B658)))))</f>
        <v>0</v>
      </c>
      <c r="W673" s="185">
        <f ca="1">IF(SUM($G660:W660)&gt;0.01,0,$B658*W665+IF($B657=0,0,MIN((SUM($G665:W665)-IF(W$2&gt;$B657*12/Prj_Step,SUM($G665:OFFSET(W665,0,-$B657*12/Prj_Step)),0))*(1-$B658)/$B657/12*Параметры!W$31,IF(W$2=1,W665,V674+SUM($F665:W665)*(1-$B658)-SUM($F665:V665)*(1-$B658)))))</f>
        <v>0</v>
      </c>
      <c r="X673" s="185">
        <f ca="1">IF(SUM($G660:X660)&gt;0.01,0,$B658*X665+IF($B657=0,0,MIN((SUM($G665:X665)-IF(X$2&gt;$B657*12/Prj_Step,SUM($G665:OFFSET(X665,0,-$B657*12/Prj_Step)),0))*(1-$B658)/$B657/12*Параметры!X$31,IF(X$2=1,X665,W674+SUM($F665:X665)*(1-$B658)-SUM($F665:W665)*(1-$B658)))))</f>
        <v>0</v>
      </c>
      <c r="Y673" s="185">
        <f ca="1">IF(SUM($G660:Y660)&gt;0.01,0,$B658*Y665+IF($B657=0,0,MIN((SUM($G665:Y665)-IF(Y$2&gt;$B657*12/Prj_Step,SUM($G665:OFFSET(Y665,0,-$B657*12/Prj_Step)),0))*(1-$B658)/$B657/12*Параметры!Y$31,IF(Y$2=1,Y665,X674+SUM($F665:Y665)*(1-$B658)-SUM($F665:X665)*(1-$B658)))))</f>
        <v>0</v>
      </c>
      <c r="Z673" s="185">
        <f ca="1">IF(SUM($G660:Z660)&gt;0.01,0,$B658*Z665+IF($B657=0,0,MIN((SUM($G665:Z665)-IF(Z$2&gt;$B657*12/Prj_Step,SUM($G665:OFFSET(Z665,0,-$B657*12/Prj_Step)),0))*(1-$B658)/$B657/12*Параметры!Z$31,IF(Z$2=1,Z665,Y674+SUM($F665:Z665)*(1-$B658)-SUM($F665:Y665)*(1-$B658)))))</f>
        <v>0</v>
      </c>
      <c r="AA673" s="185">
        <f ca="1">IF(SUM($G660:AA660)&gt;0.01,0,$B658*AA665+IF($B657=0,0,MIN((SUM($G665:AA665)-IF(AA$2&gt;$B657*12/Prj_Step,SUM($G665:OFFSET(AA665,0,-$B657*12/Prj_Step)),0))*(1-$B658)/$B657/12*Параметры!AA$31,IF(AA$2=1,AA665,Z674+SUM($F665:AA665)*(1-$B658)-SUM($F665:Z665)*(1-$B658)))))</f>
        <v>0</v>
      </c>
      <c r="AB673" s="185">
        <f ca="1">IF(SUM($G660:AB660)&gt;0.01,0,$B658*AB665+IF($B657=0,0,MIN((SUM($G665:AB665)-IF(AB$2&gt;$B657*12/Prj_Step,SUM($G665:OFFSET(AB665,0,-$B657*12/Prj_Step)),0))*(1-$B658)/$B657/12*Параметры!AB$31,IF(AB$2=1,AB665,AA674+SUM($F665:AB665)*(1-$B658)-SUM($F665:AA665)*(1-$B658)))))</f>
        <v>0</v>
      </c>
      <c r="AC673" s="185">
        <f ca="1">IF(SUM($G660:AC660)&gt;0.01,0,$B658*AC665+IF($B657=0,0,MIN((SUM($G665:AC665)-IF(AC$2&gt;$B657*12/Prj_Step,SUM($G665:OFFSET(AC665,0,-$B657*12/Prj_Step)),0))*(1-$B658)/$B657/12*Параметры!AC$31,IF(AC$2=1,AC665,AB674+SUM($F665:AC665)*(1-$B658)-SUM($F665:AB665)*(1-$B658)))))</f>
        <v>0</v>
      </c>
      <c r="AD673" s="185">
        <f ca="1">IF(SUM($G660:AD660)&gt;0.01,0,$B658*AD665+IF($B657=0,0,MIN((SUM($G665:AD665)-IF(AD$2&gt;$B657*12/Prj_Step,SUM($G665:OFFSET(AD665,0,-$B657*12/Prj_Step)),0))*(1-$B658)/$B657/12*Параметры!AD$31,IF(AD$2=1,AD665,AC674+SUM($F665:AD665)*(1-$B658)-SUM($F665:AC665)*(1-$B658)))))</f>
        <v>0</v>
      </c>
      <c r="AE673" s="185">
        <f ca="1">IF(SUM($G660:AE660)&gt;0.01,0,$B658*AE665+IF($B657=0,0,MIN((SUM($G665:AE665)-IF(AE$2&gt;$B657*12/Prj_Step,SUM($G665:OFFSET(AE665,0,-$B657*12/Prj_Step)),0))*(1-$B658)/$B657/12*Параметры!AE$31,IF(AE$2=1,AE665,AD674+SUM($F665:AE665)*(1-$B658)-SUM($F665:AD665)*(1-$B658)))))</f>
        <v>0</v>
      </c>
      <c r="AF673" s="185">
        <f ca="1">IF(SUM($G660:AF660)&gt;0.01,0,$B658*AF665+IF($B657=0,0,MIN((SUM($G665:AF665)-IF(AF$2&gt;$B657*12/Prj_Step,SUM($G665:OFFSET(AF665,0,-$B657*12/Prj_Step)),0))*(1-$B658)/$B657/12*Параметры!AF$31,IF(AF$2=1,AF665,AE674+SUM($F665:AF665)*(1-$B658)-SUM($F665:AE665)*(1-$B658)))))</f>
        <v>0</v>
      </c>
      <c r="AG673" s="185">
        <f ca="1">IF(SUM($G660:AG660)&gt;0.01,0,$B658*AG665+IF($B657=0,0,MIN((SUM($G665:AG665)-IF(AG$2&gt;$B657*12/Prj_Step,SUM($G665:OFFSET(AG665,0,-$B657*12/Prj_Step)),0))*(1-$B658)/$B657/12*Параметры!AG$31,IF(AG$2=1,AG665,AF674+SUM($F665:AG665)*(1-$B658)-SUM($F665:AF665)*(1-$B658)))))</f>
        <v>0</v>
      </c>
      <c r="AH673" s="185">
        <f ca="1">IF(SUM($G660:AH660)&gt;0.01,0,$B658*AH665+IF($B657=0,0,MIN((SUM($G665:AH665)-IF(AH$2&gt;$B657*12/Prj_Step,SUM($G665:OFFSET(AH665,0,-$B657*12/Prj_Step)),0))*(1-$B658)/$B657/12*Параметры!AH$31,IF(AH$2=1,AH665,AG674+SUM($F665:AH665)*(1-$B658)-SUM($F665:AG665)*(1-$B658)))))</f>
        <v>0</v>
      </c>
      <c r="AI673" s="185">
        <f ca="1">IF(SUM($G660:AI660)&gt;0.01,0,$B658*AI665+IF($B657=0,0,MIN((SUM($G665:AI665)-IF(AI$2&gt;$B657*12/Prj_Step,SUM($G665:OFFSET(AI665,0,-$B657*12/Prj_Step)),0))*(1-$B658)/$B657/12*Параметры!AI$31,IF(AI$2=1,AI665,AH674+SUM($F665:AI665)*(1-$B658)-SUM($F665:AH665)*(1-$B658)))))</f>
        <v>0</v>
      </c>
      <c r="AJ673" s="185">
        <f ca="1">IF(SUM($G660:AJ660)&gt;0.01,0,$B658*AJ665+IF($B657=0,0,MIN((SUM($G665:AJ665)-IF(AJ$2&gt;$B657*12/Prj_Step,SUM($G665:OFFSET(AJ665,0,-$B657*12/Prj_Step)),0))*(1-$B658)/$B657/12*Параметры!AJ$31,IF(AJ$2=1,AJ665,AI674+SUM($F665:AJ665)*(1-$B658)-SUM($F665:AI665)*(1-$B658)))))</f>
        <v>0</v>
      </c>
      <c r="AK673" s="185">
        <f ca="1">IF(SUM($G660:AK660)&gt;0.01,0,$B658*AK665+IF($B657=0,0,MIN((SUM($G665:AK665)-IF(AK$2&gt;$B657*12/Prj_Step,SUM($G665:OFFSET(AK665,0,-$B657*12/Prj_Step)),0))*(1-$B658)/$B657/12*Параметры!AK$31,IF(AK$2=1,AK665,AJ674+SUM($F665:AK665)*(1-$B658)-SUM($F665:AJ665)*(1-$B658)))))</f>
        <v>0</v>
      </c>
      <c r="AL673" s="185">
        <f ca="1">IF(SUM($G660:AL660)&gt;0.01,0,$B658*AL665+IF($B657=0,0,MIN((SUM($G665:AL665)-IF(AL$2&gt;$B657*12/Prj_Step,SUM($G665:OFFSET(AL665,0,-$B657*12/Prj_Step)),0))*(1-$B658)/$B657/12*Параметры!AL$31,IF(AL$2=1,AL665,AK674+SUM($F665:AL665)*(1-$B658)-SUM($F665:AK665)*(1-$B658)))))</f>
        <v>0</v>
      </c>
      <c r="AM673" s="185">
        <f ca="1">IF(SUM($G660:AM660)&gt;0.01,0,$B658*AM665+IF($B657=0,0,MIN((SUM($G665:AM665)-IF(AM$2&gt;$B657*12/Prj_Step,SUM($G665:OFFSET(AM665,0,-$B657*12/Prj_Step)),0))*(1-$B658)/$B657/12*Параметры!AM$31,IF(AM$2=1,AM665,AL674+SUM($F665:AM665)*(1-$B658)-SUM($F665:AL665)*(1-$B658)))))</f>
        <v>0</v>
      </c>
      <c r="AN673" s="185">
        <f ca="1">IF(SUM($G660:AN660)&gt;0.01,0,$B658*AN665+IF($B657=0,0,MIN((SUM($G665:AN665)-IF(AN$2&gt;$B657*12/Prj_Step,SUM($G665:OFFSET(AN665,0,-$B657*12/Prj_Step)),0))*(1-$B658)/$B657/12*Параметры!AN$31,IF(AN$2=1,AN665,AM674+SUM($F665:AN665)*(1-$B658)-SUM($F665:AM665)*(1-$B658)))))</f>
        <v>0</v>
      </c>
      <c r="AO673" s="185">
        <f ca="1">IF(SUM($G660:AO660)&gt;0.01,0,$B658*AO665+IF($B657=0,0,MIN((SUM($G665:AO665)-IF(AO$2&gt;$B657*12/Prj_Step,SUM($G665:OFFSET(AO665,0,-$B657*12/Prj_Step)),0))*(1-$B658)/$B657/12*Параметры!AO$31,IF(AO$2=1,AO665,AN674+SUM($F665:AO665)*(1-$B658)-SUM($F665:AN665)*(1-$B658)))))</f>
        <v>0</v>
      </c>
      <c r="AP673" s="185">
        <f ca="1">IF(SUM($G660:AP660)&gt;0.01,0,$B658*AP665+IF($B657=0,0,MIN((SUM($G665:AP665)-IF(AP$2&gt;$B657*12/Prj_Step,SUM($G665:OFFSET(AP665,0,-$B657*12/Prj_Step)),0))*(1-$B658)/$B657/12*Параметры!AP$31,IF(AP$2=1,AP665,AO674+SUM($F665:AP665)*(1-$B658)-SUM($F665:AO665)*(1-$B658)))))</f>
        <v>0</v>
      </c>
      <c r="AQ673" s="185">
        <f ca="1">IF(SUM($G660:AQ660)&gt;0.01,0,$B658*AQ665+IF($B657=0,0,MIN((SUM($G665:AQ665)-IF(AQ$2&gt;$B657*12/Prj_Step,SUM($G665:OFFSET(AQ665,0,-$B657*12/Prj_Step)),0))*(1-$B658)/$B657/12*Параметры!AQ$31,IF(AQ$2=1,AQ665,AP674+SUM($F665:AQ665)*(1-$B658)-SUM($F665:AP665)*(1-$B658)))))</f>
        <v>0</v>
      </c>
      <c r="AR673" s="185">
        <f ca="1">IF(SUM($G660:AR660)&gt;0.01,0,$B658*AR665+IF($B657=0,0,MIN((SUM($G665:AR665)-IF(AR$2&gt;$B657*12/Prj_Step,SUM($G665:OFFSET(AR665,0,-$B657*12/Prj_Step)),0))*(1-$B658)/$B657/12*Параметры!AR$31,IF(AR$2=1,AR665,AQ674+SUM($F665:AR665)*(1-$B658)-SUM($F665:AQ665)*(1-$B658)))))</f>
        <v>0</v>
      </c>
      <c r="AS673" s="185">
        <f ca="1">IF(SUM($G660:AS660)&gt;0.01,0,$B658*AS665+IF($B657=0,0,MIN((SUM($G665:AS665)-IF(AS$2&gt;$B657*12/Prj_Step,SUM($G665:OFFSET(AS665,0,-$B657*12/Prj_Step)),0))*(1-$B658)/$B657/12*Параметры!AS$31,IF(AS$2=1,AS665,AR674+SUM($F665:AS665)*(1-$B658)-SUM($F665:AR665)*(1-$B658)))))</f>
        <v>0</v>
      </c>
      <c r="AT673" s="185">
        <f ca="1">IF(SUM($G660:AT660)&gt;0.01,0,$B658*AT665+IF($B657=0,0,MIN((SUM($G665:AT665)-IF(AT$2&gt;$B657*12/Prj_Step,SUM($G665:OFFSET(AT665,0,-$B657*12/Prj_Step)),0))*(1-$B658)/$B657/12*Параметры!AT$31,IF(AT$2=1,AT665,AS674+SUM($F665:AT665)*(1-$B658)-SUM($F665:AS665)*(1-$B658)))))</f>
        <v>0</v>
      </c>
      <c r="AU673" s="185">
        <f ca="1">IF(SUM($G660:AU660)&gt;0.01,0,$B658*AU665+IF($B657=0,0,MIN((SUM($G665:AU665)-IF(AU$2&gt;$B657*12/Prj_Step,SUM($G665:OFFSET(AU665,0,-$B657*12/Prj_Step)),0))*(1-$B658)/$B657/12*Параметры!AU$31,IF(AU$2=1,AU665,AT674+SUM($F665:AU665)*(1-$B658)-SUM($F665:AT665)*(1-$B658)))))</f>
        <v>0</v>
      </c>
      <c r="AV673" s="185">
        <f ca="1">IF(SUM($G660:AV660)&gt;0.01,0,$B658*AV665+IF($B657=0,0,MIN((SUM($G665:AV665)-IF(AV$2&gt;$B657*12/Prj_Step,SUM($G665:OFFSET(AV665,0,-$B657*12/Prj_Step)),0))*(1-$B658)/$B657/12*Параметры!AV$31,IF(AV$2=1,AV665,AU674+SUM($F665:AV665)*(1-$B658)-SUM($F665:AU665)*(1-$B658)))))</f>
        <v>0</v>
      </c>
      <c r="AW673" s="185">
        <f ca="1">IF(SUM($G660:AW660)&gt;0.01,0,$B658*AW665+IF($B657=0,0,MIN((SUM($G665:AW665)-IF(AW$2&gt;$B657*12/Prj_Step,SUM($G665:OFFSET(AW665,0,-$B657*12/Prj_Step)),0))*(1-$B658)/$B657/12*Параметры!AW$31,IF(AW$2=1,AW665,AV674+SUM($F665:AW665)*(1-$B658)-SUM($F665:AV665)*(1-$B658)))))</f>
        <v>0</v>
      </c>
      <c r="AX673" s="185">
        <f ca="1">IF(SUM($G660:AX660)&gt;0.01,0,$B658*AX665+IF($B657=0,0,MIN((SUM($G665:AX665)-IF(AX$2&gt;$B657*12/Prj_Step,SUM($G665:OFFSET(AX665,0,-$B657*12/Prj_Step)),0))*(1-$B658)/$B657/12*Параметры!AX$31,IF(AX$2=1,AX665,AW674+SUM($F665:AX665)*(1-$B658)-SUM($F665:AW665)*(1-$B658)))))</f>
        <v>0</v>
      </c>
      <c r="AY673" s="185">
        <f ca="1">IF(SUM($G660:AY660)&gt;0.01,0,$B658*AY665+IF($B657=0,0,MIN((SUM($G665:AY665)-IF(AY$2&gt;$B657*12/Prj_Step,SUM($G665:OFFSET(AY665,0,-$B657*12/Prj_Step)),0))*(1-$B658)/$B657/12*Параметры!AY$31,IF(AY$2=1,AY665,AX674+SUM($F665:AY665)*(1-$B658)-SUM($F665:AX665)*(1-$B658)))))</f>
        <v>0</v>
      </c>
      <c r="AZ673" s="185">
        <f ca="1">IF(SUM($G660:AZ660)&gt;0.01,0,$B658*AZ665+IF($B657=0,0,MIN((SUM($G665:AZ665)-IF(AZ$2&gt;$B657*12/Prj_Step,SUM($G665:OFFSET(AZ665,0,-$B657*12/Prj_Step)),0))*(1-$B658)/$B657/12*Параметры!AZ$31,IF(AZ$2=1,AZ665,AY674+SUM($F665:AZ665)*(1-$B658)-SUM($F665:AY665)*(1-$B658)))))</f>
        <v>0</v>
      </c>
      <c r="BA673" s="185">
        <f ca="1">IF(SUM($G660:BA660)&gt;0.01,0,$B658*BA665+IF($B657=0,0,MIN((SUM($G665:BA665)-IF(BA$2&gt;$B657*12/Prj_Step,SUM($G665:OFFSET(BA665,0,-$B657*12/Prj_Step)),0))*(1-$B658)/$B657/12*Параметры!BA$31,IF(BA$2=1,BA665,AZ674+SUM($F665:BA665)*(1-$B658)-SUM($F665:AZ665)*(1-$B658)))))</f>
        <v>0</v>
      </c>
      <c r="BB673" s="185">
        <f ca="1">IF(SUM($G660:BB660)&gt;0.01,0,$B658*BB665+IF($B657=0,0,MIN((SUM($G665:BB665)-IF(BB$2&gt;$B657*12/Prj_Step,SUM($G665:OFFSET(BB665,0,-$B657*12/Prj_Step)),0))*(1-$B658)/$B657/12*Параметры!BB$31,IF(BB$2=1,BB665,BA674+SUM($F665:BB665)*(1-$B658)-SUM($F665:BA665)*(1-$B658)))))</f>
        <v>0</v>
      </c>
      <c r="BC673" s="185"/>
      <c r="BD673" s="193">
        <f ca="1">SUM(G673:BC673)</f>
        <v>0</v>
      </c>
    </row>
    <row r="674" spans="1:56" ht="14.4" hidden="1" thickTop="1" x14ac:dyDescent="0.3">
      <c r="A674" s="184" t="str">
        <f ca="1">Language!A$892</f>
        <v>балансовая стоимость (налоговая)</v>
      </c>
      <c r="B674" s="170"/>
      <c r="C674" s="163" t="str">
        <f t="shared" ca="1" si="2724"/>
        <v>руб.</v>
      </c>
      <c r="D674" s="174">
        <v>1</v>
      </c>
      <c r="E674" s="170" t="s">
        <v>761</v>
      </c>
      <c r="F674" s="170" t="s">
        <v>747</v>
      </c>
      <c r="G674" s="185">
        <f ca="1">IF(SUM($G660:G660)&gt;0.01,0,SUM($G665:G665)-SUM($G673:G673))</f>
        <v>0</v>
      </c>
      <c r="H674" s="185">
        <f ca="1">IF(SUM($G660:H660)&gt;0.01,0,SUM($G665:H665)-SUM($G673:H673))</f>
        <v>0</v>
      </c>
      <c r="I674" s="185">
        <f ca="1">IF(SUM($G660:I660)&gt;0.01,0,SUM($G665:I665)-SUM($G673:I673))</f>
        <v>0</v>
      </c>
      <c r="J674" s="185">
        <f ca="1">IF(SUM($G660:J660)&gt;0.01,0,SUM($G665:J665)-SUM($G673:J673))</f>
        <v>0</v>
      </c>
      <c r="K674" s="185">
        <f ca="1">IF(SUM($G660:K660)&gt;0.01,0,SUM($G665:K665)-SUM($G673:K673))</f>
        <v>0</v>
      </c>
      <c r="L674" s="185">
        <f ca="1">IF(SUM($G660:L660)&gt;0.01,0,SUM($G665:L665)-SUM($G673:L673))</f>
        <v>0</v>
      </c>
      <c r="M674" s="185">
        <f ca="1">IF(SUM($G660:M660)&gt;0.01,0,SUM($G665:M665)-SUM($G673:M673))</f>
        <v>0</v>
      </c>
      <c r="N674" s="185">
        <f ca="1">IF(SUM($G660:N660)&gt;0.01,0,SUM($G665:N665)-SUM($G673:N673))</f>
        <v>0</v>
      </c>
      <c r="O674" s="185">
        <f ca="1">IF(SUM($G660:O660)&gt;0.01,0,SUM($G665:O665)-SUM($G673:O673))</f>
        <v>0</v>
      </c>
      <c r="P674" s="185">
        <f ca="1">IF(SUM($G660:P660)&gt;0.01,0,SUM($G665:P665)-SUM($G673:P673))</f>
        <v>0</v>
      </c>
      <c r="Q674" s="185">
        <f ca="1">IF(SUM($G660:Q660)&gt;0.01,0,SUM($G665:Q665)-SUM($G673:Q673))</f>
        <v>0</v>
      </c>
      <c r="R674" s="185">
        <f ca="1">IF(SUM($G660:R660)&gt;0.01,0,SUM($G665:R665)-SUM($G673:R673))</f>
        <v>0</v>
      </c>
      <c r="S674" s="185">
        <f ca="1">IF(SUM($G660:S660)&gt;0.01,0,SUM($G665:S665)-SUM($G673:S673))</f>
        <v>0</v>
      </c>
      <c r="T674" s="185">
        <f ca="1">IF(SUM($G660:T660)&gt;0.01,0,SUM($G665:T665)-SUM($G673:T673))</f>
        <v>0</v>
      </c>
      <c r="U674" s="185">
        <f ca="1">IF(SUM($G660:U660)&gt;0.01,0,SUM($G665:U665)-SUM($G673:U673))</f>
        <v>0</v>
      </c>
      <c r="V674" s="185">
        <f ca="1">IF(SUM($G660:V660)&gt;0.01,0,SUM($G665:V665)-SUM($G673:V673))</f>
        <v>0</v>
      </c>
      <c r="W674" s="185">
        <f ca="1">IF(SUM($G660:W660)&gt;0.01,0,SUM($G665:W665)-SUM($G673:W673))</f>
        <v>0</v>
      </c>
      <c r="X674" s="185">
        <f ca="1">IF(SUM($G660:X660)&gt;0.01,0,SUM($G665:X665)-SUM($G673:X673))</f>
        <v>0</v>
      </c>
      <c r="Y674" s="185">
        <f ca="1">IF(SUM($G660:Y660)&gt;0.01,0,SUM($G665:Y665)-SUM($G673:Y673))</f>
        <v>0</v>
      </c>
      <c r="Z674" s="185">
        <f ca="1">IF(SUM($G660:Z660)&gt;0.01,0,SUM($G665:Z665)-SUM($G673:Z673))</f>
        <v>0</v>
      </c>
      <c r="AA674" s="185">
        <f ca="1">IF(SUM($G660:AA660)&gt;0.01,0,SUM($G665:AA665)-SUM($G673:AA673))</f>
        <v>0</v>
      </c>
      <c r="AB674" s="185">
        <f ca="1">IF(SUM($G660:AB660)&gt;0.01,0,SUM($G665:AB665)-SUM($G673:AB673))</f>
        <v>0</v>
      </c>
      <c r="AC674" s="185">
        <f ca="1">IF(SUM($G660:AC660)&gt;0.01,0,SUM($G665:AC665)-SUM($G673:AC673))</f>
        <v>0</v>
      </c>
      <c r="AD674" s="185">
        <f ca="1">IF(SUM($G660:AD660)&gt;0.01,0,SUM($G665:AD665)-SUM($G673:AD673))</f>
        <v>0</v>
      </c>
      <c r="AE674" s="185">
        <f ca="1">IF(SUM($G660:AE660)&gt;0.01,0,SUM($G665:AE665)-SUM($G673:AE673))</f>
        <v>0</v>
      </c>
      <c r="AF674" s="185">
        <f ca="1">IF(SUM($G660:AF660)&gt;0.01,0,SUM($G665:AF665)-SUM($G673:AF673))</f>
        <v>0</v>
      </c>
      <c r="AG674" s="185">
        <f ca="1">IF(SUM($G660:AG660)&gt;0.01,0,SUM($G665:AG665)-SUM($G673:AG673))</f>
        <v>0</v>
      </c>
      <c r="AH674" s="185">
        <f ca="1">IF(SUM($G660:AH660)&gt;0.01,0,SUM($G665:AH665)-SUM($G673:AH673))</f>
        <v>0</v>
      </c>
      <c r="AI674" s="185">
        <f ca="1">IF(SUM($G660:AI660)&gt;0.01,0,SUM($G665:AI665)-SUM($G673:AI673))</f>
        <v>0</v>
      </c>
      <c r="AJ674" s="185">
        <f ca="1">IF(SUM($G660:AJ660)&gt;0.01,0,SUM($G665:AJ665)-SUM($G673:AJ673))</f>
        <v>0</v>
      </c>
      <c r="AK674" s="185">
        <f ca="1">IF(SUM($G660:AK660)&gt;0.01,0,SUM($G665:AK665)-SUM($G673:AK673))</f>
        <v>0</v>
      </c>
      <c r="AL674" s="185">
        <f ca="1">IF(SUM($G660:AL660)&gt;0.01,0,SUM($G665:AL665)-SUM($G673:AL673))</f>
        <v>0</v>
      </c>
      <c r="AM674" s="185">
        <f ca="1">IF(SUM($G660:AM660)&gt;0.01,0,SUM($G665:AM665)-SUM($G673:AM673))</f>
        <v>0</v>
      </c>
      <c r="AN674" s="185">
        <f ca="1">IF(SUM($G660:AN660)&gt;0.01,0,SUM($G665:AN665)-SUM($G673:AN673))</f>
        <v>0</v>
      </c>
      <c r="AO674" s="185">
        <f ca="1">IF(SUM($G660:AO660)&gt;0.01,0,SUM($G665:AO665)-SUM($G673:AO673))</f>
        <v>0</v>
      </c>
      <c r="AP674" s="185">
        <f ca="1">IF(SUM($G660:AP660)&gt;0.01,0,SUM($G665:AP665)-SUM($G673:AP673))</f>
        <v>0</v>
      </c>
      <c r="AQ674" s="185">
        <f ca="1">IF(SUM($G660:AQ660)&gt;0.01,0,SUM($G665:AQ665)-SUM($G673:AQ673))</f>
        <v>0</v>
      </c>
      <c r="AR674" s="185">
        <f ca="1">IF(SUM($G660:AR660)&gt;0.01,0,SUM($G665:AR665)-SUM($G673:AR673))</f>
        <v>0</v>
      </c>
      <c r="AS674" s="185">
        <f ca="1">IF(SUM($G660:AS660)&gt;0.01,0,SUM($G665:AS665)-SUM($G673:AS673))</f>
        <v>0</v>
      </c>
      <c r="AT674" s="185">
        <f ca="1">IF(SUM($G660:AT660)&gt;0.01,0,SUM($G665:AT665)-SUM($G673:AT673))</f>
        <v>0</v>
      </c>
      <c r="AU674" s="185">
        <f ca="1">IF(SUM($G660:AU660)&gt;0.01,0,SUM($G665:AU665)-SUM($G673:AU673))</f>
        <v>0</v>
      </c>
      <c r="AV674" s="185">
        <f ca="1">IF(SUM($G660:AV660)&gt;0.01,0,SUM($G665:AV665)-SUM($G673:AV673))</f>
        <v>0</v>
      </c>
      <c r="AW674" s="185">
        <f ca="1">IF(SUM($G660:AW660)&gt;0.01,0,SUM($G665:AW665)-SUM($G673:AW673))</f>
        <v>0</v>
      </c>
      <c r="AX674" s="185">
        <f ca="1">IF(SUM($G660:AX660)&gt;0.01,0,SUM($G665:AX665)-SUM($G673:AX673))</f>
        <v>0</v>
      </c>
      <c r="AY674" s="185">
        <f ca="1">IF(SUM($G660:AY660)&gt;0.01,0,SUM($G665:AY665)-SUM($G673:AY673))</f>
        <v>0</v>
      </c>
      <c r="AZ674" s="185">
        <f ca="1">IF(SUM($G660:AZ660)&gt;0.01,0,SUM($G665:AZ665)-SUM($G673:AZ673))</f>
        <v>0</v>
      </c>
      <c r="BA674" s="185">
        <f ca="1">IF(SUM($G660:BA660)&gt;0.01,0,SUM($G665:BA665)-SUM($G673:BA673))</f>
        <v>0</v>
      </c>
      <c r="BB674" s="185">
        <f ca="1">IF(SUM($G660:BB660)&gt;0.01,0,SUM($G665:BB665)-SUM($G673:BB673))</f>
        <v>0</v>
      </c>
      <c r="BC674" s="185"/>
      <c r="BD674" s="193"/>
    </row>
    <row r="675" spans="1:56" ht="14.4" hidden="1" thickTop="1" x14ac:dyDescent="0.3">
      <c r="A675" s="184" t="str">
        <f ca="1">Language!A$893</f>
        <v>прибыль/убыток от продажи актива (бухгалтерская)</v>
      </c>
      <c r="B675" s="216"/>
      <c r="C675" s="163" t="str">
        <f t="shared" ca="1" si="2724"/>
        <v>руб.</v>
      </c>
      <c r="D675" s="174">
        <v>1</v>
      </c>
      <c r="E675" s="170" t="s">
        <v>762</v>
      </c>
      <c r="F675" s="170" t="s">
        <v>743</v>
      </c>
      <c r="G675" s="185">
        <f t="shared" ref="G675:BB675" si="2795">IF(G660=0,0,G660-IF(G$2=1,G661,F666+F670))</f>
        <v>0</v>
      </c>
      <c r="H675" s="185">
        <f t="shared" si="2795"/>
        <v>0</v>
      </c>
      <c r="I675" s="185">
        <f t="shared" si="2795"/>
        <v>0</v>
      </c>
      <c r="J675" s="185">
        <f t="shared" si="2795"/>
        <v>0</v>
      </c>
      <c r="K675" s="185">
        <f t="shared" si="2795"/>
        <v>0</v>
      </c>
      <c r="L675" s="185">
        <f t="shared" si="2795"/>
        <v>0</v>
      </c>
      <c r="M675" s="185">
        <f t="shared" si="2795"/>
        <v>0</v>
      </c>
      <c r="N675" s="185">
        <f t="shared" si="2795"/>
        <v>0</v>
      </c>
      <c r="O675" s="185">
        <f t="shared" si="2795"/>
        <v>0</v>
      </c>
      <c r="P675" s="185">
        <f t="shared" si="2795"/>
        <v>0</v>
      </c>
      <c r="Q675" s="185">
        <f t="shared" si="2795"/>
        <v>0</v>
      </c>
      <c r="R675" s="185">
        <f t="shared" si="2795"/>
        <v>0</v>
      </c>
      <c r="S675" s="185">
        <f t="shared" si="2795"/>
        <v>0</v>
      </c>
      <c r="T675" s="185">
        <f t="shared" si="2795"/>
        <v>0</v>
      </c>
      <c r="U675" s="185">
        <f t="shared" si="2795"/>
        <v>0</v>
      </c>
      <c r="V675" s="185">
        <f t="shared" si="2795"/>
        <v>0</v>
      </c>
      <c r="W675" s="185">
        <f t="shared" si="2795"/>
        <v>0</v>
      </c>
      <c r="X675" s="185">
        <f t="shared" si="2795"/>
        <v>0</v>
      </c>
      <c r="Y675" s="185">
        <f t="shared" si="2795"/>
        <v>0</v>
      </c>
      <c r="Z675" s="185">
        <f t="shared" si="2795"/>
        <v>0</v>
      </c>
      <c r="AA675" s="185">
        <f t="shared" si="2795"/>
        <v>0</v>
      </c>
      <c r="AB675" s="185">
        <f t="shared" si="2795"/>
        <v>0</v>
      </c>
      <c r="AC675" s="185">
        <f t="shared" si="2795"/>
        <v>0</v>
      </c>
      <c r="AD675" s="185">
        <f t="shared" si="2795"/>
        <v>0</v>
      </c>
      <c r="AE675" s="185">
        <f t="shared" si="2795"/>
        <v>0</v>
      </c>
      <c r="AF675" s="185">
        <f t="shared" si="2795"/>
        <v>0</v>
      </c>
      <c r="AG675" s="185">
        <f t="shared" si="2795"/>
        <v>0</v>
      </c>
      <c r="AH675" s="185">
        <f t="shared" si="2795"/>
        <v>0</v>
      </c>
      <c r="AI675" s="185">
        <f t="shared" si="2795"/>
        <v>0</v>
      </c>
      <c r="AJ675" s="185">
        <f t="shared" si="2795"/>
        <v>0</v>
      </c>
      <c r="AK675" s="185">
        <f t="shared" si="2795"/>
        <v>0</v>
      </c>
      <c r="AL675" s="185">
        <f t="shared" si="2795"/>
        <v>0</v>
      </c>
      <c r="AM675" s="185">
        <f t="shared" si="2795"/>
        <v>0</v>
      </c>
      <c r="AN675" s="185">
        <f t="shared" si="2795"/>
        <v>0</v>
      </c>
      <c r="AO675" s="185">
        <f t="shared" si="2795"/>
        <v>0</v>
      </c>
      <c r="AP675" s="185">
        <f t="shared" si="2795"/>
        <v>0</v>
      </c>
      <c r="AQ675" s="185">
        <f t="shared" si="2795"/>
        <v>0</v>
      </c>
      <c r="AR675" s="185">
        <f t="shared" si="2795"/>
        <v>0</v>
      </c>
      <c r="AS675" s="185">
        <f t="shared" si="2795"/>
        <v>0</v>
      </c>
      <c r="AT675" s="185">
        <f t="shared" si="2795"/>
        <v>0</v>
      </c>
      <c r="AU675" s="185">
        <f t="shared" si="2795"/>
        <v>0</v>
      </c>
      <c r="AV675" s="185">
        <f t="shared" si="2795"/>
        <v>0</v>
      </c>
      <c r="AW675" s="185">
        <f t="shared" si="2795"/>
        <v>0</v>
      </c>
      <c r="AX675" s="185">
        <f t="shared" si="2795"/>
        <v>0</v>
      </c>
      <c r="AY675" s="185">
        <f t="shared" si="2795"/>
        <v>0</v>
      </c>
      <c r="AZ675" s="185">
        <f t="shared" si="2795"/>
        <v>0</v>
      </c>
      <c r="BA675" s="185">
        <f t="shared" si="2795"/>
        <v>0</v>
      </c>
      <c r="BB675" s="185">
        <f t="shared" si="2795"/>
        <v>0</v>
      </c>
      <c r="BC675" s="185"/>
      <c r="BD675" s="193">
        <f>SUM(G675:BC675)</f>
        <v>0</v>
      </c>
    </row>
    <row r="676" spans="1:56" ht="14.4" hidden="1" thickTop="1" x14ac:dyDescent="0.3">
      <c r="A676" s="184" t="str">
        <f ca="1">Language!A$894</f>
        <v>прибыль/убыток от продажи актива (налоговая)</v>
      </c>
      <c r="B676" s="216"/>
      <c r="C676" s="163" t="str">
        <f t="shared" ca="1" si="2724"/>
        <v>руб.</v>
      </c>
      <c r="D676" s="174">
        <v>1</v>
      </c>
      <c r="E676" s="170" t="s">
        <v>763</v>
      </c>
      <c r="F676" s="170" t="s">
        <v>743</v>
      </c>
      <c r="G676" s="185">
        <f t="shared" ref="G676:BB676" si="2796">IF(G660=0,0,G660-IF(G$2=1,G661,F666+F674))</f>
        <v>0</v>
      </c>
      <c r="H676" s="185">
        <f t="shared" si="2796"/>
        <v>0</v>
      </c>
      <c r="I676" s="185">
        <f t="shared" si="2796"/>
        <v>0</v>
      </c>
      <c r="J676" s="185">
        <f t="shared" si="2796"/>
        <v>0</v>
      </c>
      <c r="K676" s="185">
        <f t="shared" si="2796"/>
        <v>0</v>
      </c>
      <c r="L676" s="185">
        <f t="shared" si="2796"/>
        <v>0</v>
      </c>
      <c r="M676" s="185">
        <f t="shared" si="2796"/>
        <v>0</v>
      </c>
      <c r="N676" s="185">
        <f t="shared" si="2796"/>
        <v>0</v>
      </c>
      <c r="O676" s="185">
        <f t="shared" si="2796"/>
        <v>0</v>
      </c>
      <c r="P676" s="185">
        <f t="shared" si="2796"/>
        <v>0</v>
      </c>
      <c r="Q676" s="185">
        <f t="shared" si="2796"/>
        <v>0</v>
      </c>
      <c r="R676" s="185">
        <f t="shared" si="2796"/>
        <v>0</v>
      </c>
      <c r="S676" s="185">
        <f t="shared" si="2796"/>
        <v>0</v>
      </c>
      <c r="T676" s="185">
        <f t="shared" si="2796"/>
        <v>0</v>
      </c>
      <c r="U676" s="185">
        <f t="shared" si="2796"/>
        <v>0</v>
      </c>
      <c r="V676" s="185">
        <f t="shared" si="2796"/>
        <v>0</v>
      </c>
      <c r="W676" s="185">
        <f t="shared" si="2796"/>
        <v>0</v>
      </c>
      <c r="X676" s="185">
        <f t="shared" si="2796"/>
        <v>0</v>
      </c>
      <c r="Y676" s="185">
        <f t="shared" si="2796"/>
        <v>0</v>
      </c>
      <c r="Z676" s="185">
        <f t="shared" si="2796"/>
        <v>0</v>
      </c>
      <c r="AA676" s="185">
        <f t="shared" si="2796"/>
        <v>0</v>
      </c>
      <c r="AB676" s="185">
        <f t="shared" si="2796"/>
        <v>0</v>
      </c>
      <c r="AC676" s="185">
        <f t="shared" si="2796"/>
        <v>0</v>
      </c>
      <c r="AD676" s="185">
        <f t="shared" si="2796"/>
        <v>0</v>
      </c>
      <c r="AE676" s="185">
        <f t="shared" si="2796"/>
        <v>0</v>
      </c>
      <c r="AF676" s="185">
        <f t="shared" si="2796"/>
        <v>0</v>
      </c>
      <c r="AG676" s="185">
        <f t="shared" si="2796"/>
        <v>0</v>
      </c>
      <c r="AH676" s="185">
        <f t="shared" si="2796"/>
        <v>0</v>
      </c>
      <c r="AI676" s="185">
        <f t="shared" si="2796"/>
        <v>0</v>
      </c>
      <c r="AJ676" s="185">
        <f t="shared" si="2796"/>
        <v>0</v>
      </c>
      <c r="AK676" s="185">
        <f t="shared" si="2796"/>
        <v>0</v>
      </c>
      <c r="AL676" s="185">
        <f t="shared" si="2796"/>
        <v>0</v>
      </c>
      <c r="AM676" s="185">
        <f t="shared" si="2796"/>
        <v>0</v>
      </c>
      <c r="AN676" s="185">
        <f t="shared" si="2796"/>
        <v>0</v>
      </c>
      <c r="AO676" s="185">
        <f t="shared" si="2796"/>
        <v>0</v>
      </c>
      <c r="AP676" s="185">
        <f t="shared" si="2796"/>
        <v>0</v>
      </c>
      <c r="AQ676" s="185">
        <f t="shared" si="2796"/>
        <v>0</v>
      </c>
      <c r="AR676" s="185">
        <f t="shared" si="2796"/>
        <v>0</v>
      </c>
      <c r="AS676" s="185">
        <f t="shared" si="2796"/>
        <v>0</v>
      </c>
      <c r="AT676" s="185">
        <f t="shared" si="2796"/>
        <v>0</v>
      </c>
      <c r="AU676" s="185">
        <f t="shared" si="2796"/>
        <v>0</v>
      </c>
      <c r="AV676" s="185">
        <f t="shared" si="2796"/>
        <v>0</v>
      </c>
      <c r="AW676" s="185">
        <f t="shared" si="2796"/>
        <v>0</v>
      </c>
      <c r="AX676" s="185">
        <f t="shared" si="2796"/>
        <v>0</v>
      </c>
      <c r="AY676" s="185">
        <f t="shared" si="2796"/>
        <v>0</v>
      </c>
      <c r="AZ676" s="185">
        <f t="shared" si="2796"/>
        <v>0</v>
      </c>
      <c r="BA676" s="185">
        <f t="shared" si="2796"/>
        <v>0</v>
      </c>
      <c r="BB676" s="185">
        <f t="shared" si="2796"/>
        <v>0</v>
      </c>
      <c r="BC676" s="185"/>
      <c r="BD676" s="193">
        <f>SUM(G676:BC676)</f>
        <v>0</v>
      </c>
    </row>
    <row r="677" spans="1:56" ht="14.4" hidden="1" thickTop="1" x14ac:dyDescent="0.3">
      <c r="A677" s="184" t="str">
        <f ca="1">Language!A$895</f>
        <v>НДС к выручке от продажи актива</v>
      </c>
      <c r="B677" s="216"/>
      <c r="C677" s="163" t="str">
        <f t="shared" ca="1" si="2724"/>
        <v>руб.</v>
      </c>
      <c r="D677" s="174">
        <v>1</v>
      </c>
      <c r="E677" s="170" t="s">
        <v>764</v>
      </c>
      <c r="F677" s="170" t="s">
        <v>743</v>
      </c>
      <c r="G677" s="185">
        <f t="shared" ref="G677:K677" si="2797">G660*G659</f>
        <v>0</v>
      </c>
      <c r="H677" s="185">
        <f t="shared" si="2797"/>
        <v>0</v>
      </c>
      <c r="I677" s="185">
        <f t="shared" si="2797"/>
        <v>0</v>
      </c>
      <c r="J677" s="185">
        <f t="shared" si="2797"/>
        <v>0</v>
      </c>
      <c r="K677" s="185">
        <f t="shared" si="2797"/>
        <v>0</v>
      </c>
      <c r="L677" s="185">
        <f t="shared" ref="L677:M677" si="2798">L660*L659</f>
        <v>0</v>
      </c>
      <c r="M677" s="185">
        <f t="shared" si="2798"/>
        <v>0</v>
      </c>
      <c r="N677" s="185">
        <f t="shared" ref="N677:O677" si="2799">N660*N659</f>
        <v>0</v>
      </c>
      <c r="O677" s="185">
        <f t="shared" si="2799"/>
        <v>0</v>
      </c>
      <c r="P677" s="185">
        <f t="shared" ref="P677:Q677" si="2800">P660*P659</f>
        <v>0</v>
      </c>
      <c r="Q677" s="185">
        <f t="shared" si="2800"/>
        <v>0</v>
      </c>
      <c r="R677" s="185">
        <f t="shared" ref="R677:S677" si="2801">R660*R659</f>
        <v>0</v>
      </c>
      <c r="S677" s="185">
        <f t="shared" si="2801"/>
        <v>0</v>
      </c>
      <c r="T677" s="185">
        <f t="shared" ref="T677:U677" si="2802">T660*T659</f>
        <v>0</v>
      </c>
      <c r="U677" s="185">
        <f t="shared" si="2802"/>
        <v>0</v>
      </c>
      <c r="V677" s="185">
        <f t="shared" ref="V677:W677" si="2803">V660*V659</f>
        <v>0</v>
      </c>
      <c r="W677" s="185">
        <f t="shared" si="2803"/>
        <v>0</v>
      </c>
      <c r="X677" s="185">
        <f t="shared" ref="X677:Y677" si="2804">X660*X659</f>
        <v>0</v>
      </c>
      <c r="Y677" s="185">
        <f t="shared" si="2804"/>
        <v>0</v>
      </c>
      <c r="Z677" s="185">
        <f t="shared" ref="Z677:AA677" si="2805">Z660*Z659</f>
        <v>0</v>
      </c>
      <c r="AA677" s="185">
        <f t="shared" si="2805"/>
        <v>0</v>
      </c>
      <c r="AB677" s="185">
        <f t="shared" ref="AB677:AC677" si="2806">AB660*AB659</f>
        <v>0</v>
      </c>
      <c r="AC677" s="185">
        <f t="shared" si="2806"/>
        <v>0</v>
      </c>
      <c r="AD677" s="185">
        <f t="shared" ref="AD677:AE677" si="2807">AD660*AD659</f>
        <v>0</v>
      </c>
      <c r="AE677" s="185">
        <f t="shared" si="2807"/>
        <v>0</v>
      </c>
      <c r="AF677" s="185">
        <f t="shared" ref="AF677:AG677" si="2808">AF660*AF659</f>
        <v>0</v>
      </c>
      <c r="AG677" s="185">
        <f t="shared" si="2808"/>
        <v>0</v>
      </c>
      <c r="AH677" s="185">
        <f t="shared" ref="AH677:AI677" si="2809">AH660*AH659</f>
        <v>0</v>
      </c>
      <c r="AI677" s="185">
        <f t="shared" si="2809"/>
        <v>0</v>
      </c>
      <c r="AJ677" s="185">
        <f t="shared" ref="AJ677:AK677" si="2810">AJ660*AJ659</f>
        <v>0</v>
      </c>
      <c r="AK677" s="185">
        <f t="shared" si="2810"/>
        <v>0</v>
      </c>
      <c r="AL677" s="185">
        <f t="shared" ref="AL677:AM677" si="2811">AL660*AL659</f>
        <v>0</v>
      </c>
      <c r="AM677" s="185">
        <f t="shared" si="2811"/>
        <v>0</v>
      </c>
      <c r="AN677" s="185">
        <f t="shared" ref="AN677:AO677" si="2812">AN660*AN659</f>
        <v>0</v>
      </c>
      <c r="AO677" s="185">
        <f t="shared" si="2812"/>
        <v>0</v>
      </c>
      <c r="AP677" s="185">
        <f t="shared" ref="AP677:AQ677" si="2813">AP660*AP659</f>
        <v>0</v>
      </c>
      <c r="AQ677" s="185">
        <f t="shared" si="2813"/>
        <v>0</v>
      </c>
      <c r="AR677" s="185">
        <f t="shared" ref="AR677:AS677" si="2814">AR660*AR659</f>
        <v>0</v>
      </c>
      <c r="AS677" s="185">
        <f t="shared" si="2814"/>
        <v>0</v>
      </c>
      <c r="AT677" s="185">
        <f t="shared" ref="AT677:AU677" si="2815">AT660*AT659</f>
        <v>0</v>
      </c>
      <c r="AU677" s="185">
        <f t="shared" si="2815"/>
        <v>0</v>
      </c>
      <c r="AV677" s="185">
        <f t="shared" ref="AV677:AW677" si="2816">AV660*AV659</f>
        <v>0</v>
      </c>
      <c r="AW677" s="185">
        <f t="shared" si="2816"/>
        <v>0</v>
      </c>
      <c r="AX677" s="185">
        <f t="shared" ref="AX677:AY677" si="2817">AX660*AX659</f>
        <v>0</v>
      </c>
      <c r="AY677" s="185">
        <f t="shared" si="2817"/>
        <v>0</v>
      </c>
      <c r="AZ677" s="185">
        <f t="shared" ref="AZ677:BA677" si="2818">AZ660*AZ659</f>
        <v>0</v>
      </c>
      <c r="BA677" s="185">
        <f t="shared" si="2818"/>
        <v>0</v>
      </c>
      <c r="BB677" s="185">
        <f t="shared" ref="BB677" si="2819">BB660*BB659</f>
        <v>0</v>
      </c>
      <c r="BC677" s="185"/>
      <c r="BD677" s="193">
        <f>SUM(G677:BC677)</f>
        <v>0</v>
      </c>
    </row>
    <row r="678" spans="1:56" ht="14.4" hidden="1" thickTop="1" x14ac:dyDescent="0.3">
      <c r="A678" s="184" t="str">
        <f ca="1">Language!A$896</f>
        <v>курсовые разницы</v>
      </c>
      <c r="B678" s="216"/>
      <c r="C678" s="163" t="str">
        <f t="shared" ca="1" si="2724"/>
        <v>руб.</v>
      </c>
      <c r="D678" s="174">
        <v>1</v>
      </c>
      <c r="E678" s="170" t="s">
        <v>1278</v>
      </c>
      <c r="F678" s="170" t="s">
        <v>743</v>
      </c>
      <c r="G678" s="185">
        <f>-(SUM($G661:G661)+$B663-G666+G667-G668-SUM($G665:G665)+IF(G$2=1,0,SUM($F678:F678)))</f>
        <v>0</v>
      </c>
      <c r="H678" s="185">
        <f>-(SUM($G661:H661)+$B663-H666+H667-H668-SUM($G665:H665)+IF(H$2=1,0,SUM($F678:G678)))</f>
        <v>0</v>
      </c>
      <c r="I678" s="185">
        <f>-(SUM($G661:I661)+$B663-I666+I667-I668-SUM($G665:I665)+IF(I$2=1,0,SUM($F678:H678)))</f>
        <v>0</v>
      </c>
      <c r="J678" s="185">
        <f>-(SUM($G661:J661)+$B663-J666+J667-J668-SUM($G665:J665)+IF(J$2=1,0,SUM($F678:I678)))</f>
        <v>0</v>
      </c>
      <c r="K678" s="185">
        <f>-(SUM($G661:K661)+$B663-K666+K667-K668-SUM($G665:K665)+IF(K$2=1,0,SUM($F678:J678)))</f>
        <v>0</v>
      </c>
      <c r="L678" s="185">
        <f>-(SUM($G661:L661)+$B663-L666+L667-L668-SUM($G665:L665)+IF(L$2=1,0,SUM($F678:K678)))</f>
        <v>0</v>
      </c>
      <c r="M678" s="185">
        <f>-(SUM($G661:M661)+$B663-M666+M667-M668-SUM($G665:M665)+IF(M$2=1,0,SUM($F678:L678)))</f>
        <v>0</v>
      </c>
      <c r="N678" s="185">
        <f>-(SUM($G661:N661)+$B663-N666+N667-N668-SUM($G665:N665)+IF(N$2=1,0,SUM($F678:M678)))</f>
        <v>0</v>
      </c>
      <c r="O678" s="185">
        <f>-(SUM($G661:O661)+$B663-O666+O667-O668-SUM($G665:O665)+IF(O$2=1,0,SUM($F678:N678)))</f>
        <v>0</v>
      </c>
      <c r="P678" s="185">
        <f>-(SUM($G661:P661)+$B663-P666+P667-P668-SUM($G665:P665)+IF(P$2=1,0,SUM($F678:O678)))</f>
        <v>0</v>
      </c>
      <c r="Q678" s="185">
        <f>-(SUM($G661:Q661)+$B663-Q666+Q667-Q668-SUM($G665:Q665)+IF(Q$2=1,0,SUM($F678:P678)))</f>
        <v>0</v>
      </c>
      <c r="R678" s="185">
        <f>-(SUM($G661:R661)+$B663-R666+R667-R668-SUM($G665:R665)+IF(R$2=1,0,SUM($F678:Q678)))</f>
        <v>0</v>
      </c>
      <c r="S678" s="185">
        <f>-(SUM($G661:S661)+$B663-S666+S667-S668-SUM($G665:S665)+IF(S$2=1,0,SUM($F678:R678)))</f>
        <v>0</v>
      </c>
      <c r="T678" s="185">
        <f>-(SUM($G661:T661)+$B663-T666+T667-T668-SUM($G665:T665)+IF(T$2=1,0,SUM($F678:S678)))</f>
        <v>0</v>
      </c>
      <c r="U678" s="185">
        <f>-(SUM($G661:U661)+$B663-U666+U667-U668-SUM($G665:U665)+IF(U$2=1,0,SUM($F678:T678)))</f>
        <v>0</v>
      </c>
      <c r="V678" s="185">
        <f>-(SUM($G661:V661)+$B663-V666+V667-V668-SUM($G665:V665)+IF(V$2=1,0,SUM($F678:U678)))</f>
        <v>0</v>
      </c>
      <c r="W678" s="185">
        <f>-(SUM($G661:W661)+$B663-W666+W667-W668-SUM($G665:W665)+IF(W$2=1,0,SUM($F678:V678)))</f>
        <v>0</v>
      </c>
      <c r="X678" s="185">
        <f>-(SUM($G661:X661)+$B663-X666+X667-X668-SUM($G665:X665)+IF(X$2=1,0,SUM($F678:W678)))</f>
        <v>0</v>
      </c>
      <c r="Y678" s="185">
        <f>-(SUM($G661:Y661)+$B663-Y666+Y667-Y668-SUM($G665:Y665)+IF(Y$2=1,0,SUM($F678:X678)))</f>
        <v>0</v>
      </c>
      <c r="Z678" s="185">
        <f>-(SUM($G661:Z661)+$B663-Z666+Z667-Z668-SUM($G665:Z665)+IF(Z$2=1,0,SUM($F678:Y678)))</f>
        <v>0</v>
      </c>
      <c r="AA678" s="185">
        <f>-(SUM($G661:AA661)+$B663-AA666+AA667-AA668-SUM($G665:AA665)+IF(AA$2=1,0,SUM($F678:Z678)))</f>
        <v>0</v>
      </c>
      <c r="AB678" s="185">
        <f>-(SUM($G661:AB661)+$B663-AB666+AB667-AB668-SUM($G665:AB665)+IF(AB$2=1,0,SUM($F678:AA678)))</f>
        <v>0</v>
      </c>
      <c r="AC678" s="185">
        <f>-(SUM($G661:AC661)+$B663-AC666+AC667-AC668-SUM($G665:AC665)+IF(AC$2=1,0,SUM($F678:AB678)))</f>
        <v>0</v>
      </c>
      <c r="AD678" s="185">
        <f>-(SUM($G661:AD661)+$B663-AD666+AD667-AD668-SUM($G665:AD665)+IF(AD$2=1,0,SUM($F678:AC678)))</f>
        <v>0</v>
      </c>
      <c r="AE678" s="185">
        <f>-(SUM($G661:AE661)+$B663-AE666+AE667-AE668-SUM($G665:AE665)+IF(AE$2=1,0,SUM($F678:AD678)))</f>
        <v>0</v>
      </c>
      <c r="AF678" s="185">
        <f>-(SUM($G661:AF661)+$B663-AF666+AF667-AF668-SUM($G665:AF665)+IF(AF$2=1,0,SUM($F678:AE678)))</f>
        <v>0</v>
      </c>
      <c r="AG678" s="185">
        <f>-(SUM($G661:AG661)+$B663-AG666+AG667-AG668-SUM($G665:AG665)+IF(AG$2=1,0,SUM($F678:AF678)))</f>
        <v>0</v>
      </c>
      <c r="AH678" s="185">
        <f>-(SUM($G661:AH661)+$B663-AH666+AH667-AH668-SUM($G665:AH665)+IF(AH$2=1,0,SUM($F678:AG678)))</f>
        <v>0</v>
      </c>
      <c r="AI678" s="185">
        <f>-(SUM($G661:AI661)+$B663-AI666+AI667-AI668-SUM($G665:AI665)+IF(AI$2=1,0,SUM($F678:AH678)))</f>
        <v>0</v>
      </c>
      <c r="AJ678" s="185">
        <f>-(SUM($G661:AJ661)+$B663-AJ666+AJ667-AJ668-SUM($G665:AJ665)+IF(AJ$2=1,0,SUM($F678:AI678)))</f>
        <v>0</v>
      </c>
      <c r="AK678" s="185">
        <f>-(SUM($G661:AK661)+$B663-AK666+AK667-AK668-SUM($G665:AK665)+IF(AK$2=1,0,SUM($F678:AJ678)))</f>
        <v>0</v>
      </c>
      <c r="AL678" s="185">
        <f>-(SUM($G661:AL661)+$B663-AL666+AL667-AL668-SUM($G665:AL665)+IF(AL$2=1,0,SUM($F678:AK678)))</f>
        <v>0</v>
      </c>
      <c r="AM678" s="185">
        <f>-(SUM($G661:AM661)+$B663-AM666+AM667-AM668-SUM($G665:AM665)+IF(AM$2=1,0,SUM($F678:AL678)))</f>
        <v>0</v>
      </c>
      <c r="AN678" s="185">
        <f>-(SUM($G661:AN661)+$B663-AN666+AN667-AN668-SUM($G665:AN665)+IF(AN$2=1,0,SUM($F678:AM678)))</f>
        <v>0</v>
      </c>
      <c r="AO678" s="185">
        <f>-(SUM($G661:AO661)+$B663-AO666+AO667-AO668-SUM($G665:AO665)+IF(AO$2=1,0,SUM($F678:AN678)))</f>
        <v>0</v>
      </c>
      <c r="AP678" s="185">
        <f>-(SUM($G661:AP661)+$B663-AP666+AP667-AP668-SUM($G665:AP665)+IF(AP$2=1,0,SUM($F678:AO678)))</f>
        <v>0</v>
      </c>
      <c r="AQ678" s="185">
        <f>-(SUM($G661:AQ661)+$B663-AQ666+AQ667-AQ668-SUM($G665:AQ665)+IF(AQ$2=1,0,SUM($F678:AP678)))</f>
        <v>0</v>
      </c>
      <c r="AR678" s="185">
        <f>-(SUM($G661:AR661)+$B663-AR666+AR667-AR668-SUM($G665:AR665)+IF(AR$2=1,0,SUM($F678:AQ678)))</f>
        <v>0</v>
      </c>
      <c r="AS678" s="185">
        <f>-(SUM($G661:AS661)+$B663-AS666+AS667-AS668-SUM($G665:AS665)+IF(AS$2=1,0,SUM($F678:AR678)))</f>
        <v>0</v>
      </c>
      <c r="AT678" s="185">
        <f>-(SUM($G661:AT661)+$B663-AT666+AT667-AT668-SUM($G665:AT665)+IF(AT$2=1,0,SUM($F678:AS678)))</f>
        <v>0</v>
      </c>
      <c r="AU678" s="185">
        <f>-(SUM($G661:AU661)+$B663-AU666+AU667-AU668-SUM($G665:AU665)+IF(AU$2=1,0,SUM($F678:AT678)))</f>
        <v>0</v>
      </c>
      <c r="AV678" s="185">
        <f>-(SUM($G661:AV661)+$B663-AV666+AV667-AV668-SUM($G665:AV665)+IF(AV$2=1,0,SUM($F678:AU678)))</f>
        <v>0</v>
      </c>
      <c r="AW678" s="185">
        <f>-(SUM($G661:AW661)+$B663-AW666+AW667-AW668-SUM($G665:AW665)+IF(AW$2=1,0,SUM($F678:AV678)))</f>
        <v>0</v>
      </c>
      <c r="AX678" s="185">
        <f>-(SUM($G661:AX661)+$B663-AX666+AX667-AX668-SUM($G665:AX665)+IF(AX$2=1,0,SUM($F678:AW678)))</f>
        <v>0</v>
      </c>
      <c r="AY678" s="185">
        <f>-(SUM($G661:AY661)+$B663-AY666+AY667-AY668-SUM($G665:AY665)+IF(AY$2=1,0,SUM($F678:AX678)))</f>
        <v>0</v>
      </c>
      <c r="AZ678" s="185">
        <f>-(SUM($G661:AZ661)+$B663-AZ666+AZ667-AZ668-SUM($G665:AZ665)+IF(AZ$2=1,0,SUM($F678:AY678)))</f>
        <v>0</v>
      </c>
      <c r="BA678" s="185">
        <f>-(SUM($G661:BA661)+$B663-BA666+BA667-BA668-SUM($G665:BA665)+IF(BA$2=1,0,SUM($F678:AZ678)))</f>
        <v>0</v>
      </c>
      <c r="BB678" s="185">
        <f>-(SUM($G661:BB661)+$B663-BB666+BB667-BB668-SUM($G665:BB665)+IF(BB$2=1,0,SUM($F678:BA678)))</f>
        <v>0</v>
      </c>
      <c r="BC678" s="185"/>
      <c r="BD678" s="193">
        <f>SUM(G678:BC678)</f>
        <v>0</v>
      </c>
    </row>
    <row r="679" spans="1:56" ht="14.4" hidden="1" thickTop="1" x14ac:dyDescent="0.3">
      <c r="A679" s="283" t="str">
        <f ca="1">Language!A$897</f>
        <v>Шаблон оборудования</v>
      </c>
      <c r="C679" s="176"/>
      <c r="D679" s="174">
        <v>1</v>
      </c>
      <c r="F679" s="170" t="s">
        <v>2296</v>
      </c>
      <c r="G679" s="177"/>
      <c r="H679" s="177"/>
      <c r="I679" s="177"/>
      <c r="J679" s="177"/>
      <c r="K679" s="177"/>
      <c r="L679" s="177"/>
      <c r="M679" s="177"/>
      <c r="N679" s="177"/>
      <c r="O679" s="177"/>
      <c r="P679" s="177"/>
      <c r="Q679" s="177"/>
      <c r="R679" s="177"/>
      <c r="S679" s="177"/>
      <c r="T679" s="177"/>
      <c r="U679" s="177"/>
      <c r="V679" s="177"/>
      <c r="W679" s="177"/>
      <c r="X679" s="177"/>
      <c r="Y679" s="177"/>
      <c r="Z679" s="177"/>
      <c r="AA679" s="177"/>
      <c r="AB679" s="177"/>
      <c r="AC679" s="177"/>
      <c r="AD679" s="177"/>
      <c r="AE679" s="177"/>
      <c r="AF679" s="177"/>
      <c r="AG679" s="177"/>
      <c r="AH679" s="177"/>
      <c r="AI679" s="177"/>
      <c r="AJ679" s="177"/>
      <c r="AK679" s="177"/>
      <c r="AL679" s="177"/>
      <c r="AM679" s="177"/>
      <c r="AN679" s="177"/>
      <c r="AO679" s="177"/>
      <c r="AP679" s="177"/>
      <c r="AQ679" s="177"/>
      <c r="AR679" s="177"/>
      <c r="AS679" s="177"/>
      <c r="AT679" s="177"/>
      <c r="AU679" s="177"/>
      <c r="AV679" s="177"/>
      <c r="AW679" s="177"/>
      <c r="AX679" s="177"/>
      <c r="AY679" s="177"/>
      <c r="AZ679" s="177"/>
      <c r="BA679" s="177"/>
      <c r="BB679" s="177"/>
      <c r="BC679" s="177"/>
      <c r="BD679" s="178"/>
    </row>
    <row r="680" spans="1:56" ht="14.4" hidden="1" thickTop="1" x14ac:dyDescent="0.3">
      <c r="A680" s="175" t="str">
        <f ca="1">Language!A$898</f>
        <v>график оплаты, без НДС</v>
      </c>
      <c r="B680" s="199">
        <f>BD680</f>
        <v>0</v>
      </c>
      <c r="C680" s="176" t="str">
        <f t="shared" ref="C680:C681" ca="1" si="2820">CHOOSE(D680,CurName1,CurName2,CurName3)</f>
        <v>руб.</v>
      </c>
      <c r="D680" s="174">
        <f>D679</f>
        <v>1</v>
      </c>
      <c r="F680" s="170" t="s">
        <v>742</v>
      </c>
      <c r="G680" s="297">
        <v>0</v>
      </c>
      <c r="H680" s="297">
        <v>0</v>
      </c>
      <c r="I680" s="297">
        <v>0</v>
      </c>
      <c r="J680" s="297">
        <v>0</v>
      </c>
      <c r="K680" s="297">
        <v>0</v>
      </c>
      <c r="L680" s="297">
        <v>0</v>
      </c>
      <c r="M680" s="297">
        <v>0</v>
      </c>
      <c r="N680" s="297">
        <v>0</v>
      </c>
      <c r="O680" s="297">
        <v>0</v>
      </c>
      <c r="P680" s="297">
        <v>0</v>
      </c>
      <c r="Q680" s="297">
        <v>0</v>
      </c>
      <c r="R680" s="297">
        <v>0</v>
      </c>
      <c r="S680" s="297">
        <v>0</v>
      </c>
      <c r="T680" s="297">
        <v>0</v>
      </c>
      <c r="U680" s="297">
        <v>0</v>
      </c>
      <c r="V680" s="297">
        <v>0</v>
      </c>
      <c r="W680" s="297">
        <v>0</v>
      </c>
      <c r="X680" s="297">
        <v>0</v>
      </c>
      <c r="Y680" s="297">
        <v>0</v>
      </c>
      <c r="Z680" s="297">
        <v>0</v>
      </c>
      <c r="AA680" s="297">
        <v>0</v>
      </c>
      <c r="AB680" s="297">
        <v>0</v>
      </c>
      <c r="AC680" s="297">
        <v>0</v>
      </c>
      <c r="AD680" s="297">
        <v>0</v>
      </c>
      <c r="AE680" s="297">
        <v>0</v>
      </c>
      <c r="AF680" s="297">
        <v>0</v>
      </c>
      <c r="AG680" s="297">
        <v>0</v>
      </c>
      <c r="AH680" s="297">
        <v>0</v>
      </c>
      <c r="AI680" s="297">
        <v>0</v>
      </c>
      <c r="AJ680" s="297">
        <v>0</v>
      </c>
      <c r="AK680" s="297">
        <v>0</v>
      </c>
      <c r="AL680" s="297">
        <v>0</v>
      </c>
      <c r="AM680" s="297">
        <v>0</v>
      </c>
      <c r="AN680" s="297">
        <v>0</v>
      </c>
      <c r="AO680" s="297">
        <v>0</v>
      </c>
      <c r="AP680" s="297">
        <v>0</v>
      </c>
      <c r="AQ680" s="297">
        <v>0</v>
      </c>
      <c r="AR680" s="297">
        <v>0</v>
      </c>
      <c r="AS680" s="297">
        <v>0</v>
      </c>
      <c r="AT680" s="297">
        <v>0</v>
      </c>
      <c r="AU680" s="297">
        <v>0</v>
      </c>
      <c r="AV680" s="297">
        <v>0</v>
      </c>
      <c r="AW680" s="297">
        <v>0</v>
      </c>
      <c r="AX680" s="297">
        <v>0</v>
      </c>
      <c r="AY680" s="297">
        <v>0</v>
      </c>
      <c r="AZ680" s="297">
        <v>0</v>
      </c>
      <c r="BA680" s="297">
        <v>0</v>
      </c>
      <c r="BB680" s="297">
        <v>0</v>
      </c>
      <c r="BC680" s="177"/>
      <c r="BD680" s="178">
        <f>SUM(G680:BC680)</f>
        <v>0</v>
      </c>
    </row>
    <row r="681" spans="1:56" ht="14.4" hidden="1" thickTop="1" x14ac:dyDescent="0.3">
      <c r="A681" s="175" t="str">
        <f ca="1">Language!A$899</f>
        <v>ранее осуществленные инвестиции, без НДС</v>
      </c>
      <c r="B681" s="295">
        <v>0</v>
      </c>
      <c r="C681" s="176" t="str">
        <f t="shared" ca="1" si="2820"/>
        <v>руб.</v>
      </c>
      <c r="D681" s="174">
        <f>D679</f>
        <v>1</v>
      </c>
      <c r="F681" s="170" t="s">
        <v>644</v>
      </c>
    </row>
    <row r="682" spans="1:56" ht="14.4" hidden="1" thickTop="1" x14ac:dyDescent="0.3">
      <c r="A682" s="175" t="str">
        <f ca="1">Language!A$900</f>
        <v>график ввода в эксплуатацию, без НДС</v>
      </c>
      <c r="B682" s="176"/>
      <c r="C682" s="176" t="str">
        <f ca="1">CHOOSE(D682,CurName1,CurName2,CurName3)</f>
        <v>руб.</v>
      </c>
      <c r="D682" s="174">
        <f>D679</f>
        <v>1</v>
      </c>
      <c r="F682" s="170" t="s">
        <v>743</v>
      </c>
      <c r="G682" s="297">
        <f>IF(G$2&gt;=ROUNDUP(Параметры!$B$18,0)+1,MAX(0,$BD680+$B681-SUM($F682:F682)),0)</f>
        <v>0</v>
      </c>
      <c r="H682" s="297">
        <f>IF(H$2&gt;=ROUNDUP(Параметры!$B$18,0)+1,MAX(0,$BD680+$B681-SUM($F682:G682)),0)</f>
        <v>0</v>
      </c>
      <c r="I682" s="297">
        <f>IF(I$2&gt;=ROUNDUP(Параметры!$B$18,0)+1,MAX(0,$BD680+$B681-SUM($F682:H682)),0)</f>
        <v>0</v>
      </c>
      <c r="J682" s="297">
        <f>IF(J$2&gt;=ROUNDUP(Параметры!$B$18,0)+1,MAX(0,$BD680+$B681-SUM($F682:I682)),0)</f>
        <v>0</v>
      </c>
      <c r="K682" s="297">
        <f>IF(K$2&gt;=ROUNDUP(Параметры!$B$18,0)+1,MAX(0,$BD680+$B681-SUM($F682:J682)),0)</f>
        <v>0</v>
      </c>
      <c r="L682" s="297">
        <f>IF(L$2&gt;=ROUNDUP(Параметры!$B$18,0)+1,MAX(0,$BD680+$B681-SUM($F682:K682)),0)</f>
        <v>0</v>
      </c>
      <c r="M682" s="297">
        <f>IF(M$2&gt;=ROUNDUP(Параметры!$B$18,0)+1,MAX(0,$BD680+$B681-SUM($F682:L682)),0)</f>
        <v>0</v>
      </c>
      <c r="N682" s="297">
        <f>IF(N$2&gt;=ROUNDUP(Параметры!$B$18,0)+1,MAX(0,$BD680+$B681-SUM($F682:M682)),0)</f>
        <v>0</v>
      </c>
      <c r="O682" s="297">
        <f>IF(O$2&gt;=ROUNDUP(Параметры!$B$18,0)+1,MAX(0,$BD680+$B681-SUM($F682:N682)),0)</f>
        <v>0</v>
      </c>
      <c r="P682" s="297">
        <f>IF(P$2&gt;=ROUNDUP(Параметры!$B$18,0)+1,MAX(0,$BD680+$B681-SUM($F682:O682)),0)</f>
        <v>0</v>
      </c>
      <c r="Q682" s="297">
        <f>IF(Q$2&gt;=ROUNDUP(Параметры!$B$18,0)+1,MAX(0,$BD680+$B681-SUM($F682:P682)),0)</f>
        <v>0</v>
      </c>
      <c r="R682" s="297">
        <f>IF(R$2&gt;=ROUNDUP(Параметры!$B$18,0)+1,MAX(0,$BD680+$B681-SUM($F682:Q682)),0)</f>
        <v>0</v>
      </c>
      <c r="S682" s="297">
        <f>IF(S$2&gt;=ROUNDUP(Параметры!$B$18,0)+1,MAX(0,$BD680+$B681-SUM($F682:R682)),0)</f>
        <v>0</v>
      </c>
      <c r="T682" s="297">
        <f>IF(T$2&gt;=ROUNDUP(Параметры!$B$18,0)+1,MAX(0,$BD680+$B681-SUM($F682:S682)),0)</f>
        <v>0</v>
      </c>
      <c r="U682" s="297">
        <f>IF(U$2&gt;=ROUNDUP(Параметры!$B$18,0)+1,MAX(0,$BD680+$B681-SUM($F682:T682)),0)</f>
        <v>0</v>
      </c>
      <c r="V682" s="297">
        <f>IF(V$2&gt;=ROUNDUP(Параметры!$B$18,0)+1,MAX(0,$BD680+$B681-SUM($F682:U682)),0)</f>
        <v>0</v>
      </c>
      <c r="W682" s="297">
        <f>IF(W$2&gt;=ROUNDUP(Параметры!$B$18,0)+1,MAX(0,$BD680+$B681-SUM($F682:V682)),0)</f>
        <v>0</v>
      </c>
      <c r="X682" s="297">
        <f>IF(X$2&gt;=ROUNDUP(Параметры!$B$18,0)+1,MAX(0,$BD680+$B681-SUM($F682:W682)),0)</f>
        <v>0</v>
      </c>
      <c r="Y682" s="297">
        <f>IF(Y$2&gt;=ROUNDUP(Параметры!$B$18,0)+1,MAX(0,$BD680+$B681-SUM($F682:X682)),0)</f>
        <v>0</v>
      </c>
      <c r="Z682" s="297">
        <f>IF(Z$2&gt;=ROUNDUP(Параметры!$B$18,0)+1,MAX(0,$BD680+$B681-SUM($F682:Y682)),0)</f>
        <v>0</v>
      </c>
      <c r="AA682" s="297">
        <f>IF(AA$2&gt;=ROUNDUP(Параметры!$B$18,0)+1,MAX(0,$BD680+$B681-SUM($F682:Z682)),0)</f>
        <v>0</v>
      </c>
      <c r="AB682" s="297">
        <f>IF(AB$2&gt;=ROUNDUP(Параметры!$B$18,0)+1,MAX(0,$BD680+$B681-SUM($F682:AA682)),0)</f>
        <v>0</v>
      </c>
      <c r="AC682" s="297">
        <f>IF(AC$2&gt;=ROUNDUP(Параметры!$B$18,0)+1,MAX(0,$BD680+$B681-SUM($F682:AB682)),0)</f>
        <v>0</v>
      </c>
      <c r="AD682" s="297">
        <f>IF(AD$2&gt;=ROUNDUP(Параметры!$B$18,0)+1,MAX(0,$BD680+$B681-SUM($F682:AC682)),0)</f>
        <v>0</v>
      </c>
      <c r="AE682" s="297">
        <f>IF(AE$2&gt;=ROUNDUP(Параметры!$B$18,0)+1,MAX(0,$BD680+$B681-SUM($F682:AD682)),0)</f>
        <v>0</v>
      </c>
      <c r="AF682" s="297">
        <f>IF(AF$2&gt;=ROUNDUP(Параметры!$B$18,0)+1,MAX(0,$BD680+$B681-SUM($F682:AE682)),0)</f>
        <v>0</v>
      </c>
      <c r="AG682" s="297">
        <f>IF(AG$2&gt;=ROUNDUP(Параметры!$B$18,0)+1,MAX(0,$BD680+$B681-SUM($F682:AF682)),0)</f>
        <v>0</v>
      </c>
      <c r="AH682" s="297">
        <f>IF(AH$2&gt;=ROUNDUP(Параметры!$B$18,0)+1,MAX(0,$BD680+$B681-SUM($F682:AG682)),0)</f>
        <v>0</v>
      </c>
      <c r="AI682" s="297">
        <f>IF(AI$2&gt;=ROUNDUP(Параметры!$B$18,0)+1,MAX(0,$BD680+$B681-SUM($F682:AH682)),0)</f>
        <v>0</v>
      </c>
      <c r="AJ682" s="297">
        <f>IF(AJ$2&gt;=ROUNDUP(Параметры!$B$18,0)+1,MAX(0,$BD680+$B681-SUM($F682:AI682)),0)</f>
        <v>0</v>
      </c>
      <c r="AK682" s="297">
        <f>IF(AK$2&gt;=ROUNDUP(Параметры!$B$18,0)+1,MAX(0,$BD680+$B681-SUM($F682:AJ682)),0)</f>
        <v>0</v>
      </c>
      <c r="AL682" s="297">
        <f>IF(AL$2&gt;=ROUNDUP(Параметры!$B$18,0)+1,MAX(0,$BD680+$B681-SUM($F682:AK682)),0)</f>
        <v>0</v>
      </c>
      <c r="AM682" s="297">
        <f>IF(AM$2&gt;=ROUNDUP(Параметры!$B$18,0)+1,MAX(0,$BD680+$B681-SUM($F682:AL682)),0)</f>
        <v>0</v>
      </c>
      <c r="AN682" s="297">
        <f>IF(AN$2&gt;=ROUNDUP(Параметры!$B$18,0)+1,MAX(0,$BD680+$B681-SUM($F682:AM682)),0)</f>
        <v>0</v>
      </c>
      <c r="AO682" s="297">
        <f>IF(AO$2&gt;=ROUNDUP(Параметры!$B$18,0)+1,MAX(0,$BD680+$B681-SUM($F682:AN682)),0)</f>
        <v>0</v>
      </c>
      <c r="AP682" s="297">
        <f>IF(AP$2&gt;=ROUNDUP(Параметры!$B$18,0)+1,MAX(0,$BD680+$B681-SUM($F682:AO682)),0)</f>
        <v>0</v>
      </c>
      <c r="AQ682" s="297">
        <f>IF(AQ$2&gt;=ROUNDUP(Параметры!$B$18,0)+1,MAX(0,$BD680+$B681-SUM($F682:AP682)),0)</f>
        <v>0</v>
      </c>
      <c r="AR682" s="297">
        <f>IF(AR$2&gt;=ROUNDUP(Параметры!$B$18,0)+1,MAX(0,$BD680+$B681-SUM($F682:AQ682)),0)</f>
        <v>0</v>
      </c>
      <c r="AS682" s="297">
        <f>IF(AS$2&gt;=ROUNDUP(Параметры!$B$18,0)+1,MAX(0,$BD680+$B681-SUM($F682:AR682)),0)</f>
        <v>0</v>
      </c>
      <c r="AT682" s="297">
        <f>IF(AT$2&gt;=ROUNDUP(Параметры!$B$18,0)+1,MAX(0,$BD680+$B681-SUM($F682:AS682)),0)</f>
        <v>0</v>
      </c>
      <c r="AU682" s="297">
        <f>IF(AU$2&gt;=ROUNDUP(Параметры!$B$18,0)+1,MAX(0,$BD680+$B681-SUM($F682:AT682)),0)</f>
        <v>0</v>
      </c>
      <c r="AV682" s="297">
        <f>IF(AV$2&gt;=ROUNDUP(Параметры!$B$18,0)+1,MAX(0,$BD680+$B681-SUM($F682:AU682)),0)</f>
        <v>0</v>
      </c>
      <c r="AW682" s="297">
        <f>IF(AW$2&gt;=ROUNDUP(Параметры!$B$18,0)+1,MAX(0,$BD680+$B681-SUM($F682:AV682)),0)</f>
        <v>0</v>
      </c>
      <c r="AX682" s="297">
        <f>IF(AX$2&gt;=ROUNDUP(Параметры!$B$18,0)+1,MAX(0,$BD680+$B681-SUM($F682:AW682)),0)</f>
        <v>0</v>
      </c>
      <c r="AY682" s="297">
        <f>IF(AY$2&gt;=ROUNDUP(Параметры!$B$18,0)+1,MAX(0,$BD680+$B681-SUM($F682:AX682)),0)</f>
        <v>0</v>
      </c>
      <c r="AZ682" s="297">
        <f>IF(AZ$2&gt;=ROUNDUP(Параметры!$B$18,0)+1,MAX(0,$BD680+$B681-SUM($F682:AY682)),0)</f>
        <v>0</v>
      </c>
      <c r="BA682" s="297">
        <f>IF(BA$2&gt;=ROUNDUP(Параметры!$B$18,0)+1,MAX(0,$BD680+$B681-SUM($F682:AZ682)),0)</f>
        <v>0</v>
      </c>
      <c r="BB682" s="297">
        <f>IF(BB$2&gt;=ROUNDUP(Параметры!$B$18,0)+1,MAX(0,$BD680+$B681-SUM($F682:BA682)),0)</f>
        <v>0</v>
      </c>
      <c r="BC682" s="177"/>
      <c r="BD682" s="178">
        <f>SUM(G682:BC682)</f>
        <v>0</v>
      </c>
    </row>
    <row r="683" spans="1:56" ht="14.4" hidden="1" thickTop="1" x14ac:dyDescent="0.3">
      <c r="A683" s="175" t="str">
        <f ca="1">Language!A$901</f>
        <v xml:space="preserve">срок полезного использования </v>
      </c>
      <c r="B683" s="295">
        <v>10</v>
      </c>
      <c r="C683" s="176" t="str">
        <f ca="1">Language!A$48</f>
        <v>лет</v>
      </c>
      <c r="D683" s="174">
        <v>1</v>
      </c>
      <c r="F683" s="170" t="s">
        <v>644</v>
      </c>
      <c r="G683" s="177"/>
      <c r="H683" s="177"/>
      <c r="I683" s="177"/>
      <c r="J683" s="177"/>
      <c r="K683" s="177"/>
      <c r="L683" s="177"/>
      <c r="M683" s="177"/>
      <c r="N683" s="177"/>
      <c r="O683" s="177"/>
      <c r="P683" s="177"/>
      <c r="Q683" s="177"/>
      <c r="R683" s="177"/>
      <c r="S683" s="177"/>
      <c r="T683" s="177"/>
      <c r="U683" s="177"/>
      <c r="V683" s="177"/>
      <c r="W683" s="177"/>
      <c r="X683" s="177"/>
      <c r="Y683" s="177"/>
      <c r="Z683" s="177"/>
      <c r="AA683" s="177"/>
      <c r="AB683" s="177"/>
      <c r="AC683" s="177"/>
      <c r="AD683" s="177"/>
      <c r="AE683" s="177"/>
      <c r="AF683" s="177"/>
      <c r="AG683" s="177"/>
      <c r="AH683" s="177"/>
      <c r="AI683" s="177"/>
      <c r="AJ683" s="177"/>
      <c r="AK683" s="177"/>
      <c r="AL683" s="177"/>
      <c r="AM683" s="177"/>
      <c r="AN683" s="177"/>
      <c r="AO683" s="177"/>
      <c r="AP683" s="177"/>
      <c r="AQ683" s="177"/>
      <c r="AR683" s="177"/>
      <c r="AS683" s="177"/>
      <c r="AT683" s="177"/>
      <c r="AU683" s="177"/>
      <c r="AV683" s="177"/>
      <c r="AW683" s="177"/>
      <c r="AX683" s="177"/>
      <c r="AY683" s="177"/>
      <c r="AZ683" s="177"/>
      <c r="BA683" s="177"/>
      <c r="BB683" s="177"/>
      <c r="BC683" s="177"/>
      <c r="BD683" s="178"/>
    </row>
    <row r="684" spans="1:56" s="170" customFormat="1" ht="14.4" hidden="1" thickTop="1" x14ac:dyDescent="0.3">
      <c r="A684" s="184" t="str">
        <f ca="1">Language!A$902</f>
        <v>амортизационная премия для налоговой амортизации</v>
      </c>
      <c r="B684" s="298">
        <v>0</v>
      </c>
      <c r="C684" s="163" t="s">
        <v>1</v>
      </c>
      <c r="D684" s="174">
        <v>1</v>
      </c>
      <c r="F684" s="170" t="s">
        <v>2343</v>
      </c>
      <c r="G684" s="185"/>
      <c r="H684" s="185"/>
      <c r="I684" s="185"/>
      <c r="J684" s="185"/>
      <c r="K684" s="185"/>
      <c r="L684" s="185"/>
      <c r="M684" s="185"/>
      <c r="N684" s="185"/>
      <c r="O684" s="185"/>
      <c r="P684" s="185"/>
      <c r="Q684" s="185"/>
      <c r="R684" s="185"/>
      <c r="S684" s="185"/>
      <c r="T684" s="185"/>
      <c r="U684" s="185"/>
      <c r="V684" s="185"/>
      <c r="W684" s="185"/>
      <c r="X684" s="185"/>
      <c r="Y684" s="185"/>
      <c r="Z684" s="185"/>
      <c r="AA684" s="185"/>
      <c r="AB684" s="185"/>
      <c r="AC684" s="185"/>
      <c r="AD684" s="185"/>
      <c r="AE684" s="185"/>
      <c r="AF684" s="185"/>
      <c r="AG684" s="185"/>
      <c r="AH684" s="185"/>
      <c r="AI684" s="185"/>
      <c r="AJ684" s="185"/>
      <c r="AK684" s="185"/>
      <c r="AL684" s="185"/>
      <c r="AM684" s="185"/>
      <c r="AN684" s="185"/>
      <c r="AO684" s="185"/>
      <c r="AP684" s="185"/>
      <c r="AQ684" s="185"/>
      <c r="AR684" s="185"/>
      <c r="AS684" s="185"/>
      <c r="AT684" s="185"/>
      <c r="AU684" s="185"/>
      <c r="AV684" s="185"/>
      <c r="AW684" s="185"/>
      <c r="AX684" s="185"/>
      <c r="AY684" s="185"/>
      <c r="AZ684" s="185"/>
      <c r="BA684" s="185"/>
      <c r="BB684" s="185"/>
      <c r="BC684" s="185"/>
      <c r="BD684" s="193"/>
    </row>
    <row r="685" spans="1:56" ht="14.4" hidden="1" thickTop="1" x14ac:dyDescent="0.3">
      <c r="A685" s="175" t="str">
        <f ca="1">Language!A$903</f>
        <v>импорт оборудования</v>
      </c>
      <c r="B685" s="295">
        <v>0</v>
      </c>
      <c r="C685" s="176" t="str">
        <f ca="1">IF(B685=0,Language!$A$1482,Language!$A$1481)</f>
        <v>Не импорт</v>
      </c>
      <c r="D685" s="174"/>
      <c r="F685" s="170" t="s">
        <v>644</v>
      </c>
      <c r="G685" s="177"/>
      <c r="H685" s="177"/>
      <c r="I685" s="177"/>
      <c r="J685" s="177"/>
      <c r="K685" s="177"/>
      <c r="L685" s="177"/>
      <c r="M685" s="177"/>
      <c r="N685" s="177"/>
      <c r="O685" s="177"/>
      <c r="P685" s="177"/>
      <c r="Q685" s="177"/>
      <c r="R685" s="177"/>
      <c r="S685" s="177"/>
      <c r="T685" s="177"/>
      <c r="U685" s="177"/>
      <c r="V685" s="177"/>
      <c r="W685" s="177"/>
      <c r="X685" s="177"/>
      <c r="Y685" s="177"/>
      <c r="Z685" s="177"/>
      <c r="AA685" s="177"/>
      <c r="AB685" s="177"/>
      <c r="AC685" s="177"/>
      <c r="AD685" s="177"/>
      <c r="AE685" s="177"/>
      <c r="AF685" s="177"/>
      <c r="AG685" s="177"/>
      <c r="AH685" s="177"/>
      <c r="AI685" s="177"/>
      <c r="AJ685" s="177"/>
      <c r="AK685" s="177"/>
      <c r="AL685" s="177"/>
      <c r="AM685" s="177"/>
      <c r="AN685" s="177"/>
      <c r="AO685" s="177"/>
      <c r="AP685" s="177"/>
      <c r="AQ685" s="177"/>
      <c r="AR685" s="177"/>
      <c r="AS685" s="177"/>
      <c r="AT685" s="177"/>
      <c r="AU685" s="177"/>
      <c r="AV685" s="177"/>
      <c r="AW685" s="177"/>
      <c r="AX685" s="177"/>
      <c r="AY685" s="177"/>
      <c r="AZ685" s="177"/>
      <c r="BA685" s="177"/>
      <c r="BB685" s="177"/>
      <c r="BC685" s="177"/>
      <c r="BD685" s="178"/>
    </row>
    <row r="686" spans="1:56" ht="14.4" hidden="1" thickTop="1" x14ac:dyDescent="0.3">
      <c r="A686" s="175" t="str">
        <f ca="1">Language!A$904</f>
        <v>пересечение границы при импорте</v>
      </c>
      <c r="B686" s="295">
        <v>1</v>
      </c>
      <c r="C686" s="176" t="str">
        <f ca="1">Language!$A$1480</f>
        <v>период</v>
      </c>
      <c r="D686" s="174"/>
      <c r="F686" s="170" t="s">
        <v>644</v>
      </c>
    </row>
    <row r="687" spans="1:56" ht="14.4" hidden="1" thickTop="1" x14ac:dyDescent="0.3">
      <c r="A687" s="175" t="str">
        <f ca="1">Language!A$905</f>
        <v>импортная пошлина</v>
      </c>
      <c r="B687" s="299">
        <f>IF(B685="Нет",0,10%)</f>
        <v>0.1</v>
      </c>
      <c r="C687" s="176" t="str">
        <f ca="1">CHOOSE(D687,CurName1,CurName2,CurName3)</f>
        <v>руб.</v>
      </c>
      <c r="D687" s="174">
        <f>D679</f>
        <v>1</v>
      </c>
      <c r="F687" s="170" t="s">
        <v>743</v>
      </c>
      <c r="G687" s="177">
        <f t="shared" ref="G687:BB687" si="2821">IF($B685=0,0,IF(G$2=$B686,(MAX($BD680,$BD682)+$B681)*$B687,0))</f>
        <v>0</v>
      </c>
      <c r="H687" s="177">
        <f t="shared" si="2821"/>
        <v>0</v>
      </c>
      <c r="I687" s="177">
        <f t="shared" si="2821"/>
        <v>0</v>
      </c>
      <c r="J687" s="177">
        <f t="shared" si="2821"/>
        <v>0</v>
      </c>
      <c r="K687" s="177">
        <f t="shared" si="2821"/>
        <v>0</v>
      </c>
      <c r="L687" s="177">
        <f t="shared" si="2821"/>
        <v>0</v>
      </c>
      <c r="M687" s="177">
        <f t="shared" si="2821"/>
        <v>0</v>
      </c>
      <c r="N687" s="177">
        <f t="shared" si="2821"/>
        <v>0</v>
      </c>
      <c r="O687" s="177">
        <f t="shared" si="2821"/>
        <v>0</v>
      </c>
      <c r="P687" s="177">
        <f t="shared" si="2821"/>
        <v>0</v>
      </c>
      <c r="Q687" s="177">
        <f t="shared" si="2821"/>
        <v>0</v>
      </c>
      <c r="R687" s="177">
        <f t="shared" si="2821"/>
        <v>0</v>
      </c>
      <c r="S687" s="177">
        <f t="shared" si="2821"/>
        <v>0</v>
      </c>
      <c r="T687" s="177">
        <f t="shared" si="2821"/>
        <v>0</v>
      </c>
      <c r="U687" s="177">
        <f t="shared" si="2821"/>
        <v>0</v>
      </c>
      <c r="V687" s="177">
        <f t="shared" si="2821"/>
        <v>0</v>
      </c>
      <c r="W687" s="177">
        <f t="shared" si="2821"/>
        <v>0</v>
      </c>
      <c r="X687" s="177">
        <f t="shared" si="2821"/>
        <v>0</v>
      </c>
      <c r="Y687" s="177">
        <f t="shared" si="2821"/>
        <v>0</v>
      </c>
      <c r="Z687" s="177">
        <f t="shared" si="2821"/>
        <v>0</v>
      </c>
      <c r="AA687" s="177">
        <f t="shared" si="2821"/>
        <v>0</v>
      </c>
      <c r="AB687" s="177">
        <f t="shared" si="2821"/>
        <v>0</v>
      </c>
      <c r="AC687" s="177">
        <f t="shared" si="2821"/>
        <v>0</v>
      </c>
      <c r="AD687" s="177">
        <f t="shared" si="2821"/>
        <v>0</v>
      </c>
      <c r="AE687" s="177">
        <f t="shared" si="2821"/>
        <v>0</v>
      </c>
      <c r="AF687" s="177">
        <f t="shared" si="2821"/>
        <v>0</v>
      </c>
      <c r="AG687" s="177">
        <f t="shared" si="2821"/>
        <v>0</v>
      </c>
      <c r="AH687" s="177">
        <f t="shared" si="2821"/>
        <v>0</v>
      </c>
      <c r="AI687" s="177">
        <f t="shared" si="2821"/>
        <v>0</v>
      </c>
      <c r="AJ687" s="177">
        <f t="shared" si="2821"/>
        <v>0</v>
      </c>
      <c r="AK687" s="177">
        <f t="shared" si="2821"/>
        <v>0</v>
      </c>
      <c r="AL687" s="177">
        <f t="shared" si="2821"/>
        <v>0</v>
      </c>
      <c r="AM687" s="177">
        <f t="shared" si="2821"/>
        <v>0</v>
      </c>
      <c r="AN687" s="177">
        <f t="shared" si="2821"/>
        <v>0</v>
      </c>
      <c r="AO687" s="177">
        <f t="shared" si="2821"/>
        <v>0</v>
      </c>
      <c r="AP687" s="177">
        <f t="shared" si="2821"/>
        <v>0</v>
      </c>
      <c r="AQ687" s="177">
        <f t="shared" si="2821"/>
        <v>0</v>
      </c>
      <c r="AR687" s="177">
        <f t="shared" si="2821"/>
        <v>0</v>
      </c>
      <c r="AS687" s="177">
        <f t="shared" si="2821"/>
        <v>0</v>
      </c>
      <c r="AT687" s="177">
        <f t="shared" si="2821"/>
        <v>0</v>
      </c>
      <c r="AU687" s="177">
        <f t="shared" si="2821"/>
        <v>0</v>
      </c>
      <c r="AV687" s="177">
        <f t="shared" si="2821"/>
        <v>0</v>
      </c>
      <c r="AW687" s="177">
        <f t="shared" si="2821"/>
        <v>0</v>
      </c>
      <c r="AX687" s="177">
        <f t="shared" si="2821"/>
        <v>0</v>
      </c>
      <c r="AY687" s="177">
        <f t="shared" si="2821"/>
        <v>0</v>
      </c>
      <c r="AZ687" s="177">
        <f t="shared" si="2821"/>
        <v>0</v>
      </c>
      <c r="BA687" s="177">
        <f t="shared" si="2821"/>
        <v>0</v>
      </c>
      <c r="BB687" s="177">
        <f t="shared" si="2821"/>
        <v>0</v>
      </c>
      <c r="BC687" s="177"/>
      <c r="BD687" s="178">
        <f>SUM(G687:BC687)</f>
        <v>0</v>
      </c>
    </row>
    <row r="688" spans="1:56" s="170" customFormat="1" ht="14.4" hidden="1" thickTop="1" x14ac:dyDescent="0.3">
      <c r="A688" s="184" t="str">
        <f ca="1">Language!A$906</f>
        <v>ставка НДС</v>
      </c>
      <c r="B688" s="189"/>
      <c r="C688" s="163" t="s">
        <v>1</v>
      </c>
      <c r="D688" s="174">
        <v>1</v>
      </c>
      <c r="F688" s="170" t="s">
        <v>2344</v>
      </c>
      <c r="G688" s="290">
        <f>IF(G$2=1,Параметры!G$72,IF(F688=Параметры!F$72,Параметры!F$72,F688))</f>
        <v>0</v>
      </c>
      <c r="H688" s="290">
        <f>IF(H$2=1,Параметры!H$72,IF(G688=Параметры!G$72,Параметры!G$72,G688))</f>
        <v>0</v>
      </c>
      <c r="I688" s="290">
        <f>IF(I$2=1,Параметры!I$72,IF(H688=Параметры!H$72,Параметры!H$72,H688))</f>
        <v>0</v>
      </c>
      <c r="J688" s="290">
        <f>IF(J$2=1,Параметры!J$72,IF(I688=Параметры!I$72,Параметры!I$72,I688))</f>
        <v>0</v>
      </c>
      <c r="K688" s="290">
        <f>IF(K$2=1,Параметры!K$72,IF(J688=Параметры!J$72,Параметры!J$72,J688))</f>
        <v>0</v>
      </c>
      <c r="L688" s="290">
        <f>IF(L$2=1,Параметры!L$72,IF(K688=Параметры!K$72,Параметры!K$72,K688))</f>
        <v>0</v>
      </c>
      <c r="M688" s="290">
        <f>IF(M$2=1,Параметры!M$72,IF(L688=Параметры!L$72,Параметры!L$72,L688))</f>
        <v>0</v>
      </c>
      <c r="N688" s="290">
        <f>IF(N$2=1,Параметры!N$72,IF(M688=Параметры!M$72,Параметры!M$72,M688))</f>
        <v>0</v>
      </c>
      <c r="O688" s="290">
        <f>IF(O$2=1,Параметры!O$72,IF(N688=Параметры!N$72,Параметры!N$72,N688))</f>
        <v>0</v>
      </c>
      <c r="P688" s="290">
        <f>IF(P$2=1,Параметры!P$72,IF(O688=Параметры!O$72,Параметры!O$72,O688))</f>
        <v>0</v>
      </c>
      <c r="Q688" s="290">
        <f>IF(Q$2=1,Параметры!Q$72,IF(P688=Параметры!P$72,Параметры!P$72,P688))</f>
        <v>0</v>
      </c>
      <c r="R688" s="290">
        <f>IF(R$2=1,Параметры!R$72,IF(Q688=Параметры!Q$72,Параметры!Q$72,Q688))</f>
        <v>0</v>
      </c>
      <c r="S688" s="290">
        <f>IF(S$2=1,Параметры!S$72,IF(R688=Параметры!R$72,Параметры!R$72,R688))</f>
        <v>0</v>
      </c>
      <c r="T688" s="290">
        <f>IF(T$2=1,Параметры!T$72,IF(S688=Параметры!S$72,Параметры!S$72,S688))</f>
        <v>0</v>
      </c>
      <c r="U688" s="290">
        <f>IF(U$2=1,Параметры!U$72,IF(T688=Параметры!T$72,Параметры!T$72,T688))</f>
        <v>0</v>
      </c>
      <c r="V688" s="290">
        <f>IF(V$2=1,Параметры!V$72,IF(U688=Параметры!U$72,Параметры!U$72,U688))</f>
        <v>0</v>
      </c>
      <c r="W688" s="290">
        <f>IF(W$2=1,Параметры!W$72,IF(V688=Параметры!V$72,Параметры!V$72,V688))</f>
        <v>0</v>
      </c>
      <c r="X688" s="290">
        <f>IF(X$2=1,Параметры!X$72,IF(W688=Параметры!W$72,Параметры!W$72,W688))</f>
        <v>0</v>
      </c>
      <c r="Y688" s="290">
        <f>IF(Y$2=1,Параметры!Y$72,IF(X688=Параметры!X$72,Параметры!X$72,X688))</f>
        <v>0</v>
      </c>
      <c r="Z688" s="290">
        <f>IF(Z$2=1,Параметры!Z$72,IF(Y688=Параметры!Y$72,Параметры!Y$72,Y688))</f>
        <v>0</v>
      </c>
      <c r="AA688" s="290">
        <f>IF(AA$2=1,Параметры!AA$72,IF(Z688=Параметры!Z$72,Параметры!Z$72,Z688))</f>
        <v>0</v>
      </c>
      <c r="AB688" s="290">
        <f>IF(AB$2=1,Параметры!AB$72,IF(AA688=Параметры!AA$72,Параметры!AA$72,AA688))</f>
        <v>0</v>
      </c>
      <c r="AC688" s="290">
        <f>IF(AC$2=1,Параметры!AC$72,IF(AB688=Параметры!AB$72,Параметры!AB$72,AB688))</f>
        <v>0</v>
      </c>
      <c r="AD688" s="290">
        <f>IF(AD$2=1,Параметры!AD$72,IF(AC688=Параметры!AC$72,Параметры!AC$72,AC688))</f>
        <v>0</v>
      </c>
      <c r="AE688" s="290">
        <f>IF(AE$2=1,Параметры!AE$72,IF(AD688=Параметры!AD$72,Параметры!AD$72,AD688))</f>
        <v>0</v>
      </c>
      <c r="AF688" s="290">
        <f>IF(AF$2=1,Параметры!AF$72,IF(AE688=Параметры!AE$72,Параметры!AE$72,AE688))</f>
        <v>0</v>
      </c>
      <c r="AG688" s="290">
        <f>IF(AG$2=1,Параметры!AG$72,IF(AF688=Параметры!AF$72,Параметры!AF$72,AF688))</f>
        <v>0</v>
      </c>
      <c r="AH688" s="290">
        <f>IF(AH$2=1,Параметры!AH$72,IF(AG688=Параметры!AG$72,Параметры!AG$72,AG688))</f>
        <v>0</v>
      </c>
      <c r="AI688" s="290">
        <f>IF(AI$2=1,Параметры!AI$72,IF(AH688=Параметры!AH$72,Параметры!AH$72,AH688))</f>
        <v>0</v>
      </c>
      <c r="AJ688" s="290">
        <f>IF(AJ$2=1,Параметры!AJ$72,IF(AI688=Параметры!AI$72,Параметры!AI$72,AI688))</f>
        <v>0</v>
      </c>
      <c r="AK688" s="290">
        <f>IF(AK$2=1,Параметры!AK$72,IF(AJ688=Параметры!AJ$72,Параметры!AJ$72,AJ688))</f>
        <v>0</v>
      </c>
      <c r="AL688" s="290">
        <f>IF(AL$2=1,Параметры!AL$72,IF(AK688=Параметры!AK$72,Параметры!AK$72,AK688))</f>
        <v>0</v>
      </c>
      <c r="AM688" s="290">
        <f>IF(AM$2=1,Параметры!AM$72,IF(AL688=Параметры!AL$72,Параметры!AL$72,AL688))</f>
        <v>0</v>
      </c>
      <c r="AN688" s="290">
        <f>IF(AN$2=1,Параметры!AN$72,IF(AM688=Параметры!AM$72,Параметры!AM$72,AM688))</f>
        <v>0</v>
      </c>
      <c r="AO688" s="290">
        <f>IF(AO$2=1,Параметры!AO$72,IF(AN688=Параметры!AN$72,Параметры!AN$72,AN688))</f>
        <v>0</v>
      </c>
      <c r="AP688" s="290">
        <f>IF(AP$2=1,Параметры!AP$72,IF(AO688=Параметры!AO$72,Параметры!AO$72,AO688))</f>
        <v>0</v>
      </c>
      <c r="AQ688" s="290">
        <f>IF(AQ$2=1,Параметры!AQ$72,IF(AP688=Параметры!AP$72,Параметры!AP$72,AP688))</f>
        <v>0</v>
      </c>
      <c r="AR688" s="290">
        <f>IF(AR$2=1,Параметры!AR$72,IF(AQ688=Параметры!AQ$72,Параметры!AQ$72,AQ688))</f>
        <v>0</v>
      </c>
      <c r="AS688" s="290">
        <f>IF(AS$2=1,Параметры!AS$72,IF(AR688=Параметры!AR$72,Параметры!AR$72,AR688))</f>
        <v>0</v>
      </c>
      <c r="AT688" s="290">
        <f>IF(AT$2=1,Параметры!AT$72,IF(AS688=Параметры!AS$72,Параметры!AS$72,AS688))</f>
        <v>0</v>
      </c>
      <c r="AU688" s="290">
        <f>IF(AU$2=1,Параметры!AU$72,IF(AT688=Параметры!AT$72,Параметры!AT$72,AT688))</f>
        <v>0</v>
      </c>
      <c r="AV688" s="290">
        <f>IF(AV$2=1,Параметры!AV$72,IF(AU688=Параметры!AU$72,Параметры!AU$72,AU688))</f>
        <v>0</v>
      </c>
      <c r="AW688" s="290">
        <f>IF(AW$2=1,Параметры!AW$72,IF(AV688=Параметры!AV$72,Параметры!AV$72,AV688))</f>
        <v>0</v>
      </c>
      <c r="AX688" s="290">
        <f>IF(AX$2=1,Параметры!AX$72,IF(AW688=Параметры!AW$72,Параметры!AW$72,AW688))</f>
        <v>0</v>
      </c>
      <c r="AY688" s="290">
        <f>IF(AY$2=1,Параметры!AY$72,IF(AX688=Параметры!AX$72,Параметры!AX$72,AX688))</f>
        <v>0</v>
      </c>
      <c r="AZ688" s="290">
        <f>IF(AZ$2=1,Параметры!AZ$72,IF(AY688=Параметры!AY$72,Параметры!AY$72,AY688))</f>
        <v>0</v>
      </c>
      <c r="BA688" s="290">
        <f>IF(BA$2=1,Параметры!BA$72,IF(AZ688=Параметры!AZ$72,Параметры!AZ$72,AZ688))</f>
        <v>0</v>
      </c>
      <c r="BB688" s="290">
        <f>IF(BB$2=1,Параметры!BB$72,IF(BA688=Параметры!BA$72,Параметры!BA$72,BA688))</f>
        <v>0</v>
      </c>
      <c r="BC688" s="190"/>
      <c r="BD688" s="186"/>
    </row>
    <row r="689" spans="1:56" s="170" customFormat="1" ht="14.4" hidden="1" thickTop="1" x14ac:dyDescent="0.3">
      <c r="A689" s="184" t="str">
        <f ca="1">Language!A$907</f>
        <v>выручка от продажи актива, без НДС</v>
      </c>
      <c r="B689" s="216"/>
      <c r="C689" s="163" t="str">
        <f ca="1">CHOOSE(D689,CurName1,CurName2,CurName3)</f>
        <v>руб.</v>
      </c>
      <c r="D689" s="174">
        <v>1</v>
      </c>
      <c r="E689" s="170" t="s">
        <v>755</v>
      </c>
      <c r="F689" s="170" t="s">
        <v>2348</v>
      </c>
      <c r="G689" s="287">
        <v>0</v>
      </c>
      <c r="H689" s="287">
        <v>0</v>
      </c>
      <c r="I689" s="287">
        <v>0</v>
      </c>
      <c r="J689" s="287">
        <v>0</v>
      </c>
      <c r="K689" s="287">
        <v>0</v>
      </c>
      <c r="L689" s="287">
        <v>0</v>
      </c>
      <c r="M689" s="287">
        <v>0</v>
      </c>
      <c r="N689" s="287">
        <v>0</v>
      </c>
      <c r="O689" s="287">
        <v>0</v>
      </c>
      <c r="P689" s="287">
        <v>0</v>
      </c>
      <c r="Q689" s="287">
        <v>0</v>
      </c>
      <c r="R689" s="287">
        <v>0</v>
      </c>
      <c r="S689" s="287">
        <v>0</v>
      </c>
      <c r="T689" s="287">
        <v>0</v>
      </c>
      <c r="U689" s="287">
        <v>0</v>
      </c>
      <c r="V689" s="287">
        <v>0</v>
      </c>
      <c r="W689" s="287">
        <v>0</v>
      </c>
      <c r="X689" s="287">
        <v>0</v>
      </c>
      <c r="Y689" s="287">
        <v>0</v>
      </c>
      <c r="Z689" s="287">
        <v>0</v>
      </c>
      <c r="AA689" s="287">
        <v>0</v>
      </c>
      <c r="AB689" s="287">
        <v>0</v>
      </c>
      <c r="AC689" s="287">
        <v>0</v>
      </c>
      <c r="AD689" s="287">
        <v>0</v>
      </c>
      <c r="AE689" s="287">
        <v>0</v>
      </c>
      <c r="AF689" s="287">
        <v>0</v>
      </c>
      <c r="AG689" s="287">
        <v>0</v>
      </c>
      <c r="AH689" s="287">
        <v>0</v>
      </c>
      <c r="AI689" s="287">
        <v>0</v>
      </c>
      <c r="AJ689" s="287">
        <v>0</v>
      </c>
      <c r="AK689" s="287">
        <v>0</v>
      </c>
      <c r="AL689" s="287">
        <v>0</v>
      </c>
      <c r="AM689" s="287">
        <v>0</v>
      </c>
      <c r="AN689" s="287">
        <v>0</v>
      </c>
      <c r="AO689" s="287">
        <v>0</v>
      </c>
      <c r="AP689" s="287">
        <v>0</v>
      </c>
      <c r="AQ689" s="287">
        <v>0</v>
      </c>
      <c r="AR689" s="287">
        <v>0</v>
      </c>
      <c r="AS689" s="287">
        <v>0</v>
      </c>
      <c r="AT689" s="287">
        <v>0</v>
      </c>
      <c r="AU689" s="287">
        <v>0</v>
      </c>
      <c r="AV689" s="287">
        <v>0</v>
      </c>
      <c r="AW689" s="287">
        <v>0</v>
      </c>
      <c r="AX689" s="287">
        <v>0</v>
      </c>
      <c r="AY689" s="287">
        <v>0</v>
      </c>
      <c r="AZ689" s="287">
        <v>0</v>
      </c>
      <c r="BA689" s="287">
        <v>0</v>
      </c>
      <c r="BB689" s="287">
        <v>0</v>
      </c>
      <c r="BC689" s="185"/>
      <c r="BD689" s="193">
        <f>SUM(G689:BC689)</f>
        <v>0</v>
      </c>
    </row>
    <row r="690" spans="1:56" ht="14.4" hidden="1" thickTop="1" x14ac:dyDescent="0.3">
      <c r="A690" s="184" t="str">
        <f ca="1">Language!A$908</f>
        <v>суммы в осн. валюте: график оплаты, без НДС</v>
      </c>
      <c r="B690" s="203"/>
      <c r="C690" s="163" t="str">
        <f t="shared" ref="C690:C708" ca="1" si="2822">CHOOSE(D690,CurName1,CurName2,CurName3)</f>
        <v>руб.</v>
      </c>
      <c r="D690" s="174">
        <v>1</v>
      </c>
      <c r="E690" s="170" t="s">
        <v>751</v>
      </c>
      <c r="F690" s="170" t="s">
        <v>743</v>
      </c>
      <c r="G690" s="185">
        <f>G680*CHOOSE($D680,1,Параметры!G$53,Параметры!G$59)</f>
        <v>0</v>
      </c>
      <c r="H690" s="185">
        <f>H680*CHOOSE($D680,1,Параметры!H$53,Параметры!H$59)</f>
        <v>0</v>
      </c>
      <c r="I690" s="185">
        <f>I680*CHOOSE($D680,1,Параметры!I$53,Параметры!I$59)</f>
        <v>0</v>
      </c>
      <c r="J690" s="185">
        <f>J680*CHOOSE($D680,1,Параметры!J$53,Параметры!J$59)</f>
        <v>0</v>
      </c>
      <c r="K690" s="185">
        <f>K680*CHOOSE($D680,1,Параметры!K$53,Параметры!K$59)</f>
        <v>0</v>
      </c>
      <c r="L690" s="185">
        <f>L680*CHOOSE($D680,1,Параметры!L$53,Параметры!L$59)</f>
        <v>0</v>
      </c>
      <c r="M690" s="185">
        <f>M680*CHOOSE($D680,1,Параметры!M$53,Параметры!M$59)</f>
        <v>0</v>
      </c>
      <c r="N690" s="185">
        <f>N680*CHOOSE($D680,1,Параметры!N$53,Параметры!N$59)</f>
        <v>0</v>
      </c>
      <c r="O690" s="185">
        <f>O680*CHOOSE($D680,1,Параметры!O$53,Параметры!O$59)</f>
        <v>0</v>
      </c>
      <c r="P690" s="185">
        <f>P680*CHOOSE($D680,1,Параметры!P$53,Параметры!P$59)</f>
        <v>0</v>
      </c>
      <c r="Q690" s="185">
        <f>Q680*CHOOSE($D680,1,Параметры!Q$53,Параметры!Q$59)</f>
        <v>0</v>
      </c>
      <c r="R690" s="185">
        <f>R680*CHOOSE($D680,1,Параметры!R$53,Параметры!R$59)</f>
        <v>0</v>
      </c>
      <c r="S690" s="185">
        <f>S680*CHOOSE($D680,1,Параметры!S$53,Параметры!S$59)</f>
        <v>0</v>
      </c>
      <c r="T690" s="185">
        <f>T680*CHOOSE($D680,1,Параметры!T$53,Параметры!T$59)</f>
        <v>0</v>
      </c>
      <c r="U690" s="185">
        <f>U680*CHOOSE($D680,1,Параметры!U$53,Параметры!U$59)</f>
        <v>0</v>
      </c>
      <c r="V690" s="185">
        <f>V680*CHOOSE($D680,1,Параметры!V$53,Параметры!V$59)</f>
        <v>0</v>
      </c>
      <c r="W690" s="185">
        <f>W680*CHOOSE($D680,1,Параметры!W$53,Параметры!W$59)</f>
        <v>0</v>
      </c>
      <c r="X690" s="185">
        <f>X680*CHOOSE($D680,1,Параметры!X$53,Параметры!X$59)</f>
        <v>0</v>
      </c>
      <c r="Y690" s="185">
        <f>Y680*CHOOSE($D680,1,Параметры!Y$53,Параметры!Y$59)</f>
        <v>0</v>
      </c>
      <c r="Z690" s="185">
        <f>Z680*CHOOSE($D680,1,Параметры!Z$53,Параметры!Z$59)</f>
        <v>0</v>
      </c>
      <c r="AA690" s="185">
        <f>AA680*CHOOSE($D680,1,Параметры!AA$53,Параметры!AA$59)</f>
        <v>0</v>
      </c>
      <c r="AB690" s="185">
        <f>AB680*CHOOSE($D680,1,Параметры!AB$53,Параметры!AB$59)</f>
        <v>0</v>
      </c>
      <c r="AC690" s="185">
        <f>AC680*CHOOSE($D680,1,Параметры!AC$53,Параметры!AC$59)</f>
        <v>0</v>
      </c>
      <c r="AD690" s="185">
        <f>AD680*CHOOSE($D680,1,Параметры!AD$53,Параметры!AD$59)</f>
        <v>0</v>
      </c>
      <c r="AE690" s="185">
        <f>AE680*CHOOSE($D680,1,Параметры!AE$53,Параметры!AE$59)</f>
        <v>0</v>
      </c>
      <c r="AF690" s="185">
        <f>AF680*CHOOSE($D680,1,Параметры!AF$53,Параметры!AF$59)</f>
        <v>0</v>
      </c>
      <c r="AG690" s="185">
        <f>AG680*CHOOSE($D680,1,Параметры!AG$53,Параметры!AG$59)</f>
        <v>0</v>
      </c>
      <c r="AH690" s="185">
        <f>AH680*CHOOSE($D680,1,Параметры!AH$53,Параметры!AH$59)</f>
        <v>0</v>
      </c>
      <c r="AI690" s="185">
        <f>AI680*CHOOSE($D680,1,Параметры!AI$53,Параметры!AI$59)</f>
        <v>0</v>
      </c>
      <c r="AJ690" s="185">
        <f>AJ680*CHOOSE($D680,1,Параметры!AJ$53,Параметры!AJ$59)</f>
        <v>0</v>
      </c>
      <c r="AK690" s="185">
        <f>AK680*CHOOSE($D680,1,Параметры!AK$53,Параметры!AK$59)</f>
        <v>0</v>
      </c>
      <c r="AL690" s="185">
        <f>AL680*CHOOSE($D680,1,Параметры!AL$53,Параметры!AL$59)</f>
        <v>0</v>
      </c>
      <c r="AM690" s="185">
        <f>AM680*CHOOSE($D680,1,Параметры!AM$53,Параметры!AM$59)</f>
        <v>0</v>
      </c>
      <c r="AN690" s="185">
        <f>AN680*CHOOSE($D680,1,Параметры!AN$53,Параметры!AN$59)</f>
        <v>0</v>
      </c>
      <c r="AO690" s="185">
        <f>AO680*CHOOSE($D680,1,Параметры!AO$53,Параметры!AO$59)</f>
        <v>0</v>
      </c>
      <c r="AP690" s="185">
        <f>AP680*CHOOSE($D680,1,Параметры!AP$53,Параметры!AP$59)</f>
        <v>0</v>
      </c>
      <c r="AQ690" s="185">
        <f>AQ680*CHOOSE($D680,1,Параметры!AQ$53,Параметры!AQ$59)</f>
        <v>0</v>
      </c>
      <c r="AR690" s="185">
        <f>AR680*CHOOSE($D680,1,Параметры!AR$53,Параметры!AR$59)</f>
        <v>0</v>
      </c>
      <c r="AS690" s="185">
        <f>AS680*CHOOSE($D680,1,Параметры!AS$53,Параметры!AS$59)</f>
        <v>0</v>
      </c>
      <c r="AT690" s="185">
        <f>AT680*CHOOSE($D680,1,Параметры!AT$53,Параметры!AT$59)</f>
        <v>0</v>
      </c>
      <c r="AU690" s="185">
        <f>AU680*CHOOSE($D680,1,Параметры!AU$53,Параметры!AU$59)</f>
        <v>0</v>
      </c>
      <c r="AV690" s="185">
        <f>AV680*CHOOSE($D680,1,Параметры!AV$53,Параметры!AV$59)</f>
        <v>0</v>
      </c>
      <c r="AW690" s="185">
        <f>AW680*CHOOSE($D680,1,Параметры!AW$53,Параметры!AW$59)</f>
        <v>0</v>
      </c>
      <c r="AX690" s="185">
        <f>AX680*CHOOSE($D680,1,Параметры!AX$53,Параметры!AX$59)</f>
        <v>0</v>
      </c>
      <c r="AY690" s="185">
        <f>AY680*CHOOSE($D680,1,Параметры!AY$53,Параметры!AY$59)</f>
        <v>0</v>
      </c>
      <c r="AZ690" s="185">
        <f>AZ680*CHOOSE($D680,1,Параметры!AZ$53,Параметры!AZ$59)</f>
        <v>0</v>
      </c>
      <c r="BA690" s="185">
        <f>BA680*CHOOSE($D680,1,Параметры!BA$53,Параметры!BA$59)</f>
        <v>0</v>
      </c>
      <c r="BB690" s="185">
        <f>BB680*CHOOSE($D680,1,Параметры!BB$53,Параметры!BB$59)</f>
        <v>0</v>
      </c>
      <c r="BC690" s="185"/>
      <c r="BD690" s="193">
        <f>SUM(G690:BC690)</f>
        <v>0</v>
      </c>
    </row>
    <row r="691" spans="1:56" ht="14.4" hidden="1" thickTop="1" x14ac:dyDescent="0.3">
      <c r="A691" s="187" t="str">
        <f ca="1">Language!A$1509</f>
        <v>график оплаты, c НДС</v>
      </c>
      <c r="B691" s="163"/>
      <c r="C691" s="163" t="str">
        <f t="shared" ca="1" si="2822"/>
        <v>руб.</v>
      </c>
      <c r="D691" s="174">
        <v>1</v>
      </c>
      <c r="E691" s="170" t="s">
        <v>993</v>
      </c>
      <c r="F691" s="170" t="s">
        <v>743</v>
      </c>
      <c r="G691" s="185">
        <f>G690+G695+G701</f>
        <v>0</v>
      </c>
      <c r="H691" s="185">
        <f t="shared" ref="H691:K691" si="2823">H690+H695+H701</f>
        <v>0</v>
      </c>
      <c r="I691" s="185">
        <f t="shared" si="2823"/>
        <v>0</v>
      </c>
      <c r="J691" s="185">
        <f t="shared" si="2823"/>
        <v>0</v>
      </c>
      <c r="K691" s="185">
        <f t="shared" si="2823"/>
        <v>0</v>
      </c>
      <c r="L691" s="185">
        <f t="shared" ref="L691:M691" si="2824">L690+L695+L701</f>
        <v>0</v>
      </c>
      <c r="M691" s="185">
        <f t="shared" si="2824"/>
        <v>0</v>
      </c>
      <c r="N691" s="185">
        <f t="shared" ref="N691:O691" si="2825">N690+N695+N701</f>
        <v>0</v>
      </c>
      <c r="O691" s="185">
        <f t="shared" si="2825"/>
        <v>0</v>
      </c>
      <c r="P691" s="185">
        <f t="shared" ref="P691:Q691" si="2826">P690+P695+P701</f>
        <v>0</v>
      </c>
      <c r="Q691" s="185">
        <f t="shared" si="2826"/>
        <v>0</v>
      </c>
      <c r="R691" s="185">
        <f t="shared" ref="R691:S691" si="2827">R690+R695+R701</f>
        <v>0</v>
      </c>
      <c r="S691" s="185">
        <f t="shared" si="2827"/>
        <v>0</v>
      </c>
      <c r="T691" s="185">
        <f t="shared" ref="T691:U691" si="2828">T690+T695+T701</f>
        <v>0</v>
      </c>
      <c r="U691" s="185">
        <f t="shared" si="2828"/>
        <v>0</v>
      </c>
      <c r="V691" s="185">
        <f t="shared" ref="V691:W691" si="2829">V690+V695+V701</f>
        <v>0</v>
      </c>
      <c r="W691" s="185">
        <f t="shared" si="2829"/>
        <v>0</v>
      </c>
      <c r="X691" s="185">
        <f t="shared" ref="X691:Y691" si="2830">X690+X695+X701</f>
        <v>0</v>
      </c>
      <c r="Y691" s="185">
        <f t="shared" si="2830"/>
        <v>0</v>
      </c>
      <c r="Z691" s="185">
        <f t="shared" ref="Z691:AA691" si="2831">Z690+Z695+Z701</f>
        <v>0</v>
      </c>
      <c r="AA691" s="185">
        <f t="shared" si="2831"/>
        <v>0</v>
      </c>
      <c r="AB691" s="185">
        <f t="shared" ref="AB691:AC691" si="2832">AB690+AB695+AB701</f>
        <v>0</v>
      </c>
      <c r="AC691" s="185">
        <f t="shared" si="2832"/>
        <v>0</v>
      </c>
      <c r="AD691" s="185">
        <f t="shared" ref="AD691:AE691" si="2833">AD690+AD695+AD701</f>
        <v>0</v>
      </c>
      <c r="AE691" s="185">
        <f t="shared" si="2833"/>
        <v>0</v>
      </c>
      <c r="AF691" s="185">
        <f t="shared" ref="AF691:AG691" si="2834">AF690+AF695+AF701</f>
        <v>0</v>
      </c>
      <c r="AG691" s="185">
        <f t="shared" si="2834"/>
        <v>0</v>
      </c>
      <c r="AH691" s="185">
        <f t="shared" ref="AH691:AI691" si="2835">AH690+AH695+AH701</f>
        <v>0</v>
      </c>
      <c r="AI691" s="185">
        <f t="shared" si="2835"/>
        <v>0</v>
      </c>
      <c r="AJ691" s="185">
        <f t="shared" ref="AJ691:AK691" si="2836">AJ690+AJ695+AJ701</f>
        <v>0</v>
      </c>
      <c r="AK691" s="185">
        <f t="shared" si="2836"/>
        <v>0</v>
      </c>
      <c r="AL691" s="185">
        <f t="shared" ref="AL691:AM691" si="2837">AL690+AL695+AL701</f>
        <v>0</v>
      </c>
      <c r="AM691" s="185">
        <f t="shared" si="2837"/>
        <v>0</v>
      </c>
      <c r="AN691" s="185">
        <f t="shared" ref="AN691:AO691" si="2838">AN690+AN695+AN701</f>
        <v>0</v>
      </c>
      <c r="AO691" s="185">
        <f t="shared" si="2838"/>
        <v>0</v>
      </c>
      <c r="AP691" s="185">
        <f t="shared" ref="AP691:AQ691" si="2839">AP690+AP695+AP701</f>
        <v>0</v>
      </c>
      <c r="AQ691" s="185">
        <f t="shared" si="2839"/>
        <v>0</v>
      </c>
      <c r="AR691" s="185">
        <f t="shared" ref="AR691:AS691" si="2840">AR690+AR695+AR701</f>
        <v>0</v>
      </c>
      <c r="AS691" s="185">
        <f t="shared" si="2840"/>
        <v>0</v>
      </c>
      <c r="AT691" s="185">
        <f t="shared" ref="AT691:AU691" si="2841">AT690+AT695+AT701</f>
        <v>0</v>
      </c>
      <c r="AU691" s="185">
        <f t="shared" si="2841"/>
        <v>0</v>
      </c>
      <c r="AV691" s="185">
        <f t="shared" ref="AV691:AW691" si="2842">AV690+AV695+AV701</f>
        <v>0</v>
      </c>
      <c r="AW691" s="185">
        <f t="shared" si="2842"/>
        <v>0</v>
      </c>
      <c r="AX691" s="185">
        <f t="shared" ref="AX691:AY691" si="2843">AX690+AX695+AX701</f>
        <v>0</v>
      </c>
      <c r="AY691" s="185">
        <f t="shared" si="2843"/>
        <v>0</v>
      </c>
      <c r="AZ691" s="185">
        <f t="shared" ref="AZ691:BA691" si="2844">AZ690+AZ695+AZ701</f>
        <v>0</v>
      </c>
      <c r="BA691" s="185">
        <f t="shared" si="2844"/>
        <v>0</v>
      </c>
      <c r="BB691" s="185">
        <f t="shared" ref="BB691" si="2845">BB690+BB695+BB701</f>
        <v>0</v>
      </c>
      <c r="BC691" s="185"/>
      <c r="BD691" s="193">
        <f>SUM(G691:BC691)</f>
        <v>0</v>
      </c>
    </row>
    <row r="692" spans="1:56" ht="14.4" hidden="1" thickTop="1" x14ac:dyDescent="0.3">
      <c r="A692" s="187" t="str">
        <f ca="1">Language!A$909</f>
        <v>ранее осуществленные инвестиции, без НДС</v>
      </c>
      <c r="B692" s="212">
        <f>B681*CHOOSE(D681,1,Параметры!G$53,Параметры!G$59)</f>
        <v>0</v>
      </c>
      <c r="C692" s="163" t="str">
        <f t="shared" ca="1" si="2822"/>
        <v>руб.</v>
      </c>
      <c r="D692" s="174">
        <v>1</v>
      </c>
      <c r="E692" s="170" t="s">
        <v>1269</v>
      </c>
      <c r="F692" s="170" t="s">
        <v>644</v>
      </c>
      <c r="G692" s="170">
        <f>B692</f>
        <v>0</v>
      </c>
      <c r="H692" s="170"/>
      <c r="I692" s="170"/>
      <c r="J692" s="170"/>
      <c r="K692" s="170"/>
      <c r="L692" s="170"/>
      <c r="M692" s="170"/>
      <c r="N692" s="170"/>
      <c r="O692" s="170"/>
      <c r="P692" s="170"/>
      <c r="Q692" s="170"/>
      <c r="R692" s="170"/>
      <c r="S692" s="170"/>
      <c r="T692" s="170"/>
      <c r="U692" s="170"/>
      <c r="V692" s="170"/>
      <c r="W692" s="170"/>
      <c r="X692" s="170"/>
      <c r="Y692" s="170"/>
      <c r="Z692" s="170"/>
      <c r="AA692" s="170"/>
      <c r="AB692" s="170"/>
      <c r="AC692" s="170"/>
      <c r="AD692" s="170"/>
      <c r="AE692" s="170"/>
      <c r="AF692" s="170"/>
      <c r="AG692" s="170"/>
      <c r="AH692" s="170"/>
      <c r="AI692" s="170"/>
      <c r="AJ692" s="170"/>
      <c r="AK692" s="170"/>
      <c r="AL692" s="170"/>
      <c r="AM692" s="170"/>
      <c r="AN692" s="170"/>
      <c r="AO692" s="170"/>
      <c r="AP692" s="170"/>
      <c r="AQ692" s="170"/>
      <c r="AR692" s="170"/>
      <c r="AS692" s="170"/>
      <c r="AT692" s="170"/>
      <c r="AU692" s="170"/>
      <c r="AV692" s="170"/>
      <c r="AW692" s="170"/>
      <c r="AX692" s="170"/>
      <c r="AY692" s="170"/>
      <c r="AZ692" s="170"/>
      <c r="BA692" s="170"/>
      <c r="BB692" s="170"/>
      <c r="BC692" s="170"/>
      <c r="BD692" s="193"/>
    </row>
    <row r="693" spans="1:56" ht="14.4" hidden="1" thickTop="1" x14ac:dyDescent="0.3">
      <c r="A693" s="187" t="str">
        <f ca="1">Language!A$910</f>
        <v>НДС к ранее осуществленным инвестициям</v>
      </c>
      <c r="B693" s="212">
        <f>B692*G688</f>
        <v>0</v>
      </c>
      <c r="C693" s="163" t="str">
        <f t="shared" ca="1" si="2822"/>
        <v>руб.</v>
      </c>
      <c r="D693" s="174">
        <v>1</v>
      </c>
      <c r="E693" s="170" t="s">
        <v>1273</v>
      </c>
      <c r="F693" s="170" t="s">
        <v>644</v>
      </c>
      <c r="G693" s="185">
        <f>B693</f>
        <v>0</v>
      </c>
      <c r="H693" s="185"/>
      <c r="I693" s="185"/>
      <c r="J693" s="185"/>
      <c r="K693" s="185"/>
      <c r="L693" s="185"/>
      <c r="M693" s="185"/>
      <c r="N693" s="185"/>
      <c r="O693" s="185"/>
      <c r="P693" s="185"/>
      <c r="Q693" s="185"/>
      <c r="R693" s="185"/>
      <c r="S693" s="185"/>
      <c r="T693" s="185"/>
      <c r="U693" s="185"/>
      <c r="V693" s="185"/>
      <c r="W693" s="185"/>
      <c r="X693" s="185"/>
      <c r="Y693" s="185"/>
      <c r="Z693" s="185"/>
      <c r="AA693" s="185"/>
      <c r="AB693" s="185"/>
      <c r="AC693" s="185"/>
      <c r="AD693" s="185"/>
      <c r="AE693" s="185"/>
      <c r="AF693" s="185"/>
      <c r="AG693" s="185"/>
      <c r="AH693" s="185"/>
      <c r="AI693" s="185"/>
      <c r="AJ693" s="185"/>
      <c r="AK693" s="185"/>
      <c r="AL693" s="185"/>
      <c r="AM693" s="185"/>
      <c r="AN693" s="185"/>
      <c r="AO693" s="185"/>
      <c r="AP693" s="185"/>
      <c r="AQ693" s="185"/>
      <c r="AR693" s="185"/>
      <c r="AS693" s="185"/>
      <c r="AT693" s="185"/>
      <c r="AU693" s="185"/>
      <c r="AV693" s="185"/>
      <c r="AW693" s="185"/>
      <c r="AX693" s="185"/>
      <c r="AY693" s="185"/>
      <c r="AZ693" s="185"/>
      <c r="BA693" s="185"/>
      <c r="BB693" s="185"/>
      <c r="BC693" s="185"/>
      <c r="BD693" s="193"/>
    </row>
    <row r="694" spans="1:56" ht="14.4" hidden="1" thickTop="1" x14ac:dyDescent="0.3">
      <c r="A694" s="187" t="str">
        <f ca="1">Language!A$911</f>
        <v>график ввода в эксплуатацию, без НДС</v>
      </c>
      <c r="B694" s="203"/>
      <c r="C694" s="163" t="str">
        <f t="shared" ca="1" si="2822"/>
        <v>руб.</v>
      </c>
      <c r="D694" s="174">
        <v>1</v>
      </c>
      <c r="F694" s="170" t="s">
        <v>743</v>
      </c>
      <c r="G694" s="185">
        <f>G682*CHOOSE($D682,1,Параметры!G$53,Параметры!G$59)</f>
        <v>0</v>
      </c>
      <c r="H694" s="185">
        <f>H682*CHOOSE($D682,1,Параметры!H$53,Параметры!H$59)</f>
        <v>0</v>
      </c>
      <c r="I694" s="185">
        <f>I682*CHOOSE($D682,1,Параметры!I$53,Параметры!I$59)</f>
        <v>0</v>
      </c>
      <c r="J694" s="185">
        <f>J682*CHOOSE($D682,1,Параметры!J$53,Параметры!J$59)</f>
        <v>0</v>
      </c>
      <c r="K694" s="185">
        <f>K682*CHOOSE($D682,1,Параметры!K$53,Параметры!K$59)</f>
        <v>0</v>
      </c>
      <c r="L694" s="185">
        <f>L682*CHOOSE($D682,1,Параметры!L$53,Параметры!L$59)</f>
        <v>0</v>
      </c>
      <c r="M694" s="185">
        <f>M682*CHOOSE($D682,1,Параметры!M$53,Параметры!M$59)</f>
        <v>0</v>
      </c>
      <c r="N694" s="185">
        <f>N682*CHOOSE($D682,1,Параметры!N$53,Параметры!N$59)</f>
        <v>0</v>
      </c>
      <c r="O694" s="185">
        <f>O682*CHOOSE($D682,1,Параметры!O$53,Параметры!O$59)</f>
        <v>0</v>
      </c>
      <c r="P694" s="185">
        <f>P682*CHOOSE($D682,1,Параметры!P$53,Параметры!P$59)</f>
        <v>0</v>
      </c>
      <c r="Q694" s="185">
        <f>Q682*CHOOSE($D682,1,Параметры!Q$53,Параметры!Q$59)</f>
        <v>0</v>
      </c>
      <c r="R694" s="185">
        <f>R682*CHOOSE($D682,1,Параметры!R$53,Параметры!R$59)</f>
        <v>0</v>
      </c>
      <c r="S694" s="185">
        <f>S682*CHOOSE($D682,1,Параметры!S$53,Параметры!S$59)</f>
        <v>0</v>
      </c>
      <c r="T694" s="185">
        <f>T682*CHOOSE($D682,1,Параметры!T$53,Параметры!T$59)</f>
        <v>0</v>
      </c>
      <c r="U694" s="185">
        <f>U682*CHOOSE($D682,1,Параметры!U$53,Параметры!U$59)</f>
        <v>0</v>
      </c>
      <c r="V694" s="185">
        <f>V682*CHOOSE($D682,1,Параметры!V$53,Параметры!V$59)</f>
        <v>0</v>
      </c>
      <c r="W694" s="185">
        <f>W682*CHOOSE($D682,1,Параметры!W$53,Параметры!W$59)</f>
        <v>0</v>
      </c>
      <c r="X694" s="185">
        <f>X682*CHOOSE($D682,1,Параметры!X$53,Параметры!X$59)</f>
        <v>0</v>
      </c>
      <c r="Y694" s="185">
        <f>Y682*CHOOSE($D682,1,Параметры!Y$53,Параметры!Y$59)</f>
        <v>0</v>
      </c>
      <c r="Z694" s="185">
        <f>Z682*CHOOSE($D682,1,Параметры!Z$53,Параметры!Z$59)</f>
        <v>0</v>
      </c>
      <c r="AA694" s="185">
        <f>AA682*CHOOSE($D682,1,Параметры!AA$53,Параметры!AA$59)</f>
        <v>0</v>
      </c>
      <c r="AB694" s="185">
        <f>AB682*CHOOSE($D682,1,Параметры!AB$53,Параметры!AB$59)</f>
        <v>0</v>
      </c>
      <c r="AC694" s="185">
        <f>AC682*CHOOSE($D682,1,Параметры!AC$53,Параметры!AC$59)</f>
        <v>0</v>
      </c>
      <c r="AD694" s="185">
        <f>AD682*CHOOSE($D682,1,Параметры!AD$53,Параметры!AD$59)</f>
        <v>0</v>
      </c>
      <c r="AE694" s="185">
        <f>AE682*CHOOSE($D682,1,Параметры!AE$53,Параметры!AE$59)</f>
        <v>0</v>
      </c>
      <c r="AF694" s="185">
        <f>AF682*CHOOSE($D682,1,Параметры!AF$53,Параметры!AF$59)</f>
        <v>0</v>
      </c>
      <c r="AG694" s="185">
        <f>AG682*CHOOSE($D682,1,Параметры!AG$53,Параметры!AG$59)</f>
        <v>0</v>
      </c>
      <c r="AH694" s="185">
        <f>AH682*CHOOSE($D682,1,Параметры!AH$53,Параметры!AH$59)</f>
        <v>0</v>
      </c>
      <c r="AI694" s="185">
        <f>AI682*CHOOSE($D682,1,Параметры!AI$53,Параметры!AI$59)</f>
        <v>0</v>
      </c>
      <c r="AJ694" s="185">
        <f>AJ682*CHOOSE($D682,1,Параметры!AJ$53,Параметры!AJ$59)</f>
        <v>0</v>
      </c>
      <c r="AK694" s="185">
        <f>AK682*CHOOSE($D682,1,Параметры!AK$53,Параметры!AK$59)</f>
        <v>0</v>
      </c>
      <c r="AL694" s="185">
        <f>AL682*CHOOSE($D682,1,Параметры!AL$53,Параметры!AL$59)</f>
        <v>0</v>
      </c>
      <c r="AM694" s="185">
        <f>AM682*CHOOSE($D682,1,Параметры!AM$53,Параметры!AM$59)</f>
        <v>0</v>
      </c>
      <c r="AN694" s="185">
        <f>AN682*CHOOSE($D682,1,Параметры!AN$53,Параметры!AN$59)</f>
        <v>0</v>
      </c>
      <c r="AO694" s="185">
        <f>AO682*CHOOSE($D682,1,Параметры!AO$53,Параметры!AO$59)</f>
        <v>0</v>
      </c>
      <c r="AP694" s="185">
        <f>AP682*CHOOSE($D682,1,Параметры!AP$53,Параметры!AP$59)</f>
        <v>0</v>
      </c>
      <c r="AQ694" s="185">
        <f>AQ682*CHOOSE($D682,1,Параметры!AQ$53,Параметры!AQ$59)</f>
        <v>0</v>
      </c>
      <c r="AR694" s="185">
        <f>AR682*CHOOSE($D682,1,Параметры!AR$53,Параметры!AR$59)</f>
        <v>0</v>
      </c>
      <c r="AS694" s="185">
        <f>AS682*CHOOSE($D682,1,Параметры!AS$53,Параметры!AS$59)</f>
        <v>0</v>
      </c>
      <c r="AT694" s="185">
        <f>AT682*CHOOSE($D682,1,Параметры!AT$53,Параметры!AT$59)</f>
        <v>0</v>
      </c>
      <c r="AU694" s="185">
        <f>AU682*CHOOSE($D682,1,Параметры!AU$53,Параметры!AU$59)</f>
        <v>0</v>
      </c>
      <c r="AV694" s="185">
        <f>AV682*CHOOSE($D682,1,Параметры!AV$53,Параметры!AV$59)</f>
        <v>0</v>
      </c>
      <c r="AW694" s="185">
        <f>AW682*CHOOSE($D682,1,Параметры!AW$53,Параметры!AW$59)</f>
        <v>0</v>
      </c>
      <c r="AX694" s="185">
        <f>AX682*CHOOSE($D682,1,Параметры!AX$53,Параметры!AX$59)</f>
        <v>0</v>
      </c>
      <c r="AY694" s="185">
        <f>AY682*CHOOSE($D682,1,Параметры!AY$53,Параметры!AY$59)</f>
        <v>0</v>
      </c>
      <c r="AZ694" s="185">
        <f>AZ682*CHOOSE($D682,1,Параметры!AZ$53,Параметры!AZ$59)</f>
        <v>0</v>
      </c>
      <c r="BA694" s="185">
        <f>BA682*CHOOSE($D682,1,Параметры!BA$53,Параметры!BA$59)</f>
        <v>0</v>
      </c>
      <c r="BB694" s="185">
        <f>BB682*CHOOSE($D682,1,Параметры!BB$53,Параметры!BB$59)</f>
        <v>0</v>
      </c>
      <c r="BC694" s="185"/>
      <c r="BD694" s="193">
        <f>SUM(G694:BC694)</f>
        <v>0</v>
      </c>
    </row>
    <row r="695" spans="1:56" ht="14.4" hidden="1" thickTop="1" x14ac:dyDescent="0.3">
      <c r="A695" s="187" t="str">
        <f ca="1">Language!A$912</f>
        <v>импортная пошлина</v>
      </c>
      <c r="B695" s="203"/>
      <c r="C695" s="163" t="str">
        <f t="shared" ca="1" si="2822"/>
        <v>руб.</v>
      </c>
      <c r="D695" s="174">
        <v>1</v>
      </c>
      <c r="E695" s="170" t="s">
        <v>765</v>
      </c>
      <c r="F695" s="170" t="s">
        <v>743</v>
      </c>
      <c r="G695" s="185">
        <f>G687*CHOOSE($D687,1,Параметры!G$53,Параметры!G$59)</f>
        <v>0</v>
      </c>
      <c r="H695" s="185">
        <f>H687*CHOOSE($D687,1,Параметры!H$53,Параметры!H$59)</f>
        <v>0</v>
      </c>
      <c r="I695" s="185">
        <f>I687*CHOOSE($D687,1,Параметры!I$53,Параметры!I$59)</f>
        <v>0</v>
      </c>
      <c r="J695" s="185">
        <f>J687*CHOOSE($D687,1,Параметры!J$53,Параметры!J$59)</f>
        <v>0</v>
      </c>
      <c r="K695" s="185">
        <f>K687*CHOOSE($D687,1,Параметры!K$53,Параметры!K$59)</f>
        <v>0</v>
      </c>
      <c r="L695" s="185">
        <f>L687*CHOOSE($D687,1,Параметры!L$53,Параметры!L$59)</f>
        <v>0</v>
      </c>
      <c r="M695" s="185">
        <f>M687*CHOOSE($D687,1,Параметры!M$53,Параметры!M$59)</f>
        <v>0</v>
      </c>
      <c r="N695" s="185">
        <f>N687*CHOOSE($D687,1,Параметры!N$53,Параметры!N$59)</f>
        <v>0</v>
      </c>
      <c r="O695" s="185">
        <f>O687*CHOOSE($D687,1,Параметры!O$53,Параметры!O$59)</f>
        <v>0</v>
      </c>
      <c r="P695" s="185">
        <f>P687*CHOOSE($D687,1,Параметры!P$53,Параметры!P$59)</f>
        <v>0</v>
      </c>
      <c r="Q695" s="185">
        <f>Q687*CHOOSE($D687,1,Параметры!Q$53,Параметры!Q$59)</f>
        <v>0</v>
      </c>
      <c r="R695" s="185">
        <f>R687*CHOOSE($D687,1,Параметры!R$53,Параметры!R$59)</f>
        <v>0</v>
      </c>
      <c r="S695" s="185">
        <f>S687*CHOOSE($D687,1,Параметры!S$53,Параметры!S$59)</f>
        <v>0</v>
      </c>
      <c r="T695" s="185">
        <f>T687*CHOOSE($D687,1,Параметры!T$53,Параметры!T$59)</f>
        <v>0</v>
      </c>
      <c r="U695" s="185">
        <f>U687*CHOOSE($D687,1,Параметры!U$53,Параметры!U$59)</f>
        <v>0</v>
      </c>
      <c r="V695" s="185">
        <f>V687*CHOOSE($D687,1,Параметры!V$53,Параметры!V$59)</f>
        <v>0</v>
      </c>
      <c r="W695" s="185">
        <f>W687*CHOOSE($D687,1,Параметры!W$53,Параметры!W$59)</f>
        <v>0</v>
      </c>
      <c r="X695" s="185">
        <f>X687*CHOOSE($D687,1,Параметры!X$53,Параметры!X$59)</f>
        <v>0</v>
      </c>
      <c r="Y695" s="185">
        <f>Y687*CHOOSE($D687,1,Параметры!Y$53,Параметры!Y$59)</f>
        <v>0</v>
      </c>
      <c r="Z695" s="185">
        <f>Z687*CHOOSE($D687,1,Параметры!Z$53,Параметры!Z$59)</f>
        <v>0</v>
      </c>
      <c r="AA695" s="185">
        <f>AA687*CHOOSE($D687,1,Параметры!AA$53,Параметры!AA$59)</f>
        <v>0</v>
      </c>
      <c r="AB695" s="185">
        <f>AB687*CHOOSE($D687,1,Параметры!AB$53,Параметры!AB$59)</f>
        <v>0</v>
      </c>
      <c r="AC695" s="185">
        <f>AC687*CHOOSE($D687,1,Параметры!AC$53,Параметры!AC$59)</f>
        <v>0</v>
      </c>
      <c r="AD695" s="185">
        <f>AD687*CHOOSE($D687,1,Параметры!AD$53,Параметры!AD$59)</f>
        <v>0</v>
      </c>
      <c r="AE695" s="185">
        <f>AE687*CHOOSE($D687,1,Параметры!AE$53,Параметры!AE$59)</f>
        <v>0</v>
      </c>
      <c r="AF695" s="185">
        <f>AF687*CHOOSE($D687,1,Параметры!AF$53,Параметры!AF$59)</f>
        <v>0</v>
      </c>
      <c r="AG695" s="185">
        <f>AG687*CHOOSE($D687,1,Параметры!AG$53,Параметры!AG$59)</f>
        <v>0</v>
      </c>
      <c r="AH695" s="185">
        <f>AH687*CHOOSE($D687,1,Параметры!AH$53,Параметры!AH$59)</f>
        <v>0</v>
      </c>
      <c r="AI695" s="185">
        <f>AI687*CHOOSE($D687,1,Параметры!AI$53,Параметры!AI$59)</f>
        <v>0</v>
      </c>
      <c r="AJ695" s="185">
        <f>AJ687*CHOOSE($D687,1,Параметры!AJ$53,Параметры!AJ$59)</f>
        <v>0</v>
      </c>
      <c r="AK695" s="185">
        <f>AK687*CHOOSE($D687,1,Параметры!AK$53,Параметры!AK$59)</f>
        <v>0</v>
      </c>
      <c r="AL695" s="185">
        <f>AL687*CHOOSE($D687,1,Параметры!AL$53,Параметры!AL$59)</f>
        <v>0</v>
      </c>
      <c r="AM695" s="185">
        <f>AM687*CHOOSE($D687,1,Параметры!AM$53,Параметры!AM$59)</f>
        <v>0</v>
      </c>
      <c r="AN695" s="185">
        <f>AN687*CHOOSE($D687,1,Параметры!AN$53,Параметры!AN$59)</f>
        <v>0</v>
      </c>
      <c r="AO695" s="185">
        <f>AO687*CHOOSE($D687,1,Параметры!AO$53,Параметры!AO$59)</f>
        <v>0</v>
      </c>
      <c r="AP695" s="185">
        <f>AP687*CHOOSE($D687,1,Параметры!AP$53,Параметры!AP$59)</f>
        <v>0</v>
      </c>
      <c r="AQ695" s="185">
        <f>AQ687*CHOOSE($D687,1,Параметры!AQ$53,Параметры!AQ$59)</f>
        <v>0</v>
      </c>
      <c r="AR695" s="185">
        <f>AR687*CHOOSE($D687,1,Параметры!AR$53,Параметры!AR$59)</f>
        <v>0</v>
      </c>
      <c r="AS695" s="185">
        <f>AS687*CHOOSE($D687,1,Параметры!AS$53,Параметры!AS$59)</f>
        <v>0</v>
      </c>
      <c r="AT695" s="185">
        <f>AT687*CHOOSE($D687,1,Параметры!AT$53,Параметры!AT$59)</f>
        <v>0</v>
      </c>
      <c r="AU695" s="185">
        <f>AU687*CHOOSE($D687,1,Параметры!AU$53,Параметры!AU$59)</f>
        <v>0</v>
      </c>
      <c r="AV695" s="185">
        <f>AV687*CHOOSE($D687,1,Параметры!AV$53,Параметры!AV$59)</f>
        <v>0</v>
      </c>
      <c r="AW695" s="185">
        <f>AW687*CHOOSE($D687,1,Параметры!AW$53,Параметры!AW$59)</f>
        <v>0</v>
      </c>
      <c r="AX695" s="185">
        <f>AX687*CHOOSE($D687,1,Параметры!AX$53,Параметры!AX$59)</f>
        <v>0</v>
      </c>
      <c r="AY695" s="185">
        <f>AY687*CHOOSE($D687,1,Параметры!AY$53,Параметры!AY$59)</f>
        <v>0</v>
      </c>
      <c r="AZ695" s="185">
        <f>AZ687*CHOOSE($D687,1,Параметры!AZ$53,Параметры!AZ$59)</f>
        <v>0</v>
      </c>
      <c r="BA695" s="185">
        <f>BA687*CHOOSE($D687,1,Параметры!BA$53,Параметры!BA$59)</f>
        <v>0</v>
      </c>
      <c r="BB695" s="185">
        <f>BB687*CHOOSE($D687,1,Параметры!BB$53,Параметры!BB$59)</f>
        <v>0</v>
      </c>
      <c r="BC695" s="185"/>
      <c r="BD695" s="193">
        <f>SUM(G695:BC695)</f>
        <v>0</v>
      </c>
    </row>
    <row r="696" spans="1:56" ht="14.4" hidden="1" thickTop="1" x14ac:dyDescent="0.3">
      <c r="A696" s="184" t="str">
        <f ca="1">Language!A$913</f>
        <v>незавершенные инвестиции</v>
      </c>
      <c r="B696" s="170"/>
      <c r="C696" s="163" t="str">
        <f t="shared" ca="1" si="2822"/>
        <v>руб.</v>
      </c>
      <c r="D696" s="174">
        <v>1</v>
      </c>
      <c r="E696" s="170" t="s">
        <v>754</v>
      </c>
      <c r="F696" s="170" t="s">
        <v>747</v>
      </c>
      <c r="G696" s="185">
        <f>IF(SUM($G689:G689)&gt;0.01,0,MAX(SUM($G680:G680)+$B681-SUM($G682:G682),0)+IF($B685=0,0,MAX(SUM($G687:G687)-SUM($G682:G682)*$B687,0)))*CHOOSE($D680,1,Параметры!G$53,Параметры!G$59)</f>
        <v>0</v>
      </c>
      <c r="H696" s="185">
        <f>IF(SUM($G689:H689)&gt;0.01,0,MAX(SUM($G680:H680)+$B681-SUM($G682:H682),0)+IF($B685=0,0,MAX(SUM($G687:H687)-SUM($G682:H682)*$B687,0)))*CHOOSE($D680,1,Параметры!H$53,Параметры!H$59)</f>
        <v>0</v>
      </c>
      <c r="I696" s="185">
        <f>IF(SUM($G689:I689)&gt;0.01,0,MAX(SUM($G680:I680)+$B681-SUM($G682:I682),0)+IF($B685=0,0,MAX(SUM($G687:I687)-SUM($G682:I682)*$B687,0)))*CHOOSE($D680,1,Параметры!I$53,Параметры!I$59)</f>
        <v>0</v>
      </c>
      <c r="J696" s="185">
        <f>IF(SUM($G689:J689)&gt;0.01,0,MAX(SUM($G680:J680)+$B681-SUM($G682:J682),0)+IF($B685=0,0,MAX(SUM($G687:J687)-SUM($G682:J682)*$B687,0)))*CHOOSE($D680,1,Параметры!J$53,Параметры!J$59)</f>
        <v>0</v>
      </c>
      <c r="K696" s="185">
        <f>IF(SUM($G689:K689)&gt;0.01,0,MAX(SUM($G680:K680)+$B681-SUM($G682:K682),0)+IF($B685=0,0,MAX(SUM($G687:K687)-SUM($G682:K682)*$B687,0)))*CHOOSE($D680,1,Параметры!K$53,Параметры!K$59)</f>
        <v>0</v>
      </c>
      <c r="L696" s="185">
        <f>IF(SUM($G689:L689)&gt;0.01,0,MAX(SUM($G680:L680)+$B681-SUM($G682:L682),0)+IF($B685=0,0,MAX(SUM($G687:L687)-SUM($G682:L682)*$B687,0)))*CHOOSE($D680,1,Параметры!L$53,Параметры!L$59)</f>
        <v>0</v>
      </c>
      <c r="M696" s="185">
        <f>IF(SUM($G689:M689)&gt;0.01,0,MAX(SUM($G680:M680)+$B681-SUM($G682:M682),0)+IF($B685=0,0,MAX(SUM($G687:M687)-SUM($G682:M682)*$B687,0)))*CHOOSE($D680,1,Параметры!M$53,Параметры!M$59)</f>
        <v>0</v>
      </c>
      <c r="N696" s="185">
        <f>IF(SUM($G689:N689)&gt;0.01,0,MAX(SUM($G680:N680)+$B681-SUM($G682:N682),0)+IF($B685=0,0,MAX(SUM($G687:N687)-SUM($G682:N682)*$B687,0)))*CHOOSE($D680,1,Параметры!N$53,Параметры!N$59)</f>
        <v>0</v>
      </c>
      <c r="O696" s="185">
        <f>IF(SUM($G689:O689)&gt;0.01,0,MAX(SUM($G680:O680)+$B681-SUM($G682:O682),0)+IF($B685=0,0,MAX(SUM($G687:O687)-SUM($G682:O682)*$B687,0)))*CHOOSE($D680,1,Параметры!O$53,Параметры!O$59)</f>
        <v>0</v>
      </c>
      <c r="P696" s="185">
        <f>IF(SUM($G689:P689)&gt;0.01,0,MAX(SUM($G680:P680)+$B681-SUM($G682:P682),0)+IF($B685=0,0,MAX(SUM($G687:P687)-SUM($G682:P682)*$B687,0)))*CHOOSE($D680,1,Параметры!P$53,Параметры!P$59)</f>
        <v>0</v>
      </c>
      <c r="Q696" s="185">
        <f>IF(SUM($G689:Q689)&gt;0.01,0,MAX(SUM($G680:Q680)+$B681-SUM($G682:Q682),0)+IF($B685=0,0,MAX(SUM($G687:Q687)-SUM($G682:Q682)*$B687,0)))*CHOOSE($D680,1,Параметры!Q$53,Параметры!Q$59)</f>
        <v>0</v>
      </c>
      <c r="R696" s="185">
        <f>IF(SUM($G689:R689)&gt;0.01,0,MAX(SUM($G680:R680)+$B681-SUM($G682:R682),0)+IF($B685=0,0,MAX(SUM($G687:R687)-SUM($G682:R682)*$B687,0)))*CHOOSE($D680,1,Параметры!R$53,Параметры!R$59)</f>
        <v>0</v>
      </c>
      <c r="S696" s="185">
        <f>IF(SUM($G689:S689)&gt;0.01,0,MAX(SUM($G680:S680)+$B681-SUM($G682:S682),0)+IF($B685=0,0,MAX(SUM($G687:S687)-SUM($G682:S682)*$B687,0)))*CHOOSE($D680,1,Параметры!S$53,Параметры!S$59)</f>
        <v>0</v>
      </c>
      <c r="T696" s="185">
        <f>IF(SUM($G689:T689)&gt;0.01,0,MAX(SUM($G680:T680)+$B681-SUM($G682:T682),0)+IF($B685=0,0,MAX(SUM($G687:T687)-SUM($G682:T682)*$B687,0)))*CHOOSE($D680,1,Параметры!T$53,Параметры!T$59)</f>
        <v>0</v>
      </c>
      <c r="U696" s="185">
        <f>IF(SUM($G689:U689)&gt;0.01,0,MAX(SUM($G680:U680)+$B681-SUM($G682:U682),0)+IF($B685=0,0,MAX(SUM($G687:U687)-SUM($G682:U682)*$B687,0)))*CHOOSE($D680,1,Параметры!U$53,Параметры!U$59)</f>
        <v>0</v>
      </c>
      <c r="V696" s="185">
        <f>IF(SUM($G689:V689)&gt;0.01,0,MAX(SUM($G680:V680)+$B681-SUM($G682:V682),0)+IF($B685=0,0,MAX(SUM($G687:V687)-SUM($G682:V682)*$B687,0)))*CHOOSE($D680,1,Параметры!V$53,Параметры!V$59)</f>
        <v>0</v>
      </c>
      <c r="W696" s="185">
        <f>IF(SUM($G689:W689)&gt;0.01,0,MAX(SUM($G680:W680)+$B681-SUM($G682:W682),0)+IF($B685=0,0,MAX(SUM($G687:W687)-SUM($G682:W682)*$B687,0)))*CHOOSE($D680,1,Параметры!W$53,Параметры!W$59)</f>
        <v>0</v>
      </c>
      <c r="X696" s="185">
        <f>IF(SUM($G689:X689)&gt;0.01,0,MAX(SUM($G680:X680)+$B681-SUM($G682:X682),0)+IF($B685=0,0,MAX(SUM($G687:X687)-SUM($G682:X682)*$B687,0)))*CHOOSE($D680,1,Параметры!X$53,Параметры!X$59)</f>
        <v>0</v>
      </c>
      <c r="Y696" s="185">
        <f>IF(SUM($G689:Y689)&gt;0.01,0,MAX(SUM($G680:Y680)+$B681-SUM($G682:Y682),0)+IF($B685=0,0,MAX(SUM($G687:Y687)-SUM($G682:Y682)*$B687,0)))*CHOOSE($D680,1,Параметры!Y$53,Параметры!Y$59)</f>
        <v>0</v>
      </c>
      <c r="Z696" s="185">
        <f>IF(SUM($G689:Z689)&gt;0.01,0,MAX(SUM($G680:Z680)+$B681-SUM($G682:Z682),0)+IF($B685=0,0,MAX(SUM($G687:Z687)-SUM($G682:Z682)*$B687,0)))*CHOOSE($D680,1,Параметры!Z$53,Параметры!Z$59)</f>
        <v>0</v>
      </c>
      <c r="AA696" s="185">
        <f>IF(SUM($G689:AA689)&gt;0.01,0,MAX(SUM($G680:AA680)+$B681-SUM($G682:AA682),0)+IF($B685=0,0,MAX(SUM($G687:AA687)-SUM($G682:AA682)*$B687,0)))*CHOOSE($D680,1,Параметры!AA$53,Параметры!AA$59)</f>
        <v>0</v>
      </c>
      <c r="AB696" s="185">
        <f>IF(SUM($G689:AB689)&gt;0.01,0,MAX(SUM($G680:AB680)+$B681-SUM($G682:AB682),0)+IF($B685=0,0,MAX(SUM($G687:AB687)-SUM($G682:AB682)*$B687,0)))*CHOOSE($D680,1,Параметры!AB$53,Параметры!AB$59)</f>
        <v>0</v>
      </c>
      <c r="AC696" s="185">
        <f>IF(SUM($G689:AC689)&gt;0.01,0,MAX(SUM($G680:AC680)+$B681-SUM($G682:AC682),0)+IF($B685=0,0,MAX(SUM($G687:AC687)-SUM($G682:AC682)*$B687,0)))*CHOOSE($D680,1,Параметры!AC$53,Параметры!AC$59)</f>
        <v>0</v>
      </c>
      <c r="AD696" s="185">
        <f>IF(SUM($G689:AD689)&gt;0.01,0,MAX(SUM($G680:AD680)+$B681-SUM($G682:AD682),0)+IF($B685=0,0,MAX(SUM($G687:AD687)-SUM($G682:AD682)*$B687,0)))*CHOOSE($D680,1,Параметры!AD$53,Параметры!AD$59)</f>
        <v>0</v>
      </c>
      <c r="AE696" s="185">
        <f>IF(SUM($G689:AE689)&gt;0.01,0,MAX(SUM($G680:AE680)+$B681-SUM($G682:AE682),0)+IF($B685=0,0,MAX(SUM($G687:AE687)-SUM($G682:AE682)*$B687,0)))*CHOOSE($D680,1,Параметры!AE$53,Параметры!AE$59)</f>
        <v>0</v>
      </c>
      <c r="AF696" s="185">
        <f>IF(SUM($G689:AF689)&gt;0.01,0,MAX(SUM($G680:AF680)+$B681-SUM($G682:AF682),0)+IF($B685=0,0,MAX(SUM($G687:AF687)-SUM($G682:AF682)*$B687,0)))*CHOOSE($D680,1,Параметры!AF$53,Параметры!AF$59)</f>
        <v>0</v>
      </c>
      <c r="AG696" s="185">
        <f>IF(SUM($G689:AG689)&gt;0.01,0,MAX(SUM($G680:AG680)+$B681-SUM($G682:AG682),0)+IF($B685=0,0,MAX(SUM($G687:AG687)-SUM($G682:AG682)*$B687,0)))*CHOOSE($D680,1,Параметры!AG$53,Параметры!AG$59)</f>
        <v>0</v>
      </c>
      <c r="AH696" s="185">
        <f>IF(SUM($G689:AH689)&gt;0.01,0,MAX(SUM($G680:AH680)+$B681-SUM($G682:AH682),0)+IF($B685=0,0,MAX(SUM($G687:AH687)-SUM($G682:AH682)*$B687,0)))*CHOOSE($D680,1,Параметры!AH$53,Параметры!AH$59)</f>
        <v>0</v>
      </c>
      <c r="AI696" s="185">
        <f>IF(SUM($G689:AI689)&gt;0.01,0,MAX(SUM($G680:AI680)+$B681-SUM($G682:AI682),0)+IF($B685=0,0,MAX(SUM($G687:AI687)-SUM($G682:AI682)*$B687,0)))*CHOOSE($D680,1,Параметры!AI$53,Параметры!AI$59)</f>
        <v>0</v>
      </c>
      <c r="AJ696" s="185">
        <f>IF(SUM($G689:AJ689)&gt;0.01,0,MAX(SUM($G680:AJ680)+$B681-SUM($G682:AJ682),0)+IF($B685=0,0,MAX(SUM($G687:AJ687)-SUM($G682:AJ682)*$B687,0)))*CHOOSE($D680,1,Параметры!AJ$53,Параметры!AJ$59)</f>
        <v>0</v>
      </c>
      <c r="AK696" s="185">
        <f>IF(SUM($G689:AK689)&gt;0.01,0,MAX(SUM($G680:AK680)+$B681-SUM($G682:AK682),0)+IF($B685=0,0,MAX(SUM($G687:AK687)-SUM($G682:AK682)*$B687,0)))*CHOOSE($D680,1,Параметры!AK$53,Параметры!AK$59)</f>
        <v>0</v>
      </c>
      <c r="AL696" s="185">
        <f>IF(SUM($G689:AL689)&gt;0.01,0,MAX(SUM($G680:AL680)+$B681-SUM($G682:AL682),0)+IF($B685=0,0,MAX(SUM($G687:AL687)-SUM($G682:AL682)*$B687,0)))*CHOOSE($D680,1,Параметры!AL$53,Параметры!AL$59)</f>
        <v>0</v>
      </c>
      <c r="AM696" s="185">
        <f>IF(SUM($G689:AM689)&gt;0.01,0,MAX(SUM($G680:AM680)+$B681-SUM($G682:AM682),0)+IF($B685=0,0,MAX(SUM($G687:AM687)-SUM($G682:AM682)*$B687,0)))*CHOOSE($D680,1,Параметры!AM$53,Параметры!AM$59)</f>
        <v>0</v>
      </c>
      <c r="AN696" s="185">
        <f>IF(SUM($G689:AN689)&gt;0.01,0,MAX(SUM($G680:AN680)+$B681-SUM($G682:AN682),0)+IF($B685=0,0,MAX(SUM($G687:AN687)-SUM($G682:AN682)*$B687,0)))*CHOOSE($D680,1,Параметры!AN$53,Параметры!AN$59)</f>
        <v>0</v>
      </c>
      <c r="AO696" s="185">
        <f>IF(SUM($G689:AO689)&gt;0.01,0,MAX(SUM($G680:AO680)+$B681-SUM($G682:AO682),0)+IF($B685=0,0,MAX(SUM($G687:AO687)-SUM($G682:AO682)*$B687,0)))*CHOOSE($D680,1,Параметры!AO$53,Параметры!AO$59)</f>
        <v>0</v>
      </c>
      <c r="AP696" s="185">
        <f>IF(SUM($G689:AP689)&gt;0.01,0,MAX(SUM($G680:AP680)+$B681-SUM($G682:AP682),0)+IF($B685=0,0,MAX(SUM($G687:AP687)-SUM($G682:AP682)*$B687,0)))*CHOOSE($D680,1,Параметры!AP$53,Параметры!AP$59)</f>
        <v>0</v>
      </c>
      <c r="AQ696" s="185">
        <f>IF(SUM($G689:AQ689)&gt;0.01,0,MAX(SUM($G680:AQ680)+$B681-SUM($G682:AQ682),0)+IF($B685=0,0,MAX(SUM($G687:AQ687)-SUM($G682:AQ682)*$B687,0)))*CHOOSE($D680,1,Параметры!AQ$53,Параметры!AQ$59)</f>
        <v>0</v>
      </c>
      <c r="AR696" s="185">
        <f>IF(SUM($G689:AR689)&gt;0.01,0,MAX(SUM($G680:AR680)+$B681-SUM($G682:AR682),0)+IF($B685=0,0,MAX(SUM($G687:AR687)-SUM($G682:AR682)*$B687,0)))*CHOOSE($D680,1,Параметры!AR$53,Параметры!AR$59)</f>
        <v>0</v>
      </c>
      <c r="AS696" s="185">
        <f>IF(SUM($G689:AS689)&gt;0.01,0,MAX(SUM($G680:AS680)+$B681-SUM($G682:AS682),0)+IF($B685=0,0,MAX(SUM($G687:AS687)-SUM($G682:AS682)*$B687,0)))*CHOOSE($D680,1,Параметры!AS$53,Параметры!AS$59)</f>
        <v>0</v>
      </c>
      <c r="AT696" s="185">
        <f>IF(SUM($G689:AT689)&gt;0.01,0,MAX(SUM($G680:AT680)+$B681-SUM($G682:AT682),0)+IF($B685=0,0,MAX(SUM($G687:AT687)-SUM($G682:AT682)*$B687,0)))*CHOOSE($D680,1,Параметры!AT$53,Параметры!AT$59)</f>
        <v>0</v>
      </c>
      <c r="AU696" s="185">
        <f>IF(SUM($G689:AU689)&gt;0.01,0,MAX(SUM($G680:AU680)+$B681-SUM($G682:AU682),0)+IF($B685=0,0,MAX(SUM($G687:AU687)-SUM($G682:AU682)*$B687,0)))*CHOOSE($D680,1,Параметры!AU$53,Параметры!AU$59)</f>
        <v>0</v>
      </c>
      <c r="AV696" s="185">
        <f>IF(SUM($G689:AV689)&gt;0.01,0,MAX(SUM($G680:AV680)+$B681-SUM($G682:AV682),0)+IF($B685=0,0,MAX(SUM($G687:AV687)-SUM($G682:AV682)*$B687,0)))*CHOOSE($D680,1,Параметры!AV$53,Параметры!AV$59)</f>
        <v>0</v>
      </c>
      <c r="AW696" s="185">
        <f>IF(SUM($G689:AW689)&gt;0.01,0,MAX(SUM($G680:AW680)+$B681-SUM($G682:AW682),0)+IF($B685=0,0,MAX(SUM($G687:AW687)-SUM($G682:AW682)*$B687,0)))*CHOOSE($D680,1,Параметры!AW$53,Параметры!AW$59)</f>
        <v>0</v>
      </c>
      <c r="AX696" s="185">
        <f>IF(SUM($G689:AX689)&gt;0.01,0,MAX(SUM($G680:AX680)+$B681-SUM($G682:AX682),0)+IF($B685=0,0,MAX(SUM($G687:AX687)-SUM($G682:AX682)*$B687,0)))*CHOOSE($D680,1,Параметры!AX$53,Параметры!AX$59)</f>
        <v>0</v>
      </c>
      <c r="AY696" s="185">
        <f>IF(SUM($G689:AY689)&gt;0.01,0,MAX(SUM($G680:AY680)+$B681-SUM($G682:AY682),0)+IF($B685=0,0,MAX(SUM($G687:AY687)-SUM($G682:AY682)*$B687,0)))*CHOOSE($D680,1,Параметры!AY$53,Параметры!AY$59)</f>
        <v>0</v>
      </c>
      <c r="AZ696" s="185">
        <f>IF(SUM($G689:AZ689)&gt;0.01,0,MAX(SUM($G680:AZ680)+$B681-SUM($G682:AZ682),0)+IF($B685=0,0,MAX(SUM($G687:AZ687)-SUM($G682:AZ682)*$B687,0)))*CHOOSE($D680,1,Параметры!AZ$53,Параметры!AZ$59)</f>
        <v>0</v>
      </c>
      <c r="BA696" s="185">
        <f>IF(SUM($G689:BA689)&gt;0.01,0,MAX(SUM($G680:BA680)+$B681-SUM($G682:BA682),0)+IF($B685=0,0,MAX(SUM($G687:BA687)-SUM($G682:BA682)*$B687,0)))*CHOOSE($D680,1,Параметры!BA$53,Параметры!BA$59)</f>
        <v>0</v>
      </c>
      <c r="BB696" s="185">
        <f>IF(SUM($G689:BB689)&gt;0.01,0,MAX(SUM($G680:BB680)+$B681-SUM($G682:BB682),0)+IF($B685=0,0,MAX(SUM($G687:BB687)-SUM($G682:BB682)*$B687,0)))*CHOOSE($D680,1,Параметры!BB$53,Параметры!BB$59)</f>
        <v>0</v>
      </c>
      <c r="BC696" s="185"/>
      <c r="BD696" s="186"/>
    </row>
    <row r="697" spans="1:56" ht="14.4" hidden="1" thickTop="1" x14ac:dyDescent="0.3">
      <c r="A697" s="184" t="str">
        <f ca="1">Language!A$914</f>
        <v>кредиторская задолженность</v>
      </c>
      <c r="B697" s="170"/>
      <c r="C697" s="163" t="str">
        <f t="shared" ca="1" si="2822"/>
        <v>руб.</v>
      </c>
      <c r="D697" s="174">
        <v>1</v>
      </c>
      <c r="E697" s="170" t="s">
        <v>752</v>
      </c>
      <c r="F697" s="170" t="s">
        <v>747</v>
      </c>
      <c r="G697" s="185">
        <f>IF(SUM($G689:G689)&gt;0.01,0,MAX(SUM($G682:G682)-SUM($G680:G680)-$B681,0)*CHOOSE($D680,1,Параметры!G$53,Параметры!G$59)+IF($B685=0,0,MAX(SUM($G682:G682)*$B687-SUM($G687:G687),0)*CHOOSE($D680,1,Параметры!G$53,Параметры!G$59)+MAX(SUM($G702:G702)-SUM($G701:G701),0)))*IF($B685=0,1+G688,1)</f>
        <v>0</v>
      </c>
      <c r="H697" s="185">
        <f>IF(SUM($G689:H689)&gt;0.01,0,MAX(SUM($G682:H682)-SUM($G680:H680)-$B681,0)*CHOOSE($D680,1,Параметры!H$53,Параметры!H$59)+IF($B685=0,0,MAX(SUM($G682:H682)*$B687-SUM($G687:H687),0)*CHOOSE($D680,1,Параметры!H$53,Параметры!H$59)+MAX(SUM($G702:H702)-SUM($G701:H701),0)))*IF($B685=0,1+H688,1)</f>
        <v>0</v>
      </c>
      <c r="I697" s="185">
        <f>IF(SUM($G689:I689)&gt;0.01,0,MAX(SUM($G682:I682)-SUM($G680:I680)-$B681,0)*CHOOSE($D680,1,Параметры!I$53,Параметры!I$59)+IF($B685=0,0,MAX(SUM($G682:I682)*$B687-SUM($G687:I687),0)*CHOOSE($D680,1,Параметры!I$53,Параметры!I$59)+MAX(SUM($G702:I702)-SUM($G701:I701),0)))*IF($B685=0,1+I688,1)</f>
        <v>0</v>
      </c>
      <c r="J697" s="185">
        <f>IF(SUM($G689:J689)&gt;0.01,0,MAX(SUM($G682:J682)-SUM($G680:J680)-$B681,0)*CHOOSE($D680,1,Параметры!J$53,Параметры!J$59)+IF($B685=0,0,MAX(SUM($G682:J682)*$B687-SUM($G687:J687),0)*CHOOSE($D680,1,Параметры!J$53,Параметры!J$59)+MAX(SUM($G702:J702)-SUM($G701:J701),0)))*IF($B685=0,1+J688,1)</f>
        <v>0</v>
      </c>
      <c r="K697" s="185">
        <f>IF(SUM($G689:K689)&gt;0.01,0,MAX(SUM($G682:K682)-SUM($G680:K680)-$B681,0)*CHOOSE($D680,1,Параметры!K$53,Параметры!K$59)+IF($B685=0,0,MAX(SUM($G682:K682)*$B687-SUM($G687:K687),0)*CHOOSE($D680,1,Параметры!K$53,Параметры!K$59)+MAX(SUM($G702:K702)-SUM($G701:K701),0)))*IF($B685=0,1+K688,1)</f>
        <v>0</v>
      </c>
      <c r="L697" s="185">
        <f>IF(SUM($G689:L689)&gt;0.01,0,MAX(SUM($G682:L682)-SUM($G680:L680)-$B681,0)*CHOOSE($D680,1,Параметры!L$53,Параметры!L$59)+IF($B685=0,0,MAX(SUM($G682:L682)*$B687-SUM($G687:L687),0)*CHOOSE($D680,1,Параметры!L$53,Параметры!L$59)+MAX(SUM($G702:L702)-SUM($G701:L701),0)))*IF($B685=0,1+L688,1)</f>
        <v>0</v>
      </c>
      <c r="M697" s="185">
        <f>IF(SUM($G689:M689)&gt;0.01,0,MAX(SUM($G682:M682)-SUM($G680:M680)-$B681,0)*CHOOSE($D680,1,Параметры!M$53,Параметры!M$59)+IF($B685=0,0,MAX(SUM($G682:M682)*$B687-SUM($G687:M687),0)*CHOOSE($D680,1,Параметры!M$53,Параметры!M$59)+MAX(SUM($G702:M702)-SUM($G701:M701),0)))*IF($B685=0,1+M688,1)</f>
        <v>0</v>
      </c>
      <c r="N697" s="185">
        <f>IF(SUM($G689:N689)&gt;0.01,0,MAX(SUM($G682:N682)-SUM($G680:N680)-$B681,0)*CHOOSE($D680,1,Параметры!N$53,Параметры!N$59)+IF($B685=0,0,MAX(SUM($G682:N682)*$B687-SUM($G687:N687),0)*CHOOSE($D680,1,Параметры!N$53,Параметры!N$59)+MAX(SUM($G702:N702)-SUM($G701:N701),0)))*IF($B685=0,1+N688,1)</f>
        <v>0</v>
      </c>
      <c r="O697" s="185">
        <f>IF(SUM($G689:O689)&gt;0.01,0,MAX(SUM($G682:O682)-SUM($G680:O680)-$B681,0)*CHOOSE($D680,1,Параметры!O$53,Параметры!O$59)+IF($B685=0,0,MAX(SUM($G682:O682)*$B687-SUM($G687:O687),0)*CHOOSE($D680,1,Параметры!O$53,Параметры!O$59)+MAX(SUM($G702:O702)-SUM($G701:O701),0)))*IF($B685=0,1+O688,1)</f>
        <v>0</v>
      </c>
      <c r="P697" s="185">
        <f>IF(SUM($G689:P689)&gt;0.01,0,MAX(SUM($G682:P682)-SUM($G680:P680)-$B681,0)*CHOOSE($D680,1,Параметры!P$53,Параметры!P$59)+IF($B685=0,0,MAX(SUM($G682:P682)*$B687-SUM($G687:P687),0)*CHOOSE($D680,1,Параметры!P$53,Параметры!P$59)+MAX(SUM($G702:P702)-SUM($G701:P701),0)))*IF($B685=0,1+P688,1)</f>
        <v>0</v>
      </c>
      <c r="Q697" s="185">
        <f>IF(SUM($G689:Q689)&gt;0.01,0,MAX(SUM($G682:Q682)-SUM($G680:Q680)-$B681,0)*CHOOSE($D680,1,Параметры!Q$53,Параметры!Q$59)+IF($B685=0,0,MAX(SUM($G682:Q682)*$B687-SUM($G687:Q687),0)*CHOOSE($D680,1,Параметры!Q$53,Параметры!Q$59)+MAX(SUM($G702:Q702)-SUM($G701:Q701),0)))*IF($B685=0,1+Q688,1)</f>
        <v>0</v>
      </c>
      <c r="R697" s="185">
        <f>IF(SUM($G689:R689)&gt;0.01,0,MAX(SUM($G682:R682)-SUM($G680:R680)-$B681,0)*CHOOSE($D680,1,Параметры!R$53,Параметры!R$59)+IF($B685=0,0,MAX(SUM($G682:R682)*$B687-SUM($G687:R687),0)*CHOOSE($D680,1,Параметры!R$53,Параметры!R$59)+MAX(SUM($G702:R702)-SUM($G701:R701),0)))*IF($B685=0,1+R688,1)</f>
        <v>0</v>
      </c>
      <c r="S697" s="185">
        <f>IF(SUM($G689:S689)&gt;0.01,0,MAX(SUM($G682:S682)-SUM($G680:S680)-$B681,0)*CHOOSE($D680,1,Параметры!S$53,Параметры!S$59)+IF($B685=0,0,MAX(SUM($G682:S682)*$B687-SUM($G687:S687),0)*CHOOSE($D680,1,Параметры!S$53,Параметры!S$59)+MAX(SUM($G702:S702)-SUM($G701:S701),0)))*IF($B685=0,1+S688,1)</f>
        <v>0</v>
      </c>
      <c r="T697" s="185">
        <f>IF(SUM($G689:T689)&gt;0.01,0,MAX(SUM($G682:T682)-SUM($G680:T680)-$B681,0)*CHOOSE($D680,1,Параметры!T$53,Параметры!T$59)+IF($B685=0,0,MAX(SUM($G682:T682)*$B687-SUM($G687:T687),0)*CHOOSE($D680,1,Параметры!T$53,Параметры!T$59)+MAX(SUM($G702:T702)-SUM($G701:T701),0)))*IF($B685=0,1+T688,1)</f>
        <v>0</v>
      </c>
      <c r="U697" s="185">
        <f>IF(SUM($G689:U689)&gt;0.01,0,MAX(SUM($G682:U682)-SUM($G680:U680)-$B681,0)*CHOOSE($D680,1,Параметры!U$53,Параметры!U$59)+IF($B685=0,0,MAX(SUM($G682:U682)*$B687-SUM($G687:U687),0)*CHOOSE($D680,1,Параметры!U$53,Параметры!U$59)+MAX(SUM($G702:U702)-SUM($G701:U701),0)))*IF($B685=0,1+U688,1)</f>
        <v>0</v>
      </c>
      <c r="V697" s="185">
        <f>IF(SUM($G689:V689)&gt;0.01,0,MAX(SUM($G682:V682)-SUM($G680:V680)-$B681,0)*CHOOSE($D680,1,Параметры!V$53,Параметры!V$59)+IF($B685=0,0,MAX(SUM($G682:V682)*$B687-SUM($G687:V687),0)*CHOOSE($D680,1,Параметры!V$53,Параметры!V$59)+MAX(SUM($G702:V702)-SUM($G701:V701),0)))*IF($B685=0,1+V688,1)</f>
        <v>0</v>
      </c>
      <c r="W697" s="185">
        <f>IF(SUM($G689:W689)&gt;0.01,0,MAX(SUM($G682:W682)-SUM($G680:W680)-$B681,0)*CHOOSE($D680,1,Параметры!W$53,Параметры!W$59)+IF($B685=0,0,MAX(SUM($G682:W682)*$B687-SUM($G687:W687),0)*CHOOSE($D680,1,Параметры!W$53,Параметры!W$59)+MAX(SUM($G702:W702)-SUM($G701:W701),0)))*IF($B685=0,1+W688,1)</f>
        <v>0</v>
      </c>
      <c r="X697" s="185">
        <f>IF(SUM($G689:X689)&gt;0.01,0,MAX(SUM($G682:X682)-SUM($G680:X680)-$B681,0)*CHOOSE($D680,1,Параметры!X$53,Параметры!X$59)+IF($B685=0,0,MAX(SUM($G682:X682)*$B687-SUM($G687:X687),0)*CHOOSE($D680,1,Параметры!X$53,Параметры!X$59)+MAX(SUM($G702:X702)-SUM($G701:X701),0)))*IF($B685=0,1+X688,1)</f>
        <v>0</v>
      </c>
      <c r="Y697" s="185">
        <f>IF(SUM($G689:Y689)&gt;0.01,0,MAX(SUM($G682:Y682)-SUM($G680:Y680)-$B681,0)*CHOOSE($D680,1,Параметры!Y$53,Параметры!Y$59)+IF($B685=0,0,MAX(SUM($G682:Y682)*$B687-SUM($G687:Y687),0)*CHOOSE($D680,1,Параметры!Y$53,Параметры!Y$59)+MAX(SUM($G702:Y702)-SUM($G701:Y701),0)))*IF($B685=0,1+Y688,1)</f>
        <v>0</v>
      </c>
      <c r="Z697" s="185">
        <f>IF(SUM($G689:Z689)&gt;0.01,0,MAX(SUM($G682:Z682)-SUM($G680:Z680)-$B681,0)*CHOOSE($D680,1,Параметры!Z$53,Параметры!Z$59)+IF($B685=0,0,MAX(SUM($G682:Z682)*$B687-SUM($G687:Z687),0)*CHOOSE($D680,1,Параметры!Z$53,Параметры!Z$59)+MAX(SUM($G702:Z702)-SUM($G701:Z701),0)))*IF($B685=0,1+Z688,1)</f>
        <v>0</v>
      </c>
      <c r="AA697" s="185">
        <f>IF(SUM($G689:AA689)&gt;0.01,0,MAX(SUM($G682:AA682)-SUM($G680:AA680)-$B681,0)*CHOOSE($D680,1,Параметры!AA$53,Параметры!AA$59)+IF($B685=0,0,MAX(SUM($G682:AA682)*$B687-SUM($G687:AA687),0)*CHOOSE($D680,1,Параметры!AA$53,Параметры!AA$59)+MAX(SUM($G702:AA702)-SUM($G701:AA701),0)))*IF($B685=0,1+AA688,1)</f>
        <v>0</v>
      </c>
      <c r="AB697" s="185">
        <f>IF(SUM($G689:AB689)&gt;0.01,0,MAX(SUM($G682:AB682)-SUM($G680:AB680)-$B681,0)*CHOOSE($D680,1,Параметры!AB$53,Параметры!AB$59)+IF($B685=0,0,MAX(SUM($G682:AB682)*$B687-SUM($G687:AB687),0)*CHOOSE($D680,1,Параметры!AB$53,Параметры!AB$59)+MAX(SUM($G702:AB702)-SUM($G701:AB701),0)))*IF($B685=0,1+AB688,1)</f>
        <v>0</v>
      </c>
      <c r="AC697" s="185">
        <f>IF(SUM($G689:AC689)&gt;0.01,0,MAX(SUM($G682:AC682)-SUM($G680:AC680)-$B681,0)*CHOOSE($D680,1,Параметры!AC$53,Параметры!AC$59)+IF($B685=0,0,MAX(SUM($G682:AC682)*$B687-SUM($G687:AC687),0)*CHOOSE($D680,1,Параметры!AC$53,Параметры!AC$59)+MAX(SUM($G702:AC702)-SUM($G701:AC701),0)))*IF($B685=0,1+AC688,1)</f>
        <v>0</v>
      </c>
      <c r="AD697" s="185">
        <f>IF(SUM($G689:AD689)&gt;0.01,0,MAX(SUM($G682:AD682)-SUM($G680:AD680)-$B681,0)*CHOOSE($D680,1,Параметры!AD$53,Параметры!AD$59)+IF($B685=0,0,MAX(SUM($G682:AD682)*$B687-SUM($G687:AD687),0)*CHOOSE($D680,1,Параметры!AD$53,Параметры!AD$59)+MAX(SUM($G702:AD702)-SUM($G701:AD701),0)))*IF($B685=0,1+AD688,1)</f>
        <v>0</v>
      </c>
      <c r="AE697" s="185">
        <f>IF(SUM($G689:AE689)&gt;0.01,0,MAX(SUM($G682:AE682)-SUM($G680:AE680)-$B681,0)*CHOOSE($D680,1,Параметры!AE$53,Параметры!AE$59)+IF($B685=0,0,MAX(SUM($G682:AE682)*$B687-SUM($G687:AE687),0)*CHOOSE($D680,1,Параметры!AE$53,Параметры!AE$59)+MAX(SUM($G702:AE702)-SUM($G701:AE701),0)))*IF($B685=0,1+AE688,1)</f>
        <v>0</v>
      </c>
      <c r="AF697" s="185">
        <f>IF(SUM($G689:AF689)&gt;0.01,0,MAX(SUM($G682:AF682)-SUM($G680:AF680)-$B681,0)*CHOOSE($D680,1,Параметры!AF$53,Параметры!AF$59)+IF($B685=0,0,MAX(SUM($G682:AF682)*$B687-SUM($G687:AF687),0)*CHOOSE($D680,1,Параметры!AF$53,Параметры!AF$59)+MAX(SUM($G702:AF702)-SUM($G701:AF701),0)))*IF($B685=0,1+AF688,1)</f>
        <v>0</v>
      </c>
      <c r="AG697" s="185">
        <f>IF(SUM($G689:AG689)&gt;0.01,0,MAX(SUM($G682:AG682)-SUM($G680:AG680)-$B681,0)*CHOOSE($D680,1,Параметры!AG$53,Параметры!AG$59)+IF($B685=0,0,MAX(SUM($G682:AG682)*$B687-SUM($G687:AG687),0)*CHOOSE($D680,1,Параметры!AG$53,Параметры!AG$59)+MAX(SUM($G702:AG702)-SUM($G701:AG701),0)))*IF($B685=0,1+AG688,1)</f>
        <v>0</v>
      </c>
      <c r="AH697" s="185">
        <f>IF(SUM($G689:AH689)&gt;0.01,0,MAX(SUM($G682:AH682)-SUM($G680:AH680)-$B681,0)*CHOOSE($D680,1,Параметры!AH$53,Параметры!AH$59)+IF($B685=0,0,MAX(SUM($G682:AH682)*$B687-SUM($G687:AH687),0)*CHOOSE($D680,1,Параметры!AH$53,Параметры!AH$59)+MAX(SUM($G702:AH702)-SUM($G701:AH701),0)))*IF($B685=0,1+AH688,1)</f>
        <v>0</v>
      </c>
      <c r="AI697" s="185">
        <f>IF(SUM($G689:AI689)&gt;0.01,0,MAX(SUM($G682:AI682)-SUM($G680:AI680)-$B681,0)*CHOOSE($D680,1,Параметры!AI$53,Параметры!AI$59)+IF($B685=0,0,MAX(SUM($G682:AI682)*$B687-SUM($G687:AI687),0)*CHOOSE($D680,1,Параметры!AI$53,Параметры!AI$59)+MAX(SUM($G702:AI702)-SUM($G701:AI701),0)))*IF($B685=0,1+AI688,1)</f>
        <v>0</v>
      </c>
      <c r="AJ697" s="185">
        <f>IF(SUM($G689:AJ689)&gt;0.01,0,MAX(SUM($G682:AJ682)-SUM($G680:AJ680)-$B681,0)*CHOOSE($D680,1,Параметры!AJ$53,Параметры!AJ$59)+IF($B685=0,0,MAX(SUM($G682:AJ682)*$B687-SUM($G687:AJ687),0)*CHOOSE($D680,1,Параметры!AJ$53,Параметры!AJ$59)+MAX(SUM($G702:AJ702)-SUM($G701:AJ701),0)))*IF($B685=0,1+AJ688,1)</f>
        <v>0</v>
      </c>
      <c r="AK697" s="185">
        <f>IF(SUM($G689:AK689)&gt;0.01,0,MAX(SUM($G682:AK682)-SUM($G680:AK680)-$B681,0)*CHOOSE($D680,1,Параметры!AK$53,Параметры!AK$59)+IF($B685=0,0,MAX(SUM($G682:AK682)*$B687-SUM($G687:AK687),0)*CHOOSE($D680,1,Параметры!AK$53,Параметры!AK$59)+MAX(SUM($G702:AK702)-SUM($G701:AK701),0)))*IF($B685=0,1+AK688,1)</f>
        <v>0</v>
      </c>
      <c r="AL697" s="185">
        <f>IF(SUM($G689:AL689)&gt;0.01,0,MAX(SUM($G682:AL682)-SUM($G680:AL680)-$B681,0)*CHOOSE($D680,1,Параметры!AL$53,Параметры!AL$59)+IF($B685=0,0,MAX(SUM($G682:AL682)*$B687-SUM($G687:AL687),0)*CHOOSE($D680,1,Параметры!AL$53,Параметры!AL$59)+MAX(SUM($G702:AL702)-SUM($G701:AL701),0)))*IF($B685=0,1+AL688,1)</f>
        <v>0</v>
      </c>
      <c r="AM697" s="185">
        <f>IF(SUM($G689:AM689)&gt;0.01,0,MAX(SUM($G682:AM682)-SUM($G680:AM680)-$B681,0)*CHOOSE($D680,1,Параметры!AM$53,Параметры!AM$59)+IF($B685=0,0,MAX(SUM($G682:AM682)*$B687-SUM($G687:AM687),0)*CHOOSE($D680,1,Параметры!AM$53,Параметры!AM$59)+MAX(SUM($G702:AM702)-SUM($G701:AM701),0)))*IF($B685=0,1+AM688,1)</f>
        <v>0</v>
      </c>
      <c r="AN697" s="185">
        <f>IF(SUM($G689:AN689)&gt;0.01,0,MAX(SUM($G682:AN682)-SUM($G680:AN680)-$B681,0)*CHOOSE($D680,1,Параметры!AN$53,Параметры!AN$59)+IF($B685=0,0,MAX(SUM($G682:AN682)*$B687-SUM($G687:AN687),0)*CHOOSE($D680,1,Параметры!AN$53,Параметры!AN$59)+MAX(SUM($G702:AN702)-SUM($G701:AN701),0)))*IF($B685=0,1+AN688,1)</f>
        <v>0</v>
      </c>
      <c r="AO697" s="185">
        <f>IF(SUM($G689:AO689)&gt;0.01,0,MAX(SUM($G682:AO682)-SUM($G680:AO680)-$B681,0)*CHOOSE($D680,1,Параметры!AO$53,Параметры!AO$59)+IF($B685=0,0,MAX(SUM($G682:AO682)*$B687-SUM($G687:AO687),0)*CHOOSE($D680,1,Параметры!AO$53,Параметры!AO$59)+MAX(SUM($G702:AO702)-SUM($G701:AO701),0)))*IF($B685=0,1+AO688,1)</f>
        <v>0</v>
      </c>
      <c r="AP697" s="185">
        <f>IF(SUM($G689:AP689)&gt;0.01,0,MAX(SUM($G682:AP682)-SUM($G680:AP680)-$B681,0)*CHOOSE($D680,1,Параметры!AP$53,Параметры!AP$59)+IF($B685=0,0,MAX(SUM($G682:AP682)*$B687-SUM($G687:AP687),0)*CHOOSE($D680,1,Параметры!AP$53,Параметры!AP$59)+MAX(SUM($G702:AP702)-SUM($G701:AP701),0)))*IF($B685=0,1+AP688,1)</f>
        <v>0</v>
      </c>
      <c r="AQ697" s="185">
        <f>IF(SUM($G689:AQ689)&gt;0.01,0,MAX(SUM($G682:AQ682)-SUM($G680:AQ680)-$B681,0)*CHOOSE($D680,1,Параметры!AQ$53,Параметры!AQ$59)+IF($B685=0,0,MAX(SUM($G682:AQ682)*$B687-SUM($G687:AQ687),0)*CHOOSE($D680,1,Параметры!AQ$53,Параметры!AQ$59)+MAX(SUM($G702:AQ702)-SUM($G701:AQ701),0)))*IF($B685=0,1+AQ688,1)</f>
        <v>0</v>
      </c>
      <c r="AR697" s="185">
        <f>IF(SUM($G689:AR689)&gt;0.01,0,MAX(SUM($G682:AR682)-SUM($G680:AR680)-$B681,0)*CHOOSE($D680,1,Параметры!AR$53,Параметры!AR$59)+IF($B685=0,0,MAX(SUM($G682:AR682)*$B687-SUM($G687:AR687),0)*CHOOSE($D680,1,Параметры!AR$53,Параметры!AR$59)+MAX(SUM($G702:AR702)-SUM($G701:AR701),0)))*IF($B685=0,1+AR688,1)</f>
        <v>0</v>
      </c>
      <c r="AS697" s="185">
        <f>IF(SUM($G689:AS689)&gt;0.01,0,MAX(SUM($G682:AS682)-SUM($G680:AS680)-$B681,0)*CHOOSE($D680,1,Параметры!AS$53,Параметры!AS$59)+IF($B685=0,0,MAX(SUM($G682:AS682)*$B687-SUM($G687:AS687),0)*CHOOSE($D680,1,Параметры!AS$53,Параметры!AS$59)+MAX(SUM($G702:AS702)-SUM($G701:AS701),0)))*IF($B685=0,1+AS688,1)</f>
        <v>0</v>
      </c>
      <c r="AT697" s="185">
        <f>IF(SUM($G689:AT689)&gt;0.01,0,MAX(SUM($G682:AT682)-SUM($G680:AT680)-$B681,0)*CHOOSE($D680,1,Параметры!AT$53,Параметры!AT$59)+IF($B685=0,0,MAX(SUM($G682:AT682)*$B687-SUM($G687:AT687),0)*CHOOSE($D680,1,Параметры!AT$53,Параметры!AT$59)+MAX(SUM($G702:AT702)-SUM($G701:AT701),0)))*IF($B685=0,1+AT688,1)</f>
        <v>0</v>
      </c>
      <c r="AU697" s="185">
        <f>IF(SUM($G689:AU689)&gt;0.01,0,MAX(SUM($G682:AU682)-SUM($G680:AU680)-$B681,0)*CHOOSE($D680,1,Параметры!AU$53,Параметры!AU$59)+IF($B685=0,0,MAX(SUM($G682:AU682)*$B687-SUM($G687:AU687),0)*CHOOSE($D680,1,Параметры!AU$53,Параметры!AU$59)+MAX(SUM($G702:AU702)-SUM($G701:AU701),0)))*IF($B685=0,1+AU688,1)</f>
        <v>0</v>
      </c>
      <c r="AV697" s="185">
        <f>IF(SUM($G689:AV689)&gt;0.01,0,MAX(SUM($G682:AV682)-SUM($G680:AV680)-$B681,0)*CHOOSE($D680,1,Параметры!AV$53,Параметры!AV$59)+IF($B685=0,0,MAX(SUM($G682:AV682)*$B687-SUM($G687:AV687),0)*CHOOSE($D680,1,Параметры!AV$53,Параметры!AV$59)+MAX(SUM($G702:AV702)-SUM($G701:AV701),0)))*IF($B685=0,1+AV688,1)</f>
        <v>0</v>
      </c>
      <c r="AW697" s="185">
        <f>IF(SUM($G689:AW689)&gt;0.01,0,MAX(SUM($G682:AW682)-SUM($G680:AW680)-$B681,0)*CHOOSE($D680,1,Параметры!AW$53,Параметры!AW$59)+IF($B685=0,0,MAX(SUM($G682:AW682)*$B687-SUM($G687:AW687),0)*CHOOSE($D680,1,Параметры!AW$53,Параметры!AW$59)+MAX(SUM($G702:AW702)-SUM($G701:AW701),0)))*IF($B685=0,1+AW688,1)</f>
        <v>0</v>
      </c>
      <c r="AX697" s="185">
        <f>IF(SUM($G689:AX689)&gt;0.01,0,MAX(SUM($G682:AX682)-SUM($G680:AX680)-$B681,0)*CHOOSE($D680,1,Параметры!AX$53,Параметры!AX$59)+IF($B685=0,0,MAX(SUM($G682:AX682)*$B687-SUM($G687:AX687),0)*CHOOSE($D680,1,Параметры!AX$53,Параметры!AX$59)+MAX(SUM($G702:AX702)-SUM($G701:AX701),0)))*IF($B685=0,1+AX688,1)</f>
        <v>0</v>
      </c>
      <c r="AY697" s="185">
        <f>IF(SUM($G689:AY689)&gt;0.01,0,MAX(SUM($G682:AY682)-SUM($G680:AY680)-$B681,0)*CHOOSE($D680,1,Параметры!AY$53,Параметры!AY$59)+IF($B685=0,0,MAX(SUM($G682:AY682)*$B687-SUM($G687:AY687),0)*CHOOSE($D680,1,Параметры!AY$53,Параметры!AY$59)+MAX(SUM($G702:AY702)-SUM($G701:AY701),0)))*IF($B685=0,1+AY688,1)</f>
        <v>0</v>
      </c>
      <c r="AZ697" s="185">
        <f>IF(SUM($G689:AZ689)&gt;0.01,0,MAX(SUM($G682:AZ682)-SUM($G680:AZ680)-$B681,0)*CHOOSE($D680,1,Параметры!AZ$53,Параметры!AZ$59)+IF($B685=0,0,MAX(SUM($G682:AZ682)*$B687-SUM($G687:AZ687),0)*CHOOSE($D680,1,Параметры!AZ$53,Параметры!AZ$59)+MAX(SUM($G702:AZ702)-SUM($G701:AZ701),0)))*IF($B685=0,1+AZ688,1)</f>
        <v>0</v>
      </c>
      <c r="BA697" s="185">
        <f>IF(SUM($G689:BA689)&gt;0.01,0,MAX(SUM($G682:BA682)-SUM($G680:BA680)-$B681,0)*CHOOSE($D680,1,Параметры!BA$53,Параметры!BA$59)+IF($B685=0,0,MAX(SUM($G682:BA682)*$B687-SUM($G687:BA687),0)*CHOOSE($D680,1,Параметры!BA$53,Параметры!BA$59)+MAX(SUM($G702:BA702)-SUM($G701:BA701),0)))*IF($B685=0,1+BA688,1)</f>
        <v>0</v>
      </c>
      <c r="BB697" s="185">
        <f>IF(SUM($G689:BB689)&gt;0.01,0,MAX(SUM($G682:BB682)-SUM($G680:BB680)-$B681,0)*CHOOSE($D680,1,Параметры!BB$53,Параметры!BB$59)+IF($B685=0,0,MAX(SUM($G682:BB682)*$B687-SUM($G687:BB687),0)*CHOOSE($D680,1,Параметры!BB$53,Параметры!BB$59)+MAX(SUM($G702:BB702)-SUM($G701:BB701),0)))*IF($B685=0,1+BB688,1)</f>
        <v>0</v>
      </c>
      <c r="BC697" s="185"/>
      <c r="BD697" s="186"/>
    </row>
    <row r="698" spans="1:56" ht="14.4" hidden="1" thickTop="1" x14ac:dyDescent="0.3">
      <c r="A698" s="184" t="str">
        <f ca="1">Language!A$1511</f>
        <v>НДС к кредиторской задолженности</v>
      </c>
      <c r="B698" s="170"/>
      <c r="C698" s="163" t="str">
        <f t="shared" ca="1" si="2822"/>
        <v>руб.</v>
      </c>
      <c r="D698" s="174">
        <v>1</v>
      </c>
      <c r="E698" s="170" t="s">
        <v>2294</v>
      </c>
      <c r="F698" s="170" t="s">
        <v>747</v>
      </c>
      <c r="G698" s="185">
        <f>MAX(SUM($G702:G702)-SUM($G701:G701)-IF($B685=0,SUM($G693:G693),0),0)</f>
        <v>0</v>
      </c>
      <c r="H698" s="185">
        <f>MAX(SUM($G702:H702)-SUM($G701:H701)-IF($B685=0,SUM($G693:H693),0),0)</f>
        <v>0</v>
      </c>
      <c r="I698" s="185">
        <f>MAX(SUM($G702:I702)-SUM($G701:I701)-IF($B685=0,SUM($G693:I693),0),0)</f>
        <v>0</v>
      </c>
      <c r="J698" s="185">
        <f>MAX(SUM($G702:J702)-SUM($G701:J701)-IF($B685=0,SUM($G693:J693),0),0)</f>
        <v>0</v>
      </c>
      <c r="K698" s="185">
        <f>MAX(SUM($G702:K702)-SUM($G701:K701)-IF($B685=0,SUM($G693:K693),0),0)</f>
        <v>0</v>
      </c>
      <c r="L698" s="185">
        <f>MAX(SUM($G702:L702)-SUM($G701:L701)-IF($B685=0,SUM($G693:L693),0),0)</f>
        <v>0</v>
      </c>
      <c r="M698" s="185">
        <f>MAX(SUM($G702:M702)-SUM($G701:M701)-IF($B685=0,SUM($G693:M693),0),0)</f>
        <v>0</v>
      </c>
      <c r="N698" s="185">
        <f>MAX(SUM($G702:N702)-SUM($G701:N701)-IF($B685=0,SUM($G693:N693),0),0)</f>
        <v>0</v>
      </c>
      <c r="O698" s="185">
        <f>MAX(SUM($G702:O702)-SUM($G701:O701)-IF($B685=0,SUM($G693:O693),0),0)</f>
        <v>0</v>
      </c>
      <c r="P698" s="185">
        <f>MAX(SUM($G702:P702)-SUM($G701:P701)-IF($B685=0,SUM($G693:P693),0),0)</f>
        <v>0</v>
      </c>
      <c r="Q698" s="185">
        <f>MAX(SUM($G702:Q702)-SUM($G701:Q701)-IF($B685=0,SUM($G693:Q693),0),0)</f>
        <v>0</v>
      </c>
      <c r="R698" s="185">
        <f>MAX(SUM($G702:R702)-SUM($G701:R701)-IF($B685=0,SUM($G693:R693),0),0)</f>
        <v>0</v>
      </c>
      <c r="S698" s="185">
        <f>MAX(SUM($G702:S702)-SUM($G701:S701)-IF($B685=0,SUM($G693:S693),0),0)</f>
        <v>0</v>
      </c>
      <c r="T698" s="185">
        <f>MAX(SUM($G702:T702)-SUM($G701:T701)-IF($B685=0,SUM($G693:T693),0),0)</f>
        <v>0</v>
      </c>
      <c r="U698" s="185">
        <f>MAX(SUM($G702:U702)-SUM($G701:U701)-IF($B685=0,SUM($G693:U693),0),0)</f>
        <v>0</v>
      </c>
      <c r="V698" s="185">
        <f>MAX(SUM($G702:V702)-SUM($G701:V701)-IF($B685=0,SUM($G693:V693),0),0)</f>
        <v>0</v>
      </c>
      <c r="W698" s="185">
        <f>MAX(SUM($G702:W702)-SUM($G701:W701)-IF($B685=0,SUM($G693:W693),0),0)</f>
        <v>0</v>
      </c>
      <c r="X698" s="185">
        <f>MAX(SUM($G702:X702)-SUM($G701:X701)-IF($B685=0,SUM($G693:X693),0),0)</f>
        <v>0</v>
      </c>
      <c r="Y698" s="185">
        <f>MAX(SUM($G702:Y702)-SUM($G701:Y701)-IF($B685=0,SUM($G693:Y693),0),0)</f>
        <v>0</v>
      </c>
      <c r="Z698" s="185">
        <f>MAX(SUM($G702:Z702)-SUM($G701:Z701)-IF($B685=0,SUM($G693:Z693),0),0)</f>
        <v>0</v>
      </c>
      <c r="AA698" s="185">
        <f>MAX(SUM($G702:AA702)-SUM($G701:AA701)-IF($B685=0,SUM($G693:AA693),0),0)</f>
        <v>0</v>
      </c>
      <c r="AB698" s="185">
        <f>MAX(SUM($G702:AB702)-SUM($G701:AB701)-IF($B685=0,SUM($G693:AB693),0),0)</f>
        <v>0</v>
      </c>
      <c r="AC698" s="185">
        <f>MAX(SUM($G702:AC702)-SUM($G701:AC701)-IF($B685=0,SUM($G693:AC693),0),0)</f>
        <v>0</v>
      </c>
      <c r="AD698" s="185">
        <f>MAX(SUM($G702:AD702)-SUM($G701:AD701)-IF($B685=0,SUM($G693:AD693),0),0)</f>
        <v>0</v>
      </c>
      <c r="AE698" s="185">
        <f>MAX(SUM($G702:AE702)-SUM($G701:AE701)-IF($B685=0,SUM($G693:AE693),0),0)</f>
        <v>0</v>
      </c>
      <c r="AF698" s="185">
        <f>MAX(SUM($G702:AF702)-SUM($G701:AF701)-IF($B685=0,SUM($G693:AF693),0),0)</f>
        <v>0</v>
      </c>
      <c r="AG698" s="185">
        <f>MAX(SUM($G702:AG702)-SUM($G701:AG701)-IF($B685=0,SUM($G693:AG693),0),0)</f>
        <v>0</v>
      </c>
      <c r="AH698" s="185">
        <f>MAX(SUM($G702:AH702)-SUM($G701:AH701)-IF($B685=0,SUM($G693:AH693),0),0)</f>
        <v>0</v>
      </c>
      <c r="AI698" s="185">
        <f>MAX(SUM($G702:AI702)-SUM($G701:AI701)-IF($B685=0,SUM($G693:AI693),0),0)</f>
        <v>0</v>
      </c>
      <c r="AJ698" s="185">
        <f>MAX(SUM($G702:AJ702)-SUM($G701:AJ701)-IF($B685=0,SUM($G693:AJ693),0),0)</f>
        <v>0</v>
      </c>
      <c r="AK698" s="185">
        <f>MAX(SUM($G702:AK702)-SUM($G701:AK701)-IF($B685=0,SUM($G693:AK693),0),0)</f>
        <v>0</v>
      </c>
      <c r="AL698" s="185">
        <f>MAX(SUM($G702:AL702)-SUM($G701:AL701)-IF($B685=0,SUM($G693:AL693),0),0)</f>
        <v>0</v>
      </c>
      <c r="AM698" s="185">
        <f>MAX(SUM($G702:AM702)-SUM($G701:AM701)-IF($B685=0,SUM($G693:AM693),0),0)</f>
        <v>0</v>
      </c>
      <c r="AN698" s="185">
        <f>MAX(SUM($G702:AN702)-SUM($G701:AN701)-IF($B685=0,SUM($G693:AN693),0),0)</f>
        <v>0</v>
      </c>
      <c r="AO698" s="185">
        <f>MAX(SUM($G702:AO702)-SUM($G701:AO701)-IF($B685=0,SUM($G693:AO693),0),0)</f>
        <v>0</v>
      </c>
      <c r="AP698" s="185">
        <f>MAX(SUM($G702:AP702)-SUM($G701:AP701)-IF($B685=0,SUM($G693:AP693),0),0)</f>
        <v>0</v>
      </c>
      <c r="AQ698" s="185">
        <f>MAX(SUM($G702:AQ702)-SUM($G701:AQ701)-IF($B685=0,SUM($G693:AQ693),0),0)</f>
        <v>0</v>
      </c>
      <c r="AR698" s="185">
        <f>MAX(SUM($G702:AR702)-SUM($G701:AR701)-IF($B685=0,SUM($G693:AR693),0),0)</f>
        <v>0</v>
      </c>
      <c r="AS698" s="185">
        <f>MAX(SUM($G702:AS702)-SUM($G701:AS701)-IF($B685=0,SUM($G693:AS693),0),0)</f>
        <v>0</v>
      </c>
      <c r="AT698" s="185">
        <f>MAX(SUM($G702:AT702)-SUM($G701:AT701)-IF($B685=0,SUM($G693:AT693),0),0)</f>
        <v>0</v>
      </c>
      <c r="AU698" s="185">
        <f>MAX(SUM($G702:AU702)-SUM($G701:AU701)-IF($B685=0,SUM($G693:AU693),0),0)</f>
        <v>0</v>
      </c>
      <c r="AV698" s="185">
        <f>MAX(SUM($G702:AV702)-SUM($G701:AV701)-IF($B685=0,SUM($G693:AV693),0),0)</f>
        <v>0</v>
      </c>
      <c r="AW698" s="185">
        <f>MAX(SUM($G702:AW702)-SUM($G701:AW701)-IF($B685=0,SUM($G693:AW693),0),0)</f>
        <v>0</v>
      </c>
      <c r="AX698" s="185">
        <f>MAX(SUM($G702:AX702)-SUM($G701:AX701)-IF($B685=0,SUM($G693:AX693),0),0)</f>
        <v>0</v>
      </c>
      <c r="AY698" s="185">
        <f>MAX(SUM($G702:AY702)-SUM($G701:AY701)-IF($B685=0,SUM($G693:AY693),0),0)</f>
        <v>0</v>
      </c>
      <c r="AZ698" s="185">
        <f>MAX(SUM($G702:AZ702)-SUM($G701:AZ701)-IF($B685=0,SUM($G693:AZ693),0),0)</f>
        <v>0</v>
      </c>
      <c r="BA698" s="185">
        <f>MAX(SUM($G702:BA702)-SUM($G701:BA701)-IF($B685=0,SUM($G693:BA693),0),0)</f>
        <v>0</v>
      </c>
      <c r="BB698" s="185">
        <f>MAX(SUM($G702:BB702)-SUM($G701:BB701)-IF($B685=0,SUM($G693:BB693),0),0)</f>
        <v>0</v>
      </c>
      <c r="BC698" s="185"/>
      <c r="BD698" s="186"/>
    </row>
    <row r="699" spans="1:56" ht="14.4" hidden="1" thickTop="1" x14ac:dyDescent="0.3">
      <c r="A699" s="184" t="str">
        <f ca="1">Language!A$915</f>
        <v>амортизация (бухгалтерская)</v>
      </c>
      <c r="B699" s="216"/>
      <c r="C699" s="163" t="str">
        <f t="shared" ca="1" si="2822"/>
        <v>руб.</v>
      </c>
      <c r="D699" s="174">
        <v>1</v>
      </c>
      <c r="E699" s="170" t="s">
        <v>756</v>
      </c>
      <c r="F699" s="170" t="s">
        <v>743</v>
      </c>
      <c r="G699" s="185">
        <f ca="1">IF(SUM($G689:G689)&gt;0.01,0,IF($B683=0,0,MIN((SUM($G694:G694)-IF(G$2&gt;$B683*12/Prj_Step,SUM($G694:OFFSET(G694,0,-$B683*12/Prj_Step)),0))*IF($B685=0,1,(1+$B687))/$B683/12*Параметры!G$31,IF(G$2=1,G694,F700+SUM($F694:G694)*IF($B685=0,1,(1+$B687))-SUM($F694:F694)*IF($B685=0,1,(1+$B687))))))</f>
        <v>0</v>
      </c>
      <c r="H699" s="185">
        <f ca="1">IF(SUM($G689:H689)&gt;0.01,0,IF($B683=0,0,MIN((SUM($G694:H694)-IF(H$2&gt;$B683*12/Prj_Step,SUM($G694:OFFSET(H694,0,-$B683*12/Prj_Step)),0))*IF($B685=0,1,(1+$B687))/$B683/12*Параметры!H$31,IF(H$2=1,H694,G700+SUM($F694:H694)*IF($B685=0,1,(1+$B687))-SUM($F694:G694)*IF($B685=0,1,(1+$B687))))))</f>
        <v>0</v>
      </c>
      <c r="I699" s="185">
        <f ca="1">IF(SUM($G689:I689)&gt;0.01,0,IF($B683=0,0,MIN((SUM($G694:I694)-IF(I$2&gt;$B683*12/Prj_Step,SUM($G694:OFFSET(I694,0,-$B683*12/Prj_Step)),0))*IF($B685=0,1,(1+$B687))/$B683/12*Параметры!I$31,IF(I$2=1,I694,H700+SUM($F694:I694)*IF($B685=0,1,(1+$B687))-SUM($F694:H694)*IF($B685=0,1,(1+$B687))))))</f>
        <v>0</v>
      </c>
      <c r="J699" s="185">
        <f ca="1">IF(SUM($G689:J689)&gt;0.01,0,IF($B683=0,0,MIN((SUM($G694:J694)-IF(J$2&gt;$B683*12/Prj_Step,SUM($G694:OFFSET(J694,0,-$B683*12/Prj_Step)),0))*IF($B685=0,1,(1+$B687))/$B683/12*Параметры!J$31,IF(J$2=1,J694,I700+SUM($F694:J694)*IF($B685=0,1,(1+$B687))-SUM($F694:I694)*IF($B685=0,1,(1+$B687))))))</f>
        <v>0</v>
      </c>
      <c r="K699" s="185">
        <f ca="1">IF(SUM($G689:K689)&gt;0.01,0,IF($B683=0,0,MIN((SUM($G694:K694)-IF(K$2&gt;$B683*12/Prj_Step,SUM($G694:OFFSET(K694,0,-$B683*12/Prj_Step)),0))*IF($B685=0,1,(1+$B687))/$B683/12*Параметры!K$31,IF(K$2=1,K694,J700+SUM($F694:K694)*IF($B685=0,1,(1+$B687))-SUM($F694:J694)*IF($B685=0,1,(1+$B687))))))</f>
        <v>0</v>
      </c>
      <c r="L699" s="185">
        <f ca="1">IF(SUM($G689:L689)&gt;0.01,0,IF($B683=0,0,MIN((SUM($G694:L694)-IF(L$2&gt;$B683*12/Prj_Step,SUM($G694:OFFSET(L694,0,-$B683*12/Prj_Step)),0))*IF($B685=0,1,(1+$B687))/$B683/12*Параметры!L$31,IF(L$2=1,L694,K700+SUM($F694:L694)*IF($B685=0,1,(1+$B687))-SUM($F694:K694)*IF($B685=0,1,(1+$B687))))))</f>
        <v>0</v>
      </c>
      <c r="M699" s="185">
        <f ca="1">IF(SUM($G689:M689)&gt;0.01,0,IF($B683=0,0,MIN((SUM($G694:M694)-IF(M$2&gt;$B683*12/Prj_Step,SUM($G694:OFFSET(M694,0,-$B683*12/Prj_Step)),0))*IF($B685=0,1,(1+$B687))/$B683/12*Параметры!M$31,IF(M$2=1,M694,L700+SUM($F694:M694)*IF($B685=0,1,(1+$B687))-SUM($F694:L694)*IF($B685=0,1,(1+$B687))))))</f>
        <v>0</v>
      </c>
      <c r="N699" s="185">
        <f ca="1">IF(SUM($G689:N689)&gt;0.01,0,IF($B683=0,0,MIN((SUM($G694:N694)-IF(N$2&gt;$B683*12/Prj_Step,SUM($G694:OFFSET(N694,0,-$B683*12/Prj_Step)),0))*IF($B685=0,1,(1+$B687))/$B683/12*Параметры!N$31,IF(N$2=1,N694,M700+SUM($F694:N694)*IF($B685=0,1,(1+$B687))-SUM($F694:M694)*IF($B685=0,1,(1+$B687))))))</f>
        <v>0</v>
      </c>
      <c r="O699" s="185">
        <f ca="1">IF(SUM($G689:O689)&gt;0.01,0,IF($B683=0,0,MIN((SUM($G694:O694)-IF(O$2&gt;$B683*12/Prj_Step,SUM($G694:OFFSET(O694,0,-$B683*12/Prj_Step)),0))*IF($B685=0,1,(1+$B687))/$B683/12*Параметры!O$31,IF(O$2=1,O694,N700+SUM($F694:O694)*IF($B685=0,1,(1+$B687))-SUM($F694:N694)*IF($B685=0,1,(1+$B687))))))</f>
        <v>0</v>
      </c>
      <c r="P699" s="185">
        <f ca="1">IF(SUM($G689:P689)&gt;0.01,0,IF($B683=0,0,MIN((SUM($G694:P694)-IF(P$2&gt;$B683*12/Prj_Step,SUM($G694:OFFSET(P694,0,-$B683*12/Prj_Step)),0))*IF($B685=0,1,(1+$B687))/$B683/12*Параметры!P$31,IF(P$2=1,P694,O700+SUM($F694:P694)*IF($B685=0,1,(1+$B687))-SUM($F694:O694)*IF($B685=0,1,(1+$B687))))))</f>
        <v>0</v>
      </c>
      <c r="Q699" s="185">
        <f ca="1">IF(SUM($G689:Q689)&gt;0.01,0,IF($B683=0,0,MIN((SUM($G694:Q694)-IF(Q$2&gt;$B683*12/Prj_Step,SUM($G694:OFFSET(Q694,0,-$B683*12/Prj_Step)),0))*IF($B685=0,1,(1+$B687))/$B683/12*Параметры!Q$31,IF(Q$2=1,Q694,P700+SUM($F694:Q694)*IF($B685=0,1,(1+$B687))-SUM($F694:P694)*IF($B685=0,1,(1+$B687))))))</f>
        <v>0</v>
      </c>
      <c r="R699" s="185">
        <f ca="1">IF(SUM($G689:R689)&gt;0.01,0,IF($B683=0,0,MIN((SUM($G694:R694)-IF(R$2&gt;$B683*12/Prj_Step,SUM($G694:OFFSET(R694,0,-$B683*12/Prj_Step)),0))*IF($B685=0,1,(1+$B687))/$B683/12*Параметры!R$31,IF(R$2=1,R694,Q700+SUM($F694:R694)*IF($B685=0,1,(1+$B687))-SUM($F694:Q694)*IF($B685=0,1,(1+$B687))))))</f>
        <v>0</v>
      </c>
      <c r="S699" s="185">
        <f ca="1">IF(SUM($G689:S689)&gt;0.01,0,IF($B683=0,0,MIN((SUM($G694:S694)-IF(S$2&gt;$B683*12/Prj_Step,SUM($G694:OFFSET(S694,0,-$B683*12/Prj_Step)),0))*IF($B685=0,1,(1+$B687))/$B683/12*Параметры!S$31,IF(S$2=1,S694,R700+SUM($F694:S694)*IF($B685=0,1,(1+$B687))-SUM($F694:R694)*IF($B685=0,1,(1+$B687))))))</f>
        <v>0</v>
      </c>
      <c r="T699" s="185">
        <f ca="1">IF(SUM($G689:T689)&gt;0.01,0,IF($B683=0,0,MIN((SUM($G694:T694)-IF(T$2&gt;$B683*12/Prj_Step,SUM($G694:OFFSET(T694,0,-$B683*12/Prj_Step)),0))*IF($B685=0,1,(1+$B687))/$B683/12*Параметры!T$31,IF(T$2=1,T694,S700+SUM($F694:T694)*IF($B685=0,1,(1+$B687))-SUM($F694:S694)*IF($B685=0,1,(1+$B687))))))</f>
        <v>0</v>
      </c>
      <c r="U699" s="185">
        <f ca="1">IF(SUM($G689:U689)&gt;0.01,0,IF($B683=0,0,MIN((SUM($G694:U694)-IF(U$2&gt;$B683*12/Prj_Step,SUM($G694:OFFSET(U694,0,-$B683*12/Prj_Step)),0))*IF($B685=0,1,(1+$B687))/$B683/12*Параметры!U$31,IF(U$2=1,U694,T700+SUM($F694:U694)*IF($B685=0,1,(1+$B687))-SUM($F694:T694)*IF($B685=0,1,(1+$B687))))))</f>
        <v>0</v>
      </c>
      <c r="V699" s="185">
        <f ca="1">IF(SUM($G689:V689)&gt;0.01,0,IF($B683=0,0,MIN((SUM($G694:V694)-IF(V$2&gt;$B683*12/Prj_Step,SUM($G694:OFFSET(V694,0,-$B683*12/Prj_Step)),0))*IF($B685=0,1,(1+$B687))/$B683/12*Параметры!V$31,IF(V$2=1,V694,U700+SUM($F694:V694)*IF($B685=0,1,(1+$B687))-SUM($F694:U694)*IF($B685=0,1,(1+$B687))))))</f>
        <v>0</v>
      </c>
      <c r="W699" s="185">
        <f ca="1">IF(SUM($G689:W689)&gt;0.01,0,IF($B683=0,0,MIN((SUM($G694:W694)-IF(W$2&gt;$B683*12/Prj_Step,SUM($G694:OFFSET(W694,0,-$B683*12/Prj_Step)),0))*IF($B685=0,1,(1+$B687))/$B683/12*Параметры!W$31,IF(W$2=1,W694,V700+SUM($F694:W694)*IF($B685=0,1,(1+$B687))-SUM($F694:V694)*IF($B685=0,1,(1+$B687))))))</f>
        <v>0</v>
      </c>
      <c r="X699" s="185">
        <f ca="1">IF(SUM($G689:X689)&gt;0.01,0,IF($B683=0,0,MIN((SUM($G694:X694)-IF(X$2&gt;$B683*12/Prj_Step,SUM($G694:OFFSET(X694,0,-$B683*12/Prj_Step)),0))*IF($B685=0,1,(1+$B687))/$B683/12*Параметры!X$31,IF(X$2=1,X694,W700+SUM($F694:X694)*IF($B685=0,1,(1+$B687))-SUM($F694:W694)*IF($B685=0,1,(1+$B687))))))</f>
        <v>0</v>
      </c>
      <c r="Y699" s="185">
        <f ca="1">IF(SUM($G689:Y689)&gt;0.01,0,IF($B683=0,0,MIN((SUM($G694:Y694)-IF(Y$2&gt;$B683*12/Prj_Step,SUM($G694:OFFSET(Y694,0,-$B683*12/Prj_Step)),0))*IF($B685=0,1,(1+$B687))/$B683/12*Параметры!Y$31,IF(Y$2=1,Y694,X700+SUM($F694:Y694)*IF($B685=0,1,(1+$B687))-SUM($F694:X694)*IF($B685=0,1,(1+$B687))))))</f>
        <v>0</v>
      </c>
      <c r="Z699" s="185">
        <f ca="1">IF(SUM($G689:Z689)&gt;0.01,0,IF($B683=0,0,MIN((SUM($G694:Z694)-IF(Z$2&gt;$B683*12/Prj_Step,SUM($G694:OFFSET(Z694,0,-$B683*12/Prj_Step)),0))*IF($B685=0,1,(1+$B687))/$B683/12*Параметры!Z$31,IF(Z$2=1,Z694,Y700+SUM($F694:Z694)*IF($B685=0,1,(1+$B687))-SUM($F694:Y694)*IF($B685=0,1,(1+$B687))))))</f>
        <v>0</v>
      </c>
      <c r="AA699" s="185">
        <f ca="1">IF(SUM($G689:AA689)&gt;0.01,0,IF($B683=0,0,MIN((SUM($G694:AA694)-IF(AA$2&gt;$B683*12/Prj_Step,SUM($G694:OFFSET(AA694,0,-$B683*12/Prj_Step)),0))*IF($B685=0,1,(1+$B687))/$B683/12*Параметры!AA$31,IF(AA$2=1,AA694,Z700+SUM($F694:AA694)*IF($B685=0,1,(1+$B687))-SUM($F694:Z694)*IF($B685=0,1,(1+$B687))))))</f>
        <v>0</v>
      </c>
      <c r="AB699" s="185">
        <f ca="1">IF(SUM($G689:AB689)&gt;0.01,0,IF($B683=0,0,MIN((SUM($G694:AB694)-IF(AB$2&gt;$B683*12/Prj_Step,SUM($G694:OFFSET(AB694,0,-$B683*12/Prj_Step)),0))*IF($B685=0,1,(1+$B687))/$B683/12*Параметры!AB$31,IF(AB$2=1,AB694,AA700+SUM($F694:AB694)*IF($B685=0,1,(1+$B687))-SUM($F694:AA694)*IF($B685=0,1,(1+$B687))))))</f>
        <v>0</v>
      </c>
      <c r="AC699" s="185">
        <f ca="1">IF(SUM($G689:AC689)&gt;0.01,0,IF($B683=0,0,MIN((SUM($G694:AC694)-IF(AC$2&gt;$B683*12/Prj_Step,SUM($G694:OFFSET(AC694,0,-$B683*12/Prj_Step)),0))*IF($B685=0,1,(1+$B687))/$B683/12*Параметры!AC$31,IF(AC$2=1,AC694,AB700+SUM($F694:AC694)*IF($B685=0,1,(1+$B687))-SUM($F694:AB694)*IF($B685=0,1,(1+$B687))))))</f>
        <v>0</v>
      </c>
      <c r="AD699" s="185">
        <f ca="1">IF(SUM($G689:AD689)&gt;0.01,0,IF($B683=0,0,MIN((SUM($G694:AD694)-IF(AD$2&gt;$B683*12/Prj_Step,SUM($G694:OFFSET(AD694,0,-$B683*12/Prj_Step)),0))*IF($B685=0,1,(1+$B687))/$B683/12*Параметры!AD$31,IF(AD$2=1,AD694,AC700+SUM($F694:AD694)*IF($B685=0,1,(1+$B687))-SUM($F694:AC694)*IF($B685=0,1,(1+$B687))))))</f>
        <v>0</v>
      </c>
      <c r="AE699" s="185">
        <f ca="1">IF(SUM($G689:AE689)&gt;0.01,0,IF($B683=0,0,MIN((SUM($G694:AE694)-IF(AE$2&gt;$B683*12/Prj_Step,SUM($G694:OFFSET(AE694,0,-$B683*12/Prj_Step)),0))*IF($B685=0,1,(1+$B687))/$B683/12*Параметры!AE$31,IF(AE$2=1,AE694,AD700+SUM($F694:AE694)*IF($B685=0,1,(1+$B687))-SUM($F694:AD694)*IF($B685=0,1,(1+$B687))))))</f>
        <v>0</v>
      </c>
      <c r="AF699" s="185">
        <f ca="1">IF(SUM($G689:AF689)&gt;0.01,0,IF($B683=0,0,MIN((SUM($G694:AF694)-IF(AF$2&gt;$B683*12/Prj_Step,SUM($G694:OFFSET(AF694,0,-$B683*12/Prj_Step)),0))*IF($B685=0,1,(1+$B687))/$B683/12*Параметры!AF$31,IF(AF$2=1,AF694,AE700+SUM($F694:AF694)*IF($B685=0,1,(1+$B687))-SUM($F694:AE694)*IF($B685=0,1,(1+$B687))))))</f>
        <v>0</v>
      </c>
      <c r="AG699" s="185">
        <f ca="1">IF(SUM($G689:AG689)&gt;0.01,0,IF($B683=0,0,MIN((SUM($G694:AG694)-IF(AG$2&gt;$B683*12/Prj_Step,SUM($G694:OFFSET(AG694,0,-$B683*12/Prj_Step)),0))*IF($B685=0,1,(1+$B687))/$B683/12*Параметры!AG$31,IF(AG$2=1,AG694,AF700+SUM($F694:AG694)*IF($B685=0,1,(1+$B687))-SUM($F694:AF694)*IF($B685=0,1,(1+$B687))))))</f>
        <v>0</v>
      </c>
      <c r="AH699" s="185">
        <f ca="1">IF(SUM($G689:AH689)&gt;0.01,0,IF($B683=0,0,MIN((SUM($G694:AH694)-IF(AH$2&gt;$B683*12/Prj_Step,SUM($G694:OFFSET(AH694,0,-$B683*12/Prj_Step)),0))*IF($B685=0,1,(1+$B687))/$B683/12*Параметры!AH$31,IF(AH$2=1,AH694,AG700+SUM($F694:AH694)*IF($B685=0,1,(1+$B687))-SUM($F694:AG694)*IF($B685=0,1,(1+$B687))))))</f>
        <v>0</v>
      </c>
      <c r="AI699" s="185">
        <f ca="1">IF(SUM($G689:AI689)&gt;0.01,0,IF($B683=0,0,MIN((SUM($G694:AI694)-IF(AI$2&gt;$B683*12/Prj_Step,SUM($G694:OFFSET(AI694,0,-$B683*12/Prj_Step)),0))*IF($B685=0,1,(1+$B687))/$B683/12*Параметры!AI$31,IF(AI$2=1,AI694,AH700+SUM($F694:AI694)*IF($B685=0,1,(1+$B687))-SUM($F694:AH694)*IF($B685=0,1,(1+$B687))))))</f>
        <v>0</v>
      </c>
      <c r="AJ699" s="185">
        <f ca="1">IF(SUM($G689:AJ689)&gt;0.01,0,IF($B683=0,0,MIN((SUM($G694:AJ694)-IF(AJ$2&gt;$B683*12/Prj_Step,SUM($G694:OFFSET(AJ694,0,-$B683*12/Prj_Step)),0))*IF($B685=0,1,(1+$B687))/$B683/12*Параметры!AJ$31,IF(AJ$2=1,AJ694,AI700+SUM($F694:AJ694)*IF($B685=0,1,(1+$B687))-SUM($F694:AI694)*IF($B685=0,1,(1+$B687))))))</f>
        <v>0</v>
      </c>
      <c r="AK699" s="185">
        <f ca="1">IF(SUM($G689:AK689)&gt;0.01,0,IF($B683=0,0,MIN((SUM($G694:AK694)-IF(AK$2&gt;$B683*12/Prj_Step,SUM($G694:OFFSET(AK694,0,-$B683*12/Prj_Step)),0))*IF($B685=0,1,(1+$B687))/$B683/12*Параметры!AK$31,IF(AK$2=1,AK694,AJ700+SUM($F694:AK694)*IF($B685=0,1,(1+$B687))-SUM($F694:AJ694)*IF($B685=0,1,(1+$B687))))))</f>
        <v>0</v>
      </c>
      <c r="AL699" s="185">
        <f ca="1">IF(SUM($G689:AL689)&gt;0.01,0,IF($B683=0,0,MIN((SUM($G694:AL694)-IF(AL$2&gt;$B683*12/Prj_Step,SUM($G694:OFFSET(AL694,0,-$B683*12/Prj_Step)),0))*IF($B685=0,1,(1+$B687))/$B683/12*Параметры!AL$31,IF(AL$2=1,AL694,AK700+SUM($F694:AL694)*IF($B685=0,1,(1+$B687))-SUM($F694:AK694)*IF($B685=0,1,(1+$B687))))))</f>
        <v>0</v>
      </c>
      <c r="AM699" s="185">
        <f ca="1">IF(SUM($G689:AM689)&gt;0.01,0,IF($B683=0,0,MIN((SUM($G694:AM694)-IF(AM$2&gt;$B683*12/Prj_Step,SUM($G694:OFFSET(AM694,0,-$B683*12/Prj_Step)),0))*IF($B685=0,1,(1+$B687))/$B683/12*Параметры!AM$31,IF(AM$2=1,AM694,AL700+SUM($F694:AM694)*IF($B685=0,1,(1+$B687))-SUM($F694:AL694)*IF($B685=0,1,(1+$B687))))))</f>
        <v>0</v>
      </c>
      <c r="AN699" s="185">
        <f ca="1">IF(SUM($G689:AN689)&gt;0.01,0,IF($B683=0,0,MIN((SUM($G694:AN694)-IF(AN$2&gt;$B683*12/Prj_Step,SUM($G694:OFFSET(AN694,0,-$B683*12/Prj_Step)),0))*IF($B685=0,1,(1+$B687))/$B683/12*Параметры!AN$31,IF(AN$2=1,AN694,AM700+SUM($F694:AN694)*IF($B685=0,1,(1+$B687))-SUM($F694:AM694)*IF($B685=0,1,(1+$B687))))))</f>
        <v>0</v>
      </c>
      <c r="AO699" s="185">
        <f ca="1">IF(SUM($G689:AO689)&gt;0.01,0,IF($B683=0,0,MIN((SUM($G694:AO694)-IF(AO$2&gt;$B683*12/Prj_Step,SUM($G694:OFFSET(AO694,0,-$B683*12/Prj_Step)),0))*IF($B685=0,1,(1+$B687))/$B683/12*Параметры!AO$31,IF(AO$2=1,AO694,AN700+SUM($F694:AO694)*IF($B685=0,1,(1+$B687))-SUM($F694:AN694)*IF($B685=0,1,(1+$B687))))))</f>
        <v>0</v>
      </c>
      <c r="AP699" s="185">
        <f ca="1">IF(SUM($G689:AP689)&gt;0.01,0,IF($B683=0,0,MIN((SUM($G694:AP694)-IF(AP$2&gt;$B683*12/Prj_Step,SUM($G694:OFFSET(AP694,0,-$B683*12/Prj_Step)),0))*IF($B685=0,1,(1+$B687))/$B683/12*Параметры!AP$31,IF(AP$2=1,AP694,AO700+SUM($F694:AP694)*IF($B685=0,1,(1+$B687))-SUM($F694:AO694)*IF($B685=0,1,(1+$B687))))))</f>
        <v>0</v>
      </c>
      <c r="AQ699" s="185">
        <f ca="1">IF(SUM($G689:AQ689)&gt;0.01,0,IF($B683=0,0,MIN((SUM($G694:AQ694)-IF(AQ$2&gt;$B683*12/Prj_Step,SUM($G694:OFFSET(AQ694,0,-$B683*12/Prj_Step)),0))*IF($B685=0,1,(1+$B687))/$B683/12*Параметры!AQ$31,IF(AQ$2=1,AQ694,AP700+SUM($F694:AQ694)*IF($B685=0,1,(1+$B687))-SUM($F694:AP694)*IF($B685=0,1,(1+$B687))))))</f>
        <v>0</v>
      </c>
      <c r="AR699" s="185">
        <f ca="1">IF(SUM($G689:AR689)&gt;0.01,0,IF($B683=0,0,MIN((SUM($G694:AR694)-IF(AR$2&gt;$B683*12/Prj_Step,SUM($G694:OFFSET(AR694,0,-$B683*12/Prj_Step)),0))*IF($B685=0,1,(1+$B687))/$B683/12*Параметры!AR$31,IF(AR$2=1,AR694,AQ700+SUM($F694:AR694)*IF($B685=0,1,(1+$B687))-SUM($F694:AQ694)*IF($B685=0,1,(1+$B687))))))</f>
        <v>0</v>
      </c>
      <c r="AS699" s="185">
        <f ca="1">IF(SUM($G689:AS689)&gt;0.01,0,IF($B683=0,0,MIN((SUM($G694:AS694)-IF(AS$2&gt;$B683*12/Prj_Step,SUM($G694:OFFSET(AS694,0,-$B683*12/Prj_Step)),0))*IF($B685=0,1,(1+$B687))/$B683/12*Параметры!AS$31,IF(AS$2=1,AS694,AR700+SUM($F694:AS694)*IF($B685=0,1,(1+$B687))-SUM($F694:AR694)*IF($B685=0,1,(1+$B687))))))</f>
        <v>0</v>
      </c>
      <c r="AT699" s="185">
        <f ca="1">IF(SUM($G689:AT689)&gt;0.01,0,IF($B683=0,0,MIN((SUM($G694:AT694)-IF(AT$2&gt;$B683*12/Prj_Step,SUM($G694:OFFSET(AT694,0,-$B683*12/Prj_Step)),0))*IF($B685=0,1,(1+$B687))/$B683/12*Параметры!AT$31,IF(AT$2=1,AT694,AS700+SUM($F694:AT694)*IF($B685=0,1,(1+$B687))-SUM($F694:AS694)*IF($B685=0,1,(1+$B687))))))</f>
        <v>0</v>
      </c>
      <c r="AU699" s="185">
        <f ca="1">IF(SUM($G689:AU689)&gt;0.01,0,IF($B683=0,0,MIN((SUM($G694:AU694)-IF(AU$2&gt;$B683*12/Prj_Step,SUM($G694:OFFSET(AU694,0,-$B683*12/Prj_Step)),0))*IF($B685=0,1,(1+$B687))/$B683/12*Параметры!AU$31,IF(AU$2=1,AU694,AT700+SUM($F694:AU694)*IF($B685=0,1,(1+$B687))-SUM($F694:AT694)*IF($B685=0,1,(1+$B687))))))</f>
        <v>0</v>
      </c>
      <c r="AV699" s="185">
        <f ca="1">IF(SUM($G689:AV689)&gt;0.01,0,IF($B683=0,0,MIN((SUM($G694:AV694)-IF(AV$2&gt;$B683*12/Prj_Step,SUM($G694:OFFSET(AV694,0,-$B683*12/Prj_Step)),0))*IF($B685=0,1,(1+$B687))/$B683/12*Параметры!AV$31,IF(AV$2=1,AV694,AU700+SUM($F694:AV694)*IF($B685=0,1,(1+$B687))-SUM($F694:AU694)*IF($B685=0,1,(1+$B687))))))</f>
        <v>0</v>
      </c>
      <c r="AW699" s="185">
        <f ca="1">IF(SUM($G689:AW689)&gt;0.01,0,IF($B683=0,0,MIN((SUM($G694:AW694)-IF(AW$2&gt;$B683*12/Prj_Step,SUM($G694:OFFSET(AW694,0,-$B683*12/Prj_Step)),0))*IF($B685=0,1,(1+$B687))/$B683/12*Параметры!AW$31,IF(AW$2=1,AW694,AV700+SUM($F694:AW694)*IF($B685=0,1,(1+$B687))-SUM($F694:AV694)*IF($B685=0,1,(1+$B687))))))</f>
        <v>0</v>
      </c>
      <c r="AX699" s="185">
        <f ca="1">IF(SUM($G689:AX689)&gt;0.01,0,IF($B683=0,0,MIN((SUM($G694:AX694)-IF(AX$2&gt;$B683*12/Prj_Step,SUM($G694:OFFSET(AX694,0,-$B683*12/Prj_Step)),0))*IF($B685=0,1,(1+$B687))/$B683/12*Параметры!AX$31,IF(AX$2=1,AX694,AW700+SUM($F694:AX694)*IF($B685=0,1,(1+$B687))-SUM($F694:AW694)*IF($B685=0,1,(1+$B687))))))</f>
        <v>0</v>
      </c>
      <c r="AY699" s="185">
        <f ca="1">IF(SUM($G689:AY689)&gt;0.01,0,IF($B683=0,0,MIN((SUM($G694:AY694)-IF(AY$2&gt;$B683*12/Prj_Step,SUM($G694:OFFSET(AY694,0,-$B683*12/Prj_Step)),0))*IF($B685=0,1,(1+$B687))/$B683/12*Параметры!AY$31,IF(AY$2=1,AY694,AX700+SUM($F694:AY694)*IF($B685=0,1,(1+$B687))-SUM($F694:AX694)*IF($B685=0,1,(1+$B687))))))</f>
        <v>0</v>
      </c>
      <c r="AZ699" s="185">
        <f ca="1">IF(SUM($G689:AZ689)&gt;0.01,0,IF($B683=0,0,MIN((SUM($G694:AZ694)-IF(AZ$2&gt;$B683*12/Prj_Step,SUM($G694:OFFSET(AZ694,0,-$B683*12/Prj_Step)),0))*IF($B685=0,1,(1+$B687))/$B683/12*Параметры!AZ$31,IF(AZ$2=1,AZ694,AY700+SUM($F694:AZ694)*IF($B685=0,1,(1+$B687))-SUM($F694:AY694)*IF($B685=0,1,(1+$B687))))))</f>
        <v>0</v>
      </c>
      <c r="BA699" s="185">
        <f ca="1">IF(SUM($G689:BA689)&gt;0.01,0,IF($B683=0,0,MIN((SUM($G694:BA694)-IF(BA$2&gt;$B683*12/Prj_Step,SUM($G694:OFFSET(BA694,0,-$B683*12/Prj_Step)),0))*IF($B685=0,1,(1+$B687))/$B683/12*Параметры!BA$31,IF(BA$2=1,BA694,AZ700+SUM($F694:BA694)*IF($B685=0,1,(1+$B687))-SUM($F694:AZ694)*IF($B685=0,1,(1+$B687))))))</f>
        <v>0</v>
      </c>
      <c r="BB699" s="185">
        <f ca="1">IF(SUM($G689:BB689)&gt;0.01,0,IF($B683=0,0,MIN((SUM($G694:BB694)-IF(BB$2&gt;$B683*12/Prj_Step,SUM($G694:OFFSET(BB694,0,-$B683*12/Prj_Step)),0))*IF($B685=0,1,(1+$B687))/$B683/12*Параметры!BB$31,IF(BB$2=1,BB694,BA700+SUM($F694:BB694)*IF($B685=0,1,(1+$B687))-SUM($F694:BA694)*IF($B685=0,1,(1+$B687))))))</f>
        <v>0</v>
      </c>
      <c r="BC699" s="185"/>
      <c r="BD699" s="193">
        <f ca="1">SUM(G699:BC699)</f>
        <v>0</v>
      </c>
    </row>
    <row r="700" spans="1:56" ht="14.4" hidden="1" thickTop="1" x14ac:dyDescent="0.3">
      <c r="A700" s="184" t="str">
        <f ca="1">Language!A$916</f>
        <v>балансовая стоимость (бухгалтерская)</v>
      </c>
      <c r="B700" s="170"/>
      <c r="C700" s="163" t="str">
        <f t="shared" ca="1" si="2822"/>
        <v>руб.</v>
      </c>
      <c r="D700" s="174">
        <v>1</v>
      </c>
      <c r="E700" s="170" t="s">
        <v>757</v>
      </c>
      <c r="F700" s="170" t="s">
        <v>747</v>
      </c>
      <c r="G700" s="185">
        <f ca="1">IF(SUM($G689:G689)&gt;0.01,0,SUM($G694:G694)*IF($B685=0,1,(1+$B687))-SUM($G699:G699))</f>
        <v>0</v>
      </c>
      <c r="H700" s="185">
        <f ca="1">IF(SUM($G689:H689)&gt;0.01,0,SUM($G694:H694)*IF($B685=0,1,(1+$B687))-SUM($G699:H699))</f>
        <v>0</v>
      </c>
      <c r="I700" s="185">
        <f ca="1">IF(SUM($G689:I689)&gt;0.01,0,SUM($G694:I694)*IF($B685=0,1,(1+$B687))-SUM($G699:I699))</f>
        <v>0</v>
      </c>
      <c r="J700" s="185">
        <f ca="1">IF(SUM($G689:J689)&gt;0.01,0,SUM($G694:J694)*IF($B685=0,1,(1+$B687))-SUM($G699:J699))</f>
        <v>0</v>
      </c>
      <c r="K700" s="185">
        <f ca="1">IF(SUM($G689:K689)&gt;0.01,0,SUM($G694:K694)*IF($B685=0,1,(1+$B687))-SUM($G699:K699))</f>
        <v>0</v>
      </c>
      <c r="L700" s="185">
        <f ca="1">IF(SUM($G689:L689)&gt;0.01,0,SUM($G694:L694)*IF($B685=0,1,(1+$B687))-SUM($G699:L699))</f>
        <v>0</v>
      </c>
      <c r="M700" s="185">
        <f ca="1">IF(SUM($G689:M689)&gt;0.01,0,SUM($G694:M694)*IF($B685=0,1,(1+$B687))-SUM($G699:M699))</f>
        <v>0</v>
      </c>
      <c r="N700" s="185">
        <f ca="1">IF(SUM($G689:N689)&gt;0.01,0,SUM($G694:N694)*IF($B685=0,1,(1+$B687))-SUM($G699:N699))</f>
        <v>0</v>
      </c>
      <c r="O700" s="185">
        <f ca="1">IF(SUM($G689:O689)&gt;0.01,0,SUM($G694:O694)*IF($B685=0,1,(1+$B687))-SUM($G699:O699))</f>
        <v>0</v>
      </c>
      <c r="P700" s="185">
        <f ca="1">IF(SUM($G689:P689)&gt;0.01,0,SUM($G694:P694)*IF($B685=0,1,(1+$B687))-SUM($G699:P699))</f>
        <v>0</v>
      </c>
      <c r="Q700" s="185">
        <f ca="1">IF(SUM($G689:Q689)&gt;0.01,0,SUM($G694:Q694)*IF($B685=0,1,(1+$B687))-SUM($G699:Q699))</f>
        <v>0</v>
      </c>
      <c r="R700" s="185">
        <f ca="1">IF(SUM($G689:R689)&gt;0.01,0,SUM($G694:R694)*IF($B685=0,1,(1+$B687))-SUM($G699:R699))</f>
        <v>0</v>
      </c>
      <c r="S700" s="185">
        <f ca="1">IF(SUM($G689:S689)&gt;0.01,0,SUM($G694:S694)*IF($B685=0,1,(1+$B687))-SUM($G699:S699))</f>
        <v>0</v>
      </c>
      <c r="T700" s="185">
        <f ca="1">IF(SUM($G689:T689)&gt;0.01,0,SUM($G694:T694)*IF($B685=0,1,(1+$B687))-SUM($G699:T699))</f>
        <v>0</v>
      </c>
      <c r="U700" s="185">
        <f ca="1">IF(SUM($G689:U689)&gt;0.01,0,SUM($G694:U694)*IF($B685=0,1,(1+$B687))-SUM($G699:U699))</f>
        <v>0</v>
      </c>
      <c r="V700" s="185">
        <f ca="1">IF(SUM($G689:V689)&gt;0.01,0,SUM($G694:V694)*IF($B685=0,1,(1+$B687))-SUM($G699:V699))</f>
        <v>0</v>
      </c>
      <c r="W700" s="185">
        <f ca="1">IF(SUM($G689:W689)&gt;0.01,0,SUM($G694:W694)*IF($B685=0,1,(1+$B687))-SUM($G699:W699))</f>
        <v>0</v>
      </c>
      <c r="X700" s="185">
        <f ca="1">IF(SUM($G689:X689)&gt;0.01,0,SUM($G694:X694)*IF($B685=0,1,(1+$B687))-SUM($G699:X699))</f>
        <v>0</v>
      </c>
      <c r="Y700" s="185">
        <f ca="1">IF(SUM($G689:Y689)&gt;0.01,0,SUM($G694:Y694)*IF($B685=0,1,(1+$B687))-SUM($G699:Y699))</f>
        <v>0</v>
      </c>
      <c r="Z700" s="185">
        <f ca="1">IF(SUM($G689:Z689)&gt;0.01,0,SUM($G694:Z694)*IF($B685=0,1,(1+$B687))-SUM($G699:Z699))</f>
        <v>0</v>
      </c>
      <c r="AA700" s="185">
        <f ca="1">IF(SUM($G689:AA689)&gt;0.01,0,SUM($G694:AA694)*IF($B685=0,1,(1+$B687))-SUM($G699:AA699))</f>
        <v>0</v>
      </c>
      <c r="AB700" s="185">
        <f ca="1">IF(SUM($G689:AB689)&gt;0.01,0,SUM($G694:AB694)*IF($B685=0,1,(1+$B687))-SUM($G699:AB699))</f>
        <v>0</v>
      </c>
      <c r="AC700" s="185">
        <f ca="1">IF(SUM($G689:AC689)&gt;0.01,0,SUM($G694:AC694)*IF($B685=0,1,(1+$B687))-SUM($G699:AC699))</f>
        <v>0</v>
      </c>
      <c r="AD700" s="185">
        <f ca="1">IF(SUM($G689:AD689)&gt;0.01,0,SUM($G694:AD694)*IF($B685=0,1,(1+$B687))-SUM($G699:AD699))</f>
        <v>0</v>
      </c>
      <c r="AE700" s="185">
        <f ca="1">IF(SUM($G689:AE689)&gt;0.01,0,SUM($G694:AE694)*IF($B685=0,1,(1+$B687))-SUM($G699:AE699))</f>
        <v>0</v>
      </c>
      <c r="AF700" s="185">
        <f ca="1">IF(SUM($G689:AF689)&gt;0.01,0,SUM($G694:AF694)*IF($B685=0,1,(1+$B687))-SUM($G699:AF699))</f>
        <v>0</v>
      </c>
      <c r="AG700" s="185">
        <f ca="1">IF(SUM($G689:AG689)&gt;0.01,0,SUM($G694:AG694)*IF($B685=0,1,(1+$B687))-SUM($G699:AG699))</f>
        <v>0</v>
      </c>
      <c r="AH700" s="185">
        <f ca="1">IF(SUM($G689:AH689)&gt;0.01,0,SUM($G694:AH694)*IF($B685=0,1,(1+$B687))-SUM($G699:AH699))</f>
        <v>0</v>
      </c>
      <c r="AI700" s="185">
        <f ca="1">IF(SUM($G689:AI689)&gt;0.01,0,SUM($G694:AI694)*IF($B685=0,1,(1+$B687))-SUM($G699:AI699))</f>
        <v>0</v>
      </c>
      <c r="AJ700" s="185">
        <f ca="1">IF(SUM($G689:AJ689)&gt;0.01,0,SUM($G694:AJ694)*IF($B685=0,1,(1+$B687))-SUM($G699:AJ699))</f>
        <v>0</v>
      </c>
      <c r="AK700" s="185">
        <f ca="1">IF(SUM($G689:AK689)&gt;0.01,0,SUM($G694:AK694)*IF($B685=0,1,(1+$B687))-SUM($G699:AK699))</f>
        <v>0</v>
      </c>
      <c r="AL700" s="185">
        <f ca="1">IF(SUM($G689:AL689)&gt;0.01,0,SUM($G694:AL694)*IF($B685=0,1,(1+$B687))-SUM($G699:AL699))</f>
        <v>0</v>
      </c>
      <c r="AM700" s="185">
        <f ca="1">IF(SUM($G689:AM689)&gt;0.01,0,SUM($G694:AM694)*IF($B685=0,1,(1+$B687))-SUM($G699:AM699))</f>
        <v>0</v>
      </c>
      <c r="AN700" s="185">
        <f ca="1">IF(SUM($G689:AN689)&gt;0.01,0,SUM($G694:AN694)*IF($B685=0,1,(1+$B687))-SUM($G699:AN699))</f>
        <v>0</v>
      </c>
      <c r="AO700" s="185">
        <f ca="1">IF(SUM($G689:AO689)&gt;0.01,0,SUM($G694:AO694)*IF($B685=0,1,(1+$B687))-SUM($G699:AO699))</f>
        <v>0</v>
      </c>
      <c r="AP700" s="185">
        <f ca="1">IF(SUM($G689:AP689)&gt;0.01,0,SUM($G694:AP694)*IF($B685=0,1,(1+$B687))-SUM($G699:AP699))</f>
        <v>0</v>
      </c>
      <c r="AQ700" s="185">
        <f ca="1">IF(SUM($G689:AQ689)&gt;0.01,0,SUM($G694:AQ694)*IF($B685=0,1,(1+$B687))-SUM($G699:AQ699))</f>
        <v>0</v>
      </c>
      <c r="AR700" s="185">
        <f ca="1">IF(SUM($G689:AR689)&gt;0.01,0,SUM($G694:AR694)*IF($B685=0,1,(1+$B687))-SUM($G699:AR699))</f>
        <v>0</v>
      </c>
      <c r="AS700" s="185">
        <f ca="1">IF(SUM($G689:AS689)&gt;0.01,0,SUM($G694:AS694)*IF($B685=0,1,(1+$B687))-SUM($G699:AS699))</f>
        <v>0</v>
      </c>
      <c r="AT700" s="185">
        <f ca="1">IF(SUM($G689:AT689)&gt;0.01,0,SUM($G694:AT694)*IF($B685=0,1,(1+$B687))-SUM($G699:AT699))</f>
        <v>0</v>
      </c>
      <c r="AU700" s="185">
        <f ca="1">IF(SUM($G689:AU689)&gt;0.01,0,SUM($G694:AU694)*IF($B685=0,1,(1+$B687))-SUM($G699:AU699))</f>
        <v>0</v>
      </c>
      <c r="AV700" s="185">
        <f ca="1">IF(SUM($G689:AV689)&gt;0.01,0,SUM($G694:AV694)*IF($B685=0,1,(1+$B687))-SUM($G699:AV699))</f>
        <v>0</v>
      </c>
      <c r="AW700" s="185">
        <f ca="1">IF(SUM($G689:AW689)&gt;0.01,0,SUM($G694:AW694)*IF($B685=0,1,(1+$B687))-SUM($G699:AW699))</f>
        <v>0</v>
      </c>
      <c r="AX700" s="185">
        <f ca="1">IF(SUM($G689:AX689)&gt;0.01,0,SUM($G694:AX694)*IF($B685=0,1,(1+$B687))-SUM($G699:AX699))</f>
        <v>0</v>
      </c>
      <c r="AY700" s="185">
        <f ca="1">IF(SUM($G689:AY689)&gt;0.01,0,SUM($G694:AY694)*IF($B685=0,1,(1+$B687))-SUM($G699:AY699))</f>
        <v>0</v>
      </c>
      <c r="AZ700" s="185">
        <f ca="1">IF(SUM($G689:AZ689)&gt;0.01,0,SUM($G694:AZ694)*IF($B685=0,1,(1+$B687))-SUM($G699:AZ699))</f>
        <v>0</v>
      </c>
      <c r="BA700" s="185">
        <f ca="1">IF(SUM($G689:BA689)&gt;0.01,0,SUM($G694:BA694)*IF($B685=0,1,(1+$B687))-SUM($G699:BA699))</f>
        <v>0</v>
      </c>
      <c r="BB700" s="185">
        <f ca="1">IF(SUM($G689:BB689)&gt;0.01,0,SUM($G694:BB694)*IF($B685=0,1,(1+$B687))-SUM($G699:BB699))</f>
        <v>0</v>
      </c>
      <c r="BC700" s="185"/>
      <c r="BD700" s="186"/>
    </row>
    <row r="701" spans="1:56" ht="14.4" hidden="1" thickTop="1" x14ac:dyDescent="0.3">
      <c r="A701" s="184" t="str">
        <f ca="1">Language!A$917</f>
        <v>выплаченный НДС</v>
      </c>
      <c r="B701" s="216"/>
      <c r="C701" s="163" t="str">
        <f t="shared" ca="1" si="2822"/>
        <v>руб.</v>
      </c>
      <c r="D701" s="174">
        <v>1</v>
      </c>
      <c r="E701" s="170" t="s">
        <v>758</v>
      </c>
      <c r="F701" s="170" t="s">
        <v>743</v>
      </c>
      <c r="G701" s="185">
        <f t="shared" ref="G701:BB701" si="2846">IF($B685=0,G690*G688,IF(G$2=$B686,(MAX($BD690,$BD694)+$B692+$BD695)*G688,0))</f>
        <v>0</v>
      </c>
      <c r="H701" s="185">
        <f t="shared" si="2846"/>
        <v>0</v>
      </c>
      <c r="I701" s="185">
        <f t="shared" si="2846"/>
        <v>0</v>
      </c>
      <c r="J701" s="185">
        <f t="shared" si="2846"/>
        <v>0</v>
      </c>
      <c r="K701" s="185">
        <f t="shared" si="2846"/>
        <v>0</v>
      </c>
      <c r="L701" s="185">
        <f t="shared" si="2846"/>
        <v>0</v>
      </c>
      <c r="M701" s="185">
        <f t="shared" si="2846"/>
        <v>0</v>
      </c>
      <c r="N701" s="185">
        <f t="shared" si="2846"/>
        <v>0</v>
      </c>
      <c r="O701" s="185">
        <f t="shared" si="2846"/>
        <v>0</v>
      </c>
      <c r="P701" s="185">
        <f t="shared" si="2846"/>
        <v>0</v>
      </c>
      <c r="Q701" s="185">
        <f t="shared" si="2846"/>
        <v>0</v>
      </c>
      <c r="R701" s="185">
        <f t="shared" si="2846"/>
        <v>0</v>
      </c>
      <c r="S701" s="185">
        <f t="shared" si="2846"/>
        <v>0</v>
      </c>
      <c r="T701" s="185">
        <f t="shared" si="2846"/>
        <v>0</v>
      </c>
      <c r="U701" s="185">
        <f t="shared" si="2846"/>
        <v>0</v>
      </c>
      <c r="V701" s="185">
        <f t="shared" si="2846"/>
        <v>0</v>
      </c>
      <c r="W701" s="185">
        <f t="shared" si="2846"/>
        <v>0</v>
      </c>
      <c r="X701" s="185">
        <f t="shared" si="2846"/>
        <v>0</v>
      </c>
      <c r="Y701" s="185">
        <f t="shared" si="2846"/>
        <v>0</v>
      </c>
      <c r="Z701" s="185">
        <f t="shared" si="2846"/>
        <v>0</v>
      </c>
      <c r="AA701" s="185">
        <f t="shared" si="2846"/>
        <v>0</v>
      </c>
      <c r="AB701" s="185">
        <f t="shared" si="2846"/>
        <v>0</v>
      </c>
      <c r="AC701" s="185">
        <f t="shared" si="2846"/>
        <v>0</v>
      </c>
      <c r="AD701" s="185">
        <f t="shared" si="2846"/>
        <v>0</v>
      </c>
      <c r="AE701" s="185">
        <f t="shared" si="2846"/>
        <v>0</v>
      </c>
      <c r="AF701" s="185">
        <f t="shared" si="2846"/>
        <v>0</v>
      </c>
      <c r="AG701" s="185">
        <f t="shared" si="2846"/>
        <v>0</v>
      </c>
      <c r="AH701" s="185">
        <f t="shared" si="2846"/>
        <v>0</v>
      </c>
      <c r="AI701" s="185">
        <f t="shared" si="2846"/>
        <v>0</v>
      </c>
      <c r="AJ701" s="185">
        <f t="shared" si="2846"/>
        <v>0</v>
      </c>
      <c r="AK701" s="185">
        <f t="shared" si="2846"/>
        <v>0</v>
      </c>
      <c r="AL701" s="185">
        <f t="shared" si="2846"/>
        <v>0</v>
      </c>
      <c r="AM701" s="185">
        <f t="shared" si="2846"/>
        <v>0</v>
      </c>
      <c r="AN701" s="185">
        <f t="shared" si="2846"/>
        <v>0</v>
      </c>
      <c r="AO701" s="185">
        <f t="shared" si="2846"/>
        <v>0</v>
      </c>
      <c r="AP701" s="185">
        <f t="shared" si="2846"/>
        <v>0</v>
      </c>
      <c r="AQ701" s="185">
        <f t="shared" si="2846"/>
        <v>0</v>
      </c>
      <c r="AR701" s="185">
        <f t="shared" si="2846"/>
        <v>0</v>
      </c>
      <c r="AS701" s="185">
        <f t="shared" si="2846"/>
        <v>0</v>
      </c>
      <c r="AT701" s="185">
        <f t="shared" si="2846"/>
        <v>0</v>
      </c>
      <c r="AU701" s="185">
        <f t="shared" si="2846"/>
        <v>0</v>
      </c>
      <c r="AV701" s="185">
        <f t="shared" si="2846"/>
        <v>0</v>
      </c>
      <c r="AW701" s="185">
        <f t="shared" si="2846"/>
        <v>0</v>
      </c>
      <c r="AX701" s="185">
        <f t="shared" si="2846"/>
        <v>0</v>
      </c>
      <c r="AY701" s="185">
        <f t="shared" si="2846"/>
        <v>0</v>
      </c>
      <c r="AZ701" s="185">
        <f t="shared" si="2846"/>
        <v>0</v>
      </c>
      <c r="BA701" s="185">
        <f t="shared" si="2846"/>
        <v>0</v>
      </c>
      <c r="BB701" s="185">
        <f t="shared" si="2846"/>
        <v>0</v>
      </c>
      <c r="BC701" s="185"/>
      <c r="BD701" s="193">
        <f>SUM(G701:BC701)</f>
        <v>0</v>
      </c>
    </row>
    <row r="702" spans="1:56" ht="14.4" hidden="1" thickTop="1" x14ac:dyDescent="0.3">
      <c r="A702" s="184" t="str">
        <f ca="1">Language!A$918</f>
        <v>зачтенный НДС</v>
      </c>
      <c r="B702" s="216"/>
      <c r="C702" s="163" t="str">
        <f t="shared" ca="1" si="2822"/>
        <v>руб.</v>
      </c>
      <c r="D702" s="174">
        <v>1</v>
      </c>
      <c r="E702" s="170" t="s">
        <v>759</v>
      </c>
      <c r="F702" s="170" t="s">
        <v>743</v>
      </c>
      <c r="G702" s="185">
        <f t="shared" ref="G702:BB702" si="2847">IF($B685=0,G694*G688,IF($BD682=0,0,$BD701*G682/$BD682))</f>
        <v>0</v>
      </c>
      <c r="H702" s="185">
        <f t="shared" si="2847"/>
        <v>0</v>
      </c>
      <c r="I702" s="185">
        <f t="shared" si="2847"/>
        <v>0</v>
      </c>
      <c r="J702" s="185">
        <f t="shared" si="2847"/>
        <v>0</v>
      </c>
      <c r="K702" s="185">
        <f t="shared" si="2847"/>
        <v>0</v>
      </c>
      <c r="L702" s="185">
        <f t="shared" si="2847"/>
        <v>0</v>
      </c>
      <c r="M702" s="185">
        <f t="shared" si="2847"/>
        <v>0</v>
      </c>
      <c r="N702" s="185">
        <f t="shared" si="2847"/>
        <v>0</v>
      </c>
      <c r="O702" s="185">
        <f t="shared" si="2847"/>
        <v>0</v>
      </c>
      <c r="P702" s="185">
        <f t="shared" si="2847"/>
        <v>0</v>
      </c>
      <c r="Q702" s="185">
        <f t="shared" si="2847"/>
        <v>0</v>
      </c>
      <c r="R702" s="185">
        <f t="shared" si="2847"/>
        <v>0</v>
      </c>
      <c r="S702" s="185">
        <f t="shared" si="2847"/>
        <v>0</v>
      </c>
      <c r="T702" s="185">
        <f t="shared" si="2847"/>
        <v>0</v>
      </c>
      <c r="U702" s="185">
        <f t="shared" si="2847"/>
        <v>0</v>
      </c>
      <c r="V702" s="185">
        <f t="shared" si="2847"/>
        <v>0</v>
      </c>
      <c r="W702" s="185">
        <f t="shared" si="2847"/>
        <v>0</v>
      </c>
      <c r="X702" s="185">
        <f t="shared" si="2847"/>
        <v>0</v>
      </c>
      <c r="Y702" s="185">
        <f t="shared" si="2847"/>
        <v>0</v>
      </c>
      <c r="Z702" s="185">
        <f t="shared" si="2847"/>
        <v>0</v>
      </c>
      <c r="AA702" s="185">
        <f t="shared" si="2847"/>
        <v>0</v>
      </c>
      <c r="AB702" s="185">
        <f t="shared" si="2847"/>
        <v>0</v>
      </c>
      <c r="AC702" s="185">
        <f t="shared" si="2847"/>
        <v>0</v>
      </c>
      <c r="AD702" s="185">
        <f t="shared" si="2847"/>
        <v>0</v>
      </c>
      <c r="AE702" s="185">
        <f t="shared" si="2847"/>
        <v>0</v>
      </c>
      <c r="AF702" s="185">
        <f t="shared" si="2847"/>
        <v>0</v>
      </c>
      <c r="AG702" s="185">
        <f t="shared" si="2847"/>
        <v>0</v>
      </c>
      <c r="AH702" s="185">
        <f t="shared" si="2847"/>
        <v>0</v>
      </c>
      <c r="AI702" s="185">
        <f t="shared" si="2847"/>
        <v>0</v>
      </c>
      <c r="AJ702" s="185">
        <f t="shared" si="2847"/>
        <v>0</v>
      </c>
      <c r="AK702" s="185">
        <f t="shared" si="2847"/>
        <v>0</v>
      </c>
      <c r="AL702" s="185">
        <f t="shared" si="2847"/>
        <v>0</v>
      </c>
      <c r="AM702" s="185">
        <f t="shared" si="2847"/>
        <v>0</v>
      </c>
      <c r="AN702" s="185">
        <f t="shared" si="2847"/>
        <v>0</v>
      </c>
      <c r="AO702" s="185">
        <f t="shared" si="2847"/>
        <v>0</v>
      </c>
      <c r="AP702" s="185">
        <f t="shared" si="2847"/>
        <v>0</v>
      </c>
      <c r="AQ702" s="185">
        <f t="shared" si="2847"/>
        <v>0</v>
      </c>
      <c r="AR702" s="185">
        <f t="shared" si="2847"/>
        <v>0</v>
      </c>
      <c r="AS702" s="185">
        <f t="shared" si="2847"/>
        <v>0</v>
      </c>
      <c r="AT702" s="185">
        <f t="shared" si="2847"/>
        <v>0</v>
      </c>
      <c r="AU702" s="185">
        <f t="shared" si="2847"/>
        <v>0</v>
      </c>
      <c r="AV702" s="185">
        <f t="shared" si="2847"/>
        <v>0</v>
      </c>
      <c r="AW702" s="185">
        <f t="shared" si="2847"/>
        <v>0</v>
      </c>
      <c r="AX702" s="185">
        <f t="shared" si="2847"/>
        <v>0</v>
      </c>
      <c r="AY702" s="185">
        <f t="shared" si="2847"/>
        <v>0</v>
      </c>
      <c r="AZ702" s="185">
        <f t="shared" si="2847"/>
        <v>0</v>
      </c>
      <c r="BA702" s="185">
        <f t="shared" si="2847"/>
        <v>0</v>
      </c>
      <c r="BB702" s="185">
        <f t="shared" si="2847"/>
        <v>0</v>
      </c>
      <c r="BC702" s="185"/>
      <c r="BD702" s="193">
        <f>SUM(G702:BC702)</f>
        <v>0</v>
      </c>
    </row>
    <row r="703" spans="1:56" ht="14.4" hidden="1" thickTop="1" x14ac:dyDescent="0.3">
      <c r="A703" s="184" t="str">
        <f ca="1">Language!A$919</f>
        <v>амортизация (налоговая)</v>
      </c>
      <c r="B703" s="216"/>
      <c r="C703" s="163" t="str">
        <f t="shared" ca="1" si="2822"/>
        <v>руб.</v>
      </c>
      <c r="D703" s="174">
        <v>1</v>
      </c>
      <c r="E703" s="170" t="s">
        <v>760</v>
      </c>
      <c r="F703" s="170" t="s">
        <v>743</v>
      </c>
      <c r="G703" s="185">
        <f ca="1">IF(SUM($G689:G689)&gt;0.01,0,$B684*G694*IF($B685=0,1,(1+$B687))+IF($B683=0,0,MIN((SUM($G694:G694)-IF(G$2&gt;$B683*12/Prj_Step,SUM($G694:OFFSET(G694,0,-$B683*12/Prj_Step)),0))*IF($B685=0,1,(1+$B687))*(1-$B684)/$B683/12*Параметры!G$31,IF(G$2=1,G694*IF($B685=0,1,(1+$B687)),F704+SUM($F694:G694)*(1-$B684)*IF($B685=0,1,(1+$B687))-SUM($F694:F694)*(1-$B684)*IF($B685=0,1,(1+$B687))))))</f>
        <v>0</v>
      </c>
      <c r="H703" s="185">
        <f ca="1">IF(SUM($G689:H689)&gt;0.01,0,$B684*H694*IF($B685=0,1,(1+$B687))+IF($B683=0,0,MIN((SUM($G694:H694)-IF(H$2&gt;$B683*12/Prj_Step,SUM($G694:OFFSET(H694,0,-$B683*12/Prj_Step)),0))*IF($B685=0,1,(1+$B687))*(1-$B684)/$B683/12*Параметры!H$31,IF(H$2=1,H694*IF($B685=0,1,(1+$B687)),G704+SUM($F694:H694)*(1-$B684)*IF($B685=0,1,(1+$B687))-SUM($F694:G694)*(1-$B684)*IF($B685=0,1,(1+$B687))))))</f>
        <v>0</v>
      </c>
      <c r="I703" s="185">
        <f ca="1">IF(SUM($G689:I689)&gt;0.01,0,$B684*I694*IF($B685=0,1,(1+$B687))+IF($B683=0,0,MIN((SUM($G694:I694)-IF(I$2&gt;$B683*12/Prj_Step,SUM($G694:OFFSET(I694,0,-$B683*12/Prj_Step)),0))*IF($B685=0,1,(1+$B687))*(1-$B684)/$B683/12*Параметры!I$31,IF(I$2=1,I694*IF($B685=0,1,(1+$B687)),H704+SUM($F694:I694)*(1-$B684)*IF($B685=0,1,(1+$B687))-SUM($F694:H694)*(1-$B684)*IF($B685=0,1,(1+$B687))))))</f>
        <v>0</v>
      </c>
      <c r="J703" s="185">
        <f ca="1">IF(SUM($G689:J689)&gt;0.01,0,$B684*J694*IF($B685=0,1,(1+$B687))+IF($B683=0,0,MIN((SUM($G694:J694)-IF(J$2&gt;$B683*12/Prj_Step,SUM($G694:OFFSET(J694,0,-$B683*12/Prj_Step)),0))*IF($B685=0,1,(1+$B687))*(1-$B684)/$B683/12*Параметры!J$31,IF(J$2=1,J694*IF($B685=0,1,(1+$B687)),I704+SUM($F694:J694)*(1-$B684)*IF($B685=0,1,(1+$B687))-SUM($F694:I694)*(1-$B684)*IF($B685=0,1,(1+$B687))))))</f>
        <v>0</v>
      </c>
      <c r="K703" s="185">
        <f ca="1">IF(SUM($G689:K689)&gt;0.01,0,$B684*K694*IF($B685=0,1,(1+$B687))+IF($B683=0,0,MIN((SUM($G694:K694)-IF(K$2&gt;$B683*12/Prj_Step,SUM($G694:OFFSET(K694,0,-$B683*12/Prj_Step)),0))*IF($B685=0,1,(1+$B687))*(1-$B684)/$B683/12*Параметры!K$31,IF(K$2=1,K694*IF($B685=0,1,(1+$B687)),J704+SUM($F694:K694)*(1-$B684)*IF($B685=0,1,(1+$B687))-SUM($F694:J694)*(1-$B684)*IF($B685=0,1,(1+$B687))))))</f>
        <v>0</v>
      </c>
      <c r="L703" s="185">
        <f ca="1">IF(SUM($G689:L689)&gt;0.01,0,$B684*L694*IF($B685=0,1,(1+$B687))+IF($B683=0,0,MIN((SUM($G694:L694)-IF(L$2&gt;$B683*12/Prj_Step,SUM($G694:OFFSET(L694,0,-$B683*12/Prj_Step)),0))*IF($B685=0,1,(1+$B687))*(1-$B684)/$B683/12*Параметры!L$31,IF(L$2=1,L694*IF($B685=0,1,(1+$B687)),K704+SUM($F694:L694)*(1-$B684)*IF($B685=0,1,(1+$B687))-SUM($F694:K694)*(1-$B684)*IF($B685=0,1,(1+$B687))))))</f>
        <v>0</v>
      </c>
      <c r="M703" s="185">
        <f ca="1">IF(SUM($G689:M689)&gt;0.01,0,$B684*M694*IF($B685=0,1,(1+$B687))+IF($B683=0,0,MIN((SUM($G694:M694)-IF(M$2&gt;$B683*12/Prj_Step,SUM($G694:OFFSET(M694,0,-$B683*12/Prj_Step)),0))*IF($B685=0,1,(1+$B687))*(1-$B684)/$B683/12*Параметры!M$31,IF(M$2=1,M694*IF($B685=0,1,(1+$B687)),L704+SUM($F694:M694)*(1-$B684)*IF($B685=0,1,(1+$B687))-SUM($F694:L694)*(1-$B684)*IF($B685=0,1,(1+$B687))))))</f>
        <v>0</v>
      </c>
      <c r="N703" s="185">
        <f ca="1">IF(SUM($G689:N689)&gt;0.01,0,$B684*N694*IF($B685=0,1,(1+$B687))+IF($B683=0,0,MIN((SUM($G694:N694)-IF(N$2&gt;$B683*12/Prj_Step,SUM($G694:OFFSET(N694,0,-$B683*12/Prj_Step)),0))*IF($B685=0,1,(1+$B687))*(1-$B684)/$B683/12*Параметры!N$31,IF(N$2=1,N694*IF($B685=0,1,(1+$B687)),M704+SUM($F694:N694)*(1-$B684)*IF($B685=0,1,(1+$B687))-SUM($F694:M694)*(1-$B684)*IF($B685=0,1,(1+$B687))))))</f>
        <v>0</v>
      </c>
      <c r="O703" s="185">
        <f ca="1">IF(SUM($G689:O689)&gt;0.01,0,$B684*O694*IF($B685=0,1,(1+$B687))+IF($B683=0,0,MIN((SUM($G694:O694)-IF(O$2&gt;$B683*12/Prj_Step,SUM($G694:OFFSET(O694,0,-$B683*12/Prj_Step)),0))*IF($B685=0,1,(1+$B687))*(1-$B684)/$B683/12*Параметры!O$31,IF(O$2=1,O694*IF($B685=0,1,(1+$B687)),N704+SUM($F694:O694)*(1-$B684)*IF($B685=0,1,(1+$B687))-SUM($F694:N694)*(1-$B684)*IF($B685=0,1,(1+$B687))))))</f>
        <v>0</v>
      </c>
      <c r="P703" s="185">
        <f ca="1">IF(SUM($G689:P689)&gt;0.01,0,$B684*P694*IF($B685=0,1,(1+$B687))+IF($B683=0,0,MIN((SUM($G694:P694)-IF(P$2&gt;$B683*12/Prj_Step,SUM($G694:OFFSET(P694,0,-$B683*12/Prj_Step)),0))*IF($B685=0,1,(1+$B687))*(1-$B684)/$B683/12*Параметры!P$31,IF(P$2=1,P694*IF($B685=0,1,(1+$B687)),O704+SUM($F694:P694)*(1-$B684)*IF($B685=0,1,(1+$B687))-SUM($F694:O694)*(1-$B684)*IF($B685=0,1,(1+$B687))))))</f>
        <v>0</v>
      </c>
      <c r="Q703" s="185">
        <f ca="1">IF(SUM($G689:Q689)&gt;0.01,0,$B684*Q694*IF($B685=0,1,(1+$B687))+IF($B683=0,0,MIN((SUM($G694:Q694)-IF(Q$2&gt;$B683*12/Prj_Step,SUM($G694:OFFSET(Q694,0,-$B683*12/Prj_Step)),0))*IF($B685=0,1,(1+$B687))*(1-$B684)/$B683/12*Параметры!Q$31,IF(Q$2=1,Q694*IF($B685=0,1,(1+$B687)),P704+SUM($F694:Q694)*(1-$B684)*IF($B685=0,1,(1+$B687))-SUM($F694:P694)*(1-$B684)*IF($B685=0,1,(1+$B687))))))</f>
        <v>0</v>
      </c>
      <c r="R703" s="185">
        <f ca="1">IF(SUM($G689:R689)&gt;0.01,0,$B684*R694*IF($B685=0,1,(1+$B687))+IF($B683=0,0,MIN((SUM($G694:R694)-IF(R$2&gt;$B683*12/Prj_Step,SUM($G694:OFFSET(R694,0,-$B683*12/Prj_Step)),0))*IF($B685=0,1,(1+$B687))*(1-$B684)/$B683/12*Параметры!R$31,IF(R$2=1,R694*IF($B685=0,1,(1+$B687)),Q704+SUM($F694:R694)*(1-$B684)*IF($B685=0,1,(1+$B687))-SUM($F694:Q694)*(1-$B684)*IF($B685=0,1,(1+$B687))))))</f>
        <v>0</v>
      </c>
      <c r="S703" s="185">
        <f ca="1">IF(SUM($G689:S689)&gt;0.01,0,$B684*S694*IF($B685=0,1,(1+$B687))+IF($B683=0,0,MIN((SUM($G694:S694)-IF(S$2&gt;$B683*12/Prj_Step,SUM($G694:OFFSET(S694,0,-$B683*12/Prj_Step)),0))*IF($B685=0,1,(1+$B687))*(1-$B684)/$B683/12*Параметры!S$31,IF(S$2=1,S694*IF($B685=0,1,(1+$B687)),R704+SUM($F694:S694)*(1-$B684)*IF($B685=0,1,(1+$B687))-SUM($F694:R694)*(1-$B684)*IF($B685=0,1,(1+$B687))))))</f>
        <v>0</v>
      </c>
      <c r="T703" s="185">
        <f ca="1">IF(SUM($G689:T689)&gt;0.01,0,$B684*T694*IF($B685=0,1,(1+$B687))+IF($B683=0,0,MIN((SUM($G694:T694)-IF(T$2&gt;$B683*12/Prj_Step,SUM($G694:OFFSET(T694,0,-$B683*12/Prj_Step)),0))*IF($B685=0,1,(1+$B687))*(1-$B684)/$B683/12*Параметры!T$31,IF(T$2=1,T694*IF($B685=0,1,(1+$B687)),S704+SUM($F694:T694)*(1-$B684)*IF($B685=0,1,(1+$B687))-SUM($F694:S694)*(1-$B684)*IF($B685=0,1,(1+$B687))))))</f>
        <v>0</v>
      </c>
      <c r="U703" s="185">
        <f ca="1">IF(SUM($G689:U689)&gt;0.01,0,$B684*U694*IF($B685=0,1,(1+$B687))+IF($B683=0,0,MIN((SUM($G694:U694)-IF(U$2&gt;$B683*12/Prj_Step,SUM($G694:OFFSET(U694,0,-$B683*12/Prj_Step)),0))*IF($B685=0,1,(1+$B687))*(1-$B684)/$B683/12*Параметры!U$31,IF(U$2=1,U694*IF($B685=0,1,(1+$B687)),T704+SUM($F694:U694)*(1-$B684)*IF($B685=0,1,(1+$B687))-SUM($F694:T694)*(1-$B684)*IF($B685=0,1,(1+$B687))))))</f>
        <v>0</v>
      </c>
      <c r="V703" s="185">
        <f ca="1">IF(SUM($G689:V689)&gt;0.01,0,$B684*V694*IF($B685=0,1,(1+$B687))+IF($B683=0,0,MIN((SUM($G694:V694)-IF(V$2&gt;$B683*12/Prj_Step,SUM($G694:OFFSET(V694,0,-$B683*12/Prj_Step)),0))*IF($B685=0,1,(1+$B687))*(1-$B684)/$B683/12*Параметры!V$31,IF(V$2=1,V694*IF($B685=0,1,(1+$B687)),U704+SUM($F694:V694)*(1-$B684)*IF($B685=0,1,(1+$B687))-SUM($F694:U694)*(1-$B684)*IF($B685=0,1,(1+$B687))))))</f>
        <v>0</v>
      </c>
      <c r="W703" s="185">
        <f ca="1">IF(SUM($G689:W689)&gt;0.01,0,$B684*W694*IF($B685=0,1,(1+$B687))+IF($B683=0,0,MIN((SUM($G694:W694)-IF(W$2&gt;$B683*12/Prj_Step,SUM($G694:OFFSET(W694,0,-$B683*12/Prj_Step)),0))*IF($B685=0,1,(1+$B687))*(1-$B684)/$B683/12*Параметры!W$31,IF(W$2=1,W694*IF($B685=0,1,(1+$B687)),V704+SUM($F694:W694)*(1-$B684)*IF($B685=0,1,(1+$B687))-SUM($F694:V694)*(1-$B684)*IF($B685=0,1,(1+$B687))))))</f>
        <v>0</v>
      </c>
      <c r="X703" s="185">
        <f ca="1">IF(SUM($G689:X689)&gt;0.01,0,$B684*X694*IF($B685=0,1,(1+$B687))+IF($B683=0,0,MIN((SUM($G694:X694)-IF(X$2&gt;$B683*12/Prj_Step,SUM($G694:OFFSET(X694,0,-$B683*12/Prj_Step)),0))*IF($B685=0,1,(1+$B687))*(1-$B684)/$B683/12*Параметры!X$31,IF(X$2=1,X694*IF($B685=0,1,(1+$B687)),W704+SUM($F694:X694)*(1-$B684)*IF($B685=0,1,(1+$B687))-SUM($F694:W694)*(1-$B684)*IF($B685=0,1,(1+$B687))))))</f>
        <v>0</v>
      </c>
      <c r="Y703" s="185">
        <f ca="1">IF(SUM($G689:Y689)&gt;0.01,0,$B684*Y694*IF($B685=0,1,(1+$B687))+IF($B683=0,0,MIN((SUM($G694:Y694)-IF(Y$2&gt;$B683*12/Prj_Step,SUM($G694:OFFSET(Y694,0,-$B683*12/Prj_Step)),0))*IF($B685=0,1,(1+$B687))*(1-$B684)/$B683/12*Параметры!Y$31,IF(Y$2=1,Y694*IF($B685=0,1,(1+$B687)),X704+SUM($F694:Y694)*(1-$B684)*IF($B685=0,1,(1+$B687))-SUM($F694:X694)*(1-$B684)*IF($B685=0,1,(1+$B687))))))</f>
        <v>0</v>
      </c>
      <c r="Z703" s="185">
        <f ca="1">IF(SUM($G689:Z689)&gt;0.01,0,$B684*Z694*IF($B685=0,1,(1+$B687))+IF($B683=0,0,MIN((SUM($G694:Z694)-IF(Z$2&gt;$B683*12/Prj_Step,SUM($G694:OFFSET(Z694,0,-$B683*12/Prj_Step)),0))*IF($B685=0,1,(1+$B687))*(1-$B684)/$B683/12*Параметры!Z$31,IF(Z$2=1,Z694*IF($B685=0,1,(1+$B687)),Y704+SUM($F694:Z694)*(1-$B684)*IF($B685=0,1,(1+$B687))-SUM($F694:Y694)*(1-$B684)*IF($B685=0,1,(1+$B687))))))</f>
        <v>0</v>
      </c>
      <c r="AA703" s="185">
        <f ca="1">IF(SUM($G689:AA689)&gt;0.01,0,$B684*AA694*IF($B685=0,1,(1+$B687))+IF($B683=0,0,MIN((SUM($G694:AA694)-IF(AA$2&gt;$B683*12/Prj_Step,SUM($G694:OFFSET(AA694,0,-$B683*12/Prj_Step)),0))*IF($B685=0,1,(1+$B687))*(1-$B684)/$B683/12*Параметры!AA$31,IF(AA$2=1,AA694*IF($B685=0,1,(1+$B687)),Z704+SUM($F694:AA694)*(1-$B684)*IF($B685=0,1,(1+$B687))-SUM($F694:Z694)*(1-$B684)*IF($B685=0,1,(1+$B687))))))</f>
        <v>0</v>
      </c>
      <c r="AB703" s="185">
        <f ca="1">IF(SUM($G689:AB689)&gt;0.01,0,$B684*AB694*IF($B685=0,1,(1+$B687))+IF($B683=0,0,MIN((SUM($G694:AB694)-IF(AB$2&gt;$B683*12/Prj_Step,SUM($G694:OFFSET(AB694,0,-$B683*12/Prj_Step)),0))*IF($B685=0,1,(1+$B687))*(1-$B684)/$B683/12*Параметры!AB$31,IF(AB$2=1,AB694*IF($B685=0,1,(1+$B687)),AA704+SUM($F694:AB694)*(1-$B684)*IF($B685=0,1,(1+$B687))-SUM($F694:AA694)*(1-$B684)*IF($B685=0,1,(1+$B687))))))</f>
        <v>0</v>
      </c>
      <c r="AC703" s="185">
        <f ca="1">IF(SUM($G689:AC689)&gt;0.01,0,$B684*AC694*IF($B685=0,1,(1+$B687))+IF($B683=0,0,MIN((SUM($G694:AC694)-IF(AC$2&gt;$B683*12/Prj_Step,SUM($G694:OFFSET(AC694,0,-$B683*12/Prj_Step)),0))*IF($B685=0,1,(1+$B687))*(1-$B684)/$B683/12*Параметры!AC$31,IF(AC$2=1,AC694*IF($B685=0,1,(1+$B687)),AB704+SUM($F694:AC694)*(1-$B684)*IF($B685=0,1,(1+$B687))-SUM($F694:AB694)*(1-$B684)*IF($B685=0,1,(1+$B687))))))</f>
        <v>0</v>
      </c>
      <c r="AD703" s="185">
        <f ca="1">IF(SUM($G689:AD689)&gt;0.01,0,$B684*AD694*IF($B685=0,1,(1+$B687))+IF($B683=0,0,MIN((SUM($G694:AD694)-IF(AD$2&gt;$B683*12/Prj_Step,SUM($G694:OFFSET(AD694,0,-$B683*12/Prj_Step)),0))*IF($B685=0,1,(1+$B687))*(1-$B684)/$B683/12*Параметры!AD$31,IF(AD$2=1,AD694*IF($B685=0,1,(1+$B687)),AC704+SUM($F694:AD694)*(1-$B684)*IF($B685=0,1,(1+$B687))-SUM($F694:AC694)*(1-$B684)*IF($B685=0,1,(1+$B687))))))</f>
        <v>0</v>
      </c>
      <c r="AE703" s="185">
        <f ca="1">IF(SUM($G689:AE689)&gt;0.01,0,$B684*AE694*IF($B685=0,1,(1+$B687))+IF($B683=0,0,MIN((SUM($G694:AE694)-IF(AE$2&gt;$B683*12/Prj_Step,SUM($G694:OFFSET(AE694,0,-$B683*12/Prj_Step)),0))*IF($B685=0,1,(1+$B687))*(1-$B684)/$B683/12*Параметры!AE$31,IF(AE$2=1,AE694*IF($B685=0,1,(1+$B687)),AD704+SUM($F694:AE694)*(1-$B684)*IF($B685=0,1,(1+$B687))-SUM($F694:AD694)*(1-$B684)*IF($B685=0,1,(1+$B687))))))</f>
        <v>0</v>
      </c>
      <c r="AF703" s="185">
        <f ca="1">IF(SUM($G689:AF689)&gt;0.01,0,$B684*AF694*IF($B685=0,1,(1+$B687))+IF($B683=0,0,MIN((SUM($G694:AF694)-IF(AF$2&gt;$B683*12/Prj_Step,SUM($G694:OFFSET(AF694,0,-$B683*12/Prj_Step)),0))*IF($B685=0,1,(1+$B687))*(1-$B684)/$B683/12*Параметры!AF$31,IF(AF$2=1,AF694*IF($B685=0,1,(1+$B687)),AE704+SUM($F694:AF694)*(1-$B684)*IF($B685=0,1,(1+$B687))-SUM($F694:AE694)*(1-$B684)*IF($B685=0,1,(1+$B687))))))</f>
        <v>0</v>
      </c>
      <c r="AG703" s="185">
        <f ca="1">IF(SUM($G689:AG689)&gt;0.01,0,$B684*AG694*IF($B685=0,1,(1+$B687))+IF($B683=0,0,MIN((SUM($G694:AG694)-IF(AG$2&gt;$B683*12/Prj_Step,SUM($G694:OFFSET(AG694,0,-$B683*12/Prj_Step)),0))*IF($B685=0,1,(1+$B687))*(1-$B684)/$B683/12*Параметры!AG$31,IF(AG$2=1,AG694*IF($B685=0,1,(1+$B687)),AF704+SUM($F694:AG694)*(1-$B684)*IF($B685=0,1,(1+$B687))-SUM($F694:AF694)*(1-$B684)*IF($B685=0,1,(1+$B687))))))</f>
        <v>0</v>
      </c>
      <c r="AH703" s="185">
        <f ca="1">IF(SUM($G689:AH689)&gt;0.01,0,$B684*AH694*IF($B685=0,1,(1+$B687))+IF($B683=0,0,MIN((SUM($G694:AH694)-IF(AH$2&gt;$B683*12/Prj_Step,SUM($G694:OFFSET(AH694,0,-$B683*12/Prj_Step)),0))*IF($B685=0,1,(1+$B687))*(1-$B684)/$B683/12*Параметры!AH$31,IF(AH$2=1,AH694*IF($B685=0,1,(1+$B687)),AG704+SUM($F694:AH694)*(1-$B684)*IF($B685=0,1,(1+$B687))-SUM($F694:AG694)*(1-$B684)*IF($B685=0,1,(1+$B687))))))</f>
        <v>0</v>
      </c>
      <c r="AI703" s="185">
        <f ca="1">IF(SUM($G689:AI689)&gt;0.01,0,$B684*AI694*IF($B685=0,1,(1+$B687))+IF($B683=0,0,MIN((SUM($G694:AI694)-IF(AI$2&gt;$B683*12/Prj_Step,SUM($G694:OFFSET(AI694,0,-$B683*12/Prj_Step)),0))*IF($B685=0,1,(1+$B687))*(1-$B684)/$B683/12*Параметры!AI$31,IF(AI$2=1,AI694*IF($B685=0,1,(1+$B687)),AH704+SUM($F694:AI694)*(1-$B684)*IF($B685=0,1,(1+$B687))-SUM($F694:AH694)*(1-$B684)*IF($B685=0,1,(1+$B687))))))</f>
        <v>0</v>
      </c>
      <c r="AJ703" s="185">
        <f ca="1">IF(SUM($G689:AJ689)&gt;0.01,0,$B684*AJ694*IF($B685=0,1,(1+$B687))+IF($B683=0,0,MIN((SUM($G694:AJ694)-IF(AJ$2&gt;$B683*12/Prj_Step,SUM($G694:OFFSET(AJ694,0,-$B683*12/Prj_Step)),0))*IF($B685=0,1,(1+$B687))*(1-$B684)/$B683/12*Параметры!AJ$31,IF(AJ$2=1,AJ694*IF($B685=0,1,(1+$B687)),AI704+SUM($F694:AJ694)*(1-$B684)*IF($B685=0,1,(1+$B687))-SUM($F694:AI694)*(1-$B684)*IF($B685=0,1,(1+$B687))))))</f>
        <v>0</v>
      </c>
      <c r="AK703" s="185">
        <f ca="1">IF(SUM($G689:AK689)&gt;0.01,0,$B684*AK694*IF($B685=0,1,(1+$B687))+IF($B683=0,0,MIN((SUM($G694:AK694)-IF(AK$2&gt;$B683*12/Prj_Step,SUM($G694:OFFSET(AK694,0,-$B683*12/Prj_Step)),0))*IF($B685=0,1,(1+$B687))*(1-$B684)/$B683/12*Параметры!AK$31,IF(AK$2=1,AK694*IF($B685=0,1,(1+$B687)),AJ704+SUM($F694:AK694)*(1-$B684)*IF($B685=0,1,(1+$B687))-SUM($F694:AJ694)*(1-$B684)*IF($B685=0,1,(1+$B687))))))</f>
        <v>0</v>
      </c>
      <c r="AL703" s="185">
        <f ca="1">IF(SUM($G689:AL689)&gt;0.01,0,$B684*AL694*IF($B685=0,1,(1+$B687))+IF($B683=0,0,MIN((SUM($G694:AL694)-IF(AL$2&gt;$B683*12/Prj_Step,SUM($G694:OFFSET(AL694,0,-$B683*12/Prj_Step)),0))*IF($B685=0,1,(1+$B687))*(1-$B684)/$B683/12*Параметры!AL$31,IF(AL$2=1,AL694*IF($B685=0,1,(1+$B687)),AK704+SUM($F694:AL694)*(1-$B684)*IF($B685=0,1,(1+$B687))-SUM($F694:AK694)*(1-$B684)*IF($B685=0,1,(1+$B687))))))</f>
        <v>0</v>
      </c>
      <c r="AM703" s="185">
        <f ca="1">IF(SUM($G689:AM689)&gt;0.01,0,$B684*AM694*IF($B685=0,1,(1+$B687))+IF($B683=0,0,MIN((SUM($G694:AM694)-IF(AM$2&gt;$B683*12/Prj_Step,SUM($G694:OFFSET(AM694,0,-$B683*12/Prj_Step)),0))*IF($B685=0,1,(1+$B687))*(1-$B684)/$B683/12*Параметры!AM$31,IF(AM$2=1,AM694*IF($B685=0,1,(1+$B687)),AL704+SUM($F694:AM694)*(1-$B684)*IF($B685=0,1,(1+$B687))-SUM($F694:AL694)*(1-$B684)*IF($B685=0,1,(1+$B687))))))</f>
        <v>0</v>
      </c>
      <c r="AN703" s="185">
        <f ca="1">IF(SUM($G689:AN689)&gt;0.01,0,$B684*AN694*IF($B685=0,1,(1+$B687))+IF($B683=0,0,MIN((SUM($G694:AN694)-IF(AN$2&gt;$B683*12/Prj_Step,SUM($G694:OFFSET(AN694,0,-$B683*12/Prj_Step)),0))*IF($B685=0,1,(1+$B687))*(1-$B684)/$B683/12*Параметры!AN$31,IF(AN$2=1,AN694*IF($B685=0,1,(1+$B687)),AM704+SUM($F694:AN694)*(1-$B684)*IF($B685=0,1,(1+$B687))-SUM($F694:AM694)*(1-$B684)*IF($B685=0,1,(1+$B687))))))</f>
        <v>0</v>
      </c>
      <c r="AO703" s="185">
        <f ca="1">IF(SUM($G689:AO689)&gt;0.01,0,$B684*AO694*IF($B685=0,1,(1+$B687))+IF($B683=0,0,MIN((SUM($G694:AO694)-IF(AO$2&gt;$B683*12/Prj_Step,SUM($G694:OFFSET(AO694,0,-$B683*12/Prj_Step)),0))*IF($B685=0,1,(1+$B687))*(1-$B684)/$B683/12*Параметры!AO$31,IF(AO$2=1,AO694*IF($B685=0,1,(1+$B687)),AN704+SUM($F694:AO694)*(1-$B684)*IF($B685=0,1,(1+$B687))-SUM($F694:AN694)*(1-$B684)*IF($B685=0,1,(1+$B687))))))</f>
        <v>0</v>
      </c>
      <c r="AP703" s="185">
        <f ca="1">IF(SUM($G689:AP689)&gt;0.01,0,$B684*AP694*IF($B685=0,1,(1+$B687))+IF($B683=0,0,MIN((SUM($G694:AP694)-IF(AP$2&gt;$B683*12/Prj_Step,SUM($G694:OFFSET(AP694,0,-$B683*12/Prj_Step)),0))*IF($B685=0,1,(1+$B687))*(1-$B684)/$B683/12*Параметры!AP$31,IF(AP$2=1,AP694*IF($B685=0,1,(1+$B687)),AO704+SUM($F694:AP694)*(1-$B684)*IF($B685=0,1,(1+$B687))-SUM($F694:AO694)*(1-$B684)*IF($B685=0,1,(1+$B687))))))</f>
        <v>0</v>
      </c>
      <c r="AQ703" s="185">
        <f ca="1">IF(SUM($G689:AQ689)&gt;0.01,0,$B684*AQ694*IF($B685=0,1,(1+$B687))+IF($B683=0,0,MIN((SUM($G694:AQ694)-IF(AQ$2&gt;$B683*12/Prj_Step,SUM($G694:OFFSET(AQ694,0,-$B683*12/Prj_Step)),0))*IF($B685=0,1,(1+$B687))*(1-$B684)/$B683/12*Параметры!AQ$31,IF(AQ$2=1,AQ694*IF($B685=0,1,(1+$B687)),AP704+SUM($F694:AQ694)*(1-$B684)*IF($B685=0,1,(1+$B687))-SUM($F694:AP694)*(1-$B684)*IF($B685=0,1,(1+$B687))))))</f>
        <v>0</v>
      </c>
      <c r="AR703" s="185">
        <f ca="1">IF(SUM($G689:AR689)&gt;0.01,0,$B684*AR694*IF($B685=0,1,(1+$B687))+IF($B683=0,0,MIN((SUM($G694:AR694)-IF(AR$2&gt;$B683*12/Prj_Step,SUM($G694:OFFSET(AR694,0,-$B683*12/Prj_Step)),0))*IF($B685=0,1,(1+$B687))*(1-$B684)/$B683/12*Параметры!AR$31,IF(AR$2=1,AR694*IF($B685=0,1,(1+$B687)),AQ704+SUM($F694:AR694)*(1-$B684)*IF($B685=0,1,(1+$B687))-SUM($F694:AQ694)*(1-$B684)*IF($B685=0,1,(1+$B687))))))</f>
        <v>0</v>
      </c>
      <c r="AS703" s="185">
        <f ca="1">IF(SUM($G689:AS689)&gt;0.01,0,$B684*AS694*IF($B685=0,1,(1+$B687))+IF($B683=0,0,MIN((SUM($G694:AS694)-IF(AS$2&gt;$B683*12/Prj_Step,SUM($G694:OFFSET(AS694,0,-$B683*12/Prj_Step)),0))*IF($B685=0,1,(1+$B687))*(1-$B684)/$B683/12*Параметры!AS$31,IF(AS$2=1,AS694*IF($B685=0,1,(1+$B687)),AR704+SUM($F694:AS694)*(1-$B684)*IF($B685=0,1,(1+$B687))-SUM($F694:AR694)*(1-$B684)*IF($B685=0,1,(1+$B687))))))</f>
        <v>0</v>
      </c>
      <c r="AT703" s="185">
        <f ca="1">IF(SUM($G689:AT689)&gt;0.01,0,$B684*AT694*IF($B685=0,1,(1+$B687))+IF($B683=0,0,MIN((SUM($G694:AT694)-IF(AT$2&gt;$B683*12/Prj_Step,SUM($G694:OFFSET(AT694,0,-$B683*12/Prj_Step)),0))*IF($B685=0,1,(1+$B687))*(1-$B684)/$B683/12*Параметры!AT$31,IF(AT$2=1,AT694*IF($B685=0,1,(1+$B687)),AS704+SUM($F694:AT694)*(1-$B684)*IF($B685=0,1,(1+$B687))-SUM($F694:AS694)*(1-$B684)*IF($B685=0,1,(1+$B687))))))</f>
        <v>0</v>
      </c>
      <c r="AU703" s="185">
        <f ca="1">IF(SUM($G689:AU689)&gt;0.01,0,$B684*AU694*IF($B685=0,1,(1+$B687))+IF($B683=0,0,MIN((SUM($G694:AU694)-IF(AU$2&gt;$B683*12/Prj_Step,SUM($G694:OFFSET(AU694,0,-$B683*12/Prj_Step)),0))*IF($B685=0,1,(1+$B687))*(1-$B684)/$B683/12*Параметры!AU$31,IF(AU$2=1,AU694*IF($B685=0,1,(1+$B687)),AT704+SUM($F694:AU694)*(1-$B684)*IF($B685=0,1,(1+$B687))-SUM($F694:AT694)*(1-$B684)*IF($B685=0,1,(1+$B687))))))</f>
        <v>0</v>
      </c>
      <c r="AV703" s="185">
        <f ca="1">IF(SUM($G689:AV689)&gt;0.01,0,$B684*AV694*IF($B685=0,1,(1+$B687))+IF($B683=0,0,MIN((SUM($G694:AV694)-IF(AV$2&gt;$B683*12/Prj_Step,SUM($G694:OFFSET(AV694,0,-$B683*12/Prj_Step)),0))*IF($B685=0,1,(1+$B687))*(1-$B684)/$B683/12*Параметры!AV$31,IF(AV$2=1,AV694*IF($B685=0,1,(1+$B687)),AU704+SUM($F694:AV694)*(1-$B684)*IF($B685=0,1,(1+$B687))-SUM($F694:AU694)*(1-$B684)*IF($B685=0,1,(1+$B687))))))</f>
        <v>0</v>
      </c>
      <c r="AW703" s="185">
        <f ca="1">IF(SUM($G689:AW689)&gt;0.01,0,$B684*AW694*IF($B685=0,1,(1+$B687))+IF($B683=0,0,MIN((SUM($G694:AW694)-IF(AW$2&gt;$B683*12/Prj_Step,SUM($G694:OFFSET(AW694,0,-$B683*12/Prj_Step)),0))*IF($B685=0,1,(1+$B687))*(1-$B684)/$B683/12*Параметры!AW$31,IF(AW$2=1,AW694*IF($B685=0,1,(1+$B687)),AV704+SUM($F694:AW694)*(1-$B684)*IF($B685=0,1,(1+$B687))-SUM($F694:AV694)*(1-$B684)*IF($B685=0,1,(1+$B687))))))</f>
        <v>0</v>
      </c>
      <c r="AX703" s="185">
        <f ca="1">IF(SUM($G689:AX689)&gt;0.01,0,$B684*AX694*IF($B685=0,1,(1+$B687))+IF($B683=0,0,MIN((SUM($G694:AX694)-IF(AX$2&gt;$B683*12/Prj_Step,SUM($G694:OFFSET(AX694,0,-$B683*12/Prj_Step)),0))*IF($B685=0,1,(1+$B687))*(1-$B684)/$B683/12*Параметры!AX$31,IF(AX$2=1,AX694*IF($B685=0,1,(1+$B687)),AW704+SUM($F694:AX694)*(1-$B684)*IF($B685=0,1,(1+$B687))-SUM($F694:AW694)*(1-$B684)*IF($B685=0,1,(1+$B687))))))</f>
        <v>0</v>
      </c>
      <c r="AY703" s="185">
        <f ca="1">IF(SUM($G689:AY689)&gt;0.01,0,$B684*AY694*IF($B685=0,1,(1+$B687))+IF($B683=0,0,MIN((SUM($G694:AY694)-IF(AY$2&gt;$B683*12/Prj_Step,SUM($G694:OFFSET(AY694,0,-$B683*12/Prj_Step)),0))*IF($B685=0,1,(1+$B687))*(1-$B684)/$B683/12*Параметры!AY$31,IF(AY$2=1,AY694*IF($B685=0,1,(1+$B687)),AX704+SUM($F694:AY694)*(1-$B684)*IF($B685=0,1,(1+$B687))-SUM($F694:AX694)*(1-$B684)*IF($B685=0,1,(1+$B687))))))</f>
        <v>0</v>
      </c>
      <c r="AZ703" s="185">
        <f ca="1">IF(SUM($G689:AZ689)&gt;0.01,0,$B684*AZ694*IF($B685=0,1,(1+$B687))+IF($B683=0,0,MIN((SUM($G694:AZ694)-IF(AZ$2&gt;$B683*12/Prj_Step,SUM($G694:OFFSET(AZ694,0,-$B683*12/Prj_Step)),0))*IF($B685=0,1,(1+$B687))*(1-$B684)/$B683/12*Параметры!AZ$31,IF(AZ$2=1,AZ694*IF($B685=0,1,(1+$B687)),AY704+SUM($F694:AZ694)*(1-$B684)*IF($B685=0,1,(1+$B687))-SUM($F694:AY694)*(1-$B684)*IF($B685=0,1,(1+$B687))))))</f>
        <v>0</v>
      </c>
      <c r="BA703" s="185">
        <f ca="1">IF(SUM($G689:BA689)&gt;0.01,0,$B684*BA694*IF($B685=0,1,(1+$B687))+IF($B683=0,0,MIN((SUM($G694:BA694)-IF(BA$2&gt;$B683*12/Prj_Step,SUM($G694:OFFSET(BA694,0,-$B683*12/Prj_Step)),0))*IF($B685=0,1,(1+$B687))*(1-$B684)/$B683/12*Параметры!BA$31,IF(BA$2=1,BA694*IF($B685=0,1,(1+$B687)),AZ704+SUM($F694:BA694)*(1-$B684)*IF($B685=0,1,(1+$B687))-SUM($F694:AZ694)*(1-$B684)*IF($B685=0,1,(1+$B687))))))</f>
        <v>0</v>
      </c>
      <c r="BB703" s="185">
        <f ca="1">IF(SUM($G689:BB689)&gt;0.01,0,$B684*BB694*IF($B685=0,1,(1+$B687))+IF($B683=0,0,MIN((SUM($G694:BB694)-IF(BB$2&gt;$B683*12/Prj_Step,SUM($G694:OFFSET(BB694,0,-$B683*12/Prj_Step)),0))*IF($B685=0,1,(1+$B687))*(1-$B684)/$B683/12*Параметры!BB$31,IF(BB$2=1,BB694*IF($B685=0,1,(1+$B687)),BA704+SUM($F694:BB694)*(1-$B684)*IF($B685=0,1,(1+$B687))-SUM($F694:BA694)*(1-$B684)*IF($B685=0,1,(1+$B687))))))</f>
        <v>0</v>
      </c>
      <c r="BC703" s="185"/>
      <c r="BD703" s="193">
        <f ca="1">SUM(G703:BC703)</f>
        <v>0</v>
      </c>
    </row>
    <row r="704" spans="1:56" ht="14.4" hidden="1" thickTop="1" x14ac:dyDescent="0.3">
      <c r="A704" s="184" t="str">
        <f ca="1">Language!A$920</f>
        <v>балансовая стоимость (налоговая)</v>
      </c>
      <c r="B704" s="216"/>
      <c r="C704" s="163" t="str">
        <f t="shared" ca="1" si="2822"/>
        <v>руб.</v>
      </c>
      <c r="D704" s="174">
        <v>1</v>
      </c>
      <c r="E704" s="170" t="s">
        <v>761</v>
      </c>
      <c r="F704" s="170" t="s">
        <v>747</v>
      </c>
      <c r="G704" s="185">
        <f ca="1">IF(SUM($G689:G689)&gt;0.01,0,SUM($G694:G694)*IF($B685=0,1,(1+$B687))-SUM($G703:G703))</f>
        <v>0</v>
      </c>
      <c r="H704" s="185">
        <f ca="1">IF(SUM($G689:H689)&gt;0.01,0,SUM($G694:H694)*IF($B685=0,1,(1+$B687))-SUM($G703:H703))</f>
        <v>0</v>
      </c>
      <c r="I704" s="185">
        <f ca="1">IF(SUM($G689:I689)&gt;0.01,0,SUM($G694:I694)*IF($B685=0,1,(1+$B687))-SUM($G703:I703))</f>
        <v>0</v>
      </c>
      <c r="J704" s="185">
        <f ca="1">IF(SUM($G689:J689)&gt;0.01,0,SUM($G694:J694)*IF($B685=0,1,(1+$B687))-SUM($G703:J703))</f>
        <v>0</v>
      </c>
      <c r="K704" s="185">
        <f ca="1">IF(SUM($G689:K689)&gt;0.01,0,SUM($G694:K694)*IF($B685=0,1,(1+$B687))-SUM($G703:K703))</f>
        <v>0</v>
      </c>
      <c r="L704" s="185">
        <f ca="1">IF(SUM($G689:L689)&gt;0.01,0,SUM($G694:L694)*IF($B685=0,1,(1+$B687))-SUM($G703:L703))</f>
        <v>0</v>
      </c>
      <c r="M704" s="185">
        <f ca="1">IF(SUM($G689:M689)&gt;0.01,0,SUM($G694:M694)*IF($B685=0,1,(1+$B687))-SUM($G703:M703))</f>
        <v>0</v>
      </c>
      <c r="N704" s="185">
        <f ca="1">IF(SUM($G689:N689)&gt;0.01,0,SUM($G694:N694)*IF($B685=0,1,(1+$B687))-SUM($G703:N703))</f>
        <v>0</v>
      </c>
      <c r="O704" s="185">
        <f ca="1">IF(SUM($G689:O689)&gt;0.01,0,SUM($G694:O694)*IF($B685=0,1,(1+$B687))-SUM($G703:O703))</f>
        <v>0</v>
      </c>
      <c r="P704" s="185">
        <f ca="1">IF(SUM($G689:P689)&gt;0.01,0,SUM($G694:P694)*IF($B685=0,1,(1+$B687))-SUM($G703:P703))</f>
        <v>0</v>
      </c>
      <c r="Q704" s="185">
        <f ca="1">IF(SUM($G689:Q689)&gt;0.01,0,SUM($G694:Q694)*IF($B685=0,1,(1+$B687))-SUM($G703:Q703))</f>
        <v>0</v>
      </c>
      <c r="R704" s="185">
        <f ca="1">IF(SUM($G689:R689)&gt;0.01,0,SUM($G694:R694)*IF($B685=0,1,(1+$B687))-SUM($G703:R703))</f>
        <v>0</v>
      </c>
      <c r="S704" s="185">
        <f ca="1">IF(SUM($G689:S689)&gt;0.01,0,SUM($G694:S694)*IF($B685=0,1,(1+$B687))-SUM($G703:S703))</f>
        <v>0</v>
      </c>
      <c r="T704" s="185">
        <f ca="1">IF(SUM($G689:T689)&gt;0.01,0,SUM($G694:T694)*IF($B685=0,1,(1+$B687))-SUM($G703:T703))</f>
        <v>0</v>
      </c>
      <c r="U704" s="185">
        <f ca="1">IF(SUM($G689:U689)&gt;0.01,0,SUM($G694:U694)*IF($B685=0,1,(1+$B687))-SUM($G703:U703))</f>
        <v>0</v>
      </c>
      <c r="V704" s="185">
        <f ca="1">IF(SUM($G689:V689)&gt;0.01,0,SUM($G694:V694)*IF($B685=0,1,(1+$B687))-SUM($G703:V703))</f>
        <v>0</v>
      </c>
      <c r="W704" s="185">
        <f ca="1">IF(SUM($G689:W689)&gt;0.01,0,SUM($G694:W694)*IF($B685=0,1,(1+$B687))-SUM($G703:W703))</f>
        <v>0</v>
      </c>
      <c r="X704" s="185">
        <f ca="1">IF(SUM($G689:X689)&gt;0.01,0,SUM($G694:X694)*IF($B685=0,1,(1+$B687))-SUM($G703:X703))</f>
        <v>0</v>
      </c>
      <c r="Y704" s="185">
        <f ca="1">IF(SUM($G689:Y689)&gt;0.01,0,SUM($G694:Y694)*IF($B685=0,1,(1+$B687))-SUM($G703:Y703))</f>
        <v>0</v>
      </c>
      <c r="Z704" s="185">
        <f ca="1">IF(SUM($G689:Z689)&gt;0.01,0,SUM($G694:Z694)*IF($B685=0,1,(1+$B687))-SUM($G703:Z703))</f>
        <v>0</v>
      </c>
      <c r="AA704" s="185">
        <f ca="1">IF(SUM($G689:AA689)&gt;0.01,0,SUM($G694:AA694)*IF($B685=0,1,(1+$B687))-SUM($G703:AA703))</f>
        <v>0</v>
      </c>
      <c r="AB704" s="185">
        <f ca="1">IF(SUM($G689:AB689)&gt;0.01,0,SUM($G694:AB694)*IF($B685=0,1,(1+$B687))-SUM($G703:AB703))</f>
        <v>0</v>
      </c>
      <c r="AC704" s="185">
        <f ca="1">IF(SUM($G689:AC689)&gt;0.01,0,SUM($G694:AC694)*IF($B685=0,1,(1+$B687))-SUM($G703:AC703))</f>
        <v>0</v>
      </c>
      <c r="AD704" s="185">
        <f ca="1">IF(SUM($G689:AD689)&gt;0.01,0,SUM($G694:AD694)*IF($B685=0,1,(1+$B687))-SUM($G703:AD703))</f>
        <v>0</v>
      </c>
      <c r="AE704" s="185">
        <f ca="1">IF(SUM($G689:AE689)&gt;0.01,0,SUM($G694:AE694)*IF($B685=0,1,(1+$B687))-SUM($G703:AE703))</f>
        <v>0</v>
      </c>
      <c r="AF704" s="185">
        <f ca="1">IF(SUM($G689:AF689)&gt;0.01,0,SUM($G694:AF694)*IF($B685=0,1,(1+$B687))-SUM($G703:AF703))</f>
        <v>0</v>
      </c>
      <c r="AG704" s="185">
        <f ca="1">IF(SUM($G689:AG689)&gt;0.01,0,SUM($G694:AG694)*IF($B685=0,1,(1+$B687))-SUM($G703:AG703))</f>
        <v>0</v>
      </c>
      <c r="AH704" s="185">
        <f ca="1">IF(SUM($G689:AH689)&gt;0.01,0,SUM($G694:AH694)*IF($B685=0,1,(1+$B687))-SUM($G703:AH703))</f>
        <v>0</v>
      </c>
      <c r="AI704" s="185">
        <f ca="1">IF(SUM($G689:AI689)&gt;0.01,0,SUM($G694:AI694)*IF($B685=0,1,(1+$B687))-SUM($G703:AI703))</f>
        <v>0</v>
      </c>
      <c r="AJ704" s="185">
        <f ca="1">IF(SUM($G689:AJ689)&gt;0.01,0,SUM($G694:AJ694)*IF($B685=0,1,(1+$B687))-SUM($G703:AJ703))</f>
        <v>0</v>
      </c>
      <c r="AK704" s="185">
        <f ca="1">IF(SUM($G689:AK689)&gt;0.01,0,SUM($G694:AK694)*IF($B685=0,1,(1+$B687))-SUM($G703:AK703))</f>
        <v>0</v>
      </c>
      <c r="AL704" s="185">
        <f ca="1">IF(SUM($G689:AL689)&gt;0.01,0,SUM($G694:AL694)*IF($B685=0,1,(1+$B687))-SUM($G703:AL703))</f>
        <v>0</v>
      </c>
      <c r="AM704" s="185">
        <f ca="1">IF(SUM($G689:AM689)&gt;0.01,0,SUM($G694:AM694)*IF($B685=0,1,(1+$B687))-SUM($G703:AM703))</f>
        <v>0</v>
      </c>
      <c r="AN704" s="185">
        <f ca="1">IF(SUM($G689:AN689)&gt;0.01,0,SUM($G694:AN694)*IF($B685=0,1,(1+$B687))-SUM($G703:AN703))</f>
        <v>0</v>
      </c>
      <c r="AO704" s="185">
        <f ca="1">IF(SUM($G689:AO689)&gt;0.01,0,SUM($G694:AO694)*IF($B685=0,1,(1+$B687))-SUM($G703:AO703))</f>
        <v>0</v>
      </c>
      <c r="AP704" s="185">
        <f ca="1">IF(SUM($G689:AP689)&gt;0.01,0,SUM($G694:AP694)*IF($B685=0,1,(1+$B687))-SUM($G703:AP703))</f>
        <v>0</v>
      </c>
      <c r="AQ704" s="185">
        <f ca="1">IF(SUM($G689:AQ689)&gt;0.01,0,SUM($G694:AQ694)*IF($B685=0,1,(1+$B687))-SUM($G703:AQ703))</f>
        <v>0</v>
      </c>
      <c r="AR704" s="185">
        <f ca="1">IF(SUM($G689:AR689)&gt;0.01,0,SUM($G694:AR694)*IF($B685=0,1,(1+$B687))-SUM($G703:AR703))</f>
        <v>0</v>
      </c>
      <c r="AS704" s="185">
        <f ca="1">IF(SUM($G689:AS689)&gt;0.01,0,SUM($G694:AS694)*IF($B685=0,1,(1+$B687))-SUM($G703:AS703))</f>
        <v>0</v>
      </c>
      <c r="AT704" s="185">
        <f ca="1">IF(SUM($G689:AT689)&gt;0.01,0,SUM($G694:AT694)*IF($B685=0,1,(1+$B687))-SUM($G703:AT703))</f>
        <v>0</v>
      </c>
      <c r="AU704" s="185">
        <f ca="1">IF(SUM($G689:AU689)&gt;0.01,0,SUM($G694:AU694)*IF($B685=0,1,(1+$B687))-SUM($G703:AU703))</f>
        <v>0</v>
      </c>
      <c r="AV704" s="185">
        <f ca="1">IF(SUM($G689:AV689)&gt;0.01,0,SUM($G694:AV694)*IF($B685=0,1,(1+$B687))-SUM($G703:AV703))</f>
        <v>0</v>
      </c>
      <c r="AW704" s="185">
        <f ca="1">IF(SUM($G689:AW689)&gt;0.01,0,SUM($G694:AW694)*IF($B685=0,1,(1+$B687))-SUM($G703:AW703))</f>
        <v>0</v>
      </c>
      <c r="AX704" s="185">
        <f ca="1">IF(SUM($G689:AX689)&gt;0.01,0,SUM($G694:AX694)*IF($B685=0,1,(1+$B687))-SUM($G703:AX703))</f>
        <v>0</v>
      </c>
      <c r="AY704" s="185">
        <f ca="1">IF(SUM($G689:AY689)&gt;0.01,0,SUM($G694:AY694)*IF($B685=0,1,(1+$B687))-SUM($G703:AY703))</f>
        <v>0</v>
      </c>
      <c r="AZ704" s="185">
        <f ca="1">IF(SUM($G689:AZ689)&gt;0.01,0,SUM($G694:AZ694)*IF($B685=0,1,(1+$B687))-SUM($G703:AZ703))</f>
        <v>0</v>
      </c>
      <c r="BA704" s="185">
        <f ca="1">IF(SUM($G689:BA689)&gt;0.01,0,SUM($G694:BA694)*IF($B685=0,1,(1+$B687))-SUM($G703:BA703))</f>
        <v>0</v>
      </c>
      <c r="BB704" s="185">
        <f ca="1">IF(SUM($G689:BB689)&gt;0.01,0,SUM($G694:BB694)*IF($B685=0,1,(1+$B687))-SUM($G703:BB703))</f>
        <v>0</v>
      </c>
      <c r="BC704" s="185"/>
      <c r="BD704" s="193"/>
    </row>
    <row r="705" spans="1:56" ht="14.4" hidden="1" thickTop="1" x14ac:dyDescent="0.3">
      <c r="A705" s="184" t="str">
        <f ca="1">Language!A$921</f>
        <v>прибыль/убыток от продажи актива (бухгалтерская)</v>
      </c>
      <c r="B705" s="216"/>
      <c r="C705" s="163" t="str">
        <f t="shared" ca="1" si="2822"/>
        <v>руб.</v>
      </c>
      <c r="D705" s="174">
        <v>1</v>
      </c>
      <c r="E705" s="170" t="s">
        <v>762</v>
      </c>
      <c r="F705" s="170" t="s">
        <v>743</v>
      </c>
      <c r="G705" s="185">
        <f t="shared" ref="G705:BB705" si="2848">IF(G689=0,0,G689-IF(G$2=1,G690,F696+F700))</f>
        <v>0</v>
      </c>
      <c r="H705" s="185">
        <f t="shared" si="2848"/>
        <v>0</v>
      </c>
      <c r="I705" s="185">
        <f t="shared" si="2848"/>
        <v>0</v>
      </c>
      <c r="J705" s="185">
        <f t="shared" si="2848"/>
        <v>0</v>
      </c>
      <c r="K705" s="185">
        <f t="shared" si="2848"/>
        <v>0</v>
      </c>
      <c r="L705" s="185">
        <f t="shared" si="2848"/>
        <v>0</v>
      </c>
      <c r="M705" s="185">
        <f t="shared" si="2848"/>
        <v>0</v>
      </c>
      <c r="N705" s="185">
        <f t="shared" si="2848"/>
        <v>0</v>
      </c>
      <c r="O705" s="185">
        <f t="shared" si="2848"/>
        <v>0</v>
      </c>
      <c r="P705" s="185">
        <f t="shared" si="2848"/>
        <v>0</v>
      </c>
      <c r="Q705" s="185">
        <f t="shared" si="2848"/>
        <v>0</v>
      </c>
      <c r="R705" s="185">
        <f t="shared" si="2848"/>
        <v>0</v>
      </c>
      <c r="S705" s="185">
        <f t="shared" si="2848"/>
        <v>0</v>
      </c>
      <c r="T705" s="185">
        <f t="shared" si="2848"/>
        <v>0</v>
      </c>
      <c r="U705" s="185">
        <f t="shared" si="2848"/>
        <v>0</v>
      </c>
      <c r="V705" s="185">
        <f t="shared" si="2848"/>
        <v>0</v>
      </c>
      <c r="W705" s="185">
        <f t="shared" si="2848"/>
        <v>0</v>
      </c>
      <c r="X705" s="185">
        <f t="shared" si="2848"/>
        <v>0</v>
      </c>
      <c r="Y705" s="185">
        <f t="shared" si="2848"/>
        <v>0</v>
      </c>
      <c r="Z705" s="185">
        <f t="shared" si="2848"/>
        <v>0</v>
      </c>
      <c r="AA705" s="185">
        <f t="shared" si="2848"/>
        <v>0</v>
      </c>
      <c r="AB705" s="185">
        <f t="shared" si="2848"/>
        <v>0</v>
      </c>
      <c r="AC705" s="185">
        <f t="shared" si="2848"/>
        <v>0</v>
      </c>
      <c r="AD705" s="185">
        <f t="shared" si="2848"/>
        <v>0</v>
      </c>
      <c r="AE705" s="185">
        <f t="shared" si="2848"/>
        <v>0</v>
      </c>
      <c r="AF705" s="185">
        <f t="shared" si="2848"/>
        <v>0</v>
      </c>
      <c r="AG705" s="185">
        <f t="shared" si="2848"/>
        <v>0</v>
      </c>
      <c r="AH705" s="185">
        <f t="shared" si="2848"/>
        <v>0</v>
      </c>
      <c r="AI705" s="185">
        <f t="shared" si="2848"/>
        <v>0</v>
      </c>
      <c r="AJ705" s="185">
        <f t="shared" si="2848"/>
        <v>0</v>
      </c>
      <c r="AK705" s="185">
        <f t="shared" si="2848"/>
        <v>0</v>
      </c>
      <c r="AL705" s="185">
        <f t="shared" si="2848"/>
        <v>0</v>
      </c>
      <c r="AM705" s="185">
        <f t="shared" si="2848"/>
        <v>0</v>
      </c>
      <c r="AN705" s="185">
        <f t="shared" si="2848"/>
        <v>0</v>
      </c>
      <c r="AO705" s="185">
        <f t="shared" si="2848"/>
        <v>0</v>
      </c>
      <c r="AP705" s="185">
        <f t="shared" si="2848"/>
        <v>0</v>
      </c>
      <c r="AQ705" s="185">
        <f t="shared" si="2848"/>
        <v>0</v>
      </c>
      <c r="AR705" s="185">
        <f t="shared" si="2848"/>
        <v>0</v>
      </c>
      <c r="AS705" s="185">
        <f t="shared" si="2848"/>
        <v>0</v>
      </c>
      <c r="AT705" s="185">
        <f t="shared" si="2848"/>
        <v>0</v>
      </c>
      <c r="AU705" s="185">
        <f t="shared" si="2848"/>
        <v>0</v>
      </c>
      <c r="AV705" s="185">
        <f t="shared" si="2848"/>
        <v>0</v>
      </c>
      <c r="AW705" s="185">
        <f t="shared" si="2848"/>
        <v>0</v>
      </c>
      <c r="AX705" s="185">
        <f t="shared" si="2848"/>
        <v>0</v>
      </c>
      <c r="AY705" s="185">
        <f t="shared" si="2848"/>
        <v>0</v>
      </c>
      <c r="AZ705" s="185">
        <f t="shared" si="2848"/>
        <v>0</v>
      </c>
      <c r="BA705" s="185">
        <f t="shared" si="2848"/>
        <v>0</v>
      </c>
      <c r="BB705" s="185">
        <f t="shared" si="2848"/>
        <v>0</v>
      </c>
      <c r="BC705" s="185"/>
      <c r="BD705" s="193">
        <f>SUM(G705:BC705)</f>
        <v>0</v>
      </c>
    </row>
    <row r="706" spans="1:56" ht="14.4" hidden="1" thickTop="1" x14ac:dyDescent="0.3">
      <c r="A706" s="184" t="str">
        <f ca="1">Language!A$922</f>
        <v>прибыль/убыток от продажи актива (налоговая)</v>
      </c>
      <c r="B706" s="216"/>
      <c r="C706" s="163" t="str">
        <f t="shared" ca="1" si="2822"/>
        <v>руб.</v>
      </c>
      <c r="D706" s="174">
        <v>1</v>
      </c>
      <c r="E706" s="170" t="s">
        <v>763</v>
      </c>
      <c r="F706" s="170" t="s">
        <v>743</v>
      </c>
      <c r="G706" s="185">
        <f t="shared" ref="G706:BB706" si="2849">IF(G689=0,0,G689-IF(G$2=1,G690,F696+F704))</f>
        <v>0</v>
      </c>
      <c r="H706" s="185">
        <f t="shared" si="2849"/>
        <v>0</v>
      </c>
      <c r="I706" s="185">
        <f t="shared" si="2849"/>
        <v>0</v>
      </c>
      <c r="J706" s="185">
        <f t="shared" si="2849"/>
        <v>0</v>
      </c>
      <c r="K706" s="185">
        <f t="shared" si="2849"/>
        <v>0</v>
      </c>
      <c r="L706" s="185">
        <f t="shared" si="2849"/>
        <v>0</v>
      </c>
      <c r="M706" s="185">
        <f t="shared" si="2849"/>
        <v>0</v>
      </c>
      <c r="N706" s="185">
        <f t="shared" si="2849"/>
        <v>0</v>
      </c>
      <c r="O706" s="185">
        <f t="shared" si="2849"/>
        <v>0</v>
      </c>
      <c r="P706" s="185">
        <f t="shared" si="2849"/>
        <v>0</v>
      </c>
      <c r="Q706" s="185">
        <f t="shared" si="2849"/>
        <v>0</v>
      </c>
      <c r="R706" s="185">
        <f t="shared" si="2849"/>
        <v>0</v>
      </c>
      <c r="S706" s="185">
        <f t="shared" si="2849"/>
        <v>0</v>
      </c>
      <c r="T706" s="185">
        <f t="shared" si="2849"/>
        <v>0</v>
      </c>
      <c r="U706" s="185">
        <f t="shared" si="2849"/>
        <v>0</v>
      </c>
      <c r="V706" s="185">
        <f t="shared" si="2849"/>
        <v>0</v>
      </c>
      <c r="W706" s="185">
        <f t="shared" si="2849"/>
        <v>0</v>
      </c>
      <c r="X706" s="185">
        <f t="shared" si="2849"/>
        <v>0</v>
      </c>
      <c r="Y706" s="185">
        <f t="shared" si="2849"/>
        <v>0</v>
      </c>
      <c r="Z706" s="185">
        <f t="shared" si="2849"/>
        <v>0</v>
      </c>
      <c r="AA706" s="185">
        <f t="shared" si="2849"/>
        <v>0</v>
      </c>
      <c r="AB706" s="185">
        <f t="shared" si="2849"/>
        <v>0</v>
      </c>
      <c r="AC706" s="185">
        <f t="shared" si="2849"/>
        <v>0</v>
      </c>
      <c r="AD706" s="185">
        <f t="shared" si="2849"/>
        <v>0</v>
      </c>
      <c r="AE706" s="185">
        <f t="shared" si="2849"/>
        <v>0</v>
      </c>
      <c r="AF706" s="185">
        <f t="shared" si="2849"/>
        <v>0</v>
      </c>
      <c r="AG706" s="185">
        <f t="shared" si="2849"/>
        <v>0</v>
      </c>
      <c r="AH706" s="185">
        <f t="shared" si="2849"/>
        <v>0</v>
      </c>
      <c r="AI706" s="185">
        <f t="shared" si="2849"/>
        <v>0</v>
      </c>
      <c r="AJ706" s="185">
        <f t="shared" si="2849"/>
        <v>0</v>
      </c>
      <c r="AK706" s="185">
        <f t="shared" si="2849"/>
        <v>0</v>
      </c>
      <c r="AL706" s="185">
        <f t="shared" si="2849"/>
        <v>0</v>
      </c>
      <c r="AM706" s="185">
        <f t="shared" si="2849"/>
        <v>0</v>
      </c>
      <c r="AN706" s="185">
        <f t="shared" si="2849"/>
        <v>0</v>
      </c>
      <c r="AO706" s="185">
        <f t="shared" si="2849"/>
        <v>0</v>
      </c>
      <c r="AP706" s="185">
        <f t="shared" si="2849"/>
        <v>0</v>
      </c>
      <c r="AQ706" s="185">
        <f t="shared" si="2849"/>
        <v>0</v>
      </c>
      <c r="AR706" s="185">
        <f t="shared" si="2849"/>
        <v>0</v>
      </c>
      <c r="AS706" s="185">
        <f t="shared" si="2849"/>
        <v>0</v>
      </c>
      <c r="AT706" s="185">
        <f t="shared" si="2849"/>
        <v>0</v>
      </c>
      <c r="AU706" s="185">
        <f t="shared" si="2849"/>
        <v>0</v>
      </c>
      <c r="AV706" s="185">
        <f t="shared" si="2849"/>
        <v>0</v>
      </c>
      <c r="AW706" s="185">
        <f t="shared" si="2849"/>
        <v>0</v>
      </c>
      <c r="AX706" s="185">
        <f t="shared" si="2849"/>
        <v>0</v>
      </c>
      <c r="AY706" s="185">
        <f t="shared" si="2849"/>
        <v>0</v>
      </c>
      <c r="AZ706" s="185">
        <f t="shared" si="2849"/>
        <v>0</v>
      </c>
      <c r="BA706" s="185">
        <f t="shared" si="2849"/>
        <v>0</v>
      </c>
      <c r="BB706" s="185">
        <f t="shared" si="2849"/>
        <v>0</v>
      </c>
      <c r="BC706" s="185"/>
      <c r="BD706" s="193">
        <f>SUM(G706:BC706)</f>
        <v>0</v>
      </c>
    </row>
    <row r="707" spans="1:56" ht="14.4" hidden="1" thickTop="1" x14ac:dyDescent="0.3">
      <c r="A707" s="184" t="str">
        <f ca="1">Language!A$923</f>
        <v>НДС к выручке от продажи актива</v>
      </c>
      <c r="B707" s="216"/>
      <c r="C707" s="163" t="str">
        <f t="shared" ca="1" si="2822"/>
        <v>руб.</v>
      </c>
      <c r="D707" s="174">
        <v>1</v>
      </c>
      <c r="E707" s="170" t="s">
        <v>764</v>
      </c>
      <c r="F707" s="170" t="s">
        <v>743</v>
      </c>
      <c r="G707" s="185">
        <f t="shared" ref="G707:K707" si="2850">G689*G688</f>
        <v>0</v>
      </c>
      <c r="H707" s="185">
        <f t="shared" si="2850"/>
        <v>0</v>
      </c>
      <c r="I707" s="185">
        <f t="shared" si="2850"/>
        <v>0</v>
      </c>
      <c r="J707" s="185">
        <f t="shared" si="2850"/>
        <v>0</v>
      </c>
      <c r="K707" s="185">
        <f t="shared" si="2850"/>
        <v>0</v>
      </c>
      <c r="L707" s="185">
        <f t="shared" ref="L707:M707" si="2851">L689*L688</f>
        <v>0</v>
      </c>
      <c r="M707" s="185">
        <f t="shared" si="2851"/>
        <v>0</v>
      </c>
      <c r="N707" s="185">
        <f t="shared" ref="N707:O707" si="2852">N689*N688</f>
        <v>0</v>
      </c>
      <c r="O707" s="185">
        <f t="shared" si="2852"/>
        <v>0</v>
      </c>
      <c r="P707" s="185">
        <f t="shared" ref="P707:Q707" si="2853">P689*P688</f>
        <v>0</v>
      </c>
      <c r="Q707" s="185">
        <f t="shared" si="2853"/>
        <v>0</v>
      </c>
      <c r="R707" s="185">
        <f t="shared" ref="R707:S707" si="2854">R689*R688</f>
        <v>0</v>
      </c>
      <c r="S707" s="185">
        <f t="shared" si="2854"/>
        <v>0</v>
      </c>
      <c r="T707" s="185">
        <f t="shared" ref="T707:U707" si="2855">T689*T688</f>
        <v>0</v>
      </c>
      <c r="U707" s="185">
        <f t="shared" si="2855"/>
        <v>0</v>
      </c>
      <c r="V707" s="185">
        <f t="shared" ref="V707:W707" si="2856">V689*V688</f>
        <v>0</v>
      </c>
      <c r="W707" s="185">
        <f t="shared" si="2856"/>
        <v>0</v>
      </c>
      <c r="X707" s="185">
        <f t="shared" ref="X707:Y707" si="2857">X689*X688</f>
        <v>0</v>
      </c>
      <c r="Y707" s="185">
        <f t="shared" si="2857"/>
        <v>0</v>
      </c>
      <c r="Z707" s="185">
        <f t="shared" ref="Z707:AA707" si="2858">Z689*Z688</f>
        <v>0</v>
      </c>
      <c r="AA707" s="185">
        <f t="shared" si="2858"/>
        <v>0</v>
      </c>
      <c r="AB707" s="185">
        <f t="shared" ref="AB707:AC707" si="2859">AB689*AB688</f>
        <v>0</v>
      </c>
      <c r="AC707" s="185">
        <f t="shared" si="2859"/>
        <v>0</v>
      </c>
      <c r="AD707" s="185">
        <f t="shared" ref="AD707:AE707" si="2860">AD689*AD688</f>
        <v>0</v>
      </c>
      <c r="AE707" s="185">
        <f t="shared" si="2860"/>
        <v>0</v>
      </c>
      <c r="AF707" s="185">
        <f t="shared" ref="AF707:AG707" si="2861">AF689*AF688</f>
        <v>0</v>
      </c>
      <c r="AG707" s="185">
        <f t="shared" si="2861"/>
        <v>0</v>
      </c>
      <c r="AH707" s="185">
        <f t="shared" ref="AH707:AI707" si="2862">AH689*AH688</f>
        <v>0</v>
      </c>
      <c r="AI707" s="185">
        <f t="shared" si="2862"/>
        <v>0</v>
      </c>
      <c r="AJ707" s="185">
        <f t="shared" ref="AJ707:AK707" si="2863">AJ689*AJ688</f>
        <v>0</v>
      </c>
      <c r="AK707" s="185">
        <f t="shared" si="2863"/>
        <v>0</v>
      </c>
      <c r="AL707" s="185">
        <f t="shared" ref="AL707:AM707" si="2864">AL689*AL688</f>
        <v>0</v>
      </c>
      <c r="AM707" s="185">
        <f t="shared" si="2864"/>
        <v>0</v>
      </c>
      <c r="AN707" s="185">
        <f t="shared" ref="AN707:AO707" si="2865">AN689*AN688</f>
        <v>0</v>
      </c>
      <c r="AO707" s="185">
        <f t="shared" si="2865"/>
        <v>0</v>
      </c>
      <c r="AP707" s="185">
        <f t="shared" ref="AP707:AQ707" si="2866">AP689*AP688</f>
        <v>0</v>
      </c>
      <c r="AQ707" s="185">
        <f t="shared" si="2866"/>
        <v>0</v>
      </c>
      <c r="AR707" s="185">
        <f t="shared" ref="AR707:AS707" si="2867">AR689*AR688</f>
        <v>0</v>
      </c>
      <c r="AS707" s="185">
        <f t="shared" si="2867"/>
        <v>0</v>
      </c>
      <c r="AT707" s="185">
        <f t="shared" ref="AT707:AU707" si="2868">AT689*AT688</f>
        <v>0</v>
      </c>
      <c r="AU707" s="185">
        <f t="shared" si="2868"/>
        <v>0</v>
      </c>
      <c r="AV707" s="185">
        <f t="shared" ref="AV707:AW707" si="2869">AV689*AV688</f>
        <v>0</v>
      </c>
      <c r="AW707" s="185">
        <f t="shared" si="2869"/>
        <v>0</v>
      </c>
      <c r="AX707" s="185">
        <f t="shared" ref="AX707:AY707" si="2870">AX689*AX688</f>
        <v>0</v>
      </c>
      <c r="AY707" s="185">
        <f t="shared" si="2870"/>
        <v>0</v>
      </c>
      <c r="AZ707" s="185">
        <f t="shared" ref="AZ707:BA707" si="2871">AZ689*AZ688</f>
        <v>0</v>
      </c>
      <c r="BA707" s="185">
        <f t="shared" si="2871"/>
        <v>0</v>
      </c>
      <c r="BB707" s="185">
        <f t="shared" ref="BB707" si="2872">BB689*BB688</f>
        <v>0</v>
      </c>
      <c r="BC707" s="185"/>
      <c r="BD707" s="193">
        <f>SUM(G707:BC707)</f>
        <v>0</v>
      </c>
    </row>
    <row r="708" spans="1:56" ht="14.4" hidden="1" thickTop="1" x14ac:dyDescent="0.3">
      <c r="A708" s="184" t="str">
        <f ca="1">Language!A$924</f>
        <v>курсовые разницы</v>
      </c>
      <c r="B708" s="216"/>
      <c r="C708" s="163" t="str">
        <f t="shared" ca="1" si="2822"/>
        <v>руб.</v>
      </c>
      <c r="D708" s="174">
        <v>1</v>
      </c>
      <c r="E708" s="170" t="s">
        <v>1278</v>
      </c>
      <c r="F708" s="170" t="s">
        <v>743</v>
      </c>
      <c r="G708" s="185">
        <f>-(SUM($G690:G690)+$B692+SUM($G695:G695)-G696+G697-IF($B685=0,G698,0)-SUM($G694:G694)*IF($B685=0,1,1+$B687)-IF($B685=0,0,MAX(SUM($G702:G702)-SUM($G701:G701),0))+IF(G$2=1,0,SUM($F708:F708)))</f>
        <v>0</v>
      </c>
      <c r="H708" s="185">
        <f>-(SUM($G690:H690)+$B692+SUM($G695:H695)-H696+H697-IF($B685=0,H698,0)-SUM($G694:H694)*IF($B685=0,1,1+$B687)-IF($B685=0,0,MAX(SUM($G702:H702)-SUM($G701:H701),0))+IF(H$2=1,0,SUM($F708:G708)))</f>
        <v>0</v>
      </c>
      <c r="I708" s="185">
        <f>-(SUM($G690:I690)+$B692+SUM($G695:I695)-I696+I697-IF($B685=0,I698,0)-SUM($G694:I694)*IF($B685=0,1,1+$B687)-IF($B685=0,0,MAX(SUM($G702:I702)-SUM($G701:I701),0))+IF(I$2=1,0,SUM($F708:H708)))</f>
        <v>0</v>
      </c>
      <c r="J708" s="185">
        <f>-(SUM($G690:J690)+$B692+SUM($G695:J695)-J696+J697-IF($B685=0,J698,0)-SUM($G694:J694)*IF($B685=0,1,1+$B687)-IF($B685=0,0,MAX(SUM($G702:J702)-SUM($G701:J701),0))+IF(J$2=1,0,SUM($F708:I708)))</f>
        <v>0</v>
      </c>
      <c r="K708" s="185">
        <f>-(SUM($G690:K690)+$B692+SUM($G695:K695)-K696+K697-IF($B685=0,K698,0)-SUM($G694:K694)*IF($B685=0,1,1+$B687)-IF($B685=0,0,MAX(SUM($G702:K702)-SUM($G701:K701),0))+IF(K$2=1,0,SUM($F708:J708)))</f>
        <v>0</v>
      </c>
      <c r="L708" s="185">
        <f>-(SUM($G690:L690)+$B692+SUM($G695:L695)-L696+L697-IF($B685=0,L698,0)-SUM($G694:L694)*IF($B685=0,1,1+$B687)-IF($B685=0,0,MAX(SUM($G702:L702)-SUM($G701:L701),0))+IF(L$2=1,0,SUM($F708:K708)))</f>
        <v>0</v>
      </c>
      <c r="M708" s="185">
        <f>-(SUM($G690:M690)+$B692+SUM($G695:M695)-M696+M697-IF($B685=0,M698,0)-SUM($G694:M694)*IF($B685=0,1,1+$B687)-IF($B685=0,0,MAX(SUM($G702:M702)-SUM($G701:M701),0))+IF(M$2=1,0,SUM($F708:L708)))</f>
        <v>0</v>
      </c>
      <c r="N708" s="185">
        <f>-(SUM($G690:N690)+$B692+SUM($G695:N695)-N696+N697-IF($B685=0,N698,0)-SUM($G694:N694)*IF($B685=0,1,1+$B687)-IF($B685=0,0,MAX(SUM($G702:N702)-SUM($G701:N701),0))+IF(N$2=1,0,SUM($F708:M708)))</f>
        <v>0</v>
      </c>
      <c r="O708" s="185">
        <f>-(SUM($G690:O690)+$B692+SUM($G695:O695)-O696+O697-IF($B685=0,O698,0)-SUM($G694:O694)*IF($B685=0,1,1+$B687)-IF($B685=0,0,MAX(SUM($G702:O702)-SUM($G701:O701),0))+IF(O$2=1,0,SUM($F708:N708)))</f>
        <v>0</v>
      </c>
      <c r="P708" s="185">
        <f>-(SUM($G690:P690)+$B692+SUM($G695:P695)-P696+P697-IF($B685=0,P698,0)-SUM($G694:P694)*IF($B685=0,1,1+$B687)-IF($B685=0,0,MAX(SUM($G702:P702)-SUM($G701:P701),0))+IF(P$2=1,0,SUM($F708:O708)))</f>
        <v>0</v>
      </c>
      <c r="Q708" s="185">
        <f>-(SUM($G690:Q690)+$B692+SUM($G695:Q695)-Q696+Q697-IF($B685=0,Q698,0)-SUM($G694:Q694)*IF($B685=0,1,1+$B687)-IF($B685=0,0,MAX(SUM($G702:Q702)-SUM($G701:Q701),0))+IF(Q$2=1,0,SUM($F708:P708)))</f>
        <v>0</v>
      </c>
      <c r="R708" s="185">
        <f>-(SUM($G690:R690)+$B692+SUM($G695:R695)-R696+R697-IF($B685=0,R698,0)-SUM($G694:R694)*IF($B685=0,1,1+$B687)-IF($B685=0,0,MAX(SUM($G702:R702)-SUM($G701:R701),0))+IF(R$2=1,0,SUM($F708:Q708)))</f>
        <v>0</v>
      </c>
      <c r="S708" s="185">
        <f>-(SUM($G690:S690)+$B692+SUM($G695:S695)-S696+S697-IF($B685=0,S698,0)-SUM($G694:S694)*IF($B685=0,1,1+$B687)-IF($B685=0,0,MAX(SUM($G702:S702)-SUM($G701:S701),0))+IF(S$2=1,0,SUM($F708:R708)))</f>
        <v>0</v>
      </c>
      <c r="T708" s="185">
        <f>-(SUM($G690:T690)+$B692+SUM($G695:T695)-T696+T697-IF($B685=0,T698,0)-SUM($G694:T694)*IF($B685=0,1,1+$B687)-IF($B685=0,0,MAX(SUM($G702:T702)-SUM($G701:T701),0))+IF(T$2=1,0,SUM($F708:S708)))</f>
        <v>0</v>
      </c>
      <c r="U708" s="185">
        <f>-(SUM($G690:U690)+$B692+SUM($G695:U695)-U696+U697-IF($B685=0,U698,0)-SUM($G694:U694)*IF($B685=0,1,1+$B687)-IF($B685=0,0,MAX(SUM($G702:U702)-SUM($G701:U701),0))+IF(U$2=1,0,SUM($F708:T708)))</f>
        <v>0</v>
      </c>
      <c r="V708" s="185">
        <f>-(SUM($G690:V690)+$B692+SUM($G695:V695)-V696+V697-IF($B685=0,V698,0)-SUM($G694:V694)*IF($B685=0,1,1+$B687)-IF($B685=0,0,MAX(SUM($G702:V702)-SUM($G701:V701),0))+IF(V$2=1,0,SUM($F708:U708)))</f>
        <v>0</v>
      </c>
      <c r="W708" s="185">
        <f>-(SUM($G690:W690)+$B692+SUM($G695:W695)-W696+W697-IF($B685=0,W698,0)-SUM($G694:W694)*IF($B685=0,1,1+$B687)-IF($B685=0,0,MAX(SUM($G702:W702)-SUM($G701:W701),0))+IF(W$2=1,0,SUM($F708:V708)))</f>
        <v>0</v>
      </c>
      <c r="X708" s="185">
        <f>-(SUM($G690:X690)+$B692+SUM($G695:X695)-X696+X697-IF($B685=0,X698,0)-SUM($G694:X694)*IF($B685=0,1,1+$B687)-IF($B685=0,0,MAX(SUM($G702:X702)-SUM($G701:X701),0))+IF(X$2=1,0,SUM($F708:W708)))</f>
        <v>0</v>
      </c>
      <c r="Y708" s="185">
        <f>-(SUM($G690:Y690)+$B692+SUM($G695:Y695)-Y696+Y697-IF($B685=0,Y698,0)-SUM($G694:Y694)*IF($B685=0,1,1+$B687)-IF($B685=0,0,MAX(SUM($G702:Y702)-SUM($G701:Y701),0))+IF(Y$2=1,0,SUM($F708:X708)))</f>
        <v>0</v>
      </c>
      <c r="Z708" s="185">
        <f>-(SUM($G690:Z690)+$B692+SUM($G695:Z695)-Z696+Z697-IF($B685=0,Z698,0)-SUM($G694:Z694)*IF($B685=0,1,1+$B687)-IF($B685=0,0,MAX(SUM($G702:Z702)-SUM($G701:Z701),0))+IF(Z$2=1,0,SUM($F708:Y708)))</f>
        <v>0</v>
      </c>
      <c r="AA708" s="185">
        <f>-(SUM($G690:AA690)+$B692+SUM($G695:AA695)-AA696+AA697-IF($B685=0,AA698,0)-SUM($G694:AA694)*IF($B685=0,1,1+$B687)-IF($B685=0,0,MAX(SUM($G702:AA702)-SUM($G701:AA701),0))+IF(AA$2=1,0,SUM($F708:Z708)))</f>
        <v>0</v>
      </c>
      <c r="AB708" s="185">
        <f>-(SUM($G690:AB690)+$B692+SUM($G695:AB695)-AB696+AB697-IF($B685=0,AB698,0)-SUM($G694:AB694)*IF($B685=0,1,1+$B687)-IF($B685=0,0,MAX(SUM($G702:AB702)-SUM($G701:AB701),0))+IF(AB$2=1,0,SUM($F708:AA708)))</f>
        <v>0</v>
      </c>
      <c r="AC708" s="185">
        <f>-(SUM($G690:AC690)+$B692+SUM($G695:AC695)-AC696+AC697-IF($B685=0,AC698,0)-SUM($G694:AC694)*IF($B685=0,1,1+$B687)-IF($B685=0,0,MAX(SUM($G702:AC702)-SUM($G701:AC701),0))+IF(AC$2=1,0,SUM($F708:AB708)))</f>
        <v>0</v>
      </c>
      <c r="AD708" s="185">
        <f>-(SUM($G690:AD690)+$B692+SUM($G695:AD695)-AD696+AD697-IF($B685=0,AD698,0)-SUM($G694:AD694)*IF($B685=0,1,1+$B687)-IF($B685=0,0,MAX(SUM($G702:AD702)-SUM($G701:AD701),0))+IF(AD$2=1,0,SUM($F708:AC708)))</f>
        <v>0</v>
      </c>
      <c r="AE708" s="185">
        <f>-(SUM($G690:AE690)+$B692+SUM($G695:AE695)-AE696+AE697-IF($B685=0,AE698,0)-SUM($G694:AE694)*IF($B685=0,1,1+$B687)-IF($B685=0,0,MAX(SUM($G702:AE702)-SUM($G701:AE701),0))+IF(AE$2=1,0,SUM($F708:AD708)))</f>
        <v>0</v>
      </c>
      <c r="AF708" s="185">
        <f>-(SUM($G690:AF690)+$B692+SUM($G695:AF695)-AF696+AF697-IF($B685=0,AF698,0)-SUM($G694:AF694)*IF($B685=0,1,1+$B687)-IF($B685=0,0,MAX(SUM($G702:AF702)-SUM($G701:AF701),0))+IF(AF$2=1,0,SUM($F708:AE708)))</f>
        <v>0</v>
      </c>
      <c r="AG708" s="185">
        <f>-(SUM($G690:AG690)+$B692+SUM($G695:AG695)-AG696+AG697-IF($B685=0,AG698,0)-SUM($G694:AG694)*IF($B685=0,1,1+$B687)-IF($B685=0,0,MAX(SUM($G702:AG702)-SUM($G701:AG701),0))+IF(AG$2=1,0,SUM($F708:AF708)))</f>
        <v>0</v>
      </c>
      <c r="AH708" s="185">
        <f>-(SUM($G690:AH690)+$B692+SUM($G695:AH695)-AH696+AH697-IF($B685=0,AH698,0)-SUM($G694:AH694)*IF($B685=0,1,1+$B687)-IF($B685=0,0,MAX(SUM($G702:AH702)-SUM($G701:AH701),0))+IF(AH$2=1,0,SUM($F708:AG708)))</f>
        <v>0</v>
      </c>
      <c r="AI708" s="185">
        <f>-(SUM($G690:AI690)+$B692+SUM($G695:AI695)-AI696+AI697-IF($B685=0,AI698,0)-SUM($G694:AI694)*IF($B685=0,1,1+$B687)-IF($B685=0,0,MAX(SUM($G702:AI702)-SUM($G701:AI701),0))+IF(AI$2=1,0,SUM($F708:AH708)))</f>
        <v>0</v>
      </c>
      <c r="AJ708" s="185">
        <f>-(SUM($G690:AJ690)+$B692+SUM($G695:AJ695)-AJ696+AJ697-IF($B685=0,AJ698,0)-SUM($G694:AJ694)*IF($B685=0,1,1+$B687)-IF($B685=0,0,MAX(SUM($G702:AJ702)-SUM($G701:AJ701),0))+IF(AJ$2=1,0,SUM($F708:AI708)))</f>
        <v>0</v>
      </c>
      <c r="AK708" s="185">
        <f>-(SUM($G690:AK690)+$B692+SUM($G695:AK695)-AK696+AK697-IF($B685=0,AK698,0)-SUM($G694:AK694)*IF($B685=0,1,1+$B687)-IF($B685=0,0,MAX(SUM($G702:AK702)-SUM($G701:AK701),0))+IF(AK$2=1,0,SUM($F708:AJ708)))</f>
        <v>0</v>
      </c>
      <c r="AL708" s="185">
        <f>-(SUM($G690:AL690)+$B692+SUM($G695:AL695)-AL696+AL697-IF($B685=0,AL698,0)-SUM($G694:AL694)*IF($B685=0,1,1+$B687)-IF($B685=0,0,MAX(SUM($G702:AL702)-SUM($G701:AL701),0))+IF(AL$2=1,0,SUM($F708:AK708)))</f>
        <v>0</v>
      </c>
      <c r="AM708" s="185">
        <f>-(SUM($G690:AM690)+$B692+SUM($G695:AM695)-AM696+AM697-IF($B685=0,AM698,0)-SUM($G694:AM694)*IF($B685=0,1,1+$B687)-IF($B685=0,0,MAX(SUM($G702:AM702)-SUM($G701:AM701),0))+IF(AM$2=1,0,SUM($F708:AL708)))</f>
        <v>0</v>
      </c>
      <c r="AN708" s="185">
        <f>-(SUM($G690:AN690)+$B692+SUM($G695:AN695)-AN696+AN697-IF($B685=0,AN698,0)-SUM($G694:AN694)*IF($B685=0,1,1+$B687)-IF($B685=0,0,MAX(SUM($G702:AN702)-SUM($G701:AN701),0))+IF(AN$2=1,0,SUM($F708:AM708)))</f>
        <v>0</v>
      </c>
      <c r="AO708" s="185">
        <f>-(SUM($G690:AO690)+$B692+SUM($G695:AO695)-AO696+AO697-IF($B685=0,AO698,0)-SUM($G694:AO694)*IF($B685=0,1,1+$B687)-IF($B685=0,0,MAX(SUM($G702:AO702)-SUM($G701:AO701),0))+IF(AO$2=1,0,SUM($F708:AN708)))</f>
        <v>0</v>
      </c>
      <c r="AP708" s="185">
        <f>-(SUM($G690:AP690)+$B692+SUM($G695:AP695)-AP696+AP697-IF($B685=0,AP698,0)-SUM($G694:AP694)*IF($B685=0,1,1+$B687)-IF($B685=0,0,MAX(SUM($G702:AP702)-SUM($G701:AP701),0))+IF(AP$2=1,0,SUM($F708:AO708)))</f>
        <v>0</v>
      </c>
      <c r="AQ708" s="185">
        <f>-(SUM($G690:AQ690)+$B692+SUM($G695:AQ695)-AQ696+AQ697-IF($B685=0,AQ698,0)-SUM($G694:AQ694)*IF($B685=0,1,1+$B687)-IF($B685=0,0,MAX(SUM($G702:AQ702)-SUM($G701:AQ701),0))+IF(AQ$2=1,0,SUM($F708:AP708)))</f>
        <v>0</v>
      </c>
      <c r="AR708" s="185">
        <f>-(SUM($G690:AR690)+$B692+SUM($G695:AR695)-AR696+AR697-IF($B685=0,AR698,0)-SUM($G694:AR694)*IF($B685=0,1,1+$B687)-IF($B685=0,0,MAX(SUM($G702:AR702)-SUM($G701:AR701),0))+IF(AR$2=1,0,SUM($F708:AQ708)))</f>
        <v>0</v>
      </c>
      <c r="AS708" s="185">
        <f>-(SUM($G690:AS690)+$B692+SUM($G695:AS695)-AS696+AS697-IF($B685=0,AS698,0)-SUM($G694:AS694)*IF($B685=0,1,1+$B687)-IF($B685=0,0,MAX(SUM($G702:AS702)-SUM($G701:AS701),0))+IF(AS$2=1,0,SUM($F708:AR708)))</f>
        <v>0</v>
      </c>
      <c r="AT708" s="185">
        <f>-(SUM($G690:AT690)+$B692+SUM($G695:AT695)-AT696+AT697-IF($B685=0,AT698,0)-SUM($G694:AT694)*IF($B685=0,1,1+$B687)-IF($B685=0,0,MAX(SUM($G702:AT702)-SUM($G701:AT701),0))+IF(AT$2=1,0,SUM($F708:AS708)))</f>
        <v>0</v>
      </c>
      <c r="AU708" s="185">
        <f>-(SUM($G690:AU690)+$B692+SUM($G695:AU695)-AU696+AU697-IF($B685=0,AU698,0)-SUM($G694:AU694)*IF($B685=0,1,1+$B687)-IF($B685=0,0,MAX(SUM($G702:AU702)-SUM($G701:AU701),0))+IF(AU$2=1,0,SUM($F708:AT708)))</f>
        <v>0</v>
      </c>
      <c r="AV708" s="185">
        <f>-(SUM($G690:AV690)+$B692+SUM($G695:AV695)-AV696+AV697-IF($B685=0,AV698,0)-SUM($G694:AV694)*IF($B685=0,1,1+$B687)-IF($B685=0,0,MAX(SUM($G702:AV702)-SUM($G701:AV701),0))+IF(AV$2=1,0,SUM($F708:AU708)))</f>
        <v>0</v>
      </c>
      <c r="AW708" s="185">
        <f>-(SUM($G690:AW690)+$B692+SUM($G695:AW695)-AW696+AW697-IF($B685=0,AW698,0)-SUM($G694:AW694)*IF($B685=0,1,1+$B687)-IF($B685=0,0,MAX(SUM($G702:AW702)-SUM($G701:AW701),0))+IF(AW$2=1,0,SUM($F708:AV708)))</f>
        <v>0</v>
      </c>
      <c r="AX708" s="185">
        <f>-(SUM($G690:AX690)+$B692+SUM($G695:AX695)-AX696+AX697-IF($B685=0,AX698,0)-SUM($G694:AX694)*IF($B685=0,1,1+$B687)-IF($B685=0,0,MAX(SUM($G702:AX702)-SUM($G701:AX701),0))+IF(AX$2=1,0,SUM($F708:AW708)))</f>
        <v>0</v>
      </c>
      <c r="AY708" s="185">
        <f>-(SUM($G690:AY690)+$B692+SUM($G695:AY695)-AY696+AY697-IF($B685=0,AY698,0)-SUM($G694:AY694)*IF($B685=0,1,1+$B687)-IF($B685=0,0,MAX(SUM($G702:AY702)-SUM($G701:AY701),0))+IF(AY$2=1,0,SUM($F708:AX708)))</f>
        <v>0</v>
      </c>
      <c r="AZ708" s="185">
        <f>-(SUM($G690:AZ690)+$B692+SUM($G695:AZ695)-AZ696+AZ697-IF($B685=0,AZ698,0)-SUM($G694:AZ694)*IF($B685=0,1,1+$B687)-IF($B685=0,0,MAX(SUM($G702:AZ702)-SUM($G701:AZ701),0))+IF(AZ$2=1,0,SUM($F708:AY708)))</f>
        <v>0</v>
      </c>
      <c r="BA708" s="185">
        <f>-(SUM($G690:BA690)+$B692+SUM($G695:BA695)-BA696+BA697-IF($B685=0,BA698,0)-SUM($G694:BA694)*IF($B685=0,1,1+$B687)-IF($B685=0,0,MAX(SUM($G702:BA702)-SUM($G701:BA701),0))+IF(BA$2=1,0,SUM($F708:AZ708)))</f>
        <v>0</v>
      </c>
      <c r="BB708" s="185">
        <f>-(SUM($G690:BB690)+$B692+SUM($G695:BB695)-BB696+BB697-IF($B685=0,BB698,0)-SUM($G694:BB694)*IF($B685=0,1,1+$B687)-IF($B685=0,0,MAX(SUM($G702:BB702)-SUM($G701:BB701),0))+IF(BB$2=1,0,SUM($F708:BA708)))</f>
        <v>0</v>
      </c>
      <c r="BC708" s="185"/>
      <c r="BD708" s="193">
        <f>SUM(G708:BC708)</f>
        <v>0</v>
      </c>
    </row>
    <row r="709" spans="1:56" ht="14.4" hidden="1" thickTop="1" x14ac:dyDescent="0.3">
      <c r="A709" s="283" t="str">
        <f ca="1">Language!A$925</f>
        <v>Шаблон нематериальных активов</v>
      </c>
      <c r="C709" s="176"/>
      <c r="D709" s="174">
        <v>1</v>
      </c>
      <c r="F709" s="170" t="s">
        <v>2297</v>
      </c>
      <c r="G709" s="177"/>
      <c r="H709" s="177"/>
      <c r="I709" s="177"/>
      <c r="J709" s="177"/>
      <c r="K709" s="177"/>
      <c r="L709" s="177"/>
      <c r="M709" s="177"/>
      <c r="N709" s="177"/>
      <c r="O709" s="177"/>
      <c r="P709" s="177"/>
      <c r="Q709" s="177"/>
      <c r="R709" s="177"/>
      <c r="S709" s="177"/>
      <c r="T709" s="177"/>
      <c r="U709" s="177"/>
      <c r="V709" s="177"/>
      <c r="W709" s="177"/>
      <c r="X709" s="177"/>
      <c r="Y709" s="177"/>
      <c r="Z709" s="177"/>
      <c r="AA709" s="177"/>
      <c r="AB709" s="177"/>
      <c r="AC709" s="177"/>
      <c r="AD709" s="177"/>
      <c r="AE709" s="177"/>
      <c r="AF709" s="177"/>
      <c r="AG709" s="177"/>
      <c r="AH709" s="177"/>
      <c r="AI709" s="177"/>
      <c r="AJ709" s="177"/>
      <c r="AK709" s="177"/>
      <c r="AL709" s="177"/>
      <c r="AM709" s="177"/>
      <c r="AN709" s="177"/>
      <c r="AO709" s="177"/>
      <c r="AP709" s="177"/>
      <c r="AQ709" s="177"/>
      <c r="AR709" s="177"/>
      <c r="AS709" s="177"/>
      <c r="AT709" s="177"/>
      <c r="AU709" s="177"/>
      <c r="AV709" s="177"/>
      <c r="AW709" s="177"/>
      <c r="AX709" s="177"/>
      <c r="AY709" s="177"/>
      <c r="AZ709" s="177"/>
      <c r="BA709" s="177"/>
      <c r="BB709" s="177"/>
      <c r="BC709" s="177"/>
      <c r="BD709" s="178"/>
    </row>
    <row r="710" spans="1:56" ht="14.4" hidden="1" thickTop="1" x14ac:dyDescent="0.3">
      <c r="A710" s="175" t="str">
        <f ca="1">Language!A$926</f>
        <v>график оплаты, без НДС</v>
      </c>
      <c r="B710" s="199">
        <f>BD710</f>
        <v>0</v>
      </c>
      <c r="C710" s="176" t="str">
        <f t="shared" ref="C710:C712" ca="1" si="2873">CHOOSE(D710,CurName1,CurName2,CurName3)</f>
        <v>руб.</v>
      </c>
      <c r="D710" s="174">
        <f>D709</f>
        <v>1</v>
      </c>
      <c r="F710" s="170" t="s">
        <v>742</v>
      </c>
      <c r="G710" s="297">
        <v>0</v>
      </c>
      <c r="H710" s="297">
        <v>0</v>
      </c>
      <c r="I710" s="297">
        <v>0</v>
      </c>
      <c r="J710" s="297">
        <v>0</v>
      </c>
      <c r="K710" s="297">
        <v>0</v>
      </c>
      <c r="L710" s="297">
        <v>0</v>
      </c>
      <c r="M710" s="297">
        <v>0</v>
      </c>
      <c r="N710" s="297">
        <v>0</v>
      </c>
      <c r="O710" s="297">
        <v>0</v>
      </c>
      <c r="P710" s="297">
        <v>0</v>
      </c>
      <c r="Q710" s="297">
        <v>0</v>
      </c>
      <c r="R710" s="297">
        <v>0</v>
      </c>
      <c r="S710" s="297">
        <v>0</v>
      </c>
      <c r="T710" s="297">
        <v>0</v>
      </c>
      <c r="U710" s="297">
        <v>0</v>
      </c>
      <c r="V710" s="297">
        <v>0</v>
      </c>
      <c r="W710" s="297">
        <v>0</v>
      </c>
      <c r="X710" s="297">
        <v>0</v>
      </c>
      <c r="Y710" s="297">
        <v>0</v>
      </c>
      <c r="Z710" s="297">
        <v>0</v>
      </c>
      <c r="AA710" s="297">
        <v>0</v>
      </c>
      <c r="AB710" s="297">
        <v>0</v>
      </c>
      <c r="AC710" s="297">
        <v>0</v>
      </c>
      <c r="AD710" s="297">
        <v>0</v>
      </c>
      <c r="AE710" s="297">
        <v>0</v>
      </c>
      <c r="AF710" s="297">
        <v>0</v>
      </c>
      <c r="AG710" s="297">
        <v>0</v>
      </c>
      <c r="AH710" s="297">
        <v>0</v>
      </c>
      <c r="AI710" s="297">
        <v>0</v>
      </c>
      <c r="AJ710" s="297">
        <v>0</v>
      </c>
      <c r="AK710" s="297">
        <v>0</v>
      </c>
      <c r="AL710" s="297">
        <v>0</v>
      </c>
      <c r="AM710" s="297">
        <v>0</v>
      </c>
      <c r="AN710" s="297">
        <v>0</v>
      </c>
      <c r="AO710" s="297">
        <v>0</v>
      </c>
      <c r="AP710" s="297">
        <v>0</v>
      </c>
      <c r="AQ710" s="297">
        <v>0</v>
      </c>
      <c r="AR710" s="297">
        <v>0</v>
      </c>
      <c r="AS710" s="297">
        <v>0</v>
      </c>
      <c r="AT710" s="297">
        <v>0</v>
      </c>
      <c r="AU710" s="297">
        <v>0</v>
      </c>
      <c r="AV710" s="297">
        <v>0</v>
      </c>
      <c r="AW710" s="297">
        <v>0</v>
      </c>
      <c r="AX710" s="297">
        <v>0</v>
      </c>
      <c r="AY710" s="297">
        <v>0</v>
      </c>
      <c r="AZ710" s="297">
        <v>0</v>
      </c>
      <c r="BA710" s="297">
        <v>0</v>
      </c>
      <c r="BB710" s="297">
        <v>0</v>
      </c>
      <c r="BC710" s="177"/>
      <c r="BD710" s="178">
        <f>SUM(G710:BC710)</f>
        <v>0</v>
      </c>
    </row>
    <row r="711" spans="1:56" ht="14.4" hidden="1" thickTop="1" x14ac:dyDescent="0.3">
      <c r="A711" s="175" t="str">
        <f ca="1">Language!A$927</f>
        <v>ранее осуществленные инвестиции, без НДС</v>
      </c>
      <c r="B711" s="295">
        <v>0</v>
      </c>
      <c r="C711" s="176" t="str">
        <f t="shared" ca="1" si="2873"/>
        <v>руб.</v>
      </c>
      <c r="D711" s="174">
        <f>D709</f>
        <v>1</v>
      </c>
      <c r="F711" s="170" t="s">
        <v>644</v>
      </c>
    </row>
    <row r="712" spans="1:56" ht="14.4" hidden="1" thickTop="1" x14ac:dyDescent="0.3">
      <c r="A712" s="175" t="str">
        <f ca="1">Language!A$928</f>
        <v>график ввода в эксплуатацию, без НДС</v>
      </c>
      <c r="B712" s="176"/>
      <c r="C712" s="176" t="str">
        <f t="shared" ca="1" si="2873"/>
        <v>руб.</v>
      </c>
      <c r="D712" s="174">
        <f>D709</f>
        <v>1</v>
      </c>
      <c r="F712" s="170" t="s">
        <v>743</v>
      </c>
      <c r="G712" s="297">
        <f>IF(G$2&gt;=ROUNDUP(Параметры!$B$18,0)+1,MAX(0,$BD710+$B711-SUM($F712:F712)),0)</f>
        <v>0</v>
      </c>
      <c r="H712" s="297">
        <f>IF(H$2&gt;=ROUNDUP(Параметры!$B$18,0)+1,MAX(0,$BD710+$B711-SUM($F712:G712)),0)</f>
        <v>0</v>
      </c>
      <c r="I712" s="297">
        <f>IF(I$2&gt;=ROUNDUP(Параметры!$B$18,0)+1,MAX(0,$BD710+$B711-SUM($F712:H712)),0)</f>
        <v>0</v>
      </c>
      <c r="J712" s="297">
        <f>IF(J$2&gt;=ROUNDUP(Параметры!$B$18,0)+1,MAX(0,$BD710+$B711-SUM($F712:I712)),0)</f>
        <v>0</v>
      </c>
      <c r="K712" s="297">
        <f>IF(K$2&gt;=ROUNDUP(Параметры!$B$18,0)+1,MAX(0,$BD710+$B711-SUM($F712:J712)),0)</f>
        <v>0</v>
      </c>
      <c r="L712" s="297">
        <f>IF(L$2&gt;=ROUNDUP(Параметры!$B$18,0)+1,MAX(0,$BD710+$B711-SUM($F712:K712)),0)</f>
        <v>0</v>
      </c>
      <c r="M712" s="297">
        <f>IF(M$2&gt;=ROUNDUP(Параметры!$B$18,0)+1,MAX(0,$BD710+$B711-SUM($F712:L712)),0)</f>
        <v>0</v>
      </c>
      <c r="N712" s="297">
        <f>IF(N$2&gt;=ROUNDUP(Параметры!$B$18,0)+1,MAX(0,$BD710+$B711-SUM($F712:M712)),0)</f>
        <v>0</v>
      </c>
      <c r="O712" s="297">
        <f>IF(O$2&gt;=ROUNDUP(Параметры!$B$18,0)+1,MAX(0,$BD710+$B711-SUM($F712:N712)),0)</f>
        <v>0</v>
      </c>
      <c r="P712" s="297">
        <f>IF(P$2&gt;=ROUNDUP(Параметры!$B$18,0)+1,MAX(0,$BD710+$B711-SUM($F712:O712)),0)</f>
        <v>0</v>
      </c>
      <c r="Q712" s="297">
        <f>IF(Q$2&gt;=ROUNDUP(Параметры!$B$18,0)+1,MAX(0,$BD710+$B711-SUM($F712:P712)),0)</f>
        <v>0</v>
      </c>
      <c r="R712" s="297">
        <f>IF(R$2&gt;=ROUNDUP(Параметры!$B$18,0)+1,MAX(0,$BD710+$B711-SUM($F712:Q712)),0)</f>
        <v>0</v>
      </c>
      <c r="S712" s="297">
        <f>IF(S$2&gt;=ROUNDUP(Параметры!$B$18,0)+1,MAX(0,$BD710+$B711-SUM($F712:R712)),0)</f>
        <v>0</v>
      </c>
      <c r="T712" s="297">
        <f>IF(T$2&gt;=ROUNDUP(Параметры!$B$18,0)+1,MAX(0,$BD710+$B711-SUM($F712:S712)),0)</f>
        <v>0</v>
      </c>
      <c r="U712" s="297">
        <f>IF(U$2&gt;=ROUNDUP(Параметры!$B$18,0)+1,MAX(0,$BD710+$B711-SUM($F712:T712)),0)</f>
        <v>0</v>
      </c>
      <c r="V712" s="297">
        <f>IF(V$2&gt;=ROUNDUP(Параметры!$B$18,0)+1,MAX(0,$BD710+$B711-SUM($F712:U712)),0)</f>
        <v>0</v>
      </c>
      <c r="W712" s="297">
        <f>IF(W$2&gt;=ROUNDUP(Параметры!$B$18,0)+1,MAX(0,$BD710+$B711-SUM($F712:V712)),0)</f>
        <v>0</v>
      </c>
      <c r="X712" s="297">
        <f>IF(X$2&gt;=ROUNDUP(Параметры!$B$18,0)+1,MAX(0,$BD710+$B711-SUM($F712:W712)),0)</f>
        <v>0</v>
      </c>
      <c r="Y712" s="297">
        <f>IF(Y$2&gt;=ROUNDUP(Параметры!$B$18,0)+1,MAX(0,$BD710+$B711-SUM($F712:X712)),0)</f>
        <v>0</v>
      </c>
      <c r="Z712" s="297">
        <f>IF(Z$2&gt;=ROUNDUP(Параметры!$B$18,0)+1,MAX(0,$BD710+$B711-SUM($F712:Y712)),0)</f>
        <v>0</v>
      </c>
      <c r="AA712" s="297">
        <f>IF(AA$2&gt;=ROUNDUP(Параметры!$B$18,0)+1,MAX(0,$BD710+$B711-SUM($F712:Z712)),0)</f>
        <v>0</v>
      </c>
      <c r="AB712" s="297">
        <f>IF(AB$2&gt;=ROUNDUP(Параметры!$B$18,0)+1,MAX(0,$BD710+$B711-SUM($F712:AA712)),0)</f>
        <v>0</v>
      </c>
      <c r="AC712" s="297">
        <f>IF(AC$2&gt;=ROUNDUP(Параметры!$B$18,0)+1,MAX(0,$BD710+$B711-SUM($F712:AB712)),0)</f>
        <v>0</v>
      </c>
      <c r="AD712" s="297">
        <f>IF(AD$2&gt;=ROUNDUP(Параметры!$B$18,0)+1,MAX(0,$BD710+$B711-SUM($F712:AC712)),0)</f>
        <v>0</v>
      </c>
      <c r="AE712" s="297">
        <f>IF(AE$2&gt;=ROUNDUP(Параметры!$B$18,0)+1,MAX(0,$BD710+$B711-SUM($F712:AD712)),0)</f>
        <v>0</v>
      </c>
      <c r="AF712" s="297">
        <f>IF(AF$2&gt;=ROUNDUP(Параметры!$B$18,0)+1,MAX(0,$BD710+$B711-SUM($F712:AE712)),0)</f>
        <v>0</v>
      </c>
      <c r="AG712" s="297">
        <f>IF(AG$2&gt;=ROUNDUP(Параметры!$B$18,0)+1,MAX(0,$BD710+$B711-SUM($F712:AF712)),0)</f>
        <v>0</v>
      </c>
      <c r="AH712" s="297">
        <f>IF(AH$2&gt;=ROUNDUP(Параметры!$B$18,0)+1,MAX(0,$BD710+$B711-SUM($F712:AG712)),0)</f>
        <v>0</v>
      </c>
      <c r="AI712" s="297">
        <f>IF(AI$2&gt;=ROUNDUP(Параметры!$B$18,0)+1,MAX(0,$BD710+$B711-SUM($F712:AH712)),0)</f>
        <v>0</v>
      </c>
      <c r="AJ712" s="297">
        <f>IF(AJ$2&gt;=ROUNDUP(Параметры!$B$18,0)+1,MAX(0,$BD710+$B711-SUM($F712:AI712)),0)</f>
        <v>0</v>
      </c>
      <c r="AK712" s="297">
        <f>IF(AK$2&gt;=ROUNDUP(Параметры!$B$18,0)+1,MAX(0,$BD710+$B711-SUM($F712:AJ712)),0)</f>
        <v>0</v>
      </c>
      <c r="AL712" s="297">
        <f>IF(AL$2&gt;=ROUNDUP(Параметры!$B$18,0)+1,MAX(0,$BD710+$B711-SUM($F712:AK712)),0)</f>
        <v>0</v>
      </c>
      <c r="AM712" s="297">
        <f>IF(AM$2&gt;=ROUNDUP(Параметры!$B$18,0)+1,MAX(0,$BD710+$B711-SUM($F712:AL712)),0)</f>
        <v>0</v>
      </c>
      <c r="AN712" s="297">
        <f>IF(AN$2&gt;=ROUNDUP(Параметры!$B$18,0)+1,MAX(0,$BD710+$B711-SUM($F712:AM712)),0)</f>
        <v>0</v>
      </c>
      <c r="AO712" s="297">
        <f>IF(AO$2&gt;=ROUNDUP(Параметры!$B$18,0)+1,MAX(0,$BD710+$B711-SUM($F712:AN712)),0)</f>
        <v>0</v>
      </c>
      <c r="AP712" s="297">
        <f>IF(AP$2&gt;=ROUNDUP(Параметры!$B$18,0)+1,MAX(0,$BD710+$B711-SUM($F712:AO712)),0)</f>
        <v>0</v>
      </c>
      <c r="AQ712" s="297">
        <f>IF(AQ$2&gt;=ROUNDUP(Параметры!$B$18,0)+1,MAX(0,$BD710+$B711-SUM($F712:AP712)),0)</f>
        <v>0</v>
      </c>
      <c r="AR712" s="297">
        <f>IF(AR$2&gt;=ROUNDUP(Параметры!$B$18,0)+1,MAX(0,$BD710+$B711-SUM($F712:AQ712)),0)</f>
        <v>0</v>
      </c>
      <c r="AS712" s="297">
        <f>IF(AS$2&gt;=ROUNDUP(Параметры!$B$18,0)+1,MAX(0,$BD710+$B711-SUM($F712:AR712)),0)</f>
        <v>0</v>
      </c>
      <c r="AT712" s="297">
        <f>IF(AT$2&gt;=ROUNDUP(Параметры!$B$18,0)+1,MAX(0,$BD710+$B711-SUM($F712:AS712)),0)</f>
        <v>0</v>
      </c>
      <c r="AU712" s="297">
        <f>IF(AU$2&gt;=ROUNDUP(Параметры!$B$18,0)+1,MAX(0,$BD710+$B711-SUM($F712:AT712)),0)</f>
        <v>0</v>
      </c>
      <c r="AV712" s="297">
        <f>IF(AV$2&gt;=ROUNDUP(Параметры!$B$18,0)+1,MAX(0,$BD710+$B711-SUM($F712:AU712)),0)</f>
        <v>0</v>
      </c>
      <c r="AW712" s="297">
        <f>IF(AW$2&gt;=ROUNDUP(Параметры!$B$18,0)+1,MAX(0,$BD710+$B711-SUM($F712:AV712)),0)</f>
        <v>0</v>
      </c>
      <c r="AX712" s="297">
        <f>IF(AX$2&gt;=ROUNDUP(Параметры!$B$18,0)+1,MAX(0,$BD710+$B711-SUM($F712:AW712)),0)</f>
        <v>0</v>
      </c>
      <c r="AY712" s="297">
        <f>IF(AY$2&gt;=ROUNDUP(Параметры!$B$18,0)+1,MAX(0,$BD710+$B711-SUM($F712:AX712)),0)</f>
        <v>0</v>
      </c>
      <c r="AZ712" s="297">
        <f>IF(AZ$2&gt;=ROUNDUP(Параметры!$B$18,0)+1,MAX(0,$BD710+$B711-SUM($F712:AY712)),0)</f>
        <v>0</v>
      </c>
      <c r="BA712" s="297">
        <f>IF(BA$2&gt;=ROUNDUP(Параметры!$B$18,0)+1,MAX(0,$BD710+$B711-SUM($F712:AZ712)),0)</f>
        <v>0</v>
      </c>
      <c r="BB712" s="297">
        <f>IF(BB$2&gt;=ROUNDUP(Параметры!$B$18,0)+1,MAX(0,$BD710+$B711-SUM($F712:BA712)),0)</f>
        <v>0</v>
      </c>
      <c r="BC712" s="177"/>
      <c r="BD712" s="178">
        <f>SUM(G712:BC712)</f>
        <v>0</v>
      </c>
    </row>
    <row r="713" spans="1:56" ht="14.4" hidden="1" thickTop="1" x14ac:dyDescent="0.3">
      <c r="A713" s="175" t="str">
        <f ca="1">Language!A$929</f>
        <v xml:space="preserve">срок полезного использования </v>
      </c>
      <c r="B713" s="295">
        <v>10</v>
      </c>
      <c r="C713" s="176" t="str">
        <f ca="1">Language!A$48</f>
        <v>лет</v>
      </c>
      <c r="D713" s="174">
        <v>1</v>
      </c>
      <c r="F713" s="170" t="s">
        <v>644</v>
      </c>
      <c r="G713" s="177"/>
      <c r="H713" s="177"/>
      <c r="I713" s="177"/>
      <c r="J713" s="177"/>
      <c r="K713" s="177"/>
      <c r="L713" s="177"/>
      <c r="M713" s="177"/>
      <c r="N713" s="177"/>
      <c r="O713" s="177"/>
      <c r="P713" s="177"/>
      <c r="Q713" s="177"/>
      <c r="R713" s="177"/>
      <c r="S713" s="177"/>
      <c r="T713" s="177"/>
      <c r="U713" s="177"/>
      <c r="V713" s="177"/>
      <c r="W713" s="177"/>
      <c r="X713" s="177"/>
      <c r="Y713" s="177"/>
      <c r="Z713" s="177"/>
      <c r="AA713" s="177"/>
      <c r="AB713" s="177"/>
      <c r="AC713" s="177"/>
      <c r="AD713" s="177"/>
      <c r="AE713" s="177"/>
      <c r="AF713" s="177"/>
      <c r="AG713" s="177"/>
      <c r="AH713" s="177"/>
      <c r="AI713" s="177"/>
      <c r="AJ713" s="177"/>
      <c r="AK713" s="177"/>
      <c r="AL713" s="177"/>
      <c r="AM713" s="177"/>
      <c r="AN713" s="177"/>
      <c r="AO713" s="177"/>
      <c r="AP713" s="177"/>
      <c r="AQ713" s="177"/>
      <c r="AR713" s="177"/>
      <c r="AS713" s="177"/>
      <c r="AT713" s="177"/>
      <c r="AU713" s="177"/>
      <c r="AV713" s="177"/>
      <c r="AW713" s="177"/>
      <c r="AX713" s="177"/>
      <c r="AY713" s="177"/>
      <c r="AZ713" s="177"/>
      <c r="BA713" s="177"/>
      <c r="BB713" s="177"/>
      <c r="BC713" s="177"/>
      <c r="BD713" s="178"/>
    </row>
    <row r="714" spans="1:56" s="170" customFormat="1" ht="14.4" hidden="1" thickTop="1" x14ac:dyDescent="0.3">
      <c r="A714" s="184" t="str">
        <f ca="1">Language!A$930</f>
        <v>ставка НДС</v>
      </c>
      <c r="B714" s="203">
        <f>AVERAGE(G714:H714)</f>
        <v>0</v>
      </c>
      <c r="C714" s="163" t="s">
        <v>1</v>
      </c>
      <c r="D714" s="174">
        <v>1</v>
      </c>
      <c r="F714" s="170" t="s">
        <v>2344</v>
      </c>
      <c r="G714" s="290">
        <f>IF(G$2=1,Параметры!G$72,IF(F714=Параметры!F$72,Параметры!F$72,F714))</f>
        <v>0</v>
      </c>
      <c r="H714" s="290">
        <f>IF(H$2=1,Параметры!H$72,IF(G714=Параметры!G$72,Параметры!G$72,G714))</f>
        <v>0</v>
      </c>
      <c r="I714" s="290">
        <f>IF(I$2=1,Параметры!I$72,IF(H714=Параметры!H$72,Параметры!H$72,H714))</f>
        <v>0</v>
      </c>
      <c r="J714" s="290">
        <f>IF(J$2=1,Параметры!J$72,IF(I714=Параметры!I$72,Параметры!I$72,I714))</f>
        <v>0</v>
      </c>
      <c r="K714" s="290">
        <f>IF(K$2=1,Параметры!K$72,IF(J714=Параметры!J$72,Параметры!J$72,J714))</f>
        <v>0</v>
      </c>
      <c r="L714" s="290">
        <f>IF(L$2=1,Параметры!L$72,IF(K714=Параметры!K$72,Параметры!K$72,K714))</f>
        <v>0</v>
      </c>
      <c r="M714" s="290">
        <f>IF(M$2=1,Параметры!M$72,IF(L714=Параметры!L$72,Параметры!L$72,L714))</f>
        <v>0</v>
      </c>
      <c r="N714" s="290">
        <f>IF(N$2=1,Параметры!N$72,IF(M714=Параметры!M$72,Параметры!M$72,M714))</f>
        <v>0</v>
      </c>
      <c r="O714" s="290">
        <f>IF(O$2=1,Параметры!O$72,IF(N714=Параметры!N$72,Параметры!N$72,N714))</f>
        <v>0</v>
      </c>
      <c r="P714" s="290">
        <f>IF(P$2=1,Параметры!P$72,IF(O714=Параметры!O$72,Параметры!O$72,O714))</f>
        <v>0</v>
      </c>
      <c r="Q714" s="290">
        <f>IF(Q$2=1,Параметры!Q$72,IF(P714=Параметры!P$72,Параметры!P$72,P714))</f>
        <v>0</v>
      </c>
      <c r="R714" s="290">
        <f>IF(R$2=1,Параметры!R$72,IF(Q714=Параметры!Q$72,Параметры!Q$72,Q714))</f>
        <v>0</v>
      </c>
      <c r="S714" s="290">
        <f>IF(S$2=1,Параметры!S$72,IF(R714=Параметры!R$72,Параметры!R$72,R714))</f>
        <v>0</v>
      </c>
      <c r="T714" s="290">
        <f>IF(T$2=1,Параметры!T$72,IF(S714=Параметры!S$72,Параметры!S$72,S714))</f>
        <v>0</v>
      </c>
      <c r="U714" s="290">
        <f>IF(U$2=1,Параметры!U$72,IF(T714=Параметры!T$72,Параметры!T$72,T714))</f>
        <v>0</v>
      </c>
      <c r="V714" s="290">
        <f>IF(V$2=1,Параметры!V$72,IF(U714=Параметры!U$72,Параметры!U$72,U714))</f>
        <v>0</v>
      </c>
      <c r="W714" s="290">
        <f>IF(W$2=1,Параметры!W$72,IF(V714=Параметры!V$72,Параметры!V$72,V714))</f>
        <v>0</v>
      </c>
      <c r="X714" s="290">
        <f>IF(X$2=1,Параметры!X$72,IF(W714=Параметры!W$72,Параметры!W$72,W714))</f>
        <v>0</v>
      </c>
      <c r="Y714" s="290">
        <f>IF(Y$2=1,Параметры!Y$72,IF(X714=Параметры!X$72,Параметры!X$72,X714))</f>
        <v>0</v>
      </c>
      <c r="Z714" s="290">
        <f>IF(Z$2=1,Параметры!Z$72,IF(Y714=Параметры!Y$72,Параметры!Y$72,Y714))</f>
        <v>0</v>
      </c>
      <c r="AA714" s="290">
        <f>IF(AA$2=1,Параметры!AA$72,IF(Z714=Параметры!Z$72,Параметры!Z$72,Z714))</f>
        <v>0</v>
      </c>
      <c r="AB714" s="290">
        <f>IF(AB$2=1,Параметры!AB$72,IF(AA714=Параметры!AA$72,Параметры!AA$72,AA714))</f>
        <v>0</v>
      </c>
      <c r="AC714" s="290">
        <f>IF(AC$2=1,Параметры!AC$72,IF(AB714=Параметры!AB$72,Параметры!AB$72,AB714))</f>
        <v>0</v>
      </c>
      <c r="AD714" s="290">
        <f>IF(AD$2=1,Параметры!AD$72,IF(AC714=Параметры!AC$72,Параметры!AC$72,AC714))</f>
        <v>0</v>
      </c>
      <c r="AE714" s="290">
        <f>IF(AE$2=1,Параметры!AE$72,IF(AD714=Параметры!AD$72,Параметры!AD$72,AD714))</f>
        <v>0</v>
      </c>
      <c r="AF714" s="290">
        <f>IF(AF$2=1,Параметры!AF$72,IF(AE714=Параметры!AE$72,Параметры!AE$72,AE714))</f>
        <v>0</v>
      </c>
      <c r="AG714" s="290">
        <f>IF(AG$2=1,Параметры!AG$72,IF(AF714=Параметры!AF$72,Параметры!AF$72,AF714))</f>
        <v>0</v>
      </c>
      <c r="AH714" s="290">
        <f>IF(AH$2=1,Параметры!AH$72,IF(AG714=Параметры!AG$72,Параметры!AG$72,AG714))</f>
        <v>0</v>
      </c>
      <c r="AI714" s="290">
        <f>IF(AI$2=1,Параметры!AI$72,IF(AH714=Параметры!AH$72,Параметры!AH$72,AH714))</f>
        <v>0</v>
      </c>
      <c r="AJ714" s="290">
        <f>IF(AJ$2=1,Параметры!AJ$72,IF(AI714=Параметры!AI$72,Параметры!AI$72,AI714))</f>
        <v>0</v>
      </c>
      <c r="AK714" s="290">
        <f>IF(AK$2=1,Параметры!AK$72,IF(AJ714=Параметры!AJ$72,Параметры!AJ$72,AJ714))</f>
        <v>0</v>
      </c>
      <c r="AL714" s="290">
        <f>IF(AL$2=1,Параметры!AL$72,IF(AK714=Параметры!AK$72,Параметры!AK$72,AK714))</f>
        <v>0</v>
      </c>
      <c r="AM714" s="290">
        <f>IF(AM$2=1,Параметры!AM$72,IF(AL714=Параметры!AL$72,Параметры!AL$72,AL714))</f>
        <v>0</v>
      </c>
      <c r="AN714" s="290">
        <f>IF(AN$2=1,Параметры!AN$72,IF(AM714=Параметры!AM$72,Параметры!AM$72,AM714))</f>
        <v>0</v>
      </c>
      <c r="AO714" s="290">
        <f>IF(AO$2=1,Параметры!AO$72,IF(AN714=Параметры!AN$72,Параметры!AN$72,AN714))</f>
        <v>0</v>
      </c>
      <c r="AP714" s="290">
        <f>IF(AP$2=1,Параметры!AP$72,IF(AO714=Параметры!AO$72,Параметры!AO$72,AO714))</f>
        <v>0</v>
      </c>
      <c r="AQ714" s="290">
        <f>IF(AQ$2=1,Параметры!AQ$72,IF(AP714=Параметры!AP$72,Параметры!AP$72,AP714))</f>
        <v>0</v>
      </c>
      <c r="AR714" s="290">
        <f>IF(AR$2=1,Параметры!AR$72,IF(AQ714=Параметры!AQ$72,Параметры!AQ$72,AQ714))</f>
        <v>0</v>
      </c>
      <c r="AS714" s="290">
        <f>IF(AS$2=1,Параметры!AS$72,IF(AR714=Параметры!AR$72,Параметры!AR$72,AR714))</f>
        <v>0</v>
      </c>
      <c r="AT714" s="290">
        <f>IF(AT$2=1,Параметры!AT$72,IF(AS714=Параметры!AS$72,Параметры!AS$72,AS714))</f>
        <v>0</v>
      </c>
      <c r="AU714" s="290">
        <f>IF(AU$2=1,Параметры!AU$72,IF(AT714=Параметры!AT$72,Параметры!AT$72,AT714))</f>
        <v>0</v>
      </c>
      <c r="AV714" s="290">
        <f>IF(AV$2=1,Параметры!AV$72,IF(AU714=Параметры!AU$72,Параметры!AU$72,AU714))</f>
        <v>0</v>
      </c>
      <c r="AW714" s="290">
        <f>IF(AW$2=1,Параметры!AW$72,IF(AV714=Параметры!AV$72,Параметры!AV$72,AV714))</f>
        <v>0</v>
      </c>
      <c r="AX714" s="290">
        <f>IF(AX$2=1,Параметры!AX$72,IF(AW714=Параметры!AW$72,Параметры!AW$72,AW714))</f>
        <v>0</v>
      </c>
      <c r="AY714" s="290">
        <f>IF(AY$2=1,Параметры!AY$72,IF(AX714=Параметры!AX$72,Параметры!AX$72,AX714))</f>
        <v>0</v>
      </c>
      <c r="AZ714" s="290">
        <f>IF(AZ$2=1,Параметры!AZ$72,IF(AY714=Параметры!AY$72,Параметры!AY$72,AY714))</f>
        <v>0</v>
      </c>
      <c r="BA714" s="290">
        <f>IF(BA$2=1,Параметры!BA$72,IF(AZ714=Параметры!AZ$72,Параметры!AZ$72,AZ714))</f>
        <v>0</v>
      </c>
      <c r="BB714" s="290">
        <f>IF(BB$2=1,Параметры!BB$72,IF(BA714=Параметры!BA$72,Параметры!BA$72,BA714))</f>
        <v>0</v>
      </c>
      <c r="BC714" s="190"/>
      <c r="BD714" s="186"/>
    </row>
    <row r="715" spans="1:56" s="170" customFormat="1" ht="14.4" hidden="1" thickTop="1" x14ac:dyDescent="0.3">
      <c r="A715" s="184" t="str">
        <f ca="1">Language!A$931</f>
        <v>выручка от продажи актива (без НДС)</v>
      </c>
      <c r="B715" s="216"/>
      <c r="C715" s="163" t="str">
        <f ca="1">CHOOSE(D715,CurName1,CurName2,CurName3)</f>
        <v>руб.</v>
      </c>
      <c r="D715" s="174">
        <v>1</v>
      </c>
      <c r="E715" s="170" t="s">
        <v>755</v>
      </c>
      <c r="F715" s="170" t="s">
        <v>2348</v>
      </c>
      <c r="G715" s="287">
        <v>0</v>
      </c>
      <c r="H715" s="287">
        <v>0</v>
      </c>
      <c r="I715" s="287">
        <v>0</v>
      </c>
      <c r="J715" s="287">
        <v>0</v>
      </c>
      <c r="K715" s="287">
        <v>0</v>
      </c>
      <c r="L715" s="287">
        <v>0</v>
      </c>
      <c r="M715" s="287">
        <v>0</v>
      </c>
      <c r="N715" s="287">
        <v>0</v>
      </c>
      <c r="O715" s="287">
        <v>0</v>
      </c>
      <c r="P715" s="287">
        <v>0</v>
      </c>
      <c r="Q715" s="287">
        <v>0</v>
      </c>
      <c r="R715" s="287">
        <v>0</v>
      </c>
      <c r="S715" s="287">
        <v>0</v>
      </c>
      <c r="T715" s="287">
        <v>0</v>
      </c>
      <c r="U715" s="287">
        <v>0</v>
      </c>
      <c r="V715" s="287">
        <v>0</v>
      </c>
      <c r="W715" s="287">
        <v>0</v>
      </c>
      <c r="X715" s="287">
        <v>0</v>
      </c>
      <c r="Y715" s="287">
        <v>0</v>
      </c>
      <c r="Z715" s="287">
        <v>0</v>
      </c>
      <c r="AA715" s="287">
        <v>0</v>
      </c>
      <c r="AB715" s="287">
        <v>0</v>
      </c>
      <c r="AC715" s="287">
        <v>0</v>
      </c>
      <c r="AD715" s="287">
        <v>0</v>
      </c>
      <c r="AE715" s="287">
        <v>0</v>
      </c>
      <c r="AF715" s="287">
        <v>0</v>
      </c>
      <c r="AG715" s="287">
        <v>0</v>
      </c>
      <c r="AH715" s="287">
        <v>0</v>
      </c>
      <c r="AI715" s="287">
        <v>0</v>
      </c>
      <c r="AJ715" s="287">
        <v>0</v>
      </c>
      <c r="AK715" s="287">
        <v>0</v>
      </c>
      <c r="AL715" s="287">
        <v>0</v>
      </c>
      <c r="AM715" s="287">
        <v>0</v>
      </c>
      <c r="AN715" s="287">
        <v>0</v>
      </c>
      <c r="AO715" s="287">
        <v>0</v>
      </c>
      <c r="AP715" s="287">
        <v>0</v>
      </c>
      <c r="AQ715" s="287">
        <v>0</v>
      </c>
      <c r="AR715" s="287">
        <v>0</v>
      </c>
      <c r="AS715" s="287">
        <v>0</v>
      </c>
      <c r="AT715" s="287">
        <v>0</v>
      </c>
      <c r="AU715" s="287">
        <v>0</v>
      </c>
      <c r="AV715" s="287">
        <v>0</v>
      </c>
      <c r="AW715" s="287">
        <v>0</v>
      </c>
      <c r="AX715" s="287">
        <v>0</v>
      </c>
      <c r="AY715" s="287">
        <v>0</v>
      </c>
      <c r="AZ715" s="287">
        <v>0</v>
      </c>
      <c r="BA715" s="287">
        <v>0</v>
      </c>
      <c r="BB715" s="287">
        <v>0</v>
      </c>
      <c r="BC715" s="185"/>
      <c r="BD715" s="193">
        <f>SUM(G715:BC715)</f>
        <v>0</v>
      </c>
    </row>
    <row r="716" spans="1:56" ht="14.4" hidden="1" thickTop="1" x14ac:dyDescent="0.3">
      <c r="A716" s="184" t="str">
        <f ca="1">Language!A$932</f>
        <v>суммы в осн. валюте: график оплаты, без НДС</v>
      </c>
      <c r="B716" s="163"/>
      <c r="C716" s="163" t="str">
        <f t="shared" ref="C716:C730" ca="1" si="2874">CHOOSE(D716,CurName1,CurName2,CurName3)</f>
        <v>руб.</v>
      </c>
      <c r="D716" s="174">
        <v>1</v>
      </c>
      <c r="E716" s="170" t="s">
        <v>751</v>
      </c>
      <c r="F716" s="170" t="s">
        <v>743</v>
      </c>
      <c r="G716" s="185">
        <f>G710*CHOOSE($D710,1,Параметры!G$53,Параметры!G$59)</f>
        <v>0</v>
      </c>
      <c r="H716" s="185">
        <f>H710*CHOOSE($D710,1,Параметры!H$53,Параметры!H$59)</f>
        <v>0</v>
      </c>
      <c r="I716" s="185">
        <f>I710*CHOOSE($D710,1,Параметры!I$53,Параметры!I$59)</f>
        <v>0</v>
      </c>
      <c r="J716" s="185">
        <f>J710*CHOOSE($D710,1,Параметры!J$53,Параметры!J$59)</f>
        <v>0</v>
      </c>
      <c r="K716" s="185">
        <f>K710*CHOOSE($D710,1,Параметры!K$53,Параметры!K$59)</f>
        <v>0</v>
      </c>
      <c r="L716" s="185">
        <f>L710*CHOOSE($D710,1,Параметры!L$53,Параметры!L$59)</f>
        <v>0</v>
      </c>
      <c r="M716" s="185">
        <f>M710*CHOOSE($D710,1,Параметры!M$53,Параметры!M$59)</f>
        <v>0</v>
      </c>
      <c r="N716" s="185">
        <f>N710*CHOOSE($D710,1,Параметры!N$53,Параметры!N$59)</f>
        <v>0</v>
      </c>
      <c r="O716" s="185">
        <f>O710*CHOOSE($D710,1,Параметры!O$53,Параметры!O$59)</f>
        <v>0</v>
      </c>
      <c r="P716" s="185">
        <f>P710*CHOOSE($D710,1,Параметры!P$53,Параметры!P$59)</f>
        <v>0</v>
      </c>
      <c r="Q716" s="185">
        <f>Q710*CHOOSE($D710,1,Параметры!Q$53,Параметры!Q$59)</f>
        <v>0</v>
      </c>
      <c r="R716" s="185">
        <f>R710*CHOOSE($D710,1,Параметры!R$53,Параметры!R$59)</f>
        <v>0</v>
      </c>
      <c r="S716" s="185">
        <f>S710*CHOOSE($D710,1,Параметры!S$53,Параметры!S$59)</f>
        <v>0</v>
      </c>
      <c r="T716" s="185">
        <f>T710*CHOOSE($D710,1,Параметры!T$53,Параметры!T$59)</f>
        <v>0</v>
      </c>
      <c r="U716" s="185">
        <f>U710*CHOOSE($D710,1,Параметры!U$53,Параметры!U$59)</f>
        <v>0</v>
      </c>
      <c r="V716" s="185">
        <f>V710*CHOOSE($D710,1,Параметры!V$53,Параметры!V$59)</f>
        <v>0</v>
      </c>
      <c r="W716" s="185">
        <f>W710*CHOOSE($D710,1,Параметры!W$53,Параметры!W$59)</f>
        <v>0</v>
      </c>
      <c r="X716" s="185">
        <f>X710*CHOOSE($D710,1,Параметры!X$53,Параметры!X$59)</f>
        <v>0</v>
      </c>
      <c r="Y716" s="185">
        <f>Y710*CHOOSE($D710,1,Параметры!Y$53,Параметры!Y$59)</f>
        <v>0</v>
      </c>
      <c r="Z716" s="185">
        <f>Z710*CHOOSE($D710,1,Параметры!Z$53,Параметры!Z$59)</f>
        <v>0</v>
      </c>
      <c r="AA716" s="185">
        <f>AA710*CHOOSE($D710,1,Параметры!AA$53,Параметры!AA$59)</f>
        <v>0</v>
      </c>
      <c r="AB716" s="185">
        <f>AB710*CHOOSE($D710,1,Параметры!AB$53,Параметры!AB$59)</f>
        <v>0</v>
      </c>
      <c r="AC716" s="185">
        <f>AC710*CHOOSE($D710,1,Параметры!AC$53,Параметры!AC$59)</f>
        <v>0</v>
      </c>
      <c r="AD716" s="185">
        <f>AD710*CHOOSE($D710,1,Параметры!AD$53,Параметры!AD$59)</f>
        <v>0</v>
      </c>
      <c r="AE716" s="185">
        <f>AE710*CHOOSE($D710,1,Параметры!AE$53,Параметры!AE$59)</f>
        <v>0</v>
      </c>
      <c r="AF716" s="185">
        <f>AF710*CHOOSE($D710,1,Параметры!AF$53,Параметры!AF$59)</f>
        <v>0</v>
      </c>
      <c r="AG716" s="185">
        <f>AG710*CHOOSE($D710,1,Параметры!AG$53,Параметры!AG$59)</f>
        <v>0</v>
      </c>
      <c r="AH716" s="185">
        <f>AH710*CHOOSE($D710,1,Параметры!AH$53,Параметры!AH$59)</f>
        <v>0</v>
      </c>
      <c r="AI716" s="185">
        <f>AI710*CHOOSE($D710,1,Параметры!AI$53,Параметры!AI$59)</f>
        <v>0</v>
      </c>
      <c r="AJ716" s="185">
        <f>AJ710*CHOOSE($D710,1,Параметры!AJ$53,Параметры!AJ$59)</f>
        <v>0</v>
      </c>
      <c r="AK716" s="185">
        <f>AK710*CHOOSE($D710,1,Параметры!AK$53,Параметры!AK$59)</f>
        <v>0</v>
      </c>
      <c r="AL716" s="185">
        <f>AL710*CHOOSE($D710,1,Параметры!AL$53,Параметры!AL$59)</f>
        <v>0</v>
      </c>
      <c r="AM716" s="185">
        <f>AM710*CHOOSE($D710,1,Параметры!AM$53,Параметры!AM$59)</f>
        <v>0</v>
      </c>
      <c r="AN716" s="185">
        <f>AN710*CHOOSE($D710,1,Параметры!AN$53,Параметры!AN$59)</f>
        <v>0</v>
      </c>
      <c r="AO716" s="185">
        <f>AO710*CHOOSE($D710,1,Параметры!AO$53,Параметры!AO$59)</f>
        <v>0</v>
      </c>
      <c r="AP716" s="185">
        <f>AP710*CHOOSE($D710,1,Параметры!AP$53,Параметры!AP$59)</f>
        <v>0</v>
      </c>
      <c r="AQ716" s="185">
        <f>AQ710*CHOOSE($D710,1,Параметры!AQ$53,Параметры!AQ$59)</f>
        <v>0</v>
      </c>
      <c r="AR716" s="185">
        <f>AR710*CHOOSE($D710,1,Параметры!AR$53,Параметры!AR$59)</f>
        <v>0</v>
      </c>
      <c r="AS716" s="185">
        <f>AS710*CHOOSE($D710,1,Параметры!AS$53,Параметры!AS$59)</f>
        <v>0</v>
      </c>
      <c r="AT716" s="185">
        <f>AT710*CHOOSE($D710,1,Параметры!AT$53,Параметры!AT$59)</f>
        <v>0</v>
      </c>
      <c r="AU716" s="185">
        <f>AU710*CHOOSE($D710,1,Параметры!AU$53,Параметры!AU$59)</f>
        <v>0</v>
      </c>
      <c r="AV716" s="185">
        <f>AV710*CHOOSE($D710,1,Параметры!AV$53,Параметры!AV$59)</f>
        <v>0</v>
      </c>
      <c r="AW716" s="185">
        <f>AW710*CHOOSE($D710,1,Параметры!AW$53,Параметры!AW$59)</f>
        <v>0</v>
      </c>
      <c r="AX716" s="185">
        <f>AX710*CHOOSE($D710,1,Параметры!AX$53,Параметры!AX$59)</f>
        <v>0</v>
      </c>
      <c r="AY716" s="185">
        <f>AY710*CHOOSE($D710,1,Параметры!AY$53,Параметры!AY$59)</f>
        <v>0</v>
      </c>
      <c r="AZ716" s="185">
        <f>AZ710*CHOOSE($D710,1,Параметры!AZ$53,Параметры!AZ$59)</f>
        <v>0</v>
      </c>
      <c r="BA716" s="185">
        <f>BA710*CHOOSE($D710,1,Параметры!BA$53,Параметры!BA$59)</f>
        <v>0</v>
      </c>
      <c r="BB716" s="185">
        <f>BB710*CHOOSE($D710,1,Параметры!BB$53,Параметры!BB$59)</f>
        <v>0</v>
      </c>
      <c r="BC716" s="185"/>
      <c r="BD716" s="193">
        <f>SUM(G716:BC716)</f>
        <v>0</v>
      </c>
    </row>
    <row r="717" spans="1:56" ht="14.4" hidden="1" thickTop="1" x14ac:dyDescent="0.3">
      <c r="A717" s="187" t="str">
        <f ca="1">Language!A$1509</f>
        <v>график оплаты, c НДС</v>
      </c>
      <c r="B717" s="163"/>
      <c r="C717" s="163" t="str">
        <f t="shared" ca="1" si="2874"/>
        <v>руб.</v>
      </c>
      <c r="D717" s="174">
        <v>1</v>
      </c>
      <c r="E717" s="170" t="s">
        <v>993</v>
      </c>
      <c r="F717" s="170" t="s">
        <v>743</v>
      </c>
      <c r="G717" s="185">
        <f>G716+G726</f>
        <v>0</v>
      </c>
      <c r="H717" s="185">
        <f t="shared" ref="H717:K717" si="2875">H716+H726</f>
        <v>0</v>
      </c>
      <c r="I717" s="185">
        <f t="shared" si="2875"/>
        <v>0</v>
      </c>
      <c r="J717" s="185">
        <f t="shared" si="2875"/>
        <v>0</v>
      </c>
      <c r="K717" s="185">
        <f t="shared" si="2875"/>
        <v>0</v>
      </c>
      <c r="L717" s="185">
        <f t="shared" ref="L717:M717" si="2876">L716+L726</f>
        <v>0</v>
      </c>
      <c r="M717" s="185">
        <f t="shared" si="2876"/>
        <v>0</v>
      </c>
      <c r="N717" s="185">
        <f t="shared" ref="N717:O717" si="2877">N716+N726</f>
        <v>0</v>
      </c>
      <c r="O717" s="185">
        <f t="shared" si="2877"/>
        <v>0</v>
      </c>
      <c r="P717" s="185">
        <f t="shared" ref="P717:Q717" si="2878">P716+P726</f>
        <v>0</v>
      </c>
      <c r="Q717" s="185">
        <f t="shared" si="2878"/>
        <v>0</v>
      </c>
      <c r="R717" s="185">
        <f t="shared" ref="R717:S717" si="2879">R716+R726</f>
        <v>0</v>
      </c>
      <c r="S717" s="185">
        <f t="shared" si="2879"/>
        <v>0</v>
      </c>
      <c r="T717" s="185">
        <f t="shared" ref="T717:U717" si="2880">T716+T726</f>
        <v>0</v>
      </c>
      <c r="U717" s="185">
        <f t="shared" si="2880"/>
        <v>0</v>
      </c>
      <c r="V717" s="185">
        <f t="shared" ref="V717:W717" si="2881">V716+V726</f>
        <v>0</v>
      </c>
      <c r="W717" s="185">
        <f t="shared" si="2881"/>
        <v>0</v>
      </c>
      <c r="X717" s="185">
        <f t="shared" ref="X717:Y717" si="2882">X716+X726</f>
        <v>0</v>
      </c>
      <c r="Y717" s="185">
        <f t="shared" si="2882"/>
        <v>0</v>
      </c>
      <c r="Z717" s="185">
        <f t="shared" ref="Z717:AA717" si="2883">Z716+Z726</f>
        <v>0</v>
      </c>
      <c r="AA717" s="185">
        <f t="shared" si="2883"/>
        <v>0</v>
      </c>
      <c r="AB717" s="185">
        <f t="shared" ref="AB717:AC717" si="2884">AB716+AB726</f>
        <v>0</v>
      </c>
      <c r="AC717" s="185">
        <f t="shared" si="2884"/>
        <v>0</v>
      </c>
      <c r="AD717" s="185">
        <f t="shared" ref="AD717:AE717" si="2885">AD716+AD726</f>
        <v>0</v>
      </c>
      <c r="AE717" s="185">
        <f t="shared" si="2885"/>
        <v>0</v>
      </c>
      <c r="AF717" s="185">
        <f t="shared" ref="AF717:AG717" si="2886">AF716+AF726</f>
        <v>0</v>
      </c>
      <c r="AG717" s="185">
        <f t="shared" si="2886"/>
        <v>0</v>
      </c>
      <c r="AH717" s="185">
        <f t="shared" ref="AH717:AI717" si="2887">AH716+AH726</f>
        <v>0</v>
      </c>
      <c r="AI717" s="185">
        <f t="shared" si="2887"/>
        <v>0</v>
      </c>
      <c r="AJ717" s="185">
        <f t="shared" ref="AJ717:AK717" si="2888">AJ716+AJ726</f>
        <v>0</v>
      </c>
      <c r="AK717" s="185">
        <f t="shared" si="2888"/>
        <v>0</v>
      </c>
      <c r="AL717" s="185">
        <f t="shared" ref="AL717:AM717" si="2889">AL716+AL726</f>
        <v>0</v>
      </c>
      <c r="AM717" s="185">
        <f t="shared" si="2889"/>
        <v>0</v>
      </c>
      <c r="AN717" s="185">
        <f t="shared" ref="AN717:AO717" si="2890">AN716+AN726</f>
        <v>0</v>
      </c>
      <c r="AO717" s="185">
        <f t="shared" si="2890"/>
        <v>0</v>
      </c>
      <c r="AP717" s="185">
        <f t="shared" ref="AP717:AQ717" si="2891">AP716+AP726</f>
        <v>0</v>
      </c>
      <c r="AQ717" s="185">
        <f t="shared" si="2891"/>
        <v>0</v>
      </c>
      <c r="AR717" s="185">
        <f t="shared" ref="AR717:AS717" si="2892">AR716+AR726</f>
        <v>0</v>
      </c>
      <c r="AS717" s="185">
        <f t="shared" si="2892"/>
        <v>0</v>
      </c>
      <c r="AT717" s="185">
        <f t="shared" ref="AT717:AU717" si="2893">AT716+AT726</f>
        <v>0</v>
      </c>
      <c r="AU717" s="185">
        <f t="shared" si="2893"/>
        <v>0</v>
      </c>
      <c r="AV717" s="185">
        <f t="shared" ref="AV717:AW717" si="2894">AV716+AV726</f>
        <v>0</v>
      </c>
      <c r="AW717" s="185">
        <f t="shared" si="2894"/>
        <v>0</v>
      </c>
      <c r="AX717" s="185">
        <f t="shared" ref="AX717:AY717" si="2895">AX716+AX726</f>
        <v>0</v>
      </c>
      <c r="AY717" s="185">
        <f t="shared" si="2895"/>
        <v>0</v>
      </c>
      <c r="AZ717" s="185">
        <f t="shared" ref="AZ717:BA717" si="2896">AZ716+AZ726</f>
        <v>0</v>
      </c>
      <c r="BA717" s="185">
        <f t="shared" si="2896"/>
        <v>0</v>
      </c>
      <c r="BB717" s="185">
        <f t="shared" ref="BB717" si="2897">BB716+BB726</f>
        <v>0</v>
      </c>
      <c r="BC717" s="185"/>
      <c r="BD717" s="193">
        <f>SUM(G717:BC717)</f>
        <v>0</v>
      </c>
    </row>
    <row r="718" spans="1:56" ht="14.4" hidden="1" thickTop="1" x14ac:dyDescent="0.3">
      <c r="A718" s="187" t="str">
        <f ca="1">Language!A$933</f>
        <v>ранее осуществленные инвестиции, без НДС</v>
      </c>
      <c r="B718" s="212">
        <f>B711*CHOOSE(D711,1,Параметры!G$53,Параметры!G$59)</f>
        <v>0</v>
      </c>
      <c r="C718" s="163" t="str">
        <f t="shared" ca="1" si="2874"/>
        <v>руб.</v>
      </c>
      <c r="D718" s="174">
        <v>1</v>
      </c>
      <c r="E718" s="170" t="s">
        <v>1269</v>
      </c>
      <c r="F718" s="170" t="s">
        <v>644</v>
      </c>
      <c r="G718" s="185">
        <f>B718</f>
        <v>0</v>
      </c>
      <c r="H718" s="185"/>
      <c r="I718" s="185"/>
      <c r="J718" s="185"/>
      <c r="K718" s="185"/>
      <c r="L718" s="185"/>
      <c r="M718" s="185"/>
      <c r="N718" s="185"/>
      <c r="O718" s="185"/>
      <c r="P718" s="185"/>
      <c r="Q718" s="185"/>
      <c r="R718" s="185"/>
      <c r="S718" s="185"/>
      <c r="T718" s="185"/>
      <c r="U718" s="185"/>
      <c r="V718" s="185"/>
      <c r="W718" s="185"/>
      <c r="X718" s="185"/>
      <c r="Y718" s="185"/>
      <c r="Z718" s="185"/>
      <c r="AA718" s="185"/>
      <c r="AB718" s="185"/>
      <c r="AC718" s="185"/>
      <c r="AD718" s="185"/>
      <c r="AE718" s="185"/>
      <c r="AF718" s="185"/>
      <c r="AG718" s="185"/>
      <c r="AH718" s="185"/>
      <c r="AI718" s="185"/>
      <c r="AJ718" s="185"/>
      <c r="AK718" s="185"/>
      <c r="AL718" s="185"/>
      <c r="AM718" s="185"/>
      <c r="AN718" s="185"/>
      <c r="AO718" s="185"/>
      <c r="AP718" s="185"/>
      <c r="AQ718" s="185"/>
      <c r="AR718" s="185"/>
      <c r="AS718" s="185"/>
      <c r="AT718" s="185"/>
      <c r="AU718" s="185"/>
      <c r="AV718" s="185"/>
      <c r="AW718" s="185"/>
      <c r="AX718" s="185"/>
      <c r="AY718" s="185"/>
      <c r="AZ718" s="185"/>
      <c r="BA718" s="185"/>
      <c r="BB718" s="185"/>
      <c r="BC718" s="185"/>
      <c r="BD718" s="193"/>
    </row>
    <row r="719" spans="1:56" ht="14.4" hidden="1" thickTop="1" x14ac:dyDescent="0.3">
      <c r="A719" s="187" t="str">
        <f ca="1">Language!A$934</f>
        <v>НДС к ранее осуществленным инвестициям</v>
      </c>
      <c r="B719" s="212">
        <f>B718*G714</f>
        <v>0</v>
      </c>
      <c r="C719" s="163" t="str">
        <f t="shared" ca="1" si="2874"/>
        <v>руб.</v>
      </c>
      <c r="D719" s="174">
        <v>1</v>
      </c>
      <c r="E719" s="170" t="s">
        <v>1273</v>
      </c>
      <c r="F719" s="170" t="s">
        <v>644</v>
      </c>
      <c r="G719" s="185">
        <f>B719</f>
        <v>0</v>
      </c>
      <c r="H719" s="185"/>
      <c r="I719" s="185"/>
      <c r="J719" s="185"/>
      <c r="K719" s="185"/>
      <c r="L719" s="185"/>
      <c r="M719" s="185"/>
      <c r="N719" s="185"/>
      <c r="O719" s="185"/>
      <c r="P719" s="185"/>
      <c r="Q719" s="185"/>
      <c r="R719" s="185"/>
      <c r="S719" s="185"/>
      <c r="T719" s="185"/>
      <c r="U719" s="185"/>
      <c r="V719" s="185"/>
      <c r="W719" s="185"/>
      <c r="X719" s="185"/>
      <c r="Y719" s="185"/>
      <c r="Z719" s="185"/>
      <c r="AA719" s="185"/>
      <c r="AB719" s="185"/>
      <c r="AC719" s="185"/>
      <c r="AD719" s="185"/>
      <c r="AE719" s="185"/>
      <c r="AF719" s="185"/>
      <c r="AG719" s="185"/>
      <c r="AH719" s="185"/>
      <c r="AI719" s="185"/>
      <c r="AJ719" s="185"/>
      <c r="AK719" s="185"/>
      <c r="AL719" s="185"/>
      <c r="AM719" s="185"/>
      <c r="AN719" s="185"/>
      <c r="AO719" s="185"/>
      <c r="AP719" s="185"/>
      <c r="AQ719" s="185"/>
      <c r="AR719" s="185"/>
      <c r="AS719" s="185"/>
      <c r="AT719" s="185"/>
      <c r="AU719" s="185"/>
      <c r="AV719" s="185"/>
      <c r="AW719" s="185"/>
      <c r="AX719" s="185"/>
      <c r="AY719" s="185"/>
      <c r="AZ719" s="185"/>
      <c r="BA719" s="185"/>
      <c r="BB719" s="185"/>
      <c r="BC719" s="185"/>
      <c r="BD719" s="193"/>
    </row>
    <row r="720" spans="1:56" ht="14.4" hidden="1" thickTop="1" x14ac:dyDescent="0.3">
      <c r="A720" s="187" t="str">
        <f ca="1">Language!A$935</f>
        <v>график ввода в эксплуатацию, без НДС</v>
      </c>
      <c r="B720" s="163"/>
      <c r="C720" s="163" t="str">
        <f t="shared" ca="1" si="2874"/>
        <v>руб.</v>
      </c>
      <c r="D720" s="174">
        <v>1</v>
      </c>
      <c r="F720" s="170" t="s">
        <v>743</v>
      </c>
      <c r="G720" s="185">
        <f>G712*CHOOSE($D712,1,Параметры!G$53,Параметры!G$59)</f>
        <v>0</v>
      </c>
      <c r="H720" s="185">
        <f>H712*CHOOSE($D712,1,Параметры!H$53,Параметры!H$59)</f>
        <v>0</v>
      </c>
      <c r="I720" s="185">
        <f>I712*CHOOSE($D712,1,Параметры!I$53,Параметры!I$59)</f>
        <v>0</v>
      </c>
      <c r="J720" s="185">
        <f>J712*CHOOSE($D712,1,Параметры!J$53,Параметры!J$59)</f>
        <v>0</v>
      </c>
      <c r="K720" s="185">
        <f>K712*CHOOSE($D712,1,Параметры!K$53,Параметры!K$59)</f>
        <v>0</v>
      </c>
      <c r="L720" s="185">
        <f>L712*CHOOSE($D712,1,Параметры!L$53,Параметры!L$59)</f>
        <v>0</v>
      </c>
      <c r="M720" s="185">
        <f>M712*CHOOSE($D712,1,Параметры!M$53,Параметры!M$59)</f>
        <v>0</v>
      </c>
      <c r="N720" s="185">
        <f>N712*CHOOSE($D712,1,Параметры!N$53,Параметры!N$59)</f>
        <v>0</v>
      </c>
      <c r="O720" s="185">
        <f>O712*CHOOSE($D712,1,Параметры!O$53,Параметры!O$59)</f>
        <v>0</v>
      </c>
      <c r="P720" s="185">
        <f>P712*CHOOSE($D712,1,Параметры!P$53,Параметры!P$59)</f>
        <v>0</v>
      </c>
      <c r="Q720" s="185">
        <f>Q712*CHOOSE($D712,1,Параметры!Q$53,Параметры!Q$59)</f>
        <v>0</v>
      </c>
      <c r="R720" s="185">
        <f>R712*CHOOSE($D712,1,Параметры!R$53,Параметры!R$59)</f>
        <v>0</v>
      </c>
      <c r="S720" s="185">
        <f>S712*CHOOSE($D712,1,Параметры!S$53,Параметры!S$59)</f>
        <v>0</v>
      </c>
      <c r="T720" s="185">
        <f>T712*CHOOSE($D712,1,Параметры!T$53,Параметры!T$59)</f>
        <v>0</v>
      </c>
      <c r="U720" s="185">
        <f>U712*CHOOSE($D712,1,Параметры!U$53,Параметры!U$59)</f>
        <v>0</v>
      </c>
      <c r="V720" s="185">
        <f>V712*CHOOSE($D712,1,Параметры!V$53,Параметры!V$59)</f>
        <v>0</v>
      </c>
      <c r="W720" s="185">
        <f>W712*CHOOSE($D712,1,Параметры!W$53,Параметры!W$59)</f>
        <v>0</v>
      </c>
      <c r="X720" s="185">
        <f>X712*CHOOSE($D712,1,Параметры!X$53,Параметры!X$59)</f>
        <v>0</v>
      </c>
      <c r="Y720" s="185">
        <f>Y712*CHOOSE($D712,1,Параметры!Y$53,Параметры!Y$59)</f>
        <v>0</v>
      </c>
      <c r="Z720" s="185">
        <f>Z712*CHOOSE($D712,1,Параметры!Z$53,Параметры!Z$59)</f>
        <v>0</v>
      </c>
      <c r="AA720" s="185">
        <f>AA712*CHOOSE($D712,1,Параметры!AA$53,Параметры!AA$59)</f>
        <v>0</v>
      </c>
      <c r="AB720" s="185">
        <f>AB712*CHOOSE($D712,1,Параметры!AB$53,Параметры!AB$59)</f>
        <v>0</v>
      </c>
      <c r="AC720" s="185">
        <f>AC712*CHOOSE($D712,1,Параметры!AC$53,Параметры!AC$59)</f>
        <v>0</v>
      </c>
      <c r="AD720" s="185">
        <f>AD712*CHOOSE($D712,1,Параметры!AD$53,Параметры!AD$59)</f>
        <v>0</v>
      </c>
      <c r="AE720" s="185">
        <f>AE712*CHOOSE($D712,1,Параметры!AE$53,Параметры!AE$59)</f>
        <v>0</v>
      </c>
      <c r="AF720" s="185">
        <f>AF712*CHOOSE($D712,1,Параметры!AF$53,Параметры!AF$59)</f>
        <v>0</v>
      </c>
      <c r="AG720" s="185">
        <f>AG712*CHOOSE($D712,1,Параметры!AG$53,Параметры!AG$59)</f>
        <v>0</v>
      </c>
      <c r="AH720" s="185">
        <f>AH712*CHOOSE($D712,1,Параметры!AH$53,Параметры!AH$59)</f>
        <v>0</v>
      </c>
      <c r="AI720" s="185">
        <f>AI712*CHOOSE($D712,1,Параметры!AI$53,Параметры!AI$59)</f>
        <v>0</v>
      </c>
      <c r="AJ720" s="185">
        <f>AJ712*CHOOSE($D712,1,Параметры!AJ$53,Параметры!AJ$59)</f>
        <v>0</v>
      </c>
      <c r="AK720" s="185">
        <f>AK712*CHOOSE($D712,1,Параметры!AK$53,Параметры!AK$59)</f>
        <v>0</v>
      </c>
      <c r="AL720" s="185">
        <f>AL712*CHOOSE($D712,1,Параметры!AL$53,Параметры!AL$59)</f>
        <v>0</v>
      </c>
      <c r="AM720" s="185">
        <f>AM712*CHOOSE($D712,1,Параметры!AM$53,Параметры!AM$59)</f>
        <v>0</v>
      </c>
      <c r="AN720" s="185">
        <f>AN712*CHOOSE($D712,1,Параметры!AN$53,Параметры!AN$59)</f>
        <v>0</v>
      </c>
      <c r="AO720" s="185">
        <f>AO712*CHOOSE($D712,1,Параметры!AO$53,Параметры!AO$59)</f>
        <v>0</v>
      </c>
      <c r="AP720" s="185">
        <f>AP712*CHOOSE($D712,1,Параметры!AP$53,Параметры!AP$59)</f>
        <v>0</v>
      </c>
      <c r="AQ720" s="185">
        <f>AQ712*CHOOSE($D712,1,Параметры!AQ$53,Параметры!AQ$59)</f>
        <v>0</v>
      </c>
      <c r="AR720" s="185">
        <f>AR712*CHOOSE($D712,1,Параметры!AR$53,Параметры!AR$59)</f>
        <v>0</v>
      </c>
      <c r="AS720" s="185">
        <f>AS712*CHOOSE($D712,1,Параметры!AS$53,Параметры!AS$59)</f>
        <v>0</v>
      </c>
      <c r="AT720" s="185">
        <f>AT712*CHOOSE($D712,1,Параметры!AT$53,Параметры!AT$59)</f>
        <v>0</v>
      </c>
      <c r="AU720" s="185">
        <f>AU712*CHOOSE($D712,1,Параметры!AU$53,Параметры!AU$59)</f>
        <v>0</v>
      </c>
      <c r="AV720" s="185">
        <f>AV712*CHOOSE($D712,1,Параметры!AV$53,Параметры!AV$59)</f>
        <v>0</v>
      </c>
      <c r="AW720" s="185">
        <f>AW712*CHOOSE($D712,1,Параметры!AW$53,Параметры!AW$59)</f>
        <v>0</v>
      </c>
      <c r="AX720" s="185">
        <f>AX712*CHOOSE($D712,1,Параметры!AX$53,Параметры!AX$59)</f>
        <v>0</v>
      </c>
      <c r="AY720" s="185">
        <f>AY712*CHOOSE($D712,1,Параметры!AY$53,Параметры!AY$59)</f>
        <v>0</v>
      </c>
      <c r="AZ720" s="185">
        <f>AZ712*CHOOSE($D712,1,Параметры!AZ$53,Параметры!AZ$59)</f>
        <v>0</v>
      </c>
      <c r="BA720" s="185">
        <f>BA712*CHOOSE($D712,1,Параметры!BA$53,Параметры!BA$59)</f>
        <v>0</v>
      </c>
      <c r="BB720" s="185">
        <f>BB712*CHOOSE($D712,1,Параметры!BB$53,Параметры!BB$59)</f>
        <v>0</v>
      </c>
      <c r="BC720" s="185"/>
      <c r="BD720" s="193">
        <f>SUM(G720:BC720)</f>
        <v>0</v>
      </c>
    </row>
    <row r="721" spans="1:56" ht="14.4" hidden="1" thickTop="1" x14ac:dyDescent="0.3">
      <c r="A721" s="184" t="str">
        <f ca="1">Language!A$936</f>
        <v>незавершенные инвестиции</v>
      </c>
      <c r="B721" s="170"/>
      <c r="C721" s="163" t="str">
        <f t="shared" ca="1" si="2874"/>
        <v>руб.</v>
      </c>
      <c r="D721" s="174">
        <v>1</v>
      </c>
      <c r="E721" s="170" t="s">
        <v>754</v>
      </c>
      <c r="F721" s="170" t="s">
        <v>747</v>
      </c>
      <c r="G721" s="185">
        <f>IF(SUM($G715:G715)&gt;0.01,0,MAX(SUM($G710:G710)+$B711-SUM($G712:G712),0))*CHOOSE($D710,1,Параметры!G$53,Параметры!G$59)</f>
        <v>0</v>
      </c>
      <c r="H721" s="185">
        <f>IF(SUM($G715:H715)&gt;0.01,0,MAX(SUM($G710:H710)+$B711-SUM($G712:H712),0))*CHOOSE($D710,1,Параметры!H$53,Параметры!H$59)</f>
        <v>0</v>
      </c>
      <c r="I721" s="185">
        <f>IF(SUM($G715:I715)&gt;0.01,0,MAX(SUM($G710:I710)+$B711-SUM($G712:I712),0))*CHOOSE($D710,1,Параметры!I$53,Параметры!I$59)</f>
        <v>0</v>
      </c>
      <c r="J721" s="185">
        <f>IF(SUM($G715:J715)&gt;0.01,0,MAX(SUM($G710:J710)+$B711-SUM($G712:J712),0))*CHOOSE($D710,1,Параметры!J$53,Параметры!J$59)</f>
        <v>0</v>
      </c>
      <c r="K721" s="185">
        <f>IF(SUM($G715:K715)&gt;0.01,0,MAX(SUM($G710:K710)+$B711-SUM($G712:K712),0))*CHOOSE($D710,1,Параметры!K$53,Параметры!K$59)</f>
        <v>0</v>
      </c>
      <c r="L721" s="185">
        <f>IF(SUM($G715:L715)&gt;0.01,0,MAX(SUM($G710:L710)+$B711-SUM($G712:L712),0))*CHOOSE($D710,1,Параметры!L$53,Параметры!L$59)</f>
        <v>0</v>
      </c>
      <c r="M721" s="185">
        <f>IF(SUM($G715:M715)&gt;0.01,0,MAX(SUM($G710:M710)+$B711-SUM($G712:M712),0))*CHOOSE($D710,1,Параметры!M$53,Параметры!M$59)</f>
        <v>0</v>
      </c>
      <c r="N721" s="185">
        <f>IF(SUM($G715:N715)&gt;0.01,0,MAX(SUM($G710:N710)+$B711-SUM($G712:N712),0))*CHOOSE($D710,1,Параметры!N$53,Параметры!N$59)</f>
        <v>0</v>
      </c>
      <c r="O721" s="185">
        <f>IF(SUM($G715:O715)&gt;0.01,0,MAX(SUM($G710:O710)+$B711-SUM($G712:O712),0))*CHOOSE($D710,1,Параметры!O$53,Параметры!O$59)</f>
        <v>0</v>
      </c>
      <c r="P721" s="185">
        <f>IF(SUM($G715:P715)&gt;0.01,0,MAX(SUM($G710:P710)+$B711-SUM($G712:P712),0))*CHOOSE($D710,1,Параметры!P$53,Параметры!P$59)</f>
        <v>0</v>
      </c>
      <c r="Q721" s="185">
        <f>IF(SUM($G715:Q715)&gt;0.01,0,MAX(SUM($G710:Q710)+$B711-SUM($G712:Q712),0))*CHOOSE($D710,1,Параметры!Q$53,Параметры!Q$59)</f>
        <v>0</v>
      </c>
      <c r="R721" s="185">
        <f>IF(SUM($G715:R715)&gt;0.01,0,MAX(SUM($G710:R710)+$B711-SUM($G712:R712),0))*CHOOSE($D710,1,Параметры!R$53,Параметры!R$59)</f>
        <v>0</v>
      </c>
      <c r="S721" s="185">
        <f>IF(SUM($G715:S715)&gt;0.01,0,MAX(SUM($G710:S710)+$B711-SUM($G712:S712),0))*CHOOSE($D710,1,Параметры!S$53,Параметры!S$59)</f>
        <v>0</v>
      </c>
      <c r="T721" s="185">
        <f>IF(SUM($G715:T715)&gt;0.01,0,MAX(SUM($G710:T710)+$B711-SUM($G712:T712),0))*CHOOSE($D710,1,Параметры!T$53,Параметры!T$59)</f>
        <v>0</v>
      </c>
      <c r="U721" s="185">
        <f>IF(SUM($G715:U715)&gt;0.01,0,MAX(SUM($G710:U710)+$B711-SUM($G712:U712),0))*CHOOSE($D710,1,Параметры!U$53,Параметры!U$59)</f>
        <v>0</v>
      </c>
      <c r="V721" s="185">
        <f>IF(SUM($G715:V715)&gt;0.01,0,MAX(SUM($G710:V710)+$B711-SUM($G712:V712),0))*CHOOSE($D710,1,Параметры!V$53,Параметры!V$59)</f>
        <v>0</v>
      </c>
      <c r="W721" s="185">
        <f>IF(SUM($G715:W715)&gt;0.01,0,MAX(SUM($G710:W710)+$B711-SUM($G712:W712),0))*CHOOSE($D710,1,Параметры!W$53,Параметры!W$59)</f>
        <v>0</v>
      </c>
      <c r="X721" s="185">
        <f>IF(SUM($G715:X715)&gt;0.01,0,MAX(SUM($G710:X710)+$B711-SUM($G712:X712),0))*CHOOSE($D710,1,Параметры!X$53,Параметры!X$59)</f>
        <v>0</v>
      </c>
      <c r="Y721" s="185">
        <f>IF(SUM($G715:Y715)&gt;0.01,0,MAX(SUM($G710:Y710)+$B711-SUM($G712:Y712),0))*CHOOSE($D710,1,Параметры!Y$53,Параметры!Y$59)</f>
        <v>0</v>
      </c>
      <c r="Z721" s="185">
        <f>IF(SUM($G715:Z715)&gt;0.01,0,MAX(SUM($G710:Z710)+$B711-SUM($G712:Z712),0))*CHOOSE($D710,1,Параметры!Z$53,Параметры!Z$59)</f>
        <v>0</v>
      </c>
      <c r="AA721" s="185">
        <f>IF(SUM($G715:AA715)&gt;0.01,0,MAX(SUM($G710:AA710)+$B711-SUM($G712:AA712),0))*CHOOSE($D710,1,Параметры!AA$53,Параметры!AA$59)</f>
        <v>0</v>
      </c>
      <c r="AB721" s="185">
        <f>IF(SUM($G715:AB715)&gt;0.01,0,MAX(SUM($G710:AB710)+$B711-SUM($G712:AB712),0))*CHOOSE($D710,1,Параметры!AB$53,Параметры!AB$59)</f>
        <v>0</v>
      </c>
      <c r="AC721" s="185">
        <f>IF(SUM($G715:AC715)&gt;0.01,0,MAX(SUM($G710:AC710)+$B711-SUM($G712:AC712),0))*CHOOSE($D710,1,Параметры!AC$53,Параметры!AC$59)</f>
        <v>0</v>
      </c>
      <c r="AD721" s="185">
        <f>IF(SUM($G715:AD715)&gt;0.01,0,MAX(SUM($G710:AD710)+$B711-SUM($G712:AD712),0))*CHOOSE($D710,1,Параметры!AD$53,Параметры!AD$59)</f>
        <v>0</v>
      </c>
      <c r="AE721" s="185">
        <f>IF(SUM($G715:AE715)&gt;0.01,0,MAX(SUM($G710:AE710)+$B711-SUM($G712:AE712),0))*CHOOSE($D710,1,Параметры!AE$53,Параметры!AE$59)</f>
        <v>0</v>
      </c>
      <c r="AF721" s="185">
        <f>IF(SUM($G715:AF715)&gt;0.01,0,MAX(SUM($G710:AF710)+$B711-SUM($G712:AF712),0))*CHOOSE($D710,1,Параметры!AF$53,Параметры!AF$59)</f>
        <v>0</v>
      </c>
      <c r="AG721" s="185">
        <f>IF(SUM($G715:AG715)&gt;0.01,0,MAX(SUM($G710:AG710)+$B711-SUM($G712:AG712),0))*CHOOSE($D710,1,Параметры!AG$53,Параметры!AG$59)</f>
        <v>0</v>
      </c>
      <c r="AH721" s="185">
        <f>IF(SUM($G715:AH715)&gt;0.01,0,MAX(SUM($G710:AH710)+$B711-SUM($G712:AH712),0))*CHOOSE($D710,1,Параметры!AH$53,Параметры!AH$59)</f>
        <v>0</v>
      </c>
      <c r="AI721" s="185">
        <f>IF(SUM($G715:AI715)&gt;0.01,0,MAX(SUM($G710:AI710)+$B711-SUM($G712:AI712),0))*CHOOSE($D710,1,Параметры!AI$53,Параметры!AI$59)</f>
        <v>0</v>
      </c>
      <c r="AJ721" s="185">
        <f>IF(SUM($G715:AJ715)&gt;0.01,0,MAX(SUM($G710:AJ710)+$B711-SUM($G712:AJ712),0))*CHOOSE($D710,1,Параметры!AJ$53,Параметры!AJ$59)</f>
        <v>0</v>
      </c>
      <c r="AK721" s="185">
        <f>IF(SUM($G715:AK715)&gt;0.01,0,MAX(SUM($G710:AK710)+$B711-SUM($G712:AK712),0))*CHOOSE($D710,1,Параметры!AK$53,Параметры!AK$59)</f>
        <v>0</v>
      </c>
      <c r="AL721" s="185">
        <f>IF(SUM($G715:AL715)&gt;0.01,0,MAX(SUM($G710:AL710)+$B711-SUM($G712:AL712),0))*CHOOSE($D710,1,Параметры!AL$53,Параметры!AL$59)</f>
        <v>0</v>
      </c>
      <c r="AM721" s="185">
        <f>IF(SUM($G715:AM715)&gt;0.01,0,MAX(SUM($G710:AM710)+$B711-SUM($G712:AM712),0))*CHOOSE($D710,1,Параметры!AM$53,Параметры!AM$59)</f>
        <v>0</v>
      </c>
      <c r="AN721" s="185">
        <f>IF(SUM($G715:AN715)&gt;0.01,0,MAX(SUM($G710:AN710)+$B711-SUM($G712:AN712),0))*CHOOSE($D710,1,Параметры!AN$53,Параметры!AN$59)</f>
        <v>0</v>
      </c>
      <c r="AO721" s="185">
        <f>IF(SUM($G715:AO715)&gt;0.01,0,MAX(SUM($G710:AO710)+$B711-SUM($G712:AO712),0))*CHOOSE($D710,1,Параметры!AO$53,Параметры!AO$59)</f>
        <v>0</v>
      </c>
      <c r="AP721" s="185">
        <f>IF(SUM($G715:AP715)&gt;0.01,0,MAX(SUM($G710:AP710)+$B711-SUM($G712:AP712),0))*CHOOSE($D710,1,Параметры!AP$53,Параметры!AP$59)</f>
        <v>0</v>
      </c>
      <c r="AQ721" s="185">
        <f>IF(SUM($G715:AQ715)&gt;0.01,0,MAX(SUM($G710:AQ710)+$B711-SUM($G712:AQ712),0))*CHOOSE($D710,1,Параметры!AQ$53,Параметры!AQ$59)</f>
        <v>0</v>
      </c>
      <c r="AR721" s="185">
        <f>IF(SUM($G715:AR715)&gt;0.01,0,MAX(SUM($G710:AR710)+$B711-SUM($G712:AR712),0))*CHOOSE($D710,1,Параметры!AR$53,Параметры!AR$59)</f>
        <v>0</v>
      </c>
      <c r="AS721" s="185">
        <f>IF(SUM($G715:AS715)&gt;0.01,0,MAX(SUM($G710:AS710)+$B711-SUM($G712:AS712),0))*CHOOSE($D710,1,Параметры!AS$53,Параметры!AS$59)</f>
        <v>0</v>
      </c>
      <c r="AT721" s="185">
        <f>IF(SUM($G715:AT715)&gt;0.01,0,MAX(SUM($G710:AT710)+$B711-SUM($G712:AT712),0))*CHOOSE($D710,1,Параметры!AT$53,Параметры!AT$59)</f>
        <v>0</v>
      </c>
      <c r="AU721" s="185">
        <f>IF(SUM($G715:AU715)&gt;0.01,0,MAX(SUM($G710:AU710)+$B711-SUM($G712:AU712),0))*CHOOSE($D710,1,Параметры!AU$53,Параметры!AU$59)</f>
        <v>0</v>
      </c>
      <c r="AV721" s="185">
        <f>IF(SUM($G715:AV715)&gt;0.01,0,MAX(SUM($G710:AV710)+$B711-SUM($G712:AV712),0))*CHOOSE($D710,1,Параметры!AV$53,Параметры!AV$59)</f>
        <v>0</v>
      </c>
      <c r="AW721" s="185">
        <f>IF(SUM($G715:AW715)&gt;0.01,0,MAX(SUM($G710:AW710)+$B711-SUM($G712:AW712),0))*CHOOSE($D710,1,Параметры!AW$53,Параметры!AW$59)</f>
        <v>0</v>
      </c>
      <c r="AX721" s="185">
        <f>IF(SUM($G715:AX715)&gt;0.01,0,MAX(SUM($G710:AX710)+$B711-SUM($G712:AX712),0))*CHOOSE($D710,1,Параметры!AX$53,Параметры!AX$59)</f>
        <v>0</v>
      </c>
      <c r="AY721" s="185">
        <f>IF(SUM($G715:AY715)&gt;0.01,0,MAX(SUM($G710:AY710)+$B711-SUM($G712:AY712),0))*CHOOSE($D710,1,Параметры!AY$53,Параметры!AY$59)</f>
        <v>0</v>
      </c>
      <c r="AZ721" s="185">
        <f>IF(SUM($G715:AZ715)&gt;0.01,0,MAX(SUM($G710:AZ710)+$B711-SUM($G712:AZ712),0))*CHOOSE($D710,1,Параметры!AZ$53,Параметры!AZ$59)</f>
        <v>0</v>
      </c>
      <c r="BA721" s="185">
        <f>IF(SUM($G715:BA715)&gt;0.01,0,MAX(SUM($G710:BA710)+$B711-SUM($G712:BA712),0))*CHOOSE($D710,1,Параметры!BA$53,Параметры!BA$59)</f>
        <v>0</v>
      </c>
      <c r="BB721" s="185">
        <f>IF(SUM($G715:BB715)&gt;0.01,0,MAX(SUM($G710:BB710)+$B711-SUM($G712:BB712),0))*CHOOSE($D710,1,Параметры!BB$53,Параметры!BB$59)</f>
        <v>0</v>
      </c>
      <c r="BC721" s="185"/>
      <c r="BD721" s="186"/>
    </row>
    <row r="722" spans="1:56" ht="14.4" hidden="1" thickTop="1" x14ac:dyDescent="0.3">
      <c r="A722" s="184" t="str">
        <f ca="1">Language!A$937</f>
        <v>кредиторская задолженность</v>
      </c>
      <c r="B722" s="170"/>
      <c r="C722" s="163" t="str">
        <f t="shared" ca="1" si="2874"/>
        <v>руб.</v>
      </c>
      <c r="D722" s="174">
        <v>1</v>
      </c>
      <c r="E722" s="170" t="s">
        <v>752</v>
      </c>
      <c r="F722" s="170" t="s">
        <v>747</v>
      </c>
      <c r="G722" s="185">
        <f>IF(SUM($G715:G715)&gt;0.01,0,MAX(SUM($G712:G712)-SUM($G710:G710)-$B711,0))*CHOOSE($D710,1,Параметры!G$53,Параметры!G$59)*(1+G714)</f>
        <v>0</v>
      </c>
      <c r="H722" s="185">
        <f>IF(SUM($G715:H715)&gt;0.01,0,MAX(SUM($G712:H712)-SUM($G710:H710)-$B711,0))*CHOOSE($D710,1,Параметры!H$53,Параметры!H$59)*(1+H714)</f>
        <v>0</v>
      </c>
      <c r="I722" s="185">
        <f>IF(SUM($G715:I715)&gt;0.01,0,MAX(SUM($G712:I712)-SUM($G710:I710)-$B711,0))*CHOOSE($D710,1,Параметры!I$53,Параметры!I$59)*(1+I714)</f>
        <v>0</v>
      </c>
      <c r="J722" s="185">
        <f>IF(SUM($G715:J715)&gt;0.01,0,MAX(SUM($G712:J712)-SUM($G710:J710)-$B711,0))*CHOOSE($D710,1,Параметры!J$53,Параметры!J$59)*(1+J714)</f>
        <v>0</v>
      </c>
      <c r="K722" s="185">
        <f>IF(SUM($G715:K715)&gt;0.01,0,MAX(SUM($G712:K712)-SUM($G710:K710)-$B711,0))*CHOOSE($D710,1,Параметры!K$53,Параметры!K$59)*(1+K714)</f>
        <v>0</v>
      </c>
      <c r="L722" s="185">
        <f>IF(SUM($G715:L715)&gt;0.01,0,MAX(SUM($G712:L712)-SUM($G710:L710)-$B711,0))*CHOOSE($D710,1,Параметры!L$53,Параметры!L$59)*(1+L714)</f>
        <v>0</v>
      </c>
      <c r="M722" s="185">
        <f>IF(SUM($G715:M715)&gt;0.01,0,MAX(SUM($G712:M712)-SUM($G710:M710)-$B711,0))*CHOOSE($D710,1,Параметры!M$53,Параметры!M$59)*(1+M714)</f>
        <v>0</v>
      </c>
      <c r="N722" s="185">
        <f>IF(SUM($G715:N715)&gt;0.01,0,MAX(SUM($G712:N712)-SUM($G710:N710)-$B711,0))*CHOOSE($D710,1,Параметры!N$53,Параметры!N$59)*(1+N714)</f>
        <v>0</v>
      </c>
      <c r="O722" s="185">
        <f>IF(SUM($G715:O715)&gt;0.01,0,MAX(SUM($G712:O712)-SUM($G710:O710)-$B711,0))*CHOOSE($D710,1,Параметры!O$53,Параметры!O$59)*(1+O714)</f>
        <v>0</v>
      </c>
      <c r="P722" s="185">
        <f>IF(SUM($G715:P715)&gt;0.01,0,MAX(SUM($G712:P712)-SUM($G710:P710)-$B711,0))*CHOOSE($D710,1,Параметры!P$53,Параметры!P$59)*(1+P714)</f>
        <v>0</v>
      </c>
      <c r="Q722" s="185">
        <f>IF(SUM($G715:Q715)&gt;0.01,0,MAX(SUM($G712:Q712)-SUM($G710:Q710)-$B711,0))*CHOOSE($D710,1,Параметры!Q$53,Параметры!Q$59)*(1+Q714)</f>
        <v>0</v>
      </c>
      <c r="R722" s="185">
        <f>IF(SUM($G715:R715)&gt;0.01,0,MAX(SUM($G712:R712)-SUM($G710:R710)-$B711,0))*CHOOSE($D710,1,Параметры!R$53,Параметры!R$59)*(1+R714)</f>
        <v>0</v>
      </c>
      <c r="S722" s="185">
        <f>IF(SUM($G715:S715)&gt;0.01,0,MAX(SUM($G712:S712)-SUM($G710:S710)-$B711,0))*CHOOSE($D710,1,Параметры!S$53,Параметры!S$59)*(1+S714)</f>
        <v>0</v>
      </c>
      <c r="T722" s="185">
        <f>IF(SUM($G715:T715)&gt;0.01,0,MAX(SUM($G712:T712)-SUM($G710:T710)-$B711,0))*CHOOSE($D710,1,Параметры!T$53,Параметры!T$59)*(1+T714)</f>
        <v>0</v>
      </c>
      <c r="U722" s="185">
        <f>IF(SUM($G715:U715)&gt;0.01,0,MAX(SUM($G712:U712)-SUM($G710:U710)-$B711,0))*CHOOSE($D710,1,Параметры!U$53,Параметры!U$59)*(1+U714)</f>
        <v>0</v>
      </c>
      <c r="V722" s="185">
        <f>IF(SUM($G715:V715)&gt;0.01,0,MAX(SUM($G712:V712)-SUM($G710:V710)-$B711,0))*CHOOSE($D710,1,Параметры!V$53,Параметры!V$59)*(1+V714)</f>
        <v>0</v>
      </c>
      <c r="W722" s="185">
        <f>IF(SUM($G715:W715)&gt;0.01,0,MAX(SUM($G712:W712)-SUM($G710:W710)-$B711,0))*CHOOSE($D710,1,Параметры!W$53,Параметры!W$59)*(1+W714)</f>
        <v>0</v>
      </c>
      <c r="X722" s="185">
        <f>IF(SUM($G715:X715)&gt;0.01,0,MAX(SUM($G712:X712)-SUM($G710:X710)-$B711,0))*CHOOSE($D710,1,Параметры!X$53,Параметры!X$59)*(1+X714)</f>
        <v>0</v>
      </c>
      <c r="Y722" s="185">
        <f>IF(SUM($G715:Y715)&gt;0.01,0,MAX(SUM($G712:Y712)-SUM($G710:Y710)-$B711,0))*CHOOSE($D710,1,Параметры!Y$53,Параметры!Y$59)*(1+Y714)</f>
        <v>0</v>
      </c>
      <c r="Z722" s="185">
        <f>IF(SUM($G715:Z715)&gt;0.01,0,MAX(SUM($G712:Z712)-SUM($G710:Z710)-$B711,0))*CHOOSE($D710,1,Параметры!Z$53,Параметры!Z$59)*(1+Z714)</f>
        <v>0</v>
      </c>
      <c r="AA722" s="185">
        <f>IF(SUM($G715:AA715)&gt;0.01,0,MAX(SUM($G712:AA712)-SUM($G710:AA710)-$B711,0))*CHOOSE($D710,1,Параметры!AA$53,Параметры!AA$59)*(1+AA714)</f>
        <v>0</v>
      </c>
      <c r="AB722" s="185">
        <f>IF(SUM($G715:AB715)&gt;0.01,0,MAX(SUM($G712:AB712)-SUM($G710:AB710)-$B711,0))*CHOOSE($D710,1,Параметры!AB$53,Параметры!AB$59)*(1+AB714)</f>
        <v>0</v>
      </c>
      <c r="AC722" s="185">
        <f>IF(SUM($G715:AC715)&gt;0.01,0,MAX(SUM($G712:AC712)-SUM($G710:AC710)-$B711,0))*CHOOSE($D710,1,Параметры!AC$53,Параметры!AC$59)*(1+AC714)</f>
        <v>0</v>
      </c>
      <c r="AD722" s="185">
        <f>IF(SUM($G715:AD715)&gt;0.01,0,MAX(SUM($G712:AD712)-SUM($G710:AD710)-$B711,0))*CHOOSE($D710,1,Параметры!AD$53,Параметры!AD$59)*(1+AD714)</f>
        <v>0</v>
      </c>
      <c r="AE722" s="185">
        <f>IF(SUM($G715:AE715)&gt;0.01,0,MAX(SUM($G712:AE712)-SUM($G710:AE710)-$B711,0))*CHOOSE($D710,1,Параметры!AE$53,Параметры!AE$59)*(1+AE714)</f>
        <v>0</v>
      </c>
      <c r="AF722" s="185">
        <f>IF(SUM($G715:AF715)&gt;0.01,0,MAX(SUM($G712:AF712)-SUM($G710:AF710)-$B711,0))*CHOOSE($D710,1,Параметры!AF$53,Параметры!AF$59)*(1+AF714)</f>
        <v>0</v>
      </c>
      <c r="AG722" s="185">
        <f>IF(SUM($G715:AG715)&gt;0.01,0,MAX(SUM($G712:AG712)-SUM($G710:AG710)-$B711,0))*CHOOSE($D710,1,Параметры!AG$53,Параметры!AG$59)*(1+AG714)</f>
        <v>0</v>
      </c>
      <c r="AH722" s="185">
        <f>IF(SUM($G715:AH715)&gt;0.01,0,MAX(SUM($G712:AH712)-SUM($G710:AH710)-$B711,0))*CHOOSE($D710,1,Параметры!AH$53,Параметры!AH$59)*(1+AH714)</f>
        <v>0</v>
      </c>
      <c r="AI722" s="185">
        <f>IF(SUM($G715:AI715)&gt;0.01,0,MAX(SUM($G712:AI712)-SUM($G710:AI710)-$B711,0))*CHOOSE($D710,1,Параметры!AI$53,Параметры!AI$59)*(1+AI714)</f>
        <v>0</v>
      </c>
      <c r="AJ722" s="185">
        <f>IF(SUM($G715:AJ715)&gt;0.01,0,MAX(SUM($G712:AJ712)-SUM($G710:AJ710)-$B711,0))*CHOOSE($D710,1,Параметры!AJ$53,Параметры!AJ$59)*(1+AJ714)</f>
        <v>0</v>
      </c>
      <c r="AK722" s="185">
        <f>IF(SUM($G715:AK715)&gt;0.01,0,MAX(SUM($G712:AK712)-SUM($G710:AK710)-$B711,0))*CHOOSE($D710,1,Параметры!AK$53,Параметры!AK$59)*(1+AK714)</f>
        <v>0</v>
      </c>
      <c r="AL722" s="185">
        <f>IF(SUM($G715:AL715)&gt;0.01,0,MAX(SUM($G712:AL712)-SUM($G710:AL710)-$B711,0))*CHOOSE($D710,1,Параметры!AL$53,Параметры!AL$59)*(1+AL714)</f>
        <v>0</v>
      </c>
      <c r="AM722" s="185">
        <f>IF(SUM($G715:AM715)&gt;0.01,0,MAX(SUM($G712:AM712)-SUM($G710:AM710)-$B711,0))*CHOOSE($D710,1,Параметры!AM$53,Параметры!AM$59)*(1+AM714)</f>
        <v>0</v>
      </c>
      <c r="AN722" s="185">
        <f>IF(SUM($G715:AN715)&gt;0.01,0,MAX(SUM($G712:AN712)-SUM($G710:AN710)-$B711,0))*CHOOSE($D710,1,Параметры!AN$53,Параметры!AN$59)*(1+AN714)</f>
        <v>0</v>
      </c>
      <c r="AO722" s="185">
        <f>IF(SUM($G715:AO715)&gt;0.01,0,MAX(SUM($G712:AO712)-SUM($G710:AO710)-$B711,0))*CHOOSE($D710,1,Параметры!AO$53,Параметры!AO$59)*(1+AO714)</f>
        <v>0</v>
      </c>
      <c r="AP722" s="185">
        <f>IF(SUM($G715:AP715)&gt;0.01,0,MAX(SUM($G712:AP712)-SUM($G710:AP710)-$B711,0))*CHOOSE($D710,1,Параметры!AP$53,Параметры!AP$59)*(1+AP714)</f>
        <v>0</v>
      </c>
      <c r="AQ722" s="185">
        <f>IF(SUM($G715:AQ715)&gt;0.01,0,MAX(SUM($G712:AQ712)-SUM($G710:AQ710)-$B711,0))*CHOOSE($D710,1,Параметры!AQ$53,Параметры!AQ$59)*(1+AQ714)</f>
        <v>0</v>
      </c>
      <c r="AR722" s="185">
        <f>IF(SUM($G715:AR715)&gt;0.01,0,MAX(SUM($G712:AR712)-SUM($G710:AR710)-$B711,0))*CHOOSE($D710,1,Параметры!AR$53,Параметры!AR$59)*(1+AR714)</f>
        <v>0</v>
      </c>
      <c r="AS722" s="185">
        <f>IF(SUM($G715:AS715)&gt;0.01,0,MAX(SUM($G712:AS712)-SUM($G710:AS710)-$B711,0))*CHOOSE($D710,1,Параметры!AS$53,Параметры!AS$59)*(1+AS714)</f>
        <v>0</v>
      </c>
      <c r="AT722" s="185">
        <f>IF(SUM($G715:AT715)&gt;0.01,0,MAX(SUM($G712:AT712)-SUM($G710:AT710)-$B711,0))*CHOOSE($D710,1,Параметры!AT$53,Параметры!AT$59)*(1+AT714)</f>
        <v>0</v>
      </c>
      <c r="AU722" s="185">
        <f>IF(SUM($G715:AU715)&gt;0.01,0,MAX(SUM($G712:AU712)-SUM($G710:AU710)-$B711,0))*CHOOSE($D710,1,Параметры!AU$53,Параметры!AU$59)*(1+AU714)</f>
        <v>0</v>
      </c>
      <c r="AV722" s="185">
        <f>IF(SUM($G715:AV715)&gt;0.01,0,MAX(SUM($G712:AV712)-SUM($G710:AV710)-$B711,0))*CHOOSE($D710,1,Параметры!AV$53,Параметры!AV$59)*(1+AV714)</f>
        <v>0</v>
      </c>
      <c r="AW722" s="185">
        <f>IF(SUM($G715:AW715)&gt;0.01,0,MAX(SUM($G712:AW712)-SUM($G710:AW710)-$B711,0))*CHOOSE($D710,1,Параметры!AW$53,Параметры!AW$59)*(1+AW714)</f>
        <v>0</v>
      </c>
      <c r="AX722" s="185">
        <f>IF(SUM($G715:AX715)&gt;0.01,0,MAX(SUM($G712:AX712)-SUM($G710:AX710)-$B711,0))*CHOOSE($D710,1,Параметры!AX$53,Параметры!AX$59)*(1+AX714)</f>
        <v>0</v>
      </c>
      <c r="AY722" s="185">
        <f>IF(SUM($G715:AY715)&gt;0.01,0,MAX(SUM($G712:AY712)-SUM($G710:AY710)-$B711,0))*CHOOSE($D710,1,Параметры!AY$53,Параметры!AY$59)*(1+AY714)</f>
        <v>0</v>
      </c>
      <c r="AZ722" s="185">
        <f>IF(SUM($G715:AZ715)&gt;0.01,0,MAX(SUM($G712:AZ712)-SUM($G710:AZ710)-$B711,0))*CHOOSE($D710,1,Параметры!AZ$53,Параметры!AZ$59)*(1+AZ714)</f>
        <v>0</v>
      </c>
      <c r="BA722" s="185">
        <f>IF(SUM($G715:BA715)&gt;0.01,0,MAX(SUM($G712:BA712)-SUM($G710:BA710)-$B711,0))*CHOOSE($D710,1,Параметры!BA$53,Параметры!BA$59)*(1+BA714)</f>
        <v>0</v>
      </c>
      <c r="BB722" s="185">
        <f>IF(SUM($G715:BB715)&gt;0.01,0,MAX(SUM($G712:BB712)-SUM($G710:BB710)-$B711,0))*CHOOSE($D710,1,Параметры!BB$53,Параметры!BB$59)*(1+BB714)</f>
        <v>0</v>
      </c>
      <c r="BC722" s="185"/>
      <c r="BD722" s="186"/>
    </row>
    <row r="723" spans="1:56" ht="14.4" hidden="1" thickTop="1" x14ac:dyDescent="0.3">
      <c r="A723" s="184" t="str">
        <f ca="1">Language!A$1511</f>
        <v>НДС к кредиторской задолженности</v>
      </c>
      <c r="B723" s="170"/>
      <c r="C723" s="163" t="str">
        <f t="shared" ca="1" si="2874"/>
        <v>руб.</v>
      </c>
      <c r="D723" s="174">
        <v>1</v>
      </c>
      <c r="E723" s="170" t="s">
        <v>2294</v>
      </c>
      <c r="F723" s="170" t="s">
        <v>747</v>
      </c>
      <c r="G723" s="185">
        <f>MAX(SUM($G727:G727)-SUM($G726:G726)-SUM($G719:G719),0)</f>
        <v>0</v>
      </c>
      <c r="H723" s="185">
        <f>MAX(SUM($G727:H727)-SUM($G726:H726)-SUM($G719:H719),0)</f>
        <v>0</v>
      </c>
      <c r="I723" s="185">
        <f>MAX(SUM($G727:I727)-SUM($G726:I726)-SUM($G719:I719),0)</f>
        <v>0</v>
      </c>
      <c r="J723" s="185">
        <f>MAX(SUM($G727:J727)-SUM($G726:J726)-SUM($G719:J719),0)</f>
        <v>0</v>
      </c>
      <c r="K723" s="185">
        <f>MAX(SUM($G727:K727)-SUM($G726:K726)-SUM($G719:K719),0)</f>
        <v>0</v>
      </c>
      <c r="L723" s="185">
        <f>MAX(SUM($G727:L727)-SUM($G726:L726)-SUM($G719:L719),0)</f>
        <v>0</v>
      </c>
      <c r="M723" s="185">
        <f>MAX(SUM($G727:M727)-SUM($G726:M726)-SUM($G719:M719),0)</f>
        <v>0</v>
      </c>
      <c r="N723" s="185">
        <f>MAX(SUM($G727:N727)-SUM($G726:N726)-SUM($G719:N719),0)</f>
        <v>0</v>
      </c>
      <c r="O723" s="185">
        <f>MAX(SUM($G727:O727)-SUM($G726:O726)-SUM($G719:O719),0)</f>
        <v>0</v>
      </c>
      <c r="P723" s="185">
        <f>MAX(SUM($G727:P727)-SUM($G726:P726)-SUM($G719:P719),0)</f>
        <v>0</v>
      </c>
      <c r="Q723" s="185">
        <f>MAX(SUM($G727:Q727)-SUM($G726:Q726)-SUM($G719:Q719),0)</f>
        <v>0</v>
      </c>
      <c r="R723" s="185">
        <f>MAX(SUM($G727:R727)-SUM($G726:R726)-SUM($G719:R719),0)</f>
        <v>0</v>
      </c>
      <c r="S723" s="185">
        <f>MAX(SUM($G727:S727)-SUM($G726:S726)-SUM($G719:S719),0)</f>
        <v>0</v>
      </c>
      <c r="T723" s="185">
        <f>MAX(SUM($G727:T727)-SUM($G726:T726)-SUM($G719:T719),0)</f>
        <v>0</v>
      </c>
      <c r="U723" s="185">
        <f>MAX(SUM($G727:U727)-SUM($G726:U726)-SUM($G719:U719),0)</f>
        <v>0</v>
      </c>
      <c r="V723" s="185">
        <f>MAX(SUM($G727:V727)-SUM($G726:V726)-SUM($G719:V719),0)</f>
        <v>0</v>
      </c>
      <c r="W723" s="185">
        <f>MAX(SUM($G727:W727)-SUM($G726:W726)-SUM($G719:W719),0)</f>
        <v>0</v>
      </c>
      <c r="X723" s="185">
        <f>MAX(SUM($G727:X727)-SUM($G726:X726)-SUM($G719:X719),0)</f>
        <v>0</v>
      </c>
      <c r="Y723" s="185">
        <f>MAX(SUM($G727:Y727)-SUM($G726:Y726)-SUM($G719:Y719),0)</f>
        <v>0</v>
      </c>
      <c r="Z723" s="185">
        <f>MAX(SUM($G727:Z727)-SUM($G726:Z726)-SUM($G719:Z719),0)</f>
        <v>0</v>
      </c>
      <c r="AA723" s="185">
        <f>MAX(SUM($G727:AA727)-SUM($G726:AA726)-SUM($G719:AA719),0)</f>
        <v>0</v>
      </c>
      <c r="AB723" s="185">
        <f>MAX(SUM($G727:AB727)-SUM($G726:AB726)-SUM($G719:AB719),0)</f>
        <v>0</v>
      </c>
      <c r="AC723" s="185">
        <f>MAX(SUM($G727:AC727)-SUM($G726:AC726)-SUM($G719:AC719),0)</f>
        <v>0</v>
      </c>
      <c r="AD723" s="185">
        <f>MAX(SUM($G727:AD727)-SUM($G726:AD726)-SUM($G719:AD719),0)</f>
        <v>0</v>
      </c>
      <c r="AE723" s="185">
        <f>MAX(SUM($G727:AE727)-SUM($G726:AE726)-SUM($G719:AE719),0)</f>
        <v>0</v>
      </c>
      <c r="AF723" s="185">
        <f>MAX(SUM($G727:AF727)-SUM($G726:AF726)-SUM($G719:AF719),0)</f>
        <v>0</v>
      </c>
      <c r="AG723" s="185">
        <f>MAX(SUM($G727:AG727)-SUM($G726:AG726)-SUM($G719:AG719),0)</f>
        <v>0</v>
      </c>
      <c r="AH723" s="185">
        <f>MAX(SUM($G727:AH727)-SUM($G726:AH726)-SUM($G719:AH719),0)</f>
        <v>0</v>
      </c>
      <c r="AI723" s="185">
        <f>MAX(SUM($G727:AI727)-SUM($G726:AI726)-SUM($G719:AI719),0)</f>
        <v>0</v>
      </c>
      <c r="AJ723" s="185">
        <f>MAX(SUM($G727:AJ727)-SUM($G726:AJ726)-SUM($G719:AJ719),0)</f>
        <v>0</v>
      </c>
      <c r="AK723" s="185">
        <f>MAX(SUM($G727:AK727)-SUM($G726:AK726)-SUM($G719:AK719),0)</f>
        <v>0</v>
      </c>
      <c r="AL723" s="185">
        <f>MAX(SUM($G727:AL727)-SUM($G726:AL726)-SUM($G719:AL719),0)</f>
        <v>0</v>
      </c>
      <c r="AM723" s="185">
        <f>MAX(SUM($G727:AM727)-SUM($G726:AM726)-SUM($G719:AM719),0)</f>
        <v>0</v>
      </c>
      <c r="AN723" s="185">
        <f>MAX(SUM($G727:AN727)-SUM($G726:AN726)-SUM($G719:AN719),0)</f>
        <v>0</v>
      </c>
      <c r="AO723" s="185">
        <f>MAX(SUM($G727:AO727)-SUM($G726:AO726)-SUM($G719:AO719),0)</f>
        <v>0</v>
      </c>
      <c r="AP723" s="185">
        <f>MAX(SUM($G727:AP727)-SUM($G726:AP726)-SUM($G719:AP719),0)</f>
        <v>0</v>
      </c>
      <c r="AQ723" s="185">
        <f>MAX(SUM($G727:AQ727)-SUM($G726:AQ726)-SUM($G719:AQ719),0)</f>
        <v>0</v>
      </c>
      <c r="AR723" s="185">
        <f>MAX(SUM($G727:AR727)-SUM($G726:AR726)-SUM($G719:AR719),0)</f>
        <v>0</v>
      </c>
      <c r="AS723" s="185">
        <f>MAX(SUM($G727:AS727)-SUM($G726:AS726)-SUM($G719:AS719),0)</f>
        <v>0</v>
      </c>
      <c r="AT723" s="185">
        <f>MAX(SUM($G727:AT727)-SUM($G726:AT726)-SUM($G719:AT719),0)</f>
        <v>0</v>
      </c>
      <c r="AU723" s="185">
        <f>MAX(SUM($G727:AU727)-SUM($G726:AU726)-SUM($G719:AU719),0)</f>
        <v>0</v>
      </c>
      <c r="AV723" s="185">
        <f>MAX(SUM($G727:AV727)-SUM($G726:AV726)-SUM($G719:AV719),0)</f>
        <v>0</v>
      </c>
      <c r="AW723" s="185">
        <f>MAX(SUM($G727:AW727)-SUM($G726:AW726)-SUM($G719:AW719),0)</f>
        <v>0</v>
      </c>
      <c r="AX723" s="185">
        <f>MAX(SUM($G727:AX727)-SUM($G726:AX726)-SUM($G719:AX719),0)</f>
        <v>0</v>
      </c>
      <c r="AY723" s="185">
        <f>MAX(SUM($G727:AY727)-SUM($G726:AY726)-SUM($G719:AY719),0)</f>
        <v>0</v>
      </c>
      <c r="AZ723" s="185">
        <f>MAX(SUM($G727:AZ727)-SUM($G726:AZ726)-SUM($G719:AZ719),0)</f>
        <v>0</v>
      </c>
      <c r="BA723" s="185">
        <f>MAX(SUM($G727:BA727)-SUM($G726:BA726)-SUM($G719:BA719),0)</f>
        <v>0</v>
      </c>
      <c r="BB723" s="185">
        <f>MAX(SUM($G727:BB727)-SUM($G726:BB726)-SUM($G719:BB719),0)</f>
        <v>0</v>
      </c>
      <c r="BC723" s="185"/>
      <c r="BD723" s="186"/>
    </row>
    <row r="724" spans="1:56" ht="14.4" hidden="1" thickTop="1" x14ac:dyDescent="0.3">
      <c r="A724" s="184" t="str">
        <f ca="1">Language!A$938</f>
        <v>амортизация (бухгалтерская)</v>
      </c>
      <c r="B724" s="170"/>
      <c r="C724" s="163" t="str">
        <f t="shared" ca="1" si="2874"/>
        <v>руб.</v>
      </c>
      <c r="D724" s="174">
        <v>1</v>
      </c>
      <c r="E724" s="170" t="s">
        <v>756</v>
      </c>
      <c r="F724" s="170" t="s">
        <v>743</v>
      </c>
      <c r="G724" s="185">
        <f ca="1">IF(SUM($G715:G715)&gt;0.01,0,IF($B713=0,0,MIN((SUM($G720:G720)-IF(G$2&gt;$B713*12/Prj_Step,SUM($G720:OFFSET(G720,0,-$B713*12/Prj_Step)),0))/$B713/12*Параметры!G$31,IF(G$2=1,G720,F725+SUM($F720:G720)-SUM($F720:F720)))))</f>
        <v>0</v>
      </c>
      <c r="H724" s="185">
        <f ca="1">IF(SUM($G715:H715)&gt;0.01,0,IF($B713=0,0,MIN((SUM($G720:H720)-IF(H$2&gt;$B713*12/Prj_Step,SUM($G720:OFFSET(H720,0,-$B713*12/Prj_Step)),0))/$B713/12*Параметры!H$31,IF(H$2=1,H720,G725+SUM($F720:H720)-SUM($F720:G720)))))</f>
        <v>0</v>
      </c>
      <c r="I724" s="185">
        <f ca="1">IF(SUM($G715:I715)&gt;0.01,0,IF($B713=0,0,MIN((SUM($G720:I720)-IF(I$2&gt;$B713*12/Prj_Step,SUM($G720:OFFSET(I720,0,-$B713*12/Prj_Step)),0))/$B713/12*Параметры!I$31,IF(I$2=1,I720,H725+SUM($F720:I720)-SUM($F720:H720)))))</f>
        <v>0</v>
      </c>
      <c r="J724" s="185">
        <f ca="1">IF(SUM($G715:J715)&gt;0.01,0,IF($B713=0,0,MIN((SUM($G720:J720)-IF(J$2&gt;$B713*12/Prj_Step,SUM($G720:OFFSET(J720,0,-$B713*12/Prj_Step)),0))/$B713/12*Параметры!J$31,IF(J$2=1,J720,I725+SUM($F720:J720)-SUM($F720:I720)))))</f>
        <v>0</v>
      </c>
      <c r="K724" s="185">
        <f ca="1">IF(SUM($G715:K715)&gt;0.01,0,IF($B713=0,0,MIN((SUM($G720:K720)-IF(K$2&gt;$B713*12/Prj_Step,SUM($G720:OFFSET(K720,0,-$B713*12/Prj_Step)),0))/$B713/12*Параметры!K$31,IF(K$2=1,K720,J725+SUM($F720:K720)-SUM($F720:J720)))))</f>
        <v>0</v>
      </c>
      <c r="L724" s="185">
        <f ca="1">IF(SUM($G715:L715)&gt;0.01,0,IF($B713=0,0,MIN((SUM($G720:L720)-IF(L$2&gt;$B713*12/Prj_Step,SUM($G720:OFFSET(L720,0,-$B713*12/Prj_Step)),0))/$B713/12*Параметры!L$31,IF(L$2=1,L720,K725+SUM($F720:L720)-SUM($F720:K720)))))</f>
        <v>0</v>
      </c>
      <c r="M724" s="185">
        <f ca="1">IF(SUM($G715:M715)&gt;0.01,0,IF($B713=0,0,MIN((SUM($G720:M720)-IF(M$2&gt;$B713*12/Prj_Step,SUM($G720:OFFSET(M720,0,-$B713*12/Prj_Step)),0))/$B713/12*Параметры!M$31,IF(M$2=1,M720,L725+SUM($F720:M720)-SUM($F720:L720)))))</f>
        <v>0</v>
      </c>
      <c r="N724" s="185">
        <f ca="1">IF(SUM($G715:N715)&gt;0.01,0,IF($B713=0,0,MIN((SUM($G720:N720)-IF(N$2&gt;$B713*12/Prj_Step,SUM($G720:OFFSET(N720,0,-$B713*12/Prj_Step)),0))/$B713/12*Параметры!N$31,IF(N$2=1,N720,M725+SUM($F720:N720)-SUM($F720:M720)))))</f>
        <v>0</v>
      </c>
      <c r="O724" s="185">
        <f ca="1">IF(SUM($G715:O715)&gt;0.01,0,IF($B713=0,0,MIN((SUM($G720:O720)-IF(O$2&gt;$B713*12/Prj_Step,SUM($G720:OFFSET(O720,0,-$B713*12/Prj_Step)),0))/$B713/12*Параметры!O$31,IF(O$2=1,O720,N725+SUM($F720:O720)-SUM($F720:N720)))))</f>
        <v>0</v>
      </c>
      <c r="P724" s="185">
        <f ca="1">IF(SUM($G715:P715)&gt;0.01,0,IF($B713=0,0,MIN((SUM($G720:P720)-IF(P$2&gt;$B713*12/Prj_Step,SUM($G720:OFFSET(P720,0,-$B713*12/Prj_Step)),0))/$B713/12*Параметры!P$31,IF(P$2=1,P720,O725+SUM($F720:P720)-SUM($F720:O720)))))</f>
        <v>0</v>
      </c>
      <c r="Q724" s="185">
        <f ca="1">IF(SUM($G715:Q715)&gt;0.01,0,IF($B713=0,0,MIN((SUM($G720:Q720)-IF(Q$2&gt;$B713*12/Prj_Step,SUM($G720:OFFSET(Q720,0,-$B713*12/Prj_Step)),0))/$B713/12*Параметры!Q$31,IF(Q$2=1,Q720,P725+SUM($F720:Q720)-SUM($F720:P720)))))</f>
        <v>0</v>
      </c>
      <c r="R724" s="185">
        <f ca="1">IF(SUM($G715:R715)&gt;0.01,0,IF($B713=0,0,MIN((SUM($G720:R720)-IF(R$2&gt;$B713*12/Prj_Step,SUM($G720:OFFSET(R720,0,-$B713*12/Prj_Step)),0))/$B713/12*Параметры!R$31,IF(R$2=1,R720,Q725+SUM($F720:R720)-SUM($F720:Q720)))))</f>
        <v>0</v>
      </c>
      <c r="S724" s="185">
        <f ca="1">IF(SUM($G715:S715)&gt;0.01,0,IF($B713=0,0,MIN((SUM($G720:S720)-IF(S$2&gt;$B713*12/Prj_Step,SUM($G720:OFFSET(S720,0,-$B713*12/Prj_Step)),0))/$B713/12*Параметры!S$31,IF(S$2=1,S720,R725+SUM($F720:S720)-SUM($F720:R720)))))</f>
        <v>0</v>
      </c>
      <c r="T724" s="185">
        <f ca="1">IF(SUM($G715:T715)&gt;0.01,0,IF($B713=0,0,MIN((SUM($G720:T720)-IF(T$2&gt;$B713*12/Prj_Step,SUM($G720:OFFSET(T720,0,-$B713*12/Prj_Step)),0))/$B713/12*Параметры!T$31,IF(T$2=1,T720,S725+SUM($F720:T720)-SUM($F720:S720)))))</f>
        <v>0</v>
      </c>
      <c r="U724" s="185">
        <f ca="1">IF(SUM($G715:U715)&gt;0.01,0,IF($B713=0,0,MIN((SUM($G720:U720)-IF(U$2&gt;$B713*12/Prj_Step,SUM($G720:OFFSET(U720,0,-$B713*12/Prj_Step)),0))/$B713/12*Параметры!U$31,IF(U$2=1,U720,T725+SUM($F720:U720)-SUM($F720:T720)))))</f>
        <v>0</v>
      </c>
      <c r="V724" s="185">
        <f ca="1">IF(SUM($G715:V715)&gt;0.01,0,IF($B713=0,0,MIN((SUM($G720:V720)-IF(V$2&gt;$B713*12/Prj_Step,SUM($G720:OFFSET(V720,0,-$B713*12/Prj_Step)),0))/$B713/12*Параметры!V$31,IF(V$2=1,V720,U725+SUM($F720:V720)-SUM($F720:U720)))))</f>
        <v>0</v>
      </c>
      <c r="W724" s="185">
        <f ca="1">IF(SUM($G715:W715)&gt;0.01,0,IF($B713=0,0,MIN((SUM($G720:W720)-IF(W$2&gt;$B713*12/Prj_Step,SUM($G720:OFFSET(W720,0,-$B713*12/Prj_Step)),0))/$B713/12*Параметры!W$31,IF(W$2=1,W720,V725+SUM($F720:W720)-SUM($F720:V720)))))</f>
        <v>0</v>
      </c>
      <c r="X724" s="185">
        <f ca="1">IF(SUM($G715:X715)&gt;0.01,0,IF($B713=0,0,MIN((SUM($G720:X720)-IF(X$2&gt;$B713*12/Prj_Step,SUM($G720:OFFSET(X720,0,-$B713*12/Prj_Step)),0))/$B713/12*Параметры!X$31,IF(X$2=1,X720,W725+SUM($F720:X720)-SUM($F720:W720)))))</f>
        <v>0</v>
      </c>
      <c r="Y724" s="185">
        <f ca="1">IF(SUM($G715:Y715)&gt;0.01,0,IF($B713=0,0,MIN((SUM($G720:Y720)-IF(Y$2&gt;$B713*12/Prj_Step,SUM($G720:OFFSET(Y720,0,-$B713*12/Prj_Step)),0))/$B713/12*Параметры!Y$31,IF(Y$2=1,Y720,X725+SUM($F720:Y720)-SUM($F720:X720)))))</f>
        <v>0</v>
      </c>
      <c r="Z724" s="185">
        <f ca="1">IF(SUM($G715:Z715)&gt;0.01,0,IF($B713=0,0,MIN((SUM($G720:Z720)-IF(Z$2&gt;$B713*12/Prj_Step,SUM($G720:OFFSET(Z720,0,-$B713*12/Prj_Step)),0))/$B713/12*Параметры!Z$31,IF(Z$2=1,Z720,Y725+SUM($F720:Z720)-SUM($F720:Y720)))))</f>
        <v>0</v>
      </c>
      <c r="AA724" s="185">
        <f ca="1">IF(SUM($G715:AA715)&gt;0.01,0,IF($B713=0,0,MIN((SUM($G720:AA720)-IF(AA$2&gt;$B713*12/Prj_Step,SUM($G720:OFFSET(AA720,0,-$B713*12/Prj_Step)),0))/$B713/12*Параметры!AA$31,IF(AA$2=1,AA720,Z725+SUM($F720:AA720)-SUM($F720:Z720)))))</f>
        <v>0</v>
      </c>
      <c r="AB724" s="185">
        <f ca="1">IF(SUM($G715:AB715)&gt;0.01,0,IF($B713=0,0,MIN((SUM($G720:AB720)-IF(AB$2&gt;$B713*12/Prj_Step,SUM($G720:OFFSET(AB720,0,-$B713*12/Prj_Step)),0))/$B713/12*Параметры!AB$31,IF(AB$2=1,AB720,AA725+SUM($F720:AB720)-SUM($F720:AA720)))))</f>
        <v>0</v>
      </c>
      <c r="AC724" s="185">
        <f ca="1">IF(SUM($G715:AC715)&gt;0.01,0,IF($B713=0,0,MIN((SUM($G720:AC720)-IF(AC$2&gt;$B713*12/Prj_Step,SUM($G720:OFFSET(AC720,0,-$B713*12/Prj_Step)),0))/$B713/12*Параметры!AC$31,IF(AC$2=1,AC720,AB725+SUM($F720:AC720)-SUM($F720:AB720)))))</f>
        <v>0</v>
      </c>
      <c r="AD724" s="185">
        <f ca="1">IF(SUM($G715:AD715)&gt;0.01,0,IF($B713=0,0,MIN((SUM($G720:AD720)-IF(AD$2&gt;$B713*12/Prj_Step,SUM($G720:OFFSET(AD720,0,-$B713*12/Prj_Step)),0))/$B713/12*Параметры!AD$31,IF(AD$2=1,AD720,AC725+SUM($F720:AD720)-SUM($F720:AC720)))))</f>
        <v>0</v>
      </c>
      <c r="AE724" s="185">
        <f ca="1">IF(SUM($G715:AE715)&gt;0.01,0,IF($B713=0,0,MIN((SUM($G720:AE720)-IF(AE$2&gt;$B713*12/Prj_Step,SUM($G720:OFFSET(AE720,0,-$B713*12/Prj_Step)),0))/$B713/12*Параметры!AE$31,IF(AE$2=1,AE720,AD725+SUM($F720:AE720)-SUM($F720:AD720)))))</f>
        <v>0</v>
      </c>
      <c r="AF724" s="185">
        <f ca="1">IF(SUM($G715:AF715)&gt;0.01,0,IF($B713=0,0,MIN((SUM($G720:AF720)-IF(AF$2&gt;$B713*12/Prj_Step,SUM($G720:OFFSET(AF720,0,-$B713*12/Prj_Step)),0))/$B713/12*Параметры!AF$31,IF(AF$2=1,AF720,AE725+SUM($F720:AF720)-SUM($F720:AE720)))))</f>
        <v>0</v>
      </c>
      <c r="AG724" s="185">
        <f ca="1">IF(SUM($G715:AG715)&gt;0.01,0,IF($B713=0,0,MIN((SUM($G720:AG720)-IF(AG$2&gt;$B713*12/Prj_Step,SUM($G720:OFFSET(AG720,0,-$B713*12/Prj_Step)),0))/$B713/12*Параметры!AG$31,IF(AG$2=1,AG720,AF725+SUM($F720:AG720)-SUM($F720:AF720)))))</f>
        <v>0</v>
      </c>
      <c r="AH724" s="185">
        <f ca="1">IF(SUM($G715:AH715)&gt;0.01,0,IF($B713=0,0,MIN((SUM($G720:AH720)-IF(AH$2&gt;$B713*12/Prj_Step,SUM($G720:OFFSET(AH720,0,-$B713*12/Prj_Step)),0))/$B713/12*Параметры!AH$31,IF(AH$2=1,AH720,AG725+SUM($F720:AH720)-SUM($F720:AG720)))))</f>
        <v>0</v>
      </c>
      <c r="AI724" s="185">
        <f ca="1">IF(SUM($G715:AI715)&gt;0.01,0,IF($B713=0,0,MIN((SUM($G720:AI720)-IF(AI$2&gt;$B713*12/Prj_Step,SUM($G720:OFFSET(AI720,0,-$B713*12/Prj_Step)),0))/$B713/12*Параметры!AI$31,IF(AI$2=1,AI720,AH725+SUM($F720:AI720)-SUM($F720:AH720)))))</f>
        <v>0</v>
      </c>
      <c r="AJ724" s="185">
        <f ca="1">IF(SUM($G715:AJ715)&gt;0.01,0,IF($B713=0,0,MIN((SUM($G720:AJ720)-IF(AJ$2&gt;$B713*12/Prj_Step,SUM($G720:OFFSET(AJ720,0,-$B713*12/Prj_Step)),0))/$B713/12*Параметры!AJ$31,IF(AJ$2=1,AJ720,AI725+SUM($F720:AJ720)-SUM($F720:AI720)))))</f>
        <v>0</v>
      </c>
      <c r="AK724" s="185">
        <f ca="1">IF(SUM($G715:AK715)&gt;0.01,0,IF($B713=0,0,MIN((SUM($G720:AK720)-IF(AK$2&gt;$B713*12/Prj_Step,SUM($G720:OFFSET(AK720,0,-$B713*12/Prj_Step)),0))/$B713/12*Параметры!AK$31,IF(AK$2=1,AK720,AJ725+SUM($F720:AK720)-SUM($F720:AJ720)))))</f>
        <v>0</v>
      </c>
      <c r="AL724" s="185">
        <f ca="1">IF(SUM($G715:AL715)&gt;0.01,0,IF($B713=0,0,MIN((SUM($G720:AL720)-IF(AL$2&gt;$B713*12/Prj_Step,SUM($G720:OFFSET(AL720,0,-$B713*12/Prj_Step)),0))/$B713/12*Параметры!AL$31,IF(AL$2=1,AL720,AK725+SUM($F720:AL720)-SUM($F720:AK720)))))</f>
        <v>0</v>
      </c>
      <c r="AM724" s="185">
        <f ca="1">IF(SUM($G715:AM715)&gt;0.01,0,IF($B713=0,0,MIN((SUM($G720:AM720)-IF(AM$2&gt;$B713*12/Prj_Step,SUM($G720:OFFSET(AM720,0,-$B713*12/Prj_Step)),0))/$B713/12*Параметры!AM$31,IF(AM$2=1,AM720,AL725+SUM($F720:AM720)-SUM($F720:AL720)))))</f>
        <v>0</v>
      </c>
      <c r="AN724" s="185">
        <f ca="1">IF(SUM($G715:AN715)&gt;0.01,0,IF($B713=0,0,MIN((SUM($G720:AN720)-IF(AN$2&gt;$B713*12/Prj_Step,SUM($G720:OFFSET(AN720,0,-$B713*12/Prj_Step)),0))/$B713/12*Параметры!AN$31,IF(AN$2=1,AN720,AM725+SUM($F720:AN720)-SUM($F720:AM720)))))</f>
        <v>0</v>
      </c>
      <c r="AO724" s="185">
        <f ca="1">IF(SUM($G715:AO715)&gt;0.01,0,IF($B713=0,0,MIN((SUM($G720:AO720)-IF(AO$2&gt;$B713*12/Prj_Step,SUM($G720:OFFSET(AO720,0,-$B713*12/Prj_Step)),0))/$B713/12*Параметры!AO$31,IF(AO$2=1,AO720,AN725+SUM($F720:AO720)-SUM($F720:AN720)))))</f>
        <v>0</v>
      </c>
      <c r="AP724" s="185">
        <f ca="1">IF(SUM($G715:AP715)&gt;0.01,0,IF($B713=0,0,MIN((SUM($G720:AP720)-IF(AP$2&gt;$B713*12/Prj_Step,SUM($G720:OFFSET(AP720,0,-$B713*12/Prj_Step)),0))/$B713/12*Параметры!AP$31,IF(AP$2=1,AP720,AO725+SUM($F720:AP720)-SUM($F720:AO720)))))</f>
        <v>0</v>
      </c>
      <c r="AQ724" s="185">
        <f ca="1">IF(SUM($G715:AQ715)&gt;0.01,0,IF($B713=0,0,MIN((SUM($G720:AQ720)-IF(AQ$2&gt;$B713*12/Prj_Step,SUM($G720:OFFSET(AQ720,0,-$B713*12/Prj_Step)),0))/$B713/12*Параметры!AQ$31,IF(AQ$2=1,AQ720,AP725+SUM($F720:AQ720)-SUM($F720:AP720)))))</f>
        <v>0</v>
      </c>
      <c r="AR724" s="185">
        <f ca="1">IF(SUM($G715:AR715)&gt;0.01,0,IF($B713=0,0,MIN((SUM($G720:AR720)-IF(AR$2&gt;$B713*12/Prj_Step,SUM($G720:OFFSET(AR720,0,-$B713*12/Prj_Step)),0))/$B713/12*Параметры!AR$31,IF(AR$2=1,AR720,AQ725+SUM($F720:AR720)-SUM($F720:AQ720)))))</f>
        <v>0</v>
      </c>
      <c r="AS724" s="185">
        <f ca="1">IF(SUM($G715:AS715)&gt;0.01,0,IF($B713=0,0,MIN((SUM($G720:AS720)-IF(AS$2&gt;$B713*12/Prj_Step,SUM($G720:OFFSET(AS720,0,-$B713*12/Prj_Step)),0))/$B713/12*Параметры!AS$31,IF(AS$2=1,AS720,AR725+SUM($F720:AS720)-SUM($F720:AR720)))))</f>
        <v>0</v>
      </c>
      <c r="AT724" s="185">
        <f ca="1">IF(SUM($G715:AT715)&gt;0.01,0,IF($B713=0,0,MIN((SUM($G720:AT720)-IF(AT$2&gt;$B713*12/Prj_Step,SUM($G720:OFFSET(AT720,0,-$B713*12/Prj_Step)),0))/$B713/12*Параметры!AT$31,IF(AT$2=1,AT720,AS725+SUM($F720:AT720)-SUM($F720:AS720)))))</f>
        <v>0</v>
      </c>
      <c r="AU724" s="185">
        <f ca="1">IF(SUM($G715:AU715)&gt;0.01,0,IF($B713=0,0,MIN((SUM($G720:AU720)-IF(AU$2&gt;$B713*12/Prj_Step,SUM($G720:OFFSET(AU720,0,-$B713*12/Prj_Step)),0))/$B713/12*Параметры!AU$31,IF(AU$2=1,AU720,AT725+SUM($F720:AU720)-SUM($F720:AT720)))))</f>
        <v>0</v>
      </c>
      <c r="AV724" s="185">
        <f ca="1">IF(SUM($G715:AV715)&gt;0.01,0,IF($B713=0,0,MIN((SUM($G720:AV720)-IF(AV$2&gt;$B713*12/Prj_Step,SUM($G720:OFFSET(AV720,0,-$B713*12/Prj_Step)),0))/$B713/12*Параметры!AV$31,IF(AV$2=1,AV720,AU725+SUM($F720:AV720)-SUM($F720:AU720)))))</f>
        <v>0</v>
      </c>
      <c r="AW724" s="185">
        <f ca="1">IF(SUM($G715:AW715)&gt;0.01,0,IF($B713=0,0,MIN((SUM($G720:AW720)-IF(AW$2&gt;$B713*12/Prj_Step,SUM($G720:OFFSET(AW720,0,-$B713*12/Prj_Step)),0))/$B713/12*Параметры!AW$31,IF(AW$2=1,AW720,AV725+SUM($F720:AW720)-SUM($F720:AV720)))))</f>
        <v>0</v>
      </c>
      <c r="AX724" s="185">
        <f ca="1">IF(SUM($G715:AX715)&gt;0.01,0,IF($B713=0,0,MIN((SUM($G720:AX720)-IF(AX$2&gt;$B713*12/Prj_Step,SUM($G720:OFFSET(AX720,0,-$B713*12/Prj_Step)),0))/$B713/12*Параметры!AX$31,IF(AX$2=1,AX720,AW725+SUM($F720:AX720)-SUM($F720:AW720)))))</f>
        <v>0</v>
      </c>
      <c r="AY724" s="185">
        <f ca="1">IF(SUM($G715:AY715)&gt;0.01,0,IF($B713=0,0,MIN((SUM($G720:AY720)-IF(AY$2&gt;$B713*12/Prj_Step,SUM($G720:OFFSET(AY720,0,-$B713*12/Prj_Step)),0))/$B713/12*Параметры!AY$31,IF(AY$2=1,AY720,AX725+SUM($F720:AY720)-SUM($F720:AX720)))))</f>
        <v>0</v>
      </c>
      <c r="AZ724" s="185">
        <f ca="1">IF(SUM($G715:AZ715)&gt;0.01,0,IF($B713=0,0,MIN((SUM($G720:AZ720)-IF(AZ$2&gt;$B713*12/Prj_Step,SUM($G720:OFFSET(AZ720,0,-$B713*12/Prj_Step)),0))/$B713/12*Параметры!AZ$31,IF(AZ$2=1,AZ720,AY725+SUM($F720:AZ720)-SUM($F720:AY720)))))</f>
        <v>0</v>
      </c>
      <c r="BA724" s="185">
        <f ca="1">IF(SUM($G715:BA715)&gt;0.01,0,IF($B713=0,0,MIN((SUM($G720:BA720)-IF(BA$2&gt;$B713*12/Prj_Step,SUM($G720:OFFSET(BA720,0,-$B713*12/Prj_Step)),0))/$B713/12*Параметры!BA$31,IF(BA$2=1,BA720,AZ725+SUM($F720:BA720)-SUM($F720:AZ720)))))</f>
        <v>0</v>
      </c>
      <c r="BB724" s="185">
        <f ca="1">IF(SUM($G715:BB715)&gt;0.01,0,IF($B713=0,0,MIN((SUM($G720:BB720)-IF(BB$2&gt;$B713*12/Prj_Step,SUM($G720:OFFSET(BB720,0,-$B713*12/Prj_Step)),0))/$B713/12*Параметры!BB$31,IF(BB$2=1,BB720,BA725+SUM($F720:BB720)-SUM($F720:BA720)))))</f>
        <v>0</v>
      </c>
      <c r="BC724" s="185"/>
      <c r="BD724" s="193">
        <f ca="1">SUM(G724:BC724)</f>
        <v>0</v>
      </c>
    </row>
    <row r="725" spans="1:56" ht="14.4" hidden="1" thickTop="1" x14ac:dyDescent="0.3">
      <c r="A725" s="184" t="str">
        <f ca="1">Language!A$939</f>
        <v>балансовая стоимость (бухгалтерская)</v>
      </c>
      <c r="B725" s="170"/>
      <c r="C725" s="163" t="str">
        <f t="shared" ca="1" si="2874"/>
        <v>руб.</v>
      </c>
      <c r="D725" s="174">
        <v>1</v>
      </c>
      <c r="E725" s="170" t="s">
        <v>757</v>
      </c>
      <c r="F725" s="170" t="s">
        <v>747</v>
      </c>
      <c r="G725" s="185">
        <f ca="1">IF(SUM($G715:G715)&gt;0.01,0,SUM($G720:G720)-SUM($G724:G724))</f>
        <v>0</v>
      </c>
      <c r="H725" s="185">
        <f ca="1">IF(SUM($G715:H715)&gt;0.01,0,SUM($G720:H720)-SUM($G724:H724))</f>
        <v>0</v>
      </c>
      <c r="I725" s="185">
        <f ca="1">IF(SUM($G715:I715)&gt;0.01,0,SUM($G720:I720)-SUM($G724:I724))</f>
        <v>0</v>
      </c>
      <c r="J725" s="185">
        <f ca="1">IF(SUM($G715:J715)&gt;0.01,0,SUM($G720:J720)-SUM($G724:J724))</f>
        <v>0</v>
      </c>
      <c r="K725" s="185">
        <f ca="1">IF(SUM($G715:K715)&gt;0.01,0,SUM($G720:K720)-SUM($G724:K724))</f>
        <v>0</v>
      </c>
      <c r="L725" s="185">
        <f ca="1">IF(SUM($G715:L715)&gt;0.01,0,SUM($G720:L720)-SUM($G724:L724))</f>
        <v>0</v>
      </c>
      <c r="M725" s="185">
        <f ca="1">IF(SUM($G715:M715)&gt;0.01,0,SUM($G720:M720)-SUM($G724:M724))</f>
        <v>0</v>
      </c>
      <c r="N725" s="185">
        <f ca="1">IF(SUM($G715:N715)&gt;0.01,0,SUM($G720:N720)-SUM($G724:N724))</f>
        <v>0</v>
      </c>
      <c r="O725" s="185">
        <f ca="1">IF(SUM($G715:O715)&gt;0.01,0,SUM($G720:O720)-SUM($G724:O724))</f>
        <v>0</v>
      </c>
      <c r="P725" s="185">
        <f ca="1">IF(SUM($G715:P715)&gt;0.01,0,SUM($G720:P720)-SUM($G724:P724))</f>
        <v>0</v>
      </c>
      <c r="Q725" s="185">
        <f ca="1">IF(SUM($G715:Q715)&gt;0.01,0,SUM($G720:Q720)-SUM($G724:Q724))</f>
        <v>0</v>
      </c>
      <c r="R725" s="185">
        <f ca="1">IF(SUM($G715:R715)&gt;0.01,0,SUM($G720:R720)-SUM($G724:R724))</f>
        <v>0</v>
      </c>
      <c r="S725" s="185">
        <f ca="1">IF(SUM($G715:S715)&gt;0.01,0,SUM($G720:S720)-SUM($G724:S724))</f>
        <v>0</v>
      </c>
      <c r="T725" s="185">
        <f ca="1">IF(SUM($G715:T715)&gt;0.01,0,SUM($G720:T720)-SUM($G724:T724))</f>
        <v>0</v>
      </c>
      <c r="U725" s="185">
        <f ca="1">IF(SUM($G715:U715)&gt;0.01,0,SUM($G720:U720)-SUM($G724:U724))</f>
        <v>0</v>
      </c>
      <c r="V725" s="185">
        <f ca="1">IF(SUM($G715:V715)&gt;0.01,0,SUM($G720:V720)-SUM($G724:V724))</f>
        <v>0</v>
      </c>
      <c r="W725" s="185">
        <f ca="1">IF(SUM($G715:W715)&gt;0.01,0,SUM($G720:W720)-SUM($G724:W724))</f>
        <v>0</v>
      </c>
      <c r="X725" s="185">
        <f ca="1">IF(SUM($G715:X715)&gt;0.01,0,SUM($G720:X720)-SUM($G724:X724))</f>
        <v>0</v>
      </c>
      <c r="Y725" s="185">
        <f ca="1">IF(SUM($G715:Y715)&gt;0.01,0,SUM($G720:Y720)-SUM($G724:Y724))</f>
        <v>0</v>
      </c>
      <c r="Z725" s="185">
        <f ca="1">IF(SUM($G715:Z715)&gt;0.01,0,SUM($G720:Z720)-SUM($G724:Z724))</f>
        <v>0</v>
      </c>
      <c r="AA725" s="185">
        <f ca="1">IF(SUM($G715:AA715)&gt;0.01,0,SUM($G720:AA720)-SUM($G724:AA724))</f>
        <v>0</v>
      </c>
      <c r="AB725" s="185">
        <f ca="1">IF(SUM($G715:AB715)&gt;0.01,0,SUM($G720:AB720)-SUM($G724:AB724))</f>
        <v>0</v>
      </c>
      <c r="AC725" s="185">
        <f ca="1">IF(SUM($G715:AC715)&gt;0.01,0,SUM($G720:AC720)-SUM($G724:AC724))</f>
        <v>0</v>
      </c>
      <c r="AD725" s="185">
        <f ca="1">IF(SUM($G715:AD715)&gt;0.01,0,SUM($G720:AD720)-SUM($G724:AD724))</f>
        <v>0</v>
      </c>
      <c r="AE725" s="185">
        <f ca="1">IF(SUM($G715:AE715)&gt;0.01,0,SUM($G720:AE720)-SUM($G724:AE724))</f>
        <v>0</v>
      </c>
      <c r="AF725" s="185">
        <f ca="1">IF(SUM($G715:AF715)&gt;0.01,0,SUM($G720:AF720)-SUM($G724:AF724))</f>
        <v>0</v>
      </c>
      <c r="AG725" s="185">
        <f ca="1">IF(SUM($G715:AG715)&gt;0.01,0,SUM($G720:AG720)-SUM($G724:AG724))</f>
        <v>0</v>
      </c>
      <c r="AH725" s="185">
        <f ca="1">IF(SUM($G715:AH715)&gt;0.01,0,SUM($G720:AH720)-SUM($G724:AH724))</f>
        <v>0</v>
      </c>
      <c r="AI725" s="185">
        <f ca="1">IF(SUM($G715:AI715)&gt;0.01,0,SUM($G720:AI720)-SUM($G724:AI724))</f>
        <v>0</v>
      </c>
      <c r="AJ725" s="185">
        <f ca="1">IF(SUM($G715:AJ715)&gt;0.01,0,SUM($G720:AJ720)-SUM($G724:AJ724))</f>
        <v>0</v>
      </c>
      <c r="AK725" s="185">
        <f ca="1">IF(SUM($G715:AK715)&gt;0.01,0,SUM($G720:AK720)-SUM($G724:AK724))</f>
        <v>0</v>
      </c>
      <c r="AL725" s="185">
        <f ca="1">IF(SUM($G715:AL715)&gt;0.01,0,SUM($G720:AL720)-SUM($G724:AL724))</f>
        <v>0</v>
      </c>
      <c r="AM725" s="185">
        <f ca="1">IF(SUM($G715:AM715)&gt;0.01,0,SUM($G720:AM720)-SUM($G724:AM724))</f>
        <v>0</v>
      </c>
      <c r="AN725" s="185">
        <f ca="1">IF(SUM($G715:AN715)&gt;0.01,0,SUM($G720:AN720)-SUM($G724:AN724))</f>
        <v>0</v>
      </c>
      <c r="AO725" s="185">
        <f ca="1">IF(SUM($G715:AO715)&gt;0.01,0,SUM($G720:AO720)-SUM($G724:AO724))</f>
        <v>0</v>
      </c>
      <c r="AP725" s="185">
        <f ca="1">IF(SUM($G715:AP715)&gt;0.01,0,SUM($G720:AP720)-SUM($G724:AP724))</f>
        <v>0</v>
      </c>
      <c r="AQ725" s="185">
        <f ca="1">IF(SUM($G715:AQ715)&gt;0.01,0,SUM($G720:AQ720)-SUM($G724:AQ724))</f>
        <v>0</v>
      </c>
      <c r="AR725" s="185">
        <f ca="1">IF(SUM($G715:AR715)&gt;0.01,0,SUM($G720:AR720)-SUM($G724:AR724))</f>
        <v>0</v>
      </c>
      <c r="AS725" s="185">
        <f ca="1">IF(SUM($G715:AS715)&gt;0.01,0,SUM($G720:AS720)-SUM($G724:AS724))</f>
        <v>0</v>
      </c>
      <c r="AT725" s="185">
        <f ca="1">IF(SUM($G715:AT715)&gt;0.01,0,SUM($G720:AT720)-SUM($G724:AT724))</f>
        <v>0</v>
      </c>
      <c r="AU725" s="185">
        <f ca="1">IF(SUM($G715:AU715)&gt;0.01,0,SUM($G720:AU720)-SUM($G724:AU724))</f>
        <v>0</v>
      </c>
      <c r="AV725" s="185">
        <f ca="1">IF(SUM($G715:AV715)&gt;0.01,0,SUM($G720:AV720)-SUM($G724:AV724))</f>
        <v>0</v>
      </c>
      <c r="AW725" s="185">
        <f ca="1">IF(SUM($G715:AW715)&gt;0.01,0,SUM($G720:AW720)-SUM($G724:AW724))</f>
        <v>0</v>
      </c>
      <c r="AX725" s="185">
        <f ca="1">IF(SUM($G715:AX715)&gt;0.01,0,SUM($G720:AX720)-SUM($G724:AX724))</f>
        <v>0</v>
      </c>
      <c r="AY725" s="185">
        <f ca="1">IF(SUM($G715:AY715)&gt;0.01,0,SUM($G720:AY720)-SUM($G724:AY724))</f>
        <v>0</v>
      </c>
      <c r="AZ725" s="185">
        <f ca="1">IF(SUM($G715:AZ715)&gt;0.01,0,SUM($G720:AZ720)-SUM($G724:AZ724))</f>
        <v>0</v>
      </c>
      <c r="BA725" s="185">
        <f ca="1">IF(SUM($G715:BA715)&gt;0.01,0,SUM($G720:BA720)-SUM($G724:BA724))</f>
        <v>0</v>
      </c>
      <c r="BB725" s="185">
        <f ca="1">IF(SUM($G715:BB715)&gt;0.01,0,SUM($G720:BB720)-SUM($G724:BB724))</f>
        <v>0</v>
      </c>
      <c r="BC725" s="185"/>
      <c r="BD725" s="186"/>
    </row>
    <row r="726" spans="1:56" ht="14.4" hidden="1" thickTop="1" x14ac:dyDescent="0.3">
      <c r="A726" s="184" t="str">
        <f ca="1">Language!A$940</f>
        <v>выплаченный НДС</v>
      </c>
      <c r="B726" s="170"/>
      <c r="C726" s="163" t="str">
        <f t="shared" ca="1" si="2874"/>
        <v>руб.</v>
      </c>
      <c r="D726" s="174">
        <v>1</v>
      </c>
      <c r="E726" s="170" t="s">
        <v>758</v>
      </c>
      <c r="F726" s="170" t="s">
        <v>743</v>
      </c>
      <c r="G726" s="185">
        <f t="shared" ref="G726:K726" si="2898">G716*G714</f>
        <v>0</v>
      </c>
      <c r="H726" s="185">
        <f t="shared" si="2898"/>
        <v>0</v>
      </c>
      <c r="I726" s="185">
        <f t="shared" si="2898"/>
        <v>0</v>
      </c>
      <c r="J726" s="185">
        <f t="shared" si="2898"/>
        <v>0</v>
      </c>
      <c r="K726" s="185">
        <f t="shared" si="2898"/>
        <v>0</v>
      </c>
      <c r="L726" s="185">
        <f t="shared" ref="L726:M726" si="2899">L716*L714</f>
        <v>0</v>
      </c>
      <c r="M726" s="185">
        <f t="shared" si="2899"/>
        <v>0</v>
      </c>
      <c r="N726" s="185">
        <f t="shared" ref="N726:O726" si="2900">N716*N714</f>
        <v>0</v>
      </c>
      <c r="O726" s="185">
        <f t="shared" si="2900"/>
        <v>0</v>
      </c>
      <c r="P726" s="185">
        <f t="shared" ref="P726:Q726" si="2901">P716*P714</f>
        <v>0</v>
      </c>
      <c r="Q726" s="185">
        <f t="shared" si="2901"/>
        <v>0</v>
      </c>
      <c r="R726" s="185">
        <f t="shared" ref="R726:S726" si="2902">R716*R714</f>
        <v>0</v>
      </c>
      <c r="S726" s="185">
        <f t="shared" si="2902"/>
        <v>0</v>
      </c>
      <c r="T726" s="185">
        <f t="shared" ref="T726:U726" si="2903">T716*T714</f>
        <v>0</v>
      </c>
      <c r="U726" s="185">
        <f t="shared" si="2903"/>
        <v>0</v>
      </c>
      <c r="V726" s="185">
        <f t="shared" ref="V726:W726" si="2904">V716*V714</f>
        <v>0</v>
      </c>
      <c r="W726" s="185">
        <f t="shared" si="2904"/>
        <v>0</v>
      </c>
      <c r="X726" s="185">
        <f t="shared" ref="X726:Y726" si="2905">X716*X714</f>
        <v>0</v>
      </c>
      <c r="Y726" s="185">
        <f t="shared" si="2905"/>
        <v>0</v>
      </c>
      <c r="Z726" s="185">
        <f t="shared" ref="Z726:AA726" si="2906">Z716*Z714</f>
        <v>0</v>
      </c>
      <c r="AA726" s="185">
        <f t="shared" si="2906"/>
        <v>0</v>
      </c>
      <c r="AB726" s="185">
        <f t="shared" ref="AB726:AC726" si="2907">AB716*AB714</f>
        <v>0</v>
      </c>
      <c r="AC726" s="185">
        <f t="shared" si="2907"/>
        <v>0</v>
      </c>
      <c r="AD726" s="185">
        <f t="shared" ref="AD726:AE726" si="2908">AD716*AD714</f>
        <v>0</v>
      </c>
      <c r="AE726" s="185">
        <f t="shared" si="2908"/>
        <v>0</v>
      </c>
      <c r="AF726" s="185">
        <f t="shared" ref="AF726:AG726" si="2909">AF716*AF714</f>
        <v>0</v>
      </c>
      <c r="AG726" s="185">
        <f t="shared" si="2909"/>
        <v>0</v>
      </c>
      <c r="AH726" s="185">
        <f t="shared" ref="AH726:AI726" si="2910">AH716*AH714</f>
        <v>0</v>
      </c>
      <c r="AI726" s="185">
        <f t="shared" si="2910"/>
        <v>0</v>
      </c>
      <c r="AJ726" s="185">
        <f t="shared" ref="AJ726:AK726" si="2911">AJ716*AJ714</f>
        <v>0</v>
      </c>
      <c r="AK726" s="185">
        <f t="shared" si="2911"/>
        <v>0</v>
      </c>
      <c r="AL726" s="185">
        <f t="shared" ref="AL726:AM726" si="2912">AL716*AL714</f>
        <v>0</v>
      </c>
      <c r="AM726" s="185">
        <f t="shared" si="2912"/>
        <v>0</v>
      </c>
      <c r="AN726" s="185">
        <f t="shared" ref="AN726:AO726" si="2913">AN716*AN714</f>
        <v>0</v>
      </c>
      <c r="AO726" s="185">
        <f t="shared" si="2913"/>
        <v>0</v>
      </c>
      <c r="AP726" s="185">
        <f t="shared" ref="AP726:AQ726" si="2914">AP716*AP714</f>
        <v>0</v>
      </c>
      <c r="AQ726" s="185">
        <f t="shared" si="2914"/>
        <v>0</v>
      </c>
      <c r="AR726" s="185">
        <f t="shared" ref="AR726:AS726" si="2915">AR716*AR714</f>
        <v>0</v>
      </c>
      <c r="AS726" s="185">
        <f t="shared" si="2915"/>
        <v>0</v>
      </c>
      <c r="AT726" s="185">
        <f t="shared" ref="AT726:AU726" si="2916">AT716*AT714</f>
        <v>0</v>
      </c>
      <c r="AU726" s="185">
        <f t="shared" si="2916"/>
        <v>0</v>
      </c>
      <c r="AV726" s="185">
        <f t="shared" ref="AV726:AW726" si="2917">AV716*AV714</f>
        <v>0</v>
      </c>
      <c r="AW726" s="185">
        <f t="shared" si="2917"/>
        <v>0</v>
      </c>
      <c r="AX726" s="185">
        <f t="shared" ref="AX726:AY726" si="2918">AX716*AX714</f>
        <v>0</v>
      </c>
      <c r="AY726" s="185">
        <f t="shared" si="2918"/>
        <v>0</v>
      </c>
      <c r="AZ726" s="185">
        <f t="shared" ref="AZ726:BA726" si="2919">AZ716*AZ714</f>
        <v>0</v>
      </c>
      <c r="BA726" s="185">
        <f t="shared" si="2919"/>
        <v>0</v>
      </c>
      <c r="BB726" s="185">
        <f t="shared" ref="BB726" si="2920">BB716*BB714</f>
        <v>0</v>
      </c>
      <c r="BC726" s="185"/>
      <c r="BD726" s="193">
        <f>SUM(G726:BC726)</f>
        <v>0</v>
      </c>
    </row>
    <row r="727" spans="1:56" ht="14.4" hidden="1" thickTop="1" x14ac:dyDescent="0.3">
      <c r="A727" s="184" t="str">
        <f ca="1">Language!A$941</f>
        <v>зачтенный НДС</v>
      </c>
      <c r="B727" s="170"/>
      <c r="C727" s="163" t="str">
        <f t="shared" ca="1" si="2874"/>
        <v>руб.</v>
      </c>
      <c r="D727" s="174">
        <v>1</v>
      </c>
      <c r="E727" s="170" t="s">
        <v>759</v>
      </c>
      <c r="F727" s="170" t="s">
        <v>743</v>
      </c>
      <c r="G727" s="185">
        <f t="shared" ref="G727:K727" si="2921">G720*G714</f>
        <v>0</v>
      </c>
      <c r="H727" s="185">
        <f t="shared" si="2921"/>
        <v>0</v>
      </c>
      <c r="I727" s="185">
        <f t="shared" si="2921"/>
        <v>0</v>
      </c>
      <c r="J727" s="185">
        <f t="shared" si="2921"/>
        <v>0</v>
      </c>
      <c r="K727" s="185">
        <f t="shared" si="2921"/>
        <v>0</v>
      </c>
      <c r="L727" s="185">
        <f t="shared" ref="L727:M727" si="2922">L720*L714</f>
        <v>0</v>
      </c>
      <c r="M727" s="185">
        <f t="shared" si="2922"/>
        <v>0</v>
      </c>
      <c r="N727" s="185">
        <f t="shared" ref="N727:O727" si="2923">N720*N714</f>
        <v>0</v>
      </c>
      <c r="O727" s="185">
        <f t="shared" si="2923"/>
        <v>0</v>
      </c>
      <c r="P727" s="185">
        <f t="shared" ref="P727:Q727" si="2924">P720*P714</f>
        <v>0</v>
      </c>
      <c r="Q727" s="185">
        <f t="shared" si="2924"/>
        <v>0</v>
      </c>
      <c r="R727" s="185">
        <f t="shared" ref="R727:S727" si="2925">R720*R714</f>
        <v>0</v>
      </c>
      <c r="S727" s="185">
        <f t="shared" si="2925"/>
        <v>0</v>
      </c>
      <c r="T727" s="185">
        <f t="shared" ref="T727:U727" si="2926">T720*T714</f>
        <v>0</v>
      </c>
      <c r="U727" s="185">
        <f t="shared" si="2926"/>
        <v>0</v>
      </c>
      <c r="V727" s="185">
        <f t="shared" ref="V727:W727" si="2927">V720*V714</f>
        <v>0</v>
      </c>
      <c r="W727" s="185">
        <f t="shared" si="2927"/>
        <v>0</v>
      </c>
      <c r="X727" s="185">
        <f t="shared" ref="X727:Y727" si="2928">X720*X714</f>
        <v>0</v>
      </c>
      <c r="Y727" s="185">
        <f t="shared" si="2928"/>
        <v>0</v>
      </c>
      <c r="Z727" s="185">
        <f t="shared" ref="Z727:AA727" si="2929">Z720*Z714</f>
        <v>0</v>
      </c>
      <c r="AA727" s="185">
        <f t="shared" si="2929"/>
        <v>0</v>
      </c>
      <c r="AB727" s="185">
        <f t="shared" ref="AB727:AC727" si="2930">AB720*AB714</f>
        <v>0</v>
      </c>
      <c r="AC727" s="185">
        <f t="shared" si="2930"/>
        <v>0</v>
      </c>
      <c r="AD727" s="185">
        <f t="shared" ref="AD727:AE727" si="2931">AD720*AD714</f>
        <v>0</v>
      </c>
      <c r="AE727" s="185">
        <f t="shared" si="2931"/>
        <v>0</v>
      </c>
      <c r="AF727" s="185">
        <f t="shared" ref="AF727:AG727" si="2932">AF720*AF714</f>
        <v>0</v>
      </c>
      <c r="AG727" s="185">
        <f t="shared" si="2932"/>
        <v>0</v>
      </c>
      <c r="AH727" s="185">
        <f t="shared" ref="AH727:AI727" si="2933">AH720*AH714</f>
        <v>0</v>
      </c>
      <c r="AI727" s="185">
        <f t="shared" si="2933"/>
        <v>0</v>
      </c>
      <c r="AJ727" s="185">
        <f t="shared" ref="AJ727:AK727" si="2934">AJ720*AJ714</f>
        <v>0</v>
      </c>
      <c r="AK727" s="185">
        <f t="shared" si="2934"/>
        <v>0</v>
      </c>
      <c r="AL727" s="185">
        <f t="shared" ref="AL727:AM727" si="2935">AL720*AL714</f>
        <v>0</v>
      </c>
      <c r="AM727" s="185">
        <f t="shared" si="2935"/>
        <v>0</v>
      </c>
      <c r="AN727" s="185">
        <f t="shared" ref="AN727:AO727" si="2936">AN720*AN714</f>
        <v>0</v>
      </c>
      <c r="AO727" s="185">
        <f t="shared" si="2936"/>
        <v>0</v>
      </c>
      <c r="AP727" s="185">
        <f t="shared" ref="AP727:AQ727" si="2937">AP720*AP714</f>
        <v>0</v>
      </c>
      <c r="AQ727" s="185">
        <f t="shared" si="2937"/>
        <v>0</v>
      </c>
      <c r="AR727" s="185">
        <f t="shared" ref="AR727:AS727" si="2938">AR720*AR714</f>
        <v>0</v>
      </c>
      <c r="AS727" s="185">
        <f t="shared" si="2938"/>
        <v>0</v>
      </c>
      <c r="AT727" s="185">
        <f t="shared" ref="AT727:AU727" si="2939">AT720*AT714</f>
        <v>0</v>
      </c>
      <c r="AU727" s="185">
        <f t="shared" si="2939"/>
        <v>0</v>
      </c>
      <c r="AV727" s="185">
        <f t="shared" ref="AV727:AW727" si="2940">AV720*AV714</f>
        <v>0</v>
      </c>
      <c r="AW727" s="185">
        <f t="shared" si="2940"/>
        <v>0</v>
      </c>
      <c r="AX727" s="185">
        <f t="shared" ref="AX727:AY727" si="2941">AX720*AX714</f>
        <v>0</v>
      </c>
      <c r="AY727" s="185">
        <f t="shared" si="2941"/>
        <v>0</v>
      </c>
      <c r="AZ727" s="185">
        <f t="shared" ref="AZ727:BA727" si="2942">AZ720*AZ714</f>
        <v>0</v>
      </c>
      <c r="BA727" s="185">
        <f t="shared" si="2942"/>
        <v>0</v>
      </c>
      <c r="BB727" s="185">
        <f t="shared" ref="BB727" si="2943">BB720*BB714</f>
        <v>0</v>
      </c>
      <c r="BC727" s="185"/>
      <c r="BD727" s="193">
        <f>SUM(G727:BC727)</f>
        <v>0</v>
      </c>
    </row>
    <row r="728" spans="1:56" ht="14.4" hidden="1" thickTop="1" x14ac:dyDescent="0.3">
      <c r="A728" s="184" t="str">
        <f ca="1">Language!A$942</f>
        <v>прибыль/убыток от продажи актива (бухгалтерская)</v>
      </c>
      <c r="B728" s="216"/>
      <c r="C728" s="163" t="str">
        <f t="shared" ca="1" si="2874"/>
        <v>руб.</v>
      </c>
      <c r="D728" s="174">
        <v>1</v>
      </c>
      <c r="E728" s="170" t="s">
        <v>762</v>
      </c>
      <c r="F728" s="170" t="s">
        <v>743</v>
      </c>
      <c r="G728" s="185">
        <f t="shared" ref="G728:BB728" si="2944">IF(G715=0,0,G715-IF(G$2=1,G716,F721+F725))</f>
        <v>0</v>
      </c>
      <c r="H728" s="185">
        <f t="shared" si="2944"/>
        <v>0</v>
      </c>
      <c r="I728" s="185">
        <f t="shared" si="2944"/>
        <v>0</v>
      </c>
      <c r="J728" s="185">
        <f t="shared" si="2944"/>
        <v>0</v>
      </c>
      <c r="K728" s="185">
        <f t="shared" si="2944"/>
        <v>0</v>
      </c>
      <c r="L728" s="185">
        <f t="shared" si="2944"/>
        <v>0</v>
      </c>
      <c r="M728" s="185">
        <f t="shared" si="2944"/>
        <v>0</v>
      </c>
      <c r="N728" s="185">
        <f t="shared" si="2944"/>
        <v>0</v>
      </c>
      <c r="O728" s="185">
        <f t="shared" si="2944"/>
        <v>0</v>
      </c>
      <c r="P728" s="185">
        <f t="shared" si="2944"/>
        <v>0</v>
      </c>
      <c r="Q728" s="185">
        <f t="shared" si="2944"/>
        <v>0</v>
      </c>
      <c r="R728" s="185">
        <f t="shared" si="2944"/>
        <v>0</v>
      </c>
      <c r="S728" s="185">
        <f t="shared" si="2944"/>
        <v>0</v>
      </c>
      <c r="T728" s="185">
        <f t="shared" si="2944"/>
        <v>0</v>
      </c>
      <c r="U728" s="185">
        <f t="shared" si="2944"/>
        <v>0</v>
      </c>
      <c r="V728" s="185">
        <f t="shared" si="2944"/>
        <v>0</v>
      </c>
      <c r="W728" s="185">
        <f t="shared" si="2944"/>
        <v>0</v>
      </c>
      <c r="X728" s="185">
        <f t="shared" si="2944"/>
        <v>0</v>
      </c>
      <c r="Y728" s="185">
        <f t="shared" si="2944"/>
        <v>0</v>
      </c>
      <c r="Z728" s="185">
        <f t="shared" si="2944"/>
        <v>0</v>
      </c>
      <c r="AA728" s="185">
        <f t="shared" si="2944"/>
        <v>0</v>
      </c>
      <c r="AB728" s="185">
        <f t="shared" si="2944"/>
        <v>0</v>
      </c>
      <c r="AC728" s="185">
        <f t="shared" si="2944"/>
        <v>0</v>
      </c>
      <c r="AD728" s="185">
        <f t="shared" si="2944"/>
        <v>0</v>
      </c>
      <c r="AE728" s="185">
        <f t="shared" si="2944"/>
        <v>0</v>
      </c>
      <c r="AF728" s="185">
        <f t="shared" si="2944"/>
        <v>0</v>
      </c>
      <c r="AG728" s="185">
        <f t="shared" si="2944"/>
        <v>0</v>
      </c>
      <c r="AH728" s="185">
        <f t="shared" si="2944"/>
        <v>0</v>
      </c>
      <c r="AI728" s="185">
        <f t="shared" si="2944"/>
        <v>0</v>
      </c>
      <c r="AJ728" s="185">
        <f t="shared" si="2944"/>
        <v>0</v>
      </c>
      <c r="AK728" s="185">
        <f t="shared" si="2944"/>
        <v>0</v>
      </c>
      <c r="AL728" s="185">
        <f t="shared" si="2944"/>
        <v>0</v>
      </c>
      <c r="AM728" s="185">
        <f t="shared" si="2944"/>
        <v>0</v>
      </c>
      <c r="AN728" s="185">
        <f t="shared" si="2944"/>
        <v>0</v>
      </c>
      <c r="AO728" s="185">
        <f t="shared" si="2944"/>
        <v>0</v>
      </c>
      <c r="AP728" s="185">
        <f t="shared" si="2944"/>
        <v>0</v>
      </c>
      <c r="AQ728" s="185">
        <f t="shared" si="2944"/>
        <v>0</v>
      </c>
      <c r="AR728" s="185">
        <f t="shared" si="2944"/>
        <v>0</v>
      </c>
      <c r="AS728" s="185">
        <f t="shared" si="2944"/>
        <v>0</v>
      </c>
      <c r="AT728" s="185">
        <f t="shared" si="2944"/>
        <v>0</v>
      </c>
      <c r="AU728" s="185">
        <f t="shared" si="2944"/>
        <v>0</v>
      </c>
      <c r="AV728" s="185">
        <f t="shared" si="2944"/>
        <v>0</v>
      </c>
      <c r="AW728" s="185">
        <f t="shared" si="2944"/>
        <v>0</v>
      </c>
      <c r="AX728" s="185">
        <f t="shared" si="2944"/>
        <v>0</v>
      </c>
      <c r="AY728" s="185">
        <f t="shared" si="2944"/>
        <v>0</v>
      </c>
      <c r="AZ728" s="185">
        <f t="shared" si="2944"/>
        <v>0</v>
      </c>
      <c r="BA728" s="185">
        <f t="shared" si="2944"/>
        <v>0</v>
      </c>
      <c r="BB728" s="185">
        <f t="shared" si="2944"/>
        <v>0</v>
      </c>
      <c r="BC728" s="185"/>
      <c r="BD728" s="193">
        <f>SUM(G728:BC728)</f>
        <v>0</v>
      </c>
    </row>
    <row r="729" spans="1:56" ht="14.4" hidden="1" thickTop="1" x14ac:dyDescent="0.3">
      <c r="A729" s="184" t="str">
        <f ca="1">Language!A$943</f>
        <v>НДС к выручке от продажи актива</v>
      </c>
      <c r="B729" s="216"/>
      <c r="C729" s="163" t="str">
        <f t="shared" ca="1" si="2874"/>
        <v>руб.</v>
      </c>
      <c r="D729" s="174">
        <v>1</v>
      </c>
      <c r="E729" s="170" t="s">
        <v>764</v>
      </c>
      <c r="F729" s="170" t="s">
        <v>743</v>
      </c>
      <c r="G729" s="185">
        <f t="shared" ref="G729:K729" si="2945">G715*G714</f>
        <v>0</v>
      </c>
      <c r="H729" s="185">
        <f t="shared" si="2945"/>
        <v>0</v>
      </c>
      <c r="I729" s="185">
        <f t="shared" si="2945"/>
        <v>0</v>
      </c>
      <c r="J729" s="185">
        <f t="shared" si="2945"/>
        <v>0</v>
      </c>
      <c r="K729" s="185">
        <f t="shared" si="2945"/>
        <v>0</v>
      </c>
      <c r="L729" s="185">
        <f t="shared" ref="L729:M729" si="2946">L715*L714</f>
        <v>0</v>
      </c>
      <c r="M729" s="185">
        <f t="shared" si="2946"/>
        <v>0</v>
      </c>
      <c r="N729" s="185">
        <f t="shared" ref="N729:O729" si="2947">N715*N714</f>
        <v>0</v>
      </c>
      <c r="O729" s="185">
        <f t="shared" si="2947"/>
        <v>0</v>
      </c>
      <c r="P729" s="185">
        <f t="shared" ref="P729:Q729" si="2948">P715*P714</f>
        <v>0</v>
      </c>
      <c r="Q729" s="185">
        <f t="shared" si="2948"/>
        <v>0</v>
      </c>
      <c r="R729" s="185">
        <f t="shared" ref="R729:S729" si="2949">R715*R714</f>
        <v>0</v>
      </c>
      <c r="S729" s="185">
        <f t="shared" si="2949"/>
        <v>0</v>
      </c>
      <c r="T729" s="185">
        <f t="shared" ref="T729:U729" si="2950">T715*T714</f>
        <v>0</v>
      </c>
      <c r="U729" s="185">
        <f t="shared" si="2950"/>
        <v>0</v>
      </c>
      <c r="V729" s="185">
        <f t="shared" ref="V729:W729" si="2951">V715*V714</f>
        <v>0</v>
      </c>
      <c r="W729" s="185">
        <f t="shared" si="2951"/>
        <v>0</v>
      </c>
      <c r="X729" s="185">
        <f t="shared" ref="X729:Y729" si="2952">X715*X714</f>
        <v>0</v>
      </c>
      <c r="Y729" s="185">
        <f t="shared" si="2952"/>
        <v>0</v>
      </c>
      <c r="Z729" s="185">
        <f t="shared" ref="Z729:AA729" si="2953">Z715*Z714</f>
        <v>0</v>
      </c>
      <c r="AA729" s="185">
        <f t="shared" si="2953"/>
        <v>0</v>
      </c>
      <c r="AB729" s="185">
        <f t="shared" ref="AB729:AC729" si="2954">AB715*AB714</f>
        <v>0</v>
      </c>
      <c r="AC729" s="185">
        <f t="shared" si="2954"/>
        <v>0</v>
      </c>
      <c r="AD729" s="185">
        <f t="shared" ref="AD729:AE729" si="2955">AD715*AD714</f>
        <v>0</v>
      </c>
      <c r="AE729" s="185">
        <f t="shared" si="2955"/>
        <v>0</v>
      </c>
      <c r="AF729" s="185">
        <f t="shared" ref="AF729:AG729" si="2956">AF715*AF714</f>
        <v>0</v>
      </c>
      <c r="AG729" s="185">
        <f t="shared" si="2956"/>
        <v>0</v>
      </c>
      <c r="AH729" s="185">
        <f t="shared" ref="AH729:AI729" si="2957">AH715*AH714</f>
        <v>0</v>
      </c>
      <c r="AI729" s="185">
        <f t="shared" si="2957"/>
        <v>0</v>
      </c>
      <c r="AJ729" s="185">
        <f t="shared" ref="AJ729:AK729" si="2958">AJ715*AJ714</f>
        <v>0</v>
      </c>
      <c r="AK729" s="185">
        <f t="shared" si="2958"/>
        <v>0</v>
      </c>
      <c r="AL729" s="185">
        <f t="shared" ref="AL729:AM729" si="2959">AL715*AL714</f>
        <v>0</v>
      </c>
      <c r="AM729" s="185">
        <f t="shared" si="2959"/>
        <v>0</v>
      </c>
      <c r="AN729" s="185">
        <f t="shared" ref="AN729:AO729" si="2960">AN715*AN714</f>
        <v>0</v>
      </c>
      <c r="AO729" s="185">
        <f t="shared" si="2960"/>
        <v>0</v>
      </c>
      <c r="AP729" s="185">
        <f t="shared" ref="AP729:AQ729" si="2961">AP715*AP714</f>
        <v>0</v>
      </c>
      <c r="AQ729" s="185">
        <f t="shared" si="2961"/>
        <v>0</v>
      </c>
      <c r="AR729" s="185">
        <f t="shared" ref="AR729:AS729" si="2962">AR715*AR714</f>
        <v>0</v>
      </c>
      <c r="AS729" s="185">
        <f t="shared" si="2962"/>
        <v>0</v>
      </c>
      <c r="AT729" s="185">
        <f t="shared" ref="AT729:AU729" si="2963">AT715*AT714</f>
        <v>0</v>
      </c>
      <c r="AU729" s="185">
        <f t="shared" si="2963"/>
        <v>0</v>
      </c>
      <c r="AV729" s="185">
        <f t="shared" ref="AV729:AW729" si="2964">AV715*AV714</f>
        <v>0</v>
      </c>
      <c r="AW729" s="185">
        <f t="shared" si="2964"/>
        <v>0</v>
      </c>
      <c r="AX729" s="185">
        <f t="shared" ref="AX729:AY729" si="2965">AX715*AX714</f>
        <v>0</v>
      </c>
      <c r="AY729" s="185">
        <f t="shared" si="2965"/>
        <v>0</v>
      </c>
      <c r="AZ729" s="185">
        <f t="shared" ref="AZ729:BA729" si="2966">AZ715*AZ714</f>
        <v>0</v>
      </c>
      <c r="BA729" s="185">
        <f t="shared" si="2966"/>
        <v>0</v>
      </c>
      <c r="BB729" s="185">
        <f t="shared" ref="BB729" si="2967">BB715*BB714</f>
        <v>0</v>
      </c>
      <c r="BC729" s="185"/>
      <c r="BD729" s="193">
        <f>SUM(G729:BC729)</f>
        <v>0</v>
      </c>
    </row>
    <row r="730" spans="1:56" ht="14.4" hidden="1" thickTop="1" x14ac:dyDescent="0.3">
      <c r="A730" s="184" t="str">
        <f ca="1">Language!A$944</f>
        <v>курсовые разницы</v>
      </c>
      <c r="B730" s="216"/>
      <c r="C730" s="163" t="str">
        <f t="shared" ca="1" si="2874"/>
        <v>руб.</v>
      </c>
      <c r="D730" s="174">
        <v>1</v>
      </c>
      <c r="E730" s="170" t="s">
        <v>1278</v>
      </c>
      <c r="F730" s="170" t="s">
        <v>743</v>
      </c>
      <c r="G730" s="185">
        <f>-(SUM($G716:G716)+$B718-G721+G722-G723-SUM($G720:G720)+IF(G$2=1,0,SUM($F730:F730)))</f>
        <v>0</v>
      </c>
      <c r="H730" s="185">
        <f>-(SUM($G716:H716)+$B718-H721+H722-H723-SUM($G720:H720)+IF(H$2=1,0,SUM($F730:G730)))</f>
        <v>0</v>
      </c>
      <c r="I730" s="185">
        <f>-(SUM($G716:I716)+$B718-I721+I722-I723-SUM($G720:I720)+IF(I$2=1,0,SUM($F730:H730)))</f>
        <v>0</v>
      </c>
      <c r="J730" s="185">
        <f>-(SUM($G716:J716)+$B718-J721+J722-J723-SUM($G720:J720)+IF(J$2=1,0,SUM($F730:I730)))</f>
        <v>0</v>
      </c>
      <c r="K730" s="185">
        <f>-(SUM($G716:K716)+$B718-K721+K722-K723-SUM($G720:K720)+IF(K$2=1,0,SUM($F730:J730)))</f>
        <v>0</v>
      </c>
      <c r="L730" s="185">
        <f>-(SUM($G716:L716)+$B718-L721+L722-L723-SUM($G720:L720)+IF(L$2=1,0,SUM($F730:K730)))</f>
        <v>0</v>
      </c>
      <c r="M730" s="185">
        <f>-(SUM($G716:M716)+$B718-M721+M722-M723-SUM($G720:M720)+IF(M$2=1,0,SUM($F730:L730)))</f>
        <v>0</v>
      </c>
      <c r="N730" s="185">
        <f>-(SUM($G716:N716)+$B718-N721+N722-N723-SUM($G720:N720)+IF(N$2=1,0,SUM($F730:M730)))</f>
        <v>0</v>
      </c>
      <c r="O730" s="185">
        <f>-(SUM($G716:O716)+$B718-O721+O722-O723-SUM($G720:O720)+IF(O$2=1,0,SUM($F730:N730)))</f>
        <v>0</v>
      </c>
      <c r="P730" s="185">
        <f>-(SUM($G716:P716)+$B718-P721+P722-P723-SUM($G720:P720)+IF(P$2=1,0,SUM($F730:O730)))</f>
        <v>0</v>
      </c>
      <c r="Q730" s="185">
        <f>-(SUM($G716:Q716)+$B718-Q721+Q722-Q723-SUM($G720:Q720)+IF(Q$2=1,0,SUM($F730:P730)))</f>
        <v>0</v>
      </c>
      <c r="R730" s="185">
        <f>-(SUM($G716:R716)+$B718-R721+R722-R723-SUM($G720:R720)+IF(R$2=1,0,SUM($F730:Q730)))</f>
        <v>0</v>
      </c>
      <c r="S730" s="185">
        <f>-(SUM($G716:S716)+$B718-S721+S722-S723-SUM($G720:S720)+IF(S$2=1,0,SUM($F730:R730)))</f>
        <v>0</v>
      </c>
      <c r="T730" s="185">
        <f>-(SUM($G716:T716)+$B718-T721+T722-T723-SUM($G720:T720)+IF(T$2=1,0,SUM($F730:S730)))</f>
        <v>0</v>
      </c>
      <c r="U730" s="185">
        <f>-(SUM($G716:U716)+$B718-U721+U722-U723-SUM($G720:U720)+IF(U$2=1,0,SUM($F730:T730)))</f>
        <v>0</v>
      </c>
      <c r="V730" s="185">
        <f>-(SUM($G716:V716)+$B718-V721+V722-V723-SUM($G720:V720)+IF(V$2=1,0,SUM($F730:U730)))</f>
        <v>0</v>
      </c>
      <c r="W730" s="185">
        <f>-(SUM($G716:W716)+$B718-W721+W722-W723-SUM($G720:W720)+IF(W$2=1,0,SUM($F730:V730)))</f>
        <v>0</v>
      </c>
      <c r="X730" s="185">
        <f>-(SUM($G716:X716)+$B718-X721+X722-X723-SUM($G720:X720)+IF(X$2=1,0,SUM($F730:W730)))</f>
        <v>0</v>
      </c>
      <c r="Y730" s="185">
        <f>-(SUM($G716:Y716)+$B718-Y721+Y722-Y723-SUM($G720:Y720)+IF(Y$2=1,0,SUM($F730:X730)))</f>
        <v>0</v>
      </c>
      <c r="Z730" s="185">
        <f>-(SUM($G716:Z716)+$B718-Z721+Z722-Z723-SUM($G720:Z720)+IF(Z$2=1,0,SUM($F730:Y730)))</f>
        <v>0</v>
      </c>
      <c r="AA730" s="185">
        <f>-(SUM($G716:AA716)+$B718-AA721+AA722-AA723-SUM($G720:AA720)+IF(AA$2=1,0,SUM($F730:Z730)))</f>
        <v>0</v>
      </c>
      <c r="AB730" s="185">
        <f>-(SUM($G716:AB716)+$B718-AB721+AB722-AB723-SUM($G720:AB720)+IF(AB$2=1,0,SUM($F730:AA730)))</f>
        <v>0</v>
      </c>
      <c r="AC730" s="185">
        <f>-(SUM($G716:AC716)+$B718-AC721+AC722-AC723-SUM($G720:AC720)+IF(AC$2=1,0,SUM($F730:AB730)))</f>
        <v>0</v>
      </c>
      <c r="AD730" s="185">
        <f>-(SUM($G716:AD716)+$B718-AD721+AD722-AD723-SUM($G720:AD720)+IF(AD$2=1,0,SUM($F730:AC730)))</f>
        <v>0</v>
      </c>
      <c r="AE730" s="185">
        <f>-(SUM($G716:AE716)+$B718-AE721+AE722-AE723-SUM($G720:AE720)+IF(AE$2=1,0,SUM($F730:AD730)))</f>
        <v>0</v>
      </c>
      <c r="AF730" s="185">
        <f>-(SUM($G716:AF716)+$B718-AF721+AF722-AF723-SUM($G720:AF720)+IF(AF$2=1,0,SUM($F730:AE730)))</f>
        <v>0</v>
      </c>
      <c r="AG730" s="185">
        <f>-(SUM($G716:AG716)+$B718-AG721+AG722-AG723-SUM($G720:AG720)+IF(AG$2=1,0,SUM($F730:AF730)))</f>
        <v>0</v>
      </c>
      <c r="AH730" s="185">
        <f>-(SUM($G716:AH716)+$B718-AH721+AH722-AH723-SUM($G720:AH720)+IF(AH$2=1,0,SUM($F730:AG730)))</f>
        <v>0</v>
      </c>
      <c r="AI730" s="185">
        <f>-(SUM($G716:AI716)+$B718-AI721+AI722-AI723-SUM($G720:AI720)+IF(AI$2=1,0,SUM($F730:AH730)))</f>
        <v>0</v>
      </c>
      <c r="AJ730" s="185">
        <f>-(SUM($G716:AJ716)+$B718-AJ721+AJ722-AJ723-SUM($G720:AJ720)+IF(AJ$2=1,0,SUM($F730:AI730)))</f>
        <v>0</v>
      </c>
      <c r="AK730" s="185">
        <f>-(SUM($G716:AK716)+$B718-AK721+AK722-AK723-SUM($G720:AK720)+IF(AK$2=1,0,SUM($F730:AJ730)))</f>
        <v>0</v>
      </c>
      <c r="AL730" s="185">
        <f>-(SUM($G716:AL716)+$B718-AL721+AL722-AL723-SUM($G720:AL720)+IF(AL$2=1,0,SUM($F730:AK730)))</f>
        <v>0</v>
      </c>
      <c r="AM730" s="185">
        <f>-(SUM($G716:AM716)+$B718-AM721+AM722-AM723-SUM($G720:AM720)+IF(AM$2=1,0,SUM($F730:AL730)))</f>
        <v>0</v>
      </c>
      <c r="AN730" s="185">
        <f>-(SUM($G716:AN716)+$B718-AN721+AN722-AN723-SUM($G720:AN720)+IF(AN$2=1,0,SUM($F730:AM730)))</f>
        <v>0</v>
      </c>
      <c r="AO730" s="185">
        <f>-(SUM($G716:AO716)+$B718-AO721+AO722-AO723-SUM($G720:AO720)+IF(AO$2=1,0,SUM($F730:AN730)))</f>
        <v>0</v>
      </c>
      <c r="AP730" s="185">
        <f>-(SUM($G716:AP716)+$B718-AP721+AP722-AP723-SUM($G720:AP720)+IF(AP$2=1,0,SUM($F730:AO730)))</f>
        <v>0</v>
      </c>
      <c r="AQ730" s="185">
        <f>-(SUM($G716:AQ716)+$B718-AQ721+AQ722-AQ723-SUM($G720:AQ720)+IF(AQ$2=1,0,SUM($F730:AP730)))</f>
        <v>0</v>
      </c>
      <c r="AR730" s="185">
        <f>-(SUM($G716:AR716)+$B718-AR721+AR722-AR723-SUM($G720:AR720)+IF(AR$2=1,0,SUM($F730:AQ730)))</f>
        <v>0</v>
      </c>
      <c r="AS730" s="185">
        <f>-(SUM($G716:AS716)+$B718-AS721+AS722-AS723-SUM($G720:AS720)+IF(AS$2=1,0,SUM($F730:AR730)))</f>
        <v>0</v>
      </c>
      <c r="AT730" s="185">
        <f>-(SUM($G716:AT716)+$B718-AT721+AT722-AT723-SUM($G720:AT720)+IF(AT$2=1,0,SUM($F730:AS730)))</f>
        <v>0</v>
      </c>
      <c r="AU730" s="185">
        <f>-(SUM($G716:AU716)+$B718-AU721+AU722-AU723-SUM($G720:AU720)+IF(AU$2=1,0,SUM($F730:AT730)))</f>
        <v>0</v>
      </c>
      <c r="AV730" s="185">
        <f>-(SUM($G716:AV716)+$B718-AV721+AV722-AV723-SUM($G720:AV720)+IF(AV$2=1,0,SUM($F730:AU730)))</f>
        <v>0</v>
      </c>
      <c r="AW730" s="185">
        <f>-(SUM($G716:AW716)+$B718-AW721+AW722-AW723-SUM($G720:AW720)+IF(AW$2=1,0,SUM($F730:AV730)))</f>
        <v>0</v>
      </c>
      <c r="AX730" s="185">
        <f>-(SUM($G716:AX716)+$B718-AX721+AX722-AX723-SUM($G720:AX720)+IF(AX$2=1,0,SUM($F730:AW730)))</f>
        <v>0</v>
      </c>
      <c r="AY730" s="185">
        <f>-(SUM($G716:AY716)+$B718-AY721+AY722-AY723-SUM($G720:AY720)+IF(AY$2=1,0,SUM($F730:AX730)))</f>
        <v>0</v>
      </c>
      <c r="AZ730" s="185">
        <f>-(SUM($G716:AZ716)+$B718-AZ721+AZ722-AZ723-SUM($G720:AZ720)+IF(AZ$2=1,0,SUM($F730:AY730)))</f>
        <v>0</v>
      </c>
      <c r="BA730" s="185">
        <f>-(SUM($G716:BA716)+$B718-BA721+BA722-BA723-SUM($G720:BA720)+IF(BA$2=1,0,SUM($F730:AZ730)))</f>
        <v>0</v>
      </c>
      <c r="BB730" s="185">
        <f>-(SUM($G716:BB716)+$B718-BB721+BB722-BB723-SUM($G720:BB720)+IF(BB$2=1,0,SUM($F730:BA730)))</f>
        <v>0</v>
      </c>
      <c r="BC730" s="185"/>
      <c r="BD730" s="193">
        <f>SUM(G730:BC730)</f>
        <v>0</v>
      </c>
    </row>
    <row r="731" spans="1:56" ht="14.4" thickTop="1" x14ac:dyDescent="0.3">
      <c r="A731" s="244"/>
    </row>
    <row r="732" spans="1:56" x14ac:dyDescent="0.3">
      <c r="A732" s="207" t="str">
        <f ca="1">Language!A$945</f>
        <v>Земля</v>
      </c>
      <c r="B732" s="196"/>
      <c r="C732" s="196"/>
      <c r="D732" s="197"/>
      <c r="E732" s="197" t="s">
        <v>715</v>
      </c>
      <c r="F732" s="197" t="s">
        <v>3409</v>
      </c>
      <c r="G732" s="196"/>
      <c r="H732" s="196"/>
      <c r="I732" s="196"/>
      <c r="J732" s="196"/>
      <c r="K732" s="196"/>
      <c r="L732" s="196"/>
      <c r="M732" s="196"/>
      <c r="N732" s="196"/>
      <c r="O732" s="196"/>
      <c r="P732" s="196"/>
      <c r="Q732" s="196"/>
      <c r="R732" s="196"/>
      <c r="S732" s="196"/>
      <c r="T732" s="196"/>
      <c r="U732" s="196"/>
      <c r="V732" s="196"/>
      <c r="W732" s="196"/>
      <c r="X732" s="196"/>
      <c r="Y732" s="196"/>
      <c r="Z732" s="196"/>
      <c r="AA732" s="196"/>
      <c r="AB732" s="196"/>
      <c r="AC732" s="196"/>
      <c r="AD732" s="196"/>
      <c r="AE732" s="196"/>
      <c r="AF732" s="196"/>
      <c r="AG732" s="196"/>
      <c r="AH732" s="196"/>
      <c r="AI732" s="196"/>
      <c r="AJ732" s="196"/>
      <c r="AK732" s="196"/>
      <c r="AL732" s="196"/>
      <c r="AM732" s="196"/>
      <c r="AN732" s="196"/>
      <c r="AO732" s="196"/>
      <c r="AP732" s="196"/>
      <c r="AQ732" s="196"/>
      <c r="AR732" s="196"/>
      <c r="AS732" s="196"/>
      <c r="AT732" s="196"/>
      <c r="AU732" s="196"/>
      <c r="AV732" s="196"/>
      <c r="AW732" s="196"/>
      <c r="AX732" s="196"/>
      <c r="AY732" s="196"/>
      <c r="AZ732" s="196"/>
      <c r="BA732" s="196"/>
      <c r="BB732" s="196"/>
      <c r="BC732" s="196"/>
      <c r="BD732" s="204"/>
    </row>
    <row r="734" spans="1:56" x14ac:dyDescent="0.3">
      <c r="A734" s="283" t="s">
        <v>3479</v>
      </c>
      <c r="C734" s="176"/>
      <c r="D734" s="174">
        <v>1</v>
      </c>
      <c r="F734" s="170" t="s">
        <v>3480</v>
      </c>
      <c r="G734" s="177"/>
      <c r="H734" s="177"/>
      <c r="I734" s="177"/>
      <c r="J734" s="177"/>
      <c r="K734" s="177"/>
      <c r="L734" s="177"/>
      <c r="M734" s="177"/>
      <c r="N734" s="177"/>
      <c r="O734" s="177"/>
      <c r="P734" s="177"/>
      <c r="Q734" s="177"/>
      <c r="R734" s="177"/>
      <c r="S734" s="177"/>
      <c r="T734" s="177"/>
      <c r="U734" s="177"/>
      <c r="V734" s="177"/>
      <c r="W734" s="177"/>
      <c r="X734" s="177"/>
      <c r="Y734" s="177"/>
      <c r="Z734" s="177"/>
      <c r="AA734" s="177"/>
      <c r="AB734" s="177"/>
      <c r="AC734" s="177"/>
      <c r="AD734" s="177"/>
      <c r="AE734" s="177"/>
      <c r="AF734" s="177"/>
      <c r="AG734" s="177"/>
      <c r="AH734" s="177"/>
      <c r="AI734" s="177"/>
      <c r="AJ734" s="177"/>
      <c r="AK734" s="177"/>
      <c r="AL734" s="177"/>
      <c r="AM734" s="177"/>
      <c r="AN734" s="177"/>
      <c r="AO734" s="177"/>
      <c r="AP734" s="177"/>
      <c r="AQ734" s="177"/>
      <c r="AR734" s="177"/>
      <c r="AS734" s="177"/>
      <c r="AT734" s="177"/>
      <c r="AU734" s="177"/>
      <c r="AV734" s="177"/>
      <c r="AW734" s="177"/>
      <c r="AX734" s="177"/>
      <c r="AY734" s="177"/>
      <c r="AZ734" s="177"/>
      <c r="BA734" s="177"/>
      <c r="BB734" s="177"/>
      <c r="BC734" s="177"/>
      <c r="BD734" s="178"/>
    </row>
    <row r="735" spans="1:56" collapsed="1" x14ac:dyDescent="0.3">
      <c r="A735" s="175" t="str">
        <f ca="1">Language!A$861</f>
        <v>график оплаты</v>
      </c>
      <c r="B735" s="199">
        <f>BD735</f>
        <v>800000</v>
      </c>
      <c r="C735" s="176" t="str">
        <f t="shared" ref="C735:C737" ca="1" si="2968">CHOOSE(D735,CurName1,CurName2,CurName3)</f>
        <v>руб.</v>
      </c>
      <c r="D735" s="174">
        <f>D734</f>
        <v>1</v>
      </c>
      <c r="F735" s="170" t="s">
        <v>740</v>
      </c>
      <c r="G735" s="297">
        <v>266667</v>
      </c>
      <c r="H735" s="297">
        <v>266667</v>
      </c>
      <c r="I735" s="297">
        <v>266666</v>
      </c>
      <c r="J735" s="297">
        <v>0</v>
      </c>
      <c r="K735" s="297">
        <v>0</v>
      </c>
      <c r="L735" s="297">
        <v>0</v>
      </c>
      <c r="M735" s="297">
        <v>0</v>
      </c>
      <c r="N735" s="297">
        <v>0</v>
      </c>
      <c r="O735" s="297">
        <v>0</v>
      </c>
      <c r="P735" s="297">
        <v>0</v>
      </c>
      <c r="Q735" s="297">
        <v>0</v>
      </c>
      <c r="R735" s="297">
        <v>0</v>
      </c>
      <c r="S735" s="297">
        <v>0</v>
      </c>
      <c r="T735" s="297">
        <v>0</v>
      </c>
      <c r="U735" s="297">
        <v>0</v>
      </c>
      <c r="V735" s="297">
        <v>0</v>
      </c>
      <c r="W735" s="297">
        <v>0</v>
      </c>
      <c r="X735" s="297">
        <v>0</v>
      </c>
      <c r="Y735" s="297">
        <v>0</v>
      </c>
      <c r="Z735" s="297">
        <v>0</v>
      </c>
      <c r="AA735" s="297">
        <v>0</v>
      </c>
      <c r="AB735" s="297">
        <v>0</v>
      </c>
      <c r="AC735" s="297">
        <v>0</v>
      </c>
      <c r="AD735" s="297">
        <v>0</v>
      </c>
      <c r="AE735" s="297">
        <v>0</v>
      </c>
      <c r="AF735" s="297">
        <v>0</v>
      </c>
      <c r="AG735" s="297">
        <v>0</v>
      </c>
      <c r="AH735" s="297">
        <v>0</v>
      </c>
      <c r="AI735" s="297">
        <v>0</v>
      </c>
      <c r="AJ735" s="297">
        <v>0</v>
      </c>
      <c r="AK735" s="297">
        <v>0</v>
      </c>
      <c r="AL735" s="297">
        <v>0</v>
      </c>
      <c r="AM735" s="297">
        <v>0</v>
      </c>
      <c r="AN735" s="297">
        <v>0</v>
      </c>
      <c r="AO735" s="297">
        <v>0</v>
      </c>
      <c r="AP735" s="297">
        <v>0</v>
      </c>
      <c r="AQ735" s="297">
        <v>0</v>
      </c>
      <c r="AR735" s="297">
        <v>0</v>
      </c>
      <c r="AS735" s="297">
        <v>0</v>
      </c>
      <c r="AT735" s="297">
        <v>0</v>
      </c>
      <c r="AU735" s="297">
        <v>0</v>
      </c>
      <c r="AV735" s="297">
        <v>0</v>
      </c>
      <c r="AW735" s="297">
        <v>0</v>
      </c>
      <c r="AX735" s="297">
        <v>0</v>
      </c>
      <c r="AY735" s="297">
        <v>0</v>
      </c>
      <c r="AZ735" s="297">
        <v>0</v>
      </c>
      <c r="BA735" s="297">
        <v>0</v>
      </c>
      <c r="BB735" s="297">
        <v>0</v>
      </c>
      <c r="BC735" s="177"/>
      <c r="BD735" s="178">
        <f>SUM(G735:BC735)</f>
        <v>800000</v>
      </c>
    </row>
    <row r="736" spans="1:56" hidden="1" outlineLevel="1" x14ac:dyDescent="0.3">
      <c r="A736" s="175" t="str">
        <f ca="1">Language!A$862</f>
        <v>ранее осуществленные инвестиции</v>
      </c>
      <c r="B736" s="295">
        <v>0</v>
      </c>
      <c r="C736" s="176" t="str">
        <f t="shared" ca="1" si="2968"/>
        <v>руб.</v>
      </c>
      <c r="D736" s="174">
        <f>D734</f>
        <v>1</v>
      </c>
    </row>
    <row r="737" spans="1:56" hidden="1" outlineLevel="1" x14ac:dyDescent="0.3">
      <c r="A737" s="175" t="str">
        <f ca="1">Language!A$863</f>
        <v>график ввода в эксплуатацию</v>
      </c>
      <c r="B737" s="173"/>
      <c r="C737" s="176" t="str">
        <f t="shared" ca="1" si="2968"/>
        <v>руб.</v>
      </c>
      <c r="D737" s="174">
        <f>D734</f>
        <v>1</v>
      </c>
      <c r="F737" s="170" t="s">
        <v>740</v>
      </c>
      <c r="G737" s="297">
        <f>IF(G$2&gt;=ROUNDUP(Параметры!$B$18,0)+1,MAX(0,$BD735+$B736-SUM($F737:F737)),0)</f>
        <v>0</v>
      </c>
      <c r="H737" s="297">
        <f>IF(H$2&gt;=ROUNDUP(Параметры!$B$18,0)+1,MAX(0,$BD735+$B736-SUM($F737:G737)),0)</f>
        <v>0</v>
      </c>
      <c r="I737" s="297">
        <f>IF(I$2&gt;=ROUNDUP(Параметры!$B$18,0)+1,MAX(0,$BD735+$B736-SUM($F737:H737)),0)</f>
        <v>0</v>
      </c>
      <c r="J737" s="297">
        <f>IF(J$2&gt;=ROUNDUP(Параметры!$B$18,0)+1,MAX(0,$BD735+$B736-SUM($F737:I737)),0)</f>
        <v>0</v>
      </c>
      <c r="K737" s="297">
        <f>IF(K$2&gt;=ROUNDUP(Параметры!$B$18,0)+1,MAX(0,$BD735+$B736-SUM($F737:J737)),0)</f>
        <v>0</v>
      </c>
      <c r="L737" s="297">
        <f>IF(L$2&gt;=ROUNDUP(Параметры!$B$18,0)+1,MAX(0,$BD735+$B736-SUM($F737:K737)),0)</f>
        <v>0</v>
      </c>
      <c r="M737" s="297">
        <f>IF(M$2&gt;=ROUNDUP(Параметры!$B$18,0)+1,MAX(0,$BD735+$B736-SUM($F737:L737)),0)</f>
        <v>800000</v>
      </c>
      <c r="N737" s="297">
        <f>IF(N$2&gt;=ROUNDUP(Параметры!$B$18,0)+1,MAX(0,$BD735+$B736-SUM($F737:M737)),0)</f>
        <v>0</v>
      </c>
      <c r="O737" s="297">
        <f>IF(O$2&gt;=ROUNDUP(Параметры!$B$18,0)+1,MAX(0,$BD735+$B736-SUM($F737:N737)),0)</f>
        <v>0</v>
      </c>
      <c r="P737" s="297">
        <f>IF(P$2&gt;=ROUNDUP(Параметры!$B$18,0)+1,MAX(0,$BD735+$B736-SUM($F737:O737)),0)</f>
        <v>0</v>
      </c>
      <c r="Q737" s="297">
        <f>IF(Q$2&gt;=ROUNDUP(Параметры!$B$18,0)+1,MAX(0,$BD735+$B736-SUM($F737:P737)),0)</f>
        <v>0</v>
      </c>
      <c r="R737" s="297">
        <f>IF(R$2&gt;=ROUNDUP(Параметры!$B$18,0)+1,MAX(0,$BD735+$B736-SUM($F737:Q737)),0)</f>
        <v>0</v>
      </c>
      <c r="S737" s="297">
        <f>IF(S$2&gt;=ROUNDUP(Параметры!$B$18,0)+1,MAX(0,$BD735+$B736-SUM($F737:R737)),0)</f>
        <v>0</v>
      </c>
      <c r="T737" s="297">
        <f>IF(T$2&gt;=ROUNDUP(Параметры!$B$18,0)+1,MAX(0,$BD735+$B736-SUM($F737:S737)),0)</f>
        <v>0</v>
      </c>
      <c r="U737" s="297">
        <f>IF(U$2&gt;=ROUNDUP(Параметры!$B$18,0)+1,MAX(0,$BD735+$B736-SUM($F737:T737)),0)</f>
        <v>0</v>
      </c>
      <c r="V737" s="297">
        <f>IF(V$2&gt;=ROUNDUP(Параметры!$B$18,0)+1,MAX(0,$BD735+$B736-SUM($F737:U737)),0)</f>
        <v>0</v>
      </c>
      <c r="W737" s="297">
        <f>IF(W$2&gt;=ROUNDUP(Параметры!$B$18,0)+1,MAX(0,$BD735+$B736-SUM($F737:V737)),0)</f>
        <v>0</v>
      </c>
      <c r="X737" s="297">
        <f>IF(X$2&gt;=ROUNDUP(Параметры!$B$18,0)+1,MAX(0,$BD735+$B736-SUM($F737:W737)),0)</f>
        <v>0</v>
      </c>
      <c r="Y737" s="297">
        <f>IF(Y$2&gt;=ROUNDUP(Параметры!$B$18,0)+1,MAX(0,$BD735+$B736-SUM($F737:X737)),0)</f>
        <v>0</v>
      </c>
      <c r="Z737" s="297">
        <f>IF(Z$2&gt;=ROUNDUP(Параметры!$B$18,0)+1,MAX(0,$BD735+$B736-SUM($F737:Y737)),0)</f>
        <v>0</v>
      </c>
      <c r="AA737" s="297">
        <f>IF(AA$2&gt;=ROUNDUP(Параметры!$B$18,0)+1,MAX(0,$BD735+$B736-SUM($F737:Z737)),0)</f>
        <v>0</v>
      </c>
      <c r="AB737" s="297">
        <f>IF(AB$2&gt;=ROUNDUP(Параметры!$B$18,0)+1,MAX(0,$BD735+$B736-SUM($F737:AA737)),0)</f>
        <v>0</v>
      </c>
      <c r="AC737" s="297">
        <f>IF(AC$2&gt;=ROUNDUP(Параметры!$B$18,0)+1,MAX(0,$BD735+$B736-SUM($F737:AB737)),0)</f>
        <v>0</v>
      </c>
      <c r="AD737" s="297">
        <f>IF(AD$2&gt;=ROUNDUP(Параметры!$B$18,0)+1,MAX(0,$BD735+$B736-SUM($F737:AC737)),0)</f>
        <v>0</v>
      </c>
      <c r="AE737" s="297">
        <f>IF(AE$2&gt;=ROUNDUP(Параметры!$B$18,0)+1,MAX(0,$BD735+$B736-SUM($F737:AD737)),0)</f>
        <v>0</v>
      </c>
      <c r="AF737" s="297">
        <f>IF(AF$2&gt;=ROUNDUP(Параметры!$B$18,0)+1,MAX(0,$BD735+$B736-SUM($F737:AE737)),0)</f>
        <v>0</v>
      </c>
      <c r="AG737" s="297">
        <f>IF(AG$2&gt;=ROUNDUP(Параметры!$B$18,0)+1,MAX(0,$BD735+$B736-SUM($F737:AF737)),0)</f>
        <v>0</v>
      </c>
      <c r="AH737" s="297">
        <f>IF(AH$2&gt;=ROUNDUP(Параметры!$B$18,0)+1,MAX(0,$BD735+$B736-SUM($F737:AG737)),0)</f>
        <v>0</v>
      </c>
      <c r="AI737" s="297">
        <f>IF(AI$2&gt;=ROUNDUP(Параметры!$B$18,0)+1,MAX(0,$BD735+$B736-SUM($F737:AH737)),0)</f>
        <v>0</v>
      </c>
      <c r="AJ737" s="297">
        <f>IF(AJ$2&gt;=ROUNDUP(Параметры!$B$18,0)+1,MAX(0,$BD735+$B736-SUM($F737:AI737)),0)</f>
        <v>0</v>
      </c>
      <c r="AK737" s="297">
        <f>IF(AK$2&gt;=ROUNDUP(Параметры!$B$18,0)+1,MAX(0,$BD735+$B736-SUM($F737:AJ737)),0)</f>
        <v>0</v>
      </c>
      <c r="AL737" s="297">
        <f>IF(AL$2&gt;=ROUNDUP(Параметры!$B$18,0)+1,MAX(0,$BD735+$B736-SUM($F737:AK737)),0)</f>
        <v>0</v>
      </c>
      <c r="AM737" s="297">
        <f>IF(AM$2&gt;=ROUNDUP(Параметры!$B$18,0)+1,MAX(0,$BD735+$B736-SUM($F737:AL737)),0)</f>
        <v>0</v>
      </c>
      <c r="AN737" s="297">
        <f>IF(AN$2&gt;=ROUNDUP(Параметры!$B$18,0)+1,MAX(0,$BD735+$B736-SUM($F737:AM737)),0)</f>
        <v>0</v>
      </c>
      <c r="AO737" s="297">
        <f>IF(AO$2&gt;=ROUNDUP(Параметры!$B$18,0)+1,MAX(0,$BD735+$B736-SUM($F737:AN737)),0)</f>
        <v>0</v>
      </c>
      <c r="AP737" s="297">
        <f>IF(AP$2&gt;=ROUNDUP(Параметры!$B$18,0)+1,MAX(0,$BD735+$B736-SUM($F737:AO737)),0)</f>
        <v>0</v>
      </c>
      <c r="AQ737" s="297">
        <f>IF(AQ$2&gt;=ROUNDUP(Параметры!$B$18,0)+1,MAX(0,$BD735+$B736-SUM($F737:AP737)),0)</f>
        <v>0</v>
      </c>
      <c r="AR737" s="297">
        <f>IF(AR$2&gt;=ROUNDUP(Параметры!$B$18,0)+1,MAX(0,$BD735+$B736-SUM($F737:AQ737)),0)</f>
        <v>0</v>
      </c>
      <c r="AS737" s="297">
        <f>IF(AS$2&gt;=ROUNDUP(Параметры!$B$18,0)+1,MAX(0,$BD735+$B736-SUM($F737:AR737)),0)</f>
        <v>0</v>
      </c>
      <c r="AT737" s="297">
        <f>IF(AT$2&gt;=ROUNDUP(Параметры!$B$18,0)+1,MAX(0,$BD735+$B736-SUM($F737:AS737)),0)</f>
        <v>0</v>
      </c>
      <c r="AU737" s="297">
        <f>IF(AU$2&gt;=ROUNDUP(Параметры!$B$18,0)+1,MAX(0,$BD735+$B736-SUM($F737:AT737)),0)</f>
        <v>0</v>
      </c>
      <c r="AV737" s="297">
        <f>IF(AV$2&gt;=ROUNDUP(Параметры!$B$18,0)+1,MAX(0,$BD735+$B736-SUM($F737:AU737)),0)</f>
        <v>0</v>
      </c>
      <c r="AW737" s="297">
        <f>IF(AW$2&gt;=ROUNDUP(Параметры!$B$18,0)+1,MAX(0,$BD735+$B736-SUM($F737:AV737)),0)</f>
        <v>0</v>
      </c>
      <c r="AX737" s="297">
        <f>IF(AX$2&gt;=ROUNDUP(Параметры!$B$18,0)+1,MAX(0,$BD735+$B736-SUM($F737:AW737)),0)</f>
        <v>0</v>
      </c>
      <c r="AY737" s="297">
        <f>IF(AY$2&gt;=ROUNDUP(Параметры!$B$18,0)+1,MAX(0,$BD735+$B736-SUM($F737:AX737)),0)</f>
        <v>0</v>
      </c>
      <c r="AZ737" s="297">
        <f>IF(AZ$2&gt;=ROUNDUP(Параметры!$B$18,0)+1,MAX(0,$BD735+$B736-SUM($F737:AY737)),0)</f>
        <v>0</v>
      </c>
      <c r="BA737" s="297">
        <f>IF(BA$2&gt;=ROUNDUP(Параметры!$B$18,0)+1,MAX(0,$BD735+$B736-SUM($F737:AZ737)),0)</f>
        <v>0</v>
      </c>
      <c r="BB737" s="297">
        <f>IF(BB$2&gt;=ROUNDUP(Параметры!$B$18,0)+1,MAX(0,$BD735+$B736-SUM($F737:BA737)),0)</f>
        <v>0</v>
      </c>
      <c r="BC737" s="177"/>
      <c r="BD737" s="178">
        <f>SUM(G737:BC737)</f>
        <v>800000</v>
      </c>
    </row>
    <row r="738" spans="1:56" s="170" customFormat="1" hidden="1" outlineLevel="1" x14ac:dyDescent="0.3">
      <c r="A738" s="184" t="str">
        <f ca="1">Language!A$864</f>
        <v>выручка от продажи актива</v>
      </c>
      <c r="B738" s="216"/>
      <c r="C738" s="163" t="str">
        <f ca="1">CHOOSE(D738,CurName1,CurName2,CurName3)</f>
        <v>руб.</v>
      </c>
      <c r="D738" s="174">
        <v>1</v>
      </c>
      <c r="E738" s="170" t="s">
        <v>755</v>
      </c>
      <c r="F738" s="170" t="s">
        <v>2353</v>
      </c>
      <c r="G738" s="287">
        <v>0</v>
      </c>
      <c r="H738" s="287">
        <v>0</v>
      </c>
      <c r="I738" s="287">
        <v>0</v>
      </c>
      <c r="J738" s="287">
        <v>0</v>
      </c>
      <c r="K738" s="287">
        <v>0</v>
      </c>
      <c r="L738" s="287">
        <v>0</v>
      </c>
      <c r="M738" s="287">
        <v>0</v>
      </c>
      <c r="N738" s="287">
        <v>0</v>
      </c>
      <c r="O738" s="287">
        <v>0</v>
      </c>
      <c r="P738" s="287">
        <v>0</v>
      </c>
      <c r="Q738" s="287">
        <v>0</v>
      </c>
      <c r="R738" s="287">
        <v>0</v>
      </c>
      <c r="S738" s="287">
        <v>0</v>
      </c>
      <c r="T738" s="287">
        <v>0</v>
      </c>
      <c r="U738" s="287">
        <v>0</v>
      </c>
      <c r="V738" s="287">
        <v>0</v>
      </c>
      <c r="W738" s="287">
        <v>0</v>
      </c>
      <c r="X738" s="287">
        <v>0</v>
      </c>
      <c r="Y738" s="287">
        <v>0</v>
      </c>
      <c r="Z738" s="287">
        <v>0</v>
      </c>
      <c r="AA738" s="287">
        <v>0</v>
      </c>
      <c r="AB738" s="287">
        <v>0</v>
      </c>
      <c r="AC738" s="287">
        <v>0</v>
      </c>
      <c r="AD738" s="287">
        <v>0</v>
      </c>
      <c r="AE738" s="287">
        <v>0</v>
      </c>
      <c r="AF738" s="287">
        <v>0</v>
      </c>
      <c r="AG738" s="287">
        <v>0</v>
      </c>
      <c r="AH738" s="287">
        <v>0</v>
      </c>
      <c r="AI738" s="287">
        <v>0</v>
      </c>
      <c r="AJ738" s="287">
        <v>0</v>
      </c>
      <c r="AK738" s="287">
        <v>0</v>
      </c>
      <c r="AL738" s="287">
        <v>0</v>
      </c>
      <c r="AM738" s="287">
        <v>0</v>
      </c>
      <c r="AN738" s="287">
        <v>0</v>
      </c>
      <c r="AO738" s="287">
        <v>0</v>
      </c>
      <c r="AP738" s="287">
        <v>0</v>
      </c>
      <c r="AQ738" s="287">
        <v>0</v>
      </c>
      <c r="AR738" s="287">
        <v>0</v>
      </c>
      <c r="AS738" s="287">
        <v>0</v>
      </c>
      <c r="AT738" s="287">
        <v>0</v>
      </c>
      <c r="AU738" s="287">
        <v>0</v>
      </c>
      <c r="AV738" s="287">
        <v>0</v>
      </c>
      <c r="AW738" s="287">
        <v>0</v>
      </c>
      <c r="AX738" s="287">
        <v>0</v>
      </c>
      <c r="AY738" s="287">
        <v>0</v>
      </c>
      <c r="AZ738" s="287">
        <v>0</v>
      </c>
      <c r="BA738" s="287">
        <v>0</v>
      </c>
      <c r="BB738" s="287">
        <v>0</v>
      </c>
      <c r="BC738" s="185"/>
      <c r="BD738" s="193">
        <f>SUM(G738:BC738)</f>
        <v>0</v>
      </c>
    </row>
    <row r="739" spans="1:56" hidden="1" outlineLevel="1" x14ac:dyDescent="0.3">
      <c r="A739" s="184" t="str">
        <f ca="1">Language!A$865</f>
        <v>суммы в осн. валюте: график оплаты</v>
      </c>
      <c r="B739" s="170"/>
      <c r="C739" s="163" t="str">
        <f t="shared" ref="C739:C746" ca="1" si="2969">CHOOSE(D739,CurName1,CurName2,CurName3)</f>
        <v>руб.</v>
      </c>
      <c r="D739" s="174">
        <v>1</v>
      </c>
      <c r="E739" s="170" t="s">
        <v>751</v>
      </c>
      <c r="F739" s="170" t="s">
        <v>740</v>
      </c>
      <c r="G739" s="185">
        <f>G735*CHOOSE($D735,1,Параметры!G$53,Параметры!G$59)</f>
        <v>266667</v>
      </c>
      <c r="H739" s="185">
        <f>H735*CHOOSE($D735,1,Параметры!H$53,Параметры!H$59)</f>
        <v>266667</v>
      </c>
      <c r="I739" s="185">
        <f>I735*CHOOSE($D735,1,Параметры!I$53,Параметры!I$59)</f>
        <v>266666</v>
      </c>
      <c r="J739" s="185">
        <f>J735*CHOOSE($D735,1,Параметры!J$53,Параметры!J$59)</f>
        <v>0</v>
      </c>
      <c r="K739" s="185">
        <f>K735*CHOOSE($D735,1,Параметры!K$53,Параметры!K$59)</f>
        <v>0</v>
      </c>
      <c r="L739" s="185">
        <f>L735*CHOOSE($D735,1,Параметры!L$53,Параметры!L$59)</f>
        <v>0</v>
      </c>
      <c r="M739" s="185">
        <f>M735*CHOOSE($D735,1,Параметры!M$53,Параметры!M$59)</f>
        <v>0</v>
      </c>
      <c r="N739" s="185">
        <f>N735*CHOOSE($D735,1,Параметры!N$53,Параметры!N$59)</f>
        <v>0</v>
      </c>
      <c r="O739" s="185">
        <f>O735*CHOOSE($D735,1,Параметры!O$53,Параметры!O$59)</f>
        <v>0</v>
      </c>
      <c r="P739" s="185">
        <f>P735*CHOOSE($D735,1,Параметры!P$53,Параметры!P$59)</f>
        <v>0</v>
      </c>
      <c r="Q739" s="185">
        <f>Q735*CHOOSE($D735,1,Параметры!Q$53,Параметры!Q$59)</f>
        <v>0</v>
      </c>
      <c r="R739" s="185">
        <f>R735*CHOOSE($D735,1,Параметры!R$53,Параметры!R$59)</f>
        <v>0</v>
      </c>
      <c r="S739" s="185">
        <f>S735*CHOOSE($D735,1,Параметры!S$53,Параметры!S$59)</f>
        <v>0</v>
      </c>
      <c r="T739" s="185">
        <f>T735*CHOOSE($D735,1,Параметры!T$53,Параметры!T$59)</f>
        <v>0</v>
      </c>
      <c r="U739" s="185">
        <f>U735*CHOOSE($D735,1,Параметры!U$53,Параметры!U$59)</f>
        <v>0</v>
      </c>
      <c r="V739" s="185">
        <f>V735*CHOOSE($D735,1,Параметры!V$53,Параметры!V$59)</f>
        <v>0</v>
      </c>
      <c r="W739" s="185">
        <f>W735*CHOOSE($D735,1,Параметры!W$53,Параметры!W$59)</f>
        <v>0</v>
      </c>
      <c r="X739" s="185">
        <f>X735*CHOOSE($D735,1,Параметры!X$53,Параметры!X$59)</f>
        <v>0</v>
      </c>
      <c r="Y739" s="185">
        <f>Y735*CHOOSE($D735,1,Параметры!Y$53,Параметры!Y$59)</f>
        <v>0</v>
      </c>
      <c r="Z739" s="185">
        <f>Z735*CHOOSE($D735,1,Параметры!Z$53,Параметры!Z$59)</f>
        <v>0</v>
      </c>
      <c r="AA739" s="185">
        <f>AA735*CHOOSE($D735,1,Параметры!AA$53,Параметры!AA$59)</f>
        <v>0</v>
      </c>
      <c r="AB739" s="185">
        <f>AB735*CHOOSE($D735,1,Параметры!AB$53,Параметры!AB$59)</f>
        <v>0</v>
      </c>
      <c r="AC739" s="185">
        <f>AC735*CHOOSE($D735,1,Параметры!AC$53,Параметры!AC$59)</f>
        <v>0</v>
      </c>
      <c r="AD739" s="185">
        <f>AD735*CHOOSE($D735,1,Параметры!AD$53,Параметры!AD$59)</f>
        <v>0</v>
      </c>
      <c r="AE739" s="185">
        <f>AE735*CHOOSE($D735,1,Параметры!AE$53,Параметры!AE$59)</f>
        <v>0</v>
      </c>
      <c r="AF739" s="185">
        <f>AF735*CHOOSE($D735,1,Параметры!AF$53,Параметры!AF$59)</f>
        <v>0</v>
      </c>
      <c r="AG739" s="185">
        <f>AG735*CHOOSE($D735,1,Параметры!AG$53,Параметры!AG$59)</f>
        <v>0</v>
      </c>
      <c r="AH739" s="185">
        <f>AH735*CHOOSE($D735,1,Параметры!AH$53,Параметры!AH$59)</f>
        <v>0</v>
      </c>
      <c r="AI739" s="185">
        <f>AI735*CHOOSE($D735,1,Параметры!AI$53,Параметры!AI$59)</f>
        <v>0</v>
      </c>
      <c r="AJ739" s="185">
        <f>AJ735*CHOOSE($D735,1,Параметры!AJ$53,Параметры!AJ$59)</f>
        <v>0</v>
      </c>
      <c r="AK739" s="185">
        <f>AK735*CHOOSE($D735,1,Параметры!AK$53,Параметры!AK$59)</f>
        <v>0</v>
      </c>
      <c r="AL739" s="185">
        <f>AL735*CHOOSE($D735,1,Параметры!AL$53,Параметры!AL$59)</f>
        <v>0</v>
      </c>
      <c r="AM739" s="185">
        <f>AM735*CHOOSE($D735,1,Параметры!AM$53,Параметры!AM$59)</f>
        <v>0</v>
      </c>
      <c r="AN739" s="185">
        <f>AN735*CHOOSE($D735,1,Параметры!AN$53,Параметры!AN$59)</f>
        <v>0</v>
      </c>
      <c r="AO739" s="185">
        <f>AO735*CHOOSE($D735,1,Параметры!AO$53,Параметры!AO$59)</f>
        <v>0</v>
      </c>
      <c r="AP739" s="185">
        <f>AP735*CHOOSE($D735,1,Параметры!AP$53,Параметры!AP$59)</f>
        <v>0</v>
      </c>
      <c r="AQ739" s="185">
        <f>AQ735*CHOOSE($D735,1,Параметры!AQ$53,Параметры!AQ$59)</f>
        <v>0</v>
      </c>
      <c r="AR739" s="185">
        <f>AR735*CHOOSE($D735,1,Параметры!AR$53,Параметры!AR$59)</f>
        <v>0</v>
      </c>
      <c r="AS739" s="185">
        <f>AS735*CHOOSE($D735,1,Параметры!AS$53,Параметры!AS$59)</f>
        <v>0</v>
      </c>
      <c r="AT739" s="185">
        <f>AT735*CHOOSE($D735,1,Параметры!AT$53,Параметры!AT$59)</f>
        <v>0</v>
      </c>
      <c r="AU739" s="185">
        <f>AU735*CHOOSE($D735,1,Параметры!AU$53,Параметры!AU$59)</f>
        <v>0</v>
      </c>
      <c r="AV739" s="185">
        <f>AV735*CHOOSE($D735,1,Параметры!AV$53,Параметры!AV$59)</f>
        <v>0</v>
      </c>
      <c r="AW739" s="185">
        <f>AW735*CHOOSE($D735,1,Параметры!AW$53,Параметры!AW$59)</f>
        <v>0</v>
      </c>
      <c r="AX739" s="185">
        <f>AX735*CHOOSE($D735,1,Параметры!AX$53,Параметры!AX$59)</f>
        <v>0</v>
      </c>
      <c r="AY739" s="185">
        <f>AY735*CHOOSE($D735,1,Параметры!AY$53,Параметры!AY$59)</f>
        <v>0</v>
      </c>
      <c r="AZ739" s="185">
        <f>AZ735*CHOOSE($D735,1,Параметры!AZ$53,Параметры!AZ$59)</f>
        <v>0</v>
      </c>
      <c r="BA739" s="185">
        <f>BA735*CHOOSE($D735,1,Параметры!BA$53,Параметры!BA$59)</f>
        <v>0</v>
      </c>
      <c r="BB739" s="185">
        <f>BB735*CHOOSE($D735,1,Параметры!BB$53,Параметры!BB$59)</f>
        <v>0</v>
      </c>
      <c r="BC739" s="185"/>
      <c r="BD739" s="193">
        <f>SUM(G739:BC739)</f>
        <v>800000</v>
      </c>
    </row>
    <row r="740" spans="1:56" hidden="1" outlineLevel="1" x14ac:dyDescent="0.3">
      <c r="A740" s="187" t="str">
        <f ca="1">Language!A$866</f>
        <v>ранее осуществленные инвестици</v>
      </c>
      <c r="B740" s="212">
        <f>B736*CHOOSE(D736,1,Параметры!G$53,Параметры!G$59)</f>
        <v>0</v>
      </c>
      <c r="C740" s="163" t="str">
        <f t="shared" ca="1" si="2969"/>
        <v>руб.</v>
      </c>
      <c r="D740" s="174">
        <v>1</v>
      </c>
      <c r="E740" s="170" t="s">
        <v>1269</v>
      </c>
      <c r="G740" s="185">
        <f>B740</f>
        <v>0</v>
      </c>
      <c r="H740" s="185"/>
      <c r="I740" s="185"/>
      <c r="J740" s="185"/>
      <c r="K740" s="185"/>
      <c r="L740" s="185"/>
      <c r="M740" s="185"/>
      <c r="N740" s="185"/>
      <c r="O740" s="185"/>
      <c r="P740" s="185"/>
      <c r="Q740" s="185"/>
      <c r="R740" s="185"/>
      <c r="S740" s="185"/>
      <c r="T740" s="185"/>
      <c r="U740" s="185"/>
      <c r="V740" s="185"/>
      <c r="W740" s="185"/>
      <c r="X740" s="185"/>
      <c r="Y740" s="185"/>
      <c r="Z740" s="185"/>
      <c r="AA740" s="185"/>
      <c r="AB740" s="185"/>
      <c r="AC740" s="185"/>
      <c r="AD740" s="185"/>
      <c r="AE740" s="185"/>
      <c r="AF740" s="185"/>
      <c r="AG740" s="185"/>
      <c r="AH740" s="185"/>
      <c r="AI740" s="185"/>
      <c r="AJ740" s="185"/>
      <c r="AK740" s="185"/>
      <c r="AL740" s="185"/>
      <c r="AM740" s="185"/>
      <c r="AN740" s="185"/>
      <c r="AO740" s="185"/>
      <c r="AP740" s="185"/>
      <c r="AQ740" s="185"/>
      <c r="AR740" s="185"/>
      <c r="AS740" s="185"/>
      <c r="AT740" s="185"/>
      <c r="AU740" s="185"/>
      <c r="AV740" s="185"/>
      <c r="AW740" s="185"/>
      <c r="AX740" s="185"/>
      <c r="AY740" s="185"/>
      <c r="AZ740" s="185"/>
      <c r="BA740" s="185"/>
      <c r="BB740" s="185"/>
      <c r="BC740" s="185"/>
      <c r="BD740" s="193"/>
    </row>
    <row r="741" spans="1:56" hidden="1" outlineLevel="1" x14ac:dyDescent="0.3">
      <c r="A741" s="187" t="str">
        <f ca="1">Language!A$867</f>
        <v>график ввода в эксплуатацию</v>
      </c>
      <c r="B741" s="170"/>
      <c r="C741" s="163" t="str">
        <f t="shared" ca="1" si="2969"/>
        <v>руб.</v>
      </c>
      <c r="D741" s="174">
        <v>1</v>
      </c>
      <c r="F741" s="170" t="s">
        <v>740</v>
      </c>
      <c r="G741" s="185">
        <f>G737*CHOOSE($D737,1,Параметры!G$53,Параметры!G$59)</f>
        <v>0</v>
      </c>
      <c r="H741" s="185">
        <f>H737*CHOOSE($D737,1,Параметры!H$53,Параметры!H$59)</f>
        <v>0</v>
      </c>
      <c r="I741" s="185">
        <f>I737*CHOOSE($D737,1,Параметры!I$53,Параметры!I$59)</f>
        <v>0</v>
      </c>
      <c r="J741" s="185">
        <f>J737*CHOOSE($D737,1,Параметры!J$53,Параметры!J$59)</f>
        <v>0</v>
      </c>
      <c r="K741" s="185">
        <f>K737*CHOOSE($D737,1,Параметры!K$53,Параметры!K$59)</f>
        <v>0</v>
      </c>
      <c r="L741" s="185">
        <f>L737*CHOOSE($D737,1,Параметры!L$53,Параметры!L$59)</f>
        <v>0</v>
      </c>
      <c r="M741" s="185">
        <f>M737*CHOOSE($D737,1,Параметры!M$53,Параметры!M$59)</f>
        <v>800000</v>
      </c>
      <c r="N741" s="185">
        <f>N737*CHOOSE($D737,1,Параметры!N$53,Параметры!N$59)</f>
        <v>0</v>
      </c>
      <c r="O741" s="185">
        <f>O737*CHOOSE($D737,1,Параметры!O$53,Параметры!O$59)</f>
        <v>0</v>
      </c>
      <c r="P741" s="185">
        <f>P737*CHOOSE($D737,1,Параметры!P$53,Параметры!P$59)</f>
        <v>0</v>
      </c>
      <c r="Q741" s="185">
        <f>Q737*CHOOSE($D737,1,Параметры!Q$53,Параметры!Q$59)</f>
        <v>0</v>
      </c>
      <c r="R741" s="185">
        <f>R737*CHOOSE($D737,1,Параметры!R$53,Параметры!R$59)</f>
        <v>0</v>
      </c>
      <c r="S741" s="185">
        <f>S737*CHOOSE($D737,1,Параметры!S$53,Параметры!S$59)</f>
        <v>0</v>
      </c>
      <c r="T741" s="185">
        <f>T737*CHOOSE($D737,1,Параметры!T$53,Параметры!T$59)</f>
        <v>0</v>
      </c>
      <c r="U741" s="185">
        <f>U737*CHOOSE($D737,1,Параметры!U$53,Параметры!U$59)</f>
        <v>0</v>
      </c>
      <c r="V741" s="185">
        <f>V737*CHOOSE($D737,1,Параметры!V$53,Параметры!V$59)</f>
        <v>0</v>
      </c>
      <c r="W741" s="185">
        <f>W737*CHOOSE($D737,1,Параметры!W$53,Параметры!W$59)</f>
        <v>0</v>
      </c>
      <c r="X741" s="185">
        <f>X737*CHOOSE($D737,1,Параметры!X$53,Параметры!X$59)</f>
        <v>0</v>
      </c>
      <c r="Y741" s="185">
        <f>Y737*CHOOSE($D737,1,Параметры!Y$53,Параметры!Y$59)</f>
        <v>0</v>
      </c>
      <c r="Z741" s="185">
        <f>Z737*CHOOSE($D737,1,Параметры!Z$53,Параметры!Z$59)</f>
        <v>0</v>
      </c>
      <c r="AA741" s="185">
        <f>AA737*CHOOSE($D737,1,Параметры!AA$53,Параметры!AA$59)</f>
        <v>0</v>
      </c>
      <c r="AB741" s="185">
        <f>AB737*CHOOSE($D737,1,Параметры!AB$53,Параметры!AB$59)</f>
        <v>0</v>
      </c>
      <c r="AC741" s="185">
        <f>AC737*CHOOSE($D737,1,Параметры!AC$53,Параметры!AC$59)</f>
        <v>0</v>
      </c>
      <c r="AD741" s="185">
        <f>AD737*CHOOSE($D737,1,Параметры!AD$53,Параметры!AD$59)</f>
        <v>0</v>
      </c>
      <c r="AE741" s="185">
        <f>AE737*CHOOSE($D737,1,Параметры!AE$53,Параметры!AE$59)</f>
        <v>0</v>
      </c>
      <c r="AF741" s="185">
        <f>AF737*CHOOSE($D737,1,Параметры!AF$53,Параметры!AF$59)</f>
        <v>0</v>
      </c>
      <c r="AG741" s="185">
        <f>AG737*CHOOSE($D737,1,Параметры!AG$53,Параметры!AG$59)</f>
        <v>0</v>
      </c>
      <c r="AH741" s="185">
        <f>AH737*CHOOSE($D737,1,Параметры!AH$53,Параметры!AH$59)</f>
        <v>0</v>
      </c>
      <c r="AI741" s="185">
        <f>AI737*CHOOSE($D737,1,Параметры!AI$53,Параметры!AI$59)</f>
        <v>0</v>
      </c>
      <c r="AJ741" s="185">
        <f>AJ737*CHOOSE($D737,1,Параметры!AJ$53,Параметры!AJ$59)</f>
        <v>0</v>
      </c>
      <c r="AK741" s="185">
        <f>AK737*CHOOSE($D737,1,Параметры!AK$53,Параметры!AK$59)</f>
        <v>0</v>
      </c>
      <c r="AL741" s="185">
        <f>AL737*CHOOSE($D737,1,Параметры!AL$53,Параметры!AL$59)</f>
        <v>0</v>
      </c>
      <c r="AM741" s="185">
        <f>AM737*CHOOSE($D737,1,Параметры!AM$53,Параметры!AM$59)</f>
        <v>0</v>
      </c>
      <c r="AN741" s="185">
        <f>AN737*CHOOSE($D737,1,Параметры!AN$53,Параметры!AN$59)</f>
        <v>0</v>
      </c>
      <c r="AO741" s="185">
        <f>AO737*CHOOSE($D737,1,Параметры!AO$53,Параметры!AO$59)</f>
        <v>0</v>
      </c>
      <c r="AP741" s="185">
        <f>AP737*CHOOSE($D737,1,Параметры!AP$53,Параметры!AP$59)</f>
        <v>0</v>
      </c>
      <c r="AQ741" s="185">
        <f>AQ737*CHOOSE($D737,1,Параметры!AQ$53,Параметры!AQ$59)</f>
        <v>0</v>
      </c>
      <c r="AR741" s="185">
        <f>AR737*CHOOSE($D737,1,Параметры!AR$53,Параметры!AR$59)</f>
        <v>0</v>
      </c>
      <c r="AS741" s="185">
        <f>AS737*CHOOSE($D737,1,Параметры!AS$53,Параметры!AS$59)</f>
        <v>0</v>
      </c>
      <c r="AT741" s="185">
        <f>AT737*CHOOSE($D737,1,Параметры!AT$53,Параметры!AT$59)</f>
        <v>0</v>
      </c>
      <c r="AU741" s="185">
        <f>AU737*CHOOSE($D737,1,Параметры!AU$53,Параметры!AU$59)</f>
        <v>0</v>
      </c>
      <c r="AV741" s="185">
        <f>AV737*CHOOSE($D737,1,Параметры!AV$53,Параметры!AV$59)</f>
        <v>0</v>
      </c>
      <c r="AW741" s="185">
        <f>AW737*CHOOSE($D737,1,Параметры!AW$53,Параметры!AW$59)</f>
        <v>0</v>
      </c>
      <c r="AX741" s="185">
        <f>AX737*CHOOSE($D737,1,Параметры!AX$53,Параметры!AX$59)</f>
        <v>0</v>
      </c>
      <c r="AY741" s="185">
        <f>AY737*CHOOSE($D737,1,Параметры!AY$53,Параметры!AY$59)</f>
        <v>0</v>
      </c>
      <c r="AZ741" s="185">
        <f>AZ737*CHOOSE($D737,1,Параметры!AZ$53,Параметры!AZ$59)</f>
        <v>0</v>
      </c>
      <c r="BA741" s="185">
        <f>BA737*CHOOSE($D737,1,Параметры!BA$53,Параметры!BA$59)</f>
        <v>0</v>
      </c>
      <c r="BB741" s="185">
        <f>BB737*CHOOSE($D737,1,Параметры!BB$53,Параметры!BB$59)</f>
        <v>0</v>
      </c>
      <c r="BC741" s="185"/>
      <c r="BD741" s="193">
        <f>SUM(G741:BC741)</f>
        <v>800000</v>
      </c>
    </row>
    <row r="742" spans="1:56" hidden="1" outlineLevel="1" x14ac:dyDescent="0.3">
      <c r="A742" s="184" t="str">
        <f ca="1">Language!A$868</f>
        <v>незавершенные инвестиции</v>
      </c>
      <c r="B742" s="170"/>
      <c r="C742" s="163" t="str">
        <f t="shared" ca="1" si="2969"/>
        <v>руб.</v>
      </c>
      <c r="D742" s="174">
        <v>1</v>
      </c>
      <c r="E742" s="170" t="s">
        <v>754</v>
      </c>
      <c r="F742" s="170" t="s">
        <v>741</v>
      </c>
      <c r="G742" s="185">
        <f>IF(SUM($G738:G738)&gt;0.01,0,MAX(SUM($G735:G735)+$B736-SUM($G737:G737),0))*CHOOSE($D735,1,Параметры!G$53,Параметры!G$59)</f>
        <v>266667</v>
      </c>
      <c r="H742" s="185">
        <f>IF(SUM($G738:H738)&gt;0.01,0,MAX(SUM($G735:H735)+$B736-SUM($G737:H737),0))*CHOOSE($D735,1,Параметры!H$53,Параметры!H$59)</f>
        <v>533334</v>
      </c>
      <c r="I742" s="185">
        <f>IF(SUM($G738:I738)&gt;0.01,0,MAX(SUM($G735:I735)+$B736-SUM($G737:I737),0))*CHOOSE($D735,1,Параметры!I$53,Параметры!I$59)</f>
        <v>800000</v>
      </c>
      <c r="J742" s="185">
        <f>IF(SUM($G738:J738)&gt;0.01,0,MAX(SUM($G735:J735)+$B736-SUM($G737:J737),0))*CHOOSE($D735,1,Параметры!J$53,Параметры!J$59)</f>
        <v>800000</v>
      </c>
      <c r="K742" s="185">
        <f>IF(SUM($G738:K738)&gt;0.01,0,MAX(SUM($G735:K735)+$B736-SUM($G737:K737),0))*CHOOSE($D735,1,Параметры!K$53,Параметры!K$59)</f>
        <v>800000</v>
      </c>
      <c r="L742" s="185">
        <f>IF(SUM($G738:L738)&gt;0.01,0,MAX(SUM($G735:L735)+$B736-SUM($G737:L737),0))*CHOOSE($D735,1,Параметры!L$53,Параметры!L$59)</f>
        <v>800000</v>
      </c>
      <c r="M742" s="185">
        <f>IF(SUM($G738:M738)&gt;0.01,0,MAX(SUM($G735:M735)+$B736-SUM($G737:M737),0))*CHOOSE($D735,1,Параметры!M$53,Параметры!M$59)</f>
        <v>0</v>
      </c>
      <c r="N742" s="185">
        <f>IF(SUM($G738:N738)&gt;0.01,0,MAX(SUM($G735:N735)+$B736-SUM($G737:N737),0))*CHOOSE($D735,1,Параметры!N$53,Параметры!N$59)</f>
        <v>0</v>
      </c>
      <c r="O742" s="185">
        <f>IF(SUM($G738:O738)&gt;0.01,0,MAX(SUM($G735:O735)+$B736-SUM($G737:O737),0))*CHOOSE($D735,1,Параметры!O$53,Параметры!O$59)</f>
        <v>0</v>
      </c>
      <c r="P742" s="185">
        <f>IF(SUM($G738:P738)&gt;0.01,0,MAX(SUM($G735:P735)+$B736-SUM($G737:P737),0))*CHOOSE($D735,1,Параметры!P$53,Параметры!P$59)</f>
        <v>0</v>
      </c>
      <c r="Q742" s="185">
        <f>IF(SUM($G738:Q738)&gt;0.01,0,MAX(SUM($G735:Q735)+$B736-SUM($G737:Q737),0))*CHOOSE($D735,1,Параметры!Q$53,Параметры!Q$59)</f>
        <v>0</v>
      </c>
      <c r="R742" s="185">
        <f>IF(SUM($G738:R738)&gt;0.01,0,MAX(SUM($G735:R735)+$B736-SUM($G737:R737),0))*CHOOSE($D735,1,Параметры!R$53,Параметры!R$59)</f>
        <v>0</v>
      </c>
      <c r="S742" s="185">
        <f>IF(SUM($G738:S738)&gt;0.01,0,MAX(SUM($G735:S735)+$B736-SUM($G737:S737),0))*CHOOSE($D735,1,Параметры!S$53,Параметры!S$59)</f>
        <v>0</v>
      </c>
      <c r="T742" s="185">
        <f>IF(SUM($G738:T738)&gt;0.01,0,MAX(SUM($G735:T735)+$B736-SUM($G737:T737),0))*CHOOSE($D735,1,Параметры!T$53,Параметры!T$59)</f>
        <v>0</v>
      </c>
      <c r="U742" s="185">
        <f>IF(SUM($G738:U738)&gt;0.01,0,MAX(SUM($G735:U735)+$B736-SUM($G737:U737),0))*CHOOSE($D735,1,Параметры!U$53,Параметры!U$59)</f>
        <v>0</v>
      </c>
      <c r="V742" s="185">
        <f>IF(SUM($G738:V738)&gt;0.01,0,MAX(SUM($G735:V735)+$B736-SUM($G737:V737),0))*CHOOSE($D735,1,Параметры!V$53,Параметры!V$59)</f>
        <v>0</v>
      </c>
      <c r="W742" s="185">
        <f>IF(SUM($G738:W738)&gt;0.01,0,MAX(SUM($G735:W735)+$B736-SUM($G737:W737),0))*CHOOSE($D735,1,Параметры!W$53,Параметры!W$59)</f>
        <v>0</v>
      </c>
      <c r="X742" s="185">
        <f>IF(SUM($G738:X738)&gt;0.01,0,MAX(SUM($G735:X735)+$B736-SUM($G737:X737),0))*CHOOSE($D735,1,Параметры!X$53,Параметры!X$59)</f>
        <v>0</v>
      </c>
      <c r="Y742" s="185">
        <f>IF(SUM($G738:Y738)&gt;0.01,0,MAX(SUM($G735:Y735)+$B736-SUM($G737:Y737),0))*CHOOSE($D735,1,Параметры!Y$53,Параметры!Y$59)</f>
        <v>0</v>
      </c>
      <c r="Z742" s="185">
        <f>IF(SUM($G738:Z738)&gt;0.01,0,MAX(SUM($G735:Z735)+$B736-SUM($G737:Z737),0))*CHOOSE($D735,1,Параметры!Z$53,Параметры!Z$59)</f>
        <v>0</v>
      </c>
      <c r="AA742" s="185">
        <f>IF(SUM($G738:AA738)&gt;0.01,0,MAX(SUM($G735:AA735)+$B736-SUM($G737:AA737),0))*CHOOSE($D735,1,Параметры!AA$53,Параметры!AA$59)</f>
        <v>0</v>
      </c>
      <c r="AB742" s="185">
        <f>IF(SUM($G738:AB738)&gt;0.01,0,MAX(SUM($G735:AB735)+$B736-SUM($G737:AB737),0))*CHOOSE($D735,1,Параметры!AB$53,Параметры!AB$59)</f>
        <v>0</v>
      </c>
      <c r="AC742" s="185">
        <f>IF(SUM($G738:AC738)&gt;0.01,0,MAX(SUM($G735:AC735)+$B736-SUM($G737:AC737),0))*CHOOSE($D735,1,Параметры!AC$53,Параметры!AC$59)</f>
        <v>0</v>
      </c>
      <c r="AD742" s="185">
        <f>IF(SUM($G738:AD738)&gt;0.01,0,MAX(SUM($G735:AD735)+$B736-SUM($G737:AD737),0))*CHOOSE($D735,1,Параметры!AD$53,Параметры!AD$59)</f>
        <v>0</v>
      </c>
      <c r="AE742" s="185">
        <f>IF(SUM($G738:AE738)&gt;0.01,0,MAX(SUM($G735:AE735)+$B736-SUM($G737:AE737),0))*CHOOSE($D735,1,Параметры!AE$53,Параметры!AE$59)</f>
        <v>0</v>
      </c>
      <c r="AF742" s="185">
        <f>IF(SUM($G738:AF738)&gt;0.01,0,MAX(SUM($G735:AF735)+$B736-SUM($G737:AF737),0))*CHOOSE($D735,1,Параметры!AF$53,Параметры!AF$59)</f>
        <v>0</v>
      </c>
      <c r="AG742" s="185">
        <f>IF(SUM($G738:AG738)&gt;0.01,0,MAX(SUM($G735:AG735)+$B736-SUM($G737:AG737),0))*CHOOSE($D735,1,Параметры!AG$53,Параметры!AG$59)</f>
        <v>0</v>
      </c>
      <c r="AH742" s="185">
        <f>IF(SUM($G738:AH738)&gt;0.01,0,MAX(SUM($G735:AH735)+$B736-SUM($G737:AH737),0))*CHOOSE($D735,1,Параметры!AH$53,Параметры!AH$59)</f>
        <v>0</v>
      </c>
      <c r="AI742" s="185">
        <f>IF(SUM($G738:AI738)&gt;0.01,0,MAX(SUM($G735:AI735)+$B736-SUM($G737:AI737),0))*CHOOSE($D735,1,Параметры!AI$53,Параметры!AI$59)</f>
        <v>0</v>
      </c>
      <c r="AJ742" s="185">
        <f>IF(SUM($G738:AJ738)&gt;0.01,0,MAX(SUM($G735:AJ735)+$B736-SUM($G737:AJ737),0))*CHOOSE($D735,1,Параметры!AJ$53,Параметры!AJ$59)</f>
        <v>0</v>
      </c>
      <c r="AK742" s="185">
        <f>IF(SUM($G738:AK738)&gt;0.01,0,MAX(SUM($G735:AK735)+$B736-SUM($G737:AK737),0))*CHOOSE($D735,1,Параметры!AK$53,Параметры!AK$59)</f>
        <v>0</v>
      </c>
      <c r="AL742" s="185">
        <f>IF(SUM($G738:AL738)&gt;0.01,0,MAX(SUM($G735:AL735)+$B736-SUM($G737:AL737),0))*CHOOSE($D735,1,Параметры!AL$53,Параметры!AL$59)</f>
        <v>0</v>
      </c>
      <c r="AM742" s="185">
        <f>IF(SUM($G738:AM738)&gt;0.01,0,MAX(SUM($G735:AM735)+$B736-SUM($G737:AM737),0))*CHOOSE($D735,1,Параметры!AM$53,Параметры!AM$59)</f>
        <v>0</v>
      </c>
      <c r="AN742" s="185">
        <f>IF(SUM($G738:AN738)&gt;0.01,0,MAX(SUM($G735:AN735)+$B736-SUM($G737:AN737),0))*CHOOSE($D735,1,Параметры!AN$53,Параметры!AN$59)</f>
        <v>0</v>
      </c>
      <c r="AO742" s="185">
        <f>IF(SUM($G738:AO738)&gt;0.01,0,MAX(SUM($G735:AO735)+$B736-SUM($G737:AO737),0))*CHOOSE($D735,1,Параметры!AO$53,Параметры!AO$59)</f>
        <v>0</v>
      </c>
      <c r="AP742" s="185">
        <f>IF(SUM($G738:AP738)&gt;0.01,0,MAX(SUM($G735:AP735)+$B736-SUM($G737:AP737),0))*CHOOSE($D735,1,Параметры!AP$53,Параметры!AP$59)</f>
        <v>0</v>
      </c>
      <c r="AQ742" s="185">
        <f>IF(SUM($G738:AQ738)&gt;0.01,0,MAX(SUM($G735:AQ735)+$B736-SUM($G737:AQ737),0))*CHOOSE($D735,1,Параметры!AQ$53,Параметры!AQ$59)</f>
        <v>0</v>
      </c>
      <c r="AR742" s="185">
        <f>IF(SUM($G738:AR738)&gt;0.01,0,MAX(SUM($G735:AR735)+$B736-SUM($G737:AR737),0))*CHOOSE($D735,1,Параметры!AR$53,Параметры!AR$59)</f>
        <v>0</v>
      </c>
      <c r="AS742" s="185">
        <f>IF(SUM($G738:AS738)&gt;0.01,0,MAX(SUM($G735:AS735)+$B736-SUM($G737:AS737),0))*CHOOSE($D735,1,Параметры!AS$53,Параметры!AS$59)</f>
        <v>0</v>
      </c>
      <c r="AT742" s="185">
        <f>IF(SUM($G738:AT738)&gt;0.01,0,MAX(SUM($G735:AT735)+$B736-SUM($G737:AT737),0))*CHOOSE($D735,1,Параметры!AT$53,Параметры!AT$59)</f>
        <v>0</v>
      </c>
      <c r="AU742" s="185">
        <f>IF(SUM($G738:AU738)&gt;0.01,0,MAX(SUM($G735:AU735)+$B736-SUM($G737:AU737),0))*CHOOSE($D735,1,Параметры!AU$53,Параметры!AU$59)</f>
        <v>0</v>
      </c>
      <c r="AV742" s="185">
        <f>IF(SUM($G738:AV738)&gt;0.01,0,MAX(SUM($G735:AV735)+$B736-SUM($G737:AV737),0))*CHOOSE($D735,1,Параметры!AV$53,Параметры!AV$59)</f>
        <v>0</v>
      </c>
      <c r="AW742" s="185">
        <f>IF(SUM($G738:AW738)&gt;0.01,0,MAX(SUM($G735:AW735)+$B736-SUM($G737:AW737),0))*CHOOSE($D735,1,Параметры!AW$53,Параметры!AW$59)</f>
        <v>0</v>
      </c>
      <c r="AX742" s="185">
        <f>IF(SUM($G738:AX738)&gt;0.01,0,MAX(SUM($G735:AX735)+$B736-SUM($G737:AX737),0))*CHOOSE($D735,1,Параметры!AX$53,Параметры!AX$59)</f>
        <v>0</v>
      </c>
      <c r="AY742" s="185">
        <f>IF(SUM($G738:AY738)&gt;0.01,0,MAX(SUM($G735:AY735)+$B736-SUM($G737:AY737),0))*CHOOSE($D735,1,Параметры!AY$53,Параметры!AY$59)</f>
        <v>0</v>
      </c>
      <c r="AZ742" s="185">
        <f>IF(SUM($G738:AZ738)&gt;0.01,0,MAX(SUM($G735:AZ735)+$B736-SUM($G737:AZ737),0))*CHOOSE($D735,1,Параметры!AZ$53,Параметры!AZ$59)</f>
        <v>0</v>
      </c>
      <c r="BA742" s="185">
        <f>IF(SUM($G738:BA738)&gt;0.01,0,MAX(SUM($G735:BA735)+$B736-SUM($G737:BA737),0))*CHOOSE($D735,1,Параметры!BA$53,Параметры!BA$59)</f>
        <v>0</v>
      </c>
      <c r="BB742" s="185">
        <f>IF(SUM($G738:BB738)&gt;0.01,0,MAX(SUM($G735:BB735)+$B736-SUM($G737:BB737),0))*CHOOSE($D735,1,Параметры!BB$53,Параметры!BB$59)</f>
        <v>0</v>
      </c>
      <c r="BC742" s="185"/>
      <c r="BD742" s="186"/>
    </row>
    <row r="743" spans="1:56" hidden="1" outlineLevel="1" x14ac:dyDescent="0.3">
      <c r="A743" s="184" t="str">
        <f ca="1">Language!A$869</f>
        <v>кредиторская задолженность</v>
      </c>
      <c r="B743" s="170"/>
      <c r="C743" s="163" t="str">
        <f t="shared" ca="1" si="2969"/>
        <v>руб.</v>
      </c>
      <c r="D743" s="174">
        <v>1</v>
      </c>
      <c r="E743" s="170" t="s">
        <v>752</v>
      </c>
      <c r="F743" s="170" t="s">
        <v>741</v>
      </c>
      <c r="G743" s="185">
        <f>IF(SUM($G738:G738)&gt;0.01,0,MAX(SUM($G737:G737)-SUM($G735:G735)-$B736,0))*CHOOSE($D735,1,Параметры!G$53,Параметры!G$59)</f>
        <v>0</v>
      </c>
      <c r="H743" s="185">
        <f>IF(SUM($G738:H738)&gt;0.01,0,MAX(SUM($G737:H737)-SUM($G735:H735)-$B736,0))*CHOOSE($D735,1,Параметры!H$53,Параметры!H$59)</f>
        <v>0</v>
      </c>
      <c r="I743" s="185">
        <f>IF(SUM($G738:I738)&gt;0.01,0,MAX(SUM($G737:I737)-SUM($G735:I735)-$B736,0))*CHOOSE($D735,1,Параметры!I$53,Параметры!I$59)</f>
        <v>0</v>
      </c>
      <c r="J743" s="185">
        <f>IF(SUM($G738:J738)&gt;0.01,0,MAX(SUM($G737:J737)-SUM($G735:J735)-$B736,0))*CHOOSE($D735,1,Параметры!J$53,Параметры!J$59)</f>
        <v>0</v>
      </c>
      <c r="K743" s="185">
        <f>IF(SUM($G738:K738)&gt;0.01,0,MAX(SUM($G737:K737)-SUM($G735:K735)-$B736,0))*CHOOSE($D735,1,Параметры!K$53,Параметры!K$59)</f>
        <v>0</v>
      </c>
      <c r="L743" s="185">
        <f>IF(SUM($G738:L738)&gt;0.01,0,MAX(SUM($G737:L737)-SUM($G735:L735)-$B736,0))*CHOOSE($D735,1,Параметры!L$53,Параметры!L$59)</f>
        <v>0</v>
      </c>
      <c r="M743" s="185">
        <f>IF(SUM($G738:M738)&gt;0.01,0,MAX(SUM($G737:M737)-SUM($G735:M735)-$B736,0))*CHOOSE($D735,1,Параметры!M$53,Параметры!M$59)</f>
        <v>0</v>
      </c>
      <c r="N743" s="185">
        <f>IF(SUM($G738:N738)&gt;0.01,0,MAX(SUM($G737:N737)-SUM($G735:N735)-$B736,0))*CHOOSE($D735,1,Параметры!N$53,Параметры!N$59)</f>
        <v>0</v>
      </c>
      <c r="O743" s="185">
        <f>IF(SUM($G738:O738)&gt;0.01,0,MAX(SUM($G737:O737)-SUM($G735:O735)-$B736,0))*CHOOSE($D735,1,Параметры!O$53,Параметры!O$59)</f>
        <v>0</v>
      </c>
      <c r="P743" s="185">
        <f>IF(SUM($G738:P738)&gt;0.01,0,MAX(SUM($G737:P737)-SUM($G735:P735)-$B736,0))*CHOOSE($D735,1,Параметры!P$53,Параметры!P$59)</f>
        <v>0</v>
      </c>
      <c r="Q743" s="185">
        <f>IF(SUM($G738:Q738)&gt;0.01,0,MAX(SUM($G737:Q737)-SUM($G735:Q735)-$B736,0))*CHOOSE($D735,1,Параметры!Q$53,Параметры!Q$59)</f>
        <v>0</v>
      </c>
      <c r="R743" s="185">
        <f>IF(SUM($G738:R738)&gt;0.01,0,MAX(SUM($G737:R737)-SUM($G735:R735)-$B736,0))*CHOOSE($D735,1,Параметры!R$53,Параметры!R$59)</f>
        <v>0</v>
      </c>
      <c r="S743" s="185">
        <f>IF(SUM($G738:S738)&gt;0.01,0,MAX(SUM($G737:S737)-SUM($G735:S735)-$B736,0))*CHOOSE($D735,1,Параметры!S$53,Параметры!S$59)</f>
        <v>0</v>
      </c>
      <c r="T743" s="185">
        <f>IF(SUM($G738:T738)&gt;0.01,0,MAX(SUM($G737:T737)-SUM($G735:T735)-$B736,0))*CHOOSE($D735,1,Параметры!T$53,Параметры!T$59)</f>
        <v>0</v>
      </c>
      <c r="U743" s="185">
        <f>IF(SUM($G738:U738)&gt;0.01,0,MAX(SUM($G737:U737)-SUM($G735:U735)-$B736,0))*CHOOSE($D735,1,Параметры!U$53,Параметры!U$59)</f>
        <v>0</v>
      </c>
      <c r="V743" s="185">
        <f>IF(SUM($G738:V738)&gt;0.01,0,MAX(SUM($G737:V737)-SUM($G735:V735)-$B736,0))*CHOOSE($D735,1,Параметры!V$53,Параметры!V$59)</f>
        <v>0</v>
      </c>
      <c r="W743" s="185">
        <f>IF(SUM($G738:W738)&gt;0.01,0,MAX(SUM($G737:W737)-SUM($G735:W735)-$B736,0))*CHOOSE($D735,1,Параметры!W$53,Параметры!W$59)</f>
        <v>0</v>
      </c>
      <c r="X743" s="185">
        <f>IF(SUM($G738:X738)&gt;0.01,0,MAX(SUM($G737:X737)-SUM($G735:X735)-$B736,0))*CHOOSE($D735,1,Параметры!X$53,Параметры!X$59)</f>
        <v>0</v>
      </c>
      <c r="Y743" s="185">
        <f>IF(SUM($G738:Y738)&gt;0.01,0,MAX(SUM($G737:Y737)-SUM($G735:Y735)-$B736,0))*CHOOSE($D735,1,Параметры!Y$53,Параметры!Y$59)</f>
        <v>0</v>
      </c>
      <c r="Z743" s="185">
        <f>IF(SUM($G738:Z738)&gt;0.01,0,MAX(SUM($G737:Z737)-SUM($G735:Z735)-$B736,0))*CHOOSE($D735,1,Параметры!Z$53,Параметры!Z$59)</f>
        <v>0</v>
      </c>
      <c r="AA743" s="185">
        <f>IF(SUM($G738:AA738)&gt;0.01,0,MAX(SUM($G737:AA737)-SUM($G735:AA735)-$B736,0))*CHOOSE($D735,1,Параметры!AA$53,Параметры!AA$59)</f>
        <v>0</v>
      </c>
      <c r="AB743" s="185">
        <f>IF(SUM($G738:AB738)&gt;0.01,0,MAX(SUM($G737:AB737)-SUM($G735:AB735)-$B736,0))*CHOOSE($D735,1,Параметры!AB$53,Параметры!AB$59)</f>
        <v>0</v>
      </c>
      <c r="AC743" s="185">
        <f>IF(SUM($G738:AC738)&gt;0.01,0,MAX(SUM($G737:AC737)-SUM($G735:AC735)-$B736,0))*CHOOSE($D735,1,Параметры!AC$53,Параметры!AC$59)</f>
        <v>0</v>
      </c>
      <c r="AD743" s="185">
        <f>IF(SUM($G738:AD738)&gt;0.01,0,MAX(SUM($G737:AD737)-SUM($G735:AD735)-$B736,0))*CHOOSE($D735,1,Параметры!AD$53,Параметры!AD$59)</f>
        <v>0</v>
      </c>
      <c r="AE743" s="185">
        <f>IF(SUM($G738:AE738)&gt;0.01,0,MAX(SUM($G737:AE737)-SUM($G735:AE735)-$B736,0))*CHOOSE($D735,1,Параметры!AE$53,Параметры!AE$59)</f>
        <v>0</v>
      </c>
      <c r="AF743" s="185">
        <f>IF(SUM($G738:AF738)&gt;0.01,0,MAX(SUM($G737:AF737)-SUM($G735:AF735)-$B736,0))*CHOOSE($D735,1,Параметры!AF$53,Параметры!AF$59)</f>
        <v>0</v>
      </c>
      <c r="AG743" s="185">
        <f>IF(SUM($G738:AG738)&gt;0.01,0,MAX(SUM($G737:AG737)-SUM($G735:AG735)-$B736,0))*CHOOSE($D735,1,Параметры!AG$53,Параметры!AG$59)</f>
        <v>0</v>
      </c>
      <c r="AH743" s="185">
        <f>IF(SUM($G738:AH738)&gt;0.01,0,MAX(SUM($G737:AH737)-SUM($G735:AH735)-$B736,0))*CHOOSE($D735,1,Параметры!AH$53,Параметры!AH$59)</f>
        <v>0</v>
      </c>
      <c r="AI743" s="185">
        <f>IF(SUM($G738:AI738)&gt;0.01,0,MAX(SUM($G737:AI737)-SUM($G735:AI735)-$B736,0))*CHOOSE($D735,1,Параметры!AI$53,Параметры!AI$59)</f>
        <v>0</v>
      </c>
      <c r="AJ743" s="185">
        <f>IF(SUM($G738:AJ738)&gt;0.01,0,MAX(SUM($G737:AJ737)-SUM($G735:AJ735)-$B736,0))*CHOOSE($D735,1,Параметры!AJ$53,Параметры!AJ$59)</f>
        <v>0</v>
      </c>
      <c r="AK743" s="185">
        <f>IF(SUM($G738:AK738)&gt;0.01,0,MAX(SUM($G737:AK737)-SUM($G735:AK735)-$B736,0))*CHOOSE($D735,1,Параметры!AK$53,Параметры!AK$59)</f>
        <v>0</v>
      </c>
      <c r="AL743" s="185">
        <f>IF(SUM($G738:AL738)&gt;0.01,0,MAX(SUM($G737:AL737)-SUM($G735:AL735)-$B736,0))*CHOOSE($D735,1,Параметры!AL$53,Параметры!AL$59)</f>
        <v>0</v>
      </c>
      <c r="AM743" s="185">
        <f>IF(SUM($G738:AM738)&gt;0.01,0,MAX(SUM($G737:AM737)-SUM($G735:AM735)-$B736,0))*CHOOSE($D735,1,Параметры!AM$53,Параметры!AM$59)</f>
        <v>0</v>
      </c>
      <c r="AN743" s="185">
        <f>IF(SUM($G738:AN738)&gt;0.01,0,MAX(SUM($G737:AN737)-SUM($G735:AN735)-$B736,0))*CHOOSE($D735,1,Параметры!AN$53,Параметры!AN$59)</f>
        <v>0</v>
      </c>
      <c r="AO743" s="185">
        <f>IF(SUM($G738:AO738)&gt;0.01,0,MAX(SUM($G737:AO737)-SUM($G735:AO735)-$B736,0))*CHOOSE($D735,1,Параметры!AO$53,Параметры!AO$59)</f>
        <v>0</v>
      </c>
      <c r="AP743" s="185">
        <f>IF(SUM($G738:AP738)&gt;0.01,0,MAX(SUM($G737:AP737)-SUM($G735:AP735)-$B736,0))*CHOOSE($D735,1,Параметры!AP$53,Параметры!AP$59)</f>
        <v>0</v>
      </c>
      <c r="AQ743" s="185">
        <f>IF(SUM($G738:AQ738)&gt;0.01,0,MAX(SUM($G737:AQ737)-SUM($G735:AQ735)-$B736,0))*CHOOSE($D735,1,Параметры!AQ$53,Параметры!AQ$59)</f>
        <v>0</v>
      </c>
      <c r="AR743" s="185">
        <f>IF(SUM($G738:AR738)&gt;0.01,0,MAX(SUM($G737:AR737)-SUM($G735:AR735)-$B736,0))*CHOOSE($D735,1,Параметры!AR$53,Параметры!AR$59)</f>
        <v>0</v>
      </c>
      <c r="AS743" s="185">
        <f>IF(SUM($G738:AS738)&gt;0.01,0,MAX(SUM($G737:AS737)-SUM($G735:AS735)-$B736,0))*CHOOSE($D735,1,Параметры!AS$53,Параметры!AS$59)</f>
        <v>0</v>
      </c>
      <c r="AT743" s="185">
        <f>IF(SUM($G738:AT738)&gt;0.01,0,MAX(SUM($G737:AT737)-SUM($G735:AT735)-$B736,0))*CHOOSE($D735,1,Параметры!AT$53,Параметры!AT$59)</f>
        <v>0</v>
      </c>
      <c r="AU743" s="185">
        <f>IF(SUM($G738:AU738)&gt;0.01,0,MAX(SUM($G737:AU737)-SUM($G735:AU735)-$B736,0))*CHOOSE($D735,1,Параметры!AU$53,Параметры!AU$59)</f>
        <v>0</v>
      </c>
      <c r="AV743" s="185">
        <f>IF(SUM($G738:AV738)&gt;0.01,0,MAX(SUM($G737:AV737)-SUM($G735:AV735)-$B736,0))*CHOOSE($D735,1,Параметры!AV$53,Параметры!AV$59)</f>
        <v>0</v>
      </c>
      <c r="AW743" s="185">
        <f>IF(SUM($G738:AW738)&gt;0.01,0,MAX(SUM($G737:AW737)-SUM($G735:AW735)-$B736,0))*CHOOSE($D735,1,Параметры!AW$53,Параметры!AW$59)</f>
        <v>0</v>
      </c>
      <c r="AX743" s="185">
        <f>IF(SUM($G738:AX738)&gt;0.01,0,MAX(SUM($G737:AX737)-SUM($G735:AX735)-$B736,0))*CHOOSE($D735,1,Параметры!AX$53,Параметры!AX$59)</f>
        <v>0</v>
      </c>
      <c r="AY743" s="185">
        <f>IF(SUM($G738:AY738)&gt;0.01,0,MAX(SUM($G737:AY737)-SUM($G735:AY735)-$B736,0))*CHOOSE($D735,1,Параметры!AY$53,Параметры!AY$59)</f>
        <v>0</v>
      </c>
      <c r="AZ743" s="185">
        <f>IF(SUM($G738:AZ738)&gt;0.01,0,MAX(SUM($G737:AZ737)-SUM($G735:AZ735)-$B736,0))*CHOOSE($D735,1,Параметры!AZ$53,Параметры!AZ$59)</f>
        <v>0</v>
      </c>
      <c r="BA743" s="185">
        <f>IF(SUM($G738:BA738)&gt;0.01,0,MAX(SUM($G737:BA737)-SUM($G735:BA735)-$B736,0))*CHOOSE($D735,1,Параметры!BA$53,Параметры!BA$59)</f>
        <v>0</v>
      </c>
      <c r="BB743" s="185">
        <f>IF(SUM($G738:BB738)&gt;0.01,0,MAX(SUM($G737:BB737)-SUM($G735:BB735)-$B736,0))*CHOOSE($D735,1,Параметры!BB$53,Параметры!BB$59)</f>
        <v>0</v>
      </c>
      <c r="BC743" s="185"/>
      <c r="BD743" s="186"/>
    </row>
    <row r="744" spans="1:56" hidden="1" outlineLevel="1" x14ac:dyDescent="0.3">
      <c r="A744" s="184" t="str">
        <f ca="1">Language!A$870</f>
        <v>балансовая стоимость</v>
      </c>
      <c r="B744" s="170"/>
      <c r="C744" s="163" t="str">
        <f t="shared" ca="1" si="2969"/>
        <v>руб.</v>
      </c>
      <c r="D744" s="174">
        <v>1</v>
      </c>
      <c r="E744" s="170" t="s">
        <v>750</v>
      </c>
      <c r="F744" s="170" t="s">
        <v>741</v>
      </c>
      <c r="G744" s="185">
        <f>IF(SUM($G738:G738)&gt;0.01,0,SUM($G741:G741))</f>
        <v>0</v>
      </c>
      <c r="H744" s="185">
        <f>IF(SUM($G738:H738)&gt;0.01,0,SUM($G741:H741))</f>
        <v>0</v>
      </c>
      <c r="I744" s="185">
        <f>IF(SUM($G738:I738)&gt;0.01,0,SUM($G741:I741))</f>
        <v>0</v>
      </c>
      <c r="J744" s="185">
        <f>IF(SUM($G738:J738)&gt;0.01,0,SUM($G741:J741))</f>
        <v>0</v>
      </c>
      <c r="K744" s="185">
        <f>IF(SUM($G738:K738)&gt;0.01,0,SUM($G741:K741))</f>
        <v>0</v>
      </c>
      <c r="L744" s="185">
        <f>IF(SUM($G738:L738)&gt;0.01,0,SUM($G741:L741))</f>
        <v>0</v>
      </c>
      <c r="M744" s="185">
        <f>IF(SUM($G738:M738)&gt;0.01,0,SUM($G741:M741))</f>
        <v>800000</v>
      </c>
      <c r="N744" s="185">
        <f>IF(SUM($G738:N738)&gt;0.01,0,SUM($G741:N741))</f>
        <v>800000</v>
      </c>
      <c r="O744" s="185">
        <f>IF(SUM($G738:O738)&gt;0.01,0,SUM($G741:O741))</f>
        <v>800000</v>
      </c>
      <c r="P744" s="185">
        <f>IF(SUM($G738:P738)&gt;0.01,0,SUM($G741:P741))</f>
        <v>800000</v>
      </c>
      <c r="Q744" s="185">
        <f>IF(SUM($G738:Q738)&gt;0.01,0,SUM($G741:Q741))</f>
        <v>800000</v>
      </c>
      <c r="R744" s="185">
        <f>IF(SUM($G738:R738)&gt;0.01,0,SUM($G741:R741))</f>
        <v>800000</v>
      </c>
      <c r="S744" s="185">
        <f>IF(SUM($G738:S738)&gt;0.01,0,SUM($G741:S741))</f>
        <v>800000</v>
      </c>
      <c r="T744" s="185">
        <f>IF(SUM($G738:T738)&gt;0.01,0,SUM($G741:T741))</f>
        <v>800000</v>
      </c>
      <c r="U744" s="185">
        <f>IF(SUM($G738:U738)&gt;0.01,0,SUM($G741:U741))</f>
        <v>800000</v>
      </c>
      <c r="V744" s="185">
        <f>IF(SUM($G738:V738)&gt;0.01,0,SUM($G741:V741))</f>
        <v>800000</v>
      </c>
      <c r="W744" s="185">
        <f>IF(SUM($G738:W738)&gt;0.01,0,SUM($G741:W741))</f>
        <v>800000</v>
      </c>
      <c r="X744" s="185">
        <f>IF(SUM($G738:X738)&gt;0.01,0,SUM($G741:X741))</f>
        <v>800000</v>
      </c>
      <c r="Y744" s="185">
        <f>IF(SUM($G738:Y738)&gt;0.01,0,SUM($G741:Y741))</f>
        <v>800000</v>
      </c>
      <c r="Z744" s="185">
        <f>IF(SUM($G738:Z738)&gt;0.01,0,SUM($G741:Z741))</f>
        <v>800000</v>
      </c>
      <c r="AA744" s="185">
        <f>IF(SUM($G738:AA738)&gt;0.01,0,SUM($G741:AA741))</f>
        <v>800000</v>
      </c>
      <c r="AB744" s="185">
        <f>IF(SUM($G738:AB738)&gt;0.01,0,SUM($G741:AB741))</f>
        <v>800000</v>
      </c>
      <c r="AC744" s="185">
        <f>IF(SUM($G738:AC738)&gt;0.01,0,SUM($G741:AC741))</f>
        <v>800000</v>
      </c>
      <c r="AD744" s="185">
        <f>IF(SUM($G738:AD738)&gt;0.01,0,SUM($G741:AD741))</f>
        <v>800000</v>
      </c>
      <c r="AE744" s="185">
        <f>IF(SUM($G738:AE738)&gt;0.01,0,SUM($G741:AE741))</f>
        <v>800000</v>
      </c>
      <c r="AF744" s="185">
        <f>IF(SUM($G738:AF738)&gt;0.01,0,SUM($G741:AF741))</f>
        <v>800000</v>
      </c>
      <c r="AG744" s="185">
        <f>IF(SUM($G738:AG738)&gt;0.01,0,SUM($G741:AG741))</f>
        <v>800000</v>
      </c>
      <c r="AH744" s="185">
        <f>IF(SUM($G738:AH738)&gt;0.01,0,SUM($G741:AH741))</f>
        <v>800000</v>
      </c>
      <c r="AI744" s="185">
        <f>IF(SUM($G738:AI738)&gt;0.01,0,SUM($G741:AI741))</f>
        <v>800000</v>
      </c>
      <c r="AJ744" s="185">
        <f>IF(SUM($G738:AJ738)&gt;0.01,0,SUM($G741:AJ741))</f>
        <v>800000</v>
      </c>
      <c r="AK744" s="185">
        <f>IF(SUM($G738:AK738)&gt;0.01,0,SUM($G741:AK741))</f>
        <v>800000</v>
      </c>
      <c r="AL744" s="185">
        <f>IF(SUM($G738:AL738)&gt;0.01,0,SUM($G741:AL741))</f>
        <v>800000</v>
      </c>
      <c r="AM744" s="185">
        <f>IF(SUM($G738:AM738)&gt;0.01,0,SUM($G741:AM741))</f>
        <v>800000</v>
      </c>
      <c r="AN744" s="185">
        <f>IF(SUM($G738:AN738)&gt;0.01,0,SUM($G741:AN741))</f>
        <v>800000</v>
      </c>
      <c r="AO744" s="185">
        <f>IF(SUM($G738:AO738)&gt;0.01,0,SUM($G741:AO741))</f>
        <v>800000</v>
      </c>
      <c r="AP744" s="185">
        <f>IF(SUM($G738:AP738)&gt;0.01,0,SUM($G741:AP741))</f>
        <v>800000</v>
      </c>
      <c r="AQ744" s="185">
        <f>IF(SUM($G738:AQ738)&gt;0.01,0,SUM($G741:AQ741))</f>
        <v>800000</v>
      </c>
      <c r="AR744" s="185">
        <f>IF(SUM($G738:AR738)&gt;0.01,0,SUM($G741:AR741))</f>
        <v>800000</v>
      </c>
      <c r="AS744" s="185">
        <f>IF(SUM($G738:AS738)&gt;0.01,0,SUM($G741:AS741))</f>
        <v>800000</v>
      </c>
      <c r="AT744" s="185">
        <f>IF(SUM($G738:AT738)&gt;0.01,0,SUM($G741:AT741))</f>
        <v>800000</v>
      </c>
      <c r="AU744" s="185">
        <f>IF(SUM($G738:AU738)&gt;0.01,0,SUM($G741:AU741))</f>
        <v>800000</v>
      </c>
      <c r="AV744" s="185">
        <f>IF(SUM($G738:AV738)&gt;0.01,0,SUM($G741:AV741))</f>
        <v>800000</v>
      </c>
      <c r="AW744" s="185">
        <f>IF(SUM($G738:AW738)&gt;0.01,0,SUM($G741:AW741))</f>
        <v>800000</v>
      </c>
      <c r="AX744" s="185">
        <f>IF(SUM($G738:AX738)&gt;0.01,0,SUM($G741:AX741))</f>
        <v>800000</v>
      </c>
      <c r="AY744" s="185">
        <f>IF(SUM($G738:AY738)&gt;0.01,0,SUM($G741:AY741))</f>
        <v>800000</v>
      </c>
      <c r="AZ744" s="185">
        <f>IF(SUM($G738:AZ738)&gt;0.01,0,SUM($G741:AZ741))</f>
        <v>800000</v>
      </c>
      <c r="BA744" s="185">
        <f>IF(SUM($G738:BA738)&gt;0.01,0,SUM($G741:BA741))</f>
        <v>800000</v>
      </c>
      <c r="BB744" s="185">
        <f>IF(SUM($G738:BB738)&gt;0.01,0,SUM($G741:BB741))</f>
        <v>800000</v>
      </c>
      <c r="BC744" s="185"/>
      <c r="BD744" s="186"/>
    </row>
    <row r="745" spans="1:56" hidden="1" outlineLevel="1" x14ac:dyDescent="0.3">
      <c r="A745" s="184" t="str">
        <f ca="1">Language!A$871</f>
        <v>прибыль/убыток от продажи актива</v>
      </c>
      <c r="B745" s="216"/>
      <c r="C745" s="163" t="str">
        <f t="shared" ca="1" si="2969"/>
        <v>руб.</v>
      </c>
      <c r="D745" s="174">
        <v>1</v>
      </c>
      <c r="E745" s="170" t="s">
        <v>762</v>
      </c>
      <c r="F745" s="170" t="s">
        <v>740</v>
      </c>
      <c r="G745" s="185">
        <f t="shared" ref="G745" si="2970">IF(G738=0,0,G738-IF(G$2=1,G739,F742+F744))</f>
        <v>0</v>
      </c>
      <c r="H745" s="185">
        <f t="shared" ref="H745" si="2971">IF(H738=0,0,H738-IF(H$2=1,H739,G742+G744))</f>
        <v>0</v>
      </c>
      <c r="I745" s="185">
        <f t="shared" ref="I745" si="2972">IF(I738=0,0,I738-IF(I$2=1,I739,H742+H744))</f>
        <v>0</v>
      </c>
      <c r="J745" s="185">
        <f t="shared" ref="J745" si="2973">IF(J738=0,0,J738-IF(J$2=1,J739,I742+I744))</f>
        <v>0</v>
      </c>
      <c r="K745" s="185">
        <f t="shared" ref="K745" si="2974">IF(K738=0,0,K738-IF(K$2=1,K739,J742+J744))</f>
        <v>0</v>
      </c>
      <c r="L745" s="185">
        <f t="shared" ref="L745" si="2975">IF(L738=0,0,L738-IF(L$2=1,L739,K742+K744))</f>
        <v>0</v>
      </c>
      <c r="M745" s="185">
        <f t="shared" ref="M745" si="2976">IF(M738=0,0,M738-IF(M$2=1,M739,L742+L744))</f>
        <v>0</v>
      </c>
      <c r="N745" s="185">
        <f t="shared" ref="N745" si="2977">IF(N738=0,0,N738-IF(N$2=1,N739,M742+M744))</f>
        <v>0</v>
      </c>
      <c r="O745" s="185">
        <f t="shared" ref="O745" si="2978">IF(O738=0,0,O738-IF(O$2=1,O739,N742+N744))</f>
        <v>0</v>
      </c>
      <c r="P745" s="185">
        <f t="shared" ref="P745" si="2979">IF(P738=0,0,P738-IF(P$2=1,P739,O742+O744))</f>
        <v>0</v>
      </c>
      <c r="Q745" s="185">
        <f t="shared" ref="Q745" si="2980">IF(Q738=0,0,Q738-IF(Q$2=1,Q739,P742+P744))</f>
        <v>0</v>
      </c>
      <c r="R745" s="185">
        <f t="shared" ref="R745" si="2981">IF(R738=0,0,R738-IF(R$2=1,R739,Q742+Q744))</f>
        <v>0</v>
      </c>
      <c r="S745" s="185">
        <f t="shared" ref="S745" si="2982">IF(S738=0,0,S738-IF(S$2=1,S739,R742+R744))</f>
        <v>0</v>
      </c>
      <c r="T745" s="185">
        <f t="shared" ref="T745" si="2983">IF(T738=0,0,T738-IF(T$2=1,T739,S742+S744))</f>
        <v>0</v>
      </c>
      <c r="U745" s="185">
        <f t="shared" ref="U745" si="2984">IF(U738=0,0,U738-IF(U$2=1,U739,T742+T744))</f>
        <v>0</v>
      </c>
      <c r="V745" s="185">
        <f t="shared" ref="V745" si="2985">IF(V738=0,0,V738-IF(V$2=1,V739,U742+U744))</f>
        <v>0</v>
      </c>
      <c r="W745" s="185">
        <f t="shared" ref="W745" si="2986">IF(W738=0,0,W738-IF(W$2=1,W739,V742+V744))</f>
        <v>0</v>
      </c>
      <c r="X745" s="185">
        <f t="shared" ref="X745" si="2987">IF(X738=0,0,X738-IF(X$2=1,X739,W742+W744))</f>
        <v>0</v>
      </c>
      <c r="Y745" s="185">
        <f t="shared" ref="Y745" si="2988">IF(Y738=0,0,Y738-IF(Y$2=1,Y739,X742+X744))</f>
        <v>0</v>
      </c>
      <c r="Z745" s="185">
        <f t="shared" ref="Z745" si="2989">IF(Z738=0,0,Z738-IF(Z$2=1,Z739,Y742+Y744))</f>
        <v>0</v>
      </c>
      <c r="AA745" s="185">
        <f t="shared" ref="AA745" si="2990">IF(AA738=0,0,AA738-IF(AA$2=1,AA739,Z742+Z744))</f>
        <v>0</v>
      </c>
      <c r="AB745" s="185">
        <f t="shared" ref="AB745" si="2991">IF(AB738=0,0,AB738-IF(AB$2=1,AB739,AA742+AA744))</f>
        <v>0</v>
      </c>
      <c r="AC745" s="185">
        <f t="shared" ref="AC745" si="2992">IF(AC738=0,0,AC738-IF(AC$2=1,AC739,AB742+AB744))</f>
        <v>0</v>
      </c>
      <c r="AD745" s="185">
        <f t="shared" ref="AD745" si="2993">IF(AD738=0,0,AD738-IF(AD$2=1,AD739,AC742+AC744))</f>
        <v>0</v>
      </c>
      <c r="AE745" s="185">
        <f t="shared" ref="AE745" si="2994">IF(AE738=0,0,AE738-IF(AE$2=1,AE739,AD742+AD744))</f>
        <v>0</v>
      </c>
      <c r="AF745" s="185">
        <f t="shared" ref="AF745" si="2995">IF(AF738=0,0,AF738-IF(AF$2=1,AF739,AE742+AE744))</f>
        <v>0</v>
      </c>
      <c r="AG745" s="185">
        <f t="shared" ref="AG745" si="2996">IF(AG738=0,0,AG738-IF(AG$2=1,AG739,AF742+AF744))</f>
        <v>0</v>
      </c>
      <c r="AH745" s="185">
        <f t="shared" ref="AH745" si="2997">IF(AH738=0,0,AH738-IF(AH$2=1,AH739,AG742+AG744))</f>
        <v>0</v>
      </c>
      <c r="AI745" s="185">
        <f t="shared" ref="AI745" si="2998">IF(AI738=0,0,AI738-IF(AI$2=1,AI739,AH742+AH744))</f>
        <v>0</v>
      </c>
      <c r="AJ745" s="185">
        <f t="shared" ref="AJ745" si="2999">IF(AJ738=0,0,AJ738-IF(AJ$2=1,AJ739,AI742+AI744))</f>
        <v>0</v>
      </c>
      <c r="AK745" s="185">
        <f t="shared" ref="AK745" si="3000">IF(AK738=0,0,AK738-IF(AK$2=1,AK739,AJ742+AJ744))</f>
        <v>0</v>
      </c>
      <c r="AL745" s="185">
        <f t="shared" ref="AL745" si="3001">IF(AL738=0,0,AL738-IF(AL$2=1,AL739,AK742+AK744))</f>
        <v>0</v>
      </c>
      <c r="AM745" s="185">
        <f t="shared" ref="AM745" si="3002">IF(AM738=0,0,AM738-IF(AM$2=1,AM739,AL742+AL744))</f>
        <v>0</v>
      </c>
      <c r="AN745" s="185">
        <f t="shared" ref="AN745" si="3003">IF(AN738=0,0,AN738-IF(AN$2=1,AN739,AM742+AM744))</f>
        <v>0</v>
      </c>
      <c r="AO745" s="185">
        <f t="shared" ref="AO745" si="3004">IF(AO738=0,0,AO738-IF(AO$2=1,AO739,AN742+AN744))</f>
        <v>0</v>
      </c>
      <c r="AP745" s="185">
        <f t="shared" ref="AP745" si="3005">IF(AP738=0,0,AP738-IF(AP$2=1,AP739,AO742+AO744))</f>
        <v>0</v>
      </c>
      <c r="AQ745" s="185">
        <f t="shared" ref="AQ745" si="3006">IF(AQ738=0,0,AQ738-IF(AQ$2=1,AQ739,AP742+AP744))</f>
        <v>0</v>
      </c>
      <c r="AR745" s="185">
        <f t="shared" ref="AR745" si="3007">IF(AR738=0,0,AR738-IF(AR$2=1,AR739,AQ742+AQ744))</f>
        <v>0</v>
      </c>
      <c r="AS745" s="185">
        <f t="shared" ref="AS745" si="3008">IF(AS738=0,0,AS738-IF(AS$2=1,AS739,AR742+AR744))</f>
        <v>0</v>
      </c>
      <c r="AT745" s="185">
        <f t="shared" ref="AT745" si="3009">IF(AT738=0,0,AT738-IF(AT$2=1,AT739,AS742+AS744))</f>
        <v>0</v>
      </c>
      <c r="AU745" s="185">
        <f t="shared" ref="AU745" si="3010">IF(AU738=0,0,AU738-IF(AU$2=1,AU739,AT742+AT744))</f>
        <v>0</v>
      </c>
      <c r="AV745" s="185">
        <f t="shared" ref="AV745" si="3011">IF(AV738=0,0,AV738-IF(AV$2=1,AV739,AU742+AU744))</f>
        <v>0</v>
      </c>
      <c r="AW745" s="185">
        <f t="shared" ref="AW745" si="3012">IF(AW738=0,0,AW738-IF(AW$2=1,AW739,AV742+AV744))</f>
        <v>0</v>
      </c>
      <c r="AX745" s="185">
        <f t="shared" ref="AX745" si="3013">IF(AX738=0,0,AX738-IF(AX$2=1,AX739,AW742+AW744))</f>
        <v>0</v>
      </c>
      <c r="AY745" s="185">
        <f t="shared" ref="AY745" si="3014">IF(AY738=0,0,AY738-IF(AY$2=1,AY739,AX742+AX744))</f>
        <v>0</v>
      </c>
      <c r="AZ745" s="185">
        <f t="shared" ref="AZ745" si="3015">IF(AZ738=0,0,AZ738-IF(AZ$2=1,AZ739,AY742+AY744))</f>
        <v>0</v>
      </c>
      <c r="BA745" s="185">
        <f t="shared" ref="BA745" si="3016">IF(BA738=0,0,BA738-IF(BA$2=1,BA739,AZ742+AZ744))</f>
        <v>0</v>
      </c>
      <c r="BB745" s="185">
        <f t="shared" ref="BB745" si="3017">IF(BB738=0,0,BB738-IF(BB$2=1,BB739,BA742+BA744))</f>
        <v>0</v>
      </c>
      <c r="BC745" s="185"/>
      <c r="BD745" s="193">
        <f>SUM(G745:BC745)</f>
        <v>0</v>
      </c>
    </row>
    <row r="746" spans="1:56" hidden="1" outlineLevel="1" x14ac:dyDescent="0.3">
      <c r="A746" s="184" t="str">
        <f ca="1">Language!A$872</f>
        <v>курсовые разницы</v>
      </c>
      <c r="B746" s="216"/>
      <c r="C746" s="163" t="str">
        <f t="shared" ca="1" si="2969"/>
        <v>руб.</v>
      </c>
      <c r="D746" s="174">
        <v>1</v>
      </c>
      <c r="E746" s="170" t="s">
        <v>1278</v>
      </c>
      <c r="F746" s="170" t="s">
        <v>740</v>
      </c>
      <c r="G746" s="185">
        <f>-(SUM($G739:G739)+$B740-G742+G743-SUM($G741:G741)+IF(G$2=1,0,SUM($F746:F746)))</f>
        <v>0</v>
      </c>
      <c r="H746" s="185">
        <f>-(SUM($G739:H739)+$B740-H742+H743-SUM($G741:H741)+IF(H$2=1,0,SUM($F746:G746)))</f>
        <v>0</v>
      </c>
      <c r="I746" s="185">
        <f>-(SUM($G739:I739)+$B740-I742+I743-SUM($G741:I741)+IF(I$2=1,0,SUM($F746:H746)))</f>
        <v>0</v>
      </c>
      <c r="J746" s="185">
        <f>-(SUM($G739:J739)+$B740-J742+J743-SUM($G741:J741)+IF(J$2=1,0,SUM($F746:I746)))</f>
        <v>0</v>
      </c>
      <c r="K746" s="185">
        <f>-(SUM($G739:K739)+$B740-K742+K743-SUM($G741:K741)+IF(K$2=1,0,SUM($F746:J746)))</f>
        <v>0</v>
      </c>
      <c r="L746" s="185">
        <f>-(SUM($G739:L739)+$B740-L742+L743-SUM($G741:L741)+IF(L$2=1,0,SUM($F746:K746)))</f>
        <v>0</v>
      </c>
      <c r="M746" s="185">
        <f>-(SUM($G739:M739)+$B740-M742+M743-SUM($G741:M741)+IF(M$2=1,0,SUM($F746:L746)))</f>
        <v>0</v>
      </c>
      <c r="N746" s="185">
        <f>-(SUM($G739:N739)+$B740-N742+N743-SUM($G741:N741)+IF(N$2=1,0,SUM($F746:M746)))</f>
        <v>0</v>
      </c>
      <c r="O746" s="185">
        <f>-(SUM($G739:O739)+$B740-O742+O743-SUM($G741:O741)+IF(O$2=1,0,SUM($F746:N746)))</f>
        <v>0</v>
      </c>
      <c r="P746" s="185">
        <f>-(SUM($G739:P739)+$B740-P742+P743-SUM($G741:P741)+IF(P$2=1,0,SUM($F746:O746)))</f>
        <v>0</v>
      </c>
      <c r="Q746" s="185">
        <f>-(SUM($G739:Q739)+$B740-Q742+Q743-SUM($G741:Q741)+IF(Q$2=1,0,SUM($F746:P746)))</f>
        <v>0</v>
      </c>
      <c r="R746" s="185">
        <f>-(SUM($G739:R739)+$B740-R742+R743-SUM($G741:R741)+IF(R$2=1,0,SUM($F746:Q746)))</f>
        <v>0</v>
      </c>
      <c r="S746" s="185">
        <f>-(SUM($G739:S739)+$B740-S742+S743-SUM($G741:S741)+IF(S$2=1,0,SUM($F746:R746)))</f>
        <v>0</v>
      </c>
      <c r="T746" s="185">
        <f>-(SUM($G739:T739)+$B740-T742+T743-SUM($G741:T741)+IF(T$2=1,0,SUM($F746:S746)))</f>
        <v>0</v>
      </c>
      <c r="U746" s="185">
        <f>-(SUM($G739:U739)+$B740-U742+U743-SUM($G741:U741)+IF(U$2=1,0,SUM($F746:T746)))</f>
        <v>0</v>
      </c>
      <c r="V746" s="185">
        <f>-(SUM($G739:V739)+$B740-V742+V743-SUM($G741:V741)+IF(V$2=1,0,SUM($F746:U746)))</f>
        <v>0</v>
      </c>
      <c r="W746" s="185">
        <f>-(SUM($G739:W739)+$B740-W742+W743-SUM($G741:W741)+IF(W$2=1,0,SUM($F746:V746)))</f>
        <v>0</v>
      </c>
      <c r="X746" s="185">
        <f>-(SUM($G739:X739)+$B740-X742+X743-SUM($G741:X741)+IF(X$2=1,0,SUM($F746:W746)))</f>
        <v>0</v>
      </c>
      <c r="Y746" s="185">
        <f>-(SUM($G739:Y739)+$B740-Y742+Y743-SUM($G741:Y741)+IF(Y$2=1,0,SUM($F746:X746)))</f>
        <v>0</v>
      </c>
      <c r="Z746" s="185">
        <f>-(SUM($G739:Z739)+$B740-Z742+Z743-SUM($G741:Z741)+IF(Z$2=1,0,SUM($F746:Y746)))</f>
        <v>0</v>
      </c>
      <c r="AA746" s="185">
        <f>-(SUM($G739:AA739)+$B740-AA742+AA743-SUM($G741:AA741)+IF(AA$2=1,0,SUM($F746:Z746)))</f>
        <v>0</v>
      </c>
      <c r="AB746" s="185">
        <f>-(SUM($G739:AB739)+$B740-AB742+AB743-SUM($G741:AB741)+IF(AB$2=1,0,SUM($F746:AA746)))</f>
        <v>0</v>
      </c>
      <c r="AC746" s="185">
        <f>-(SUM($G739:AC739)+$B740-AC742+AC743-SUM($G741:AC741)+IF(AC$2=1,0,SUM($F746:AB746)))</f>
        <v>0</v>
      </c>
      <c r="AD746" s="185">
        <f>-(SUM($G739:AD739)+$B740-AD742+AD743-SUM($G741:AD741)+IF(AD$2=1,0,SUM($F746:AC746)))</f>
        <v>0</v>
      </c>
      <c r="AE746" s="185">
        <f>-(SUM($G739:AE739)+$B740-AE742+AE743-SUM($G741:AE741)+IF(AE$2=1,0,SUM($F746:AD746)))</f>
        <v>0</v>
      </c>
      <c r="AF746" s="185">
        <f>-(SUM($G739:AF739)+$B740-AF742+AF743-SUM($G741:AF741)+IF(AF$2=1,0,SUM($F746:AE746)))</f>
        <v>0</v>
      </c>
      <c r="AG746" s="185">
        <f>-(SUM($G739:AG739)+$B740-AG742+AG743-SUM($G741:AG741)+IF(AG$2=1,0,SUM($F746:AF746)))</f>
        <v>0</v>
      </c>
      <c r="AH746" s="185">
        <f>-(SUM($G739:AH739)+$B740-AH742+AH743-SUM($G741:AH741)+IF(AH$2=1,0,SUM($F746:AG746)))</f>
        <v>0</v>
      </c>
      <c r="AI746" s="185">
        <f>-(SUM($G739:AI739)+$B740-AI742+AI743-SUM($G741:AI741)+IF(AI$2=1,0,SUM($F746:AH746)))</f>
        <v>0</v>
      </c>
      <c r="AJ746" s="185">
        <f>-(SUM($G739:AJ739)+$B740-AJ742+AJ743-SUM($G741:AJ741)+IF(AJ$2=1,0,SUM($F746:AI746)))</f>
        <v>0</v>
      </c>
      <c r="AK746" s="185">
        <f>-(SUM($G739:AK739)+$B740-AK742+AK743-SUM($G741:AK741)+IF(AK$2=1,0,SUM($F746:AJ746)))</f>
        <v>0</v>
      </c>
      <c r="AL746" s="185">
        <f>-(SUM($G739:AL739)+$B740-AL742+AL743-SUM($G741:AL741)+IF(AL$2=1,0,SUM($F746:AK746)))</f>
        <v>0</v>
      </c>
      <c r="AM746" s="185">
        <f>-(SUM($G739:AM739)+$B740-AM742+AM743-SUM($G741:AM741)+IF(AM$2=1,0,SUM($F746:AL746)))</f>
        <v>0</v>
      </c>
      <c r="AN746" s="185">
        <f>-(SUM($G739:AN739)+$B740-AN742+AN743-SUM($G741:AN741)+IF(AN$2=1,0,SUM($F746:AM746)))</f>
        <v>0</v>
      </c>
      <c r="AO746" s="185">
        <f>-(SUM($G739:AO739)+$B740-AO742+AO743-SUM($G741:AO741)+IF(AO$2=1,0,SUM($F746:AN746)))</f>
        <v>0</v>
      </c>
      <c r="AP746" s="185">
        <f>-(SUM($G739:AP739)+$B740-AP742+AP743-SUM($G741:AP741)+IF(AP$2=1,0,SUM($F746:AO746)))</f>
        <v>0</v>
      </c>
      <c r="AQ746" s="185">
        <f>-(SUM($G739:AQ739)+$B740-AQ742+AQ743-SUM($G741:AQ741)+IF(AQ$2=1,0,SUM($F746:AP746)))</f>
        <v>0</v>
      </c>
      <c r="AR746" s="185">
        <f>-(SUM($G739:AR739)+$B740-AR742+AR743-SUM($G741:AR741)+IF(AR$2=1,0,SUM($F746:AQ746)))</f>
        <v>0</v>
      </c>
      <c r="AS746" s="185">
        <f>-(SUM($G739:AS739)+$B740-AS742+AS743-SUM($G741:AS741)+IF(AS$2=1,0,SUM($F746:AR746)))</f>
        <v>0</v>
      </c>
      <c r="AT746" s="185">
        <f>-(SUM($G739:AT739)+$B740-AT742+AT743-SUM($G741:AT741)+IF(AT$2=1,0,SUM($F746:AS746)))</f>
        <v>0</v>
      </c>
      <c r="AU746" s="185">
        <f>-(SUM($G739:AU739)+$B740-AU742+AU743-SUM($G741:AU741)+IF(AU$2=1,0,SUM($F746:AT746)))</f>
        <v>0</v>
      </c>
      <c r="AV746" s="185">
        <f>-(SUM($G739:AV739)+$B740-AV742+AV743-SUM($G741:AV741)+IF(AV$2=1,0,SUM($F746:AU746)))</f>
        <v>0</v>
      </c>
      <c r="AW746" s="185">
        <f>-(SUM($G739:AW739)+$B740-AW742+AW743-SUM($G741:AW741)+IF(AW$2=1,0,SUM($F746:AV746)))</f>
        <v>0</v>
      </c>
      <c r="AX746" s="185">
        <f>-(SUM($G739:AX739)+$B740-AX742+AX743-SUM($G741:AX741)+IF(AX$2=1,0,SUM($F746:AW746)))</f>
        <v>0</v>
      </c>
      <c r="AY746" s="185">
        <f>-(SUM($G739:AY739)+$B740-AY742+AY743-SUM($G741:AY741)+IF(AY$2=1,0,SUM($F746:AX746)))</f>
        <v>0</v>
      </c>
      <c r="AZ746" s="185">
        <f>-(SUM($G739:AZ739)+$B740-AZ742+AZ743-SUM($G741:AZ741)+IF(AZ$2=1,0,SUM($F746:AY746)))</f>
        <v>0</v>
      </c>
      <c r="BA746" s="185">
        <f>-(SUM($G739:BA739)+$B740-BA742+BA743-SUM($G741:BA741)+IF(BA$2=1,0,SUM($F746:AZ746)))</f>
        <v>0</v>
      </c>
      <c r="BB746" s="185">
        <f>-(SUM($G739:BB739)+$B740-BB742+BB743-SUM($G741:BB741)+IF(BB$2=1,0,SUM($F746:BA746)))</f>
        <v>0</v>
      </c>
      <c r="BC746" s="185"/>
      <c r="BD746" s="193">
        <f>SUM(G746:BC746)</f>
        <v>0</v>
      </c>
    </row>
    <row r="748" spans="1:56" x14ac:dyDescent="0.3">
      <c r="A748" s="207" t="str">
        <f ca="1">Language!A$946</f>
        <v>Здания и сооружения</v>
      </c>
      <c r="B748" s="196"/>
      <c r="C748" s="196"/>
      <c r="D748" s="197"/>
      <c r="E748" s="197" t="s">
        <v>716</v>
      </c>
      <c r="F748" s="197" t="s">
        <v>3504</v>
      </c>
      <c r="G748" s="196"/>
      <c r="H748" s="196"/>
      <c r="I748" s="196"/>
      <c r="J748" s="196"/>
      <c r="K748" s="196"/>
      <c r="L748" s="196"/>
      <c r="M748" s="196"/>
      <c r="N748" s="196"/>
      <c r="O748" s="196"/>
      <c r="P748" s="196"/>
      <c r="Q748" s="196"/>
      <c r="R748" s="196"/>
      <c r="S748" s="196"/>
      <c r="T748" s="196"/>
      <c r="U748" s="196"/>
      <c r="V748" s="196"/>
      <c r="W748" s="196"/>
      <c r="X748" s="196"/>
      <c r="Y748" s="196"/>
      <c r="Z748" s="196"/>
      <c r="AA748" s="196"/>
      <c r="AB748" s="196"/>
      <c r="AC748" s="196"/>
      <c r="AD748" s="196"/>
      <c r="AE748" s="196"/>
      <c r="AF748" s="196"/>
      <c r="AG748" s="196"/>
      <c r="AH748" s="196"/>
      <c r="AI748" s="196"/>
      <c r="AJ748" s="196"/>
      <c r="AK748" s="196"/>
      <c r="AL748" s="196"/>
      <c r="AM748" s="196"/>
      <c r="AN748" s="196"/>
      <c r="AO748" s="196"/>
      <c r="AP748" s="196"/>
      <c r="AQ748" s="196"/>
      <c r="AR748" s="196"/>
      <c r="AS748" s="196"/>
      <c r="AT748" s="196"/>
      <c r="AU748" s="196"/>
      <c r="AV748" s="196"/>
      <c r="AW748" s="196"/>
      <c r="AX748" s="196"/>
      <c r="AY748" s="196"/>
      <c r="AZ748" s="196"/>
      <c r="BA748" s="196"/>
      <c r="BB748" s="196"/>
      <c r="BC748" s="196"/>
      <c r="BD748" s="204"/>
    </row>
    <row r="749" spans="1:56" x14ac:dyDescent="0.3">
      <c r="A749" s="244"/>
    </row>
    <row r="750" spans="1:56" x14ac:dyDescent="0.3">
      <c r="A750" s="283" t="s">
        <v>3491</v>
      </c>
      <c r="C750" s="176"/>
      <c r="D750" s="174">
        <v>1</v>
      </c>
      <c r="F750" s="170" t="s">
        <v>3492</v>
      </c>
    </row>
    <row r="751" spans="1:56" collapsed="1" x14ac:dyDescent="0.3">
      <c r="A751" s="175" t="str">
        <f ca="1">Language!A$874</f>
        <v>график оплаты, без НДС</v>
      </c>
      <c r="B751" s="199">
        <f>BD751</f>
        <v>50000000</v>
      </c>
      <c r="C751" s="176" t="str">
        <f t="shared" ref="C751:C753" ca="1" si="3018">CHOOSE(D751,CurName1,CurName2,CurName3)</f>
        <v>руб.</v>
      </c>
      <c r="D751" s="174">
        <f>D750</f>
        <v>1</v>
      </c>
      <c r="F751" s="170" t="s">
        <v>740</v>
      </c>
      <c r="G751" s="297">
        <v>0</v>
      </c>
      <c r="H751" s="297">
        <v>0</v>
      </c>
      <c r="I751" s="297">
        <v>50000000</v>
      </c>
      <c r="J751" s="297">
        <v>0</v>
      </c>
      <c r="K751" s="297">
        <v>0</v>
      </c>
      <c r="L751" s="297">
        <v>0</v>
      </c>
      <c r="M751" s="297">
        <v>0</v>
      </c>
      <c r="N751" s="297">
        <v>0</v>
      </c>
      <c r="O751" s="297">
        <v>0</v>
      </c>
      <c r="P751" s="297">
        <v>0</v>
      </c>
      <c r="Q751" s="297">
        <v>0</v>
      </c>
      <c r="R751" s="297">
        <v>0</v>
      </c>
      <c r="S751" s="297">
        <v>0</v>
      </c>
      <c r="T751" s="297">
        <v>0</v>
      </c>
      <c r="U751" s="297">
        <v>0</v>
      </c>
      <c r="V751" s="297">
        <v>0</v>
      </c>
      <c r="W751" s="297">
        <v>0</v>
      </c>
      <c r="X751" s="297">
        <v>0</v>
      </c>
      <c r="Y751" s="297">
        <v>0</v>
      </c>
      <c r="Z751" s="297">
        <v>0</v>
      </c>
      <c r="AA751" s="297">
        <v>0</v>
      </c>
      <c r="AB751" s="297">
        <v>0</v>
      </c>
      <c r="AC751" s="297">
        <v>0</v>
      </c>
      <c r="AD751" s="297">
        <v>0</v>
      </c>
      <c r="AE751" s="297">
        <v>0</v>
      </c>
      <c r="AF751" s="297">
        <v>0</v>
      </c>
      <c r="AG751" s="297">
        <v>0</v>
      </c>
      <c r="AH751" s="297">
        <v>0</v>
      </c>
      <c r="AI751" s="297">
        <v>0</v>
      </c>
      <c r="AJ751" s="297">
        <v>0</v>
      </c>
      <c r="AK751" s="297">
        <v>0</v>
      </c>
      <c r="AL751" s="297">
        <v>0</v>
      </c>
      <c r="AM751" s="297">
        <v>0</v>
      </c>
      <c r="AN751" s="297">
        <v>0</v>
      </c>
      <c r="AO751" s="297">
        <v>0</v>
      </c>
      <c r="AP751" s="297">
        <v>0</v>
      </c>
      <c r="AQ751" s="297">
        <v>0</v>
      </c>
      <c r="AR751" s="297">
        <v>0</v>
      </c>
      <c r="AS751" s="297">
        <v>0</v>
      </c>
      <c r="AT751" s="297">
        <v>0</v>
      </c>
      <c r="AU751" s="297">
        <v>0</v>
      </c>
      <c r="AV751" s="297">
        <v>0</v>
      </c>
      <c r="AW751" s="297">
        <v>0</v>
      </c>
      <c r="AX751" s="297">
        <v>0</v>
      </c>
      <c r="AY751" s="297">
        <v>0</v>
      </c>
      <c r="AZ751" s="297">
        <v>0</v>
      </c>
      <c r="BA751" s="297">
        <v>0</v>
      </c>
      <c r="BB751" s="297">
        <v>0</v>
      </c>
      <c r="BC751" s="177"/>
      <c r="BD751" s="178">
        <f>SUM(G751:BC751)</f>
        <v>50000000</v>
      </c>
    </row>
    <row r="752" spans="1:56" hidden="1" outlineLevel="1" x14ac:dyDescent="0.3">
      <c r="A752" s="175" t="str">
        <f ca="1">Language!A$875</f>
        <v>ранее осуществленные инвестиции, без НДС</v>
      </c>
      <c r="B752" s="295">
        <v>0</v>
      </c>
      <c r="C752" s="176" t="str">
        <f t="shared" ca="1" si="3018"/>
        <v>руб.</v>
      </c>
      <c r="D752" s="174">
        <f>D750</f>
        <v>1</v>
      </c>
    </row>
    <row r="753" spans="1:56" hidden="1" outlineLevel="1" x14ac:dyDescent="0.3">
      <c r="A753" s="175" t="str">
        <f ca="1">Language!A$876</f>
        <v>график ввода в эксплуатацию, без НДС</v>
      </c>
      <c r="B753" s="176"/>
      <c r="C753" s="176" t="str">
        <f t="shared" ca="1" si="3018"/>
        <v>руб.</v>
      </c>
      <c r="D753" s="174">
        <f>D750</f>
        <v>1</v>
      </c>
      <c r="F753" s="170" t="s">
        <v>740</v>
      </c>
      <c r="G753" s="297">
        <f>IF(G$2&gt;=ROUNDUP(Параметры!$B$18,0)+1,MAX(0,$BD751+$B752-SUM($F753:F753)),0)</f>
        <v>0</v>
      </c>
      <c r="H753" s="297">
        <f>IF(H$2&gt;=ROUNDUP(Параметры!$B$18,0)+1,MAX(0,$BD751+$B752-SUM($F753:G753)),0)</f>
        <v>0</v>
      </c>
      <c r="I753" s="297">
        <f>IF(I$2&gt;=ROUNDUP(Параметры!$B$18,0)+1,MAX(0,$BD751+$B752-SUM($F753:H753)),0)</f>
        <v>0</v>
      </c>
      <c r="J753" s="297">
        <f>IF(J$2&gt;=ROUNDUP(Параметры!$B$18,0)+1,MAX(0,$BD751+$B752-SUM($F753:I753)),0)</f>
        <v>0</v>
      </c>
      <c r="K753" s="297">
        <f>IF(K$2&gt;=ROUNDUP(Параметры!$B$18,0)+1,MAX(0,$BD751+$B752-SUM($F753:J753)),0)</f>
        <v>0</v>
      </c>
      <c r="L753" s="297">
        <f>IF(L$2&gt;=ROUNDUP(Параметры!$B$18,0)+1,MAX(0,$BD751+$B752-SUM($F753:K753)),0)</f>
        <v>0</v>
      </c>
      <c r="M753" s="297">
        <f>IF(M$2&gt;=ROUNDUP(Параметры!$B$18,0)+1,MAX(0,$BD751+$B752-SUM($F753:L753)),0)</f>
        <v>50000000</v>
      </c>
      <c r="N753" s="297">
        <f>IF(N$2&gt;=ROUNDUP(Параметры!$B$18,0)+1,MAX(0,$BD751+$B752-SUM($F753:M753)),0)</f>
        <v>0</v>
      </c>
      <c r="O753" s="297">
        <f>IF(O$2&gt;=ROUNDUP(Параметры!$B$18,0)+1,MAX(0,$BD751+$B752-SUM($F753:N753)),0)</f>
        <v>0</v>
      </c>
      <c r="P753" s="297">
        <f>IF(P$2&gt;=ROUNDUP(Параметры!$B$18,0)+1,MAX(0,$BD751+$B752-SUM($F753:O753)),0)</f>
        <v>0</v>
      </c>
      <c r="Q753" s="297">
        <f>IF(Q$2&gt;=ROUNDUP(Параметры!$B$18,0)+1,MAX(0,$BD751+$B752-SUM($F753:P753)),0)</f>
        <v>0</v>
      </c>
      <c r="R753" s="297">
        <f>IF(R$2&gt;=ROUNDUP(Параметры!$B$18,0)+1,MAX(0,$BD751+$B752-SUM($F753:Q753)),0)</f>
        <v>0</v>
      </c>
      <c r="S753" s="297">
        <f>IF(S$2&gt;=ROUNDUP(Параметры!$B$18,0)+1,MAX(0,$BD751+$B752-SUM($F753:R753)),0)</f>
        <v>0</v>
      </c>
      <c r="T753" s="297">
        <f>IF(T$2&gt;=ROUNDUP(Параметры!$B$18,0)+1,MAX(0,$BD751+$B752-SUM($F753:S753)),0)</f>
        <v>0</v>
      </c>
      <c r="U753" s="297">
        <f>IF(U$2&gt;=ROUNDUP(Параметры!$B$18,0)+1,MAX(0,$BD751+$B752-SUM($F753:T753)),0)</f>
        <v>0</v>
      </c>
      <c r="V753" s="297">
        <f>IF(V$2&gt;=ROUNDUP(Параметры!$B$18,0)+1,MAX(0,$BD751+$B752-SUM($F753:U753)),0)</f>
        <v>0</v>
      </c>
      <c r="W753" s="297">
        <f>IF(W$2&gt;=ROUNDUP(Параметры!$B$18,0)+1,MAX(0,$BD751+$B752-SUM($F753:V753)),0)</f>
        <v>0</v>
      </c>
      <c r="X753" s="297">
        <f>IF(X$2&gt;=ROUNDUP(Параметры!$B$18,0)+1,MAX(0,$BD751+$B752-SUM($F753:W753)),0)</f>
        <v>0</v>
      </c>
      <c r="Y753" s="297">
        <f>IF(Y$2&gt;=ROUNDUP(Параметры!$B$18,0)+1,MAX(0,$BD751+$B752-SUM($F753:X753)),0)</f>
        <v>0</v>
      </c>
      <c r="Z753" s="297">
        <f>IF(Z$2&gt;=ROUNDUP(Параметры!$B$18,0)+1,MAX(0,$BD751+$B752-SUM($F753:Y753)),0)</f>
        <v>0</v>
      </c>
      <c r="AA753" s="297">
        <f>IF(AA$2&gt;=ROUNDUP(Параметры!$B$18,0)+1,MAX(0,$BD751+$B752-SUM($F753:Z753)),0)</f>
        <v>0</v>
      </c>
      <c r="AB753" s="297">
        <f>IF(AB$2&gt;=ROUNDUP(Параметры!$B$18,0)+1,MAX(0,$BD751+$B752-SUM($F753:AA753)),0)</f>
        <v>0</v>
      </c>
      <c r="AC753" s="297">
        <f>IF(AC$2&gt;=ROUNDUP(Параметры!$B$18,0)+1,MAX(0,$BD751+$B752-SUM($F753:AB753)),0)</f>
        <v>0</v>
      </c>
      <c r="AD753" s="297">
        <f>IF(AD$2&gt;=ROUNDUP(Параметры!$B$18,0)+1,MAX(0,$BD751+$B752-SUM($F753:AC753)),0)</f>
        <v>0</v>
      </c>
      <c r="AE753" s="297">
        <f>IF(AE$2&gt;=ROUNDUP(Параметры!$B$18,0)+1,MAX(0,$BD751+$B752-SUM($F753:AD753)),0)</f>
        <v>0</v>
      </c>
      <c r="AF753" s="297">
        <f>IF(AF$2&gt;=ROUNDUP(Параметры!$B$18,0)+1,MAX(0,$BD751+$B752-SUM($F753:AE753)),0)</f>
        <v>0</v>
      </c>
      <c r="AG753" s="297">
        <f>IF(AG$2&gt;=ROUNDUP(Параметры!$B$18,0)+1,MAX(0,$BD751+$B752-SUM($F753:AF753)),0)</f>
        <v>0</v>
      </c>
      <c r="AH753" s="297">
        <f>IF(AH$2&gt;=ROUNDUP(Параметры!$B$18,0)+1,MAX(0,$BD751+$B752-SUM($F753:AG753)),0)</f>
        <v>0</v>
      </c>
      <c r="AI753" s="297">
        <f>IF(AI$2&gt;=ROUNDUP(Параметры!$B$18,0)+1,MAX(0,$BD751+$B752-SUM($F753:AH753)),0)</f>
        <v>0</v>
      </c>
      <c r="AJ753" s="297">
        <f>IF(AJ$2&gt;=ROUNDUP(Параметры!$B$18,0)+1,MAX(0,$BD751+$B752-SUM($F753:AI753)),0)</f>
        <v>0</v>
      </c>
      <c r="AK753" s="297">
        <f>IF(AK$2&gt;=ROUNDUP(Параметры!$B$18,0)+1,MAX(0,$BD751+$B752-SUM($F753:AJ753)),0)</f>
        <v>0</v>
      </c>
      <c r="AL753" s="297">
        <f>IF(AL$2&gt;=ROUNDUP(Параметры!$B$18,0)+1,MAX(0,$BD751+$B752-SUM($F753:AK753)),0)</f>
        <v>0</v>
      </c>
      <c r="AM753" s="297">
        <f>IF(AM$2&gt;=ROUNDUP(Параметры!$B$18,0)+1,MAX(0,$BD751+$B752-SUM($F753:AL753)),0)</f>
        <v>0</v>
      </c>
      <c r="AN753" s="297">
        <f>IF(AN$2&gt;=ROUNDUP(Параметры!$B$18,0)+1,MAX(0,$BD751+$B752-SUM($F753:AM753)),0)</f>
        <v>0</v>
      </c>
      <c r="AO753" s="297">
        <f>IF(AO$2&gt;=ROUNDUP(Параметры!$B$18,0)+1,MAX(0,$BD751+$B752-SUM($F753:AN753)),0)</f>
        <v>0</v>
      </c>
      <c r="AP753" s="297">
        <f>IF(AP$2&gt;=ROUNDUP(Параметры!$B$18,0)+1,MAX(0,$BD751+$B752-SUM($F753:AO753)),0)</f>
        <v>0</v>
      </c>
      <c r="AQ753" s="297">
        <f>IF(AQ$2&gt;=ROUNDUP(Параметры!$B$18,0)+1,MAX(0,$BD751+$B752-SUM($F753:AP753)),0)</f>
        <v>0</v>
      </c>
      <c r="AR753" s="297">
        <f>IF(AR$2&gt;=ROUNDUP(Параметры!$B$18,0)+1,MAX(0,$BD751+$B752-SUM($F753:AQ753)),0)</f>
        <v>0</v>
      </c>
      <c r="AS753" s="297">
        <f>IF(AS$2&gt;=ROUNDUP(Параметры!$B$18,0)+1,MAX(0,$BD751+$B752-SUM($F753:AR753)),0)</f>
        <v>0</v>
      </c>
      <c r="AT753" s="297">
        <f>IF(AT$2&gt;=ROUNDUP(Параметры!$B$18,0)+1,MAX(0,$BD751+$B752-SUM($F753:AS753)),0)</f>
        <v>0</v>
      </c>
      <c r="AU753" s="297">
        <f>IF(AU$2&gt;=ROUNDUP(Параметры!$B$18,0)+1,MAX(0,$BD751+$B752-SUM($F753:AT753)),0)</f>
        <v>0</v>
      </c>
      <c r="AV753" s="297">
        <f>IF(AV$2&gt;=ROUNDUP(Параметры!$B$18,0)+1,MAX(0,$BD751+$B752-SUM($F753:AU753)),0)</f>
        <v>0</v>
      </c>
      <c r="AW753" s="297">
        <f>IF(AW$2&gt;=ROUNDUP(Параметры!$B$18,0)+1,MAX(0,$BD751+$B752-SUM($F753:AV753)),0)</f>
        <v>0</v>
      </c>
      <c r="AX753" s="297">
        <f>IF(AX$2&gt;=ROUNDUP(Параметры!$B$18,0)+1,MAX(0,$BD751+$B752-SUM($F753:AW753)),0)</f>
        <v>0</v>
      </c>
      <c r="AY753" s="297">
        <f>IF(AY$2&gt;=ROUNDUP(Параметры!$B$18,0)+1,MAX(0,$BD751+$B752-SUM($F753:AX753)),0)</f>
        <v>0</v>
      </c>
      <c r="AZ753" s="297">
        <f>IF(AZ$2&gt;=ROUNDUP(Параметры!$B$18,0)+1,MAX(0,$BD751+$B752-SUM($F753:AY753)),0)</f>
        <v>0</v>
      </c>
      <c r="BA753" s="297">
        <f>IF(BA$2&gt;=ROUNDUP(Параметры!$B$18,0)+1,MAX(0,$BD751+$B752-SUM($F753:AZ753)),0)</f>
        <v>0</v>
      </c>
      <c r="BB753" s="297">
        <f>IF(BB$2&gt;=ROUNDUP(Параметры!$B$18,0)+1,MAX(0,$BD751+$B752-SUM($F753:BA753)),0)</f>
        <v>0</v>
      </c>
      <c r="BC753" s="177"/>
      <c r="BD753" s="178">
        <f>SUM(G753:BC753)</f>
        <v>50000000</v>
      </c>
    </row>
    <row r="754" spans="1:56" hidden="1" outlineLevel="1" x14ac:dyDescent="0.3">
      <c r="A754" s="175" t="str">
        <f ca="1">Language!A$877</f>
        <v xml:space="preserve">срок полезного использования </v>
      </c>
      <c r="B754" s="295">
        <v>30</v>
      </c>
      <c r="C754" s="176" t="str">
        <f ca="1">Language!A$48</f>
        <v>лет</v>
      </c>
      <c r="D754" s="174">
        <v>1</v>
      </c>
      <c r="G754" s="177"/>
      <c r="H754" s="177"/>
      <c r="I754" s="177"/>
      <c r="J754" s="177"/>
      <c r="K754" s="177"/>
      <c r="L754" s="177"/>
      <c r="M754" s="177"/>
      <c r="N754" s="177"/>
      <c r="O754" s="177"/>
      <c r="P754" s="177"/>
      <c r="Q754" s="177"/>
      <c r="R754" s="177"/>
      <c r="S754" s="177"/>
      <c r="T754" s="177"/>
      <c r="U754" s="177"/>
      <c r="V754" s="177"/>
      <c r="W754" s="177"/>
      <c r="X754" s="177"/>
      <c r="Y754" s="177"/>
      <c r="Z754" s="177"/>
      <c r="AA754" s="177"/>
      <c r="AB754" s="177"/>
      <c r="AC754" s="177"/>
      <c r="AD754" s="177"/>
      <c r="AE754" s="177"/>
      <c r="AF754" s="177"/>
      <c r="AG754" s="177"/>
      <c r="AH754" s="177"/>
      <c r="AI754" s="177"/>
      <c r="AJ754" s="177"/>
      <c r="AK754" s="177"/>
      <c r="AL754" s="177"/>
      <c r="AM754" s="177"/>
      <c r="AN754" s="177"/>
      <c r="AO754" s="177"/>
      <c r="AP754" s="177"/>
      <c r="AQ754" s="177"/>
      <c r="AR754" s="177"/>
      <c r="AS754" s="177"/>
      <c r="AT754" s="177"/>
      <c r="AU754" s="177"/>
      <c r="AV754" s="177"/>
      <c r="AW754" s="177"/>
      <c r="AX754" s="177"/>
      <c r="AY754" s="177"/>
      <c r="AZ754" s="177"/>
      <c r="BA754" s="177"/>
      <c r="BB754" s="177"/>
      <c r="BC754" s="177"/>
      <c r="BD754" s="178"/>
    </row>
    <row r="755" spans="1:56" s="170" customFormat="1" hidden="1" outlineLevel="1" x14ac:dyDescent="0.3">
      <c r="A755" s="184" t="str">
        <f ca="1">Language!A$878</f>
        <v>амортизационная премия для налоговой амортизации</v>
      </c>
      <c r="B755" s="298">
        <v>0</v>
      </c>
      <c r="C755" s="163" t="s">
        <v>1</v>
      </c>
      <c r="D755" s="174">
        <v>1</v>
      </c>
      <c r="F755" s="170" t="s">
        <v>2347</v>
      </c>
      <c r="G755" s="185"/>
      <c r="H755" s="185"/>
      <c r="I755" s="185"/>
      <c r="J755" s="185"/>
      <c r="K755" s="185"/>
      <c r="L755" s="185"/>
      <c r="M755" s="185"/>
      <c r="N755" s="185"/>
      <c r="O755" s="185"/>
      <c r="P755" s="185"/>
      <c r="Q755" s="185"/>
      <c r="R755" s="185"/>
      <c r="S755" s="185"/>
      <c r="T755" s="185"/>
      <c r="U755" s="185"/>
      <c r="V755" s="185"/>
      <c r="W755" s="185"/>
      <c r="X755" s="185"/>
      <c r="Y755" s="185"/>
      <c r="Z755" s="185"/>
      <c r="AA755" s="185"/>
      <c r="AB755" s="185"/>
      <c r="AC755" s="185"/>
      <c r="AD755" s="185"/>
      <c r="AE755" s="185"/>
      <c r="AF755" s="185"/>
      <c r="AG755" s="185"/>
      <c r="AH755" s="185"/>
      <c r="AI755" s="185"/>
      <c r="AJ755" s="185"/>
      <c r="AK755" s="185"/>
      <c r="AL755" s="185"/>
      <c r="AM755" s="185"/>
      <c r="AN755" s="185"/>
      <c r="AO755" s="185"/>
      <c r="AP755" s="185"/>
      <c r="AQ755" s="185"/>
      <c r="AR755" s="185"/>
      <c r="AS755" s="185"/>
      <c r="AT755" s="185"/>
      <c r="AU755" s="185"/>
      <c r="AV755" s="185"/>
      <c r="AW755" s="185"/>
      <c r="AX755" s="185"/>
      <c r="AY755" s="185"/>
      <c r="AZ755" s="185"/>
      <c r="BA755" s="185"/>
      <c r="BB755" s="185"/>
      <c r="BC755" s="185"/>
      <c r="BD755" s="193"/>
    </row>
    <row r="756" spans="1:56" s="170" customFormat="1" hidden="1" outlineLevel="1" x14ac:dyDescent="0.3">
      <c r="A756" s="184" t="str">
        <f ca="1">Language!A$879</f>
        <v>ставка НДС</v>
      </c>
      <c r="B756" s="203"/>
      <c r="C756" s="163" t="s">
        <v>1</v>
      </c>
      <c r="D756" s="174">
        <v>1</v>
      </c>
      <c r="F756" s="170" t="s">
        <v>2346</v>
      </c>
      <c r="G756" s="290">
        <f>IF(G$2=1,Параметры!G$72,IF(F756=Параметры!F$72,Параметры!F$72,F756))</f>
        <v>0</v>
      </c>
      <c r="H756" s="290">
        <f>IF(H$2=1,Параметры!H$72,IF(G756=Параметры!G$72,Параметры!G$72,G756))</f>
        <v>0</v>
      </c>
      <c r="I756" s="290">
        <f>IF(I$2=1,Параметры!I$72,IF(H756=Параметры!H$72,Параметры!H$72,H756))</f>
        <v>0</v>
      </c>
      <c r="J756" s="290">
        <f>IF(J$2=1,Параметры!J$72,IF(I756=Параметры!I$72,Параметры!I$72,I756))</f>
        <v>0</v>
      </c>
      <c r="K756" s="290">
        <f>IF(K$2=1,Параметры!K$72,IF(J756=Параметры!J$72,Параметры!J$72,J756))</f>
        <v>0</v>
      </c>
      <c r="L756" s="290">
        <f>IF(L$2=1,Параметры!L$72,IF(K756=Параметры!K$72,Параметры!K$72,K756))</f>
        <v>0</v>
      </c>
      <c r="M756" s="290">
        <f>IF(M$2=1,Параметры!M$72,IF(L756=Параметры!L$72,Параметры!L$72,L756))</f>
        <v>0</v>
      </c>
      <c r="N756" s="290">
        <f>IF(N$2=1,Параметры!N$72,IF(M756=Параметры!M$72,Параметры!M$72,M756))</f>
        <v>0</v>
      </c>
      <c r="O756" s="290">
        <f>IF(O$2=1,Параметры!O$72,IF(N756=Параметры!N$72,Параметры!N$72,N756))</f>
        <v>0</v>
      </c>
      <c r="P756" s="290">
        <f>IF(P$2=1,Параметры!P$72,IF(O756=Параметры!O$72,Параметры!O$72,O756))</f>
        <v>0</v>
      </c>
      <c r="Q756" s="290">
        <f>IF(Q$2=1,Параметры!Q$72,IF(P756=Параметры!P$72,Параметры!P$72,P756))</f>
        <v>0</v>
      </c>
      <c r="R756" s="290">
        <f>IF(R$2=1,Параметры!R$72,IF(Q756=Параметры!Q$72,Параметры!Q$72,Q756))</f>
        <v>0</v>
      </c>
      <c r="S756" s="290">
        <f>IF(S$2=1,Параметры!S$72,IF(R756=Параметры!R$72,Параметры!R$72,R756))</f>
        <v>0</v>
      </c>
      <c r="T756" s="290">
        <f>IF(T$2=1,Параметры!T$72,IF(S756=Параметры!S$72,Параметры!S$72,S756))</f>
        <v>0</v>
      </c>
      <c r="U756" s="290">
        <f>IF(U$2=1,Параметры!U$72,IF(T756=Параметры!T$72,Параметры!T$72,T756))</f>
        <v>0</v>
      </c>
      <c r="V756" s="290">
        <f>IF(V$2=1,Параметры!V$72,IF(U756=Параметры!U$72,Параметры!U$72,U756))</f>
        <v>0</v>
      </c>
      <c r="W756" s="290">
        <f>IF(W$2=1,Параметры!W$72,IF(V756=Параметры!V$72,Параметры!V$72,V756))</f>
        <v>0</v>
      </c>
      <c r="X756" s="290">
        <f>IF(X$2=1,Параметры!X$72,IF(W756=Параметры!W$72,Параметры!W$72,W756))</f>
        <v>0</v>
      </c>
      <c r="Y756" s="290">
        <f>IF(Y$2=1,Параметры!Y$72,IF(X756=Параметры!X$72,Параметры!X$72,X756))</f>
        <v>0</v>
      </c>
      <c r="Z756" s="290">
        <f>IF(Z$2=1,Параметры!Z$72,IF(Y756=Параметры!Y$72,Параметры!Y$72,Y756))</f>
        <v>0</v>
      </c>
      <c r="AA756" s="290">
        <f>IF(AA$2=1,Параметры!AA$72,IF(Z756=Параметры!Z$72,Параметры!Z$72,Z756))</f>
        <v>0</v>
      </c>
      <c r="AB756" s="290">
        <f>IF(AB$2=1,Параметры!AB$72,IF(AA756=Параметры!AA$72,Параметры!AA$72,AA756))</f>
        <v>0</v>
      </c>
      <c r="AC756" s="290">
        <f>IF(AC$2=1,Параметры!AC$72,IF(AB756=Параметры!AB$72,Параметры!AB$72,AB756))</f>
        <v>0</v>
      </c>
      <c r="AD756" s="290">
        <f>IF(AD$2=1,Параметры!AD$72,IF(AC756=Параметры!AC$72,Параметры!AC$72,AC756))</f>
        <v>0</v>
      </c>
      <c r="AE756" s="290">
        <f>IF(AE$2=1,Параметры!AE$72,IF(AD756=Параметры!AD$72,Параметры!AD$72,AD756))</f>
        <v>0</v>
      </c>
      <c r="AF756" s="290">
        <f>IF(AF$2=1,Параметры!AF$72,IF(AE756=Параметры!AE$72,Параметры!AE$72,AE756))</f>
        <v>0</v>
      </c>
      <c r="AG756" s="290">
        <f>IF(AG$2=1,Параметры!AG$72,IF(AF756=Параметры!AF$72,Параметры!AF$72,AF756))</f>
        <v>0</v>
      </c>
      <c r="AH756" s="290">
        <f>IF(AH$2=1,Параметры!AH$72,IF(AG756=Параметры!AG$72,Параметры!AG$72,AG756))</f>
        <v>0</v>
      </c>
      <c r="AI756" s="290">
        <f>IF(AI$2=1,Параметры!AI$72,IF(AH756=Параметры!AH$72,Параметры!AH$72,AH756))</f>
        <v>0</v>
      </c>
      <c r="AJ756" s="290">
        <f>IF(AJ$2=1,Параметры!AJ$72,IF(AI756=Параметры!AI$72,Параметры!AI$72,AI756))</f>
        <v>0</v>
      </c>
      <c r="AK756" s="290">
        <f>IF(AK$2=1,Параметры!AK$72,IF(AJ756=Параметры!AJ$72,Параметры!AJ$72,AJ756))</f>
        <v>0</v>
      </c>
      <c r="AL756" s="290">
        <f>IF(AL$2=1,Параметры!AL$72,IF(AK756=Параметры!AK$72,Параметры!AK$72,AK756))</f>
        <v>0</v>
      </c>
      <c r="AM756" s="290">
        <f>IF(AM$2=1,Параметры!AM$72,IF(AL756=Параметры!AL$72,Параметры!AL$72,AL756))</f>
        <v>0</v>
      </c>
      <c r="AN756" s="290">
        <f>IF(AN$2=1,Параметры!AN$72,IF(AM756=Параметры!AM$72,Параметры!AM$72,AM756))</f>
        <v>0</v>
      </c>
      <c r="AO756" s="290">
        <f>IF(AO$2=1,Параметры!AO$72,IF(AN756=Параметры!AN$72,Параметры!AN$72,AN756))</f>
        <v>0</v>
      </c>
      <c r="AP756" s="290">
        <f>IF(AP$2=1,Параметры!AP$72,IF(AO756=Параметры!AO$72,Параметры!AO$72,AO756))</f>
        <v>0</v>
      </c>
      <c r="AQ756" s="290">
        <f>IF(AQ$2=1,Параметры!AQ$72,IF(AP756=Параметры!AP$72,Параметры!AP$72,AP756))</f>
        <v>0</v>
      </c>
      <c r="AR756" s="290">
        <f>IF(AR$2=1,Параметры!AR$72,IF(AQ756=Параметры!AQ$72,Параметры!AQ$72,AQ756))</f>
        <v>0</v>
      </c>
      <c r="AS756" s="290">
        <f>IF(AS$2=1,Параметры!AS$72,IF(AR756=Параметры!AR$72,Параметры!AR$72,AR756))</f>
        <v>0</v>
      </c>
      <c r="AT756" s="290">
        <f>IF(AT$2=1,Параметры!AT$72,IF(AS756=Параметры!AS$72,Параметры!AS$72,AS756))</f>
        <v>0</v>
      </c>
      <c r="AU756" s="290">
        <f>IF(AU$2=1,Параметры!AU$72,IF(AT756=Параметры!AT$72,Параметры!AT$72,AT756))</f>
        <v>0</v>
      </c>
      <c r="AV756" s="290">
        <f>IF(AV$2=1,Параметры!AV$72,IF(AU756=Параметры!AU$72,Параметры!AU$72,AU756))</f>
        <v>0</v>
      </c>
      <c r="AW756" s="290">
        <f>IF(AW$2=1,Параметры!AW$72,IF(AV756=Параметры!AV$72,Параметры!AV$72,AV756))</f>
        <v>0</v>
      </c>
      <c r="AX756" s="290">
        <f>IF(AX$2=1,Параметры!AX$72,IF(AW756=Параметры!AW$72,Параметры!AW$72,AW756))</f>
        <v>0</v>
      </c>
      <c r="AY756" s="290">
        <f>IF(AY$2=1,Параметры!AY$72,IF(AX756=Параметры!AX$72,Параметры!AX$72,AX756))</f>
        <v>0</v>
      </c>
      <c r="AZ756" s="290">
        <f>IF(AZ$2=1,Параметры!AZ$72,IF(AY756=Параметры!AY$72,Параметры!AY$72,AY756))</f>
        <v>0</v>
      </c>
      <c r="BA756" s="290">
        <f>IF(BA$2=1,Параметры!BA$72,IF(AZ756=Параметры!AZ$72,Параметры!AZ$72,AZ756))</f>
        <v>0</v>
      </c>
      <c r="BB756" s="290">
        <f>IF(BB$2=1,Параметры!BB$72,IF(BA756=Параметры!BA$72,Параметры!BA$72,BA756))</f>
        <v>0</v>
      </c>
      <c r="BC756" s="190"/>
      <c r="BD756" s="186"/>
    </row>
    <row r="757" spans="1:56" hidden="1" outlineLevel="1" x14ac:dyDescent="0.3">
      <c r="A757" s="184" t="str">
        <f ca="1">Language!A$880</f>
        <v>выручка от продажи актива, без НДС</v>
      </c>
      <c r="B757" s="217"/>
      <c r="C757" s="163" t="str">
        <f ca="1">CHOOSE(D757,CurName1,CurName2,CurName3)</f>
        <v>руб.</v>
      </c>
      <c r="D757" s="174">
        <v>1</v>
      </c>
      <c r="E757" s="170" t="s">
        <v>755</v>
      </c>
      <c r="F757" s="170" t="s">
        <v>2353</v>
      </c>
      <c r="G757" s="287">
        <v>0</v>
      </c>
      <c r="H757" s="287">
        <v>0</v>
      </c>
      <c r="I757" s="287">
        <v>0</v>
      </c>
      <c r="J757" s="287">
        <v>0</v>
      </c>
      <c r="K757" s="287">
        <v>0</v>
      </c>
      <c r="L757" s="287">
        <v>0</v>
      </c>
      <c r="M757" s="287">
        <v>0</v>
      </c>
      <c r="N757" s="287">
        <v>0</v>
      </c>
      <c r="O757" s="287">
        <v>0</v>
      </c>
      <c r="P757" s="287">
        <v>0</v>
      </c>
      <c r="Q757" s="287">
        <v>0</v>
      </c>
      <c r="R757" s="287">
        <v>0</v>
      </c>
      <c r="S757" s="287">
        <v>0</v>
      </c>
      <c r="T757" s="287">
        <v>0</v>
      </c>
      <c r="U757" s="287">
        <v>0</v>
      </c>
      <c r="V757" s="287">
        <v>0</v>
      </c>
      <c r="W757" s="287">
        <v>0</v>
      </c>
      <c r="X757" s="287">
        <v>0</v>
      </c>
      <c r="Y757" s="287">
        <v>0</v>
      </c>
      <c r="Z757" s="287">
        <v>0</v>
      </c>
      <c r="AA757" s="287">
        <v>0</v>
      </c>
      <c r="AB757" s="287">
        <v>0</v>
      </c>
      <c r="AC757" s="287">
        <v>0</v>
      </c>
      <c r="AD757" s="287">
        <v>0</v>
      </c>
      <c r="AE757" s="287">
        <v>0</v>
      </c>
      <c r="AF757" s="287">
        <v>0</v>
      </c>
      <c r="AG757" s="287">
        <v>0</v>
      </c>
      <c r="AH757" s="287">
        <v>0</v>
      </c>
      <c r="AI757" s="287">
        <v>0</v>
      </c>
      <c r="AJ757" s="287">
        <v>0</v>
      </c>
      <c r="AK757" s="287">
        <v>0</v>
      </c>
      <c r="AL757" s="287">
        <v>0</v>
      </c>
      <c r="AM757" s="287">
        <v>0</v>
      </c>
      <c r="AN757" s="287">
        <v>0</v>
      </c>
      <c r="AO757" s="287">
        <v>0</v>
      </c>
      <c r="AP757" s="287">
        <v>0</v>
      </c>
      <c r="AQ757" s="287">
        <v>0</v>
      </c>
      <c r="AR757" s="287">
        <v>0</v>
      </c>
      <c r="AS757" s="287">
        <v>0</v>
      </c>
      <c r="AT757" s="287">
        <v>0</v>
      </c>
      <c r="AU757" s="287">
        <v>0</v>
      </c>
      <c r="AV757" s="287">
        <v>0</v>
      </c>
      <c r="AW757" s="287">
        <v>0</v>
      </c>
      <c r="AX757" s="287">
        <v>0</v>
      </c>
      <c r="AY757" s="287">
        <v>0</v>
      </c>
      <c r="AZ757" s="287">
        <v>0</v>
      </c>
      <c r="BA757" s="287">
        <v>0</v>
      </c>
      <c r="BB757" s="287">
        <v>0</v>
      </c>
      <c r="BC757" s="177"/>
      <c r="BD757" s="178">
        <f>SUM(G757:BC757)</f>
        <v>0</v>
      </c>
    </row>
    <row r="758" spans="1:56" hidden="1" outlineLevel="1" x14ac:dyDescent="0.3">
      <c r="A758" s="184" t="str">
        <f ca="1">Language!A$881</f>
        <v>суммы в осн. валюте: график оплаты, без НДС</v>
      </c>
      <c r="B758" s="163"/>
      <c r="C758" s="163" t="str">
        <f t="shared" ref="C758:C775" ca="1" si="3019">CHOOSE(D758,CurName1,CurName2,CurName3)</f>
        <v>руб.</v>
      </c>
      <c r="D758" s="174">
        <v>1</v>
      </c>
      <c r="E758" s="170" t="s">
        <v>751</v>
      </c>
      <c r="F758" s="170" t="s">
        <v>740</v>
      </c>
      <c r="G758" s="185">
        <f>G751*CHOOSE($D751,1,Параметры!G$53,Параметры!G$59)</f>
        <v>0</v>
      </c>
      <c r="H758" s="185">
        <f>H751*CHOOSE($D751,1,Параметры!H$53,Параметры!H$59)</f>
        <v>0</v>
      </c>
      <c r="I758" s="185">
        <f>I751*CHOOSE($D751,1,Параметры!I$53,Параметры!I$59)</f>
        <v>50000000</v>
      </c>
      <c r="J758" s="185">
        <f>J751*CHOOSE($D751,1,Параметры!J$53,Параметры!J$59)</f>
        <v>0</v>
      </c>
      <c r="K758" s="185">
        <f>K751*CHOOSE($D751,1,Параметры!K$53,Параметры!K$59)</f>
        <v>0</v>
      </c>
      <c r="L758" s="185">
        <f>L751*CHOOSE($D751,1,Параметры!L$53,Параметры!L$59)</f>
        <v>0</v>
      </c>
      <c r="M758" s="185">
        <f>M751*CHOOSE($D751,1,Параметры!M$53,Параметры!M$59)</f>
        <v>0</v>
      </c>
      <c r="N758" s="185">
        <f>N751*CHOOSE($D751,1,Параметры!N$53,Параметры!N$59)</f>
        <v>0</v>
      </c>
      <c r="O758" s="185">
        <f>O751*CHOOSE($D751,1,Параметры!O$53,Параметры!O$59)</f>
        <v>0</v>
      </c>
      <c r="P758" s="185">
        <f>P751*CHOOSE($D751,1,Параметры!P$53,Параметры!P$59)</f>
        <v>0</v>
      </c>
      <c r="Q758" s="185">
        <f>Q751*CHOOSE($D751,1,Параметры!Q$53,Параметры!Q$59)</f>
        <v>0</v>
      </c>
      <c r="R758" s="185">
        <f>R751*CHOOSE($D751,1,Параметры!R$53,Параметры!R$59)</f>
        <v>0</v>
      </c>
      <c r="S758" s="185">
        <f>S751*CHOOSE($D751,1,Параметры!S$53,Параметры!S$59)</f>
        <v>0</v>
      </c>
      <c r="T758" s="185">
        <f>T751*CHOOSE($D751,1,Параметры!T$53,Параметры!T$59)</f>
        <v>0</v>
      </c>
      <c r="U758" s="185">
        <f>U751*CHOOSE($D751,1,Параметры!U$53,Параметры!U$59)</f>
        <v>0</v>
      </c>
      <c r="V758" s="185">
        <f>V751*CHOOSE($D751,1,Параметры!V$53,Параметры!V$59)</f>
        <v>0</v>
      </c>
      <c r="W758" s="185">
        <f>W751*CHOOSE($D751,1,Параметры!W$53,Параметры!W$59)</f>
        <v>0</v>
      </c>
      <c r="X758" s="185">
        <f>X751*CHOOSE($D751,1,Параметры!X$53,Параметры!X$59)</f>
        <v>0</v>
      </c>
      <c r="Y758" s="185">
        <f>Y751*CHOOSE($D751,1,Параметры!Y$53,Параметры!Y$59)</f>
        <v>0</v>
      </c>
      <c r="Z758" s="185">
        <f>Z751*CHOOSE($D751,1,Параметры!Z$53,Параметры!Z$59)</f>
        <v>0</v>
      </c>
      <c r="AA758" s="185">
        <f>AA751*CHOOSE($D751,1,Параметры!AA$53,Параметры!AA$59)</f>
        <v>0</v>
      </c>
      <c r="AB758" s="185">
        <f>AB751*CHOOSE($D751,1,Параметры!AB$53,Параметры!AB$59)</f>
        <v>0</v>
      </c>
      <c r="AC758" s="185">
        <f>AC751*CHOOSE($D751,1,Параметры!AC$53,Параметры!AC$59)</f>
        <v>0</v>
      </c>
      <c r="AD758" s="185">
        <f>AD751*CHOOSE($D751,1,Параметры!AD$53,Параметры!AD$59)</f>
        <v>0</v>
      </c>
      <c r="AE758" s="185">
        <f>AE751*CHOOSE($D751,1,Параметры!AE$53,Параметры!AE$59)</f>
        <v>0</v>
      </c>
      <c r="AF758" s="185">
        <f>AF751*CHOOSE($D751,1,Параметры!AF$53,Параметры!AF$59)</f>
        <v>0</v>
      </c>
      <c r="AG758" s="185">
        <f>AG751*CHOOSE($D751,1,Параметры!AG$53,Параметры!AG$59)</f>
        <v>0</v>
      </c>
      <c r="AH758" s="185">
        <f>AH751*CHOOSE($D751,1,Параметры!AH$53,Параметры!AH$59)</f>
        <v>0</v>
      </c>
      <c r="AI758" s="185">
        <f>AI751*CHOOSE($D751,1,Параметры!AI$53,Параметры!AI$59)</f>
        <v>0</v>
      </c>
      <c r="AJ758" s="185">
        <f>AJ751*CHOOSE($D751,1,Параметры!AJ$53,Параметры!AJ$59)</f>
        <v>0</v>
      </c>
      <c r="AK758" s="185">
        <f>AK751*CHOOSE($D751,1,Параметры!AK$53,Параметры!AK$59)</f>
        <v>0</v>
      </c>
      <c r="AL758" s="185">
        <f>AL751*CHOOSE($D751,1,Параметры!AL$53,Параметры!AL$59)</f>
        <v>0</v>
      </c>
      <c r="AM758" s="185">
        <f>AM751*CHOOSE($D751,1,Параметры!AM$53,Параметры!AM$59)</f>
        <v>0</v>
      </c>
      <c r="AN758" s="185">
        <f>AN751*CHOOSE($D751,1,Параметры!AN$53,Параметры!AN$59)</f>
        <v>0</v>
      </c>
      <c r="AO758" s="185">
        <f>AO751*CHOOSE($D751,1,Параметры!AO$53,Параметры!AO$59)</f>
        <v>0</v>
      </c>
      <c r="AP758" s="185">
        <f>AP751*CHOOSE($D751,1,Параметры!AP$53,Параметры!AP$59)</f>
        <v>0</v>
      </c>
      <c r="AQ758" s="185">
        <f>AQ751*CHOOSE($D751,1,Параметры!AQ$53,Параметры!AQ$59)</f>
        <v>0</v>
      </c>
      <c r="AR758" s="185">
        <f>AR751*CHOOSE($D751,1,Параметры!AR$53,Параметры!AR$59)</f>
        <v>0</v>
      </c>
      <c r="AS758" s="185">
        <f>AS751*CHOOSE($D751,1,Параметры!AS$53,Параметры!AS$59)</f>
        <v>0</v>
      </c>
      <c r="AT758" s="185">
        <f>AT751*CHOOSE($D751,1,Параметры!AT$53,Параметры!AT$59)</f>
        <v>0</v>
      </c>
      <c r="AU758" s="185">
        <f>AU751*CHOOSE($D751,1,Параметры!AU$53,Параметры!AU$59)</f>
        <v>0</v>
      </c>
      <c r="AV758" s="185">
        <f>AV751*CHOOSE($D751,1,Параметры!AV$53,Параметры!AV$59)</f>
        <v>0</v>
      </c>
      <c r="AW758" s="185">
        <f>AW751*CHOOSE($D751,1,Параметры!AW$53,Параметры!AW$59)</f>
        <v>0</v>
      </c>
      <c r="AX758" s="185">
        <f>AX751*CHOOSE($D751,1,Параметры!AX$53,Параметры!AX$59)</f>
        <v>0</v>
      </c>
      <c r="AY758" s="185">
        <f>AY751*CHOOSE($D751,1,Параметры!AY$53,Параметры!AY$59)</f>
        <v>0</v>
      </c>
      <c r="AZ758" s="185">
        <f>AZ751*CHOOSE($D751,1,Параметры!AZ$53,Параметры!AZ$59)</f>
        <v>0</v>
      </c>
      <c r="BA758" s="185">
        <f>BA751*CHOOSE($D751,1,Параметры!BA$53,Параметры!BA$59)</f>
        <v>0</v>
      </c>
      <c r="BB758" s="185">
        <f>BB751*CHOOSE($D751,1,Параметры!BB$53,Параметры!BB$59)</f>
        <v>0</v>
      </c>
      <c r="BC758" s="185"/>
      <c r="BD758" s="193">
        <f>SUM(G758:BC758)</f>
        <v>50000000</v>
      </c>
    </row>
    <row r="759" spans="1:56" hidden="1" outlineLevel="1" x14ac:dyDescent="0.3">
      <c r="A759" s="187" t="str">
        <f ca="1">Language!A$1509</f>
        <v>график оплаты, c НДС</v>
      </c>
      <c r="B759" s="163"/>
      <c r="C759" s="163" t="str">
        <f t="shared" ca="1" si="3019"/>
        <v>руб.</v>
      </c>
      <c r="D759" s="174">
        <v>1</v>
      </c>
      <c r="E759" s="170" t="s">
        <v>993</v>
      </c>
      <c r="F759" s="170" t="s">
        <v>740</v>
      </c>
      <c r="G759" s="185">
        <f>G758+G768</f>
        <v>0</v>
      </c>
      <c r="H759" s="185">
        <f t="shared" ref="H759:BB759" si="3020">H758+H768</f>
        <v>0</v>
      </c>
      <c r="I759" s="185">
        <f t="shared" si="3020"/>
        <v>50000000</v>
      </c>
      <c r="J759" s="185">
        <f t="shared" si="3020"/>
        <v>0</v>
      </c>
      <c r="K759" s="185">
        <f t="shared" si="3020"/>
        <v>0</v>
      </c>
      <c r="L759" s="185">
        <f t="shared" si="3020"/>
        <v>0</v>
      </c>
      <c r="M759" s="185">
        <f t="shared" si="3020"/>
        <v>0</v>
      </c>
      <c r="N759" s="185">
        <f t="shared" si="3020"/>
        <v>0</v>
      </c>
      <c r="O759" s="185">
        <f t="shared" si="3020"/>
        <v>0</v>
      </c>
      <c r="P759" s="185">
        <f t="shared" si="3020"/>
        <v>0</v>
      </c>
      <c r="Q759" s="185">
        <f t="shared" si="3020"/>
        <v>0</v>
      </c>
      <c r="R759" s="185">
        <f t="shared" si="3020"/>
        <v>0</v>
      </c>
      <c r="S759" s="185">
        <f t="shared" si="3020"/>
        <v>0</v>
      </c>
      <c r="T759" s="185">
        <f t="shared" si="3020"/>
        <v>0</v>
      </c>
      <c r="U759" s="185">
        <f t="shared" si="3020"/>
        <v>0</v>
      </c>
      <c r="V759" s="185">
        <f t="shared" si="3020"/>
        <v>0</v>
      </c>
      <c r="W759" s="185">
        <f t="shared" si="3020"/>
        <v>0</v>
      </c>
      <c r="X759" s="185">
        <f t="shared" si="3020"/>
        <v>0</v>
      </c>
      <c r="Y759" s="185">
        <f t="shared" si="3020"/>
        <v>0</v>
      </c>
      <c r="Z759" s="185">
        <f t="shared" si="3020"/>
        <v>0</v>
      </c>
      <c r="AA759" s="185">
        <f t="shared" si="3020"/>
        <v>0</v>
      </c>
      <c r="AB759" s="185">
        <f t="shared" si="3020"/>
        <v>0</v>
      </c>
      <c r="AC759" s="185">
        <f t="shared" si="3020"/>
        <v>0</v>
      </c>
      <c r="AD759" s="185">
        <f t="shared" si="3020"/>
        <v>0</v>
      </c>
      <c r="AE759" s="185">
        <f t="shared" si="3020"/>
        <v>0</v>
      </c>
      <c r="AF759" s="185">
        <f t="shared" si="3020"/>
        <v>0</v>
      </c>
      <c r="AG759" s="185">
        <f t="shared" si="3020"/>
        <v>0</v>
      </c>
      <c r="AH759" s="185">
        <f t="shared" si="3020"/>
        <v>0</v>
      </c>
      <c r="AI759" s="185">
        <f t="shared" si="3020"/>
        <v>0</v>
      </c>
      <c r="AJ759" s="185">
        <f t="shared" si="3020"/>
        <v>0</v>
      </c>
      <c r="AK759" s="185">
        <f t="shared" si="3020"/>
        <v>0</v>
      </c>
      <c r="AL759" s="185">
        <f t="shared" si="3020"/>
        <v>0</v>
      </c>
      <c r="AM759" s="185">
        <f t="shared" si="3020"/>
        <v>0</v>
      </c>
      <c r="AN759" s="185">
        <f t="shared" si="3020"/>
        <v>0</v>
      </c>
      <c r="AO759" s="185">
        <f t="shared" si="3020"/>
        <v>0</v>
      </c>
      <c r="AP759" s="185">
        <f t="shared" si="3020"/>
        <v>0</v>
      </c>
      <c r="AQ759" s="185">
        <f t="shared" si="3020"/>
        <v>0</v>
      </c>
      <c r="AR759" s="185">
        <f t="shared" si="3020"/>
        <v>0</v>
      </c>
      <c r="AS759" s="185">
        <f t="shared" si="3020"/>
        <v>0</v>
      </c>
      <c r="AT759" s="185">
        <f t="shared" si="3020"/>
        <v>0</v>
      </c>
      <c r="AU759" s="185">
        <f t="shared" si="3020"/>
        <v>0</v>
      </c>
      <c r="AV759" s="185">
        <f t="shared" si="3020"/>
        <v>0</v>
      </c>
      <c r="AW759" s="185">
        <f t="shared" si="3020"/>
        <v>0</v>
      </c>
      <c r="AX759" s="185">
        <f t="shared" si="3020"/>
        <v>0</v>
      </c>
      <c r="AY759" s="185">
        <f t="shared" si="3020"/>
        <v>0</v>
      </c>
      <c r="AZ759" s="185">
        <f t="shared" si="3020"/>
        <v>0</v>
      </c>
      <c r="BA759" s="185">
        <f t="shared" si="3020"/>
        <v>0</v>
      </c>
      <c r="BB759" s="185">
        <f t="shared" si="3020"/>
        <v>0</v>
      </c>
      <c r="BC759" s="185"/>
      <c r="BD759" s="193">
        <f>SUM(G759:BC759)</f>
        <v>50000000</v>
      </c>
    </row>
    <row r="760" spans="1:56" hidden="1" outlineLevel="1" x14ac:dyDescent="0.3">
      <c r="A760" s="187" t="str">
        <f ca="1">Language!A$882</f>
        <v>ранее осуществленные инвестиции, без НДС</v>
      </c>
      <c r="B760" s="212">
        <f>B752*CHOOSE(D752,1,Параметры!G$53,Параметры!G$59)</f>
        <v>0</v>
      </c>
      <c r="C760" s="163" t="str">
        <f t="shared" ca="1" si="3019"/>
        <v>руб.</v>
      </c>
      <c r="D760" s="174">
        <v>1</v>
      </c>
      <c r="E760" s="170" t="s">
        <v>1269</v>
      </c>
      <c r="G760" s="185">
        <f>B760</f>
        <v>0</v>
      </c>
      <c r="H760" s="185"/>
      <c r="I760" s="185"/>
      <c r="J760" s="185"/>
      <c r="K760" s="185"/>
      <c r="L760" s="185"/>
      <c r="M760" s="185"/>
      <c r="N760" s="185"/>
      <c r="O760" s="185"/>
      <c r="P760" s="185"/>
      <c r="Q760" s="185"/>
      <c r="R760" s="185"/>
      <c r="S760" s="185"/>
      <c r="T760" s="185"/>
      <c r="U760" s="185"/>
      <c r="V760" s="185"/>
      <c r="W760" s="185"/>
      <c r="X760" s="185"/>
      <c r="Y760" s="185"/>
      <c r="Z760" s="185"/>
      <c r="AA760" s="185"/>
      <c r="AB760" s="185"/>
      <c r="AC760" s="185"/>
      <c r="AD760" s="185"/>
      <c r="AE760" s="185"/>
      <c r="AF760" s="185"/>
      <c r="AG760" s="185"/>
      <c r="AH760" s="185"/>
      <c r="AI760" s="185"/>
      <c r="AJ760" s="185"/>
      <c r="AK760" s="185"/>
      <c r="AL760" s="185"/>
      <c r="AM760" s="185"/>
      <c r="AN760" s="185"/>
      <c r="AO760" s="185"/>
      <c r="AP760" s="185"/>
      <c r="AQ760" s="185"/>
      <c r="AR760" s="185"/>
      <c r="AS760" s="185"/>
      <c r="AT760" s="185"/>
      <c r="AU760" s="185"/>
      <c r="AV760" s="185"/>
      <c r="AW760" s="185"/>
      <c r="AX760" s="185"/>
      <c r="AY760" s="185"/>
      <c r="AZ760" s="185"/>
      <c r="BA760" s="185"/>
      <c r="BB760" s="185"/>
      <c r="BC760" s="185"/>
      <c r="BD760" s="193"/>
    </row>
    <row r="761" spans="1:56" hidden="1" outlineLevel="1" x14ac:dyDescent="0.3">
      <c r="A761" s="187" t="str">
        <f ca="1">Language!A$883</f>
        <v>НДС к ранее осуществленным инвестициям</v>
      </c>
      <c r="B761" s="212">
        <f>B760*G756</f>
        <v>0</v>
      </c>
      <c r="C761" s="163" t="str">
        <f t="shared" ca="1" si="3019"/>
        <v>руб.</v>
      </c>
      <c r="D761" s="174">
        <v>1</v>
      </c>
      <c r="E761" s="170" t="s">
        <v>1273</v>
      </c>
      <c r="G761" s="185">
        <f>B761</f>
        <v>0</v>
      </c>
      <c r="H761" s="185"/>
      <c r="I761" s="185"/>
      <c r="J761" s="185"/>
      <c r="K761" s="185"/>
      <c r="L761" s="185"/>
      <c r="M761" s="185"/>
      <c r="N761" s="185"/>
      <c r="O761" s="185"/>
      <c r="P761" s="185"/>
      <c r="Q761" s="185"/>
      <c r="R761" s="185"/>
      <c r="S761" s="185"/>
      <c r="T761" s="185"/>
      <c r="U761" s="185"/>
      <c r="V761" s="185"/>
      <c r="W761" s="185"/>
      <c r="X761" s="185"/>
      <c r="Y761" s="185"/>
      <c r="Z761" s="185"/>
      <c r="AA761" s="185"/>
      <c r="AB761" s="185"/>
      <c r="AC761" s="185"/>
      <c r="AD761" s="185"/>
      <c r="AE761" s="185"/>
      <c r="AF761" s="185"/>
      <c r="AG761" s="185"/>
      <c r="AH761" s="185"/>
      <c r="AI761" s="185"/>
      <c r="AJ761" s="185"/>
      <c r="AK761" s="185"/>
      <c r="AL761" s="185"/>
      <c r="AM761" s="185"/>
      <c r="AN761" s="185"/>
      <c r="AO761" s="185"/>
      <c r="AP761" s="185"/>
      <c r="AQ761" s="185"/>
      <c r="AR761" s="185"/>
      <c r="AS761" s="185"/>
      <c r="AT761" s="185"/>
      <c r="AU761" s="185"/>
      <c r="AV761" s="185"/>
      <c r="AW761" s="185"/>
      <c r="AX761" s="185"/>
      <c r="AY761" s="185"/>
      <c r="AZ761" s="185"/>
      <c r="BA761" s="185"/>
      <c r="BB761" s="185"/>
      <c r="BC761" s="185"/>
      <c r="BD761" s="193"/>
    </row>
    <row r="762" spans="1:56" hidden="1" outlineLevel="1" x14ac:dyDescent="0.3">
      <c r="A762" s="187" t="str">
        <f ca="1">Language!A$884</f>
        <v>график ввода в эксплуатацию, без НДС</v>
      </c>
      <c r="B762" s="163"/>
      <c r="C762" s="163" t="str">
        <f t="shared" ca="1" si="3019"/>
        <v>руб.</v>
      </c>
      <c r="D762" s="174">
        <v>1</v>
      </c>
      <c r="F762" s="170" t="s">
        <v>740</v>
      </c>
      <c r="G762" s="185">
        <f>G753*CHOOSE($D753,1,Параметры!G$53,Параметры!G$59)</f>
        <v>0</v>
      </c>
      <c r="H762" s="185">
        <f>H753*CHOOSE($D753,1,Параметры!H$53,Параметры!H$59)</f>
        <v>0</v>
      </c>
      <c r="I762" s="185">
        <f>I753*CHOOSE($D753,1,Параметры!I$53,Параметры!I$59)</f>
        <v>0</v>
      </c>
      <c r="J762" s="185">
        <f>J753*CHOOSE($D753,1,Параметры!J$53,Параметры!J$59)</f>
        <v>0</v>
      </c>
      <c r="K762" s="185">
        <f>K753*CHOOSE($D753,1,Параметры!K$53,Параметры!K$59)</f>
        <v>0</v>
      </c>
      <c r="L762" s="185">
        <f>L753*CHOOSE($D753,1,Параметры!L$53,Параметры!L$59)</f>
        <v>0</v>
      </c>
      <c r="M762" s="185">
        <f>M753*CHOOSE($D753,1,Параметры!M$53,Параметры!M$59)</f>
        <v>50000000</v>
      </c>
      <c r="N762" s="185">
        <f>N753*CHOOSE($D753,1,Параметры!N$53,Параметры!N$59)</f>
        <v>0</v>
      </c>
      <c r="O762" s="185">
        <f>O753*CHOOSE($D753,1,Параметры!O$53,Параметры!O$59)</f>
        <v>0</v>
      </c>
      <c r="P762" s="185">
        <f>P753*CHOOSE($D753,1,Параметры!P$53,Параметры!P$59)</f>
        <v>0</v>
      </c>
      <c r="Q762" s="185">
        <f>Q753*CHOOSE($D753,1,Параметры!Q$53,Параметры!Q$59)</f>
        <v>0</v>
      </c>
      <c r="R762" s="185">
        <f>R753*CHOOSE($D753,1,Параметры!R$53,Параметры!R$59)</f>
        <v>0</v>
      </c>
      <c r="S762" s="185">
        <f>S753*CHOOSE($D753,1,Параметры!S$53,Параметры!S$59)</f>
        <v>0</v>
      </c>
      <c r="T762" s="185">
        <f>T753*CHOOSE($D753,1,Параметры!T$53,Параметры!T$59)</f>
        <v>0</v>
      </c>
      <c r="U762" s="185">
        <f>U753*CHOOSE($D753,1,Параметры!U$53,Параметры!U$59)</f>
        <v>0</v>
      </c>
      <c r="V762" s="185">
        <f>V753*CHOOSE($D753,1,Параметры!V$53,Параметры!V$59)</f>
        <v>0</v>
      </c>
      <c r="W762" s="185">
        <f>W753*CHOOSE($D753,1,Параметры!W$53,Параметры!W$59)</f>
        <v>0</v>
      </c>
      <c r="X762" s="185">
        <f>X753*CHOOSE($D753,1,Параметры!X$53,Параметры!X$59)</f>
        <v>0</v>
      </c>
      <c r="Y762" s="185">
        <f>Y753*CHOOSE($D753,1,Параметры!Y$53,Параметры!Y$59)</f>
        <v>0</v>
      </c>
      <c r="Z762" s="185">
        <f>Z753*CHOOSE($D753,1,Параметры!Z$53,Параметры!Z$59)</f>
        <v>0</v>
      </c>
      <c r="AA762" s="185">
        <f>AA753*CHOOSE($D753,1,Параметры!AA$53,Параметры!AA$59)</f>
        <v>0</v>
      </c>
      <c r="AB762" s="185">
        <f>AB753*CHOOSE($D753,1,Параметры!AB$53,Параметры!AB$59)</f>
        <v>0</v>
      </c>
      <c r="AC762" s="185">
        <f>AC753*CHOOSE($D753,1,Параметры!AC$53,Параметры!AC$59)</f>
        <v>0</v>
      </c>
      <c r="AD762" s="185">
        <f>AD753*CHOOSE($D753,1,Параметры!AD$53,Параметры!AD$59)</f>
        <v>0</v>
      </c>
      <c r="AE762" s="185">
        <f>AE753*CHOOSE($D753,1,Параметры!AE$53,Параметры!AE$59)</f>
        <v>0</v>
      </c>
      <c r="AF762" s="185">
        <f>AF753*CHOOSE($D753,1,Параметры!AF$53,Параметры!AF$59)</f>
        <v>0</v>
      </c>
      <c r="AG762" s="185">
        <f>AG753*CHOOSE($D753,1,Параметры!AG$53,Параметры!AG$59)</f>
        <v>0</v>
      </c>
      <c r="AH762" s="185">
        <f>AH753*CHOOSE($D753,1,Параметры!AH$53,Параметры!AH$59)</f>
        <v>0</v>
      </c>
      <c r="AI762" s="185">
        <f>AI753*CHOOSE($D753,1,Параметры!AI$53,Параметры!AI$59)</f>
        <v>0</v>
      </c>
      <c r="AJ762" s="185">
        <f>AJ753*CHOOSE($D753,1,Параметры!AJ$53,Параметры!AJ$59)</f>
        <v>0</v>
      </c>
      <c r="AK762" s="185">
        <f>AK753*CHOOSE($D753,1,Параметры!AK$53,Параметры!AK$59)</f>
        <v>0</v>
      </c>
      <c r="AL762" s="185">
        <f>AL753*CHOOSE($D753,1,Параметры!AL$53,Параметры!AL$59)</f>
        <v>0</v>
      </c>
      <c r="AM762" s="185">
        <f>AM753*CHOOSE($D753,1,Параметры!AM$53,Параметры!AM$59)</f>
        <v>0</v>
      </c>
      <c r="AN762" s="185">
        <f>AN753*CHOOSE($D753,1,Параметры!AN$53,Параметры!AN$59)</f>
        <v>0</v>
      </c>
      <c r="AO762" s="185">
        <f>AO753*CHOOSE($D753,1,Параметры!AO$53,Параметры!AO$59)</f>
        <v>0</v>
      </c>
      <c r="AP762" s="185">
        <f>AP753*CHOOSE($D753,1,Параметры!AP$53,Параметры!AP$59)</f>
        <v>0</v>
      </c>
      <c r="AQ762" s="185">
        <f>AQ753*CHOOSE($D753,1,Параметры!AQ$53,Параметры!AQ$59)</f>
        <v>0</v>
      </c>
      <c r="AR762" s="185">
        <f>AR753*CHOOSE($D753,1,Параметры!AR$53,Параметры!AR$59)</f>
        <v>0</v>
      </c>
      <c r="AS762" s="185">
        <f>AS753*CHOOSE($D753,1,Параметры!AS$53,Параметры!AS$59)</f>
        <v>0</v>
      </c>
      <c r="AT762" s="185">
        <f>AT753*CHOOSE($D753,1,Параметры!AT$53,Параметры!AT$59)</f>
        <v>0</v>
      </c>
      <c r="AU762" s="185">
        <f>AU753*CHOOSE($D753,1,Параметры!AU$53,Параметры!AU$59)</f>
        <v>0</v>
      </c>
      <c r="AV762" s="185">
        <f>AV753*CHOOSE($D753,1,Параметры!AV$53,Параметры!AV$59)</f>
        <v>0</v>
      </c>
      <c r="AW762" s="185">
        <f>AW753*CHOOSE($D753,1,Параметры!AW$53,Параметры!AW$59)</f>
        <v>0</v>
      </c>
      <c r="AX762" s="185">
        <f>AX753*CHOOSE($D753,1,Параметры!AX$53,Параметры!AX$59)</f>
        <v>0</v>
      </c>
      <c r="AY762" s="185">
        <f>AY753*CHOOSE($D753,1,Параметры!AY$53,Параметры!AY$59)</f>
        <v>0</v>
      </c>
      <c r="AZ762" s="185">
        <f>AZ753*CHOOSE($D753,1,Параметры!AZ$53,Параметры!AZ$59)</f>
        <v>0</v>
      </c>
      <c r="BA762" s="185">
        <f>BA753*CHOOSE($D753,1,Параметры!BA$53,Параметры!BA$59)</f>
        <v>0</v>
      </c>
      <c r="BB762" s="185">
        <f>BB753*CHOOSE($D753,1,Параметры!BB$53,Параметры!BB$59)</f>
        <v>0</v>
      </c>
      <c r="BC762" s="185"/>
      <c r="BD762" s="193">
        <f>SUM(G762:BC762)</f>
        <v>50000000</v>
      </c>
    </row>
    <row r="763" spans="1:56" hidden="1" outlineLevel="1" x14ac:dyDescent="0.3">
      <c r="A763" s="184" t="str">
        <f ca="1">Language!A$885</f>
        <v>незавершенные инвестиции</v>
      </c>
      <c r="B763" s="170"/>
      <c r="C763" s="163" t="str">
        <f t="shared" ca="1" si="3019"/>
        <v>руб.</v>
      </c>
      <c r="D763" s="174">
        <v>1</v>
      </c>
      <c r="E763" s="170" t="s">
        <v>754</v>
      </c>
      <c r="F763" s="170" t="s">
        <v>741</v>
      </c>
      <c r="G763" s="185">
        <f>IF(SUM($G757:G757)&gt;0.01,0,MAX(SUM($G751:G751)+$B752-SUM($G753:G753),0))*CHOOSE($D751,1,Параметры!G$53,Параметры!G$59)</f>
        <v>0</v>
      </c>
      <c r="H763" s="185">
        <f>IF(SUM($G757:H757)&gt;0.01,0,MAX(SUM($G751:H751)+$B752-SUM($G753:H753),0))*CHOOSE($D751,1,Параметры!H$53,Параметры!H$59)</f>
        <v>0</v>
      </c>
      <c r="I763" s="185">
        <f>IF(SUM($G757:I757)&gt;0.01,0,MAX(SUM($G751:I751)+$B752-SUM($G753:I753),0))*CHOOSE($D751,1,Параметры!I$53,Параметры!I$59)</f>
        <v>50000000</v>
      </c>
      <c r="J763" s="185">
        <f>IF(SUM($G757:J757)&gt;0.01,0,MAX(SUM($G751:J751)+$B752-SUM($G753:J753),0))*CHOOSE($D751,1,Параметры!J$53,Параметры!J$59)</f>
        <v>50000000</v>
      </c>
      <c r="K763" s="185">
        <f>IF(SUM($G757:K757)&gt;0.01,0,MAX(SUM($G751:K751)+$B752-SUM($G753:K753),0))*CHOOSE($D751,1,Параметры!K$53,Параметры!K$59)</f>
        <v>50000000</v>
      </c>
      <c r="L763" s="185">
        <f>IF(SUM($G757:L757)&gt;0.01,0,MAX(SUM($G751:L751)+$B752-SUM($G753:L753),0))*CHOOSE($D751,1,Параметры!L$53,Параметры!L$59)</f>
        <v>50000000</v>
      </c>
      <c r="M763" s="185">
        <f>IF(SUM($G757:M757)&gt;0.01,0,MAX(SUM($G751:M751)+$B752-SUM($G753:M753),0))*CHOOSE($D751,1,Параметры!M$53,Параметры!M$59)</f>
        <v>0</v>
      </c>
      <c r="N763" s="185">
        <f>IF(SUM($G757:N757)&gt;0.01,0,MAX(SUM($G751:N751)+$B752-SUM($G753:N753),0))*CHOOSE($D751,1,Параметры!N$53,Параметры!N$59)</f>
        <v>0</v>
      </c>
      <c r="O763" s="185">
        <f>IF(SUM($G757:O757)&gt;0.01,0,MAX(SUM($G751:O751)+$B752-SUM($G753:O753),0))*CHOOSE($D751,1,Параметры!O$53,Параметры!O$59)</f>
        <v>0</v>
      </c>
      <c r="P763" s="185">
        <f>IF(SUM($G757:P757)&gt;0.01,0,MAX(SUM($G751:P751)+$B752-SUM($G753:P753),0))*CHOOSE($D751,1,Параметры!P$53,Параметры!P$59)</f>
        <v>0</v>
      </c>
      <c r="Q763" s="185">
        <f>IF(SUM($G757:Q757)&gt;0.01,0,MAX(SUM($G751:Q751)+$B752-SUM($G753:Q753),0))*CHOOSE($D751,1,Параметры!Q$53,Параметры!Q$59)</f>
        <v>0</v>
      </c>
      <c r="R763" s="185">
        <f>IF(SUM($G757:R757)&gt;0.01,0,MAX(SUM($G751:R751)+$B752-SUM($G753:R753),0))*CHOOSE($D751,1,Параметры!R$53,Параметры!R$59)</f>
        <v>0</v>
      </c>
      <c r="S763" s="185">
        <f>IF(SUM($G757:S757)&gt;0.01,0,MAX(SUM($G751:S751)+$B752-SUM($G753:S753),0))*CHOOSE($D751,1,Параметры!S$53,Параметры!S$59)</f>
        <v>0</v>
      </c>
      <c r="T763" s="185">
        <f>IF(SUM($G757:T757)&gt;0.01,0,MAX(SUM($G751:T751)+$B752-SUM($G753:T753),0))*CHOOSE($D751,1,Параметры!T$53,Параметры!T$59)</f>
        <v>0</v>
      </c>
      <c r="U763" s="185">
        <f>IF(SUM($G757:U757)&gt;0.01,0,MAX(SUM($G751:U751)+$B752-SUM($G753:U753),0))*CHOOSE($D751,1,Параметры!U$53,Параметры!U$59)</f>
        <v>0</v>
      </c>
      <c r="V763" s="185">
        <f>IF(SUM($G757:V757)&gt;0.01,0,MAX(SUM($G751:V751)+$B752-SUM($G753:V753),0))*CHOOSE($D751,1,Параметры!V$53,Параметры!V$59)</f>
        <v>0</v>
      </c>
      <c r="W763" s="185">
        <f>IF(SUM($G757:W757)&gt;0.01,0,MAX(SUM($G751:W751)+$B752-SUM($G753:W753),0))*CHOOSE($D751,1,Параметры!W$53,Параметры!W$59)</f>
        <v>0</v>
      </c>
      <c r="X763" s="185">
        <f>IF(SUM($G757:X757)&gt;0.01,0,MAX(SUM($G751:X751)+$B752-SUM($G753:X753),0))*CHOOSE($D751,1,Параметры!X$53,Параметры!X$59)</f>
        <v>0</v>
      </c>
      <c r="Y763" s="185">
        <f>IF(SUM($G757:Y757)&gt;0.01,0,MAX(SUM($G751:Y751)+$B752-SUM($G753:Y753),0))*CHOOSE($D751,1,Параметры!Y$53,Параметры!Y$59)</f>
        <v>0</v>
      </c>
      <c r="Z763" s="185">
        <f>IF(SUM($G757:Z757)&gt;0.01,0,MAX(SUM($G751:Z751)+$B752-SUM($G753:Z753),0))*CHOOSE($D751,1,Параметры!Z$53,Параметры!Z$59)</f>
        <v>0</v>
      </c>
      <c r="AA763" s="185">
        <f>IF(SUM($G757:AA757)&gt;0.01,0,MAX(SUM($G751:AA751)+$B752-SUM($G753:AA753),0))*CHOOSE($D751,1,Параметры!AA$53,Параметры!AA$59)</f>
        <v>0</v>
      </c>
      <c r="AB763" s="185">
        <f>IF(SUM($G757:AB757)&gt;0.01,0,MAX(SUM($G751:AB751)+$B752-SUM($G753:AB753),0))*CHOOSE($D751,1,Параметры!AB$53,Параметры!AB$59)</f>
        <v>0</v>
      </c>
      <c r="AC763" s="185">
        <f>IF(SUM($G757:AC757)&gt;0.01,0,MAX(SUM($G751:AC751)+$B752-SUM($G753:AC753),0))*CHOOSE($D751,1,Параметры!AC$53,Параметры!AC$59)</f>
        <v>0</v>
      </c>
      <c r="AD763" s="185">
        <f>IF(SUM($G757:AD757)&gt;0.01,0,MAX(SUM($G751:AD751)+$B752-SUM($G753:AD753),0))*CHOOSE($D751,1,Параметры!AD$53,Параметры!AD$59)</f>
        <v>0</v>
      </c>
      <c r="AE763" s="185">
        <f>IF(SUM($G757:AE757)&gt;0.01,0,MAX(SUM($G751:AE751)+$B752-SUM($G753:AE753),0))*CHOOSE($D751,1,Параметры!AE$53,Параметры!AE$59)</f>
        <v>0</v>
      </c>
      <c r="AF763" s="185">
        <f>IF(SUM($G757:AF757)&gt;0.01,0,MAX(SUM($G751:AF751)+$B752-SUM($G753:AF753),0))*CHOOSE($D751,1,Параметры!AF$53,Параметры!AF$59)</f>
        <v>0</v>
      </c>
      <c r="AG763" s="185">
        <f>IF(SUM($G757:AG757)&gt;0.01,0,MAX(SUM($G751:AG751)+$B752-SUM($G753:AG753),0))*CHOOSE($D751,1,Параметры!AG$53,Параметры!AG$59)</f>
        <v>0</v>
      </c>
      <c r="AH763" s="185">
        <f>IF(SUM($G757:AH757)&gt;0.01,0,MAX(SUM($G751:AH751)+$B752-SUM($G753:AH753),0))*CHOOSE($D751,1,Параметры!AH$53,Параметры!AH$59)</f>
        <v>0</v>
      </c>
      <c r="AI763" s="185">
        <f>IF(SUM($G757:AI757)&gt;0.01,0,MAX(SUM($G751:AI751)+$B752-SUM($G753:AI753),0))*CHOOSE($D751,1,Параметры!AI$53,Параметры!AI$59)</f>
        <v>0</v>
      </c>
      <c r="AJ763" s="185">
        <f>IF(SUM($G757:AJ757)&gt;0.01,0,MAX(SUM($G751:AJ751)+$B752-SUM($G753:AJ753),0))*CHOOSE($D751,1,Параметры!AJ$53,Параметры!AJ$59)</f>
        <v>0</v>
      </c>
      <c r="AK763" s="185">
        <f>IF(SUM($G757:AK757)&gt;0.01,0,MAX(SUM($G751:AK751)+$B752-SUM($G753:AK753),0))*CHOOSE($D751,1,Параметры!AK$53,Параметры!AK$59)</f>
        <v>0</v>
      </c>
      <c r="AL763" s="185">
        <f>IF(SUM($G757:AL757)&gt;0.01,0,MAX(SUM($G751:AL751)+$B752-SUM($G753:AL753),0))*CHOOSE($D751,1,Параметры!AL$53,Параметры!AL$59)</f>
        <v>0</v>
      </c>
      <c r="AM763" s="185">
        <f>IF(SUM($G757:AM757)&gt;0.01,0,MAX(SUM($G751:AM751)+$B752-SUM($G753:AM753),0))*CHOOSE($D751,1,Параметры!AM$53,Параметры!AM$59)</f>
        <v>0</v>
      </c>
      <c r="AN763" s="185">
        <f>IF(SUM($G757:AN757)&gt;0.01,0,MAX(SUM($G751:AN751)+$B752-SUM($G753:AN753),0))*CHOOSE($D751,1,Параметры!AN$53,Параметры!AN$59)</f>
        <v>0</v>
      </c>
      <c r="AO763" s="185">
        <f>IF(SUM($G757:AO757)&gt;0.01,0,MAX(SUM($G751:AO751)+$B752-SUM($G753:AO753),0))*CHOOSE($D751,1,Параметры!AO$53,Параметры!AO$59)</f>
        <v>0</v>
      </c>
      <c r="AP763" s="185">
        <f>IF(SUM($G757:AP757)&gt;0.01,0,MAX(SUM($G751:AP751)+$B752-SUM($G753:AP753),0))*CHOOSE($D751,1,Параметры!AP$53,Параметры!AP$59)</f>
        <v>0</v>
      </c>
      <c r="AQ763" s="185">
        <f>IF(SUM($G757:AQ757)&gt;0.01,0,MAX(SUM($G751:AQ751)+$B752-SUM($G753:AQ753),0))*CHOOSE($D751,1,Параметры!AQ$53,Параметры!AQ$59)</f>
        <v>0</v>
      </c>
      <c r="AR763" s="185">
        <f>IF(SUM($G757:AR757)&gt;0.01,0,MAX(SUM($G751:AR751)+$B752-SUM($G753:AR753),0))*CHOOSE($D751,1,Параметры!AR$53,Параметры!AR$59)</f>
        <v>0</v>
      </c>
      <c r="AS763" s="185">
        <f>IF(SUM($G757:AS757)&gt;0.01,0,MAX(SUM($G751:AS751)+$B752-SUM($G753:AS753),0))*CHOOSE($D751,1,Параметры!AS$53,Параметры!AS$59)</f>
        <v>0</v>
      </c>
      <c r="AT763" s="185">
        <f>IF(SUM($G757:AT757)&gt;0.01,0,MAX(SUM($G751:AT751)+$B752-SUM($G753:AT753),0))*CHOOSE($D751,1,Параметры!AT$53,Параметры!AT$59)</f>
        <v>0</v>
      </c>
      <c r="AU763" s="185">
        <f>IF(SUM($G757:AU757)&gt;0.01,0,MAX(SUM($G751:AU751)+$B752-SUM($G753:AU753),0))*CHOOSE($D751,1,Параметры!AU$53,Параметры!AU$59)</f>
        <v>0</v>
      </c>
      <c r="AV763" s="185">
        <f>IF(SUM($G757:AV757)&gt;0.01,0,MAX(SUM($G751:AV751)+$B752-SUM($G753:AV753),0))*CHOOSE($D751,1,Параметры!AV$53,Параметры!AV$59)</f>
        <v>0</v>
      </c>
      <c r="AW763" s="185">
        <f>IF(SUM($G757:AW757)&gt;0.01,0,MAX(SUM($G751:AW751)+$B752-SUM($G753:AW753),0))*CHOOSE($D751,1,Параметры!AW$53,Параметры!AW$59)</f>
        <v>0</v>
      </c>
      <c r="AX763" s="185">
        <f>IF(SUM($G757:AX757)&gt;0.01,0,MAX(SUM($G751:AX751)+$B752-SUM($G753:AX753),0))*CHOOSE($D751,1,Параметры!AX$53,Параметры!AX$59)</f>
        <v>0</v>
      </c>
      <c r="AY763" s="185">
        <f>IF(SUM($G757:AY757)&gt;0.01,0,MAX(SUM($G751:AY751)+$B752-SUM($G753:AY753),0))*CHOOSE($D751,1,Параметры!AY$53,Параметры!AY$59)</f>
        <v>0</v>
      </c>
      <c r="AZ763" s="185">
        <f>IF(SUM($G757:AZ757)&gt;0.01,0,MAX(SUM($G751:AZ751)+$B752-SUM($G753:AZ753),0))*CHOOSE($D751,1,Параметры!AZ$53,Параметры!AZ$59)</f>
        <v>0</v>
      </c>
      <c r="BA763" s="185">
        <f>IF(SUM($G757:BA757)&gt;0.01,0,MAX(SUM($G751:BA751)+$B752-SUM($G753:BA753),0))*CHOOSE($D751,1,Параметры!BA$53,Параметры!BA$59)</f>
        <v>0</v>
      </c>
      <c r="BB763" s="185">
        <f>IF(SUM($G757:BB757)&gt;0.01,0,MAX(SUM($G751:BB751)+$B752-SUM($G753:BB753),0))*CHOOSE($D751,1,Параметры!BB$53,Параметры!BB$59)</f>
        <v>0</v>
      </c>
      <c r="BC763" s="185"/>
      <c r="BD763" s="186"/>
    </row>
    <row r="764" spans="1:56" hidden="1" outlineLevel="1" x14ac:dyDescent="0.3">
      <c r="A764" s="184" t="str">
        <f ca="1">Language!A$886</f>
        <v>кредиторская задолженность</v>
      </c>
      <c r="B764" s="170"/>
      <c r="C764" s="163" t="str">
        <f t="shared" ca="1" si="3019"/>
        <v>руб.</v>
      </c>
      <c r="D764" s="174">
        <v>1</v>
      </c>
      <c r="E764" s="170" t="s">
        <v>752</v>
      </c>
      <c r="F764" s="170" t="s">
        <v>741</v>
      </c>
      <c r="G764" s="185">
        <f>IF(SUM($G757:G757)&gt;0.01,0,MAX(SUM($G753:G753)-SUM($G751:G751)-$B752,0))*CHOOSE($D751,1,Параметры!G$53,Параметры!G$59)*(1+G756)</f>
        <v>0</v>
      </c>
      <c r="H764" s="185">
        <f>IF(SUM($G757:H757)&gt;0.01,0,MAX(SUM($G753:H753)-SUM($G751:H751)-$B752,0))*CHOOSE($D751,1,Параметры!H$53,Параметры!H$59)*(1+H756)</f>
        <v>0</v>
      </c>
      <c r="I764" s="185">
        <f>IF(SUM($G757:I757)&gt;0.01,0,MAX(SUM($G753:I753)-SUM($G751:I751)-$B752,0))*CHOOSE($D751,1,Параметры!I$53,Параметры!I$59)*(1+I756)</f>
        <v>0</v>
      </c>
      <c r="J764" s="185">
        <f>IF(SUM($G757:J757)&gt;0.01,0,MAX(SUM($G753:J753)-SUM($G751:J751)-$B752,0))*CHOOSE($D751,1,Параметры!J$53,Параметры!J$59)*(1+J756)</f>
        <v>0</v>
      </c>
      <c r="K764" s="185">
        <f>IF(SUM($G757:K757)&gt;0.01,0,MAX(SUM($G753:K753)-SUM($G751:K751)-$B752,0))*CHOOSE($D751,1,Параметры!K$53,Параметры!K$59)*(1+K756)</f>
        <v>0</v>
      </c>
      <c r="L764" s="185">
        <f>IF(SUM($G757:L757)&gt;0.01,0,MAX(SUM($G753:L753)-SUM($G751:L751)-$B752,0))*CHOOSE($D751,1,Параметры!L$53,Параметры!L$59)*(1+L756)</f>
        <v>0</v>
      </c>
      <c r="M764" s="185">
        <f>IF(SUM($G757:M757)&gt;0.01,0,MAX(SUM($G753:M753)-SUM($G751:M751)-$B752,0))*CHOOSE($D751,1,Параметры!M$53,Параметры!M$59)*(1+M756)</f>
        <v>0</v>
      </c>
      <c r="N764" s="185">
        <f>IF(SUM($G757:N757)&gt;0.01,0,MAX(SUM($G753:N753)-SUM($G751:N751)-$B752,0))*CHOOSE($D751,1,Параметры!N$53,Параметры!N$59)*(1+N756)</f>
        <v>0</v>
      </c>
      <c r="O764" s="185">
        <f>IF(SUM($G757:O757)&gt;0.01,0,MAX(SUM($G753:O753)-SUM($G751:O751)-$B752,0))*CHOOSE($D751,1,Параметры!O$53,Параметры!O$59)*(1+O756)</f>
        <v>0</v>
      </c>
      <c r="P764" s="185">
        <f>IF(SUM($G757:P757)&gt;0.01,0,MAX(SUM($G753:P753)-SUM($G751:P751)-$B752,0))*CHOOSE($D751,1,Параметры!P$53,Параметры!P$59)*(1+P756)</f>
        <v>0</v>
      </c>
      <c r="Q764" s="185">
        <f>IF(SUM($G757:Q757)&gt;0.01,0,MAX(SUM($G753:Q753)-SUM($G751:Q751)-$B752,0))*CHOOSE($D751,1,Параметры!Q$53,Параметры!Q$59)*(1+Q756)</f>
        <v>0</v>
      </c>
      <c r="R764" s="185">
        <f>IF(SUM($G757:R757)&gt;0.01,0,MAX(SUM($G753:R753)-SUM($G751:R751)-$B752,0))*CHOOSE($D751,1,Параметры!R$53,Параметры!R$59)*(1+R756)</f>
        <v>0</v>
      </c>
      <c r="S764" s="185">
        <f>IF(SUM($G757:S757)&gt;0.01,0,MAX(SUM($G753:S753)-SUM($G751:S751)-$B752,0))*CHOOSE($D751,1,Параметры!S$53,Параметры!S$59)*(1+S756)</f>
        <v>0</v>
      </c>
      <c r="T764" s="185">
        <f>IF(SUM($G757:T757)&gt;0.01,0,MAX(SUM($G753:T753)-SUM($G751:T751)-$B752,0))*CHOOSE($D751,1,Параметры!T$53,Параметры!T$59)*(1+T756)</f>
        <v>0</v>
      </c>
      <c r="U764" s="185">
        <f>IF(SUM($G757:U757)&gt;0.01,0,MAX(SUM($G753:U753)-SUM($G751:U751)-$B752,0))*CHOOSE($D751,1,Параметры!U$53,Параметры!U$59)*(1+U756)</f>
        <v>0</v>
      </c>
      <c r="V764" s="185">
        <f>IF(SUM($G757:V757)&gt;0.01,0,MAX(SUM($G753:V753)-SUM($G751:V751)-$B752,0))*CHOOSE($D751,1,Параметры!V$53,Параметры!V$59)*(1+V756)</f>
        <v>0</v>
      </c>
      <c r="W764" s="185">
        <f>IF(SUM($G757:W757)&gt;0.01,0,MAX(SUM($G753:W753)-SUM($G751:W751)-$B752,0))*CHOOSE($D751,1,Параметры!W$53,Параметры!W$59)*(1+W756)</f>
        <v>0</v>
      </c>
      <c r="X764" s="185">
        <f>IF(SUM($G757:X757)&gt;0.01,0,MAX(SUM($G753:X753)-SUM($G751:X751)-$B752,0))*CHOOSE($D751,1,Параметры!X$53,Параметры!X$59)*(1+X756)</f>
        <v>0</v>
      </c>
      <c r="Y764" s="185">
        <f>IF(SUM($G757:Y757)&gt;0.01,0,MAX(SUM($G753:Y753)-SUM($G751:Y751)-$B752,0))*CHOOSE($D751,1,Параметры!Y$53,Параметры!Y$59)*(1+Y756)</f>
        <v>0</v>
      </c>
      <c r="Z764" s="185">
        <f>IF(SUM($G757:Z757)&gt;0.01,0,MAX(SUM($G753:Z753)-SUM($G751:Z751)-$B752,0))*CHOOSE($D751,1,Параметры!Z$53,Параметры!Z$59)*(1+Z756)</f>
        <v>0</v>
      </c>
      <c r="AA764" s="185">
        <f>IF(SUM($G757:AA757)&gt;0.01,0,MAX(SUM($G753:AA753)-SUM($G751:AA751)-$B752,0))*CHOOSE($D751,1,Параметры!AA$53,Параметры!AA$59)*(1+AA756)</f>
        <v>0</v>
      </c>
      <c r="AB764" s="185">
        <f>IF(SUM($G757:AB757)&gt;0.01,0,MAX(SUM($G753:AB753)-SUM($G751:AB751)-$B752,0))*CHOOSE($D751,1,Параметры!AB$53,Параметры!AB$59)*(1+AB756)</f>
        <v>0</v>
      </c>
      <c r="AC764" s="185">
        <f>IF(SUM($G757:AC757)&gt;0.01,0,MAX(SUM($G753:AC753)-SUM($G751:AC751)-$B752,0))*CHOOSE($D751,1,Параметры!AC$53,Параметры!AC$59)*(1+AC756)</f>
        <v>0</v>
      </c>
      <c r="AD764" s="185">
        <f>IF(SUM($G757:AD757)&gt;0.01,0,MAX(SUM($G753:AD753)-SUM($G751:AD751)-$B752,0))*CHOOSE($D751,1,Параметры!AD$53,Параметры!AD$59)*(1+AD756)</f>
        <v>0</v>
      </c>
      <c r="AE764" s="185">
        <f>IF(SUM($G757:AE757)&gt;0.01,0,MAX(SUM($G753:AE753)-SUM($G751:AE751)-$B752,0))*CHOOSE($D751,1,Параметры!AE$53,Параметры!AE$59)*(1+AE756)</f>
        <v>0</v>
      </c>
      <c r="AF764" s="185">
        <f>IF(SUM($G757:AF757)&gt;0.01,0,MAX(SUM($G753:AF753)-SUM($G751:AF751)-$B752,0))*CHOOSE($D751,1,Параметры!AF$53,Параметры!AF$59)*(1+AF756)</f>
        <v>0</v>
      </c>
      <c r="AG764" s="185">
        <f>IF(SUM($G757:AG757)&gt;0.01,0,MAX(SUM($G753:AG753)-SUM($G751:AG751)-$B752,0))*CHOOSE($D751,1,Параметры!AG$53,Параметры!AG$59)*(1+AG756)</f>
        <v>0</v>
      </c>
      <c r="AH764" s="185">
        <f>IF(SUM($G757:AH757)&gt;0.01,0,MAX(SUM($G753:AH753)-SUM($G751:AH751)-$B752,0))*CHOOSE($D751,1,Параметры!AH$53,Параметры!AH$59)*(1+AH756)</f>
        <v>0</v>
      </c>
      <c r="AI764" s="185">
        <f>IF(SUM($G757:AI757)&gt;0.01,0,MAX(SUM($G753:AI753)-SUM($G751:AI751)-$B752,0))*CHOOSE($D751,1,Параметры!AI$53,Параметры!AI$59)*(1+AI756)</f>
        <v>0</v>
      </c>
      <c r="AJ764" s="185">
        <f>IF(SUM($G757:AJ757)&gt;0.01,0,MAX(SUM($G753:AJ753)-SUM($G751:AJ751)-$B752,0))*CHOOSE($D751,1,Параметры!AJ$53,Параметры!AJ$59)*(1+AJ756)</f>
        <v>0</v>
      </c>
      <c r="AK764" s="185">
        <f>IF(SUM($G757:AK757)&gt;0.01,0,MAX(SUM($G753:AK753)-SUM($G751:AK751)-$B752,0))*CHOOSE($D751,1,Параметры!AK$53,Параметры!AK$59)*(1+AK756)</f>
        <v>0</v>
      </c>
      <c r="AL764" s="185">
        <f>IF(SUM($G757:AL757)&gt;0.01,0,MAX(SUM($G753:AL753)-SUM($G751:AL751)-$B752,0))*CHOOSE($D751,1,Параметры!AL$53,Параметры!AL$59)*(1+AL756)</f>
        <v>0</v>
      </c>
      <c r="AM764" s="185">
        <f>IF(SUM($G757:AM757)&gt;0.01,0,MAX(SUM($G753:AM753)-SUM($G751:AM751)-$B752,0))*CHOOSE($D751,1,Параметры!AM$53,Параметры!AM$59)*(1+AM756)</f>
        <v>0</v>
      </c>
      <c r="AN764" s="185">
        <f>IF(SUM($G757:AN757)&gt;0.01,0,MAX(SUM($G753:AN753)-SUM($G751:AN751)-$B752,0))*CHOOSE($D751,1,Параметры!AN$53,Параметры!AN$59)*(1+AN756)</f>
        <v>0</v>
      </c>
      <c r="AO764" s="185">
        <f>IF(SUM($G757:AO757)&gt;0.01,0,MAX(SUM($G753:AO753)-SUM($G751:AO751)-$B752,0))*CHOOSE($D751,1,Параметры!AO$53,Параметры!AO$59)*(1+AO756)</f>
        <v>0</v>
      </c>
      <c r="AP764" s="185">
        <f>IF(SUM($G757:AP757)&gt;0.01,0,MAX(SUM($G753:AP753)-SUM($G751:AP751)-$B752,0))*CHOOSE($D751,1,Параметры!AP$53,Параметры!AP$59)*(1+AP756)</f>
        <v>0</v>
      </c>
      <c r="AQ764" s="185">
        <f>IF(SUM($G757:AQ757)&gt;0.01,0,MAX(SUM($G753:AQ753)-SUM($G751:AQ751)-$B752,0))*CHOOSE($D751,1,Параметры!AQ$53,Параметры!AQ$59)*(1+AQ756)</f>
        <v>0</v>
      </c>
      <c r="AR764" s="185">
        <f>IF(SUM($G757:AR757)&gt;0.01,0,MAX(SUM($G753:AR753)-SUM($G751:AR751)-$B752,0))*CHOOSE($D751,1,Параметры!AR$53,Параметры!AR$59)*(1+AR756)</f>
        <v>0</v>
      </c>
      <c r="AS764" s="185">
        <f>IF(SUM($G757:AS757)&gt;0.01,0,MAX(SUM($G753:AS753)-SUM($G751:AS751)-$B752,0))*CHOOSE($D751,1,Параметры!AS$53,Параметры!AS$59)*(1+AS756)</f>
        <v>0</v>
      </c>
      <c r="AT764" s="185">
        <f>IF(SUM($G757:AT757)&gt;0.01,0,MAX(SUM($G753:AT753)-SUM($G751:AT751)-$B752,0))*CHOOSE($D751,1,Параметры!AT$53,Параметры!AT$59)*(1+AT756)</f>
        <v>0</v>
      </c>
      <c r="AU764" s="185">
        <f>IF(SUM($G757:AU757)&gt;0.01,0,MAX(SUM($G753:AU753)-SUM($G751:AU751)-$B752,0))*CHOOSE($D751,1,Параметры!AU$53,Параметры!AU$59)*(1+AU756)</f>
        <v>0</v>
      </c>
      <c r="AV764" s="185">
        <f>IF(SUM($G757:AV757)&gt;0.01,0,MAX(SUM($G753:AV753)-SUM($G751:AV751)-$B752,0))*CHOOSE($D751,1,Параметры!AV$53,Параметры!AV$59)*(1+AV756)</f>
        <v>0</v>
      </c>
      <c r="AW764" s="185">
        <f>IF(SUM($G757:AW757)&gt;0.01,0,MAX(SUM($G753:AW753)-SUM($G751:AW751)-$B752,0))*CHOOSE($D751,1,Параметры!AW$53,Параметры!AW$59)*(1+AW756)</f>
        <v>0</v>
      </c>
      <c r="AX764" s="185">
        <f>IF(SUM($G757:AX757)&gt;0.01,0,MAX(SUM($G753:AX753)-SUM($G751:AX751)-$B752,0))*CHOOSE($D751,1,Параметры!AX$53,Параметры!AX$59)*(1+AX756)</f>
        <v>0</v>
      </c>
      <c r="AY764" s="185">
        <f>IF(SUM($G757:AY757)&gt;0.01,0,MAX(SUM($G753:AY753)-SUM($G751:AY751)-$B752,0))*CHOOSE($D751,1,Параметры!AY$53,Параметры!AY$59)*(1+AY756)</f>
        <v>0</v>
      </c>
      <c r="AZ764" s="185">
        <f>IF(SUM($G757:AZ757)&gt;0.01,0,MAX(SUM($G753:AZ753)-SUM($G751:AZ751)-$B752,0))*CHOOSE($D751,1,Параметры!AZ$53,Параметры!AZ$59)*(1+AZ756)</f>
        <v>0</v>
      </c>
      <c r="BA764" s="185">
        <f>IF(SUM($G757:BA757)&gt;0.01,0,MAX(SUM($G753:BA753)-SUM($G751:BA751)-$B752,0))*CHOOSE($D751,1,Параметры!BA$53,Параметры!BA$59)*(1+BA756)</f>
        <v>0</v>
      </c>
      <c r="BB764" s="185">
        <f>IF(SUM($G757:BB757)&gt;0.01,0,MAX(SUM($G753:BB753)-SUM($G751:BB751)-$B752,0))*CHOOSE($D751,1,Параметры!BB$53,Параметры!BB$59)*(1+BB756)</f>
        <v>0</v>
      </c>
      <c r="BC764" s="185"/>
      <c r="BD764" s="186"/>
    </row>
    <row r="765" spans="1:56" hidden="1" outlineLevel="1" x14ac:dyDescent="0.3">
      <c r="A765" s="184" t="str">
        <f ca="1">Language!A$1511</f>
        <v>НДС к кредиторской задолженности</v>
      </c>
      <c r="B765" s="170"/>
      <c r="C765" s="163" t="str">
        <f t="shared" ca="1" si="3019"/>
        <v>руб.</v>
      </c>
      <c r="D765" s="174">
        <v>1</v>
      </c>
      <c r="E765" s="170" t="s">
        <v>2294</v>
      </c>
      <c r="F765" s="170" t="s">
        <v>741</v>
      </c>
      <c r="G765" s="185">
        <f>MAX(SUM($G769:G769)-SUM($G768:G768)-SUM($G761:G761),0)</f>
        <v>0</v>
      </c>
      <c r="H765" s="185">
        <f>MAX(SUM($G769:H769)-SUM($G768:H768)-SUM($G761:H761),0)</f>
        <v>0</v>
      </c>
      <c r="I765" s="185">
        <f>MAX(SUM($G769:I769)-SUM($G768:I768)-SUM($G761:I761),0)</f>
        <v>0</v>
      </c>
      <c r="J765" s="185">
        <f>MAX(SUM($G769:J769)-SUM($G768:J768)-SUM($G761:J761),0)</f>
        <v>0</v>
      </c>
      <c r="K765" s="185">
        <f>MAX(SUM($G769:K769)-SUM($G768:K768)-SUM($G761:K761),0)</f>
        <v>0</v>
      </c>
      <c r="L765" s="185">
        <f>MAX(SUM($G769:L769)-SUM($G768:L768)-SUM($G761:L761),0)</f>
        <v>0</v>
      </c>
      <c r="M765" s="185">
        <f>MAX(SUM($G769:M769)-SUM($G768:M768)-SUM($G761:M761),0)</f>
        <v>0</v>
      </c>
      <c r="N765" s="185">
        <f>MAX(SUM($G769:N769)-SUM($G768:N768)-SUM($G761:N761),0)</f>
        <v>0</v>
      </c>
      <c r="O765" s="185">
        <f>MAX(SUM($G769:O769)-SUM($G768:O768)-SUM($G761:O761),0)</f>
        <v>0</v>
      </c>
      <c r="P765" s="185">
        <f>MAX(SUM($G769:P769)-SUM($G768:P768)-SUM($G761:P761),0)</f>
        <v>0</v>
      </c>
      <c r="Q765" s="185">
        <f>MAX(SUM($G769:Q769)-SUM($G768:Q768)-SUM($G761:Q761),0)</f>
        <v>0</v>
      </c>
      <c r="R765" s="185">
        <f>MAX(SUM($G769:R769)-SUM($G768:R768)-SUM($G761:R761),0)</f>
        <v>0</v>
      </c>
      <c r="S765" s="185">
        <f>MAX(SUM($G769:S769)-SUM($G768:S768)-SUM($G761:S761),0)</f>
        <v>0</v>
      </c>
      <c r="T765" s="185">
        <f>MAX(SUM($G769:T769)-SUM($G768:T768)-SUM($G761:T761),0)</f>
        <v>0</v>
      </c>
      <c r="U765" s="185">
        <f>MAX(SUM($G769:U769)-SUM($G768:U768)-SUM($G761:U761),0)</f>
        <v>0</v>
      </c>
      <c r="V765" s="185">
        <f>MAX(SUM($G769:V769)-SUM($G768:V768)-SUM($G761:V761),0)</f>
        <v>0</v>
      </c>
      <c r="W765" s="185">
        <f>MAX(SUM($G769:W769)-SUM($G768:W768)-SUM($G761:W761),0)</f>
        <v>0</v>
      </c>
      <c r="X765" s="185">
        <f>MAX(SUM($G769:X769)-SUM($G768:X768)-SUM($G761:X761),0)</f>
        <v>0</v>
      </c>
      <c r="Y765" s="185">
        <f>MAX(SUM($G769:Y769)-SUM($G768:Y768)-SUM($G761:Y761),0)</f>
        <v>0</v>
      </c>
      <c r="Z765" s="185">
        <f>MAX(SUM($G769:Z769)-SUM($G768:Z768)-SUM($G761:Z761),0)</f>
        <v>0</v>
      </c>
      <c r="AA765" s="185">
        <f>MAX(SUM($G769:AA769)-SUM($G768:AA768)-SUM($G761:AA761),0)</f>
        <v>0</v>
      </c>
      <c r="AB765" s="185">
        <f>MAX(SUM($G769:AB769)-SUM($G768:AB768)-SUM($G761:AB761),0)</f>
        <v>0</v>
      </c>
      <c r="AC765" s="185">
        <f>MAX(SUM($G769:AC769)-SUM($G768:AC768)-SUM($G761:AC761),0)</f>
        <v>0</v>
      </c>
      <c r="AD765" s="185">
        <f>MAX(SUM($G769:AD769)-SUM($G768:AD768)-SUM($G761:AD761),0)</f>
        <v>0</v>
      </c>
      <c r="AE765" s="185">
        <f>MAX(SUM($G769:AE769)-SUM($G768:AE768)-SUM($G761:AE761),0)</f>
        <v>0</v>
      </c>
      <c r="AF765" s="185">
        <f>MAX(SUM($G769:AF769)-SUM($G768:AF768)-SUM($G761:AF761),0)</f>
        <v>0</v>
      </c>
      <c r="AG765" s="185">
        <f>MAX(SUM($G769:AG769)-SUM($G768:AG768)-SUM($G761:AG761),0)</f>
        <v>0</v>
      </c>
      <c r="AH765" s="185">
        <f>MAX(SUM($G769:AH769)-SUM($G768:AH768)-SUM($G761:AH761),0)</f>
        <v>0</v>
      </c>
      <c r="AI765" s="185">
        <f>MAX(SUM($G769:AI769)-SUM($G768:AI768)-SUM($G761:AI761),0)</f>
        <v>0</v>
      </c>
      <c r="AJ765" s="185">
        <f>MAX(SUM($G769:AJ769)-SUM($G768:AJ768)-SUM($G761:AJ761),0)</f>
        <v>0</v>
      </c>
      <c r="AK765" s="185">
        <f>MAX(SUM($G769:AK769)-SUM($G768:AK768)-SUM($G761:AK761),0)</f>
        <v>0</v>
      </c>
      <c r="AL765" s="185">
        <f>MAX(SUM($G769:AL769)-SUM($G768:AL768)-SUM($G761:AL761),0)</f>
        <v>0</v>
      </c>
      <c r="AM765" s="185">
        <f>MAX(SUM($G769:AM769)-SUM($G768:AM768)-SUM($G761:AM761),0)</f>
        <v>0</v>
      </c>
      <c r="AN765" s="185">
        <f>MAX(SUM($G769:AN769)-SUM($G768:AN768)-SUM($G761:AN761),0)</f>
        <v>0</v>
      </c>
      <c r="AO765" s="185">
        <f>MAX(SUM($G769:AO769)-SUM($G768:AO768)-SUM($G761:AO761),0)</f>
        <v>0</v>
      </c>
      <c r="AP765" s="185">
        <f>MAX(SUM($G769:AP769)-SUM($G768:AP768)-SUM($G761:AP761),0)</f>
        <v>0</v>
      </c>
      <c r="AQ765" s="185">
        <f>MAX(SUM($G769:AQ769)-SUM($G768:AQ768)-SUM($G761:AQ761),0)</f>
        <v>0</v>
      </c>
      <c r="AR765" s="185">
        <f>MAX(SUM($G769:AR769)-SUM($G768:AR768)-SUM($G761:AR761),0)</f>
        <v>0</v>
      </c>
      <c r="AS765" s="185">
        <f>MAX(SUM($G769:AS769)-SUM($G768:AS768)-SUM($G761:AS761),0)</f>
        <v>0</v>
      </c>
      <c r="AT765" s="185">
        <f>MAX(SUM($G769:AT769)-SUM($G768:AT768)-SUM($G761:AT761),0)</f>
        <v>0</v>
      </c>
      <c r="AU765" s="185">
        <f>MAX(SUM($G769:AU769)-SUM($G768:AU768)-SUM($G761:AU761),0)</f>
        <v>0</v>
      </c>
      <c r="AV765" s="185">
        <f>MAX(SUM($G769:AV769)-SUM($G768:AV768)-SUM($G761:AV761),0)</f>
        <v>0</v>
      </c>
      <c r="AW765" s="185">
        <f>MAX(SUM($G769:AW769)-SUM($G768:AW768)-SUM($G761:AW761),0)</f>
        <v>0</v>
      </c>
      <c r="AX765" s="185">
        <f>MAX(SUM($G769:AX769)-SUM($G768:AX768)-SUM($G761:AX761),0)</f>
        <v>0</v>
      </c>
      <c r="AY765" s="185">
        <f>MAX(SUM($G769:AY769)-SUM($G768:AY768)-SUM($G761:AY761),0)</f>
        <v>0</v>
      </c>
      <c r="AZ765" s="185">
        <f>MAX(SUM($G769:AZ769)-SUM($G768:AZ768)-SUM($G761:AZ761),0)</f>
        <v>0</v>
      </c>
      <c r="BA765" s="185">
        <f>MAX(SUM($G769:BA769)-SUM($G768:BA768)-SUM($G761:BA761),0)</f>
        <v>0</v>
      </c>
      <c r="BB765" s="185">
        <f>MAX(SUM($G769:BB769)-SUM($G768:BB768)-SUM($G761:BB761),0)</f>
        <v>0</v>
      </c>
      <c r="BC765" s="185"/>
      <c r="BD765" s="186"/>
    </row>
    <row r="766" spans="1:56" hidden="1" outlineLevel="1" x14ac:dyDescent="0.3">
      <c r="A766" s="184" t="str">
        <f ca="1">Language!A$887</f>
        <v>амортизация (бухгалтерская)</v>
      </c>
      <c r="B766" s="170"/>
      <c r="C766" s="163" t="str">
        <f t="shared" ca="1" si="3019"/>
        <v>руб.</v>
      </c>
      <c r="D766" s="174">
        <v>1</v>
      </c>
      <c r="E766" s="170" t="s">
        <v>756</v>
      </c>
      <c r="F766" s="170" t="s">
        <v>740</v>
      </c>
      <c r="G766" s="185">
        <f ca="1">IF(SUM($G757:G757)&gt;0.01,0,IF($B754=0,0,MIN((SUM($G762:G762)-IF(G$2&gt;$B754*12/Prj_Step,SUM($G762:OFFSET(G762,0,-$B754*12/Prj_Step)),0))/$B754/12*Параметры!G$31,IF(G$2=1,G762,F767+SUM($F762:G762)-SUM($F762:F762)))))</f>
        <v>0</v>
      </c>
      <c r="H766" s="185">
        <f ca="1">IF(SUM($G757:H757)&gt;0.01,0,IF($B754=0,0,MIN((SUM($G762:H762)-IF(H$2&gt;$B754*12/Prj_Step,SUM($G762:OFFSET(H762,0,-$B754*12/Prj_Step)),0))/$B754/12*Параметры!H$31,IF(H$2=1,H762,G767+SUM($F762:H762)-SUM($F762:G762)))))</f>
        <v>0</v>
      </c>
      <c r="I766" s="185">
        <f ca="1">IF(SUM($G757:I757)&gt;0.01,0,IF($B754=0,0,MIN((SUM($G762:I762)-IF(I$2&gt;$B754*12/Prj_Step,SUM($G762:OFFSET(I762,0,-$B754*12/Prj_Step)),0))/$B754/12*Параметры!I$31,IF(I$2=1,I762,H767+SUM($F762:I762)-SUM($F762:H762)))))</f>
        <v>0</v>
      </c>
      <c r="J766" s="185">
        <f ca="1">IF(SUM($G757:J757)&gt;0.01,0,IF($B754=0,0,MIN((SUM($G762:J762)-IF(J$2&gt;$B754*12/Prj_Step,SUM($G762:OFFSET(J762,0,-$B754*12/Prj_Step)),0))/$B754/12*Параметры!J$31,IF(J$2=1,J762,I767+SUM($F762:J762)-SUM($F762:I762)))))</f>
        <v>0</v>
      </c>
      <c r="K766" s="185">
        <f ca="1">IF(SUM($G757:K757)&gt;0.01,0,IF($B754=0,0,MIN((SUM($G762:K762)-IF(K$2&gt;$B754*12/Prj_Step,SUM($G762:OFFSET(K762,0,-$B754*12/Prj_Step)),0))/$B754/12*Параметры!K$31,IF(K$2=1,K762,J767+SUM($F762:K762)-SUM($F762:J762)))))</f>
        <v>0</v>
      </c>
      <c r="L766" s="185">
        <f ca="1">IF(SUM($G757:L757)&gt;0.01,0,IF($B754=0,0,MIN((SUM($G762:L762)-IF(L$2&gt;$B754*12/Prj_Step,SUM($G762:OFFSET(L762,0,-$B754*12/Prj_Step)),0))/$B754/12*Параметры!L$31,IF(L$2=1,L762,K767+SUM($F762:L762)-SUM($F762:K762)))))</f>
        <v>0</v>
      </c>
      <c r="M766" s="185">
        <f ca="1">IF(SUM($G757:M757)&gt;0.01,0,IF($B754=0,0,MIN((SUM($G762:M762)-IF(M$2&gt;$B754*12/Prj_Step,SUM($G762:OFFSET(M762,0,-$B754*12/Prj_Step)),0))/$B754/12*Параметры!M$31,IF(M$2=1,M762,L767+SUM($F762:M762)-SUM($F762:L762)))))</f>
        <v>138888.88888888891</v>
      </c>
      <c r="N766" s="185">
        <f ca="1">IF(SUM($G757:N757)&gt;0.01,0,IF($B754=0,0,MIN((SUM($G762:N762)-IF(N$2&gt;$B754*12/Prj_Step,SUM($G762:OFFSET(N762,0,-$B754*12/Prj_Step)),0))/$B754/12*Параметры!N$31,IF(N$2=1,N762,M767+SUM($F762:N762)-SUM($F762:M762)))))</f>
        <v>138888.88888888891</v>
      </c>
      <c r="O766" s="185">
        <f ca="1">IF(SUM($G757:O757)&gt;0.01,0,IF($B754=0,0,MIN((SUM($G762:O762)-IF(O$2&gt;$B754*12/Prj_Step,SUM($G762:OFFSET(O762,0,-$B754*12/Prj_Step)),0))/$B754/12*Параметры!O$31,IF(O$2=1,O762,N767+SUM($F762:O762)-SUM($F762:N762)))))</f>
        <v>138888.88888888891</v>
      </c>
      <c r="P766" s="185">
        <f ca="1">IF(SUM($G757:P757)&gt;0.01,0,IF($B754=0,0,MIN((SUM($G762:P762)-IF(P$2&gt;$B754*12/Prj_Step,SUM($G762:OFFSET(P762,0,-$B754*12/Prj_Step)),0))/$B754/12*Параметры!P$31,IF(P$2=1,P762,O767+SUM($F762:P762)-SUM($F762:O762)))))</f>
        <v>138888.88888888891</v>
      </c>
      <c r="Q766" s="185">
        <f ca="1">IF(SUM($G757:Q757)&gt;0.01,0,IF($B754=0,0,MIN((SUM($G762:Q762)-IF(Q$2&gt;$B754*12/Prj_Step,SUM($G762:OFFSET(Q762,0,-$B754*12/Prj_Step)),0))/$B754/12*Параметры!Q$31,IF(Q$2=1,Q762,P767+SUM($F762:Q762)-SUM($F762:P762)))))</f>
        <v>138888.88888888891</v>
      </c>
      <c r="R766" s="185">
        <f ca="1">IF(SUM($G757:R757)&gt;0.01,0,IF($B754=0,0,MIN((SUM($G762:R762)-IF(R$2&gt;$B754*12/Prj_Step,SUM($G762:OFFSET(R762,0,-$B754*12/Prj_Step)),0))/$B754/12*Параметры!R$31,IF(R$2=1,R762,Q767+SUM($F762:R762)-SUM($F762:Q762)))))</f>
        <v>138888.88888888891</v>
      </c>
      <c r="S766" s="185">
        <f ca="1">IF(SUM($G757:S757)&gt;0.01,0,IF($B754=0,0,MIN((SUM($G762:S762)-IF(S$2&gt;$B754*12/Prj_Step,SUM($G762:OFFSET(S762,0,-$B754*12/Prj_Step)),0))/$B754/12*Параметры!S$31,IF(S$2=1,S762,R767+SUM($F762:S762)-SUM($F762:R762)))))</f>
        <v>138888.88888888891</v>
      </c>
      <c r="T766" s="185">
        <f ca="1">IF(SUM($G757:T757)&gt;0.01,0,IF($B754=0,0,MIN((SUM($G762:T762)-IF(T$2&gt;$B754*12/Prj_Step,SUM($G762:OFFSET(T762,0,-$B754*12/Prj_Step)),0))/$B754/12*Параметры!T$31,IF(T$2=1,T762,S767+SUM($F762:T762)-SUM($F762:S762)))))</f>
        <v>138888.88888888891</v>
      </c>
      <c r="U766" s="185">
        <f ca="1">IF(SUM($G757:U757)&gt;0.01,0,IF($B754=0,0,MIN((SUM($G762:U762)-IF(U$2&gt;$B754*12/Prj_Step,SUM($G762:OFFSET(U762,0,-$B754*12/Prj_Step)),0))/$B754/12*Параметры!U$31,IF(U$2=1,U762,T767+SUM($F762:U762)-SUM($F762:T762)))))</f>
        <v>138888.88888888891</v>
      </c>
      <c r="V766" s="185">
        <f ca="1">IF(SUM($G757:V757)&gt;0.01,0,IF($B754=0,0,MIN((SUM($G762:V762)-IF(V$2&gt;$B754*12/Prj_Step,SUM($G762:OFFSET(V762,0,-$B754*12/Prj_Step)),0))/$B754/12*Параметры!V$31,IF(V$2=1,V762,U767+SUM($F762:V762)-SUM($F762:U762)))))</f>
        <v>138888.88888888891</v>
      </c>
      <c r="W766" s="185">
        <f ca="1">IF(SUM($G757:W757)&gt;0.01,0,IF($B754=0,0,MIN((SUM($G762:W762)-IF(W$2&gt;$B754*12/Prj_Step,SUM($G762:OFFSET(W762,0,-$B754*12/Prj_Step)),0))/$B754/12*Параметры!W$31,IF(W$2=1,W762,V767+SUM($F762:W762)-SUM($F762:V762)))))</f>
        <v>138888.88888888891</v>
      </c>
      <c r="X766" s="185">
        <f ca="1">IF(SUM($G757:X757)&gt;0.01,0,IF($B754=0,0,MIN((SUM($G762:X762)-IF(X$2&gt;$B754*12/Prj_Step,SUM($G762:OFFSET(X762,0,-$B754*12/Prj_Step)),0))/$B754/12*Параметры!X$31,IF(X$2=1,X762,W767+SUM($F762:X762)-SUM($F762:W762)))))</f>
        <v>138888.88888888891</v>
      </c>
      <c r="Y766" s="185">
        <f ca="1">IF(SUM($G757:Y757)&gt;0.01,0,IF($B754=0,0,MIN((SUM($G762:Y762)-IF(Y$2&gt;$B754*12/Prj_Step,SUM($G762:OFFSET(Y762,0,-$B754*12/Prj_Step)),0))/$B754/12*Параметры!Y$31,IF(Y$2=1,Y762,X767+SUM($F762:Y762)-SUM($F762:X762)))))</f>
        <v>138888.88888888891</v>
      </c>
      <c r="Z766" s="185">
        <f ca="1">IF(SUM($G757:Z757)&gt;0.01,0,IF($B754=0,0,MIN((SUM($G762:Z762)-IF(Z$2&gt;$B754*12/Prj_Step,SUM($G762:OFFSET(Z762,0,-$B754*12/Prj_Step)),0))/$B754/12*Параметры!Z$31,IF(Z$2=1,Z762,Y767+SUM($F762:Z762)-SUM($F762:Y762)))))</f>
        <v>138888.88888888891</v>
      </c>
      <c r="AA766" s="185">
        <f ca="1">IF(SUM($G757:AA757)&gt;0.01,0,IF($B754=0,0,MIN((SUM($G762:AA762)-IF(AA$2&gt;$B754*12/Prj_Step,SUM($G762:OFFSET(AA762,0,-$B754*12/Prj_Step)),0))/$B754/12*Параметры!AA$31,IF(AA$2=1,AA762,Z767+SUM($F762:AA762)-SUM($F762:Z762)))))</f>
        <v>138888.88888888891</v>
      </c>
      <c r="AB766" s="185">
        <f ca="1">IF(SUM($G757:AB757)&gt;0.01,0,IF($B754=0,0,MIN((SUM($G762:AB762)-IF(AB$2&gt;$B754*12/Prj_Step,SUM($G762:OFFSET(AB762,0,-$B754*12/Prj_Step)),0))/$B754/12*Параметры!AB$31,IF(AB$2=1,AB762,AA767+SUM($F762:AB762)-SUM($F762:AA762)))))</f>
        <v>138888.88888888891</v>
      </c>
      <c r="AC766" s="185">
        <f ca="1">IF(SUM($G757:AC757)&gt;0.01,0,IF($B754=0,0,MIN((SUM($G762:AC762)-IF(AC$2&gt;$B754*12/Prj_Step,SUM($G762:OFFSET(AC762,0,-$B754*12/Prj_Step)),0))/$B754/12*Параметры!AC$31,IF(AC$2=1,AC762,AB767+SUM($F762:AC762)-SUM($F762:AB762)))))</f>
        <v>138888.88888888891</v>
      </c>
      <c r="AD766" s="185">
        <f ca="1">IF(SUM($G757:AD757)&gt;0.01,0,IF($B754=0,0,MIN((SUM($G762:AD762)-IF(AD$2&gt;$B754*12/Prj_Step,SUM($G762:OFFSET(AD762,0,-$B754*12/Prj_Step)),0))/$B754/12*Параметры!AD$31,IF(AD$2=1,AD762,AC767+SUM($F762:AD762)-SUM($F762:AC762)))))</f>
        <v>138888.88888888891</v>
      </c>
      <c r="AE766" s="185">
        <f ca="1">IF(SUM($G757:AE757)&gt;0.01,0,IF($B754=0,0,MIN((SUM($G762:AE762)-IF(AE$2&gt;$B754*12/Prj_Step,SUM($G762:OFFSET(AE762,0,-$B754*12/Prj_Step)),0))/$B754/12*Параметры!AE$31,IF(AE$2=1,AE762,AD767+SUM($F762:AE762)-SUM($F762:AD762)))))</f>
        <v>138888.88888888891</v>
      </c>
      <c r="AF766" s="185">
        <f ca="1">IF(SUM($G757:AF757)&gt;0.01,0,IF($B754=0,0,MIN((SUM($G762:AF762)-IF(AF$2&gt;$B754*12/Prj_Step,SUM($G762:OFFSET(AF762,0,-$B754*12/Prj_Step)),0))/$B754/12*Параметры!AF$31,IF(AF$2=1,AF762,AE767+SUM($F762:AF762)-SUM($F762:AE762)))))</f>
        <v>138888.88888888891</v>
      </c>
      <c r="AG766" s="185">
        <f ca="1">IF(SUM($G757:AG757)&gt;0.01,0,IF($B754=0,0,MIN((SUM($G762:AG762)-IF(AG$2&gt;$B754*12/Prj_Step,SUM($G762:OFFSET(AG762,0,-$B754*12/Prj_Step)),0))/$B754/12*Параметры!AG$31,IF(AG$2=1,AG762,AF767+SUM($F762:AG762)-SUM($F762:AF762)))))</f>
        <v>138888.88888888891</v>
      </c>
      <c r="AH766" s="185">
        <f ca="1">IF(SUM($G757:AH757)&gt;0.01,0,IF($B754=0,0,MIN((SUM($G762:AH762)-IF(AH$2&gt;$B754*12/Prj_Step,SUM($G762:OFFSET(AH762,0,-$B754*12/Prj_Step)),0))/$B754/12*Параметры!AH$31,IF(AH$2=1,AH762,AG767+SUM($F762:AH762)-SUM($F762:AG762)))))</f>
        <v>138888.88888888891</v>
      </c>
      <c r="AI766" s="185">
        <f ca="1">IF(SUM($G757:AI757)&gt;0.01,0,IF($B754=0,0,MIN((SUM($G762:AI762)-IF(AI$2&gt;$B754*12/Prj_Step,SUM($G762:OFFSET(AI762,0,-$B754*12/Prj_Step)),0))/$B754/12*Параметры!AI$31,IF(AI$2=1,AI762,AH767+SUM($F762:AI762)-SUM($F762:AH762)))))</f>
        <v>138888.88888888891</v>
      </c>
      <c r="AJ766" s="185">
        <f ca="1">IF(SUM($G757:AJ757)&gt;0.01,0,IF($B754=0,0,MIN((SUM($G762:AJ762)-IF(AJ$2&gt;$B754*12/Prj_Step,SUM($G762:OFFSET(AJ762,0,-$B754*12/Prj_Step)),0))/$B754/12*Параметры!AJ$31,IF(AJ$2=1,AJ762,AI767+SUM($F762:AJ762)-SUM($F762:AI762)))))</f>
        <v>138888.88888888891</v>
      </c>
      <c r="AK766" s="185">
        <f ca="1">IF(SUM($G757:AK757)&gt;0.01,0,IF($B754=0,0,MIN((SUM($G762:AK762)-IF(AK$2&gt;$B754*12/Prj_Step,SUM($G762:OFFSET(AK762,0,-$B754*12/Prj_Step)),0))/$B754/12*Параметры!AK$31,IF(AK$2=1,AK762,AJ767+SUM($F762:AK762)-SUM($F762:AJ762)))))</f>
        <v>138888.88888888891</v>
      </c>
      <c r="AL766" s="185">
        <f ca="1">IF(SUM($G757:AL757)&gt;0.01,0,IF($B754=0,0,MIN((SUM($G762:AL762)-IF(AL$2&gt;$B754*12/Prj_Step,SUM($G762:OFFSET(AL762,0,-$B754*12/Prj_Step)),0))/$B754/12*Параметры!AL$31,IF(AL$2=1,AL762,AK767+SUM($F762:AL762)-SUM($F762:AK762)))))</f>
        <v>138888.88888888891</v>
      </c>
      <c r="AM766" s="185">
        <f ca="1">IF(SUM($G757:AM757)&gt;0.01,0,IF($B754=0,0,MIN((SUM($G762:AM762)-IF(AM$2&gt;$B754*12/Prj_Step,SUM($G762:OFFSET(AM762,0,-$B754*12/Prj_Step)),0))/$B754/12*Параметры!AM$31,IF(AM$2=1,AM762,AL767+SUM($F762:AM762)-SUM($F762:AL762)))))</f>
        <v>138888.88888888891</v>
      </c>
      <c r="AN766" s="185">
        <f ca="1">IF(SUM($G757:AN757)&gt;0.01,0,IF($B754=0,0,MIN((SUM($G762:AN762)-IF(AN$2&gt;$B754*12/Prj_Step,SUM($G762:OFFSET(AN762,0,-$B754*12/Prj_Step)),0))/$B754/12*Параметры!AN$31,IF(AN$2=1,AN762,AM767+SUM($F762:AN762)-SUM($F762:AM762)))))</f>
        <v>138888.88888888891</v>
      </c>
      <c r="AO766" s="185">
        <f ca="1">IF(SUM($G757:AO757)&gt;0.01,0,IF($B754=0,0,MIN((SUM($G762:AO762)-IF(AO$2&gt;$B754*12/Prj_Step,SUM($G762:OFFSET(AO762,0,-$B754*12/Prj_Step)),0))/$B754/12*Параметры!AO$31,IF(AO$2=1,AO762,AN767+SUM($F762:AO762)-SUM($F762:AN762)))))</f>
        <v>138888.88888888891</v>
      </c>
      <c r="AP766" s="185">
        <f ca="1">IF(SUM($G757:AP757)&gt;0.01,0,IF($B754=0,0,MIN((SUM($G762:AP762)-IF(AP$2&gt;$B754*12/Prj_Step,SUM($G762:OFFSET(AP762,0,-$B754*12/Prj_Step)),0))/$B754/12*Параметры!AP$31,IF(AP$2=1,AP762,AO767+SUM($F762:AP762)-SUM($F762:AO762)))))</f>
        <v>138888.88888888891</v>
      </c>
      <c r="AQ766" s="185">
        <f ca="1">IF(SUM($G757:AQ757)&gt;0.01,0,IF($B754=0,0,MIN((SUM($G762:AQ762)-IF(AQ$2&gt;$B754*12/Prj_Step,SUM($G762:OFFSET(AQ762,0,-$B754*12/Prj_Step)),0))/$B754/12*Параметры!AQ$31,IF(AQ$2=1,AQ762,AP767+SUM($F762:AQ762)-SUM($F762:AP762)))))</f>
        <v>138888.88888888891</v>
      </c>
      <c r="AR766" s="185">
        <f ca="1">IF(SUM($G757:AR757)&gt;0.01,0,IF($B754=0,0,MIN((SUM($G762:AR762)-IF(AR$2&gt;$B754*12/Prj_Step,SUM($G762:OFFSET(AR762,0,-$B754*12/Prj_Step)),0))/$B754/12*Параметры!AR$31,IF(AR$2=1,AR762,AQ767+SUM($F762:AR762)-SUM($F762:AQ762)))))</f>
        <v>138888.88888888891</v>
      </c>
      <c r="AS766" s="185">
        <f ca="1">IF(SUM($G757:AS757)&gt;0.01,0,IF($B754=0,0,MIN((SUM($G762:AS762)-IF(AS$2&gt;$B754*12/Prj_Step,SUM($G762:OFFSET(AS762,0,-$B754*12/Prj_Step)),0))/$B754/12*Параметры!AS$31,IF(AS$2=1,AS762,AR767+SUM($F762:AS762)-SUM($F762:AR762)))))</f>
        <v>138888.88888888891</v>
      </c>
      <c r="AT766" s="185">
        <f ca="1">IF(SUM($G757:AT757)&gt;0.01,0,IF($B754=0,0,MIN((SUM($G762:AT762)-IF(AT$2&gt;$B754*12/Prj_Step,SUM($G762:OFFSET(AT762,0,-$B754*12/Prj_Step)),0))/$B754/12*Параметры!AT$31,IF(AT$2=1,AT762,AS767+SUM($F762:AT762)-SUM($F762:AS762)))))</f>
        <v>138888.88888888891</v>
      </c>
      <c r="AU766" s="185">
        <f ca="1">IF(SUM($G757:AU757)&gt;0.01,0,IF($B754=0,0,MIN((SUM($G762:AU762)-IF(AU$2&gt;$B754*12/Prj_Step,SUM($G762:OFFSET(AU762,0,-$B754*12/Prj_Step)),0))/$B754/12*Параметры!AU$31,IF(AU$2=1,AU762,AT767+SUM($F762:AU762)-SUM($F762:AT762)))))</f>
        <v>138888.88888888891</v>
      </c>
      <c r="AV766" s="185">
        <f ca="1">IF(SUM($G757:AV757)&gt;0.01,0,IF($B754=0,0,MIN((SUM($G762:AV762)-IF(AV$2&gt;$B754*12/Prj_Step,SUM($G762:OFFSET(AV762,0,-$B754*12/Prj_Step)),0))/$B754/12*Параметры!AV$31,IF(AV$2=1,AV762,AU767+SUM($F762:AV762)-SUM($F762:AU762)))))</f>
        <v>138888.88888888891</v>
      </c>
      <c r="AW766" s="185">
        <f ca="1">IF(SUM($G757:AW757)&gt;0.01,0,IF($B754=0,0,MIN((SUM($G762:AW762)-IF(AW$2&gt;$B754*12/Prj_Step,SUM($G762:OFFSET(AW762,0,-$B754*12/Prj_Step)),0))/$B754/12*Параметры!AW$31,IF(AW$2=1,AW762,AV767+SUM($F762:AW762)-SUM($F762:AV762)))))</f>
        <v>138888.88888888891</v>
      </c>
      <c r="AX766" s="185">
        <f ca="1">IF(SUM($G757:AX757)&gt;0.01,0,IF($B754=0,0,MIN((SUM($G762:AX762)-IF(AX$2&gt;$B754*12/Prj_Step,SUM($G762:OFFSET(AX762,0,-$B754*12/Prj_Step)),0))/$B754/12*Параметры!AX$31,IF(AX$2=1,AX762,AW767+SUM($F762:AX762)-SUM($F762:AW762)))))</f>
        <v>138888.88888888891</v>
      </c>
      <c r="AY766" s="185">
        <f ca="1">IF(SUM($G757:AY757)&gt;0.01,0,IF($B754=0,0,MIN((SUM($G762:AY762)-IF(AY$2&gt;$B754*12/Prj_Step,SUM($G762:OFFSET(AY762,0,-$B754*12/Prj_Step)),0))/$B754/12*Параметры!AY$31,IF(AY$2=1,AY762,AX767+SUM($F762:AY762)-SUM($F762:AX762)))))</f>
        <v>138888.88888888891</v>
      </c>
      <c r="AZ766" s="185">
        <f ca="1">IF(SUM($G757:AZ757)&gt;0.01,0,IF($B754=0,0,MIN((SUM($G762:AZ762)-IF(AZ$2&gt;$B754*12/Prj_Step,SUM($G762:OFFSET(AZ762,0,-$B754*12/Prj_Step)),0))/$B754/12*Параметры!AZ$31,IF(AZ$2=1,AZ762,AY767+SUM($F762:AZ762)-SUM($F762:AY762)))))</f>
        <v>138888.88888888891</v>
      </c>
      <c r="BA766" s="185">
        <f ca="1">IF(SUM($G757:BA757)&gt;0.01,0,IF($B754=0,0,MIN((SUM($G762:BA762)-IF(BA$2&gt;$B754*12/Prj_Step,SUM($G762:OFFSET(BA762,0,-$B754*12/Prj_Step)),0))/$B754/12*Параметры!BA$31,IF(BA$2=1,BA762,AZ767+SUM($F762:BA762)-SUM($F762:AZ762)))))</f>
        <v>138888.88888888891</v>
      </c>
      <c r="BB766" s="185">
        <f ca="1">IF(SUM($G757:BB757)&gt;0.01,0,IF($B754=0,0,MIN((SUM($G762:BB762)-IF(BB$2&gt;$B754*12/Prj_Step,SUM($G762:OFFSET(BB762,0,-$B754*12/Prj_Step)),0))/$B754/12*Параметры!BB$31,IF(BB$2=1,BB762,BA767+SUM($F762:BB762)-SUM($F762:BA762)))))</f>
        <v>138888.88888888891</v>
      </c>
      <c r="BC766" s="185"/>
      <c r="BD766" s="193">
        <f ca="1">SUM(G766:BC766)</f>
        <v>5833333.3333333367</v>
      </c>
    </row>
    <row r="767" spans="1:56" hidden="1" outlineLevel="1" x14ac:dyDescent="0.3">
      <c r="A767" s="184" t="str">
        <f ca="1">Language!A$888</f>
        <v>балансовая стоимость (бухгалтерская)</v>
      </c>
      <c r="B767" s="170"/>
      <c r="C767" s="163" t="str">
        <f t="shared" ca="1" si="3019"/>
        <v>руб.</v>
      </c>
      <c r="D767" s="174">
        <v>1</v>
      </c>
      <c r="E767" s="170" t="s">
        <v>757</v>
      </c>
      <c r="F767" s="170" t="s">
        <v>741</v>
      </c>
      <c r="G767" s="185">
        <f ca="1">IF(SUM($G757:G757)&gt;0.01,0,SUM($G762:G762)-SUM($G766:G766))</f>
        <v>0</v>
      </c>
      <c r="H767" s="185">
        <f ca="1">IF(SUM($G757:H757)&gt;0.01,0,SUM($G762:H762)-SUM($G766:H766))</f>
        <v>0</v>
      </c>
      <c r="I767" s="185">
        <f ca="1">IF(SUM($G757:I757)&gt;0.01,0,SUM($G762:I762)-SUM($G766:I766))</f>
        <v>0</v>
      </c>
      <c r="J767" s="185">
        <f ca="1">IF(SUM($G757:J757)&gt;0.01,0,SUM($G762:J762)-SUM($G766:J766))</f>
        <v>0</v>
      </c>
      <c r="K767" s="185">
        <f ca="1">IF(SUM($G757:K757)&gt;0.01,0,SUM($G762:K762)-SUM($G766:K766))</f>
        <v>0</v>
      </c>
      <c r="L767" s="185">
        <f ca="1">IF(SUM($G757:L757)&gt;0.01,0,SUM($G762:L762)-SUM($G766:L766))</f>
        <v>0</v>
      </c>
      <c r="M767" s="185">
        <f ca="1">IF(SUM($G757:M757)&gt;0.01,0,SUM($G762:M762)-SUM($G766:M766))</f>
        <v>49861111.111111112</v>
      </c>
      <c r="N767" s="185">
        <f ca="1">IF(SUM($G757:N757)&gt;0.01,0,SUM($G762:N762)-SUM($G766:N766))</f>
        <v>49722222.222222224</v>
      </c>
      <c r="O767" s="185">
        <f ca="1">IF(SUM($G757:O757)&gt;0.01,0,SUM($G762:O762)-SUM($G766:O766))</f>
        <v>49583333.333333336</v>
      </c>
      <c r="P767" s="185">
        <f ca="1">IF(SUM($G757:P757)&gt;0.01,0,SUM($G762:P762)-SUM($G766:P766))</f>
        <v>49444444.444444448</v>
      </c>
      <c r="Q767" s="185">
        <f ca="1">IF(SUM($G757:Q757)&gt;0.01,0,SUM($G762:Q762)-SUM($G766:Q766))</f>
        <v>49305555.555555552</v>
      </c>
      <c r="R767" s="185">
        <f ca="1">IF(SUM($G757:R757)&gt;0.01,0,SUM($G762:R762)-SUM($G766:R766))</f>
        <v>49166666.666666664</v>
      </c>
      <c r="S767" s="185">
        <f ca="1">IF(SUM($G757:S757)&gt;0.01,0,SUM($G762:S762)-SUM($G766:S766))</f>
        <v>49027777.777777776</v>
      </c>
      <c r="T767" s="185">
        <f ca="1">IF(SUM($G757:T757)&gt;0.01,0,SUM($G762:T762)-SUM($G766:T766))</f>
        <v>48888888.888888888</v>
      </c>
      <c r="U767" s="185">
        <f ca="1">IF(SUM($G757:U757)&gt;0.01,0,SUM($G762:U762)-SUM($G766:U766))</f>
        <v>48750000</v>
      </c>
      <c r="V767" s="185">
        <f ca="1">IF(SUM($G757:V757)&gt;0.01,0,SUM($G762:V762)-SUM($G766:V766))</f>
        <v>48611111.111111112</v>
      </c>
      <c r="W767" s="185">
        <f ca="1">IF(SUM($G757:W757)&gt;0.01,0,SUM($G762:W762)-SUM($G766:W766))</f>
        <v>48472222.222222224</v>
      </c>
      <c r="X767" s="185">
        <f ca="1">IF(SUM($G757:X757)&gt;0.01,0,SUM($G762:X762)-SUM($G766:X766))</f>
        <v>48333333.333333336</v>
      </c>
      <c r="Y767" s="185">
        <f ca="1">IF(SUM($G757:Y757)&gt;0.01,0,SUM($G762:Y762)-SUM($G766:Y766))</f>
        <v>48194444.44444444</v>
      </c>
      <c r="Z767" s="185">
        <f ca="1">IF(SUM($G757:Z757)&gt;0.01,0,SUM($G762:Z762)-SUM($G766:Z766))</f>
        <v>48055555.555555552</v>
      </c>
      <c r="AA767" s="185">
        <f ca="1">IF(SUM($G757:AA757)&gt;0.01,0,SUM($G762:AA762)-SUM($G766:AA766))</f>
        <v>47916666.666666664</v>
      </c>
      <c r="AB767" s="185">
        <f ca="1">IF(SUM($G757:AB757)&gt;0.01,0,SUM($G762:AB762)-SUM($G766:AB766))</f>
        <v>47777777.777777776</v>
      </c>
      <c r="AC767" s="185">
        <f ca="1">IF(SUM($G757:AC757)&gt;0.01,0,SUM($G762:AC762)-SUM($G766:AC766))</f>
        <v>47638888.888888888</v>
      </c>
      <c r="AD767" s="185">
        <f ca="1">IF(SUM($G757:AD757)&gt;0.01,0,SUM($G762:AD762)-SUM($G766:AD766))</f>
        <v>47500000</v>
      </c>
      <c r="AE767" s="185">
        <f ca="1">IF(SUM($G757:AE757)&gt;0.01,0,SUM($G762:AE762)-SUM($G766:AE766))</f>
        <v>47361111.111111112</v>
      </c>
      <c r="AF767" s="185">
        <f ca="1">IF(SUM($G757:AF757)&gt;0.01,0,SUM($G762:AF762)-SUM($G766:AF766))</f>
        <v>47222222.222222224</v>
      </c>
      <c r="AG767" s="185">
        <f ca="1">IF(SUM($G757:AG757)&gt;0.01,0,SUM($G762:AG762)-SUM($G766:AG766))</f>
        <v>47083333.333333328</v>
      </c>
      <c r="AH767" s="185">
        <f ca="1">IF(SUM($G757:AH757)&gt;0.01,0,SUM($G762:AH762)-SUM($G766:AH766))</f>
        <v>46944444.44444444</v>
      </c>
      <c r="AI767" s="185">
        <f ca="1">IF(SUM($G757:AI757)&gt;0.01,0,SUM($G762:AI762)-SUM($G766:AI766))</f>
        <v>46805555.555555552</v>
      </c>
      <c r="AJ767" s="185">
        <f ca="1">IF(SUM($G757:AJ757)&gt;0.01,0,SUM($G762:AJ762)-SUM($G766:AJ766))</f>
        <v>46666666.666666664</v>
      </c>
      <c r="AK767" s="185">
        <f ca="1">IF(SUM($G757:AK757)&gt;0.01,0,SUM($G762:AK762)-SUM($G766:AK766))</f>
        <v>46527777.777777776</v>
      </c>
      <c r="AL767" s="185">
        <f ca="1">IF(SUM($G757:AL757)&gt;0.01,0,SUM($G762:AL762)-SUM($G766:AL766))</f>
        <v>46388888.888888888</v>
      </c>
      <c r="AM767" s="185">
        <f ca="1">IF(SUM($G757:AM757)&gt;0.01,0,SUM($G762:AM762)-SUM($G766:AM766))</f>
        <v>46250000</v>
      </c>
      <c r="AN767" s="185">
        <f ca="1">IF(SUM($G757:AN757)&gt;0.01,0,SUM($G762:AN762)-SUM($G766:AN766))</f>
        <v>46111111.111111112</v>
      </c>
      <c r="AO767" s="185">
        <f ca="1">IF(SUM($G757:AO757)&gt;0.01,0,SUM($G762:AO762)-SUM($G766:AO766))</f>
        <v>45972222.222222224</v>
      </c>
      <c r="AP767" s="185">
        <f ca="1">IF(SUM($G757:AP757)&gt;0.01,0,SUM($G762:AP762)-SUM($G766:AP766))</f>
        <v>45833333.333333328</v>
      </c>
      <c r="AQ767" s="185">
        <f ca="1">IF(SUM($G757:AQ757)&gt;0.01,0,SUM($G762:AQ762)-SUM($G766:AQ766))</f>
        <v>45694444.44444444</v>
      </c>
      <c r="AR767" s="185">
        <f ca="1">IF(SUM($G757:AR757)&gt;0.01,0,SUM($G762:AR762)-SUM($G766:AR766))</f>
        <v>45555555.555555552</v>
      </c>
      <c r="AS767" s="185">
        <f ca="1">IF(SUM($G757:AS757)&gt;0.01,0,SUM($G762:AS762)-SUM($G766:AS766))</f>
        <v>45416666.666666664</v>
      </c>
      <c r="AT767" s="185">
        <f ca="1">IF(SUM($G757:AT757)&gt;0.01,0,SUM($G762:AT762)-SUM($G766:AT766))</f>
        <v>45277777.777777776</v>
      </c>
      <c r="AU767" s="185">
        <f ca="1">IF(SUM($G757:AU757)&gt;0.01,0,SUM($G762:AU762)-SUM($G766:AU766))</f>
        <v>45138888.888888888</v>
      </c>
      <c r="AV767" s="185">
        <f ca="1">IF(SUM($G757:AV757)&gt;0.01,0,SUM($G762:AV762)-SUM($G766:AV766))</f>
        <v>45000000</v>
      </c>
      <c r="AW767" s="185">
        <f ca="1">IF(SUM($G757:AW757)&gt;0.01,0,SUM($G762:AW762)-SUM($G766:AW766))</f>
        <v>44861111.111111104</v>
      </c>
      <c r="AX767" s="185">
        <f ca="1">IF(SUM($G757:AX757)&gt;0.01,0,SUM($G762:AX762)-SUM($G766:AX766))</f>
        <v>44722222.222222216</v>
      </c>
      <c r="AY767" s="185">
        <f ca="1">IF(SUM($G757:AY757)&gt;0.01,0,SUM($G762:AY762)-SUM($G766:AY766))</f>
        <v>44583333.333333328</v>
      </c>
      <c r="AZ767" s="185">
        <f ca="1">IF(SUM($G757:AZ757)&gt;0.01,0,SUM($G762:AZ762)-SUM($G766:AZ766))</f>
        <v>44444444.44444444</v>
      </c>
      <c r="BA767" s="185">
        <f ca="1">IF(SUM($G757:BA757)&gt;0.01,0,SUM($G762:BA762)-SUM($G766:BA766))</f>
        <v>44305555.555555552</v>
      </c>
      <c r="BB767" s="185">
        <f ca="1">IF(SUM($G757:BB757)&gt;0.01,0,SUM($G762:BB762)-SUM($G766:BB766))</f>
        <v>44166666.666666664</v>
      </c>
      <c r="BC767" s="185"/>
      <c r="BD767" s="186"/>
    </row>
    <row r="768" spans="1:56" hidden="1" outlineLevel="1" x14ac:dyDescent="0.3">
      <c r="A768" s="184" t="str">
        <f ca="1">Language!A$889</f>
        <v>выплаченный НДС</v>
      </c>
      <c r="B768" s="170"/>
      <c r="C768" s="163" t="str">
        <f t="shared" ca="1" si="3019"/>
        <v>руб.</v>
      </c>
      <c r="D768" s="174">
        <v>1</v>
      </c>
      <c r="E768" s="170" t="s">
        <v>758</v>
      </c>
      <c r="F768" s="170" t="s">
        <v>740</v>
      </c>
      <c r="G768" s="185">
        <f t="shared" ref="G768:BB768" si="3021">G758*G756</f>
        <v>0</v>
      </c>
      <c r="H768" s="185">
        <f t="shared" si="3021"/>
        <v>0</v>
      </c>
      <c r="I768" s="185">
        <f t="shared" si="3021"/>
        <v>0</v>
      </c>
      <c r="J768" s="185">
        <f t="shared" si="3021"/>
        <v>0</v>
      </c>
      <c r="K768" s="185">
        <f t="shared" si="3021"/>
        <v>0</v>
      </c>
      <c r="L768" s="185">
        <f t="shared" si="3021"/>
        <v>0</v>
      </c>
      <c r="M768" s="185">
        <f t="shared" si="3021"/>
        <v>0</v>
      </c>
      <c r="N768" s="185">
        <f t="shared" si="3021"/>
        <v>0</v>
      </c>
      <c r="O768" s="185">
        <f t="shared" si="3021"/>
        <v>0</v>
      </c>
      <c r="P768" s="185">
        <f t="shared" si="3021"/>
        <v>0</v>
      </c>
      <c r="Q768" s="185">
        <f t="shared" si="3021"/>
        <v>0</v>
      </c>
      <c r="R768" s="185">
        <f t="shared" si="3021"/>
        <v>0</v>
      </c>
      <c r="S768" s="185">
        <f t="shared" si="3021"/>
        <v>0</v>
      </c>
      <c r="T768" s="185">
        <f t="shared" si="3021"/>
        <v>0</v>
      </c>
      <c r="U768" s="185">
        <f t="shared" si="3021"/>
        <v>0</v>
      </c>
      <c r="V768" s="185">
        <f t="shared" si="3021"/>
        <v>0</v>
      </c>
      <c r="W768" s="185">
        <f t="shared" si="3021"/>
        <v>0</v>
      </c>
      <c r="X768" s="185">
        <f t="shared" si="3021"/>
        <v>0</v>
      </c>
      <c r="Y768" s="185">
        <f t="shared" si="3021"/>
        <v>0</v>
      </c>
      <c r="Z768" s="185">
        <f t="shared" si="3021"/>
        <v>0</v>
      </c>
      <c r="AA768" s="185">
        <f t="shared" si="3021"/>
        <v>0</v>
      </c>
      <c r="AB768" s="185">
        <f t="shared" si="3021"/>
        <v>0</v>
      </c>
      <c r="AC768" s="185">
        <f t="shared" si="3021"/>
        <v>0</v>
      </c>
      <c r="AD768" s="185">
        <f t="shared" si="3021"/>
        <v>0</v>
      </c>
      <c r="AE768" s="185">
        <f t="shared" si="3021"/>
        <v>0</v>
      </c>
      <c r="AF768" s="185">
        <f t="shared" si="3021"/>
        <v>0</v>
      </c>
      <c r="AG768" s="185">
        <f t="shared" si="3021"/>
        <v>0</v>
      </c>
      <c r="AH768" s="185">
        <f t="shared" si="3021"/>
        <v>0</v>
      </c>
      <c r="AI768" s="185">
        <f t="shared" si="3021"/>
        <v>0</v>
      </c>
      <c r="AJ768" s="185">
        <f t="shared" si="3021"/>
        <v>0</v>
      </c>
      <c r="AK768" s="185">
        <f t="shared" si="3021"/>
        <v>0</v>
      </c>
      <c r="AL768" s="185">
        <f t="shared" si="3021"/>
        <v>0</v>
      </c>
      <c r="AM768" s="185">
        <f t="shared" si="3021"/>
        <v>0</v>
      </c>
      <c r="AN768" s="185">
        <f t="shared" si="3021"/>
        <v>0</v>
      </c>
      <c r="AO768" s="185">
        <f t="shared" si="3021"/>
        <v>0</v>
      </c>
      <c r="AP768" s="185">
        <f t="shared" si="3021"/>
        <v>0</v>
      </c>
      <c r="AQ768" s="185">
        <f t="shared" si="3021"/>
        <v>0</v>
      </c>
      <c r="AR768" s="185">
        <f t="shared" si="3021"/>
        <v>0</v>
      </c>
      <c r="AS768" s="185">
        <f t="shared" si="3021"/>
        <v>0</v>
      </c>
      <c r="AT768" s="185">
        <f t="shared" si="3021"/>
        <v>0</v>
      </c>
      <c r="AU768" s="185">
        <f t="shared" si="3021"/>
        <v>0</v>
      </c>
      <c r="AV768" s="185">
        <f t="shared" si="3021"/>
        <v>0</v>
      </c>
      <c r="AW768" s="185">
        <f t="shared" si="3021"/>
        <v>0</v>
      </c>
      <c r="AX768" s="185">
        <f t="shared" si="3021"/>
        <v>0</v>
      </c>
      <c r="AY768" s="185">
        <f t="shared" si="3021"/>
        <v>0</v>
      </c>
      <c r="AZ768" s="185">
        <f t="shared" si="3021"/>
        <v>0</v>
      </c>
      <c r="BA768" s="185">
        <f t="shared" si="3021"/>
        <v>0</v>
      </c>
      <c r="BB768" s="185">
        <f t="shared" si="3021"/>
        <v>0</v>
      </c>
      <c r="BC768" s="185"/>
      <c r="BD768" s="193">
        <f>SUM(G768:BC768)</f>
        <v>0</v>
      </c>
    </row>
    <row r="769" spans="1:56" hidden="1" outlineLevel="1" x14ac:dyDescent="0.3">
      <c r="A769" s="184" t="str">
        <f ca="1">Language!A$890</f>
        <v>зачтенный НДС</v>
      </c>
      <c r="B769" s="170"/>
      <c r="C769" s="163" t="str">
        <f t="shared" ca="1" si="3019"/>
        <v>руб.</v>
      </c>
      <c r="D769" s="174">
        <v>1</v>
      </c>
      <c r="E769" s="170" t="s">
        <v>759</v>
      </c>
      <c r="F769" s="170" t="s">
        <v>740</v>
      </c>
      <c r="G769" s="185">
        <f t="shared" ref="G769:BB769" si="3022">G762*G756</f>
        <v>0</v>
      </c>
      <c r="H769" s="185">
        <f t="shared" si="3022"/>
        <v>0</v>
      </c>
      <c r="I769" s="185">
        <f t="shared" si="3022"/>
        <v>0</v>
      </c>
      <c r="J769" s="185">
        <f t="shared" si="3022"/>
        <v>0</v>
      </c>
      <c r="K769" s="185">
        <f t="shared" si="3022"/>
        <v>0</v>
      </c>
      <c r="L769" s="185">
        <f t="shared" si="3022"/>
        <v>0</v>
      </c>
      <c r="M769" s="185">
        <f t="shared" si="3022"/>
        <v>0</v>
      </c>
      <c r="N769" s="185">
        <f t="shared" si="3022"/>
        <v>0</v>
      </c>
      <c r="O769" s="185">
        <f t="shared" si="3022"/>
        <v>0</v>
      </c>
      <c r="P769" s="185">
        <f t="shared" si="3022"/>
        <v>0</v>
      </c>
      <c r="Q769" s="185">
        <f t="shared" si="3022"/>
        <v>0</v>
      </c>
      <c r="R769" s="185">
        <f t="shared" si="3022"/>
        <v>0</v>
      </c>
      <c r="S769" s="185">
        <f t="shared" si="3022"/>
        <v>0</v>
      </c>
      <c r="T769" s="185">
        <f t="shared" si="3022"/>
        <v>0</v>
      </c>
      <c r="U769" s="185">
        <f t="shared" si="3022"/>
        <v>0</v>
      </c>
      <c r="V769" s="185">
        <f t="shared" si="3022"/>
        <v>0</v>
      </c>
      <c r="W769" s="185">
        <f t="shared" si="3022"/>
        <v>0</v>
      </c>
      <c r="X769" s="185">
        <f t="shared" si="3022"/>
        <v>0</v>
      </c>
      <c r="Y769" s="185">
        <f t="shared" si="3022"/>
        <v>0</v>
      </c>
      <c r="Z769" s="185">
        <f t="shared" si="3022"/>
        <v>0</v>
      </c>
      <c r="AA769" s="185">
        <f t="shared" si="3022"/>
        <v>0</v>
      </c>
      <c r="AB769" s="185">
        <f t="shared" si="3022"/>
        <v>0</v>
      </c>
      <c r="AC769" s="185">
        <f t="shared" si="3022"/>
        <v>0</v>
      </c>
      <c r="AD769" s="185">
        <f t="shared" si="3022"/>
        <v>0</v>
      </c>
      <c r="AE769" s="185">
        <f t="shared" si="3022"/>
        <v>0</v>
      </c>
      <c r="AF769" s="185">
        <f t="shared" si="3022"/>
        <v>0</v>
      </c>
      <c r="AG769" s="185">
        <f t="shared" si="3022"/>
        <v>0</v>
      </c>
      <c r="AH769" s="185">
        <f t="shared" si="3022"/>
        <v>0</v>
      </c>
      <c r="AI769" s="185">
        <f t="shared" si="3022"/>
        <v>0</v>
      </c>
      <c r="AJ769" s="185">
        <f t="shared" si="3022"/>
        <v>0</v>
      </c>
      <c r="AK769" s="185">
        <f t="shared" si="3022"/>
        <v>0</v>
      </c>
      <c r="AL769" s="185">
        <f t="shared" si="3022"/>
        <v>0</v>
      </c>
      <c r="AM769" s="185">
        <f t="shared" si="3022"/>
        <v>0</v>
      </c>
      <c r="AN769" s="185">
        <f t="shared" si="3022"/>
        <v>0</v>
      </c>
      <c r="AO769" s="185">
        <f t="shared" si="3022"/>
        <v>0</v>
      </c>
      <c r="AP769" s="185">
        <f t="shared" si="3022"/>
        <v>0</v>
      </c>
      <c r="AQ769" s="185">
        <f t="shared" si="3022"/>
        <v>0</v>
      </c>
      <c r="AR769" s="185">
        <f t="shared" si="3022"/>
        <v>0</v>
      </c>
      <c r="AS769" s="185">
        <f t="shared" si="3022"/>
        <v>0</v>
      </c>
      <c r="AT769" s="185">
        <f t="shared" si="3022"/>
        <v>0</v>
      </c>
      <c r="AU769" s="185">
        <f t="shared" si="3022"/>
        <v>0</v>
      </c>
      <c r="AV769" s="185">
        <f t="shared" si="3022"/>
        <v>0</v>
      </c>
      <c r="AW769" s="185">
        <f t="shared" si="3022"/>
        <v>0</v>
      </c>
      <c r="AX769" s="185">
        <f t="shared" si="3022"/>
        <v>0</v>
      </c>
      <c r="AY769" s="185">
        <f t="shared" si="3022"/>
        <v>0</v>
      </c>
      <c r="AZ769" s="185">
        <f t="shared" si="3022"/>
        <v>0</v>
      </c>
      <c r="BA769" s="185">
        <f t="shared" si="3022"/>
        <v>0</v>
      </c>
      <c r="BB769" s="185">
        <f t="shared" si="3022"/>
        <v>0</v>
      </c>
      <c r="BC769" s="185"/>
      <c r="BD769" s="193">
        <f>SUM(G769:BC769)</f>
        <v>0</v>
      </c>
    </row>
    <row r="770" spans="1:56" hidden="1" outlineLevel="1" x14ac:dyDescent="0.3">
      <c r="A770" s="184" t="str">
        <f ca="1">Language!A$891</f>
        <v>амортизация (налоговая)</v>
      </c>
      <c r="B770" s="170"/>
      <c r="C770" s="163" t="str">
        <f t="shared" ca="1" si="3019"/>
        <v>руб.</v>
      </c>
      <c r="D770" s="174">
        <v>1</v>
      </c>
      <c r="E770" s="170" t="s">
        <v>760</v>
      </c>
      <c r="F770" s="170" t="s">
        <v>740</v>
      </c>
      <c r="G770" s="185">
        <f ca="1">IF(SUM($G757:G757)&gt;0.01,0,$B755*G762+IF($B754=0,0,MIN((SUM($G762:G762)-IF(G$2&gt;$B754*12/Prj_Step,SUM($G762:OFFSET(G762,0,-$B754*12/Prj_Step)),0))*(1-$B755)/$B754/12*Параметры!G$31,IF(G$2=1,G762,F771+SUM($F762:G762)*(1-$B755)-SUM($F762:F762)*(1-$B755)))))</f>
        <v>0</v>
      </c>
      <c r="H770" s="185">
        <f ca="1">IF(SUM($G757:H757)&gt;0.01,0,$B755*H762+IF($B754=0,0,MIN((SUM($G762:H762)-IF(H$2&gt;$B754*12/Prj_Step,SUM($G762:OFFSET(H762,0,-$B754*12/Prj_Step)),0))*(1-$B755)/$B754/12*Параметры!H$31,IF(H$2=1,H762,G771+SUM($F762:H762)*(1-$B755)-SUM($F762:G762)*(1-$B755)))))</f>
        <v>0</v>
      </c>
      <c r="I770" s="185">
        <f ca="1">IF(SUM($G757:I757)&gt;0.01,0,$B755*I762+IF($B754=0,0,MIN((SUM($G762:I762)-IF(I$2&gt;$B754*12/Prj_Step,SUM($G762:OFFSET(I762,0,-$B754*12/Prj_Step)),0))*(1-$B755)/$B754/12*Параметры!I$31,IF(I$2=1,I762,H771+SUM($F762:I762)*(1-$B755)-SUM($F762:H762)*(1-$B755)))))</f>
        <v>0</v>
      </c>
      <c r="J770" s="185">
        <f ca="1">IF(SUM($G757:J757)&gt;0.01,0,$B755*J762+IF($B754=0,0,MIN((SUM($G762:J762)-IF(J$2&gt;$B754*12/Prj_Step,SUM($G762:OFFSET(J762,0,-$B754*12/Prj_Step)),0))*(1-$B755)/$B754/12*Параметры!J$31,IF(J$2=1,J762,I771+SUM($F762:J762)*(1-$B755)-SUM($F762:I762)*(1-$B755)))))</f>
        <v>0</v>
      </c>
      <c r="K770" s="185">
        <f ca="1">IF(SUM($G757:K757)&gt;0.01,0,$B755*K762+IF($B754=0,0,MIN((SUM($G762:K762)-IF(K$2&gt;$B754*12/Prj_Step,SUM($G762:OFFSET(K762,0,-$B754*12/Prj_Step)),0))*(1-$B755)/$B754/12*Параметры!K$31,IF(K$2=1,K762,J771+SUM($F762:K762)*(1-$B755)-SUM($F762:J762)*(1-$B755)))))</f>
        <v>0</v>
      </c>
      <c r="L770" s="185">
        <f ca="1">IF(SUM($G757:L757)&gt;0.01,0,$B755*L762+IF($B754=0,0,MIN((SUM($G762:L762)-IF(L$2&gt;$B754*12/Prj_Step,SUM($G762:OFFSET(L762,0,-$B754*12/Prj_Step)),0))*(1-$B755)/$B754/12*Параметры!L$31,IF(L$2=1,L762,K771+SUM($F762:L762)*(1-$B755)-SUM($F762:K762)*(1-$B755)))))</f>
        <v>0</v>
      </c>
      <c r="M770" s="185">
        <f ca="1">IF(SUM($G757:M757)&gt;0.01,0,$B755*M762+IF($B754=0,0,MIN((SUM($G762:M762)-IF(M$2&gt;$B754*12/Prj_Step,SUM($G762:OFFSET(M762,0,-$B754*12/Prj_Step)),0))*(1-$B755)/$B754/12*Параметры!M$31,IF(M$2=1,M762,L771+SUM($F762:M762)*(1-$B755)-SUM($F762:L762)*(1-$B755)))))</f>
        <v>138888.88888888891</v>
      </c>
      <c r="N770" s="185">
        <f ca="1">IF(SUM($G757:N757)&gt;0.01,0,$B755*N762+IF($B754=0,0,MIN((SUM($G762:N762)-IF(N$2&gt;$B754*12/Prj_Step,SUM($G762:OFFSET(N762,0,-$B754*12/Prj_Step)),0))*(1-$B755)/$B754/12*Параметры!N$31,IF(N$2=1,N762,M771+SUM($F762:N762)*(1-$B755)-SUM($F762:M762)*(1-$B755)))))</f>
        <v>138888.88888888891</v>
      </c>
      <c r="O770" s="185">
        <f ca="1">IF(SUM($G757:O757)&gt;0.01,0,$B755*O762+IF($B754=0,0,MIN((SUM($G762:O762)-IF(O$2&gt;$B754*12/Prj_Step,SUM($G762:OFFSET(O762,0,-$B754*12/Prj_Step)),0))*(1-$B755)/$B754/12*Параметры!O$31,IF(O$2=1,O762,N771+SUM($F762:O762)*(1-$B755)-SUM($F762:N762)*(1-$B755)))))</f>
        <v>138888.88888888891</v>
      </c>
      <c r="P770" s="185">
        <f ca="1">IF(SUM($G757:P757)&gt;0.01,0,$B755*P762+IF($B754=0,0,MIN((SUM($G762:P762)-IF(P$2&gt;$B754*12/Prj_Step,SUM($G762:OFFSET(P762,0,-$B754*12/Prj_Step)),0))*(1-$B755)/$B754/12*Параметры!P$31,IF(P$2=1,P762,O771+SUM($F762:P762)*(1-$B755)-SUM($F762:O762)*(1-$B755)))))</f>
        <v>138888.88888888891</v>
      </c>
      <c r="Q770" s="185">
        <f ca="1">IF(SUM($G757:Q757)&gt;0.01,0,$B755*Q762+IF($B754=0,0,MIN((SUM($G762:Q762)-IF(Q$2&gt;$B754*12/Prj_Step,SUM($G762:OFFSET(Q762,0,-$B754*12/Prj_Step)),0))*(1-$B755)/$B754/12*Параметры!Q$31,IF(Q$2=1,Q762,P771+SUM($F762:Q762)*(1-$B755)-SUM($F762:P762)*(1-$B755)))))</f>
        <v>138888.88888888891</v>
      </c>
      <c r="R770" s="185">
        <f ca="1">IF(SUM($G757:R757)&gt;0.01,0,$B755*R762+IF($B754=0,0,MIN((SUM($G762:R762)-IF(R$2&gt;$B754*12/Prj_Step,SUM($G762:OFFSET(R762,0,-$B754*12/Prj_Step)),0))*(1-$B755)/$B754/12*Параметры!R$31,IF(R$2=1,R762,Q771+SUM($F762:R762)*(1-$B755)-SUM($F762:Q762)*(1-$B755)))))</f>
        <v>138888.88888888891</v>
      </c>
      <c r="S770" s="185">
        <f ca="1">IF(SUM($G757:S757)&gt;0.01,0,$B755*S762+IF($B754=0,0,MIN((SUM($G762:S762)-IF(S$2&gt;$B754*12/Prj_Step,SUM($G762:OFFSET(S762,0,-$B754*12/Prj_Step)),0))*(1-$B755)/$B754/12*Параметры!S$31,IF(S$2=1,S762,R771+SUM($F762:S762)*(1-$B755)-SUM($F762:R762)*(1-$B755)))))</f>
        <v>138888.88888888891</v>
      </c>
      <c r="T770" s="185">
        <f ca="1">IF(SUM($G757:T757)&gt;0.01,0,$B755*T762+IF($B754=0,0,MIN((SUM($G762:T762)-IF(T$2&gt;$B754*12/Prj_Step,SUM($G762:OFFSET(T762,0,-$B754*12/Prj_Step)),0))*(1-$B755)/$B754/12*Параметры!T$31,IF(T$2=1,T762,S771+SUM($F762:T762)*(1-$B755)-SUM($F762:S762)*(1-$B755)))))</f>
        <v>138888.88888888891</v>
      </c>
      <c r="U770" s="185">
        <f ca="1">IF(SUM($G757:U757)&gt;0.01,0,$B755*U762+IF($B754=0,0,MIN((SUM($G762:U762)-IF(U$2&gt;$B754*12/Prj_Step,SUM($G762:OFFSET(U762,0,-$B754*12/Prj_Step)),0))*(1-$B755)/$B754/12*Параметры!U$31,IF(U$2=1,U762,T771+SUM($F762:U762)*(1-$B755)-SUM($F762:T762)*(1-$B755)))))</f>
        <v>138888.88888888891</v>
      </c>
      <c r="V770" s="185">
        <f ca="1">IF(SUM($G757:V757)&gt;0.01,0,$B755*V762+IF($B754=0,0,MIN((SUM($G762:V762)-IF(V$2&gt;$B754*12/Prj_Step,SUM($G762:OFFSET(V762,0,-$B754*12/Prj_Step)),0))*(1-$B755)/$B754/12*Параметры!V$31,IF(V$2=1,V762,U771+SUM($F762:V762)*(1-$B755)-SUM($F762:U762)*(1-$B755)))))</f>
        <v>138888.88888888891</v>
      </c>
      <c r="W770" s="185">
        <f ca="1">IF(SUM($G757:W757)&gt;0.01,0,$B755*W762+IF($B754=0,0,MIN((SUM($G762:W762)-IF(W$2&gt;$B754*12/Prj_Step,SUM($G762:OFFSET(W762,0,-$B754*12/Prj_Step)),0))*(1-$B755)/$B754/12*Параметры!W$31,IF(W$2=1,W762,V771+SUM($F762:W762)*(1-$B755)-SUM($F762:V762)*(1-$B755)))))</f>
        <v>138888.88888888891</v>
      </c>
      <c r="X770" s="185">
        <f ca="1">IF(SUM($G757:X757)&gt;0.01,0,$B755*X762+IF($B754=0,0,MIN((SUM($G762:X762)-IF(X$2&gt;$B754*12/Prj_Step,SUM($G762:OFFSET(X762,0,-$B754*12/Prj_Step)),0))*(1-$B755)/$B754/12*Параметры!X$31,IF(X$2=1,X762,W771+SUM($F762:X762)*(1-$B755)-SUM($F762:W762)*(1-$B755)))))</f>
        <v>138888.88888888891</v>
      </c>
      <c r="Y770" s="185">
        <f ca="1">IF(SUM($G757:Y757)&gt;0.01,0,$B755*Y762+IF($B754=0,0,MIN((SUM($G762:Y762)-IF(Y$2&gt;$B754*12/Prj_Step,SUM($G762:OFFSET(Y762,0,-$B754*12/Prj_Step)),0))*(1-$B755)/$B754/12*Параметры!Y$31,IF(Y$2=1,Y762,X771+SUM($F762:Y762)*(1-$B755)-SUM($F762:X762)*(1-$B755)))))</f>
        <v>138888.88888888891</v>
      </c>
      <c r="Z770" s="185">
        <f ca="1">IF(SUM($G757:Z757)&gt;0.01,0,$B755*Z762+IF($B754=0,0,MIN((SUM($G762:Z762)-IF(Z$2&gt;$B754*12/Prj_Step,SUM($G762:OFFSET(Z762,0,-$B754*12/Prj_Step)),0))*(1-$B755)/$B754/12*Параметры!Z$31,IF(Z$2=1,Z762,Y771+SUM($F762:Z762)*(1-$B755)-SUM($F762:Y762)*(1-$B755)))))</f>
        <v>138888.88888888891</v>
      </c>
      <c r="AA770" s="185">
        <f ca="1">IF(SUM($G757:AA757)&gt;0.01,0,$B755*AA762+IF($B754=0,0,MIN((SUM($G762:AA762)-IF(AA$2&gt;$B754*12/Prj_Step,SUM($G762:OFFSET(AA762,0,-$B754*12/Prj_Step)),0))*(1-$B755)/$B754/12*Параметры!AA$31,IF(AA$2=1,AA762,Z771+SUM($F762:AA762)*(1-$B755)-SUM($F762:Z762)*(1-$B755)))))</f>
        <v>138888.88888888891</v>
      </c>
      <c r="AB770" s="185">
        <f ca="1">IF(SUM($G757:AB757)&gt;0.01,0,$B755*AB762+IF($B754=0,0,MIN((SUM($G762:AB762)-IF(AB$2&gt;$B754*12/Prj_Step,SUM($G762:OFFSET(AB762,0,-$B754*12/Prj_Step)),0))*(1-$B755)/$B754/12*Параметры!AB$31,IF(AB$2=1,AB762,AA771+SUM($F762:AB762)*(1-$B755)-SUM($F762:AA762)*(1-$B755)))))</f>
        <v>138888.88888888891</v>
      </c>
      <c r="AC770" s="185">
        <f ca="1">IF(SUM($G757:AC757)&gt;0.01,0,$B755*AC762+IF($B754=0,0,MIN((SUM($G762:AC762)-IF(AC$2&gt;$B754*12/Prj_Step,SUM($G762:OFFSET(AC762,0,-$B754*12/Prj_Step)),0))*(1-$B755)/$B754/12*Параметры!AC$31,IF(AC$2=1,AC762,AB771+SUM($F762:AC762)*(1-$B755)-SUM($F762:AB762)*(1-$B755)))))</f>
        <v>138888.88888888891</v>
      </c>
      <c r="AD770" s="185">
        <f ca="1">IF(SUM($G757:AD757)&gt;0.01,0,$B755*AD762+IF($B754=0,0,MIN((SUM($G762:AD762)-IF(AD$2&gt;$B754*12/Prj_Step,SUM($G762:OFFSET(AD762,0,-$B754*12/Prj_Step)),0))*(1-$B755)/$B754/12*Параметры!AD$31,IF(AD$2=1,AD762,AC771+SUM($F762:AD762)*(1-$B755)-SUM($F762:AC762)*(1-$B755)))))</f>
        <v>138888.88888888891</v>
      </c>
      <c r="AE770" s="185">
        <f ca="1">IF(SUM($G757:AE757)&gt;0.01,0,$B755*AE762+IF($B754=0,0,MIN((SUM($G762:AE762)-IF(AE$2&gt;$B754*12/Prj_Step,SUM($G762:OFFSET(AE762,0,-$B754*12/Prj_Step)),0))*(1-$B755)/$B754/12*Параметры!AE$31,IF(AE$2=1,AE762,AD771+SUM($F762:AE762)*(1-$B755)-SUM($F762:AD762)*(1-$B755)))))</f>
        <v>138888.88888888891</v>
      </c>
      <c r="AF770" s="185">
        <f ca="1">IF(SUM($G757:AF757)&gt;0.01,0,$B755*AF762+IF($B754=0,0,MIN((SUM($G762:AF762)-IF(AF$2&gt;$B754*12/Prj_Step,SUM($G762:OFFSET(AF762,0,-$B754*12/Prj_Step)),0))*(1-$B755)/$B754/12*Параметры!AF$31,IF(AF$2=1,AF762,AE771+SUM($F762:AF762)*(1-$B755)-SUM($F762:AE762)*(1-$B755)))))</f>
        <v>138888.88888888891</v>
      </c>
      <c r="AG770" s="185">
        <f ca="1">IF(SUM($G757:AG757)&gt;0.01,0,$B755*AG762+IF($B754=0,0,MIN((SUM($G762:AG762)-IF(AG$2&gt;$B754*12/Prj_Step,SUM($G762:OFFSET(AG762,0,-$B754*12/Prj_Step)),0))*(1-$B755)/$B754/12*Параметры!AG$31,IF(AG$2=1,AG762,AF771+SUM($F762:AG762)*(1-$B755)-SUM($F762:AF762)*(1-$B755)))))</f>
        <v>138888.88888888891</v>
      </c>
      <c r="AH770" s="185">
        <f ca="1">IF(SUM($G757:AH757)&gt;0.01,0,$B755*AH762+IF($B754=0,0,MIN((SUM($G762:AH762)-IF(AH$2&gt;$B754*12/Prj_Step,SUM($G762:OFFSET(AH762,0,-$B754*12/Prj_Step)),0))*(1-$B755)/$B754/12*Параметры!AH$31,IF(AH$2=1,AH762,AG771+SUM($F762:AH762)*(1-$B755)-SUM($F762:AG762)*(1-$B755)))))</f>
        <v>138888.88888888891</v>
      </c>
      <c r="AI770" s="185">
        <f ca="1">IF(SUM($G757:AI757)&gt;0.01,0,$B755*AI762+IF($B754=0,0,MIN((SUM($G762:AI762)-IF(AI$2&gt;$B754*12/Prj_Step,SUM($G762:OFFSET(AI762,0,-$B754*12/Prj_Step)),0))*(1-$B755)/$B754/12*Параметры!AI$31,IF(AI$2=1,AI762,AH771+SUM($F762:AI762)*(1-$B755)-SUM($F762:AH762)*(1-$B755)))))</f>
        <v>138888.88888888891</v>
      </c>
      <c r="AJ770" s="185">
        <f ca="1">IF(SUM($G757:AJ757)&gt;0.01,0,$B755*AJ762+IF($B754=0,0,MIN((SUM($G762:AJ762)-IF(AJ$2&gt;$B754*12/Prj_Step,SUM($G762:OFFSET(AJ762,0,-$B754*12/Prj_Step)),0))*(1-$B755)/$B754/12*Параметры!AJ$31,IF(AJ$2=1,AJ762,AI771+SUM($F762:AJ762)*(1-$B755)-SUM($F762:AI762)*(1-$B755)))))</f>
        <v>138888.88888888891</v>
      </c>
      <c r="AK770" s="185">
        <f ca="1">IF(SUM($G757:AK757)&gt;0.01,0,$B755*AK762+IF($B754=0,0,MIN((SUM($G762:AK762)-IF(AK$2&gt;$B754*12/Prj_Step,SUM($G762:OFFSET(AK762,0,-$B754*12/Prj_Step)),0))*(1-$B755)/$B754/12*Параметры!AK$31,IF(AK$2=1,AK762,AJ771+SUM($F762:AK762)*(1-$B755)-SUM($F762:AJ762)*(1-$B755)))))</f>
        <v>138888.88888888891</v>
      </c>
      <c r="AL770" s="185">
        <f ca="1">IF(SUM($G757:AL757)&gt;0.01,0,$B755*AL762+IF($B754=0,0,MIN((SUM($G762:AL762)-IF(AL$2&gt;$B754*12/Prj_Step,SUM($G762:OFFSET(AL762,0,-$B754*12/Prj_Step)),0))*(1-$B755)/$B754/12*Параметры!AL$31,IF(AL$2=1,AL762,AK771+SUM($F762:AL762)*(1-$B755)-SUM($F762:AK762)*(1-$B755)))))</f>
        <v>138888.88888888891</v>
      </c>
      <c r="AM770" s="185">
        <f ca="1">IF(SUM($G757:AM757)&gt;0.01,0,$B755*AM762+IF($B754=0,0,MIN((SUM($G762:AM762)-IF(AM$2&gt;$B754*12/Prj_Step,SUM($G762:OFFSET(AM762,0,-$B754*12/Prj_Step)),0))*(1-$B755)/$B754/12*Параметры!AM$31,IF(AM$2=1,AM762,AL771+SUM($F762:AM762)*(1-$B755)-SUM($F762:AL762)*(1-$B755)))))</f>
        <v>138888.88888888891</v>
      </c>
      <c r="AN770" s="185">
        <f ca="1">IF(SUM($G757:AN757)&gt;0.01,0,$B755*AN762+IF($B754=0,0,MIN((SUM($G762:AN762)-IF(AN$2&gt;$B754*12/Prj_Step,SUM($G762:OFFSET(AN762,0,-$B754*12/Prj_Step)),0))*(1-$B755)/$B754/12*Параметры!AN$31,IF(AN$2=1,AN762,AM771+SUM($F762:AN762)*(1-$B755)-SUM($F762:AM762)*(1-$B755)))))</f>
        <v>138888.88888888891</v>
      </c>
      <c r="AO770" s="185">
        <f ca="1">IF(SUM($G757:AO757)&gt;0.01,0,$B755*AO762+IF($B754=0,0,MIN((SUM($G762:AO762)-IF(AO$2&gt;$B754*12/Prj_Step,SUM($G762:OFFSET(AO762,0,-$B754*12/Prj_Step)),0))*(1-$B755)/$B754/12*Параметры!AO$31,IF(AO$2=1,AO762,AN771+SUM($F762:AO762)*(1-$B755)-SUM($F762:AN762)*(1-$B755)))))</f>
        <v>138888.88888888891</v>
      </c>
      <c r="AP770" s="185">
        <f ca="1">IF(SUM($G757:AP757)&gt;0.01,0,$B755*AP762+IF($B754=0,0,MIN((SUM($G762:AP762)-IF(AP$2&gt;$B754*12/Prj_Step,SUM($G762:OFFSET(AP762,0,-$B754*12/Prj_Step)),0))*(1-$B755)/$B754/12*Параметры!AP$31,IF(AP$2=1,AP762,AO771+SUM($F762:AP762)*(1-$B755)-SUM($F762:AO762)*(1-$B755)))))</f>
        <v>138888.88888888891</v>
      </c>
      <c r="AQ770" s="185">
        <f ca="1">IF(SUM($G757:AQ757)&gt;0.01,0,$B755*AQ762+IF($B754=0,0,MIN((SUM($G762:AQ762)-IF(AQ$2&gt;$B754*12/Prj_Step,SUM($G762:OFFSET(AQ762,0,-$B754*12/Prj_Step)),0))*(1-$B755)/$B754/12*Параметры!AQ$31,IF(AQ$2=1,AQ762,AP771+SUM($F762:AQ762)*(1-$B755)-SUM($F762:AP762)*(1-$B755)))))</f>
        <v>138888.88888888891</v>
      </c>
      <c r="AR770" s="185">
        <f ca="1">IF(SUM($G757:AR757)&gt;0.01,0,$B755*AR762+IF($B754=0,0,MIN((SUM($G762:AR762)-IF(AR$2&gt;$B754*12/Prj_Step,SUM($G762:OFFSET(AR762,0,-$B754*12/Prj_Step)),0))*(1-$B755)/$B754/12*Параметры!AR$31,IF(AR$2=1,AR762,AQ771+SUM($F762:AR762)*(1-$B755)-SUM($F762:AQ762)*(1-$B755)))))</f>
        <v>138888.88888888891</v>
      </c>
      <c r="AS770" s="185">
        <f ca="1">IF(SUM($G757:AS757)&gt;0.01,0,$B755*AS762+IF($B754=0,0,MIN((SUM($G762:AS762)-IF(AS$2&gt;$B754*12/Prj_Step,SUM($G762:OFFSET(AS762,0,-$B754*12/Prj_Step)),0))*(1-$B755)/$B754/12*Параметры!AS$31,IF(AS$2=1,AS762,AR771+SUM($F762:AS762)*(1-$B755)-SUM($F762:AR762)*(1-$B755)))))</f>
        <v>138888.88888888891</v>
      </c>
      <c r="AT770" s="185">
        <f ca="1">IF(SUM($G757:AT757)&gt;0.01,0,$B755*AT762+IF($B754=0,0,MIN((SUM($G762:AT762)-IF(AT$2&gt;$B754*12/Prj_Step,SUM($G762:OFFSET(AT762,0,-$B754*12/Prj_Step)),0))*(1-$B755)/$B754/12*Параметры!AT$31,IF(AT$2=1,AT762,AS771+SUM($F762:AT762)*(1-$B755)-SUM($F762:AS762)*(1-$B755)))))</f>
        <v>138888.88888888891</v>
      </c>
      <c r="AU770" s="185">
        <f ca="1">IF(SUM($G757:AU757)&gt;0.01,0,$B755*AU762+IF($B754=0,0,MIN((SUM($G762:AU762)-IF(AU$2&gt;$B754*12/Prj_Step,SUM($G762:OFFSET(AU762,0,-$B754*12/Prj_Step)),0))*(1-$B755)/$B754/12*Параметры!AU$31,IF(AU$2=1,AU762,AT771+SUM($F762:AU762)*(1-$B755)-SUM($F762:AT762)*(1-$B755)))))</f>
        <v>138888.88888888891</v>
      </c>
      <c r="AV770" s="185">
        <f ca="1">IF(SUM($G757:AV757)&gt;0.01,0,$B755*AV762+IF($B754=0,0,MIN((SUM($G762:AV762)-IF(AV$2&gt;$B754*12/Prj_Step,SUM($G762:OFFSET(AV762,0,-$B754*12/Prj_Step)),0))*(1-$B755)/$B754/12*Параметры!AV$31,IF(AV$2=1,AV762,AU771+SUM($F762:AV762)*(1-$B755)-SUM($F762:AU762)*(1-$B755)))))</f>
        <v>138888.88888888891</v>
      </c>
      <c r="AW770" s="185">
        <f ca="1">IF(SUM($G757:AW757)&gt;0.01,0,$B755*AW762+IF($B754=0,0,MIN((SUM($G762:AW762)-IF(AW$2&gt;$B754*12/Prj_Step,SUM($G762:OFFSET(AW762,0,-$B754*12/Prj_Step)),0))*(1-$B755)/$B754/12*Параметры!AW$31,IF(AW$2=1,AW762,AV771+SUM($F762:AW762)*(1-$B755)-SUM($F762:AV762)*(1-$B755)))))</f>
        <v>138888.88888888891</v>
      </c>
      <c r="AX770" s="185">
        <f ca="1">IF(SUM($G757:AX757)&gt;0.01,0,$B755*AX762+IF($B754=0,0,MIN((SUM($G762:AX762)-IF(AX$2&gt;$B754*12/Prj_Step,SUM($G762:OFFSET(AX762,0,-$B754*12/Prj_Step)),0))*(1-$B755)/$B754/12*Параметры!AX$31,IF(AX$2=1,AX762,AW771+SUM($F762:AX762)*(1-$B755)-SUM($F762:AW762)*(1-$B755)))))</f>
        <v>138888.88888888891</v>
      </c>
      <c r="AY770" s="185">
        <f ca="1">IF(SUM($G757:AY757)&gt;0.01,0,$B755*AY762+IF($B754=0,0,MIN((SUM($G762:AY762)-IF(AY$2&gt;$B754*12/Prj_Step,SUM($G762:OFFSET(AY762,0,-$B754*12/Prj_Step)),0))*(1-$B755)/$B754/12*Параметры!AY$31,IF(AY$2=1,AY762,AX771+SUM($F762:AY762)*(1-$B755)-SUM($F762:AX762)*(1-$B755)))))</f>
        <v>138888.88888888891</v>
      </c>
      <c r="AZ770" s="185">
        <f ca="1">IF(SUM($G757:AZ757)&gt;0.01,0,$B755*AZ762+IF($B754=0,0,MIN((SUM($G762:AZ762)-IF(AZ$2&gt;$B754*12/Prj_Step,SUM($G762:OFFSET(AZ762,0,-$B754*12/Prj_Step)),0))*(1-$B755)/$B754/12*Параметры!AZ$31,IF(AZ$2=1,AZ762,AY771+SUM($F762:AZ762)*(1-$B755)-SUM($F762:AY762)*(1-$B755)))))</f>
        <v>138888.88888888891</v>
      </c>
      <c r="BA770" s="185">
        <f ca="1">IF(SUM($G757:BA757)&gt;0.01,0,$B755*BA762+IF($B754=0,0,MIN((SUM($G762:BA762)-IF(BA$2&gt;$B754*12/Prj_Step,SUM($G762:OFFSET(BA762,0,-$B754*12/Prj_Step)),0))*(1-$B755)/$B754/12*Параметры!BA$31,IF(BA$2=1,BA762,AZ771+SUM($F762:BA762)*(1-$B755)-SUM($F762:AZ762)*(1-$B755)))))</f>
        <v>138888.88888888891</v>
      </c>
      <c r="BB770" s="185">
        <f ca="1">IF(SUM($G757:BB757)&gt;0.01,0,$B755*BB762+IF($B754=0,0,MIN((SUM($G762:BB762)-IF(BB$2&gt;$B754*12/Prj_Step,SUM($G762:OFFSET(BB762,0,-$B754*12/Prj_Step)),0))*(1-$B755)/$B754/12*Параметры!BB$31,IF(BB$2=1,BB762,BA771+SUM($F762:BB762)*(1-$B755)-SUM($F762:BA762)*(1-$B755)))))</f>
        <v>138888.88888888891</v>
      </c>
      <c r="BC770" s="185"/>
      <c r="BD770" s="193">
        <f ca="1">SUM(G770:BC770)</f>
        <v>5833333.3333333367</v>
      </c>
    </row>
    <row r="771" spans="1:56" hidden="1" outlineLevel="1" x14ac:dyDescent="0.3">
      <c r="A771" s="184" t="str">
        <f ca="1">Language!A$892</f>
        <v>балансовая стоимость (налоговая)</v>
      </c>
      <c r="B771" s="170"/>
      <c r="C771" s="163" t="str">
        <f t="shared" ca="1" si="3019"/>
        <v>руб.</v>
      </c>
      <c r="D771" s="174">
        <v>1</v>
      </c>
      <c r="E771" s="170" t="s">
        <v>761</v>
      </c>
      <c r="F771" s="170" t="s">
        <v>741</v>
      </c>
      <c r="G771" s="185">
        <f ca="1">IF(SUM($G757:G757)&gt;0.01,0,SUM($G762:G762)-SUM($G770:G770))</f>
        <v>0</v>
      </c>
      <c r="H771" s="185">
        <f ca="1">IF(SUM($G757:H757)&gt;0.01,0,SUM($G762:H762)-SUM($G770:H770))</f>
        <v>0</v>
      </c>
      <c r="I771" s="185">
        <f ca="1">IF(SUM($G757:I757)&gt;0.01,0,SUM($G762:I762)-SUM($G770:I770))</f>
        <v>0</v>
      </c>
      <c r="J771" s="185">
        <f ca="1">IF(SUM($G757:J757)&gt;0.01,0,SUM($G762:J762)-SUM($G770:J770))</f>
        <v>0</v>
      </c>
      <c r="K771" s="185">
        <f ca="1">IF(SUM($G757:K757)&gt;0.01,0,SUM($G762:K762)-SUM($G770:K770))</f>
        <v>0</v>
      </c>
      <c r="L771" s="185">
        <f ca="1">IF(SUM($G757:L757)&gt;0.01,0,SUM($G762:L762)-SUM($G770:L770))</f>
        <v>0</v>
      </c>
      <c r="M771" s="185">
        <f ca="1">IF(SUM($G757:M757)&gt;0.01,0,SUM($G762:M762)-SUM($G770:M770))</f>
        <v>49861111.111111112</v>
      </c>
      <c r="N771" s="185">
        <f ca="1">IF(SUM($G757:N757)&gt;0.01,0,SUM($G762:N762)-SUM($G770:N770))</f>
        <v>49722222.222222224</v>
      </c>
      <c r="O771" s="185">
        <f ca="1">IF(SUM($G757:O757)&gt;0.01,0,SUM($G762:O762)-SUM($G770:O770))</f>
        <v>49583333.333333336</v>
      </c>
      <c r="P771" s="185">
        <f ca="1">IF(SUM($G757:P757)&gt;0.01,0,SUM($G762:P762)-SUM($G770:P770))</f>
        <v>49444444.444444448</v>
      </c>
      <c r="Q771" s="185">
        <f ca="1">IF(SUM($G757:Q757)&gt;0.01,0,SUM($G762:Q762)-SUM($G770:Q770))</f>
        <v>49305555.555555552</v>
      </c>
      <c r="R771" s="185">
        <f ca="1">IF(SUM($G757:R757)&gt;0.01,0,SUM($G762:R762)-SUM($G770:R770))</f>
        <v>49166666.666666664</v>
      </c>
      <c r="S771" s="185">
        <f ca="1">IF(SUM($G757:S757)&gt;0.01,0,SUM($G762:S762)-SUM($G770:S770))</f>
        <v>49027777.777777776</v>
      </c>
      <c r="T771" s="185">
        <f ca="1">IF(SUM($G757:T757)&gt;0.01,0,SUM($G762:T762)-SUM($G770:T770))</f>
        <v>48888888.888888888</v>
      </c>
      <c r="U771" s="185">
        <f ca="1">IF(SUM($G757:U757)&gt;0.01,0,SUM($G762:U762)-SUM($G770:U770))</f>
        <v>48750000</v>
      </c>
      <c r="V771" s="185">
        <f ca="1">IF(SUM($G757:V757)&gt;0.01,0,SUM($G762:V762)-SUM($G770:V770))</f>
        <v>48611111.111111112</v>
      </c>
      <c r="W771" s="185">
        <f ca="1">IF(SUM($G757:W757)&gt;0.01,0,SUM($G762:W762)-SUM($G770:W770))</f>
        <v>48472222.222222224</v>
      </c>
      <c r="X771" s="185">
        <f ca="1">IF(SUM($G757:X757)&gt;0.01,0,SUM($G762:X762)-SUM($G770:X770))</f>
        <v>48333333.333333336</v>
      </c>
      <c r="Y771" s="185">
        <f ca="1">IF(SUM($G757:Y757)&gt;0.01,0,SUM($G762:Y762)-SUM($G770:Y770))</f>
        <v>48194444.44444444</v>
      </c>
      <c r="Z771" s="185">
        <f ca="1">IF(SUM($G757:Z757)&gt;0.01,0,SUM($G762:Z762)-SUM($G770:Z770))</f>
        <v>48055555.555555552</v>
      </c>
      <c r="AA771" s="185">
        <f ca="1">IF(SUM($G757:AA757)&gt;0.01,0,SUM($G762:AA762)-SUM($G770:AA770))</f>
        <v>47916666.666666664</v>
      </c>
      <c r="AB771" s="185">
        <f ca="1">IF(SUM($G757:AB757)&gt;0.01,0,SUM($G762:AB762)-SUM($G770:AB770))</f>
        <v>47777777.777777776</v>
      </c>
      <c r="AC771" s="185">
        <f ca="1">IF(SUM($G757:AC757)&gt;0.01,0,SUM($G762:AC762)-SUM($G770:AC770))</f>
        <v>47638888.888888888</v>
      </c>
      <c r="AD771" s="185">
        <f ca="1">IF(SUM($G757:AD757)&gt;0.01,0,SUM($G762:AD762)-SUM($G770:AD770))</f>
        <v>47500000</v>
      </c>
      <c r="AE771" s="185">
        <f ca="1">IF(SUM($G757:AE757)&gt;0.01,0,SUM($G762:AE762)-SUM($G770:AE770))</f>
        <v>47361111.111111112</v>
      </c>
      <c r="AF771" s="185">
        <f ca="1">IF(SUM($G757:AF757)&gt;0.01,0,SUM($G762:AF762)-SUM($G770:AF770))</f>
        <v>47222222.222222224</v>
      </c>
      <c r="AG771" s="185">
        <f ca="1">IF(SUM($G757:AG757)&gt;0.01,0,SUM($G762:AG762)-SUM($G770:AG770))</f>
        <v>47083333.333333328</v>
      </c>
      <c r="AH771" s="185">
        <f ca="1">IF(SUM($G757:AH757)&gt;0.01,0,SUM($G762:AH762)-SUM($G770:AH770))</f>
        <v>46944444.44444444</v>
      </c>
      <c r="AI771" s="185">
        <f ca="1">IF(SUM($G757:AI757)&gt;0.01,0,SUM($G762:AI762)-SUM($G770:AI770))</f>
        <v>46805555.555555552</v>
      </c>
      <c r="AJ771" s="185">
        <f ca="1">IF(SUM($G757:AJ757)&gt;0.01,0,SUM($G762:AJ762)-SUM($G770:AJ770))</f>
        <v>46666666.666666664</v>
      </c>
      <c r="AK771" s="185">
        <f ca="1">IF(SUM($G757:AK757)&gt;0.01,0,SUM($G762:AK762)-SUM($G770:AK770))</f>
        <v>46527777.777777776</v>
      </c>
      <c r="AL771" s="185">
        <f ca="1">IF(SUM($G757:AL757)&gt;0.01,0,SUM($G762:AL762)-SUM($G770:AL770))</f>
        <v>46388888.888888888</v>
      </c>
      <c r="AM771" s="185">
        <f ca="1">IF(SUM($G757:AM757)&gt;0.01,0,SUM($G762:AM762)-SUM($G770:AM770))</f>
        <v>46250000</v>
      </c>
      <c r="AN771" s="185">
        <f ca="1">IF(SUM($G757:AN757)&gt;0.01,0,SUM($G762:AN762)-SUM($G770:AN770))</f>
        <v>46111111.111111112</v>
      </c>
      <c r="AO771" s="185">
        <f ca="1">IF(SUM($G757:AO757)&gt;0.01,0,SUM($G762:AO762)-SUM($G770:AO770))</f>
        <v>45972222.222222224</v>
      </c>
      <c r="AP771" s="185">
        <f ca="1">IF(SUM($G757:AP757)&gt;0.01,0,SUM($G762:AP762)-SUM($G770:AP770))</f>
        <v>45833333.333333328</v>
      </c>
      <c r="AQ771" s="185">
        <f ca="1">IF(SUM($G757:AQ757)&gt;0.01,0,SUM($G762:AQ762)-SUM($G770:AQ770))</f>
        <v>45694444.44444444</v>
      </c>
      <c r="AR771" s="185">
        <f ca="1">IF(SUM($G757:AR757)&gt;0.01,0,SUM($G762:AR762)-SUM($G770:AR770))</f>
        <v>45555555.555555552</v>
      </c>
      <c r="AS771" s="185">
        <f ca="1">IF(SUM($G757:AS757)&gt;0.01,0,SUM($G762:AS762)-SUM($G770:AS770))</f>
        <v>45416666.666666664</v>
      </c>
      <c r="AT771" s="185">
        <f ca="1">IF(SUM($G757:AT757)&gt;0.01,0,SUM($G762:AT762)-SUM($G770:AT770))</f>
        <v>45277777.777777776</v>
      </c>
      <c r="AU771" s="185">
        <f ca="1">IF(SUM($G757:AU757)&gt;0.01,0,SUM($G762:AU762)-SUM($G770:AU770))</f>
        <v>45138888.888888888</v>
      </c>
      <c r="AV771" s="185">
        <f ca="1">IF(SUM($G757:AV757)&gt;0.01,0,SUM($G762:AV762)-SUM($G770:AV770))</f>
        <v>45000000</v>
      </c>
      <c r="AW771" s="185">
        <f ca="1">IF(SUM($G757:AW757)&gt;0.01,0,SUM($G762:AW762)-SUM($G770:AW770))</f>
        <v>44861111.111111104</v>
      </c>
      <c r="AX771" s="185">
        <f ca="1">IF(SUM($G757:AX757)&gt;0.01,0,SUM($G762:AX762)-SUM($G770:AX770))</f>
        <v>44722222.222222216</v>
      </c>
      <c r="AY771" s="185">
        <f ca="1">IF(SUM($G757:AY757)&gt;0.01,0,SUM($G762:AY762)-SUM($G770:AY770))</f>
        <v>44583333.333333328</v>
      </c>
      <c r="AZ771" s="185">
        <f ca="1">IF(SUM($G757:AZ757)&gt;0.01,0,SUM($G762:AZ762)-SUM($G770:AZ770))</f>
        <v>44444444.44444444</v>
      </c>
      <c r="BA771" s="185">
        <f ca="1">IF(SUM($G757:BA757)&gt;0.01,0,SUM($G762:BA762)-SUM($G770:BA770))</f>
        <v>44305555.555555552</v>
      </c>
      <c r="BB771" s="185">
        <f ca="1">IF(SUM($G757:BB757)&gt;0.01,0,SUM($G762:BB762)-SUM($G770:BB770))</f>
        <v>44166666.666666664</v>
      </c>
      <c r="BC771" s="185"/>
      <c r="BD771" s="193"/>
    </row>
    <row r="772" spans="1:56" hidden="1" outlineLevel="1" x14ac:dyDescent="0.3">
      <c r="A772" s="184" t="str">
        <f ca="1">Language!A$893</f>
        <v>прибыль/убыток от продажи актива (бухгалтерская)</v>
      </c>
      <c r="B772" s="216"/>
      <c r="C772" s="163" t="str">
        <f t="shared" ca="1" si="3019"/>
        <v>руб.</v>
      </c>
      <c r="D772" s="174">
        <v>1</v>
      </c>
      <c r="E772" s="170" t="s">
        <v>762</v>
      </c>
      <c r="F772" s="170" t="s">
        <v>740</v>
      </c>
      <c r="G772" s="185">
        <f t="shared" ref="G772" si="3023">IF(G757=0,0,G757-IF(G$2=1,G758,F763+F767))</f>
        <v>0</v>
      </c>
      <c r="H772" s="185">
        <f t="shared" ref="H772" si="3024">IF(H757=0,0,H757-IF(H$2=1,H758,G763+G767))</f>
        <v>0</v>
      </c>
      <c r="I772" s="185">
        <f t="shared" ref="I772" si="3025">IF(I757=0,0,I757-IF(I$2=1,I758,H763+H767))</f>
        <v>0</v>
      </c>
      <c r="J772" s="185">
        <f t="shared" ref="J772" si="3026">IF(J757=0,0,J757-IF(J$2=1,J758,I763+I767))</f>
        <v>0</v>
      </c>
      <c r="K772" s="185">
        <f t="shared" ref="K772" si="3027">IF(K757=0,0,K757-IF(K$2=1,K758,J763+J767))</f>
        <v>0</v>
      </c>
      <c r="L772" s="185">
        <f t="shared" ref="L772" si="3028">IF(L757=0,0,L757-IF(L$2=1,L758,K763+K767))</f>
        <v>0</v>
      </c>
      <c r="M772" s="185">
        <f t="shared" ref="M772" si="3029">IF(M757=0,0,M757-IF(M$2=1,M758,L763+L767))</f>
        <v>0</v>
      </c>
      <c r="N772" s="185">
        <f t="shared" ref="N772" si="3030">IF(N757=0,0,N757-IF(N$2=1,N758,M763+M767))</f>
        <v>0</v>
      </c>
      <c r="O772" s="185">
        <f t="shared" ref="O772" si="3031">IF(O757=0,0,O757-IF(O$2=1,O758,N763+N767))</f>
        <v>0</v>
      </c>
      <c r="P772" s="185">
        <f t="shared" ref="P772" si="3032">IF(P757=0,0,P757-IF(P$2=1,P758,O763+O767))</f>
        <v>0</v>
      </c>
      <c r="Q772" s="185">
        <f t="shared" ref="Q772" si="3033">IF(Q757=0,0,Q757-IF(Q$2=1,Q758,P763+P767))</f>
        <v>0</v>
      </c>
      <c r="R772" s="185">
        <f t="shared" ref="R772" si="3034">IF(R757=0,0,R757-IF(R$2=1,R758,Q763+Q767))</f>
        <v>0</v>
      </c>
      <c r="S772" s="185">
        <f t="shared" ref="S772" si="3035">IF(S757=0,0,S757-IF(S$2=1,S758,R763+R767))</f>
        <v>0</v>
      </c>
      <c r="T772" s="185">
        <f t="shared" ref="T772" si="3036">IF(T757=0,0,T757-IF(T$2=1,T758,S763+S767))</f>
        <v>0</v>
      </c>
      <c r="U772" s="185">
        <f t="shared" ref="U772" si="3037">IF(U757=0,0,U757-IF(U$2=1,U758,T763+T767))</f>
        <v>0</v>
      </c>
      <c r="V772" s="185">
        <f t="shared" ref="V772" si="3038">IF(V757=0,0,V757-IF(V$2=1,V758,U763+U767))</f>
        <v>0</v>
      </c>
      <c r="W772" s="185">
        <f t="shared" ref="W772" si="3039">IF(W757=0,0,W757-IF(W$2=1,W758,V763+V767))</f>
        <v>0</v>
      </c>
      <c r="X772" s="185">
        <f t="shared" ref="X772" si="3040">IF(X757=0,0,X757-IF(X$2=1,X758,W763+W767))</f>
        <v>0</v>
      </c>
      <c r="Y772" s="185">
        <f t="shared" ref="Y772" si="3041">IF(Y757=0,0,Y757-IF(Y$2=1,Y758,X763+X767))</f>
        <v>0</v>
      </c>
      <c r="Z772" s="185">
        <f t="shared" ref="Z772" si="3042">IF(Z757=0,0,Z757-IF(Z$2=1,Z758,Y763+Y767))</f>
        <v>0</v>
      </c>
      <c r="AA772" s="185">
        <f t="shared" ref="AA772" si="3043">IF(AA757=0,0,AA757-IF(AA$2=1,AA758,Z763+Z767))</f>
        <v>0</v>
      </c>
      <c r="AB772" s="185">
        <f t="shared" ref="AB772" si="3044">IF(AB757=0,0,AB757-IF(AB$2=1,AB758,AA763+AA767))</f>
        <v>0</v>
      </c>
      <c r="AC772" s="185">
        <f t="shared" ref="AC772" si="3045">IF(AC757=0,0,AC757-IF(AC$2=1,AC758,AB763+AB767))</f>
        <v>0</v>
      </c>
      <c r="AD772" s="185">
        <f t="shared" ref="AD772" si="3046">IF(AD757=0,0,AD757-IF(AD$2=1,AD758,AC763+AC767))</f>
        <v>0</v>
      </c>
      <c r="AE772" s="185">
        <f t="shared" ref="AE772" si="3047">IF(AE757=0,0,AE757-IF(AE$2=1,AE758,AD763+AD767))</f>
        <v>0</v>
      </c>
      <c r="AF772" s="185">
        <f t="shared" ref="AF772" si="3048">IF(AF757=0,0,AF757-IF(AF$2=1,AF758,AE763+AE767))</f>
        <v>0</v>
      </c>
      <c r="AG772" s="185">
        <f t="shared" ref="AG772" si="3049">IF(AG757=0,0,AG757-IF(AG$2=1,AG758,AF763+AF767))</f>
        <v>0</v>
      </c>
      <c r="AH772" s="185">
        <f t="shared" ref="AH772" si="3050">IF(AH757=0,0,AH757-IF(AH$2=1,AH758,AG763+AG767))</f>
        <v>0</v>
      </c>
      <c r="AI772" s="185">
        <f t="shared" ref="AI772" si="3051">IF(AI757=0,0,AI757-IF(AI$2=1,AI758,AH763+AH767))</f>
        <v>0</v>
      </c>
      <c r="AJ772" s="185">
        <f t="shared" ref="AJ772" si="3052">IF(AJ757=0,0,AJ757-IF(AJ$2=1,AJ758,AI763+AI767))</f>
        <v>0</v>
      </c>
      <c r="AK772" s="185">
        <f t="shared" ref="AK772" si="3053">IF(AK757=0,0,AK757-IF(AK$2=1,AK758,AJ763+AJ767))</f>
        <v>0</v>
      </c>
      <c r="AL772" s="185">
        <f t="shared" ref="AL772" si="3054">IF(AL757=0,0,AL757-IF(AL$2=1,AL758,AK763+AK767))</f>
        <v>0</v>
      </c>
      <c r="AM772" s="185">
        <f t="shared" ref="AM772" si="3055">IF(AM757=0,0,AM757-IF(AM$2=1,AM758,AL763+AL767))</f>
        <v>0</v>
      </c>
      <c r="AN772" s="185">
        <f t="shared" ref="AN772" si="3056">IF(AN757=0,0,AN757-IF(AN$2=1,AN758,AM763+AM767))</f>
        <v>0</v>
      </c>
      <c r="AO772" s="185">
        <f t="shared" ref="AO772" si="3057">IF(AO757=0,0,AO757-IF(AO$2=1,AO758,AN763+AN767))</f>
        <v>0</v>
      </c>
      <c r="AP772" s="185">
        <f t="shared" ref="AP772" si="3058">IF(AP757=0,0,AP757-IF(AP$2=1,AP758,AO763+AO767))</f>
        <v>0</v>
      </c>
      <c r="AQ772" s="185">
        <f t="shared" ref="AQ772" si="3059">IF(AQ757=0,0,AQ757-IF(AQ$2=1,AQ758,AP763+AP767))</f>
        <v>0</v>
      </c>
      <c r="AR772" s="185">
        <f t="shared" ref="AR772" si="3060">IF(AR757=0,0,AR757-IF(AR$2=1,AR758,AQ763+AQ767))</f>
        <v>0</v>
      </c>
      <c r="AS772" s="185">
        <f t="shared" ref="AS772" si="3061">IF(AS757=0,0,AS757-IF(AS$2=1,AS758,AR763+AR767))</f>
        <v>0</v>
      </c>
      <c r="AT772" s="185">
        <f t="shared" ref="AT772" si="3062">IF(AT757=0,0,AT757-IF(AT$2=1,AT758,AS763+AS767))</f>
        <v>0</v>
      </c>
      <c r="AU772" s="185">
        <f t="shared" ref="AU772" si="3063">IF(AU757=0,0,AU757-IF(AU$2=1,AU758,AT763+AT767))</f>
        <v>0</v>
      </c>
      <c r="AV772" s="185">
        <f t="shared" ref="AV772" si="3064">IF(AV757=0,0,AV757-IF(AV$2=1,AV758,AU763+AU767))</f>
        <v>0</v>
      </c>
      <c r="AW772" s="185">
        <f t="shared" ref="AW772" si="3065">IF(AW757=0,0,AW757-IF(AW$2=1,AW758,AV763+AV767))</f>
        <v>0</v>
      </c>
      <c r="AX772" s="185">
        <f t="shared" ref="AX772" si="3066">IF(AX757=0,0,AX757-IF(AX$2=1,AX758,AW763+AW767))</f>
        <v>0</v>
      </c>
      <c r="AY772" s="185">
        <f t="shared" ref="AY772" si="3067">IF(AY757=0,0,AY757-IF(AY$2=1,AY758,AX763+AX767))</f>
        <v>0</v>
      </c>
      <c r="AZ772" s="185">
        <f t="shared" ref="AZ772" si="3068">IF(AZ757=0,0,AZ757-IF(AZ$2=1,AZ758,AY763+AY767))</f>
        <v>0</v>
      </c>
      <c r="BA772" s="185">
        <f t="shared" ref="BA772" si="3069">IF(BA757=0,0,BA757-IF(BA$2=1,BA758,AZ763+AZ767))</f>
        <v>0</v>
      </c>
      <c r="BB772" s="185">
        <f t="shared" ref="BB772" si="3070">IF(BB757=0,0,BB757-IF(BB$2=1,BB758,BA763+BA767))</f>
        <v>0</v>
      </c>
      <c r="BC772" s="185"/>
      <c r="BD772" s="193">
        <f>SUM(G772:BC772)</f>
        <v>0</v>
      </c>
    </row>
    <row r="773" spans="1:56" hidden="1" outlineLevel="1" x14ac:dyDescent="0.3">
      <c r="A773" s="184" t="str">
        <f ca="1">Language!A$894</f>
        <v>прибыль/убыток от продажи актива (налоговая)</v>
      </c>
      <c r="B773" s="216"/>
      <c r="C773" s="163" t="str">
        <f t="shared" ca="1" si="3019"/>
        <v>руб.</v>
      </c>
      <c r="D773" s="174">
        <v>1</v>
      </c>
      <c r="E773" s="170" t="s">
        <v>763</v>
      </c>
      <c r="F773" s="170" t="s">
        <v>740</v>
      </c>
      <c r="G773" s="185">
        <f t="shared" ref="G773" si="3071">IF(G757=0,0,G757-IF(G$2=1,G758,F763+F771))</f>
        <v>0</v>
      </c>
      <c r="H773" s="185">
        <f t="shared" ref="H773" si="3072">IF(H757=0,0,H757-IF(H$2=1,H758,G763+G771))</f>
        <v>0</v>
      </c>
      <c r="I773" s="185">
        <f t="shared" ref="I773" si="3073">IF(I757=0,0,I757-IF(I$2=1,I758,H763+H771))</f>
        <v>0</v>
      </c>
      <c r="J773" s="185">
        <f t="shared" ref="J773" si="3074">IF(J757=0,0,J757-IF(J$2=1,J758,I763+I771))</f>
        <v>0</v>
      </c>
      <c r="K773" s="185">
        <f t="shared" ref="K773" si="3075">IF(K757=0,0,K757-IF(K$2=1,K758,J763+J771))</f>
        <v>0</v>
      </c>
      <c r="L773" s="185">
        <f t="shared" ref="L773" si="3076">IF(L757=0,0,L757-IF(L$2=1,L758,K763+K771))</f>
        <v>0</v>
      </c>
      <c r="M773" s="185">
        <f t="shared" ref="M773" si="3077">IF(M757=0,0,M757-IF(M$2=1,M758,L763+L771))</f>
        <v>0</v>
      </c>
      <c r="N773" s="185">
        <f t="shared" ref="N773" si="3078">IF(N757=0,0,N757-IF(N$2=1,N758,M763+M771))</f>
        <v>0</v>
      </c>
      <c r="O773" s="185">
        <f t="shared" ref="O773" si="3079">IF(O757=0,0,O757-IF(O$2=1,O758,N763+N771))</f>
        <v>0</v>
      </c>
      <c r="P773" s="185">
        <f t="shared" ref="P773" si="3080">IF(P757=0,0,P757-IF(P$2=1,P758,O763+O771))</f>
        <v>0</v>
      </c>
      <c r="Q773" s="185">
        <f t="shared" ref="Q773" si="3081">IF(Q757=0,0,Q757-IF(Q$2=1,Q758,P763+P771))</f>
        <v>0</v>
      </c>
      <c r="R773" s="185">
        <f t="shared" ref="R773" si="3082">IF(R757=0,0,R757-IF(R$2=1,R758,Q763+Q771))</f>
        <v>0</v>
      </c>
      <c r="S773" s="185">
        <f t="shared" ref="S773" si="3083">IF(S757=0,0,S757-IF(S$2=1,S758,R763+R771))</f>
        <v>0</v>
      </c>
      <c r="T773" s="185">
        <f t="shared" ref="T773" si="3084">IF(T757=0,0,T757-IF(T$2=1,T758,S763+S771))</f>
        <v>0</v>
      </c>
      <c r="U773" s="185">
        <f t="shared" ref="U773" si="3085">IF(U757=0,0,U757-IF(U$2=1,U758,T763+T771))</f>
        <v>0</v>
      </c>
      <c r="V773" s="185">
        <f t="shared" ref="V773" si="3086">IF(V757=0,0,V757-IF(V$2=1,V758,U763+U771))</f>
        <v>0</v>
      </c>
      <c r="W773" s="185">
        <f t="shared" ref="W773" si="3087">IF(W757=0,0,W757-IF(W$2=1,W758,V763+V771))</f>
        <v>0</v>
      </c>
      <c r="X773" s="185">
        <f t="shared" ref="X773" si="3088">IF(X757=0,0,X757-IF(X$2=1,X758,W763+W771))</f>
        <v>0</v>
      </c>
      <c r="Y773" s="185">
        <f t="shared" ref="Y773" si="3089">IF(Y757=0,0,Y757-IF(Y$2=1,Y758,X763+X771))</f>
        <v>0</v>
      </c>
      <c r="Z773" s="185">
        <f t="shared" ref="Z773" si="3090">IF(Z757=0,0,Z757-IF(Z$2=1,Z758,Y763+Y771))</f>
        <v>0</v>
      </c>
      <c r="AA773" s="185">
        <f t="shared" ref="AA773" si="3091">IF(AA757=0,0,AA757-IF(AA$2=1,AA758,Z763+Z771))</f>
        <v>0</v>
      </c>
      <c r="AB773" s="185">
        <f t="shared" ref="AB773" si="3092">IF(AB757=0,0,AB757-IF(AB$2=1,AB758,AA763+AA771))</f>
        <v>0</v>
      </c>
      <c r="AC773" s="185">
        <f t="shared" ref="AC773" si="3093">IF(AC757=0,0,AC757-IF(AC$2=1,AC758,AB763+AB771))</f>
        <v>0</v>
      </c>
      <c r="AD773" s="185">
        <f t="shared" ref="AD773" si="3094">IF(AD757=0,0,AD757-IF(AD$2=1,AD758,AC763+AC771))</f>
        <v>0</v>
      </c>
      <c r="AE773" s="185">
        <f t="shared" ref="AE773" si="3095">IF(AE757=0,0,AE757-IF(AE$2=1,AE758,AD763+AD771))</f>
        <v>0</v>
      </c>
      <c r="AF773" s="185">
        <f t="shared" ref="AF773" si="3096">IF(AF757=0,0,AF757-IF(AF$2=1,AF758,AE763+AE771))</f>
        <v>0</v>
      </c>
      <c r="AG773" s="185">
        <f t="shared" ref="AG773" si="3097">IF(AG757=0,0,AG757-IF(AG$2=1,AG758,AF763+AF771))</f>
        <v>0</v>
      </c>
      <c r="AH773" s="185">
        <f t="shared" ref="AH773" si="3098">IF(AH757=0,0,AH757-IF(AH$2=1,AH758,AG763+AG771))</f>
        <v>0</v>
      </c>
      <c r="AI773" s="185">
        <f t="shared" ref="AI773" si="3099">IF(AI757=0,0,AI757-IF(AI$2=1,AI758,AH763+AH771))</f>
        <v>0</v>
      </c>
      <c r="AJ773" s="185">
        <f t="shared" ref="AJ773" si="3100">IF(AJ757=0,0,AJ757-IF(AJ$2=1,AJ758,AI763+AI771))</f>
        <v>0</v>
      </c>
      <c r="AK773" s="185">
        <f t="shared" ref="AK773" si="3101">IF(AK757=0,0,AK757-IF(AK$2=1,AK758,AJ763+AJ771))</f>
        <v>0</v>
      </c>
      <c r="AL773" s="185">
        <f t="shared" ref="AL773" si="3102">IF(AL757=0,0,AL757-IF(AL$2=1,AL758,AK763+AK771))</f>
        <v>0</v>
      </c>
      <c r="AM773" s="185">
        <f t="shared" ref="AM773" si="3103">IF(AM757=0,0,AM757-IF(AM$2=1,AM758,AL763+AL771))</f>
        <v>0</v>
      </c>
      <c r="AN773" s="185">
        <f t="shared" ref="AN773" si="3104">IF(AN757=0,0,AN757-IF(AN$2=1,AN758,AM763+AM771))</f>
        <v>0</v>
      </c>
      <c r="AO773" s="185">
        <f t="shared" ref="AO773" si="3105">IF(AO757=0,0,AO757-IF(AO$2=1,AO758,AN763+AN771))</f>
        <v>0</v>
      </c>
      <c r="AP773" s="185">
        <f t="shared" ref="AP773" si="3106">IF(AP757=0,0,AP757-IF(AP$2=1,AP758,AO763+AO771))</f>
        <v>0</v>
      </c>
      <c r="AQ773" s="185">
        <f t="shared" ref="AQ773" si="3107">IF(AQ757=0,0,AQ757-IF(AQ$2=1,AQ758,AP763+AP771))</f>
        <v>0</v>
      </c>
      <c r="AR773" s="185">
        <f t="shared" ref="AR773" si="3108">IF(AR757=0,0,AR757-IF(AR$2=1,AR758,AQ763+AQ771))</f>
        <v>0</v>
      </c>
      <c r="AS773" s="185">
        <f t="shared" ref="AS773" si="3109">IF(AS757=0,0,AS757-IF(AS$2=1,AS758,AR763+AR771))</f>
        <v>0</v>
      </c>
      <c r="AT773" s="185">
        <f t="shared" ref="AT773" si="3110">IF(AT757=0,0,AT757-IF(AT$2=1,AT758,AS763+AS771))</f>
        <v>0</v>
      </c>
      <c r="AU773" s="185">
        <f t="shared" ref="AU773" si="3111">IF(AU757=0,0,AU757-IF(AU$2=1,AU758,AT763+AT771))</f>
        <v>0</v>
      </c>
      <c r="AV773" s="185">
        <f t="shared" ref="AV773" si="3112">IF(AV757=0,0,AV757-IF(AV$2=1,AV758,AU763+AU771))</f>
        <v>0</v>
      </c>
      <c r="AW773" s="185">
        <f t="shared" ref="AW773" si="3113">IF(AW757=0,0,AW757-IF(AW$2=1,AW758,AV763+AV771))</f>
        <v>0</v>
      </c>
      <c r="AX773" s="185">
        <f t="shared" ref="AX773" si="3114">IF(AX757=0,0,AX757-IF(AX$2=1,AX758,AW763+AW771))</f>
        <v>0</v>
      </c>
      <c r="AY773" s="185">
        <f t="shared" ref="AY773" si="3115">IF(AY757=0,0,AY757-IF(AY$2=1,AY758,AX763+AX771))</f>
        <v>0</v>
      </c>
      <c r="AZ773" s="185">
        <f t="shared" ref="AZ773" si="3116">IF(AZ757=0,0,AZ757-IF(AZ$2=1,AZ758,AY763+AY771))</f>
        <v>0</v>
      </c>
      <c r="BA773" s="185">
        <f t="shared" ref="BA773" si="3117">IF(BA757=0,0,BA757-IF(BA$2=1,BA758,AZ763+AZ771))</f>
        <v>0</v>
      </c>
      <c r="BB773" s="185">
        <f t="shared" ref="BB773" si="3118">IF(BB757=0,0,BB757-IF(BB$2=1,BB758,BA763+BA771))</f>
        <v>0</v>
      </c>
      <c r="BC773" s="185"/>
      <c r="BD773" s="193">
        <f>SUM(G773:BC773)</f>
        <v>0</v>
      </c>
    </row>
    <row r="774" spans="1:56" hidden="1" outlineLevel="1" x14ac:dyDescent="0.3">
      <c r="A774" s="184" t="str">
        <f ca="1">Language!A$895</f>
        <v>НДС к выручке от продажи актива</v>
      </c>
      <c r="B774" s="216"/>
      <c r="C774" s="163" t="str">
        <f t="shared" ca="1" si="3019"/>
        <v>руб.</v>
      </c>
      <c r="D774" s="174">
        <v>1</v>
      </c>
      <c r="E774" s="170" t="s">
        <v>764</v>
      </c>
      <c r="F774" s="170" t="s">
        <v>740</v>
      </c>
      <c r="G774" s="185">
        <f t="shared" ref="G774:BB774" si="3119">G757*G756</f>
        <v>0</v>
      </c>
      <c r="H774" s="185">
        <f t="shared" si="3119"/>
        <v>0</v>
      </c>
      <c r="I774" s="185">
        <f t="shared" si="3119"/>
        <v>0</v>
      </c>
      <c r="J774" s="185">
        <f t="shared" si="3119"/>
        <v>0</v>
      </c>
      <c r="K774" s="185">
        <f t="shared" si="3119"/>
        <v>0</v>
      </c>
      <c r="L774" s="185">
        <f t="shared" si="3119"/>
        <v>0</v>
      </c>
      <c r="M774" s="185">
        <f t="shared" si="3119"/>
        <v>0</v>
      </c>
      <c r="N774" s="185">
        <f t="shared" si="3119"/>
        <v>0</v>
      </c>
      <c r="O774" s="185">
        <f t="shared" si="3119"/>
        <v>0</v>
      </c>
      <c r="P774" s="185">
        <f t="shared" si="3119"/>
        <v>0</v>
      </c>
      <c r="Q774" s="185">
        <f t="shared" si="3119"/>
        <v>0</v>
      </c>
      <c r="R774" s="185">
        <f t="shared" si="3119"/>
        <v>0</v>
      </c>
      <c r="S774" s="185">
        <f t="shared" si="3119"/>
        <v>0</v>
      </c>
      <c r="T774" s="185">
        <f t="shared" si="3119"/>
        <v>0</v>
      </c>
      <c r="U774" s="185">
        <f t="shared" si="3119"/>
        <v>0</v>
      </c>
      <c r="V774" s="185">
        <f t="shared" si="3119"/>
        <v>0</v>
      </c>
      <c r="W774" s="185">
        <f t="shared" si="3119"/>
        <v>0</v>
      </c>
      <c r="X774" s="185">
        <f t="shared" si="3119"/>
        <v>0</v>
      </c>
      <c r="Y774" s="185">
        <f t="shared" si="3119"/>
        <v>0</v>
      </c>
      <c r="Z774" s="185">
        <f t="shared" si="3119"/>
        <v>0</v>
      </c>
      <c r="AA774" s="185">
        <f t="shared" si="3119"/>
        <v>0</v>
      </c>
      <c r="AB774" s="185">
        <f t="shared" si="3119"/>
        <v>0</v>
      </c>
      <c r="AC774" s="185">
        <f t="shared" si="3119"/>
        <v>0</v>
      </c>
      <c r="AD774" s="185">
        <f t="shared" si="3119"/>
        <v>0</v>
      </c>
      <c r="AE774" s="185">
        <f t="shared" si="3119"/>
        <v>0</v>
      </c>
      <c r="AF774" s="185">
        <f t="shared" si="3119"/>
        <v>0</v>
      </c>
      <c r="AG774" s="185">
        <f t="shared" si="3119"/>
        <v>0</v>
      </c>
      <c r="AH774" s="185">
        <f t="shared" si="3119"/>
        <v>0</v>
      </c>
      <c r="AI774" s="185">
        <f t="shared" si="3119"/>
        <v>0</v>
      </c>
      <c r="AJ774" s="185">
        <f t="shared" si="3119"/>
        <v>0</v>
      </c>
      <c r="AK774" s="185">
        <f t="shared" si="3119"/>
        <v>0</v>
      </c>
      <c r="AL774" s="185">
        <f t="shared" si="3119"/>
        <v>0</v>
      </c>
      <c r="AM774" s="185">
        <f t="shared" si="3119"/>
        <v>0</v>
      </c>
      <c r="AN774" s="185">
        <f t="shared" si="3119"/>
        <v>0</v>
      </c>
      <c r="AO774" s="185">
        <f t="shared" si="3119"/>
        <v>0</v>
      </c>
      <c r="AP774" s="185">
        <f t="shared" si="3119"/>
        <v>0</v>
      </c>
      <c r="AQ774" s="185">
        <f t="shared" si="3119"/>
        <v>0</v>
      </c>
      <c r="AR774" s="185">
        <f t="shared" si="3119"/>
        <v>0</v>
      </c>
      <c r="AS774" s="185">
        <f t="shared" si="3119"/>
        <v>0</v>
      </c>
      <c r="AT774" s="185">
        <f t="shared" si="3119"/>
        <v>0</v>
      </c>
      <c r="AU774" s="185">
        <f t="shared" si="3119"/>
        <v>0</v>
      </c>
      <c r="AV774" s="185">
        <f t="shared" si="3119"/>
        <v>0</v>
      </c>
      <c r="AW774" s="185">
        <f t="shared" si="3119"/>
        <v>0</v>
      </c>
      <c r="AX774" s="185">
        <f t="shared" si="3119"/>
        <v>0</v>
      </c>
      <c r="AY774" s="185">
        <f t="shared" si="3119"/>
        <v>0</v>
      </c>
      <c r="AZ774" s="185">
        <f t="shared" si="3119"/>
        <v>0</v>
      </c>
      <c r="BA774" s="185">
        <f t="shared" si="3119"/>
        <v>0</v>
      </c>
      <c r="BB774" s="185">
        <f t="shared" si="3119"/>
        <v>0</v>
      </c>
      <c r="BC774" s="185"/>
      <c r="BD774" s="193">
        <f>SUM(G774:BC774)</f>
        <v>0</v>
      </c>
    </row>
    <row r="775" spans="1:56" hidden="1" outlineLevel="1" x14ac:dyDescent="0.3">
      <c r="A775" s="184" t="str">
        <f ca="1">Language!A$896</f>
        <v>курсовые разницы</v>
      </c>
      <c r="B775" s="216"/>
      <c r="C775" s="163" t="str">
        <f t="shared" ca="1" si="3019"/>
        <v>руб.</v>
      </c>
      <c r="D775" s="174">
        <v>1</v>
      </c>
      <c r="E775" s="170" t="s">
        <v>1278</v>
      </c>
      <c r="F775" s="170" t="s">
        <v>740</v>
      </c>
      <c r="G775" s="185">
        <f>-(SUM($G758:G758)+$B760-G763+G764-G765-SUM($G762:G762)+IF(G$2=1,0,SUM($F775:F775)))</f>
        <v>0</v>
      </c>
      <c r="H775" s="185">
        <f>-(SUM($G758:H758)+$B760-H763+H764-H765-SUM($G762:H762)+IF(H$2=1,0,SUM($F775:G775)))</f>
        <v>0</v>
      </c>
      <c r="I775" s="185">
        <f>-(SUM($G758:I758)+$B760-I763+I764-I765-SUM($G762:I762)+IF(I$2=1,0,SUM($F775:H775)))</f>
        <v>0</v>
      </c>
      <c r="J775" s="185">
        <f>-(SUM($G758:J758)+$B760-J763+J764-J765-SUM($G762:J762)+IF(J$2=1,0,SUM($F775:I775)))</f>
        <v>0</v>
      </c>
      <c r="K775" s="185">
        <f>-(SUM($G758:K758)+$B760-K763+K764-K765-SUM($G762:K762)+IF(K$2=1,0,SUM($F775:J775)))</f>
        <v>0</v>
      </c>
      <c r="L775" s="185">
        <f>-(SUM($G758:L758)+$B760-L763+L764-L765-SUM($G762:L762)+IF(L$2=1,0,SUM($F775:K775)))</f>
        <v>0</v>
      </c>
      <c r="M775" s="185">
        <f>-(SUM($G758:M758)+$B760-M763+M764-M765-SUM($G762:M762)+IF(M$2=1,0,SUM($F775:L775)))</f>
        <v>0</v>
      </c>
      <c r="N775" s="185">
        <f>-(SUM($G758:N758)+$B760-N763+N764-N765-SUM($G762:N762)+IF(N$2=1,0,SUM($F775:M775)))</f>
        <v>0</v>
      </c>
      <c r="O775" s="185">
        <f>-(SUM($G758:O758)+$B760-O763+O764-O765-SUM($G762:O762)+IF(O$2=1,0,SUM($F775:N775)))</f>
        <v>0</v>
      </c>
      <c r="P775" s="185">
        <f>-(SUM($G758:P758)+$B760-P763+P764-P765-SUM($G762:P762)+IF(P$2=1,0,SUM($F775:O775)))</f>
        <v>0</v>
      </c>
      <c r="Q775" s="185">
        <f>-(SUM($G758:Q758)+$B760-Q763+Q764-Q765-SUM($G762:Q762)+IF(Q$2=1,0,SUM($F775:P775)))</f>
        <v>0</v>
      </c>
      <c r="R775" s="185">
        <f>-(SUM($G758:R758)+$B760-R763+R764-R765-SUM($G762:R762)+IF(R$2=1,0,SUM($F775:Q775)))</f>
        <v>0</v>
      </c>
      <c r="S775" s="185">
        <f>-(SUM($G758:S758)+$B760-S763+S764-S765-SUM($G762:S762)+IF(S$2=1,0,SUM($F775:R775)))</f>
        <v>0</v>
      </c>
      <c r="T775" s="185">
        <f>-(SUM($G758:T758)+$B760-T763+T764-T765-SUM($G762:T762)+IF(T$2=1,0,SUM($F775:S775)))</f>
        <v>0</v>
      </c>
      <c r="U775" s="185">
        <f>-(SUM($G758:U758)+$B760-U763+U764-U765-SUM($G762:U762)+IF(U$2=1,0,SUM($F775:T775)))</f>
        <v>0</v>
      </c>
      <c r="V775" s="185">
        <f>-(SUM($G758:V758)+$B760-V763+V764-V765-SUM($G762:V762)+IF(V$2=1,0,SUM($F775:U775)))</f>
        <v>0</v>
      </c>
      <c r="W775" s="185">
        <f>-(SUM($G758:W758)+$B760-W763+W764-W765-SUM($G762:W762)+IF(W$2=1,0,SUM($F775:V775)))</f>
        <v>0</v>
      </c>
      <c r="X775" s="185">
        <f>-(SUM($G758:X758)+$B760-X763+X764-X765-SUM($G762:X762)+IF(X$2=1,0,SUM($F775:W775)))</f>
        <v>0</v>
      </c>
      <c r="Y775" s="185">
        <f>-(SUM($G758:Y758)+$B760-Y763+Y764-Y765-SUM($G762:Y762)+IF(Y$2=1,0,SUM($F775:X775)))</f>
        <v>0</v>
      </c>
      <c r="Z775" s="185">
        <f>-(SUM($G758:Z758)+$B760-Z763+Z764-Z765-SUM($G762:Z762)+IF(Z$2=1,0,SUM($F775:Y775)))</f>
        <v>0</v>
      </c>
      <c r="AA775" s="185">
        <f>-(SUM($G758:AA758)+$B760-AA763+AA764-AA765-SUM($G762:AA762)+IF(AA$2=1,0,SUM($F775:Z775)))</f>
        <v>0</v>
      </c>
      <c r="AB775" s="185">
        <f>-(SUM($G758:AB758)+$B760-AB763+AB764-AB765-SUM($G762:AB762)+IF(AB$2=1,0,SUM($F775:AA775)))</f>
        <v>0</v>
      </c>
      <c r="AC775" s="185">
        <f>-(SUM($G758:AC758)+$B760-AC763+AC764-AC765-SUM($G762:AC762)+IF(AC$2=1,0,SUM($F775:AB775)))</f>
        <v>0</v>
      </c>
      <c r="AD775" s="185">
        <f>-(SUM($G758:AD758)+$B760-AD763+AD764-AD765-SUM($G762:AD762)+IF(AD$2=1,0,SUM($F775:AC775)))</f>
        <v>0</v>
      </c>
      <c r="AE775" s="185">
        <f>-(SUM($G758:AE758)+$B760-AE763+AE764-AE765-SUM($G762:AE762)+IF(AE$2=1,0,SUM($F775:AD775)))</f>
        <v>0</v>
      </c>
      <c r="AF775" s="185">
        <f>-(SUM($G758:AF758)+$B760-AF763+AF764-AF765-SUM($G762:AF762)+IF(AF$2=1,0,SUM($F775:AE775)))</f>
        <v>0</v>
      </c>
      <c r="AG775" s="185">
        <f>-(SUM($G758:AG758)+$B760-AG763+AG764-AG765-SUM($G762:AG762)+IF(AG$2=1,0,SUM($F775:AF775)))</f>
        <v>0</v>
      </c>
      <c r="AH775" s="185">
        <f>-(SUM($G758:AH758)+$B760-AH763+AH764-AH765-SUM($G762:AH762)+IF(AH$2=1,0,SUM($F775:AG775)))</f>
        <v>0</v>
      </c>
      <c r="AI775" s="185">
        <f>-(SUM($G758:AI758)+$B760-AI763+AI764-AI765-SUM($G762:AI762)+IF(AI$2=1,0,SUM($F775:AH775)))</f>
        <v>0</v>
      </c>
      <c r="AJ775" s="185">
        <f>-(SUM($G758:AJ758)+$B760-AJ763+AJ764-AJ765-SUM($G762:AJ762)+IF(AJ$2=1,0,SUM($F775:AI775)))</f>
        <v>0</v>
      </c>
      <c r="AK775" s="185">
        <f>-(SUM($G758:AK758)+$B760-AK763+AK764-AK765-SUM($G762:AK762)+IF(AK$2=1,0,SUM($F775:AJ775)))</f>
        <v>0</v>
      </c>
      <c r="AL775" s="185">
        <f>-(SUM($G758:AL758)+$B760-AL763+AL764-AL765-SUM($G762:AL762)+IF(AL$2=1,0,SUM($F775:AK775)))</f>
        <v>0</v>
      </c>
      <c r="AM775" s="185">
        <f>-(SUM($G758:AM758)+$B760-AM763+AM764-AM765-SUM($G762:AM762)+IF(AM$2=1,0,SUM($F775:AL775)))</f>
        <v>0</v>
      </c>
      <c r="AN775" s="185">
        <f>-(SUM($G758:AN758)+$B760-AN763+AN764-AN765-SUM($G762:AN762)+IF(AN$2=1,0,SUM($F775:AM775)))</f>
        <v>0</v>
      </c>
      <c r="AO775" s="185">
        <f>-(SUM($G758:AO758)+$B760-AO763+AO764-AO765-SUM($G762:AO762)+IF(AO$2=1,0,SUM($F775:AN775)))</f>
        <v>0</v>
      </c>
      <c r="AP775" s="185">
        <f>-(SUM($G758:AP758)+$B760-AP763+AP764-AP765-SUM($G762:AP762)+IF(AP$2=1,0,SUM($F775:AO775)))</f>
        <v>0</v>
      </c>
      <c r="AQ775" s="185">
        <f>-(SUM($G758:AQ758)+$B760-AQ763+AQ764-AQ765-SUM($G762:AQ762)+IF(AQ$2=1,0,SUM($F775:AP775)))</f>
        <v>0</v>
      </c>
      <c r="AR775" s="185">
        <f>-(SUM($G758:AR758)+$B760-AR763+AR764-AR765-SUM($G762:AR762)+IF(AR$2=1,0,SUM($F775:AQ775)))</f>
        <v>0</v>
      </c>
      <c r="AS775" s="185">
        <f>-(SUM($G758:AS758)+$B760-AS763+AS764-AS765-SUM($G762:AS762)+IF(AS$2=1,0,SUM($F775:AR775)))</f>
        <v>0</v>
      </c>
      <c r="AT775" s="185">
        <f>-(SUM($G758:AT758)+$B760-AT763+AT764-AT765-SUM($G762:AT762)+IF(AT$2=1,0,SUM($F775:AS775)))</f>
        <v>0</v>
      </c>
      <c r="AU775" s="185">
        <f>-(SUM($G758:AU758)+$B760-AU763+AU764-AU765-SUM($G762:AU762)+IF(AU$2=1,0,SUM($F775:AT775)))</f>
        <v>0</v>
      </c>
      <c r="AV775" s="185">
        <f>-(SUM($G758:AV758)+$B760-AV763+AV764-AV765-SUM($G762:AV762)+IF(AV$2=1,0,SUM($F775:AU775)))</f>
        <v>0</v>
      </c>
      <c r="AW775" s="185">
        <f>-(SUM($G758:AW758)+$B760-AW763+AW764-AW765-SUM($G762:AW762)+IF(AW$2=1,0,SUM($F775:AV775)))</f>
        <v>0</v>
      </c>
      <c r="AX775" s="185">
        <f>-(SUM($G758:AX758)+$B760-AX763+AX764-AX765-SUM($G762:AX762)+IF(AX$2=1,0,SUM($F775:AW775)))</f>
        <v>0</v>
      </c>
      <c r="AY775" s="185">
        <f>-(SUM($G758:AY758)+$B760-AY763+AY764-AY765-SUM($G762:AY762)+IF(AY$2=1,0,SUM($F775:AX775)))</f>
        <v>0</v>
      </c>
      <c r="AZ775" s="185">
        <f>-(SUM($G758:AZ758)+$B760-AZ763+AZ764-AZ765-SUM($G762:AZ762)+IF(AZ$2=1,0,SUM($F775:AY775)))</f>
        <v>0</v>
      </c>
      <c r="BA775" s="185">
        <f>-(SUM($G758:BA758)+$B760-BA763+BA764-BA765-SUM($G762:BA762)+IF(BA$2=1,0,SUM($F775:AZ775)))</f>
        <v>0</v>
      </c>
      <c r="BB775" s="185">
        <f>-(SUM($G758:BB758)+$B760-BB763+BB764-BB765-SUM($G762:BB762)+IF(BB$2=1,0,SUM($F775:BA775)))</f>
        <v>0</v>
      </c>
      <c r="BC775" s="185"/>
      <c r="BD775" s="193">
        <f>SUM(G775:BC775)</f>
        <v>0</v>
      </c>
    </row>
    <row r="776" spans="1:56" x14ac:dyDescent="0.3">
      <c r="A776" s="283" t="s">
        <v>3494</v>
      </c>
      <c r="C776" s="176"/>
      <c r="D776" s="174">
        <v>1</v>
      </c>
      <c r="F776" s="170" t="s">
        <v>3495</v>
      </c>
    </row>
    <row r="777" spans="1:56" collapsed="1" x14ac:dyDescent="0.3">
      <c r="A777" s="175" t="str">
        <f ca="1">Language!A$874</f>
        <v>график оплаты, без НДС</v>
      </c>
      <c r="B777" s="199">
        <f>BD777</f>
        <v>60000000</v>
      </c>
      <c r="C777" s="176" t="str">
        <f t="shared" ref="C777:C779" ca="1" si="3120">CHOOSE(D777,CurName1,CurName2,CurName3)</f>
        <v>руб.</v>
      </c>
      <c r="D777" s="174">
        <f>D776</f>
        <v>1</v>
      </c>
      <c r="F777" s="170" t="s">
        <v>740</v>
      </c>
      <c r="G777" s="297">
        <v>0</v>
      </c>
      <c r="H777" s="297">
        <v>0</v>
      </c>
      <c r="I777" s="297">
        <f>60000000/6</f>
        <v>10000000</v>
      </c>
      <c r="J777" s="297">
        <f t="shared" ref="J777:N777" si="3121">60000000/6</f>
        <v>10000000</v>
      </c>
      <c r="K777" s="297">
        <f t="shared" si="3121"/>
        <v>10000000</v>
      </c>
      <c r="L777" s="297">
        <f t="shared" si="3121"/>
        <v>10000000</v>
      </c>
      <c r="M777" s="297">
        <f t="shared" si="3121"/>
        <v>10000000</v>
      </c>
      <c r="N777" s="297">
        <f t="shared" si="3121"/>
        <v>10000000</v>
      </c>
      <c r="O777" s="297">
        <v>0</v>
      </c>
      <c r="P777" s="297">
        <v>0</v>
      </c>
      <c r="Q777" s="297">
        <v>0</v>
      </c>
      <c r="R777" s="297">
        <v>0</v>
      </c>
      <c r="S777" s="297">
        <v>0</v>
      </c>
      <c r="T777" s="297">
        <v>0</v>
      </c>
      <c r="U777" s="297">
        <v>0</v>
      </c>
      <c r="V777" s="297">
        <v>0</v>
      </c>
      <c r="W777" s="297">
        <v>0</v>
      </c>
      <c r="X777" s="297">
        <v>0</v>
      </c>
      <c r="Y777" s="297">
        <v>0</v>
      </c>
      <c r="Z777" s="297">
        <v>0</v>
      </c>
      <c r="AA777" s="297">
        <v>0</v>
      </c>
      <c r="AB777" s="297">
        <v>0</v>
      </c>
      <c r="AC777" s="297">
        <v>0</v>
      </c>
      <c r="AD777" s="297">
        <v>0</v>
      </c>
      <c r="AE777" s="297">
        <v>0</v>
      </c>
      <c r="AF777" s="297">
        <v>0</v>
      </c>
      <c r="AG777" s="297">
        <v>0</v>
      </c>
      <c r="AH777" s="297">
        <v>0</v>
      </c>
      <c r="AI777" s="297">
        <v>0</v>
      </c>
      <c r="AJ777" s="297">
        <v>0</v>
      </c>
      <c r="AK777" s="297">
        <v>0</v>
      </c>
      <c r="AL777" s="297">
        <v>0</v>
      </c>
      <c r="AM777" s="297">
        <v>0</v>
      </c>
      <c r="AN777" s="297">
        <v>0</v>
      </c>
      <c r="AO777" s="297">
        <v>0</v>
      </c>
      <c r="AP777" s="297">
        <v>0</v>
      </c>
      <c r="AQ777" s="297">
        <v>0</v>
      </c>
      <c r="AR777" s="297">
        <v>0</v>
      </c>
      <c r="AS777" s="297">
        <v>0</v>
      </c>
      <c r="AT777" s="297">
        <v>0</v>
      </c>
      <c r="AU777" s="297">
        <v>0</v>
      </c>
      <c r="AV777" s="297">
        <v>0</v>
      </c>
      <c r="AW777" s="297">
        <v>0</v>
      </c>
      <c r="AX777" s="297">
        <v>0</v>
      </c>
      <c r="AY777" s="297">
        <v>0</v>
      </c>
      <c r="AZ777" s="297">
        <v>0</v>
      </c>
      <c r="BA777" s="297">
        <v>0</v>
      </c>
      <c r="BB777" s="297">
        <v>0</v>
      </c>
      <c r="BC777" s="177"/>
      <c r="BD777" s="178">
        <f>SUM(G777:BC777)</f>
        <v>60000000</v>
      </c>
    </row>
    <row r="778" spans="1:56" hidden="1" outlineLevel="1" x14ac:dyDescent="0.3">
      <c r="A778" s="175" t="str">
        <f ca="1">Language!A$875</f>
        <v>ранее осуществленные инвестиции, без НДС</v>
      </c>
      <c r="B778" s="295">
        <v>0</v>
      </c>
      <c r="C778" s="176" t="str">
        <f t="shared" ca="1" si="3120"/>
        <v>руб.</v>
      </c>
      <c r="D778" s="174">
        <f>D776</f>
        <v>1</v>
      </c>
    </row>
    <row r="779" spans="1:56" hidden="1" outlineLevel="1" x14ac:dyDescent="0.3">
      <c r="A779" s="175" t="str">
        <f ca="1">Language!A$876</f>
        <v>график ввода в эксплуатацию, без НДС</v>
      </c>
      <c r="B779" s="176"/>
      <c r="C779" s="176" t="str">
        <f t="shared" ca="1" si="3120"/>
        <v>руб.</v>
      </c>
      <c r="D779" s="174">
        <f>D776</f>
        <v>1</v>
      </c>
      <c r="F779" s="170" t="s">
        <v>740</v>
      </c>
      <c r="G779" s="297">
        <f>IF(G$2&gt;=ROUNDUP(Параметры!$B$18,0)+1,MAX(0,$BD777+$B778-SUM($F779:F779)),0)</f>
        <v>0</v>
      </c>
      <c r="H779" s="297">
        <f>IF(H$2&gt;=ROUNDUP(Параметры!$B$18,0)+1,MAX(0,$BD777+$B778-SUM($F779:G779)),0)</f>
        <v>0</v>
      </c>
      <c r="I779" s="297">
        <f>IF(I$2&gt;=ROUNDUP(Параметры!$B$18,0)+1,MAX(0,$BD777+$B778-SUM($F779:H779)),0)</f>
        <v>0</v>
      </c>
      <c r="J779" s="297">
        <f>IF(J$2&gt;=ROUNDUP(Параметры!$B$18,0)+1,MAX(0,$BD777+$B778-SUM($F779:I779)),0)</f>
        <v>0</v>
      </c>
      <c r="K779" s="297">
        <f>IF(K$2&gt;=ROUNDUP(Параметры!$B$18,0)+1,MAX(0,$BD777+$B778-SUM($F779:J779)),0)</f>
        <v>0</v>
      </c>
      <c r="L779" s="297">
        <f>IF(L$2&gt;=ROUNDUP(Параметры!$B$18,0)+1,MAX(0,$BD777+$B778-SUM($F779:K779)),0)</f>
        <v>0</v>
      </c>
      <c r="M779" s="297">
        <f>IF(M$2&gt;=ROUNDUP(Параметры!$B$18,0)+1,MAX(0,$BD777+$B778-SUM($F779:L779)),0)</f>
        <v>60000000</v>
      </c>
      <c r="N779" s="297">
        <f>IF(N$2&gt;=ROUNDUP(Параметры!$B$18,0)+1,MAX(0,$BD777+$B778-SUM($F779:M779)),0)</f>
        <v>0</v>
      </c>
      <c r="O779" s="297">
        <f>IF(O$2&gt;=ROUNDUP(Параметры!$B$18,0)+1,MAX(0,$BD777+$B778-SUM($F779:N779)),0)</f>
        <v>0</v>
      </c>
      <c r="P779" s="297">
        <f>IF(P$2&gt;=ROUNDUP(Параметры!$B$18,0)+1,MAX(0,$BD777+$B778-SUM($F779:O779)),0)</f>
        <v>0</v>
      </c>
      <c r="Q779" s="297">
        <f>IF(Q$2&gt;=ROUNDUP(Параметры!$B$18,0)+1,MAX(0,$BD777+$B778-SUM($F779:P779)),0)</f>
        <v>0</v>
      </c>
      <c r="R779" s="297">
        <f>IF(R$2&gt;=ROUNDUP(Параметры!$B$18,0)+1,MAX(0,$BD777+$B778-SUM($F779:Q779)),0)</f>
        <v>0</v>
      </c>
      <c r="S779" s="297">
        <f>IF(S$2&gt;=ROUNDUP(Параметры!$B$18,0)+1,MAX(0,$BD777+$B778-SUM($F779:R779)),0)</f>
        <v>0</v>
      </c>
      <c r="T779" s="297">
        <f>IF(T$2&gt;=ROUNDUP(Параметры!$B$18,0)+1,MAX(0,$BD777+$B778-SUM($F779:S779)),0)</f>
        <v>0</v>
      </c>
      <c r="U779" s="297">
        <f>IF(U$2&gt;=ROUNDUP(Параметры!$B$18,0)+1,MAX(0,$BD777+$B778-SUM($F779:T779)),0)</f>
        <v>0</v>
      </c>
      <c r="V779" s="297">
        <f>IF(V$2&gt;=ROUNDUP(Параметры!$B$18,0)+1,MAX(0,$BD777+$B778-SUM($F779:U779)),0)</f>
        <v>0</v>
      </c>
      <c r="W779" s="297">
        <f>IF(W$2&gt;=ROUNDUP(Параметры!$B$18,0)+1,MAX(0,$BD777+$B778-SUM($F779:V779)),0)</f>
        <v>0</v>
      </c>
      <c r="X779" s="297">
        <f>IF(X$2&gt;=ROUNDUP(Параметры!$B$18,0)+1,MAX(0,$BD777+$B778-SUM($F779:W779)),0)</f>
        <v>0</v>
      </c>
      <c r="Y779" s="297">
        <f>IF(Y$2&gt;=ROUNDUP(Параметры!$B$18,0)+1,MAX(0,$BD777+$B778-SUM($F779:X779)),0)</f>
        <v>0</v>
      </c>
      <c r="Z779" s="297">
        <f>IF(Z$2&gt;=ROUNDUP(Параметры!$B$18,0)+1,MAX(0,$BD777+$B778-SUM($F779:Y779)),0)</f>
        <v>0</v>
      </c>
      <c r="AA779" s="297">
        <f>IF(AA$2&gt;=ROUNDUP(Параметры!$B$18,0)+1,MAX(0,$BD777+$B778-SUM($F779:Z779)),0)</f>
        <v>0</v>
      </c>
      <c r="AB779" s="297">
        <f>IF(AB$2&gt;=ROUNDUP(Параметры!$B$18,0)+1,MAX(0,$BD777+$B778-SUM($F779:AA779)),0)</f>
        <v>0</v>
      </c>
      <c r="AC779" s="297">
        <f>IF(AC$2&gt;=ROUNDUP(Параметры!$B$18,0)+1,MAX(0,$BD777+$B778-SUM($F779:AB779)),0)</f>
        <v>0</v>
      </c>
      <c r="AD779" s="297">
        <f>IF(AD$2&gt;=ROUNDUP(Параметры!$B$18,0)+1,MAX(0,$BD777+$B778-SUM($F779:AC779)),0)</f>
        <v>0</v>
      </c>
      <c r="AE779" s="297">
        <f>IF(AE$2&gt;=ROUNDUP(Параметры!$B$18,0)+1,MAX(0,$BD777+$B778-SUM($F779:AD779)),0)</f>
        <v>0</v>
      </c>
      <c r="AF779" s="297">
        <f>IF(AF$2&gt;=ROUNDUP(Параметры!$B$18,0)+1,MAX(0,$BD777+$B778-SUM($F779:AE779)),0)</f>
        <v>0</v>
      </c>
      <c r="AG779" s="297">
        <f>IF(AG$2&gt;=ROUNDUP(Параметры!$B$18,0)+1,MAX(0,$BD777+$B778-SUM($F779:AF779)),0)</f>
        <v>0</v>
      </c>
      <c r="AH779" s="297">
        <f>IF(AH$2&gt;=ROUNDUP(Параметры!$B$18,0)+1,MAX(0,$BD777+$B778-SUM($F779:AG779)),0)</f>
        <v>0</v>
      </c>
      <c r="AI779" s="297">
        <f>IF(AI$2&gt;=ROUNDUP(Параметры!$B$18,0)+1,MAX(0,$BD777+$B778-SUM($F779:AH779)),0)</f>
        <v>0</v>
      </c>
      <c r="AJ779" s="297">
        <f>IF(AJ$2&gt;=ROUNDUP(Параметры!$B$18,0)+1,MAX(0,$BD777+$B778-SUM($F779:AI779)),0)</f>
        <v>0</v>
      </c>
      <c r="AK779" s="297">
        <f>IF(AK$2&gt;=ROUNDUP(Параметры!$B$18,0)+1,MAX(0,$BD777+$B778-SUM($F779:AJ779)),0)</f>
        <v>0</v>
      </c>
      <c r="AL779" s="297">
        <f>IF(AL$2&gt;=ROUNDUP(Параметры!$B$18,0)+1,MAX(0,$BD777+$B778-SUM($F779:AK779)),0)</f>
        <v>0</v>
      </c>
      <c r="AM779" s="297">
        <f>IF(AM$2&gt;=ROUNDUP(Параметры!$B$18,0)+1,MAX(0,$BD777+$B778-SUM($F779:AL779)),0)</f>
        <v>0</v>
      </c>
      <c r="AN779" s="297">
        <f>IF(AN$2&gt;=ROUNDUP(Параметры!$B$18,0)+1,MAX(0,$BD777+$B778-SUM($F779:AM779)),0)</f>
        <v>0</v>
      </c>
      <c r="AO779" s="297">
        <f>IF(AO$2&gt;=ROUNDUP(Параметры!$B$18,0)+1,MAX(0,$BD777+$B778-SUM($F779:AN779)),0)</f>
        <v>0</v>
      </c>
      <c r="AP779" s="297">
        <f>IF(AP$2&gt;=ROUNDUP(Параметры!$B$18,0)+1,MAX(0,$BD777+$B778-SUM($F779:AO779)),0)</f>
        <v>0</v>
      </c>
      <c r="AQ779" s="297">
        <f>IF(AQ$2&gt;=ROUNDUP(Параметры!$B$18,0)+1,MAX(0,$BD777+$B778-SUM($F779:AP779)),0)</f>
        <v>0</v>
      </c>
      <c r="AR779" s="297">
        <f>IF(AR$2&gt;=ROUNDUP(Параметры!$B$18,0)+1,MAX(0,$BD777+$B778-SUM($F779:AQ779)),0)</f>
        <v>0</v>
      </c>
      <c r="AS779" s="297">
        <f>IF(AS$2&gt;=ROUNDUP(Параметры!$B$18,0)+1,MAX(0,$BD777+$B778-SUM($F779:AR779)),0)</f>
        <v>0</v>
      </c>
      <c r="AT779" s="297">
        <f>IF(AT$2&gt;=ROUNDUP(Параметры!$B$18,0)+1,MAX(0,$BD777+$B778-SUM($F779:AS779)),0)</f>
        <v>0</v>
      </c>
      <c r="AU779" s="297">
        <f>IF(AU$2&gt;=ROUNDUP(Параметры!$B$18,0)+1,MAX(0,$BD777+$B778-SUM($F779:AT779)),0)</f>
        <v>0</v>
      </c>
      <c r="AV779" s="297">
        <f>IF(AV$2&gt;=ROUNDUP(Параметры!$B$18,0)+1,MAX(0,$BD777+$B778-SUM($F779:AU779)),0)</f>
        <v>0</v>
      </c>
      <c r="AW779" s="297">
        <f>IF(AW$2&gt;=ROUNDUP(Параметры!$B$18,0)+1,MAX(0,$BD777+$B778-SUM($F779:AV779)),0)</f>
        <v>0</v>
      </c>
      <c r="AX779" s="297">
        <f>IF(AX$2&gt;=ROUNDUP(Параметры!$B$18,0)+1,MAX(0,$BD777+$B778-SUM($F779:AW779)),0)</f>
        <v>0</v>
      </c>
      <c r="AY779" s="297">
        <f>IF(AY$2&gt;=ROUNDUP(Параметры!$B$18,0)+1,MAX(0,$BD777+$B778-SUM($F779:AX779)),0)</f>
        <v>0</v>
      </c>
      <c r="AZ779" s="297">
        <f>IF(AZ$2&gt;=ROUNDUP(Параметры!$B$18,0)+1,MAX(0,$BD777+$B778-SUM($F779:AY779)),0)</f>
        <v>0</v>
      </c>
      <c r="BA779" s="297">
        <f>IF(BA$2&gt;=ROUNDUP(Параметры!$B$18,0)+1,MAX(0,$BD777+$B778-SUM($F779:AZ779)),0)</f>
        <v>0</v>
      </c>
      <c r="BB779" s="297">
        <f>IF(BB$2&gt;=ROUNDUP(Параметры!$B$18,0)+1,MAX(0,$BD777+$B778-SUM($F779:BA779)),0)</f>
        <v>0</v>
      </c>
      <c r="BC779" s="177"/>
      <c r="BD779" s="178">
        <f>SUM(G779:BC779)</f>
        <v>60000000</v>
      </c>
    </row>
    <row r="780" spans="1:56" hidden="1" outlineLevel="1" x14ac:dyDescent="0.3">
      <c r="A780" s="175" t="str">
        <f ca="1">Language!A$877</f>
        <v xml:space="preserve">срок полезного использования </v>
      </c>
      <c r="B780" s="295">
        <v>30</v>
      </c>
      <c r="C780" s="176" t="str">
        <f ca="1">Language!A$48</f>
        <v>лет</v>
      </c>
      <c r="D780" s="174">
        <v>1</v>
      </c>
      <c r="G780" s="177"/>
      <c r="H780" s="177"/>
      <c r="I780" s="177"/>
      <c r="J780" s="177"/>
      <c r="K780" s="177"/>
      <c r="L780" s="177"/>
      <c r="M780" s="177"/>
      <c r="N780" s="177"/>
      <c r="O780" s="177"/>
      <c r="P780" s="177"/>
      <c r="Q780" s="177"/>
      <c r="R780" s="177"/>
      <c r="S780" s="177"/>
      <c r="T780" s="177"/>
      <c r="U780" s="177"/>
      <c r="V780" s="177"/>
      <c r="W780" s="177"/>
      <c r="X780" s="177"/>
      <c r="Y780" s="177"/>
      <c r="Z780" s="177"/>
      <c r="AA780" s="177"/>
      <c r="AB780" s="177"/>
      <c r="AC780" s="177"/>
      <c r="AD780" s="177"/>
      <c r="AE780" s="177"/>
      <c r="AF780" s="177"/>
      <c r="AG780" s="177"/>
      <c r="AH780" s="177"/>
      <c r="AI780" s="177"/>
      <c r="AJ780" s="177"/>
      <c r="AK780" s="177"/>
      <c r="AL780" s="177"/>
      <c r="AM780" s="177"/>
      <c r="AN780" s="177"/>
      <c r="AO780" s="177"/>
      <c r="AP780" s="177"/>
      <c r="AQ780" s="177"/>
      <c r="AR780" s="177"/>
      <c r="AS780" s="177"/>
      <c r="AT780" s="177"/>
      <c r="AU780" s="177"/>
      <c r="AV780" s="177"/>
      <c r="AW780" s="177"/>
      <c r="AX780" s="177"/>
      <c r="AY780" s="177"/>
      <c r="AZ780" s="177"/>
      <c r="BA780" s="177"/>
      <c r="BB780" s="177"/>
      <c r="BC780" s="177"/>
      <c r="BD780" s="178"/>
    </row>
    <row r="781" spans="1:56" s="170" customFormat="1" hidden="1" outlineLevel="1" x14ac:dyDescent="0.3">
      <c r="A781" s="184" t="str">
        <f ca="1">Language!A$878</f>
        <v>амортизационная премия для налоговой амортизации</v>
      </c>
      <c r="B781" s="298">
        <v>0</v>
      </c>
      <c r="C781" s="163" t="s">
        <v>1</v>
      </c>
      <c r="D781" s="174">
        <v>1</v>
      </c>
      <c r="F781" s="170" t="s">
        <v>2347</v>
      </c>
      <c r="G781" s="185"/>
      <c r="H781" s="185"/>
      <c r="I781" s="185"/>
      <c r="J781" s="185"/>
      <c r="K781" s="185"/>
      <c r="L781" s="185"/>
      <c r="M781" s="185"/>
      <c r="N781" s="185"/>
      <c r="O781" s="185"/>
      <c r="P781" s="185"/>
      <c r="Q781" s="185"/>
      <c r="R781" s="185"/>
      <c r="S781" s="185"/>
      <c r="T781" s="185"/>
      <c r="U781" s="185"/>
      <c r="V781" s="185"/>
      <c r="W781" s="185"/>
      <c r="X781" s="185"/>
      <c r="Y781" s="185"/>
      <c r="Z781" s="185"/>
      <c r="AA781" s="185"/>
      <c r="AB781" s="185"/>
      <c r="AC781" s="185"/>
      <c r="AD781" s="185"/>
      <c r="AE781" s="185"/>
      <c r="AF781" s="185"/>
      <c r="AG781" s="185"/>
      <c r="AH781" s="185"/>
      <c r="AI781" s="185"/>
      <c r="AJ781" s="185"/>
      <c r="AK781" s="185"/>
      <c r="AL781" s="185"/>
      <c r="AM781" s="185"/>
      <c r="AN781" s="185"/>
      <c r="AO781" s="185"/>
      <c r="AP781" s="185"/>
      <c r="AQ781" s="185"/>
      <c r="AR781" s="185"/>
      <c r="AS781" s="185"/>
      <c r="AT781" s="185"/>
      <c r="AU781" s="185"/>
      <c r="AV781" s="185"/>
      <c r="AW781" s="185"/>
      <c r="AX781" s="185"/>
      <c r="AY781" s="185"/>
      <c r="AZ781" s="185"/>
      <c r="BA781" s="185"/>
      <c r="BB781" s="185"/>
      <c r="BC781" s="185"/>
      <c r="BD781" s="193"/>
    </row>
    <row r="782" spans="1:56" s="170" customFormat="1" hidden="1" outlineLevel="1" x14ac:dyDescent="0.3">
      <c r="A782" s="184" t="str">
        <f ca="1">Language!A$879</f>
        <v>ставка НДС</v>
      </c>
      <c r="B782" s="203"/>
      <c r="C782" s="163" t="s">
        <v>1</v>
      </c>
      <c r="D782" s="174">
        <v>1</v>
      </c>
      <c r="F782" s="170" t="s">
        <v>2346</v>
      </c>
      <c r="G782" s="290">
        <f>IF(G$2=1,Параметры!G$72,IF(F782=Параметры!F$72,Параметры!F$72,F782))</f>
        <v>0</v>
      </c>
      <c r="H782" s="290">
        <f>IF(H$2=1,Параметры!H$72,IF(G782=Параметры!G$72,Параметры!G$72,G782))</f>
        <v>0</v>
      </c>
      <c r="I782" s="290">
        <f>IF(I$2=1,Параметры!I$72,IF(H782=Параметры!H$72,Параметры!H$72,H782))</f>
        <v>0</v>
      </c>
      <c r="J782" s="290">
        <f>IF(J$2=1,Параметры!J$72,IF(I782=Параметры!I$72,Параметры!I$72,I782))</f>
        <v>0</v>
      </c>
      <c r="K782" s="290">
        <f>IF(K$2=1,Параметры!K$72,IF(J782=Параметры!J$72,Параметры!J$72,J782))</f>
        <v>0</v>
      </c>
      <c r="L782" s="290">
        <f>IF(L$2=1,Параметры!L$72,IF(K782=Параметры!K$72,Параметры!K$72,K782))</f>
        <v>0</v>
      </c>
      <c r="M782" s="290">
        <f>IF(M$2=1,Параметры!M$72,IF(L782=Параметры!L$72,Параметры!L$72,L782))</f>
        <v>0</v>
      </c>
      <c r="N782" s="290">
        <f>IF(N$2=1,Параметры!N$72,IF(M782=Параметры!M$72,Параметры!M$72,M782))</f>
        <v>0</v>
      </c>
      <c r="O782" s="290">
        <f>IF(O$2=1,Параметры!O$72,IF(N782=Параметры!N$72,Параметры!N$72,N782))</f>
        <v>0</v>
      </c>
      <c r="P782" s="290">
        <f>IF(P$2=1,Параметры!P$72,IF(O782=Параметры!O$72,Параметры!O$72,O782))</f>
        <v>0</v>
      </c>
      <c r="Q782" s="290">
        <f>IF(Q$2=1,Параметры!Q$72,IF(P782=Параметры!P$72,Параметры!P$72,P782))</f>
        <v>0</v>
      </c>
      <c r="R782" s="290">
        <f>IF(R$2=1,Параметры!R$72,IF(Q782=Параметры!Q$72,Параметры!Q$72,Q782))</f>
        <v>0</v>
      </c>
      <c r="S782" s="290">
        <f>IF(S$2=1,Параметры!S$72,IF(R782=Параметры!R$72,Параметры!R$72,R782))</f>
        <v>0</v>
      </c>
      <c r="T782" s="290">
        <f>IF(T$2=1,Параметры!T$72,IF(S782=Параметры!S$72,Параметры!S$72,S782))</f>
        <v>0</v>
      </c>
      <c r="U782" s="290">
        <f>IF(U$2=1,Параметры!U$72,IF(T782=Параметры!T$72,Параметры!T$72,T782))</f>
        <v>0</v>
      </c>
      <c r="V782" s="290">
        <f>IF(V$2=1,Параметры!V$72,IF(U782=Параметры!U$72,Параметры!U$72,U782))</f>
        <v>0</v>
      </c>
      <c r="W782" s="290">
        <f>IF(W$2=1,Параметры!W$72,IF(V782=Параметры!V$72,Параметры!V$72,V782))</f>
        <v>0</v>
      </c>
      <c r="X782" s="290">
        <f>IF(X$2=1,Параметры!X$72,IF(W782=Параметры!W$72,Параметры!W$72,W782))</f>
        <v>0</v>
      </c>
      <c r="Y782" s="290">
        <f>IF(Y$2=1,Параметры!Y$72,IF(X782=Параметры!X$72,Параметры!X$72,X782))</f>
        <v>0</v>
      </c>
      <c r="Z782" s="290">
        <f>IF(Z$2=1,Параметры!Z$72,IF(Y782=Параметры!Y$72,Параметры!Y$72,Y782))</f>
        <v>0</v>
      </c>
      <c r="AA782" s="290">
        <f>IF(AA$2=1,Параметры!AA$72,IF(Z782=Параметры!Z$72,Параметры!Z$72,Z782))</f>
        <v>0</v>
      </c>
      <c r="AB782" s="290">
        <f>IF(AB$2=1,Параметры!AB$72,IF(AA782=Параметры!AA$72,Параметры!AA$72,AA782))</f>
        <v>0</v>
      </c>
      <c r="AC782" s="290">
        <f>IF(AC$2=1,Параметры!AC$72,IF(AB782=Параметры!AB$72,Параметры!AB$72,AB782))</f>
        <v>0</v>
      </c>
      <c r="AD782" s="290">
        <f>IF(AD$2=1,Параметры!AD$72,IF(AC782=Параметры!AC$72,Параметры!AC$72,AC782))</f>
        <v>0</v>
      </c>
      <c r="AE782" s="290">
        <f>IF(AE$2=1,Параметры!AE$72,IF(AD782=Параметры!AD$72,Параметры!AD$72,AD782))</f>
        <v>0</v>
      </c>
      <c r="AF782" s="290">
        <f>IF(AF$2=1,Параметры!AF$72,IF(AE782=Параметры!AE$72,Параметры!AE$72,AE782))</f>
        <v>0</v>
      </c>
      <c r="AG782" s="290">
        <f>IF(AG$2=1,Параметры!AG$72,IF(AF782=Параметры!AF$72,Параметры!AF$72,AF782))</f>
        <v>0</v>
      </c>
      <c r="AH782" s="290">
        <f>IF(AH$2=1,Параметры!AH$72,IF(AG782=Параметры!AG$72,Параметры!AG$72,AG782))</f>
        <v>0</v>
      </c>
      <c r="AI782" s="290">
        <f>IF(AI$2=1,Параметры!AI$72,IF(AH782=Параметры!AH$72,Параметры!AH$72,AH782))</f>
        <v>0</v>
      </c>
      <c r="AJ782" s="290">
        <f>IF(AJ$2=1,Параметры!AJ$72,IF(AI782=Параметры!AI$72,Параметры!AI$72,AI782))</f>
        <v>0</v>
      </c>
      <c r="AK782" s="290">
        <f>IF(AK$2=1,Параметры!AK$72,IF(AJ782=Параметры!AJ$72,Параметры!AJ$72,AJ782))</f>
        <v>0</v>
      </c>
      <c r="AL782" s="290">
        <f>IF(AL$2=1,Параметры!AL$72,IF(AK782=Параметры!AK$72,Параметры!AK$72,AK782))</f>
        <v>0</v>
      </c>
      <c r="AM782" s="290">
        <f>IF(AM$2=1,Параметры!AM$72,IF(AL782=Параметры!AL$72,Параметры!AL$72,AL782))</f>
        <v>0</v>
      </c>
      <c r="AN782" s="290">
        <f>IF(AN$2=1,Параметры!AN$72,IF(AM782=Параметры!AM$72,Параметры!AM$72,AM782))</f>
        <v>0</v>
      </c>
      <c r="AO782" s="290">
        <f>IF(AO$2=1,Параметры!AO$72,IF(AN782=Параметры!AN$72,Параметры!AN$72,AN782))</f>
        <v>0</v>
      </c>
      <c r="AP782" s="290">
        <f>IF(AP$2=1,Параметры!AP$72,IF(AO782=Параметры!AO$72,Параметры!AO$72,AO782))</f>
        <v>0</v>
      </c>
      <c r="AQ782" s="290">
        <f>IF(AQ$2=1,Параметры!AQ$72,IF(AP782=Параметры!AP$72,Параметры!AP$72,AP782))</f>
        <v>0</v>
      </c>
      <c r="AR782" s="290">
        <f>IF(AR$2=1,Параметры!AR$72,IF(AQ782=Параметры!AQ$72,Параметры!AQ$72,AQ782))</f>
        <v>0</v>
      </c>
      <c r="AS782" s="290">
        <f>IF(AS$2=1,Параметры!AS$72,IF(AR782=Параметры!AR$72,Параметры!AR$72,AR782))</f>
        <v>0</v>
      </c>
      <c r="AT782" s="290">
        <f>IF(AT$2=1,Параметры!AT$72,IF(AS782=Параметры!AS$72,Параметры!AS$72,AS782))</f>
        <v>0</v>
      </c>
      <c r="AU782" s="290">
        <f>IF(AU$2=1,Параметры!AU$72,IF(AT782=Параметры!AT$72,Параметры!AT$72,AT782))</f>
        <v>0</v>
      </c>
      <c r="AV782" s="290">
        <f>IF(AV$2=1,Параметры!AV$72,IF(AU782=Параметры!AU$72,Параметры!AU$72,AU782))</f>
        <v>0</v>
      </c>
      <c r="AW782" s="290">
        <f>IF(AW$2=1,Параметры!AW$72,IF(AV782=Параметры!AV$72,Параметры!AV$72,AV782))</f>
        <v>0</v>
      </c>
      <c r="AX782" s="290">
        <f>IF(AX$2=1,Параметры!AX$72,IF(AW782=Параметры!AW$72,Параметры!AW$72,AW782))</f>
        <v>0</v>
      </c>
      <c r="AY782" s="290">
        <f>IF(AY$2=1,Параметры!AY$72,IF(AX782=Параметры!AX$72,Параметры!AX$72,AX782))</f>
        <v>0</v>
      </c>
      <c r="AZ782" s="290">
        <f>IF(AZ$2=1,Параметры!AZ$72,IF(AY782=Параметры!AY$72,Параметры!AY$72,AY782))</f>
        <v>0</v>
      </c>
      <c r="BA782" s="290">
        <f>IF(BA$2=1,Параметры!BA$72,IF(AZ782=Параметры!AZ$72,Параметры!AZ$72,AZ782))</f>
        <v>0</v>
      </c>
      <c r="BB782" s="290">
        <f>IF(BB$2=1,Параметры!BB$72,IF(BA782=Параметры!BA$72,Параметры!BA$72,BA782))</f>
        <v>0</v>
      </c>
      <c r="BC782" s="190"/>
      <c r="BD782" s="186"/>
    </row>
    <row r="783" spans="1:56" hidden="1" outlineLevel="1" x14ac:dyDescent="0.3">
      <c r="A783" s="184" t="str">
        <f ca="1">Language!A$880</f>
        <v>выручка от продажи актива, без НДС</v>
      </c>
      <c r="B783" s="217"/>
      <c r="C783" s="163" t="str">
        <f ca="1">CHOOSE(D783,CurName1,CurName2,CurName3)</f>
        <v>руб.</v>
      </c>
      <c r="D783" s="174">
        <v>1</v>
      </c>
      <c r="E783" s="170" t="s">
        <v>755</v>
      </c>
      <c r="F783" s="170" t="s">
        <v>2353</v>
      </c>
      <c r="G783" s="287">
        <v>0</v>
      </c>
      <c r="H783" s="287">
        <v>0</v>
      </c>
      <c r="I783" s="287">
        <v>0</v>
      </c>
      <c r="J783" s="287">
        <v>0</v>
      </c>
      <c r="K783" s="287">
        <v>0</v>
      </c>
      <c r="L783" s="287">
        <v>0</v>
      </c>
      <c r="M783" s="287">
        <v>0</v>
      </c>
      <c r="N783" s="287">
        <v>0</v>
      </c>
      <c r="O783" s="287">
        <v>0</v>
      </c>
      <c r="P783" s="287">
        <v>0</v>
      </c>
      <c r="Q783" s="287">
        <v>0</v>
      </c>
      <c r="R783" s="287">
        <v>0</v>
      </c>
      <c r="S783" s="287">
        <v>0</v>
      </c>
      <c r="T783" s="287">
        <v>0</v>
      </c>
      <c r="U783" s="287">
        <v>0</v>
      </c>
      <c r="V783" s="287">
        <v>0</v>
      </c>
      <c r="W783" s="287">
        <v>0</v>
      </c>
      <c r="X783" s="287">
        <v>0</v>
      </c>
      <c r="Y783" s="287">
        <v>0</v>
      </c>
      <c r="Z783" s="287">
        <v>0</v>
      </c>
      <c r="AA783" s="287">
        <v>0</v>
      </c>
      <c r="AB783" s="287">
        <v>0</v>
      </c>
      <c r="AC783" s="287">
        <v>0</v>
      </c>
      <c r="AD783" s="287">
        <v>0</v>
      </c>
      <c r="AE783" s="287">
        <v>0</v>
      </c>
      <c r="AF783" s="287">
        <v>0</v>
      </c>
      <c r="AG783" s="287">
        <v>0</v>
      </c>
      <c r="AH783" s="287">
        <v>0</v>
      </c>
      <c r="AI783" s="287">
        <v>0</v>
      </c>
      <c r="AJ783" s="287">
        <v>0</v>
      </c>
      <c r="AK783" s="287">
        <v>0</v>
      </c>
      <c r="AL783" s="287">
        <v>0</v>
      </c>
      <c r="AM783" s="287">
        <v>0</v>
      </c>
      <c r="AN783" s="287">
        <v>0</v>
      </c>
      <c r="AO783" s="287">
        <v>0</v>
      </c>
      <c r="AP783" s="287">
        <v>0</v>
      </c>
      <c r="AQ783" s="287">
        <v>0</v>
      </c>
      <c r="AR783" s="287">
        <v>0</v>
      </c>
      <c r="AS783" s="287">
        <v>0</v>
      </c>
      <c r="AT783" s="287">
        <v>0</v>
      </c>
      <c r="AU783" s="287">
        <v>0</v>
      </c>
      <c r="AV783" s="287">
        <v>0</v>
      </c>
      <c r="AW783" s="287">
        <v>0</v>
      </c>
      <c r="AX783" s="287">
        <v>0</v>
      </c>
      <c r="AY783" s="287">
        <v>0</v>
      </c>
      <c r="AZ783" s="287">
        <v>0</v>
      </c>
      <c r="BA783" s="287">
        <v>0</v>
      </c>
      <c r="BB783" s="287">
        <v>0</v>
      </c>
      <c r="BC783" s="177"/>
      <c r="BD783" s="178">
        <f>SUM(G783:BC783)</f>
        <v>0</v>
      </c>
    </row>
    <row r="784" spans="1:56" hidden="1" outlineLevel="1" x14ac:dyDescent="0.3">
      <c r="A784" s="184" t="str">
        <f ca="1">Language!A$881</f>
        <v>суммы в осн. валюте: график оплаты, без НДС</v>
      </c>
      <c r="B784" s="163"/>
      <c r="C784" s="163" t="str">
        <f t="shared" ref="C784:C801" ca="1" si="3122">CHOOSE(D784,CurName1,CurName2,CurName3)</f>
        <v>руб.</v>
      </c>
      <c r="D784" s="174">
        <v>1</v>
      </c>
      <c r="E784" s="170" t="s">
        <v>751</v>
      </c>
      <c r="F784" s="170" t="s">
        <v>740</v>
      </c>
      <c r="G784" s="185">
        <f>G777*CHOOSE($D777,1,Параметры!G$53,Параметры!G$59)</f>
        <v>0</v>
      </c>
      <c r="H784" s="185">
        <f>H777*CHOOSE($D777,1,Параметры!H$53,Параметры!H$59)</f>
        <v>0</v>
      </c>
      <c r="I784" s="185">
        <f>I777*CHOOSE($D777,1,Параметры!I$53,Параметры!I$59)</f>
        <v>10000000</v>
      </c>
      <c r="J784" s="185">
        <f>J777*CHOOSE($D777,1,Параметры!J$53,Параметры!J$59)</f>
        <v>10000000</v>
      </c>
      <c r="K784" s="185">
        <f>K777*CHOOSE($D777,1,Параметры!K$53,Параметры!K$59)</f>
        <v>10000000</v>
      </c>
      <c r="L784" s="185">
        <f>L777*CHOOSE($D777,1,Параметры!L$53,Параметры!L$59)</f>
        <v>10000000</v>
      </c>
      <c r="M784" s="185">
        <f>M777*CHOOSE($D777,1,Параметры!M$53,Параметры!M$59)</f>
        <v>10000000</v>
      </c>
      <c r="N784" s="185">
        <f>N777*CHOOSE($D777,1,Параметры!N$53,Параметры!N$59)</f>
        <v>10000000</v>
      </c>
      <c r="O784" s="185">
        <f>O777*CHOOSE($D777,1,Параметры!O$53,Параметры!O$59)</f>
        <v>0</v>
      </c>
      <c r="P784" s="185">
        <f>P777*CHOOSE($D777,1,Параметры!P$53,Параметры!P$59)</f>
        <v>0</v>
      </c>
      <c r="Q784" s="185">
        <f>Q777*CHOOSE($D777,1,Параметры!Q$53,Параметры!Q$59)</f>
        <v>0</v>
      </c>
      <c r="R784" s="185">
        <f>R777*CHOOSE($D777,1,Параметры!R$53,Параметры!R$59)</f>
        <v>0</v>
      </c>
      <c r="S784" s="185">
        <f>S777*CHOOSE($D777,1,Параметры!S$53,Параметры!S$59)</f>
        <v>0</v>
      </c>
      <c r="T784" s="185">
        <f>T777*CHOOSE($D777,1,Параметры!T$53,Параметры!T$59)</f>
        <v>0</v>
      </c>
      <c r="U784" s="185">
        <f>U777*CHOOSE($D777,1,Параметры!U$53,Параметры!U$59)</f>
        <v>0</v>
      </c>
      <c r="V784" s="185">
        <f>V777*CHOOSE($D777,1,Параметры!V$53,Параметры!V$59)</f>
        <v>0</v>
      </c>
      <c r="W784" s="185">
        <f>W777*CHOOSE($D777,1,Параметры!W$53,Параметры!W$59)</f>
        <v>0</v>
      </c>
      <c r="X784" s="185">
        <f>X777*CHOOSE($D777,1,Параметры!X$53,Параметры!X$59)</f>
        <v>0</v>
      </c>
      <c r="Y784" s="185">
        <f>Y777*CHOOSE($D777,1,Параметры!Y$53,Параметры!Y$59)</f>
        <v>0</v>
      </c>
      <c r="Z784" s="185">
        <f>Z777*CHOOSE($D777,1,Параметры!Z$53,Параметры!Z$59)</f>
        <v>0</v>
      </c>
      <c r="AA784" s="185">
        <f>AA777*CHOOSE($D777,1,Параметры!AA$53,Параметры!AA$59)</f>
        <v>0</v>
      </c>
      <c r="AB784" s="185">
        <f>AB777*CHOOSE($D777,1,Параметры!AB$53,Параметры!AB$59)</f>
        <v>0</v>
      </c>
      <c r="AC784" s="185">
        <f>AC777*CHOOSE($D777,1,Параметры!AC$53,Параметры!AC$59)</f>
        <v>0</v>
      </c>
      <c r="AD784" s="185">
        <f>AD777*CHOOSE($D777,1,Параметры!AD$53,Параметры!AD$59)</f>
        <v>0</v>
      </c>
      <c r="AE784" s="185">
        <f>AE777*CHOOSE($D777,1,Параметры!AE$53,Параметры!AE$59)</f>
        <v>0</v>
      </c>
      <c r="AF784" s="185">
        <f>AF777*CHOOSE($D777,1,Параметры!AF$53,Параметры!AF$59)</f>
        <v>0</v>
      </c>
      <c r="AG784" s="185">
        <f>AG777*CHOOSE($D777,1,Параметры!AG$53,Параметры!AG$59)</f>
        <v>0</v>
      </c>
      <c r="AH784" s="185">
        <f>AH777*CHOOSE($D777,1,Параметры!AH$53,Параметры!AH$59)</f>
        <v>0</v>
      </c>
      <c r="AI784" s="185">
        <f>AI777*CHOOSE($D777,1,Параметры!AI$53,Параметры!AI$59)</f>
        <v>0</v>
      </c>
      <c r="AJ784" s="185">
        <f>AJ777*CHOOSE($D777,1,Параметры!AJ$53,Параметры!AJ$59)</f>
        <v>0</v>
      </c>
      <c r="AK784" s="185">
        <f>AK777*CHOOSE($D777,1,Параметры!AK$53,Параметры!AK$59)</f>
        <v>0</v>
      </c>
      <c r="AL784" s="185">
        <f>AL777*CHOOSE($D777,1,Параметры!AL$53,Параметры!AL$59)</f>
        <v>0</v>
      </c>
      <c r="AM784" s="185">
        <f>AM777*CHOOSE($D777,1,Параметры!AM$53,Параметры!AM$59)</f>
        <v>0</v>
      </c>
      <c r="AN784" s="185">
        <f>AN777*CHOOSE($D777,1,Параметры!AN$53,Параметры!AN$59)</f>
        <v>0</v>
      </c>
      <c r="AO784" s="185">
        <f>AO777*CHOOSE($D777,1,Параметры!AO$53,Параметры!AO$59)</f>
        <v>0</v>
      </c>
      <c r="AP784" s="185">
        <f>AP777*CHOOSE($D777,1,Параметры!AP$53,Параметры!AP$59)</f>
        <v>0</v>
      </c>
      <c r="AQ784" s="185">
        <f>AQ777*CHOOSE($D777,1,Параметры!AQ$53,Параметры!AQ$59)</f>
        <v>0</v>
      </c>
      <c r="AR784" s="185">
        <f>AR777*CHOOSE($D777,1,Параметры!AR$53,Параметры!AR$59)</f>
        <v>0</v>
      </c>
      <c r="AS784" s="185">
        <f>AS777*CHOOSE($D777,1,Параметры!AS$53,Параметры!AS$59)</f>
        <v>0</v>
      </c>
      <c r="AT784" s="185">
        <f>AT777*CHOOSE($D777,1,Параметры!AT$53,Параметры!AT$59)</f>
        <v>0</v>
      </c>
      <c r="AU784" s="185">
        <f>AU777*CHOOSE($D777,1,Параметры!AU$53,Параметры!AU$59)</f>
        <v>0</v>
      </c>
      <c r="AV784" s="185">
        <f>AV777*CHOOSE($D777,1,Параметры!AV$53,Параметры!AV$59)</f>
        <v>0</v>
      </c>
      <c r="AW784" s="185">
        <f>AW777*CHOOSE($D777,1,Параметры!AW$53,Параметры!AW$59)</f>
        <v>0</v>
      </c>
      <c r="AX784" s="185">
        <f>AX777*CHOOSE($D777,1,Параметры!AX$53,Параметры!AX$59)</f>
        <v>0</v>
      </c>
      <c r="AY784" s="185">
        <f>AY777*CHOOSE($D777,1,Параметры!AY$53,Параметры!AY$59)</f>
        <v>0</v>
      </c>
      <c r="AZ784" s="185">
        <f>AZ777*CHOOSE($D777,1,Параметры!AZ$53,Параметры!AZ$59)</f>
        <v>0</v>
      </c>
      <c r="BA784" s="185">
        <f>BA777*CHOOSE($D777,1,Параметры!BA$53,Параметры!BA$59)</f>
        <v>0</v>
      </c>
      <c r="BB784" s="185">
        <f>BB777*CHOOSE($D777,1,Параметры!BB$53,Параметры!BB$59)</f>
        <v>0</v>
      </c>
      <c r="BC784" s="185"/>
      <c r="BD784" s="193">
        <f>SUM(G784:BC784)</f>
        <v>60000000</v>
      </c>
    </row>
    <row r="785" spans="1:56" hidden="1" outlineLevel="1" x14ac:dyDescent="0.3">
      <c r="A785" s="187" t="str">
        <f ca="1">Language!A$1509</f>
        <v>график оплаты, c НДС</v>
      </c>
      <c r="B785" s="163"/>
      <c r="C785" s="163" t="str">
        <f t="shared" ca="1" si="3122"/>
        <v>руб.</v>
      </c>
      <c r="D785" s="174">
        <v>1</v>
      </c>
      <c r="E785" s="170" t="s">
        <v>993</v>
      </c>
      <c r="F785" s="170" t="s">
        <v>740</v>
      </c>
      <c r="G785" s="185">
        <f>G784+G794</f>
        <v>0</v>
      </c>
      <c r="H785" s="185">
        <f t="shared" ref="H785:BB785" si="3123">H784+H794</f>
        <v>0</v>
      </c>
      <c r="I785" s="185">
        <f t="shared" si="3123"/>
        <v>10000000</v>
      </c>
      <c r="J785" s="185">
        <f t="shared" si="3123"/>
        <v>10000000</v>
      </c>
      <c r="K785" s="185">
        <f t="shared" si="3123"/>
        <v>10000000</v>
      </c>
      <c r="L785" s="185">
        <f t="shared" si="3123"/>
        <v>10000000</v>
      </c>
      <c r="M785" s="185">
        <f t="shared" si="3123"/>
        <v>10000000</v>
      </c>
      <c r="N785" s="185">
        <f t="shared" si="3123"/>
        <v>10000000</v>
      </c>
      <c r="O785" s="185">
        <f t="shared" si="3123"/>
        <v>0</v>
      </c>
      <c r="P785" s="185">
        <f t="shared" si="3123"/>
        <v>0</v>
      </c>
      <c r="Q785" s="185">
        <f t="shared" si="3123"/>
        <v>0</v>
      </c>
      <c r="R785" s="185">
        <f t="shared" si="3123"/>
        <v>0</v>
      </c>
      <c r="S785" s="185">
        <f t="shared" si="3123"/>
        <v>0</v>
      </c>
      <c r="T785" s="185">
        <f t="shared" si="3123"/>
        <v>0</v>
      </c>
      <c r="U785" s="185">
        <f t="shared" si="3123"/>
        <v>0</v>
      </c>
      <c r="V785" s="185">
        <f t="shared" si="3123"/>
        <v>0</v>
      </c>
      <c r="W785" s="185">
        <f t="shared" si="3123"/>
        <v>0</v>
      </c>
      <c r="X785" s="185">
        <f t="shared" si="3123"/>
        <v>0</v>
      </c>
      <c r="Y785" s="185">
        <f t="shared" si="3123"/>
        <v>0</v>
      </c>
      <c r="Z785" s="185">
        <f t="shared" si="3123"/>
        <v>0</v>
      </c>
      <c r="AA785" s="185">
        <f t="shared" si="3123"/>
        <v>0</v>
      </c>
      <c r="AB785" s="185">
        <f t="shared" si="3123"/>
        <v>0</v>
      </c>
      <c r="AC785" s="185">
        <f t="shared" si="3123"/>
        <v>0</v>
      </c>
      <c r="AD785" s="185">
        <f t="shared" si="3123"/>
        <v>0</v>
      </c>
      <c r="AE785" s="185">
        <f t="shared" si="3123"/>
        <v>0</v>
      </c>
      <c r="AF785" s="185">
        <f t="shared" si="3123"/>
        <v>0</v>
      </c>
      <c r="AG785" s="185">
        <f t="shared" si="3123"/>
        <v>0</v>
      </c>
      <c r="AH785" s="185">
        <f t="shared" si="3123"/>
        <v>0</v>
      </c>
      <c r="AI785" s="185">
        <f t="shared" si="3123"/>
        <v>0</v>
      </c>
      <c r="AJ785" s="185">
        <f t="shared" si="3123"/>
        <v>0</v>
      </c>
      <c r="AK785" s="185">
        <f t="shared" si="3123"/>
        <v>0</v>
      </c>
      <c r="AL785" s="185">
        <f t="shared" si="3123"/>
        <v>0</v>
      </c>
      <c r="AM785" s="185">
        <f t="shared" si="3123"/>
        <v>0</v>
      </c>
      <c r="AN785" s="185">
        <f t="shared" si="3123"/>
        <v>0</v>
      </c>
      <c r="AO785" s="185">
        <f t="shared" si="3123"/>
        <v>0</v>
      </c>
      <c r="AP785" s="185">
        <f t="shared" si="3123"/>
        <v>0</v>
      </c>
      <c r="AQ785" s="185">
        <f t="shared" si="3123"/>
        <v>0</v>
      </c>
      <c r="AR785" s="185">
        <f t="shared" si="3123"/>
        <v>0</v>
      </c>
      <c r="AS785" s="185">
        <f t="shared" si="3123"/>
        <v>0</v>
      </c>
      <c r="AT785" s="185">
        <f t="shared" si="3123"/>
        <v>0</v>
      </c>
      <c r="AU785" s="185">
        <f t="shared" si="3123"/>
        <v>0</v>
      </c>
      <c r="AV785" s="185">
        <f t="shared" si="3123"/>
        <v>0</v>
      </c>
      <c r="AW785" s="185">
        <f t="shared" si="3123"/>
        <v>0</v>
      </c>
      <c r="AX785" s="185">
        <f t="shared" si="3123"/>
        <v>0</v>
      </c>
      <c r="AY785" s="185">
        <f t="shared" si="3123"/>
        <v>0</v>
      </c>
      <c r="AZ785" s="185">
        <f t="shared" si="3123"/>
        <v>0</v>
      </c>
      <c r="BA785" s="185">
        <f t="shared" si="3123"/>
        <v>0</v>
      </c>
      <c r="BB785" s="185">
        <f t="shared" si="3123"/>
        <v>0</v>
      </c>
      <c r="BC785" s="185"/>
      <c r="BD785" s="193">
        <f>SUM(G785:BC785)</f>
        <v>60000000</v>
      </c>
    </row>
    <row r="786" spans="1:56" hidden="1" outlineLevel="1" x14ac:dyDescent="0.3">
      <c r="A786" s="187" t="str">
        <f ca="1">Language!A$882</f>
        <v>ранее осуществленные инвестиции, без НДС</v>
      </c>
      <c r="B786" s="212">
        <f>B778*CHOOSE(D778,1,Параметры!G$53,Параметры!G$59)</f>
        <v>0</v>
      </c>
      <c r="C786" s="163" t="str">
        <f t="shared" ca="1" si="3122"/>
        <v>руб.</v>
      </c>
      <c r="D786" s="174">
        <v>1</v>
      </c>
      <c r="E786" s="170" t="s">
        <v>1269</v>
      </c>
      <c r="G786" s="185">
        <f>B786</f>
        <v>0</v>
      </c>
      <c r="H786" s="185"/>
      <c r="I786" s="185"/>
      <c r="J786" s="185"/>
      <c r="K786" s="185"/>
      <c r="L786" s="185"/>
      <c r="M786" s="185"/>
      <c r="N786" s="185"/>
      <c r="O786" s="185"/>
      <c r="P786" s="185"/>
      <c r="Q786" s="185"/>
      <c r="R786" s="185"/>
      <c r="S786" s="185"/>
      <c r="T786" s="185"/>
      <c r="U786" s="185"/>
      <c r="V786" s="185"/>
      <c r="W786" s="185"/>
      <c r="X786" s="185"/>
      <c r="Y786" s="185"/>
      <c r="Z786" s="185"/>
      <c r="AA786" s="185"/>
      <c r="AB786" s="185"/>
      <c r="AC786" s="185"/>
      <c r="AD786" s="185"/>
      <c r="AE786" s="185"/>
      <c r="AF786" s="185"/>
      <c r="AG786" s="185"/>
      <c r="AH786" s="185"/>
      <c r="AI786" s="185"/>
      <c r="AJ786" s="185"/>
      <c r="AK786" s="185"/>
      <c r="AL786" s="185"/>
      <c r="AM786" s="185"/>
      <c r="AN786" s="185"/>
      <c r="AO786" s="185"/>
      <c r="AP786" s="185"/>
      <c r="AQ786" s="185"/>
      <c r="AR786" s="185"/>
      <c r="AS786" s="185"/>
      <c r="AT786" s="185"/>
      <c r="AU786" s="185"/>
      <c r="AV786" s="185"/>
      <c r="AW786" s="185"/>
      <c r="AX786" s="185"/>
      <c r="AY786" s="185"/>
      <c r="AZ786" s="185"/>
      <c r="BA786" s="185"/>
      <c r="BB786" s="185"/>
      <c r="BC786" s="185"/>
      <c r="BD786" s="193"/>
    </row>
    <row r="787" spans="1:56" hidden="1" outlineLevel="1" x14ac:dyDescent="0.3">
      <c r="A787" s="187" t="str">
        <f ca="1">Language!A$883</f>
        <v>НДС к ранее осуществленным инвестициям</v>
      </c>
      <c r="B787" s="212">
        <f>B786*G782</f>
        <v>0</v>
      </c>
      <c r="C787" s="163" t="str">
        <f t="shared" ca="1" si="3122"/>
        <v>руб.</v>
      </c>
      <c r="D787" s="174">
        <v>1</v>
      </c>
      <c r="E787" s="170" t="s">
        <v>1273</v>
      </c>
      <c r="G787" s="185">
        <f>B787</f>
        <v>0</v>
      </c>
      <c r="H787" s="185"/>
      <c r="I787" s="185"/>
      <c r="J787" s="185"/>
      <c r="K787" s="185"/>
      <c r="L787" s="185"/>
      <c r="M787" s="185"/>
      <c r="N787" s="185"/>
      <c r="O787" s="185"/>
      <c r="P787" s="185"/>
      <c r="Q787" s="185"/>
      <c r="R787" s="185"/>
      <c r="S787" s="185"/>
      <c r="T787" s="185"/>
      <c r="U787" s="185"/>
      <c r="V787" s="185"/>
      <c r="W787" s="185"/>
      <c r="X787" s="185"/>
      <c r="Y787" s="185"/>
      <c r="Z787" s="185"/>
      <c r="AA787" s="185"/>
      <c r="AB787" s="185"/>
      <c r="AC787" s="185"/>
      <c r="AD787" s="185"/>
      <c r="AE787" s="185"/>
      <c r="AF787" s="185"/>
      <c r="AG787" s="185"/>
      <c r="AH787" s="185"/>
      <c r="AI787" s="185"/>
      <c r="AJ787" s="185"/>
      <c r="AK787" s="185"/>
      <c r="AL787" s="185"/>
      <c r="AM787" s="185"/>
      <c r="AN787" s="185"/>
      <c r="AO787" s="185"/>
      <c r="AP787" s="185"/>
      <c r="AQ787" s="185"/>
      <c r="AR787" s="185"/>
      <c r="AS787" s="185"/>
      <c r="AT787" s="185"/>
      <c r="AU787" s="185"/>
      <c r="AV787" s="185"/>
      <c r="AW787" s="185"/>
      <c r="AX787" s="185"/>
      <c r="AY787" s="185"/>
      <c r="AZ787" s="185"/>
      <c r="BA787" s="185"/>
      <c r="BB787" s="185"/>
      <c r="BC787" s="185"/>
      <c r="BD787" s="193"/>
    </row>
    <row r="788" spans="1:56" hidden="1" outlineLevel="1" x14ac:dyDescent="0.3">
      <c r="A788" s="187" t="str">
        <f ca="1">Language!A$884</f>
        <v>график ввода в эксплуатацию, без НДС</v>
      </c>
      <c r="B788" s="163"/>
      <c r="C788" s="163" t="str">
        <f t="shared" ca="1" si="3122"/>
        <v>руб.</v>
      </c>
      <c r="D788" s="174">
        <v>1</v>
      </c>
      <c r="F788" s="170" t="s">
        <v>740</v>
      </c>
      <c r="G788" s="185">
        <f>G779*CHOOSE($D779,1,Параметры!G$53,Параметры!G$59)</f>
        <v>0</v>
      </c>
      <c r="H788" s="185">
        <f>H779*CHOOSE($D779,1,Параметры!H$53,Параметры!H$59)</f>
        <v>0</v>
      </c>
      <c r="I788" s="185">
        <f>I779*CHOOSE($D779,1,Параметры!I$53,Параметры!I$59)</f>
        <v>0</v>
      </c>
      <c r="J788" s="185">
        <f>J779*CHOOSE($D779,1,Параметры!J$53,Параметры!J$59)</f>
        <v>0</v>
      </c>
      <c r="K788" s="185">
        <f>K779*CHOOSE($D779,1,Параметры!K$53,Параметры!K$59)</f>
        <v>0</v>
      </c>
      <c r="L788" s="185">
        <f>L779*CHOOSE($D779,1,Параметры!L$53,Параметры!L$59)</f>
        <v>0</v>
      </c>
      <c r="M788" s="185">
        <f>M779*CHOOSE($D779,1,Параметры!M$53,Параметры!M$59)</f>
        <v>60000000</v>
      </c>
      <c r="N788" s="185">
        <f>N779*CHOOSE($D779,1,Параметры!N$53,Параметры!N$59)</f>
        <v>0</v>
      </c>
      <c r="O788" s="185">
        <f>O779*CHOOSE($D779,1,Параметры!O$53,Параметры!O$59)</f>
        <v>0</v>
      </c>
      <c r="P788" s="185">
        <f>P779*CHOOSE($D779,1,Параметры!P$53,Параметры!P$59)</f>
        <v>0</v>
      </c>
      <c r="Q788" s="185">
        <f>Q779*CHOOSE($D779,1,Параметры!Q$53,Параметры!Q$59)</f>
        <v>0</v>
      </c>
      <c r="R788" s="185">
        <f>R779*CHOOSE($D779,1,Параметры!R$53,Параметры!R$59)</f>
        <v>0</v>
      </c>
      <c r="S788" s="185">
        <f>S779*CHOOSE($D779,1,Параметры!S$53,Параметры!S$59)</f>
        <v>0</v>
      </c>
      <c r="T788" s="185">
        <f>T779*CHOOSE($D779,1,Параметры!T$53,Параметры!T$59)</f>
        <v>0</v>
      </c>
      <c r="U788" s="185">
        <f>U779*CHOOSE($D779,1,Параметры!U$53,Параметры!U$59)</f>
        <v>0</v>
      </c>
      <c r="V788" s="185">
        <f>V779*CHOOSE($D779,1,Параметры!V$53,Параметры!V$59)</f>
        <v>0</v>
      </c>
      <c r="W788" s="185">
        <f>W779*CHOOSE($D779,1,Параметры!W$53,Параметры!W$59)</f>
        <v>0</v>
      </c>
      <c r="X788" s="185">
        <f>X779*CHOOSE($D779,1,Параметры!X$53,Параметры!X$59)</f>
        <v>0</v>
      </c>
      <c r="Y788" s="185">
        <f>Y779*CHOOSE($D779,1,Параметры!Y$53,Параметры!Y$59)</f>
        <v>0</v>
      </c>
      <c r="Z788" s="185">
        <f>Z779*CHOOSE($D779,1,Параметры!Z$53,Параметры!Z$59)</f>
        <v>0</v>
      </c>
      <c r="AA788" s="185">
        <f>AA779*CHOOSE($D779,1,Параметры!AA$53,Параметры!AA$59)</f>
        <v>0</v>
      </c>
      <c r="AB788" s="185">
        <f>AB779*CHOOSE($D779,1,Параметры!AB$53,Параметры!AB$59)</f>
        <v>0</v>
      </c>
      <c r="AC788" s="185">
        <f>AC779*CHOOSE($D779,1,Параметры!AC$53,Параметры!AC$59)</f>
        <v>0</v>
      </c>
      <c r="AD788" s="185">
        <f>AD779*CHOOSE($D779,1,Параметры!AD$53,Параметры!AD$59)</f>
        <v>0</v>
      </c>
      <c r="AE788" s="185">
        <f>AE779*CHOOSE($D779,1,Параметры!AE$53,Параметры!AE$59)</f>
        <v>0</v>
      </c>
      <c r="AF788" s="185">
        <f>AF779*CHOOSE($D779,1,Параметры!AF$53,Параметры!AF$59)</f>
        <v>0</v>
      </c>
      <c r="AG788" s="185">
        <f>AG779*CHOOSE($D779,1,Параметры!AG$53,Параметры!AG$59)</f>
        <v>0</v>
      </c>
      <c r="AH788" s="185">
        <f>AH779*CHOOSE($D779,1,Параметры!AH$53,Параметры!AH$59)</f>
        <v>0</v>
      </c>
      <c r="AI788" s="185">
        <f>AI779*CHOOSE($D779,1,Параметры!AI$53,Параметры!AI$59)</f>
        <v>0</v>
      </c>
      <c r="AJ788" s="185">
        <f>AJ779*CHOOSE($D779,1,Параметры!AJ$53,Параметры!AJ$59)</f>
        <v>0</v>
      </c>
      <c r="AK788" s="185">
        <f>AK779*CHOOSE($D779,1,Параметры!AK$53,Параметры!AK$59)</f>
        <v>0</v>
      </c>
      <c r="AL788" s="185">
        <f>AL779*CHOOSE($D779,1,Параметры!AL$53,Параметры!AL$59)</f>
        <v>0</v>
      </c>
      <c r="AM788" s="185">
        <f>AM779*CHOOSE($D779,1,Параметры!AM$53,Параметры!AM$59)</f>
        <v>0</v>
      </c>
      <c r="AN788" s="185">
        <f>AN779*CHOOSE($D779,1,Параметры!AN$53,Параметры!AN$59)</f>
        <v>0</v>
      </c>
      <c r="AO788" s="185">
        <f>AO779*CHOOSE($D779,1,Параметры!AO$53,Параметры!AO$59)</f>
        <v>0</v>
      </c>
      <c r="AP788" s="185">
        <f>AP779*CHOOSE($D779,1,Параметры!AP$53,Параметры!AP$59)</f>
        <v>0</v>
      </c>
      <c r="AQ788" s="185">
        <f>AQ779*CHOOSE($D779,1,Параметры!AQ$53,Параметры!AQ$59)</f>
        <v>0</v>
      </c>
      <c r="AR788" s="185">
        <f>AR779*CHOOSE($D779,1,Параметры!AR$53,Параметры!AR$59)</f>
        <v>0</v>
      </c>
      <c r="AS788" s="185">
        <f>AS779*CHOOSE($D779,1,Параметры!AS$53,Параметры!AS$59)</f>
        <v>0</v>
      </c>
      <c r="AT788" s="185">
        <f>AT779*CHOOSE($D779,1,Параметры!AT$53,Параметры!AT$59)</f>
        <v>0</v>
      </c>
      <c r="AU788" s="185">
        <f>AU779*CHOOSE($D779,1,Параметры!AU$53,Параметры!AU$59)</f>
        <v>0</v>
      </c>
      <c r="AV788" s="185">
        <f>AV779*CHOOSE($D779,1,Параметры!AV$53,Параметры!AV$59)</f>
        <v>0</v>
      </c>
      <c r="AW788" s="185">
        <f>AW779*CHOOSE($D779,1,Параметры!AW$53,Параметры!AW$59)</f>
        <v>0</v>
      </c>
      <c r="AX788" s="185">
        <f>AX779*CHOOSE($D779,1,Параметры!AX$53,Параметры!AX$59)</f>
        <v>0</v>
      </c>
      <c r="AY788" s="185">
        <f>AY779*CHOOSE($D779,1,Параметры!AY$53,Параметры!AY$59)</f>
        <v>0</v>
      </c>
      <c r="AZ788" s="185">
        <f>AZ779*CHOOSE($D779,1,Параметры!AZ$53,Параметры!AZ$59)</f>
        <v>0</v>
      </c>
      <c r="BA788" s="185">
        <f>BA779*CHOOSE($D779,1,Параметры!BA$53,Параметры!BA$59)</f>
        <v>0</v>
      </c>
      <c r="BB788" s="185">
        <f>BB779*CHOOSE($D779,1,Параметры!BB$53,Параметры!BB$59)</f>
        <v>0</v>
      </c>
      <c r="BC788" s="185"/>
      <c r="BD788" s="193">
        <f>SUM(G788:BC788)</f>
        <v>60000000</v>
      </c>
    </row>
    <row r="789" spans="1:56" hidden="1" outlineLevel="1" x14ac:dyDescent="0.3">
      <c r="A789" s="184" t="str">
        <f ca="1">Language!A$885</f>
        <v>незавершенные инвестиции</v>
      </c>
      <c r="B789" s="170"/>
      <c r="C789" s="163" t="str">
        <f t="shared" ca="1" si="3122"/>
        <v>руб.</v>
      </c>
      <c r="D789" s="174">
        <v>1</v>
      </c>
      <c r="E789" s="170" t="s">
        <v>754</v>
      </c>
      <c r="F789" s="170" t="s">
        <v>741</v>
      </c>
      <c r="G789" s="185">
        <f>IF(SUM($G783:G783)&gt;0.01,0,MAX(SUM($G777:G777)+$B778-SUM($G779:G779),0))*CHOOSE($D777,1,Параметры!G$53,Параметры!G$59)</f>
        <v>0</v>
      </c>
      <c r="H789" s="185">
        <f>IF(SUM($G783:H783)&gt;0.01,0,MAX(SUM($G777:H777)+$B778-SUM($G779:H779),0))*CHOOSE($D777,1,Параметры!H$53,Параметры!H$59)</f>
        <v>0</v>
      </c>
      <c r="I789" s="185">
        <f>IF(SUM($G783:I783)&gt;0.01,0,MAX(SUM($G777:I777)+$B778-SUM($G779:I779),0))*CHOOSE($D777,1,Параметры!I$53,Параметры!I$59)</f>
        <v>10000000</v>
      </c>
      <c r="J789" s="185">
        <f>IF(SUM($G783:J783)&gt;0.01,0,MAX(SUM($G777:J777)+$B778-SUM($G779:J779),0))*CHOOSE($D777,1,Параметры!J$53,Параметры!J$59)</f>
        <v>20000000</v>
      </c>
      <c r="K789" s="185">
        <f>IF(SUM($G783:K783)&gt;0.01,0,MAX(SUM($G777:K777)+$B778-SUM($G779:K779),0))*CHOOSE($D777,1,Параметры!K$53,Параметры!K$59)</f>
        <v>30000000</v>
      </c>
      <c r="L789" s="185">
        <f>IF(SUM($G783:L783)&gt;0.01,0,MAX(SUM($G777:L777)+$B778-SUM($G779:L779),0))*CHOOSE($D777,1,Параметры!L$53,Параметры!L$59)</f>
        <v>40000000</v>
      </c>
      <c r="M789" s="185">
        <f>IF(SUM($G783:M783)&gt;0.01,0,MAX(SUM($G777:M777)+$B778-SUM($G779:M779),0))*CHOOSE($D777,1,Параметры!M$53,Параметры!M$59)</f>
        <v>0</v>
      </c>
      <c r="N789" s="185">
        <f>IF(SUM($G783:N783)&gt;0.01,0,MAX(SUM($G777:N777)+$B778-SUM($G779:N779),0))*CHOOSE($D777,1,Параметры!N$53,Параметры!N$59)</f>
        <v>0</v>
      </c>
      <c r="O789" s="185">
        <f>IF(SUM($G783:O783)&gt;0.01,0,MAX(SUM($G777:O777)+$B778-SUM($G779:O779),0))*CHOOSE($D777,1,Параметры!O$53,Параметры!O$59)</f>
        <v>0</v>
      </c>
      <c r="P789" s="185">
        <f>IF(SUM($G783:P783)&gt;0.01,0,MAX(SUM($G777:P777)+$B778-SUM($G779:P779),0))*CHOOSE($D777,1,Параметры!P$53,Параметры!P$59)</f>
        <v>0</v>
      </c>
      <c r="Q789" s="185">
        <f>IF(SUM($G783:Q783)&gt;0.01,0,MAX(SUM($G777:Q777)+$B778-SUM($G779:Q779),0))*CHOOSE($D777,1,Параметры!Q$53,Параметры!Q$59)</f>
        <v>0</v>
      </c>
      <c r="R789" s="185">
        <f>IF(SUM($G783:R783)&gt;0.01,0,MAX(SUM($G777:R777)+$B778-SUM($G779:R779),0))*CHOOSE($D777,1,Параметры!R$53,Параметры!R$59)</f>
        <v>0</v>
      </c>
      <c r="S789" s="185">
        <f>IF(SUM($G783:S783)&gt;0.01,0,MAX(SUM($G777:S777)+$B778-SUM($G779:S779),0))*CHOOSE($D777,1,Параметры!S$53,Параметры!S$59)</f>
        <v>0</v>
      </c>
      <c r="T789" s="185">
        <f>IF(SUM($G783:T783)&gt;0.01,0,MAX(SUM($G777:T777)+$B778-SUM($G779:T779),0))*CHOOSE($D777,1,Параметры!T$53,Параметры!T$59)</f>
        <v>0</v>
      </c>
      <c r="U789" s="185">
        <f>IF(SUM($G783:U783)&gt;0.01,0,MAX(SUM($G777:U777)+$B778-SUM($G779:U779),0))*CHOOSE($D777,1,Параметры!U$53,Параметры!U$59)</f>
        <v>0</v>
      </c>
      <c r="V789" s="185">
        <f>IF(SUM($G783:V783)&gt;0.01,0,MAX(SUM($G777:V777)+$B778-SUM($G779:V779),0))*CHOOSE($D777,1,Параметры!V$53,Параметры!V$59)</f>
        <v>0</v>
      </c>
      <c r="W789" s="185">
        <f>IF(SUM($G783:W783)&gt;0.01,0,MAX(SUM($G777:W777)+$B778-SUM($G779:W779),0))*CHOOSE($D777,1,Параметры!W$53,Параметры!W$59)</f>
        <v>0</v>
      </c>
      <c r="X789" s="185">
        <f>IF(SUM($G783:X783)&gt;0.01,0,MAX(SUM($G777:X777)+$B778-SUM($G779:X779),0))*CHOOSE($D777,1,Параметры!X$53,Параметры!X$59)</f>
        <v>0</v>
      </c>
      <c r="Y789" s="185">
        <f>IF(SUM($G783:Y783)&gt;0.01,0,MAX(SUM($G777:Y777)+$B778-SUM($G779:Y779),0))*CHOOSE($D777,1,Параметры!Y$53,Параметры!Y$59)</f>
        <v>0</v>
      </c>
      <c r="Z789" s="185">
        <f>IF(SUM($G783:Z783)&gt;0.01,0,MAX(SUM($G777:Z777)+$B778-SUM($G779:Z779),0))*CHOOSE($D777,1,Параметры!Z$53,Параметры!Z$59)</f>
        <v>0</v>
      </c>
      <c r="AA789" s="185">
        <f>IF(SUM($G783:AA783)&gt;0.01,0,MAX(SUM($G777:AA777)+$B778-SUM($G779:AA779),0))*CHOOSE($D777,1,Параметры!AA$53,Параметры!AA$59)</f>
        <v>0</v>
      </c>
      <c r="AB789" s="185">
        <f>IF(SUM($G783:AB783)&gt;0.01,0,MAX(SUM($G777:AB777)+$B778-SUM($G779:AB779),0))*CHOOSE($D777,1,Параметры!AB$53,Параметры!AB$59)</f>
        <v>0</v>
      </c>
      <c r="AC789" s="185">
        <f>IF(SUM($G783:AC783)&gt;0.01,0,MAX(SUM($G777:AC777)+$B778-SUM($G779:AC779),0))*CHOOSE($D777,1,Параметры!AC$53,Параметры!AC$59)</f>
        <v>0</v>
      </c>
      <c r="AD789" s="185">
        <f>IF(SUM($G783:AD783)&gt;0.01,0,MAX(SUM($G777:AD777)+$B778-SUM($G779:AD779),0))*CHOOSE($D777,1,Параметры!AD$53,Параметры!AD$59)</f>
        <v>0</v>
      </c>
      <c r="AE789" s="185">
        <f>IF(SUM($G783:AE783)&gt;0.01,0,MAX(SUM($G777:AE777)+$B778-SUM($G779:AE779),0))*CHOOSE($D777,1,Параметры!AE$53,Параметры!AE$59)</f>
        <v>0</v>
      </c>
      <c r="AF789" s="185">
        <f>IF(SUM($G783:AF783)&gt;0.01,0,MAX(SUM($G777:AF777)+$B778-SUM($G779:AF779),0))*CHOOSE($D777,1,Параметры!AF$53,Параметры!AF$59)</f>
        <v>0</v>
      </c>
      <c r="AG789" s="185">
        <f>IF(SUM($G783:AG783)&gt;0.01,0,MAX(SUM($G777:AG777)+$B778-SUM($G779:AG779),0))*CHOOSE($D777,1,Параметры!AG$53,Параметры!AG$59)</f>
        <v>0</v>
      </c>
      <c r="AH789" s="185">
        <f>IF(SUM($G783:AH783)&gt;0.01,0,MAX(SUM($G777:AH777)+$B778-SUM($G779:AH779),0))*CHOOSE($D777,1,Параметры!AH$53,Параметры!AH$59)</f>
        <v>0</v>
      </c>
      <c r="AI789" s="185">
        <f>IF(SUM($G783:AI783)&gt;0.01,0,MAX(SUM($G777:AI777)+$B778-SUM($G779:AI779),0))*CHOOSE($D777,1,Параметры!AI$53,Параметры!AI$59)</f>
        <v>0</v>
      </c>
      <c r="AJ789" s="185">
        <f>IF(SUM($G783:AJ783)&gt;0.01,0,MAX(SUM($G777:AJ777)+$B778-SUM($G779:AJ779),0))*CHOOSE($D777,1,Параметры!AJ$53,Параметры!AJ$59)</f>
        <v>0</v>
      </c>
      <c r="AK789" s="185">
        <f>IF(SUM($G783:AK783)&gt;0.01,0,MAX(SUM($G777:AK777)+$B778-SUM($G779:AK779),0))*CHOOSE($D777,1,Параметры!AK$53,Параметры!AK$59)</f>
        <v>0</v>
      </c>
      <c r="AL789" s="185">
        <f>IF(SUM($G783:AL783)&gt;0.01,0,MAX(SUM($G777:AL777)+$B778-SUM($G779:AL779),0))*CHOOSE($D777,1,Параметры!AL$53,Параметры!AL$59)</f>
        <v>0</v>
      </c>
      <c r="AM789" s="185">
        <f>IF(SUM($G783:AM783)&gt;0.01,0,MAX(SUM($G777:AM777)+$B778-SUM($G779:AM779),0))*CHOOSE($D777,1,Параметры!AM$53,Параметры!AM$59)</f>
        <v>0</v>
      </c>
      <c r="AN789" s="185">
        <f>IF(SUM($G783:AN783)&gt;0.01,0,MAX(SUM($G777:AN777)+$B778-SUM($G779:AN779),0))*CHOOSE($D777,1,Параметры!AN$53,Параметры!AN$59)</f>
        <v>0</v>
      </c>
      <c r="AO789" s="185">
        <f>IF(SUM($G783:AO783)&gt;0.01,0,MAX(SUM($G777:AO777)+$B778-SUM($G779:AO779),0))*CHOOSE($D777,1,Параметры!AO$53,Параметры!AO$59)</f>
        <v>0</v>
      </c>
      <c r="AP789" s="185">
        <f>IF(SUM($G783:AP783)&gt;0.01,0,MAX(SUM($G777:AP777)+$B778-SUM($G779:AP779),0))*CHOOSE($D777,1,Параметры!AP$53,Параметры!AP$59)</f>
        <v>0</v>
      </c>
      <c r="AQ789" s="185">
        <f>IF(SUM($G783:AQ783)&gt;0.01,0,MAX(SUM($G777:AQ777)+$B778-SUM($G779:AQ779),0))*CHOOSE($D777,1,Параметры!AQ$53,Параметры!AQ$59)</f>
        <v>0</v>
      </c>
      <c r="AR789" s="185">
        <f>IF(SUM($G783:AR783)&gt;0.01,0,MAX(SUM($G777:AR777)+$B778-SUM($G779:AR779),0))*CHOOSE($D777,1,Параметры!AR$53,Параметры!AR$59)</f>
        <v>0</v>
      </c>
      <c r="AS789" s="185">
        <f>IF(SUM($G783:AS783)&gt;0.01,0,MAX(SUM($G777:AS777)+$B778-SUM($G779:AS779),0))*CHOOSE($D777,1,Параметры!AS$53,Параметры!AS$59)</f>
        <v>0</v>
      </c>
      <c r="AT789" s="185">
        <f>IF(SUM($G783:AT783)&gt;0.01,0,MAX(SUM($G777:AT777)+$B778-SUM($G779:AT779),0))*CHOOSE($D777,1,Параметры!AT$53,Параметры!AT$59)</f>
        <v>0</v>
      </c>
      <c r="AU789" s="185">
        <f>IF(SUM($G783:AU783)&gt;0.01,0,MAX(SUM($G777:AU777)+$B778-SUM($G779:AU779),0))*CHOOSE($D777,1,Параметры!AU$53,Параметры!AU$59)</f>
        <v>0</v>
      </c>
      <c r="AV789" s="185">
        <f>IF(SUM($G783:AV783)&gt;0.01,0,MAX(SUM($G777:AV777)+$B778-SUM($G779:AV779),0))*CHOOSE($D777,1,Параметры!AV$53,Параметры!AV$59)</f>
        <v>0</v>
      </c>
      <c r="AW789" s="185">
        <f>IF(SUM($G783:AW783)&gt;0.01,0,MAX(SUM($G777:AW777)+$B778-SUM($G779:AW779),0))*CHOOSE($D777,1,Параметры!AW$53,Параметры!AW$59)</f>
        <v>0</v>
      </c>
      <c r="AX789" s="185">
        <f>IF(SUM($G783:AX783)&gt;0.01,0,MAX(SUM($G777:AX777)+$B778-SUM($G779:AX779),0))*CHOOSE($D777,1,Параметры!AX$53,Параметры!AX$59)</f>
        <v>0</v>
      </c>
      <c r="AY789" s="185">
        <f>IF(SUM($G783:AY783)&gt;0.01,0,MAX(SUM($G777:AY777)+$B778-SUM($G779:AY779),0))*CHOOSE($D777,1,Параметры!AY$53,Параметры!AY$59)</f>
        <v>0</v>
      </c>
      <c r="AZ789" s="185">
        <f>IF(SUM($G783:AZ783)&gt;0.01,0,MAX(SUM($G777:AZ777)+$B778-SUM($G779:AZ779),0))*CHOOSE($D777,1,Параметры!AZ$53,Параметры!AZ$59)</f>
        <v>0</v>
      </c>
      <c r="BA789" s="185">
        <f>IF(SUM($G783:BA783)&gt;0.01,0,MAX(SUM($G777:BA777)+$B778-SUM($G779:BA779),0))*CHOOSE($D777,1,Параметры!BA$53,Параметры!BA$59)</f>
        <v>0</v>
      </c>
      <c r="BB789" s="185">
        <f>IF(SUM($G783:BB783)&gt;0.01,0,MAX(SUM($G777:BB777)+$B778-SUM($G779:BB779),0))*CHOOSE($D777,1,Параметры!BB$53,Параметры!BB$59)</f>
        <v>0</v>
      </c>
      <c r="BC789" s="185"/>
      <c r="BD789" s="186"/>
    </row>
    <row r="790" spans="1:56" hidden="1" outlineLevel="1" x14ac:dyDescent="0.3">
      <c r="A790" s="184" t="str">
        <f ca="1">Language!A$886</f>
        <v>кредиторская задолженность</v>
      </c>
      <c r="B790" s="170"/>
      <c r="C790" s="163" t="str">
        <f t="shared" ca="1" si="3122"/>
        <v>руб.</v>
      </c>
      <c r="D790" s="174">
        <v>1</v>
      </c>
      <c r="E790" s="170" t="s">
        <v>752</v>
      </c>
      <c r="F790" s="170" t="s">
        <v>741</v>
      </c>
      <c r="G790" s="185">
        <f>IF(SUM($G783:G783)&gt;0.01,0,MAX(SUM($G779:G779)-SUM($G777:G777)-$B778,0))*CHOOSE($D777,1,Параметры!G$53,Параметры!G$59)*(1+G782)</f>
        <v>0</v>
      </c>
      <c r="H790" s="185">
        <f>IF(SUM($G783:H783)&gt;0.01,0,MAX(SUM($G779:H779)-SUM($G777:H777)-$B778,0))*CHOOSE($D777,1,Параметры!H$53,Параметры!H$59)*(1+H782)</f>
        <v>0</v>
      </c>
      <c r="I790" s="185">
        <f>IF(SUM($G783:I783)&gt;0.01,0,MAX(SUM($G779:I779)-SUM($G777:I777)-$B778,0))*CHOOSE($D777,1,Параметры!I$53,Параметры!I$59)*(1+I782)</f>
        <v>0</v>
      </c>
      <c r="J790" s="185">
        <f>IF(SUM($G783:J783)&gt;0.01,0,MAX(SUM($G779:J779)-SUM($G777:J777)-$B778,0))*CHOOSE($D777,1,Параметры!J$53,Параметры!J$59)*(1+J782)</f>
        <v>0</v>
      </c>
      <c r="K790" s="185">
        <f>IF(SUM($G783:K783)&gt;0.01,0,MAX(SUM($G779:K779)-SUM($G777:K777)-$B778,0))*CHOOSE($D777,1,Параметры!K$53,Параметры!K$59)*(1+K782)</f>
        <v>0</v>
      </c>
      <c r="L790" s="185">
        <f>IF(SUM($G783:L783)&gt;0.01,0,MAX(SUM($G779:L779)-SUM($G777:L777)-$B778,0))*CHOOSE($D777,1,Параметры!L$53,Параметры!L$59)*(1+L782)</f>
        <v>0</v>
      </c>
      <c r="M790" s="185">
        <f>IF(SUM($G783:M783)&gt;0.01,0,MAX(SUM($G779:M779)-SUM($G777:M777)-$B778,0))*CHOOSE($D777,1,Параметры!M$53,Параметры!M$59)*(1+M782)</f>
        <v>10000000</v>
      </c>
      <c r="N790" s="185">
        <f>IF(SUM($G783:N783)&gt;0.01,0,MAX(SUM($G779:N779)-SUM($G777:N777)-$B778,0))*CHOOSE($D777,1,Параметры!N$53,Параметры!N$59)*(1+N782)</f>
        <v>0</v>
      </c>
      <c r="O790" s="185">
        <f>IF(SUM($G783:O783)&gt;0.01,0,MAX(SUM($G779:O779)-SUM($G777:O777)-$B778,0))*CHOOSE($D777,1,Параметры!O$53,Параметры!O$59)*(1+O782)</f>
        <v>0</v>
      </c>
      <c r="P790" s="185">
        <f>IF(SUM($G783:P783)&gt;0.01,0,MAX(SUM($G779:P779)-SUM($G777:P777)-$B778,0))*CHOOSE($D777,1,Параметры!P$53,Параметры!P$59)*(1+P782)</f>
        <v>0</v>
      </c>
      <c r="Q790" s="185">
        <f>IF(SUM($G783:Q783)&gt;0.01,0,MAX(SUM($G779:Q779)-SUM($G777:Q777)-$B778,0))*CHOOSE($D777,1,Параметры!Q$53,Параметры!Q$59)*(1+Q782)</f>
        <v>0</v>
      </c>
      <c r="R790" s="185">
        <f>IF(SUM($G783:R783)&gt;0.01,0,MAX(SUM($G779:R779)-SUM($G777:R777)-$B778,0))*CHOOSE($D777,1,Параметры!R$53,Параметры!R$59)*(1+R782)</f>
        <v>0</v>
      </c>
      <c r="S790" s="185">
        <f>IF(SUM($G783:S783)&gt;0.01,0,MAX(SUM($G779:S779)-SUM($G777:S777)-$B778,0))*CHOOSE($D777,1,Параметры!S$53,Параметры!S$59)*(1+S782)</f>
        <v>0</v>
      </c>
      <c r="T790" s="185">
        <f>IF(SUM($G783:T783)&gt;0.01,0,MAX(SUM($G779:T779)-SUM($G777:T777)-$B778,0))*CHOOSE($D777,1,Параметры!T$53,Параметры!T$59)*(1+T782)</f>
        <v>0</v>
      </c>
      <c r="U790" s="185">
        <f>IF(SUM($G783:U783)&gt;0.01,0,MAX(SUM($G779:U779)-SUM($G777:U777)-$B778,0))*CHOOSE($D777,1,Параметры!U$53,Параметры!U$59)*(1+U782)</f>
        <v>0</v>
      </c>
      <c r="V790" s="185">
        <f>IF(SUM($G783:V783)&gt;0.01,0,MAX(SUM($G779:V779)-SUM($G777:V777)-$B778,0))*CHOOSE($D777,1,Параметры!V$53,Параметры!V$59)*(1+V782)</f>
        <v>0</v>
      </c>
      <c r="W790" s="185">
        <f>IF(SUM($G783:W783)&gt;0.01,0,MAX(SUM($G779:W779)-SUM($G777:W777)-$B778,0))*CHOOSE($D777,1,Параметры!W$53,Параметры!W$59)*(1+W782)</f>
        <v>0</v>
      </c>
      <c r="X790" s="185">
        <f>IF(SUM($G783:X783)&gt;0.01,0,MAX(SUM($G779:X779)-SUM($G777:X777)-$B778,0))*CHOOSE($D777,1,Параметры!X$53,Параметры!X$59)*(1+X782)</f>
        <v>0</v>
      </c>
      <c r="Y790" s="185">
        <f>IF(SUM($G783:Y783)&gt;0.01,0,MAX(SUM($G779:Y779)-SUM($G777:Y777)-$B778,0))*CHOOSE($D777,1,Параметры!Y$53,Параметры!Y$59)*(1+Y782)</f>
        <v>0</v>
      </c>
      <c r="Z790" s="185">
        <f>IF(SUM($G783:Z783)&gt;0.01,0,MAX(SUM($G779:Z779)-SUM($G777:Z777)-$B778,0))*CHOOSE($D777,1,Параметры!Z$53,Параметры!Z$59)*(1+Z782)</f>
        <v>0</v>
      </c>
      <c r="AA790" s="185">
        <f>IF(SUM($G783:AA783)&gt;0.01,0,MAX(SUM($G779:AA779)-SUM($G777:AA777)-$B778,0))*CHOOSE($D777,1,Параметры!AA$53,Параметры!AA$59)*(1+AA782)</f>
        <v>0</v>
      </c>
      <c r="AB790" s="185">
        <f>IF(SUM($G783:AB783)&gt;0.01,0,MAX(SUM($G779:AB779)-SUM($G777:AB777)-$B778,0))*CHOOSE($D777,1,Параметры!AB$53,Параметры!AB$59)*(1+AB782)</f>
        <v>0</v>
      </c>
      <c r="AC790" s="185">
        <f>IF(SUM($G783:AC783)&gt;0.01,0,MAX(SUM($G779:AC779)-SUM($G777:AC777)-$B778,0))*CHOOSE($D777,1,Параметры!AC$53,Параметры!AC$59)*(1+AC782)</f>
        <v>0</v>
      </c>
      <c r="AD790" s="185">
        <f>IF(SUM($G783:AD783)&gt;0.01,0,MAX(SUM($G779:AD779)-SUM($G777:AD777)-$B778,0))*CHOOSE($D777,1,Параметры!AD$53,Параметры!AD$59)*(1+AD782)</f>
        <v>0</v>
      </c>
      <c r="AE790" s="185">
        <f>IF(SUM($G783:AE783)&gt;0.01,0,MAX(SUM($G779:AE779)-SUM($G777:AE777)-$B778,0))*CHOOSE($D777,1,Параметры!AE$53,Параметры!AE$59)*(1+AE782)</f>
        <v>0</v>
      </c>
      <c r="AF790" s="185">
        <f>IF(SUM($G783:AF783)&gt;0.01,0,MAX(SUM($G779:AF779)-SUM($G777:AF777)-$B778,0))*CHOOSE($D777,1,Параметры!AF$53,Параметры!AF$59)*(1+AF782)</f>
        <v>0</v>
      </c>
      <c r="AG790" s="185">
        <f>IF(SUM($G783:AG783)&gt;0.01,0,MAX(SUM($G779:AG779)-SUM($G777:AG777)-$B778,0))*CHOOSE($D777,1,Параметры!AG$53,Параметры!AG$59)*(1+AG782)</f>
        <v>0</v>
      </c>
      <c r="AH790" s="185">
        <f>IF(SUM($G783:AH783)&gt;0.01,0,MAX(SUM($G779:AH779)-SUM($G777:AH777)-$B778,0))*CHOOSE($D777,1,Параметры!AH$53,Параметры!AH$59)*(1+AH782)</f>
        <v>0</v>
      </c>
      <c r="AI790" s="185">
        <f>IF(SUM($G783:AI783)&gt;0.01,0,MAX(SUM($G779:AI779)-SUM($G777:AI777)-$B778,0))*CHOOSE($D777,1,Параметры!AI$53,Параметры!AI$59)*(1+AI782)</f>
        <v>0</v>
      </c>
      <c r="AJ790" s="185">
        <f>IF(SUM($G783:AJ783)&gt;0.01,0,MAX(SUM($G779:AJ779)-SUM($G777:AJ777)-$B778,0))*CHOOSE($D777,1,Параметры!AJ$53,Параметры!AJ$59)*(1+AJ782)</f>
        <v>0</v>
      </c>
      <c r="AK790" s="185">
        <f>IF(SUM($G783:AK783)&gt;0.01,0,MAX(SUM($G779:AK779)-SUM($G777:AK777)-$B778,0))*CHOOSE($D777,1,Параметры!AK$53,Параметры!AK$59)*(1+AK782)</f>
        <v>0</v>
      </c>
      <c r="AL790" s="185">
        <f>IF(SUM($G783:AL783)&gt;0.01,0,MAX(SUM($G779:AL779)-SUM($G777:AL777)-$B778,0))*CHOOSE($D777,1,Параметры!AL$53,Параметры!AL$59)*(1+AL782)</f>
        <v>0</v>
      </c>
      <c r="AM790" s="185">
        <f>IF(SUM($G783:AM783)&gt;0.01,0,MAX(SUM($G779:AM779)-SUM($G777:AM777)-$B778,0))*CHOOSE($D777,1,Параметры!AM$53,Параметры!AM$59)*(1+AM782)</f>
        <v>0</v>
      </c>
      <c r="AN790" s="185">
        <f>IF(SUM($G783:AN783)&gt;0.01,0,MAX(SUM($G779:AN779)-SUM($G777:AN777)-$B778,0))*CHOOSE($D777,1,Параметры!AN$53,Параметры!AN$59)*(1+AN782)</f>
        <v>0</v>
      </c>
      <c r="AO790" s="185">
        <f>IF(SUM($G783:AO783)&gt;0.01,0,MAX(SUM($G779:AO779)-SUM($G777:AO777)-$B778,0))*CHOOSE($D777,1,Параметры!AO$53,Параметры!AO$59)*(1+AO782)</f>
        <v>0</v>
      </c>
      <c r="AP790" s="185">
        <f>IF(SUM($G783:AP783)&gt;0.01,0,MAX(SUM($G779:AP779)-SUM($G777:AP777)-$B778,0))*CHOOSE($D777,1,Параметры!AP$53,Параметры!AP$59)*(1+AP782)</f>
        <v>0</v>
      </c>
      <c r="AQ790" s="185">
        <f>IF(SUM($G783:AQ783)&gt;0.01,0,MAX(SUM($G779:AQ779)-SUM($G777:AQ777)-$B778,0))*CHOOSE($D777,1,Параметры!AQ$53,Параметры!AQ$59)*(1+AQ782)</f>
        <v>0</v>
      </c>
      <c r="AR790" s="185">
        <f>IF(SUM($G783:AR783)&gt;0.01,0,MAX(SUM($G779:AR779)-SUM($G777:AR777)-$B778,0))*CHOOSE($D777,1,Параметры!AR$53,Параметры!AR$59)*(1+AR782)</f>
        <v>0</v>
      </c>
      <c r="AS790" s="185">
        <f>IF(SUM($G783:AS783)&gt;0.01,0,MAX(SUM($G779:AS779)-SUM($G777:AS777)-$B778,0))*CHOOSE($D777,1,Параметры!AS$53,Параметры!AS$59)*(1+AS782)</f>
        <v>0</v>
      </c>
      <c r="AT790" s="185">
        <f>IF(SUM($G783:AT783)&gt;0.01,0,MAX(SUM($G779:AT779)-SUM($G777:AT777)-$B778,0))*CHOOSE($D777,1,Параметры!AT$53,Параметры!AT$59)*(1+AT782)</f>
        <v>0</v>
      </c>
      <c r="AU790" s="185">
        <f>IF(SUM($G783:AU783)&gt;0.01,0,MAX(SUM($G779:AU779)-SUM($G777:AU777)-$B778,0))*CHOOSE($D777,1,Параметры!AU$53,Параметры!AU$59)*(1+AU782)</f>
        <v>0</v>
      </c>
      <c r="AV790" s="185">
        <f>IF(SUM($G783:AV783)&gt;0.01,0,MAX(SUM($G779:AV779)-SUM($G777:AV777)-$B778,0))*CHOOSE($D777,1,Параметры!AV$53,Параметры!AV$59)*(1+AV782)</f>
        <v>0</v>
      </c>
      <c r="AW790" s="185">
        <f>IF(SUM($G783:AW783)&gt;0.01,0,MAX(SUM($G779:AW779)-SUM($G777:AW777)-$B778,0))*CHOOSE($D777,1,Параметры!AW$53,Параметры!AW$59)*(1+AW782)</f>
        <v>0</v>
      </c>
      <c r="AX790" s="185">
        <f>IF(SUM($G783:AX783)&gt;0.01,0,MAX(SUM($G779:AX779)-SUM($G777:AX777)-$B778,0))*CHOOSE($D777,1,Параметры!AX$53,Параметры!AX$59)*(1+AX782)</f>
        <v>0</v>
      </c>
      <c r="AY790" s="185">
        <f>IF(SUM($G783:AY783)&gt;0.01,0,MAX(SUM($G779:AY779)-SUM($G777:AY777)-$B778,0))*CHOOSE($D777,1,Параметры!AY$53,Параметры!AY$59)*(1+AY782)</f>
        <v>0</v>
      </c>
      <c r="AZ790" s="185">
        <f>IF(SUM($G783:AZ783)&gt;0.01,0,MAX(SUM($G779:AZ779)-SUM($G777:AZ777)-$B778,0))*CHOOSE($D777,1,Параметры!AZ$53,Параметры!AZ$59)*(1+AZ782)</f>
        <v>0</v>
      </c>
      <c r="BA790" s="185">
        <f>IF(SUM($G783:BA783)&gt;0.01,0,MAX(SUM($G779:BA779)-SUM($G777:BA777)-$B778,0))*CHOOSE($D777,1,Параметры!BA$53,Параметры!BA$59)*(1+BA782)</f>
        <v>0</v>
      </c>
      <c r="BB790" s="185">
        <f>IF(SUM($G783:BB783)&gt;0.01,0,MAX(SUM($G779:BB779)-SUM($G777:BB777)-$B778,0))*CHOOSE($D777,1,Параметры!BB$53,Параметры!BB$59)*(1+BB782)</f>
        <v>0</v>
      </c>
      <c r="BC790" s="185"/>
      <c r="BD790" s="186"/>
    </row>
    <row r="791" spans="1:56" hidden="1" outlineLevel="1" x14ac:dyDescent="0.3">
      <c r="A791" s="184" t="str">
        <f ca="1">Language!A$1511</f>
        <v>НДС к кредиторской задолженности</v>
      </c>
      <c r="B791" s="170"/>
      <c r="C791" s="163" t="str">
        <f t="shared" ca="1" si="3122"/>
        <v>руб.</v>
      </c>
      <c r="D791" s="174">
        <v>1</v>
      </c>
      <c r="E791" s="170" t="s">
        <v>2294</v>
      </c>
      <c r="F791" s="170" t="s">
        <v>741</v>
      </c>
      <c r="G791" s="185">
        <f>MAX(SUM($G795:G795)-SUM($G794:G794)-SUM($G787:G787),0)</f>
        <v>0</v>
      </c>
      <c r="H791" s="185">
        <f>MAX(SUM($G795:H795)-SUM($G794:H794)-SUM($G787:H787),0)</f>
        <v>0</v>
      </c>
      <c r="I791" s="185">
        <f>MAX(SUM($G795:I795)-SUM($G794:I794)-SUM($G787:I787),0)</f>
        <v>0</v>
      </c>
      <c r="J791" s="185">
        <f>MAX(SUM($G795:J795)-SUM($G794:J794)-SUM($G787:J787),0)</f>
        <v>0</v>
      </c>
      <c r="K791" s="185">
        <f>MAX(SUM($G795:K795)-SUM($G794:K794)-SUM($G787:K787),0)</f>
        <v>0</v>
      </c>
      <c r="L791" s="185">
        <f>MAX(SUM($G795:L795)-SUM($G794:L794)-SUM($G787:L787),0)</f>
        <v>0</v>
      </c>
      <c r="M791" s="185">
        <f>MAX(SUM($G795:M795)-SUM($G794:M794)-SUM($G787:M787),0)</f>
        <v>0</v>
      </c>
      <c r="N791" s="185">
        <f>MAX(SUM($G795:N795)-SUM($G794:N794)-SUM($G787:N787),0)</f>
        <v>0</v>
      </c>
      <c r="O791" s="185">
        <f>MAX(SUM($G795:O795)-SUM($G794:O794)-SUM($G787:O787),0)</f>
        <v>0</v>
      </c>
      <c r="P791" s="185">
        <f>MAX(SUM($G795:P795)-SUM($G794:P794)-SUM($G787:P787),0)</f>
        <v>0</v>
      </c>
      <c r="Q791" s="185">
        <f>MAX(SUM($G795:Q795)-SUM($G794:Q794)-SUM($G787:Q787),0)</f>
        <v>0</v>
      </c>
      <c r="R791" s="185">
        <f>MAX(SUM($G795:R795)-SUM($G794:R794)-SUM($G787:R787),0)</f>
        <v>0</v>
      </c>
      <c r="S791" s="185">
        <f>MAX(SUM($G795:S795)-SUM($G794:S794)-SUM($G787:S787),0)</f>
        <v>0</v>
      </c>
      <c r="T791" s="185">
        <f>MAX(SUM($G795:T795)-SUM($G794:T794)-SUM($G787:T787),0)</f>
        <v>0</v>
      </c>
      <c r="U791" s="185">
        <f>MAX(SUM($G795:U795)-SUM($G794:U794)-SUM($G787:U787),0)</f>
        <v>0</v>
      </c>
      <c r="V791" s="185">
        <f>MAX(SUM($G795:V795)-SUM($G794:V794)-SUM($G787:V787),0)</f>
        <v>0</v>
      </c>
      <c r="W791" s="185">
        <f>MAX(SUM($G795:W795)-SUM($G794:W794)-SUM($G787:W787),0)</f>
        <v>0</v>
      </c>
      <c r="X791" s="185">
        <f>MAX(SUM($G795:X795)-SUM($G794:X794)-SUM($G787:X787),0)</f>
        <v>0</v>
      </c>
      <c r="Y791" s="185">
        <f>MAX(SUM($G795:Y795)-SUM($G794:Y794)-SUM($G787:Y787),0)</f>
        <v>0</v>
      </c>
      <c r="Z791" s="185">
        <f>MAX(SUM($G795:Z795)-SUM($G794:Z794)-SUM($G787:Z787),0)</f>
        <v>0</v>
      </c>
      <c r="AA791" s="185">
        <f>MAX(SUM($G795:AA795)-SUM($G794:AA794)-SUM($G787:AA787),0)</f>
        <v>0</v>
      </c>
      <c r="AB791" s="185">
        <f>MAX(SUM($G795:AB795)-SUM($G794:AB794)-SUM($G787:AB787),0)</f>
        <v>0</v>
      </c>
      <c r="AC791" s="185">
        <f>MAX(SUM($G795:AC795)-SUM($G794:AC794)-SUM($G787:AC787),0)</f>
        <v>0</v>
      </c>
      <c r="AD791" s="185">
        <f>MAX(SUM($G795:AD795)-SUM($G794:AD794)-SUM($G787:AD787),0)</f>
        <v>0</v>
      </c>
      <c r="AE791" s="185">
        <f>MAX(SUM($G795:AE795)-SUM($G794:AE794)-SUM($G787:AE787),0)</f>
        <v>0</v>
      </c>
      <c r="AF791" s="185">
        <f>MAX(SUM($G795:AF795)-SUM($G794:AF794)-SUM($G787:AF787),0)</f>
        <v>0</v>
      </c>
      <c r="AG791" s="185">
        <f>MAX(SUM($G795:AG795)-SUM($G794:AG794)-SUM($G787:AG787),0)</f>
        <v>0</v>
      </c>
      <c r="AH791" s="185">
        <f>MAX(SUM($G795:AH795)-SUM($G794:AH794)-SUM($G787:AH787),0)</f>
        <v>0</v>
      </c>
      <c r="AI791" s="185">
        <f>MAX(SUM($G795:AI795)-SUM($G794:AI794)-SUM($G787:AI787),0)</f>
        <v>0</v>
      </c>
      <c r="AJ791" s="185">
        <f>MAX(SUM($G795:AJ795)-SUM($G794:AJ794)-SUM($G787:AJ787),0)</f>
        <v>0</v>
      </c>
      <c r="AK791" s="185">
        <f>MAX(SUM($G795:AK795)-SUM($G794:AK794)-SUM($G787:AK787),0)</f>
        <v>0</v>
      </c>
      <c r="AL791" s="185">
        <f>MAX(SUM($G795:AL795)-SUM($G794:AL794)-SUM($G787:AL787),0)</f>
        <v>0</v>
      </c>
      <c r="AM791" s="185">
        <f>MAX(SUM($G795:AM795)-SUM($G794:AM794)-SUM($G787:AM787),0)</f>
        <v>0</v>
      </c>
      <c r="AN791" s="185">
        <f>MAX(SUM($G795:AN795)-SUM($G794:AN794)-SUM($G787:AN787),0)</f>
        <v>0</v>
      </c>
      <c r="AO791" s="185">
        <f>MAX(SUM($G795:AO795)-SUM($G794:AO794)-SUM($G787:AO787),0)</f>
        <v>0</v>
      </c>
      <c r="AP791" s="185">
        <f>MAX(SUM($G795:AP795)-SUM($G794:AP794)-SUM($G787:AP787),0)</f>
        <v>0</v>
      </c>
      <c r="AQ791" s="185">
        <f>MAX(SUM($G795:AQ795)-SUM($G794:AQ794)-SUM($G787:AQ787),0)</f>
        <v>0</v>
      </c>
      <c r="AR791" s="185">
        <f>MAX(SUM($G795:AR795)-SUM($G794:AR794)-SUM($G787:AR787),0)</f>
        <v>0</v>
      </c>
      <c r="AS791" s="185">
        <f>MAX(SUM($G795:AS795)-SUM($G794:AS794)-SUM($G787:AS787),0)</f>
        <v>0</v>
      </c>
      <c r="AT791" s="185">
        <f>MAX(SUM($G795:AT795)-SUM($G794:AT794)-SUM($G787:AT787),0)</f>
        <v>0</v>
      </c>
      <c r="AU791" s="185">
        <f>MAX(SUM($G795:AU795)-SUM($G794:AU794)-SUM($G787:AU787),0)</f>
        <v>0</v>
      </c>
      <c r="AV791" s="185">
        <f>MAX(SUM($G795:AV795)-SUM($G794:AV794)-SUM($G787:AV787),0)</f>
        <v>0</v>
      </c>
      <c r="AW791" s="185">
        <f>MAX(SUM($G795:AW795)-SUM($G794:AW794)-SUM($G787:AW787),0)</f>
        <v>0</v>
      </c>
      <c r="AX791" s="185">
        <f>MAX(SUM($G795:AX795)-SUM($G794:AX794)-SUM($G787:AX787),0)</f>
        <v>0</v>
      </c>
      <c r="AY791" s="185">
        <f>MAX(SUM($G795:AY795)-SUM($G794:AY794)-SUM($G787:AY787),0)</f>
        <v>0</v>
      </c>
      <c r="AZ791" s="185">
        <f>MAX(SUM($G795:AZ795)-SUM($G794:AZ794)-SUM($G787:AZ787),0)</f>
        <v>0</v>
      </c>
      <c r="BA791" s="185">
        <f>MAX(SUM($G795:BA795)-SUM($G794:BA794)-SUM($G787:BA787),0)</f>
        <v>0</v>
      </c>
      <c r="BB791" s="185">
        <f>MAX(SUM($G795:BB795)-SUM($G794:BB794)-SUM($G787:BB787),0)</f>
        <v>0</v>
      </c>
      <c r="BC791" s="185"/>
      <c r="BD791" s="186"/>
    </row>
    <row r="792" spans="1:56" hidden="1" outlineLevel="1" x14ac:dyDescent="0.3">
      <c r="A792" s="184" t="str">
        <f ca="1">Language!A$887</f>
        <v>амортизация (бухгалтерская)</v>
      </c>
      <c r="B792" s="170"/>
      <c r="C792" s="163" t="str">
        <f t="shared" ca="1" si="3122"/>
        <v>руб.</v>
      </c>
      <c r="D792" s="174">
        <v>1</v>
      </c>
      <c r="E792" s="170" t="s">
        <v>756</v>
      </c>
      <c r="F792" s="170" t="s">
        <v>740</v>
      </c>
      <c r="G792" s="185">
        <f ca="1">IF(SUM($G783:G783)&gt;0.01,0,IF($B780=0,0,MIN((SUM($G788:G788)-IF(G$2&gt;$B780*12/Prj_Step,SUM($G788:OFFSET(G788,0,-$B780*12/Prj_Step)),0))/$B780/12*Параметры!G$31,IF(G$2=1,G788,F793+SUM($F788:G788)-SUM($F788:F788)))))</f>
        <v>0</v>
      </c>
      <c r="H792" s="185">
        <f ca="1">IF(SUM($G783:H783)&gt;0.01,0,IF($B780=0,0,MIN((SUM($G788:H788)-IF(H$2&gt;$B780*12/Prj_Step,SUM($G788:OFFSET(H788,0,-$B780*12/Prj_Step)),0))/$B780/12*Параметры!H$31,IF(H$2=1,H788,G793+SUM($F788:H788)-SUM($F788:G788)))))</f>
        <v>0</v>
      </c>
      <c r="I792" s="185">
        <f ca="1">IF(SUM($G783:I783)&gt;0.01,0,IF($B780=0,0,MIN((SUM($G788:I788)-IF(I$2&gt;$B780*12/Prj_Step,SUM($G788:OFFSET(I788,0,-$B780*12/Prj_Step)),0))/$B780/12*Параметры!I$31,IF(I$2=1,I788,H793+SUM($F788:I788)-SUM($F788:H788)))))</f>
        <v>0</v>
      </c>
      <c r="J792" s="185">
        <f ca="1">IF(SUM($G783:J783)&gt;0.01,0,IF($B780=0,0,MIN((SUM($G788:J788)-IF(J$2&gt;$B780*12/Prj_Step,SUM($G788:OFFSET(J788,0,-$B780*12/Prj_Step)),0))/$B780/12*Параметры!J$31,IF(J$2=1,J788,I793+SUM($F788:J788)-SUM($F788:I788)))))</f>
        <v>0</v>
      </c>
      <c r="K792" s="185">
        <f ca="1">IF(SUM($G783:K783)&gt;0.01,0,IF($B780=0,0,MIN((SUM($G788:K788)-IF(K$2&gt;$B780*12/Prj_Step,SUM($G788:OFFSET(K788,0,-$B780*12/Prj_Step)),0))/$B780/12*Параметры!K$31,IF(K$2=1,K788,J793+SUM($F788:K788)-SUM($F788:J788)))))</f>
        <v>0</v>
      </c>
      <c r="L792" s="185">
        <f ca="1">IF(SUM($G783:L783)&gt;0.01,0,IF($B780=0,0,MIN((SUM($G788:L788)-IF(L$2&gt;$B780*12/Prj_Step,SUM($G788:OFFSET(L788,0,-$B780*12/Prj_Step)),0))/$B780/12*Параметры!L$31,IF(L$2=1,L788,K793+SUM($F788:L788)-SUM($F788:K788)))))</f>
        <v>0</v>
      </c>
      <c r="M792" s="185">
        <f ca="1">IF(SUM($G783:M783)&gt;0.01,0,IF($B780=0,0,MIN((SUM($G788:M788)-IF(M$2&gt;$B780*12/Prj_Step,SUM($G788:OFFSET(M788,0,-$B780*12/Prj_Step)),0))/$B780/12*Параметры!M$31,IF(M$2=1,M788,L793+SUM($F788:M788)-SUM($F788:L788)))))</f>
        <v>166666.66666666666</v>
      </c>
      <c r="N792" s="185">
        <f ca="1">IF(SUM($G783:N783)&gt;0.01,0,IF($B780=0,0,MIN((SUM($G788:N788)-IF(N$2&gt;$B780*12/Prj_Step,SUM($G788:OFFSET(N788,0,-$B780*12/Prj_Step)),0))/$B780/12*Параметры!N$31,IF(N$2=1,N788,M793+SUM($F788:N788)-SUM($F788:M788)))))</f>
        <v>166666.66666666666</v>
      </c>
      <c r="O792" s="185">
        <f ca="1">IF(SUM($G783:O783)&gt;0.01,0,IF($B780=0,0,MIN((SUM($G788:O788)-IF(O$2&gt;$B780*12/Prj_Step,SUM($G788:OFFSET(O788,0,-$B780*12/Prj_Step)),0))/$B780/12*Параметры!O$31,IF(O$2=1,O788,N793+SUM($F788:O788)-SUM($F788:N788)))))</f>
        <v>166666.66666666666</v>
      </c>
      <c r="P792" s="185">
        <f ca="1">IF(SUM($G783:P783)&gt;0.01,0,IF($B780=0,0,MIN((SUM($G788:P788)-IF(P$2&gt;$B780*12/Prj_Step,SUM($G788:OFFSET(P788,0,-$B780*12/Prj_Step)),0))/$B780/12*Параметры!P$31,IF(P$2=1,P788,O793+SUM($F788:P788)-SUM($F788:O788)))))</f>
        <v>166666.66666666666</v>
      </c>
      <c r="Q792" s="185">
        <f ca="1">IF(SUM($G783:Q783)&gt;0.01,0,IF($B780=0,0,MIN((SUM($G788:Q788)-IF(Q$2&gt;$B780*12/Prj_Step,SUM($G788:OFFSET(Q788,0,-$B780*12/Prj_Step)),0))/$B780/12*Параметры!Q$31,IF(Q$2=1,Q788,P793+SUM($F788:Q788)-SUM($F788:P788)))))</f>
        <v>166666.66666666666</v>
      </c>
      <c r="R792" s="185">
        <f ca="1">IF(SUM($G783:R783)&gt;0.01,0,IF($B780=0,0,MIN((SUM($G788:R788)-IF(R$2&gt;$B780*12/Prj_Step,SUM($G788:OFFSET(R788,0,-$B780*12/Prj_Step)),0))/$B780/12*Параметры!R$31,IF(R$2=1,R788,Q793+SUM($F788:R788)-SUM($F788:Q788)))))</f>
        <v>166666.66666666666</v>
      </c>
      <c r="S792" s="185">
        <f ca="1">IF(SUM($G783:S783)&gt;0.01,0,IF($B780=0,0,MIN((SUM($G788:S788)-IF(S$2&gt;$B780*12/Prj_Step,SUM($G788:OFFSET(S788,0,-$B780*12/Prj_Step)),0))/$B780/12*Параметры!S$31,IF(S$2=1,S788,R793+SUM($F788:S788)-SUM($F788:R788)))))</f>
        <v>166666.66666666666</v>
      </c>
      <c r="T792" s="185">
        <f ca="1">IF(SUM($G783:T783)&gt;0.01,0,IF($B780=0,0,MIN((SUM($G788:T788)-IF(T$2&gt;$B780*12/Prj_Step,SUM($G788:OFFSET(T788,0,-$B780*12/Prj_Step)),0))/$B780/12*Параметры!T$31,IF(T$2=1,T788,S793+SUM($F788:T788)-SUM($F788:S788)))))</f>
        <v>166666.66666666666</v>
      </c>
      <c r="U792" s="185">
        <f ca="1">IF(SUM($G783:U783)&gt;0.01,0,IF($B780=0,0,MIN((SUM($G788:U788)-IF(U$2&gt;$B780*12/Prj_Step,SUM($G788:OFFSET(U788,0,-$B780*12/Prj_Step)),0))/$B780/12*Параметры!U$31,IF(U$2=1,U788,T793+SUM($F788:U788)-SUM($F788:T788)))))</f>
        <v>166666.66666666666</v>
      </c>
      <c r="V792" s="185">
        <f ca="1">IF(SUM($G783:V783)&gt;0.01,0,IF($B780=0,0,MIN((SUM($G788:V788)-IF(V$2&gt;$B780*12/Prj_Step,SUM($G788:OFFSET(V788,0,-$B780*12/Prj_Step)),0))/$B780/12*Параметры!V$31,IF(V$2=1,V788,U793+SUM($F788:V788)-SUM($F788:U788)))))</f>
        <v>166666.66666666666</v>
      </c>
      <c r="W792" s="185">
        <f ca="1">IF(SUM($G783:W783)&gt;0.01,0,IF($B780=0,0,MIN((SUM($G788:W788)-IF(W$2&gt;$B780*12/Prj_Step,SUM($G788:OFFSET(W788,0,-$B780*12/Prj_Step)),0))/$B780/12*Параметры!W$31,IF(W$2=1,W788,V793+SUM($F788:W788)-SUM($F788:V788)))))</f>
        <v>166666.66666666666</v>
      </c>
      <c r="X792" s="185">
        <f ca="1">IF(SUM($G783:X783)&gt;0.01,0,IF($B780=0,0,MIN((SUM($G788:X788)-IF(X$2&gt;$B780*12/Prj_Step,SUM($G788:OFFSET(X788,0,-$B780*12/Prj_Step)),0))/$B780/12*Параметры!X$31,IF(X$2=1,X788,W793+SUM($F788:X788)-SUM($F788:W788)))))</f>
        <v>166666.66666666666</v>
      </c>
      <c r="Y792" s="185">
        <f ca="1">IF(SUM($G783:Y783)&gt;0.01,0,IF($B780=0,0,MIN((SUM($G788:Y788)-IF(Y$2&gt;$B780*12/Prj_Step,SUM($G788:OFFSET(Y788,0,-$B780*12/Prj_Step)),0))/$B780/12*Параметры!Y$31,IF(Y$2=1,Y788,X793+SUM($F788:Y788)-SUM($F788:X788)))))</f>
        <v>166666.66666666666</v>
      </c>
      <c r="Z792" s="185">
        <f ca="1">IF(SUM($G783:Z783)&gt;0.01,0,IF($B780=0,0,MIN((SUM($G788:Z788)-IF(Z$2&gt;$B780*12/Prj_Step,SUM($G788:OFFSET(Z788,0,-$B780*12/Prj_Step)),0))/$B780/12*Параметры!Z$31,IF(Z$2=1,Z788,Y793+SUM($F788:Z788)-SUM($F788:Y788)))))</f>
        <v>166666.66666666666</v>
      </c>
      <c r="AA792" s="185">
        <f ca="1">IF(SUM($G783:AA783)&gt;0.01,0,IF($B780=0,0,MIN((SUM($G788:AA788)-IF(AA$2&gt;$B780*12/Prj_Step,SUM($G788:OFFSET(AA788,0,-$B780*12/Prj_Step)),0))/$B780/12*Параметры!AA$31,IF(AA$2=1,AA788,Z793+SUM($F788:AA788)-SUM($F788:Z788)))))</f>
        <v>166666.66666666666</v>
      </c>
      <c r="AB792" s="185">
        <f ca="1">IF(SUM($G783:AB783)&gt;0.01,0,IF($B780=0,0,MIN((SUM($G788:AB788)-IF(AB$2&gt;$B780*12/Prj_Step,SUM($G788:OFFSET(AB788,0,-$B780*12/Prj_Step)),0))/$B780/12*Параметры!AB$31,IF(AB$2=1,AB788,AA793+SUM($F788:AB788)-SUM($F788:AA788)))))</f>
        <v>166666.66666666666</v>
      </c>
      <c r="AC792" s="185">
        <f ca="1">IF(SUM($G783:AC783)&gt;0.01,0,IF($B780=0,0,MIN((SUM($G788:AC788)-IF(AC$2&gt;$B780*12/Prj_Step,SUM($G788:OFFSET(AC788,0,-$B780*12/Prj_Step)),0))/$B780/12*Параметры!AC$31,IF(AC$2=1,AC788,AB793+SUM($F788:AC788)-SUM($F788:AB788)))))</f>
        <v>166666.66666666666</v>
      </c>
      <c r="AD792" s="185">
        <f ca="1">IF(SUM($G783:AD783)&gt;0.01,0,IF($B780=0,0,MIN((SUM($G788:AD788)-IF(AD$2&gt;$B780*12/Prj_Step,SUM($G788:OFFSET(AD788,0,-$B780*12/Prj_Step)),0))/$B780/12*Параметры!AD$31,IF(AD$2=1,AD788,AC793+SUM($F788:AD788)-SUM($F788:AC788)))))</f>
        <v>166666.66666666666</v>
      </c>
      <c r="AE792" s="185">
        <f ca="1">IF(SUM($G783:AE783)&gt;0.01,0,IF($B780=0,0,MIN((SUM($G788:AE788)-IF(AE$2&gt;$B780*12/Prj_Step,SUM($G788:OFFSET(AE788,0,-$B780*12/Prj_Step)),0))/$B780/12*Параметры!AE$31,IF(AE$2=1,AE788,AD793+SUM($F788:AE788)-SUM($F788:AD788)))))</f>
        <v>166666.66666666666</v>
      </c>
      <c r="AF792" s="185">
        <f ca="1">IF(SUM($G783:AF783)&gt;0.01,0,IF($B780=0,0,MIN((SUM($G788:AF788)-IF(AF$2&gt;$B780*12/Prj_Step,SUM($G788:OFFSET(AF788,0,-$B780*12/Prj_Step)),0))/$B780/12*Параметры!AF$31,IF(AF$2=1,AF788,AE793+SUM($F788:AF788)-SUM($F788:AE788)))))</f>
        <v>166666.66666666666</v>
      </c>
      <c r="AG792" s="185">
        <f ca="1">IF(SUM($G783:AG783)&gt;0.01,0,IF($B780=0,0,MIN((SUM($G788:AG788)-IF(AG$2&gt;$B780*12/Prj_Step,SUM($G788:OFFSET(AG788,0,-$B780*12/Prj_Step)),0))/$B780/12*Параметры!AG$31,IF(AG$2=1,AG788,AF793+SUM($F788:AG788)-SUM($F788:AF788)))))</f>
        <v>166666.66666666666</v>
      </c>
      <c r="AH792" s="185">
        <f ca="1">IF(SUM($G783:AH783)&gt;0.01,0,IF($B780=0,0,MIN((SUM($G788:AH788)-IF(AH$2&gt;$B780*12/Prj_Step,SUM($G788:OFFSET(AH788,0,-$B780*12/Prj_Step)),0))/$B780/12*Параметры!AH$31,IF(AH$2=1,AH788,AG793+SUM($F788:AH788)-SUM($F788:AG788)))))</f>
        <v>166666.66666666666</v>
      </c>
      <c r="AI792" s="185">
        <f ca="1">IF(SUM($G783:AI783)&gt;0.01,0,IF($B780=0,0,MIN((SUM($G788:AI788)-IF(AI$2&gt;$B780*12/Prj_Step,SUM($G788:OFFSET(AI788,0,-$B780*12/Prj_Step)),0))/$B780/12*Параметры!AI$31,IF(AI$2=1,AI788,AH793+SUM($F788:AI788)-SUM($F788:AH788)))))</f>
        <v>166666.66666666666</v>
      </c>
      <c r="AJ792" s="185">
        <f ca="1">IF(SUM($G783:AJ783)&gt;0.01,0,IF($B780=0,0,MIN((SUM($G788:AJ788)-IF(AJ$2&gt;$B780*12/Prj_Step,SUM($G788:OFFSET(AJ788,0,-$B780*12/Prj_Step)),0))/$B780/12*Параметры!AJ$31,IF(AJ$2=1,AJ788,AI793+SUM($F788:AJ788)-SUM($F788:AI788)))))</f>
        <v>166666.66666666666</v>
      </c>
      <c r="AK792" s="185">
        <f ca="1">IF(SUM($G783:AK783)&gt;0.01,0,IF($B780=0,0,MIN((SUM($G788:AK788)-IF(AK$2&gt;$B780*12/Prj_Step,SUM($G788:OFFSET(AK788,0,-$B780*12/Prj_Step)),0))/$B780/12*Параметры!AK$31,IF(AK$2=1,AK788,AJ793+SUM($F788:AK788)-SUM($F788:AJ788)))))</f>
        <v>166666.66666666666</v>
      </c>
      <c r="AL792" s="185">
        <f ca="1">IF(SUM($G783:AL783)&gt;0.01,0,IF($B780=0,0,MIN((SUM($G788:AL788)-IF(AL$2&gt;$B780*12/Prj_Step,SUM($G788:OFFSET(AL788,0,-$B780*12/Prj_Step)),0))/$B780/12*Параметры!AL$31,IF(AL$2=1,AL788,AK793+SUM($F788:AL788)-SUM($F788:AK788)))))</f>
        <v>166666.66666666666</v>
      </c>
      <c r="AM792" s="185">
        <f ca="1">IF(SUM($G783:AM783)&gt;0.01,0,IF($B780=0,0,MIN((SUM($G788:AM788)-IF(AM$2&gt;$B780*12/Prj_Step,SUM($G788:OFFSET(AM788,0,-$B780*12/Prj_Step)),0))/$B780/12*Параметры!AM$31,IF(AM$2=1,AM788,AL793+SUM($F788:AM788)-SUM($F788:AL788)))))</f>
        <v>166666.66666666666</v>
      </c>
      <c r="AN792" s="185">
        <f ca="1">IF(SUM($G783:AN783)&gt;0.01,0,IF($B780=0,0,MIN((SUM($G788:AN788)-IF(AN$2&gt;$B780*12/Prj_Step,SUM($G788:OFFSET(AN788,0,-$B780*12/Prj_Step)),0))/$B780/12*Параметры!AN$31,IF(AN$2=1,AN788,AM793+SUM($F788:AN788)-SUM($F788:AM788)))))</f>
        <v>166666.66666666666</v>
      </c>
      <c r="AO792" s="185">
        <f ca="1">IF(SUM($G783:AO783)&gt;0.01,0,IF($B780=0,0,MIN((SUM($G788:AO788)-IF(AO$2&gt;$B780*12/Prj_Step,SUM($G788:OFFSET(AO788,0,-$B780*12/Prj_Step)),0))/$B780/12*Параметры!AO$31,IF(AO$2=1,AO788,AN793+SUM($F788:AO788)-SUM($F788:AN788)))))</f>
        <v>166666.66666666666</v>
      </c>
      <c r="AP792" s="185">
        <f ca="1">IF(SUM($G783:AP783)&gt;0.01,0,IF($B780=0,0,MIN((SUM($G788:AP788)-IF(AP$2&gt;$B780*12/Prj_Step,SUM($G788:OFFSET(AP788,0,-$B780*12/Prj_Step)),0))/$B780/12*Параметры!AP$31,IF(AP$2=1,AP788,AO793+SUM($F788:AP788)-SUM($F788:AO788)))))</f>
        <v>166666.66666666666</v>
      </c>
      <c r="AQ792" s="185">
        <f ca="1">IF(SUM($G783:AQ783)&gt;0.01,0,IF($B780=0,0,MIN((SUM($G788:AQ788)-IF(AQ$2&gt;$B780*12/Prj_Step,SUM($G788:OFFSET(AQ788,0,-$B780*12/Prj_Step)),0))/$B780/12*Параметры!AQ$31,IF(AQ$2=1,AQ788,AP793+SUM($F788:AQ788)-SUM($F788:AP788)))))</f>
        <v>166666.66666666666</v>
      </c>
      <c r="AR792" s="185">
        <f ca="1">IF(SUM($G783:AR783)&gt;0.01,0,IF($B780=0,0,MIN((SUM($G788:AR788)-IF(AR$2&gt;$B780*12/Prj_Step,SUM($G788:OFFSET(AR788,0,-$B780*12/Prj_Step)),0))/$B780/12*Параметры!AR$31,IF(AR$2=1,AR788,AQ793+SUM($F788:AR788)-SUM($F788:AQ788)))))</f>
        <v>166666.66666666666</v>
      </c>
      <c r="AS792" s="185">
        <f ca="1">IF(SUM($G783:AS783)&gt;0.01,0,IF($B780=0,0,MIN((SUM($G788:AS788)-IF(AS$2&gt;$B780*12/Prj_Step,SUM($G788:OFFSET(AS788,0,-$B780*12/Prj_Step)),0))/$B780/12*Параметры!AS$31,IF(AS$2=1,AS788,AR793+SUM($F788:AS788)-SUM($F788:AR788)))))</f>
        <v>166666.66666666666</v>
      </c>
      <c r="AT792" s="185">
        <f ca="1">IF(SUM($G783:AT783)&gt;0.01,0,IF($B780=0,0,MIN((SUM($G788:AT788)-IF(AT$2&gt;$B780*12/Prj_Step,SUM($G788:OFFSET(AT788,0,-$B780*12/Prj_Step)),0))/$B780/12*Параметры!AT$31,IF(AT$2=1,AT788,AS793+SUM($F788:AT788)-SUM($F788:AS788)))))</f>
        <v>166666.66666666666</v>
      </c>
      <c r="AU792" s="185">
        <f ca="1">IF(SUM($G783:AU783)&gt;0.01,0,IF($B780=0,0,MIN((SUM($G788:AU788)-IF(AU$2&gt;$B780*12/Prj_Step,SUM($G788:OFFSET(AU788,0,-$B780*12/Prj_Step)),0))/$B780/12*Параметры!AU$31,IF(AU$2=1,AU788,AT793+SUM($F788:AU788)-SUM($F788:AT788)))))</f>
        <v>166666.66666666666</v>
      </c>
      <c r="AV792" s="185">
        <f ca="1">IF(SUM($G783:AV783)&gt;0.01,0,IF($B780=0,0,MIN((SUM($G788:AV788)-IF(AV$2&gt;$B780*12/Prj_Step,SUM($G788:OFFSET(AV788,0,-$B780*12/Prj_Step)),0))/$B780/12*Параметры!AV$31,IF(AV$2=1,AV788,AU793+SUM($F788:AV788)-SUM($F788:AU788)))))</f>
        <v>166666.66666666666</v>
      </c>
      <c r="AW792" s="185">
        <f ca="1">IF(SUM($G783:AW783)&gt;0.01,0,IF($B780=0,0,MIN((SUM($G788:AW788)-IF(AW$2&gt;$B780*12/Prj_Step,SUM($G788:OFFSET(AW788,0,-$B780*12/Prj_Step)),0))/$B780/12*Параметры!AW$31,IF(AW$2=1,AW788,AV793+SUM($F788:AW788)-SUM($F788:AV788)))))</f>
        <v>166666.66666666666</v>
      </c>
      <c r="AX792" s="185">
        <f ca="1">IF(SUM($G783:AX783)&gt;0.01,0,IF($B780=0,0,MIN((SUM($G788:AX788)-IF(AX$2&gt;$B780*12/Prj_Step,SUM($G788:OFFSET(AX788,0,-$B780*12/Prj_Step)),0))/$B780/12*Параметры!AX$31,IF(AX$2=1,AX788,AW793+SUM($F788:AX788)-SUM($F788:AW788)))))</f>
        <v>166666.66666666666</v>
      </c>
      <c r="AY792" s="185">
        <f ca="1">IF(SUM($G783:AY783)&gt;0.01,0,IF($B780=0,0,MIN((SUM($G788:AY788)-IF(AY$2&gt;$B780*12/Prj_Step,SUM($G788:OFFSET(AY788,0,-$B780*12/Prj_Step)),0))/$B780/12*Параметры!AY$31,IF(AY$2=1,AY788,AX793+SUM($F788:AY788)-SUM($F788:AX788)))))</f>
        <v>166666.66666666666</v>
      </c>
      <c r="AZ792" s="185">
        <f ca="1">IF(SUM($G783:AZ783)&gt;0.01,0,IF($B780=0,0,MIN((SUM($G788:AZ788)-IF(AZ$2&gt;$B780*12/Prj_Step,SUM($G788:OFFSET(AZ788,0,-$B780*12/Prj_Step)),0))/$B780/12*Параметры!AZ$31,IF(AZ$2=1,AZ788,AY793+SUM($F788:AZ788)-SUM($F788:AY788)))))</f>
        <v>166666.66666666666</v>
      </c>
      <c r="BA792" s="185">
        <f ca="1">IF(SUM($G783:BA783)&gt;0.01,0,IF($B780=0,0,MIN((SUM($G788:BA788)-IF(BA$2&gt;$B780*12/Prj_Step,SUM($G788:OFFSET(BA788,0,-$B780*12/Prj_Step)),0))/$B780/12*Параметры!BA$31,IF(BA$2=1,BA788,AZ793+SUM($F788:BA788)-SUM($F788:AZ788)))))</f>
        <v>166666.66666666666</v>
      </c>
      <c r="BB792" s="185">
        <f ca="1">IF(SUM($G783:BB783)&gt;0.01,0,IF($B780=0,0,MIN((SUM($G788:BB788)-IF(BB$2&gt;$B780*12/Prj_Step,SUM($G788:OFFSET(BB788,0,-$B780*12/Prj_Step)),0))/$B780/12*Параметры!BB$31,IF(BB$2=1,BB788,BA793+SUM($F788:BB788)-SUM($F788:BA788)))))</f>
        <v>166666.66666666666</v>
      </c>
      <c r="BC792" s="185"/>
      <c r="BD792" s="193">
        <f ca="1">SUM(G792:BC792)</f>
        <v>7000000.0000000037</v>
      </c>
    </row>
    <row r="793" spans="1:56" hidden="1" outlineLevel="1" x14ac:dyDescent="0.3">
      <c r="A793" s="184" t="str">
        <f ca="1">Language!A$888</f>
        <v>балансовая стоимость (бухгалтерская)</v>
      </c>
      <c r="B793" s="170"/>
      <c r="C793" s="163" t="str">
        <f t="shared" ca="1" si="3122"/>
        <v>руб.</v>
      </c>
      <c r="D793" s="174">
        <v>1</v>
      </c>
      <c r="E793" s="170" t="s">
        <v>757</v>
      </c>
      <c r="F793" s="170" t="s">
        <v>741</v>
      </c>
      <c r="G793" s="185">
        <f ca="1">IF(SUM($G783:G783)&gt;0.01,0,SUM($G788:G788)-SUM($G792:G792))</f>
        <v>0</v>
      </c>
      <c r="H793" s="185">
        <f ca="1">IF(SUM($G783:H783)&gt;0.01,0,SUM($G788:H788)-SUM($G792:H792))</f>
        <v>0</v>
      </c>
      <c r="I793" s="185">
        <f ca="1">IF(SUM($G783:I783)&gt;0.01,0,SUM($G788:I788)-SUM($G792:I792))</f>
        <v>0</v>
      </c>
      <c r="J793" s="185">
        <f ca="1">IF(SUM($G783:J783)&gt;0.01,0,SUM($G788:J788)-SUM($G792:J792))</f>
        <v>0</v>
      </c>
      <c r="K793" s="185">
        <f ca="1">IF(SUM($G783:K783)&gt;0.01,0,SUM($G788:K788)-SUM($G792:K792))</f>
        <v>0</v>
      </c>
      <c r="L793" s="185">
        <f ca="1">IF(SUM($G783:L783)&gt;0.01,0,SUM($G788:L788)-SUM($G792:L792))</f>
        <v>0</v>
      </c>
      <c r="M793" s="185">
        <f ca="1">IF(SUM($G783:M783)&gt;0.01,0,SUM($G788:M788)-SUM($G792:M792))</f>
        <v>59833333.333333336</v>
      </c>
      <c r="N793" s="185">
        <f ca="1">IF(SUM($G783:N783)&gt;0.01,0,SUM($G788:N788)-SUM($G792:N792))</f>
        <v>59666666.666666664</v>
      </c>
      <c r="O793" s="185">
        <f ca="1">IF(SUM($G783:O783)&gt;0.01,0,SUM($G788:O788)-SUM($G792:O792))</f>
        <v>59500000</v>
      </c>
      <c r="P793" s="185">
        <f ca="1">IF(SUM($G783:P783)&gt;0.01,0,SUM($G788:P788)-SUM($G792:P792))</f>
        <v>59333333.333333336</v>
      </c>
      <c r="Q793" s="185">
        <f ca="1">IF(SUM($G783:Q783)&gt;0.01,0,SUM($G788:Q788)-SUM($G792:Q792))</f>
        <v>59166666.666666664</v>
      </c>
      <c r="R793" s="185">
        <f ca="1">IF(SUM($G783:R783)&gt;0.01,0,SUM($G788:R788)-SUM($G792:R792))</f>
        <v>59000000</v>
      </c>
      <c r="S793" s="185">
        <f ca="1">IF(SUM($G783:S783)&gt;0.01,0,SUM($G788:S788)-SUM($G792:S792))</f>
        <v>58833333.333333336</v>
      </c>
      <c r="T793" s="185">
        <f ca="1">IF(SUM($G783:T783)&gt;0.01,0,SUM($G788:T788)-SUM($G792:T792))</f>
        <v>58666666.666666664</v>
      </c>
      <c r="U793" s="185">
        <f ca="1">IF(SUM($G783:U783)&gt;0.01,0,SUM($G788:U788)-SUM($G792:U792))</f>
        <v>58500000</v>
      </c>
      <c r="V793" s="185">
        <f ca="1">IF(SUM($G783:V783)&gt;0.01,0,SUM($G788:V788)-SUM($G792:V792))</f>
        <v>58333333.333333336</v>
      </c>
      <c r="W793" s="185">
        <f ca="1">IF(SUM($G783:W783)&gt;0.01,0,SUM($G788:W788)-SUM($G792:W792))</f>
        <v>58166666.666666664</v>
      </c>
      <c r="X793" s="185">
        <f ca="1">IF(SUM($G783:X783)&gt;0.01,0,SUM($G788:X788)-SUM($G792:X792))</f>
        <v>58000000</v>
      </c>
      <c r="Y793" s="185">
        <f ca="1">IF(SUM($G783:Y783)&gt;0.01,0,SUM($G788:Y788)-SUM($G792:Y792))</f>
        <v>57833333.333333336</v>
      </c>
      <c r="Z793" s="185">
        <f ca="1">IF(SUM($G783:Z783)&gt;0.01,0,SUM($G788:Z788)-SUM($G792:Z792))</f>
        <v>57666666.666666664</v>
      </c>
      <c r="AA793" s="185">
        <f ca="1">IF(SUM($G783:AA783)&gt;0.01,0,SUM($G788:AA788)-SUM($G792:AA792))</f>
        <v>57500000</v>
      </c>
      <c r="AB793" s="185">
        <f ca="1">IF(SUM($G783:AB783)&gt;0.01,0,SUM($G788:AB788)-SUM($G792:AB792))</f>
        <v>57333333.333333336</v>
      </c>
      <c r="AC793" s="185">
        <f ca="1">IF(SUM($G783:AC783)&gt;0.01,0,SUM($G788:AC788)-SUM($G792:AC792))</f>
        <v>57166666.666666664</v>
      </c>
      <c r="AD793" s="185">
        <f ca="1">IF(SUM($G783:AD783)&gt;0.01,0,SUM($G788:AD788)-SUM($G792:AD792))</f>
        <v>57000000</v>
      </c>
      <c r="AE793" s="185">
        <f ca="1">IF(SUM($G783:AE783)&gt;0.01,0,SUM($G788:AE788)-SUM($G792:AE792))</f>
        <v>56833333.333333336</v>
      </c>
      <c r="AF793" s="185">
        <f ca="1">IF(SUM($G783:AF783)&gt;0.01,0,SUM($G788:AF788)-SUM($G792:AF792))</f>
        <v>56666666.666666664</v>
      </c>
      <c r="AG793" s="185">
        <f ca="1">IF(SUM($G783:AG783)&gt;0.01,0,SUM($G788:AG788)-SUM($G792:AG792))</f>
        <v>56500000</v>
      </c>
      <c r="AH793" s="185">
        <f ca="1">IF(SUM($G783:AH783)&gt;0.01,0,SUM($G788:AH788)-SUM($G792:AH792))</f>
        <v>56333333.333333336</v>
      </c>
      <c r="AI793" s="185">
        <f ca="1">IF(SUM($G783:AI783)&gt;0.01,0,SUM($G788:AI788)-SUM($G792:AI792))</f>
        <v>56166666.666666672</v>
      </c>
      <c r="AJ793" s="185">
        <f ca="1">IF(SUM($G783:AJ783)&gt;0.01,0,SUM($G788:AJ788)-SUM($G792:AJ792))</f>
        <v>56000000</v>
      </c>
      <c r="AK793" s="185">
        <f ca="1">IF(SUM($G783:AK783)&gt;0.01,0,SUM($G788:AK788)-SUM($G792:AK792))</f>
        <v>55833333.333333336</v>
      </c>
      <c r="AL793" s="185">
        <f ca="1">IF(SUM($G783:AL783)&gt;0.01,0,SUM($G788:AL788)-SUM($G792:AL792))</f>
        <v>55666666.666666672</v>
      </c>
      <c r="AM793" s="185">
        <f ca="1">IF(SUM($G783:AM783)&gt;0.01,0,SUM($G788:AM788)-SUM($G792:AM792))</f>
        <v>55500000</v>
      </c>
      <c r="AN793" s="185">
        <f ca="1">IF(SUM($G783:AN783)&gt;0.01,0,SUM($G788:AN788)-SUM($G792:AN792))</f>
        <v>55333333.333333336</v>
      </c>
      <c r="AO793" s="185">
        <f ca="1">IF(SUM($G783:AO783)&gt;0.01,0,SUM($G788:AO788)-SUM($G792:AO792))</f>
        <v>55166666.666666664</v>
      </c>
      <c r="AP793" s="185">
        <f ca="1">IF(SUM($G783:AP783)&gt;0.01,0,SUM($G788:AP788)-SUM($G792:AP792))</f>
        <v>55000000</v>
      </c>
      <c r="AQ793" s="185">
        <f ca="1">IF(SUM($G783:AQ783)&gt;0.01,0,SUM($G788:AQ788)-SUM($G792:AQ792))</f>
        <v>54833333.333333336</v>
      </c>
      <c r="AR793" s="185">
        <f ca="1">IF(SUM($G783:AR783)&gt;0.01,0,SUM($G788:AR788)-SUM($G792:AR792))</f>
        <v>54666666.666666664</v>
      </c>
      <c r="AS793" s="185">
        <f ca="1">IF(SUM($G783:AS783)&gt;0.01,0,SUM($G788:AS788)-SUM($G792:AS792))</f>
        <v>54500000</v>
      </c>
      <c r="AT793" s="185">
        <f ca="1">IF(SUM($G783:AT783)&gt;0.01,0,SUM($G788:AT788)-SUM($G792:AT792))</f>
        <v>54333333.333333328</v>
      </c>
      <c r="AU793" s="185">
        <f ca="1">IF(SUM($G783:AU783)&gt;0.01,0,SUM($G788:AU788)-SUM($G792:AU792))</f>
        <v>54166666.666666664</v>
      </c>
      <c r="AV793" s="185">
        <f ca="1">IF(SUM($G783:AV783)&gt;0.01,0,SUM($G788:AV788)-SUM($G792:AV792))</f>
        <v>54000000</v>
      </c>
      <c r="AW793" s="185">
        <f ca="1">IF(SUM($G783:AW783)&gt;0.01,0,SUM($G788:AW788)-SUM($G792:AW792))</f>
        <v>53833333.333333328</v>
      </c>
      <c r="AX793" s="185">
        <f ca="1">IF(SUM($G783:AX783)&gt;0.01,0,SUM($G788:AX788)-SUM($G792:AX792))</f>
        <v>53666666.666666664</v>
      </c>
      <c r="AY793" s="185">
        <f ca="1">IF(SUM($G783:AY783)&gt;0.01,0,SUM($G788:AY788)-SUM($G792:AY792))</f>
        <v>53500000</v>
      </c>
      <c r="AZ793" s="185">
        <f ca="1">IF(SUM($G783:AZ783)&gt;0.01,0,SUM($G788:AZ788)-SUM($G792:AZ792))</f>
        <v>53333333.333333328</v>
      </c>
      <c r="BA793" s="185">
        <f ca="1">IF(SUM($G783:BA783)&gt;0.01,0,SUM($G788:BA788)-SUM($G792:BA792))</f>
        <v>53166666.666666664</v>
      </c>
      <c r="BB793" s="185">
        <f ca="1">IF(SUM($G783:BB783)&gt;0.01,0,SUM($G788:BB788)-SUM($G792:BB792))</f>
        <v>53000000</v>
      </c>
      <c r="BC793" s="185"/>
      <c r="BD793" s="186"/>
    </row>
    <row r="794" spans="1:56" hidden="1" outlineLevel="1" x14ac:dyDescent="0.3">
      <c r="A794" s="184" t="str">
        <f ca="1">Language!A$889</f>
        <v>выплаченный НДС</v>
      </c>
      <c r="B794" s="170"/>
      <c r="C794" s="163" t="str">
        <f t="shared" ca="1" si="3122"/>
        <v>руб.</v>
      </c>
      <c r="D794" s="174">
        <v>1</v>
      </c>
      <c r="E794" s="170" t="s">
        <v>758</v>
      </c>
      <c r="F794" s="170" t="s">
        <v>740</v>
      </c>
      <c r="G794" s="185">
        <f t="shared" ref="G794:BB794" si="3124">G784*G782</f>
        <v>0</v>
      </c>
      <c r="H794" s="185">
        <f t="shared" si="3124"/>
        <v>0</v>
      </c>
      <c r="I794" s="185">
        <f t="shared" si="3124"/>
        <v>0</v>
      </c>
      <c r="J794" s="185">
        <f t="shared" si="3124"/>
        <v>0</v>
      </c>
      <c r="K794" s="185">
        <f t="shared" si="3124"/>
        <v>0</v>
      </c>
      <c r="L794" s="185">
        <f t="shared" si="3124"/>
        <v>0</v>
      </c>
      <c r="M794" s="185">
        <f t="shared" si="3124"/>
        <v>0</v>
      </c>
      <c r="N794" s="185">
        <f t="shared" si="3124"/>
        <v>0</v>
      </c>
      <c r="O794" s="185">
        <f t="shared" si="3124"/>
        <v>0</v>
      </c>
      <c r="P794" s="185">
        <f t="shared" si="3124"/>
        <v>0</v>
      </c>
      <c r="Q794" s="185">
        <f t="shared" si="3124"/>
        <v>0</v>
      </c>
      <c r="R794" s="185">
        <f t="shared" si="3124"/>
        <v>0</v>
      </c>
      <c r="S794" s="185">
        <f t="shared" si="3124"/>
        <v>0</v>
      </c>
      <c r="T794" s="185">
        <f t="shared" si="3124"/>
        <v>0</v>
      </c>
      <c r="U794" s="185">
        <f t="shared" si="3124"/>
        <v>0</v>
      </c>
      <c r="V794" s="185">
        <f t="shared" si="3124"/>
        <v>0</v>
      </c>
      <c r="W794" s="185">
        <f t="shared" si="3124"/>
        <v>0</v>
      </c>
      <c r="X794" s="185">
        <f t="shared" si="3124"/>
        <v>0</v>
      </c>
      <c r="Y794" s="185">
        <f t="shared" si="3124"/>
        <v>0</v>
      </c>
      <c r="Z794" s="185">
        <f t="shared" si="3124"/>
        <v>0</v>
      </c>
      <c r="AA794" s="185">
        <f t="shared" si="3124"/>
        <v>0</v>
      </c>
      <c r="AB794" s="185">
        <f t="shared" si="3124"/>
        <v>0</v>
      </c>
      <c r="AC794" s="185">
        <f t="shared" si="3124"/>
        <v>0</v>
      </c>
      <c r="AD794" s="185">
        <f t="shared" si="3124"/>
        <v>0</v>
      </c>
      <c r="AE794" s="185">
        <f t="shared" si="3124"/>
        <v>0</v>
      </c>
      <c r="AF794" s="185">
        <f t="shared" si="3124"/>
        <v>0</v>
      </c>
      <c r="AG794" s="185">
        <f t="shared" si="3124"/>
        <v>0</v>
      </c>
      <c r="AH794" s="185">
        <f t="shared" si="3124"/>
        <v>0</v>
      </c>
      <c r="AI794" s="185">
        <f t="shared" si="3124"/>
        <v>0</v>
      </c>
      <c r="AJ794" s="185">
        <f t="shared" si="3124"/>
        <v>0</v>
      </c>
      <c r="AK794" s="185">
        <f t="shared" si="3124"/>
        <v>0</v>
      </c>
      <c r="AL794" s="185">
        <f t="shared" si="3124"/>
        <v>0</v>
      </c>
      <c r="AM794" s="185">
        <f t="shared" si="3124"/>
        <v>0</v>
      </c>
      <c r="AN794" s="185">
        <f t="shared" si="3124"/>
        <v>0</v>
      </c>
      <c r="AO794" s="185">
        <f t="shared" si="3124"/>
        <v>0</v>
      </c>
      <c r="AP794" s="185">
        <f t="shared" si="3124"/>
        <v>0</v>
      </c>
      <c r="AQ794" s="185">
        <f t="shared" si="3124"/>
        <v>0</v>
      </c>
      <c r="AR794" s="185">
        <f t="shared" si="3124"/>
        <v>0</v>
      </c>
      <c r="AS794" s="185">
        <f t="shared" si="3124"/>
        <v>0</v>
      </c>
      <c r="AT794" s="185">
        <f t="shared" si="3124"/>
        <v>0</v>
      </c>
      <c r="AU794" s="185">
        <f t="shared" si="3124"/>
        <v>0</v>
      </c>
      <c r="AV794" s="185">
        <f t="shared" si="3124"/>
        <v>0</v>
      </c>
      <c r="AW794" s="185">
        <f t="shared" si="3124"/>
        <v>0</v>
      </c>
      <c r="AX794" s="185">
        <f t="shared" si="3124"/>
        <v>0</v>
      </c>
      <c r="AY794" s="185">
        <f t="shared" si="3124"/>
        <v>0</v>
      </c>
      <c r="AZ794" s="185">
        <f t="shared" si="3124"/>
        <v>0</v>
      </c>
      <c r="BA794" s="185">
        <f t="shared" si="3124"/>
        <v>0</v>
      </c>
      <c r="BB794" s="185">
        <f t="shared" si="3124"/>
        <v>0</v>
      </c>
      <c r="BC794" s="185"/>
      <c r="BD794" s="193">
        <f>SUM(G794:BC794)</f>
        <v>0</v>
      </c>
    </row>
    <row r="795" spans="1:56" hidden="1" outlineLevel="1" x14ac:dyDescent="0.3">
      <c r="A795" s="184" t="str">
        <f ca="1">Language!A$890</f>
        <v>зачтенный НДС</v>
      </c>
      <c r="B795" s="170"/>
      <c r="C795" s="163" t="str">
        <f t="shared" ca="1" si="3122"/>
        <v>руб.</v>
      </c>
      <c r="D795" s="174">
        <v>1</v>
      </c>
      <c r="E795" s="170" t="s">
        <v>759</v>
      </c>
      <c r="F795" s="170" t="s">
        <v>740</v>
      </c>
      <c r="G795" s="185">
        <f t="shared" ref="G795:BB795" si="3125">G788*G782</f>
        <v>0</v>
      </c>
      <c r="H795" s="185">
        <f t="shared" si="3125"/>
        <v>0</v>
      </c>
      <c r="I795" s="185">
        <f t="shared" si="3125"/>
        <v>0</v>
      </c>
      <c r="J795" s="185">
        <f t="shared" si="3125"/>
        <v>0</v>
      </c>
      <c r="K795" s="185">
        <f t="shared" si="3125"/>
        <v>0</v>
      </c>
      <c r="L795" s="185">
        <f t="shared" si="3125"/>
        <v>0</v>
      </c>
      <c r="M795" s="185">
        <f t="shared" si="3125"/>
        <v>0</v>
      </c>
      <c r="N795" s="185">
        <f t="shared" si="3125"/>
        <v>0</v>
      </c>
      <c r="O795" s="185">
        <f t="shared" si="3125"/>
        <v>0</v>
      </c>
      <c r="P795" s="185">
        <f t="shared" si="3125"/>
        <v>0</v>
      </c>
      <c r="Q795" s="185">
        <f t="shared" si="3125"/>
        <v>0</v>
      </c>
      <c r="R795" s="185">
        <f t="shared" si="3125"/>
        <v>0</v>
      </c>
      <c r="S795" s="185">
        <f t="shared" si="3125"/>
        <v>0</v>
      </c>
      <c r="T795" s="185">
        <f t="shared" si="3125"/>
        <v>0</v>
      </c>
      <c r="U795" s="185">
        <f t="shared" si="3125"/>
        <v>0</v>
      </c>
      <c r="V795" s="185">
        <f t="shared" si="3125"/>
        <v>0</v>
      </c>
      <c r="W795" s="185">
        <f t="shared" si="3125"/>
        <v>0</v>
      </c>
      <c r="X795" s="185">
        <f t="shared" si="3125"/>
        <v>0</v>
      </c>
      <c r="Y795" s="185">
        <f t="shared" si="3125"/>
        <v>0</v>
      </c>
      <c r="Z795" s="185">
        <f t="shared" si="3125"/>
        <v>0</v>
      </c>
      <c r="AA795" s="185">
        <f t="shared" si="3125"/>
        <v>0</v>
      </c>
      <c r="AB795" s="185">
        <f t="shared" si="3125"/>
        <v>0</v>
      </c>
      <c r="AC795" s="185">
        <f t="shared" si="3125"/>
        <v>0</v>
      </c>
      <c r="AD795" s="185">
        <f t="shared" si="3125"/>
        <v>0</v>
      </c>
      <c r="AE795" s="185">
        <f t="shared" si="3125"/>
        <v>0</v>
      </c>
      <c r="AF795" s="185">
        <f t="shared" si="3125"/>
        <v>0</v>
      </c>
      <c r="AG795" s="185">
        <f t="shared" si="3125"/>
        <v>0</v>
      </c>
      <c r="AH795" s="185">
        <f t="shared" si="3125"/>
        <v>0</v>
      </c>
      <c r="AI795" s="185">
        <f t="shared" si="3125"/>
        <v>0</v>
      </c>
      <c r="AJ795" s="185">
        <f t="shared" si="3125"/>
        <v>0</v>
      </c>
      <c r="AK795" s="185">
        <f t="shared" si="3125"/>
        <v>0</v>
      </c>
      <c r="AL795" s="185">
        <f t="shared" si="3125"/>
        <v>0</v>
      </c>
      <c r="AM795" s="185">
        <f t="shared" si="3125"/>
        <v>0</v>
      </c>
      <c r="AN795" s="185">
        <f t="shared" si="3125"/>
        <v>0</v>
      </c>
      <c r="AO795" s="185">
        <f t="shared" si="3125"/>
        <v>0</v>
      </c>
      <c r="AP795" s="185">
        <f t="shared" si="3125"/>
        <v>0</v>
      </c>
      <c r="AQ795" s="185">
        <f t="shared" si="3125"/>
        <v>0</v>
      </c>
      <c r="AR795" s="185">
        <f t="shared" si="3125"/>
        <v>0</v>
      </c>
      <c r="AS795" s="185">
        <f t="shared" si="3125"/>
        <v>0</v>
      </c>
      <c r="AT795" s="185">
        <f t="shared" si="3125"/>
        <v>0</v>
      </c>
      <c r="AU795" s="185">
        <f t="shared" si="3125"/>
        <v>0</v>
      </c>
      <c r="AV795" s="185">
        <f t="shared" si="3125"/>
        <v>0</v>
      </c>
      <c r="AW795" s="185">
        <f t="shared" si="3125"/>
        <v>0</v>
      </c>
      <c r="AX795" s="185">
        <f t="shared" si="3125"/>
        <v>0</v>
      </c>
      <c r="AY795" s="185">
        <f t="shared" si="3125"/>
        <v>0</v>
      </c>
      <c r="AZ795" s="185">
        <f t="shared" si="3125"/>
        <v>0</v>
      </c>
      <c r="BA795" s="185">
        <f t="shared" si="3125"/>
        <v>0</v>
      </c>
      <c r="BB795" s="185">
        <f t="shared" si="3125"/>
        <v>0</v>
      </c>
      <c r="BC795" s="185"/>
      <c r="BD795" s="193">
        <f>SUM(G795:BC795)</f>
        <v>0</v>
      </c>
    </row>
    <row r="796" spans="1:56" hidden="1" outlineLevel="1" x14ac:dyDescent="0.3">
      <c r="A796" s="184" t="str">
        <f ca="1">Language!A$891</f>
        <v>амортизация (налоговая)</v>
      </c>
      <c r="B796" s="170"/>
      <c r="C796" s="163" t="str">
        <f t="shared" ca="1" si="3122"/>
        <v>руб.</v>
      </c>
      <c r="D796" s="174">
        <v>1</v>
      </c>
      <c r="E796" s="170" t="s">
        <v>760</v>
      </c>
      <c r="F796" s="170" t="s">
        <v>740</v>
      </c>
      <c r="G796" s="185">
        <f ca="1">IF(SUM($G783:G783)&gt;0.01,0,$B781*G788+IF($B780=0,0,MIN((SUM($G788:G788)-IF(G$2&gt;$B780*12/Prj_Step,SUM($G788:OFFSET(G788,0,-$B780*12/Prj_Step)),0))*(1-$B781)/$B780/12*Параметры!G$31,IF(G$2=1,G788,F797+SUM($F788:G788)*(1-$B781)-SUM($F788:F788)*(1-$B781)))))</f>
        <v>0</v>
      </c>
      <c r="H796" s="185">
        <f ca="1">IF(SUM($G783:H783)&gt;0.01,0,$B781*H788+IF($B780=0,0,MIN((SUM($G788:H788)-IF(H$2&gt;$B780*12/Prj_Step,SUM($G788:OFFSET(H788,0,-$B780*12/Prj_Step)),0))*(1-$B781)/$B780/12*Параметры!H$31,IF(H$2=1,H788,G797+SUM($F788:H788)*(1-$B781)-SUM($F788:G788)*(1-$B781)))))</f>
        <v>0</v>
      </c>
      <c r="I796" s="185">
        <f ca="1">IF(SUM($G783:I783)&gt;0.01,0,$B781*I788+IF($B780=0,0,MIN((SUM($G788:I788)-IF(I$2&gt;$B780*12/Prj_Step,SUM($G788:OFFSET(I788,0,-$B780*12/Prj_Step)),0))*(1-$B781)/$B780/12*Параметры!I$31,IF(I$2=1,I788,H797+SUM($F788:I788)*(1-$B781)-SUM($F788:H788)*(1-$B781)))))</f>
        <v>0</v>
      </c>
      <c r="J796" s="185">
        <f ca="1">IF(SUM($G783:J783)&gt;0.01,0,$B781*J788+IF($B780=0,0,MIN((SUM($G788:J788)-IF(J$2&gt;$B780*12/Prj_Step,SUM($G788:OFFSET(J788,0,-$B780*12/Prj_Step)),0))*(1-$B781)/$B780/12*Параметры!J$31,IF(J$2=1,J788,I797+SUM($F788:J788)*(1-$B781)-SUM($F788:I788)*(1-$B781)))))</f>
        <v>0</v>
      </c>
      <c r="K796" s="185">
        <f ca="1">IF(SUM($G783:K783)&gt;0.01,0,$B781*K788+IF($B780=0,0,MIN((SUM($G788:K788)-IF(K$2&gt;$B780*12/Prj_Step,SUM($G788:OFFSET(K788,0,-$B780*12/Prj_Step)),0))*(1-$B781)/$B780/12*Параметры!K$31,IF(K$2=1,K788,J797+SUM($F788:K788)*(1-$B781)-SUM($F788:J788)*(1-$B781)))))</f>
        <v>0</v>
      </c>
      <c r="L796" s="185">
        <f ca="1">IF(SUM($G783:L783)&gt;0.01,0,$B781*L788+IF($B780=0,0,MIN((SUM($G788:L788)-IF(L$2&gt;$B780*12/Prj_Step,SUM($G788:OFFSET(L788,0,-$B780*12/Prj_Step)),0))*(1-$B781)/$B780/12*Параметры!L$31,IF(L$2=1,L788,K797+SUM($F788:L788)*(1-$B781)-SUM($F788:K788)*(1-$B781)))))</f>
        <v>0</v>
      </c>
      <c r="M796" s="185">
        <f ca="1">IF(SUM($G783:M783)&gt;0.01,0,$B781*M788+IF($B780=0,0,MIN((SUM($G788:M788)-IF(M$2&gt;$B780*12/Prj_Step,SUM($G788:OFFSET(M788,0,-$B780*12/Prj_Step)),0))*(1-$B781)/$B780/12*Параметры!M$31,IF(M$2=1,M788,L797+SUM($F788:M788)*(1-$B781)-SUM($F788:L788)*(1-$B781)))))</f>
        <v>166666.66666666666</v>
      </c>
      <c r="N796" s="185">
        <f ca="1">IF(SUM($G783:N783)&gt;0.01,0,$B781*N788+IF($B780=0,0,MIN((SUM($G788:N788)-IF(N$2&gt;$B780*12/Prj_Step,SUM($G788:OFFSET(N788,0,-$B780*12/Prj_Step)),0))*(1-$B781)/$B780/12*Параметры!N$31,IF(N$2=1,N788,M797+SUM($F788:N788)*(1-$B781)-SUM($F788:M788)*(1-$B781)))))</f>
        <v>166666.66666666666</v>
      </c>
      <c r="O796" s="185">
        <f ca="1">IF(SUM($G783:O783)&gt;0.01,0,$B781*O788+IF($B780=0,0,MIN((SUM($G788:O788)-IF(O$2&gt;$B780*12/Prj_Step,SUM($G788:OFFSET(O788,0,-$B780*12/Prj_Step)),0))*(1-$B781)/$B780/12*Параметры!O$31,IF(O$2=1,O788,N797+SUM($F788:O788)*(1-$B781)-SUM($F788:N788)*(1-$B781)))))</f>
        <v>166666.66666666666</v>
      </c>
      <c r="P796" s="185">
        <f ca="1">IF(SUM($G783:P783)&gt;0.01,0,$B781*P788+IF($B780=0,0,MIN((SUM($G788:P788)-IF(P$2&gt;$B780*12/Prj_Step,SUM($G788:OFFSET(P788,0,-$B780*12/Prj_Step)),0))*(1-$B781)/$B780/12*Параметры!P$31,IF(P$2=1,P788,O797+SUM($F788:P788)*(1-$B781)-SUM($F788:O788)*(1-$B781)))))</f>
        <v>166666.66666666666</v>
      </c>
      <c r="Q796" s="185">
        <f ca="1">IF(SUM($G783:Q783)&gt;0.01,0,$B781*Q788+IF($B780=0,0,MIN((SUM($G788:Q788)-IF(Q$2&gt;$B780*12/Prj_Step,SUM($G788:OFFSET(Q788,0,-$B780*12/Prj_Step)),0))*(1-$B781)/$B780/12*Параметры!Q$31,IF(Q$2=1,Q788,P797+SUM($F788:Q788)*(1-$B781)-SUM($F788:P788)*(1-$B781)))))</f>
        <v>166666.66666666666</v>
      </c>
      <c r="R796" s="185">
        <f ca="1">IF(SUM($G783:R783)&gt;0.01,0,$B781*R788+IF($B780=0,0,MIN((SUM($G788:R788)-IF(R$2&gt;$B780*12/Prj_Step,SUM($G788:OFFSET(R788,0,-$B780*12/Prj_Step)),0))*(1-$B781)/$B780/12*Параметры!R$31,IF(R$2=1,R788,Q797+SUM($F788:R788)*(1-$B781)-SUM($F788:Q788)*(1-$B781)))))</f>
        <v>166666.66666666666</v>
      </c>
      <c r="S796" s="185">
        <f ca="1">IF(SUM($G783:S783)&gt;0.01,0,$B781*S788+IF($B780=0,0,MIN((SUM($G788:S788)-IF(S$2&gt;$B780*12/Prj_Step,SUM($G788:OFFSET(S788,0,-$B780*12/Prj_Step)),0))*(1-$B781)/$B780/12*Параметры!S$31,IF(S$2=1,S788,R797+SUM($F788:S788)*(1-$B781)-SUM($F788:R788)*(1-$B781)))))</f>
        <v>166666.66666666666</v>
      </c>
      <c r="T796" s="185">
        <f ca="1">IF(SUM($G783:T783)&gt;0.01,0,$B781*T788+IF($B780=0,0,MIN((SUM($G788:T788)-IF(T$2&gt;$B780*12/Prj_Step,SUM($G788:OFFSET(T788,0,-$B780*12/Prj_Step)),0))*(1-$B781)/$B780/12*Параметры!T$31,IF(T$2=1,T788,S797+SUM($F788:T788)*(1-$B781)-SUM($F788:S788)*(1-$B781)))))</f>
        <v>166666.66666666666</v>
      </c>
      <c r="U796" s="185">
        <f ca="1">IF(SUM($G783:U783)&gt;0.01,0,$B781*U788+IF($B780=0,0,MIN((SUM($G788:U788)-IF(U$2&gt;$B780*12/Prj_Step,SUM($G788:OFFSET(U788,0,-$B780*12/Prj_Step)),0))*(1-$B781)/$B780/12*Параметры!U$31,IF(U$2=1,U788,T797+SUM($F788:U788)*(1-$B781)-SUM($F788:T788)*(1-$B781)))))</f>
        <v>166666.66666666666</v>
      </c>
      <c r="V796" s="185">
        <f ca="1">IF(SUM($G783:V783)&gt;0.01,0,$B781*V788+IF($B780=0,0,MIN((SUM($G788:V788)-IF(V$2&gt;$B780*12/Prj_Step,SUM($G788:OFFSET(V788,0,-$B780*12/Prj_Step)),0))*(1-$B781)/$B780/12*Параметры!V$31,IF(V$2=1,V788,U797+SUM($F788:V788)*(1-$B781)-SUM($F788:U788)*(1-$B781)))))</f>
        <v>166666.66666666666</v>
      </c>
      <c r="W796" s="185">
        <f ca="1">IF(SUM($G783:W783)&gt;0.01,0,$B781*W788+IF($B780=0,0,MIN((SUM($G788:W788)-IF(W$2&gt;$B780*12/Prj_Step,SUM($G788:OFFSET(W788,0,-$B780*12/Prj_Step)),0))*(1-$B781)/$B780/12*Параметры!W$31,IF(W$2=1,W788,V797+SUM($F788:W788)*(1-$B781)-SUM($F788:V788)*(1-$B781)))))</f>
        <v>166666.66666666666</v>
      </c>
      <c r="X796" s="185">
        <f ca="1">IF(SUM($G783:X783)&gt;0.01,0,$B781*X788+IF($B780=0,0,MIN((SUM($G788:X788)-IF(X$2&gt;$B780*12/Prj_Step,SUM($G788:OFFSET(X788,0,-$B780*12/Prj_Step)),0))*(1-$B781)/$B780/12*Параметры!X$31,IF(X$2=1,X788,W797+SUM($F788:X788)*(1-$B781)-SUM($F788:W788)*(1-$B781)))))</f>
        <v>166666.66666666666</v>
      </c>
      <c r="Y796" s="185">
        <f ca="1">IF(SUM($G783:Y783)&gt;0.01,0,$B781*Y788+IF($B780=0,0,MIN((SUM($G788:Y788)-IF(Y$2&gt;$B780*12/Prj_Step,SUM($G788:OFFSET(Y788,0,-$B780*12/Prj_Step)),0))*(1-$B781)/$B780/12*Параметры!Y$31,IF(Y$2=1,Y788,X797+SUM($F788:Y788)*(1-$B781)-SUM($F788:X788)*(1-$B781)))))</f>
        <v>166666.66666666666</v>
      </c>
      <c r="Z796" s="185">
        <f ca="1">IF(SUM($G783:Z783)&gt;0.01,0,$B781*Z788+IF($B780=0,0,MIN((SUM($G788:Z788)-IF(Z$2&gt;$B780*12/Prj_Step,SUM($G788:OFFSET(Z788,0,-$B780*12/Prj_Step)),0))*(1-$B781)/$B780/12*Параметры!Z$31,IF(Z$2=1,Z788,Y797+SUM($F788:Z788)*(1-$B781)-SUM($F788:Y788)*(1-$B781)))))</f>
        <v>166666.66666666666</v>
      </c>
      <c r="AA796" s="185">
        <f ca="1">IF(SUM($G783:AA783)&gt;0.01,0,$B781*AA788+IF($B780=0,0,MIN((SUM($G788:AA788)-IF(AA$2&gt;$B780*12/Prj_Step,SUM($G788:OFFSET(AA788,0,-$B780*12/Prj_Step)),0))*(1-$B781)/$B780/12*Параметры!AA$31,IF(AA$2=1,AA788,Z797+SUM($F788:AA788)*(1-$B781)-SUM($F788:Z788)*(1-$B781)))))</f>
        <v>166666.66666666666</v>
      </c>
      <c r="AB796" s="185">
        <f ca="1">IF(SUM($G783:AB783)&gt;0.01,0,$B781*AB788+IF($B780=0,0,MIN((SUM($G788:AB788)-IF(AB$2&gt;$B780*12/Prj_Step,SUM($G788:OFFSET(AB788,0,-$B780*12/Prj_Step)),0))*(1-$B781)/$B780/12*Параметры!AB$31,IF(AB$2=1,AB788,AA797+SUM($F788:AB788)*(1-$B781)-SUM($F788:AA788)*(1-$B781)))))</f>
        <v>166666.66666666666</v>
      </c>
      <c r="AC796" s="185">
        <f ca="1">IF(SUM($G783:AC783)&gt;0.01,0,$B781*AC788+IF($B780=0,0,MIN((SUM($G788:AC788)-IF(AC$2&gt;$B780*12/Prj_Step,SUM($G788:OFFSET(AC788,0,-$B780*12/Prj_Step)),0))*(1-$B781)/$B780/12*Параметры!AC$31,IF(AC$2=1,AC788,AB797+SUM($F788:AC788)*(1-$B781)-SUM($F788:AB788)*(1-$B781)))))</f>
        <v>166666.66666666666</v>
      </c>
      <c r="AD796" s="185">
        <f ca="1">IF(SUM($G783:AD783)&gt;0.01,0,$B781*AD788+IF($B780=0,0,MIN((SUM($G788:AD788)-IF(AD$2&gt;$B780*12/Prj_Step,SUM($G788:OFFSET(AD788,0,-$B780*12/Prj_Step)),0))*(1-$B781)/$B780/12*Параметры!AD$31,IF(AD$2=1,AD788,AC797+SUM($F788:AD788)*(1-$B781)-SUM($F788:AC788)*(1-$B781)))))</f>
        <v>166666.66666666666</v>
      </c>
      <c r="AE796" s="185">
        <f ca="1">IF(SUM($G783:AE783)&gt;0.01,0,$B781*AE788+IF($B780=0,0,MIN((SUM($G788:AE788)-IF(AE$2&gt;$B780*12/Prj_Step,SUM($G788:OFFSET(AE788,0,-$B780*12/Prj_Step)),0))*(1-$B781)/$B780/12*Параметры!AE$31,IF(AE$2=1,AE788,AD797+SUM($F788:AE788)*(1-$B781)-SUM($F788:AD788)*(1-$B781)))))</f>
        <v>166666.66666666666</v>
      </c>
      <c r="AF796" s="185">
        <f ca="1">IF(SUM($G783:AF783)&gt;0.01,0,$B781*AF788+IF($B780=0,0,MIN((SUM($G788:AF788)-IF(AF$2&gt;$B780*12/Prj_Step,SUM($G788:OFFSET(AF788,0,-$B780*12/Prj_Step)),0))*(1-$B781)/$B780/12*Параметры!AF$31,IF(AF$2=1,AF788,AE797+SUM($F788:AF788)*(1-$B781)-SUM($F788:AE788)*(1-$B781)))))</f>
        <v>166666.66666666666</v>
      </c>
      <c r="AG796" s="185">
        <f ca="1">IF(SUM($G783:AG783)&gt;0.01,0,$B781*AG788+IF($B780=0,0,MIN((SUM($G788:AG788)-IF(AG$2&gt;$B780*12/Prj_Step,SUM($G788:OFFSET(AG788,0,-$B780*12/Prj_Step)),0))*(1-$B781)/$B780/12*Параметры!AG$31,IF(AG$2=1,AG788,AF797+SUM($F788:AG788)*(1-$B781)-SUM($F788:AF788)*(1-$B781)))))</f>
        <v>166666.66666666666</v>
      </c>
      <c r="AH796" s="185">
        <f ca="1">IF(SUM($G783:AH783)&gt;0.01,0,$B781*AH788+IF($B780=0,0,MIN((SUM($G788:AH788)-IF(AH$2&gt;$B780*12/Prj_Step,SUM($G788:OFFSET(AH788,0,-$B780*12/Prj_Step)),0))*(1-$B781)/$B780/12*Параметры!AH$31,IF(AH$2=1,AH788,AG797+SUM($F788:AH788)*(1-$B781)-SUM($F788:AG788)*(1-$B781)))))</f>
        <v>166666.66666666666</v>
      </c>
      <c r="AI796" s="185">
        <f ca="1">IF(SUM($G783:AI783)&gt;0.01,0,$B781*AI788+IF($B780=0,0,MIN((SUM($G788:AI788)-IF(AI$2&gt;$B780*12/Prj_Step,SUM($G788:OFFSET(AI788,0,-$B780*12/Prj_Step)),0))*(1-$B781)/$B780/12*Параметры!AI$31,IF(AI$2=1,AI788,AH797+SUM($F788:AI788)*(1-$B781)-SUM($F788:AH788)*(1-$B781)))))</f>
        <v>166666.66666666666</v>
      </c>
      <c r="AJ796" s="185">
        <f ca="1">IF(SUM($G783:AJ783)&gt;0.01,0,$B781*AJ788+IF($B780=0,0,MIN((SUM($G788:AJ788)-IF(AJ$2&gt;$B780*12/Prj_Step,SUM($G788:OFFSET(AJ788,0,-$B780*12/Prj_Step)),0))*(1-$B781)/$B780/12*Параметры!AJ$31,IF(AJ$2=1,AJ788,AI797+SUM($F788:AJ788)*(1-$B781)-SUM($F788:AI788)*(1-$B781)))))</f>
        <v>166666.66666666666</v>
      </c>
      <c r="AK796" s="185">
        <f ca="1">IF(SUM($G783:AK783)&gt;0.01,0,$B781*AK788+IF($B780=0,0,MIN((SUM($G788:AK788)-IF(AK$2&gt;$B780*12/Prj_Step,SUM($G788:OFFSET(AK788,0,-$B780*12/Prj_Step)),0))*(1-$B781)/$B780/12*Параметры!AK$31,IF(AK$2=1,AK788,AJ797+SUM($F788:AK788)*(1-$B781)-SUM($F788:AJ788)*(1-$B781)))))</f>
        <v>166666.66666666666</v>
      </c>
      <c r="AL796" s="185">
        <f ca="1">IF(SUM($G783:AL783)&gt;0.01,0,$B781*AL788+IF($B780=0,0,MIN((SUM($G788:AL788)-IF(AL$2&gt;$B780*12/Prj_Step,SUM($G788:OFFSET(AL788,0,-$B780*12/Prj_Step)),0))*(1-$B781)/$B780/12*Параметры!AL$31,IF(AL$2=1,AL788,AK797+SUM($F788:AL788)*(1-$B781)-SUM($F788:AK788)*(1-$B781)))))</f>
        <v>166666.66666666666</v>
      </c>
      <c r="AM796" s="185">
        <f ca="1">IF(SUM($G783:AM783)&gt;0.01,0,$B781*AM788+IF($B780=0,0,MIN((SUM($G788:AM788)-IF(AM$2&gt;$B780*12/Prj_Step,SUM($G788:OFFSET(AM788,0,-$B780*12/Prj_Step)),0))*(1-$B781)/$B780/12*Параметры!AM$31,IF(AM$2=1,AM788,AL797+SUM($F788:AM788)*(1-$B781)-SUM($F788:AL788)*(1-$B781)))))</f>
        <v>166666.66666666666</v>
      </c>
      <c r="AN796" s="185">
        <f ca="1">IF(SUM($G783:AN783)&gt;0.01,0,$B781*AN788+IF($B780=0,0,MIN((SUM($G788:AN788)-IF(AN$2&gt;$B780*12/Prj_Step,SUM($G788:OFFSET(AN788,0,-$B780*12/Prj_Step)),0))*(1-$B781)/$B780/12*Параметры!AN$31,IF(AN$2=1,AN788,AM797+SUM($F788:AN788)*(1-$B781)-SUM($F788:AM788)*(1-$B781)))))</f>
        <v>166666.66666666666</v>
      </c>
      <c r="AO796" s="185">
        <f ca="1">IF(SUM($G783:AO783)&gt;0.01,0,$B781*AO788+IF($B780=0,0,MIN((SUM($G788:AO788)-IF(AO$2&gt;$B780*12/Prj_Step,SUM($G788:OFFSET(AO788,0,-$B780*12/Prj_Step)),0))*(1-$B781)/$B780/12*Параметры!AO$31,IF(AO$2=1,AO788,AN797+SUM($F788:AO788)*(1-$B781)-SUM($F788:AN788)*(1-$B781)))))</f>
        <v>166666.66666666666</v>
      </c>
      <c r="AP796" s="185">
        <f ca="1">IF(SUM($G783:AP783)&gt;0.01,0,$B781*AP788+IF($B780=0,0,MIN((SUM($G788:AP788)-IF(AP$2&gt;$B780*12/Prj_Step,SUM($G788:OFFSET(AP788,0,-$B780*12/Prj_Step)),0))*(1-$B781)/$B780/12*Параметры!AP$31,IF(AP$2=1,AP788,AO797+SUM($F788:AP788)*(1-$B781)-SUM($F788:AO788)*(1-$B781)))))</f>
        <v>166666.66666666666</v>
      </c>
      <c r="AQ796" s="185">
        <f ca="1">IF(SUM($G783:AQ783)&gt;0.01,0,$B781*AQ788+IF($B780=0,0,MIN((SUM($G788:AQ788)-IF(AQ$2&gt;$B780*12/Prj_Step,SUM($G788:OFFSET(AQ788,0,-$B780*12/Prj_Step)),0))*(1-$B781)/$B780/12*Параметры!AQ$31,IF(AQ$2=1,AQ788,AP797+SUM($F788:AQ788)*(1-$B781)-SUM($F788:AP788)*(1-$B781)))))</f>
        <v>166666.66666666666</v>
      </c>
      <c r="AR796" s="185">
        <f ca="1">IF(SUM($G783:AR783)&gt;0.01,0,$B781*AR788+IF($B780=0,0,MIN((SUM($G788:AR788)-IF(AR$2&gt;$B780*12/Prj_Step,SUM($G788:OFFSET(AR788,0,-$B780*12/Prj_Step)),0))*(1-$B781)/$B780/12*Параметры!AR$31,IF(AR$2=1,AR788,AQ797+SUM($F788:AR788)*(1-$B781)-SUM($F788:AQ788)*(1-$B781)))))</f>
        <v>166666.66666666666</v>
      </c>
      <c r="AS796" s="185">
        <f ca="1">IF(SUM($G783:AS783)&gt;0.01,0,$B781*AS788+IF($B780=0,0,MIN((SUM($G788:AS788)-IF(AS$2&gt;$B780*12/Prj_Step,SUM($G788:OFFSET(AS788,0,-$B780*12/Prj_Step)),0))*(1-$B781)/$B780/12*Параметры!AS$31,IF(AS$2=1,AS788,AR797+SUM($F788:AS788)*(1-$B781)-SUM($F788:AR788)*(1-$B781)))))</f>
        <v>166666.66666666666</v>
      </c>
      <c r="AT796" s="185">
        <f ca="1">IF(SUM($G783:AT783)&gt;0.01,0,$B781*AT788+IF($B780=0,0,MIN((SUM($G788:AT788)-IF(AT$2&gt;$B780*12/Prj_Step,SUM($G788:OFFSET(AT788,0,-$B780*12/Prj_Step)),0))*(1-$B781)/$B780/12*Параметры!AT$31,IF(AT$2=1,AT788,AS797+SUM($F788:AT788)*(1-$B781)-SUM($F788:AS788)*(1-$B781)))))</f>
        <v>166666.66666666666</v>
      </c>
      <c r="AU796" s="185">
        <f ca="1">IF(SUM($G783:AU783)&gt;0.01,0,$B781*AU788+IF($B780=0,0,MIN((SUM($G788:AU788)-IF(AU$2&gt;$B780*12/Prj_Step,SUM($G788:OFFSET(AU788,0,-$B780*12/Prj_Step)),0))*(1-$B781)/$B780/12*Параметры!AU$31,IF(AU$2=1,AU788,AT797+SUM($F788:AU788)*(1-$B781)-SUM($F788:AT788)*(1-$B781)))))</f>
        <v>166666.66666666666</v>
      </c>
      <c r="AV796" s="185">
        <f ca="1">IF(SUM($G783:AV783)&gt;0.01,0,$B781*AV788+IF($B780=0,0,MIN((SUM($G788:AV788)-IF(AV$2&gt;$B780*12/Prj_Step,SUM($G788:OFFSET(AV788,0,-$B780*12/Prj_Step)),0))*(1-$B781)/$B780/12*Параметры!AV$31,IF(AV$2=1,AV788,AU797+SUM($F788:AV788)*(1-$B781)-SUM($F788:AU788)*(1-$B781)))))</f>
        <v>166666.66666666666</v>
      </c>
      <c r="AW796" s="185">
        <f ca="1">IF(SUM($G783:AW783)&gt;0.01,0,$B781*AW788+IF($B780=0,0,MIN((SUM($G788:AW788)-IF(AW$2&gt;$B780*12/Prj_Step,SUM($G788:OFFSET(AW788,0,-$B780*12/Prj_Step)),0))*(1-$B781)/$B780/12*Параметры!AW$31,IF(AW$2=1,AW788,AV797+SUM($F788:AW788)*(1-$B781)-SUM($F788:AV788)*(1-$B781)))))</f>
        <v>166666.66666666666</v>
      </c>
      <c r="AX796" s="185">
        <f ca="1">IF(SUM($G783:AX783)&gt;0.01,0,$B781*AX788+IF($B780=0,0,MIN((SUM($G788:AX788)-IF(AX$2&gt;$B780*12/Prj_Step,SUM($G788:OFFSET(AX788,0,-$B780*12/Prj_Step)),0))*(1-$B781)/$B780/12*Параметры!AX$31,IF(AX$2=1,AX788,AW797+SUM($F788:AX788)*(1-$B781)-SUM($F788:AW788)*(1-$B781)))))</f>
        <v>166666.66666666666</v>
      </c>
      <c r="AY796" s="185">
        <f ca="1">IF(SUM($G783:AY783)&gt;0.01,0,$B781*AY788+IF($B780=0,0,MIN((SUM($G788:AY788)-IF(AY$2&gt;$B780*12/Prj_Step,SUM($G788:OFFSET(AY788,0,-$B780*12/Prj_Step)),0))*(1-$B781)/$B780/12*Параметры!AY$31,IF(AY$2=1,AY788,AX797+SUM($F788:AY788)*(1-$B781)-SUM($F788:AX788)*(1-$B781)))))</f>
        <v>166666.66666666666</v>
      </c>
      <c r="AZ796" s="185">
        <f ca="1">IF(SUM($G783:AZ783)&gt;0.01,0,$B781*AZ788+IF($B780=0,0,MIN((SUM($G788:AZ788)-IF(AZ$2&gt;$B780*12/Prj_Step,SUM($G788:OFFSET(AZ788,0,-$B780*12/Prj_Step)),0))*(1-$B781)/$B780/12*Параметры!AZ$31,IF(AZ$2=1,AZ788,AY797+SUM($F788:AZ788)*(1-$B781)-SUM($F788:AY788)*(1-$B781)))))</f>
        <v>166666.66666666666</v>
      </c>
      <c r="BA796" s="185">
        <f ca="1">IF(SUM($G783:BA783)&gt;0.01,0,$B781*BA788+IF($B780=0,0,MIN((SUM($G788:BA788)-IF(BA$2&gt;$B780*12/Prj_Step,SUM($G788:OFFSET(BA788,0,-$B780*12/Prj_Step)),0))*(1-$B781)/$B780/12*Параметры!BA$31,IF(BA$2=1,BA788,AZ797+SUM($F788:BA788)*(1-$B781)-SUM($F788:AZ788)*(1-$B781)))))</f>
        <v>166666.66666666666</v>
      </c>
      <c r="BB796" s="185">
        <f ca="1">IF(SUM($G783:BB783)&gt;0.01,0,$B781*BB788+IF($B780=0,0,MIN((SUM($G788:BB788)-IF(BB$2&gt;$B780*12/Prj_Step,SUM($G788:OFFSET(BB788,0,-$B780*12/Prj_Step)),0))*(1-$B781)/$B780/12*Параметры!BB$31,IF(BB$2=1,BB788,BA797+SUM($F788:BB788)*(1-$B781)-SUM($F788:BA788)*(1-$B781)))))</f>
        <v>166666.66666666666</v>
      </c>
      <c r="BC796" s="185"/>
      <c r="BD796" s="193">
        <f ca="1">SUM(G796:BC796)</f>
        <v>7000000.0000000037</v>
      </c>
    </row>
    <row r="797" spans="1:56" hidden="1" outlineLevel="1" x14ac:dyDescent="0.3">
      <c r="A797" s="184" t="str">
        <f ca="1">Language!A$892</f>
        <v>балансовая стоимость (налоговая)</v>
      </c>
      <c r="B797" s="170"/>
      <c r="C797" s="163" t="str">
        <f t="shared" ca="1" si="3122"/>
        <v>руб.</v>
      </c>
      <c r="D797" s="174">
        <v>1</v>
      </c>
      <c r="E797" s="170" t="s">
        <v>761</v>
      </c>
      <c r="F797" s="170" t="s">
        <v>741</v>
      </c>
      <c r="G797" s="185">
        <f ca="1">IF(SUM($G783:G783)&gt;0.01,0,SUM($G788:G788)-SUM($G796:G796))</f>
        <v>0</v>
      </c>
      <c r="H797" s="185">
        <f ca="1">IF(SUM($G783:H783)&gt;0.01,0,SUM($G788:H788)-SUM($G796:H796))</f>
        <v>0</v>
      </c>
      <c r="I797" s="185">
        <f ca="1">IF(SUM($G783:I783)&gt;0.01,0,SUM($G788:I788)-SUM($G796:I796))</f>
        <v>0</v>
      </c>
      <c r="J797" s="185">
        <f ca="1">IF(SUM($G783:J783)&gt;0.01,0,SUM($G788:J788)-SUM($G796:J796))</f>
        <v>0</v>
      </c>
      <c r="K797" s="185">
        <f ca="1">IF(SUM($G783:K783)&gt;0.01,0,SUM($G788:K788)-SUM($G796:K796))</f>
        <v>0</v>
      </c>
      <c r="L797" s="185">
        <f ca="1">IF(SUM($G783:L783)&gt;0.01,0,SUM($G788:L788)-SUM($G796:L796))</f>
        <v>0</v>
      </c>
      <c r="M797" s="185">
        <f ca="1">IF(SUM($G783:M783)&gt;0.01,0,SUM($G788:M788)-SUM($G796:M796))</f>
        <v>59833333.333333336</v>
      </c>
      <c r="N797" s="185">
        <f ca="1">IF(SUM($G783:N783)&gt;0.01,0,SUM($G788:N788)-SUM($G796:N796))</f>
        <v>59666666.666666664</v>
      </c>
      <c r="O797" s="185">
        <f ca="1">IF(SUM($G783:O783)&gt;0.01,0,SUM($G788:O788)-SUM($G796:O796))</f>
        <v>59500000</v>
      </c>
      <c r="P797" s="185">
        <f ca="1">IF(SUM($G783:P783)&gt;0.01,0,SUM($G788:P788)-SUM($G796:P796))</f>
        <v>59333333.333333336</v>
      </c>
      <c r="Q797" s="185">
        <f ca="1">IF(SUM($G783:Q783)&gt;0.01,0,SUM($G788:Q788)-SUM($G796:Q796))</f>
        <v>59166666.666666664</v>
      </c>
      <c r="R797" s="185">
        <f ca="1">IF(SUM($G783:R783)&gt;0.01,0,SUM($G788:R788)-SUM($G796:R796))</f>
        <v>59000000</v>
      </c>
      <c r="S797" s="185">
        <f ca="1">IF(SUM($G783:S783)&gt;0.01,0,SUM($G788:S788)-SUM($G796:S796))</f>
        <v>58833333.333333336</v>
      </c>
      <c r="T797" s="185">
        <f ca="1">IF(SUM($G783:T783)&gt;0.01,0,SUM($G788:T788)-SUM($G796:T796))</f>
        <v>58666666.666666664</v>
      </c>
      <c r="U797" s="185">
        <f ca="1">IF(SUM($G783:U783)&gt;0.01,0,SUM($G788:U788)-SUM($G796:U796))</f>
        <v>58500000</v>
      </c>
      <c r="V797" s="185">
        <f ca="1">IF(SUM($G783:V783)&gt;0.01,0,SUM($G788:V788)-SUM($G796:V796))</f>
        <v>58333333.333333336</v>
      </c>
      <c r="W797" s="185">
        <f ca="1">IF(SUM($G783:W783)&gt;0.01,0,SUM($G788:W788)-SUM($G796:W796))</f>
        <v>58166666.666666664</v>
      </c>
      <c r="X797" s="185">
        <f ca="1">IF(SUM($G783:X783)&gt;0.01,0,SUM($G788:X788)-SUM($G796:X796))</f>
        <v>58000000</v>
      </c>
      <c r="Y797" s="185">
        <f ca="1">IF(SUM($G783:Y783)&gt;0.01,0,SUM($G788:Y788)-SUM($G796:Y796))</f>
        <v>57833333.333333336</v>
      </c>
      <c r="Z797" s="185">
        <f ca="1">IF(SUM($G783:Z783)&gt;0.01,0,SUM($G788:Z788)-SUM($G796:Z796))</f>
        <v>57666666.666666664</v>
      </c>
      <c r="AA797" s="185">
        <f ca="1">IF(SUM($G783:AA783)&gt;0.01,0,SUM($G788:AA788)-SUM($G796:AA796))</f>
        <v>57500000</v>
      </c>
      <c r="AB797" s="185">
        <f ca="1">IF(SUM($G783:AB783)&gt;0.01,0,SUM($G788:AB788)-SUM($G796:AB796))</f>
        <v>57333333.333333336</v>
      </c>
      <c r="AC797" s="185">
        <f ca="1">IF(SUM($G783:AC783)&gt;0.01,0,SUM($G788:AC788)-SUM($G796:AC796))</f>
        <v>57166666.666666664</v>
      </c>
      <c r="AD797" s="185">
        <f ca="1">IF(SUM($G783:AD783)&gt;0.01,0,SUM($G788:AD788)-SUM($G796:AD796))</f>
        <v>57000000</v>
      </c>
      <c r="AE797" s="185">
        <f ca="1">IF(SUM($G783:AE783)&gt;0.01,0,SUM($G788:AE788)-SUM($G796:AE796))</f>
        <v>56833333.333333336</v>
      </c>
      <c r="AF797" s="185">
        <f ca="1">IF(SUM($G783:AF783)&gt;0.01,0,SUM($G788:AF788)-SUM($G796:AF796))</f>
        <v>56666666.666666664</v>
      </c>
      <c r="AG797" s="185">
        <f ca="1">IF(SUM($G783:AG783)&gt;0.01,0,SUM($G788:AG788)-SUM($G796:AG796))</f>
        <v>56500000</v>
      </c>
      <c r="AH797" s="185">
        <f ca="1">IF(SUM($G783:AH783)&gt;0.01,0,SUM($G788:AH788)-SUM($G796:AH796))</f>
        <v>56333333.333333336</v>
      </c>
      <c r="AI797" s="185">
        <f ca="1">IF(SUM($G783:AI783)&gt;0.01,0,SUM($G788:AI788)-SUM($G796:AI796))</f>
        <v>56166666.666666672</v>
      </c>
      <c r="AJ797" s="185">
        <f ca="1">IF(SUM($G783:AJ783)&gt;0.01,0,SUM($G788:AJ788)-SUM($G796:AJ796))</f>
        <v>56000000</v>
      </c>
      <c r="AK797" s="185">
        <f ca="1">IF(SUM($G783:AK783)&gt;0.01,0,SUM($G788:AK788)-SUM($G796:AK796))</f>
        <v>55833333.333333336</v>
      </c>
      <c r="AL797" s="185">
        <f ca="1">IF(SUM($G783:AL783)&gt;0.01,0,SUM($G788:AL788)-SUM($G796:AL796))</f>
        <v>55666666.666666672</v>
      </c>
      <c r="AM797" s="185">
        <f ca="1">IF(SUM($G783:AM783)&gt;0.01,0,SUM($G788:AM788)-SUM($G796:AM796))</f>
        <v>55500000</v>
      </c>
      <c r="AN797" s="185">
        <f ca="1">IF(SUM($G783:AN783)&gt;0.01,0,SUM($G788:AN788)-SUM($G796:AN796))</f>
        <v>55333333.333333336</v>
      </c>
      <c r="AO797" s="185">
        <f ca="1">IF(SUM($G783:AO783)&gt;0.01,0,SUM($G788:AO788)-SUM($G796:AO796))</f>
        <v>55166666.666666664</v>
      </c>
      <c r="AP797" s="185">
        <f ca="1">IF(SUM($G783:AP783)&gt;0.01,0,SUM($G788:AP788)-SUM($G796:AP796))</f>
        <v>55000000</v>
      </c>
      <c r="AQ797" s="185">
        <f ca="1">IF(SUM($G783:AQ783)&gt;0.01,0,SUM($G788:AQ788)-SUM($G796:AQ796))</f>
        <v>54833333.333333336</v>
      </c>
      <c r="AR797" s="185">
        <f ca="1">IF(SUM($G783:AR783)&gt;0.01,0,SUM($G788:AR788)-SUM($G796:AR796))</f>
        <v>54666666.666666664</v>
      </c>
      <c r="AS797" s="185">
        <f ca="1">IF(SUM($G783:AS783)&gt;0.01,0,SUM($G788:AS788)-SUM($G796:AS796))</f>
        <v>54500000</v>
      </c>
      <c r="AT797" s="185">
        <f ca="1">IF(SUM($G783:AT783)&gt;0.01,0,SUM($G788:AT788)-SUM($G796:AT796))</f>
        <v>54333333.333333328</v>
      </c>
      <c r="AU797" s="185">
        <f ca="1">IF(SUM($G783:AU783)&gt;0.01,0,SUM($G788:AU788)-SUM($G796:AU796))</f>
        <v>54166666.666666664</v>
      </c>
      <c r="AV797" s="185">
        <f ca="1">IF(SUM($G783:AV783)&gt;0.01,0,SUM($G788:AV788)-SUM($G796:AV796))</f>
        <v>54000000</v>
      </c>
      <c r="AW797" s="185">
        <f ca="1">IF(SUM($G783:AW783)&gt;0.01,0,SUM($G788:AW788)-SUM($G796:AW796))</f>
        <v>53833333.333333328</v>
      </c>
      <c r="AX797" s="185">
        <f ca="1">IF(SUM($G783:AX783)&gt;0.01,0,SUM($G788:AX788)-SUM($G796:AX796))</f>
        <v>53666666.666666664</v>
      </c>
      <c r="AY797" s="185">
        <f ca="1">IF(SUM($G783:AY783)&gt;0.01,0,SUM($G788:AY788)-SUM($G796:AY796))</f>
        <v>53500000</v>
      </c>
      <c r="AZ797" s="185">
        <f ca="1">IF(SUM($G783:AZ783)&gt;0.01,0,SUM($G788:AZ788)-SUM($G796:AZ796))</f>
        <v>53333333.333333328</v>
      </c>
      <c r="BA797" s="185">
        <f ca="1">IF(SUM($G783:BA783)&gt;0.01,0,SUM($G788:BA788)-SUM($G796:BA796))</f>
        <v>53166666.666666664</v>
      </c>
      <c r="BB797" s="185">
        <f ca="1">IF(SUM($G783:BB783)&gt;0.01,0,SUM($G788:BB788)-SUM($G796:BB796))</f>
        <v>53000000</v>
      </c>
      <c r="BC797" s="185"/>
      <c r="BD797" s="193"/>
    </row>
    <row r="798" spans="1:56" hidden="1" outlineLevel="1" x14ac:dyDescent="0.3">
      <c r="A798" s="184" t="str">
        <f ca="1">Language!A$893</f>
        <v>прибыль/убыток от продажи актива (бухгалтерская)</v>
      </c>
      <c r="B798" s="216"/>
      <c r="C798" s="163" t="str">
        <f t="shared" ca="1" si="3122"/>
        <v>руб.</v>
      </c>
      <c r="D798" s="174">
        <v>1</v>
      </c>
      <c r="E798" s="170" t="s">
        <v>762</v>
      </c>
      <c r="F798" s="170" t="s">
        <v>740</v>
      </c>
      <c r="G798" s="185">
        <f t="shared" ref="G798" si="3126">IF(G783=0,0,G783-IF(G$2=1,G784,F789+F793))</f>
        <v>0</v>
      </c>
      <c r="H798" s="185">
        <f t="shared" ref="H798" si="3127">IF(H783=0,0,H783-IF(H$2=1,H784,G789+G793))</f>
        <v>0</v>
      </c>
      <c r="I798" s="185">
        <f t="shared" ref="I798" si="3128">IF(I783=0,0,I783-IF(I$2=1,I784,H789+H793))</f>
        <v>0</v>
      </c>
      <c r="J798" s="185">
        <f t="shared" ref="J798" si="3129">IF(J783=0,0,J783-IF(J$2=1,J784,I789+I793))</f>
        <v>0</v>
      </c>
      <c r="K798" s="185">
        <f t="shared" ref="K798" si="3130">IF(K783=0,0,K783-IF(K$2=1,K784,J789+J793))</f>
        <v>0</v>
      </c>
      <c r="L798" s="185">
        <f t="shared" ref="L798" si="3131">IF(L783=0,0,L783-IF(L$2=1,L784,K789+K793))</f>
        <v>0</v>
      </c>
      <c r="M798" s="185">
        <f t="shared" ref="M798" si="3132">IF(M783=0,0,M783-IF(M$2=1,M784,L789+L793))</f>
        <v>0</v>
      </c>
      <c r="N798" s="185">
        <f t="shared" ref="N798" si="3133">IF(N783=0,0,N783-IF(N$2=1,N784,M789+M793))</f>
        <v>0</v>
      </c>
      <c r="O798" s="185">
        <f t="shared" ref="O798" si="3134">IF(O783=0,0,O783-IF(O$2=1,O784,N789+N793))</f>
        <v>0</v>
      </c>
      <c r="P798" s="185">
        <f t="shared" ref="P798" si="3135">IF(P783=0,0,P783-IF(P$2=1,P784,O789+O793))</f>
        <v>0</v>
      </c>
      <c r="Q798" s="185">
        <f t="shared" ref="Q798" si="3136">IF(Q783=0,0,Q783-IF(Q$2=1,Q784,P789+P793))</f>
        <v>0</v>
      </c>
      <c r="R798" s="185">
        <f t="shared" ref="R798" si="3137">IF(R783=0,0,R783-IF(R$2=1,R784,Q789+Q793))</f>
        <v>0</v>
      </c>
      <c r="S798" s="185">
        <f t="shared" ref="S798" si="3138">IF(S783=0,0,S783-IF(S$2=1,S784,R789+R793))</f>
        <v>0</v>
      </c>
      <c r="T798" s="185">
        <f t="shared" ref="T798" si="3139">IF(T783=0,0,T783-IF(T$2=1,T784,S789+S793))</f>
        <v>0</v>
      </c>
      <c r="U798" s="185">
        <f t="shared" ref="U798" si="3140">IF(U783=0,0,U783-IF(U$2=1,U784,T789+T793))</f>
        <v>0</v>
      </c>
      <c r="V798" s="185">
        <f t="shared" ref="V798" si="3141">IF(V783=0,0,V783-IF(V$2=1,V784,U789+U793))</f>
        <v>0</v>
      </c>
      <c r="W798" s="185">
        <f t="shared" ref="W798" si="3142">IF(W783=0,0,W783-IF(W$2=1,W784,V789+V793))</f>
        <v>0</v>
      </c>
      <c r="X798" s="185">
        <f t="shared" ref="X798" si="3143">IF(X783=0,0,X783-IF(X$2=1,X784,W789+W793))</f>
        <v>0</v>
      </c>
      <c r="Y798" s="185">
        <f t="shared" ref="Y798" si="3144">IF(Y783=0,0,Y783-IF(Y$2=1,Y784,X789+X793))</f>
        <v>0</v>
      </c>
      <c r="Z798" s="185">
        <f t="shared" ref="Z798" si="3145">IF(Z783=0,0,Z783-IF(Z$2=1,Z784,Y789+Y793))</f>
        <v>0</v>
      </c>
      <c r="AA798" s="185">
        <f t="shared" ref="AA798" si="3146">IF(AA783=0,0,AA783-IF(AA$2=1,AA784,Z789+Z793))</f>
        <v>0</v>
      </c>
      <c r="AB798" s="185">
        <f t="shared" ref="AB798" si="3147">IF(AB783=0,0,AB783-IF(AB$2=1,AB784,AA789+AA793))</f>
        <v>0</v>
      </c>
      <c r="AC798" s="185">
        <f t="shared" ref="AC798" si="3148">IF(AC783=0,0,AC783-IF(AC$2=1,AC784,AB789+AB793))</f>
        <v>0</v>
      </c>
      <c r="AD798" s="185">
        <f t="shared" ref="AD798" si="3149">IF(AD783=0,0,AD783-IF(AD$2=1,AD784,AC789+AC793))</f>
        <v>0</v>
      </c>
      <c r="AE798" s="185">
        <f t="shared" ref="AE798" si="3150">IF(AE783=0,0,AE783-IF(AE$2=1,AE784,AD789+AD793))</f>
        <v>0</v>
      </c>
      <c r="AF798" s="185">
        <f t="shared" ref="AF798" si="3151">IF(AF783=0,0,AF783-IF(AF$2=1,AF784,AE789+AE793))</f>
        <v>0</v>
      </c>
      <c r="AG798" s="185">
        <f t="shared" ref="AG798" si="3152">IF(AG783=0,0,AG783-IF(AG$2=1,AG784,AF789+AF793))</f>
        <v>0</v>
      </c>
      <c r="AH798" s="185">
        <f t="shared" ref="AH798" si="3153">IF(AH783=0,0,AH783-IF(AH$2=1,AH784,AG789+AG793))</f>
        <v>0</v>
      </c>
      <c r="AI798" s="185">
        <f t="shared" ref="AI798" si="3154">IF(AI783=0,0,AI783-IF(AI$2=1,AI784,AH789+AH793))</f>
        <v>0</v>
      </c>
      <c r="AJ798" s="185">
        <f t="shared" ref="AJ798" si="3155">IF(AJ783=0,0,AJ783-IF(AJ$2=1,AJ784,AI789+AI793))</f>
        <v>0</v>
      </c>
      <c r="AK798" s="185">
        <f t="shared" ref="AK798" si="3156">IF(AK783=0,0,AK783-IF(AK$2=1,AK784,AJ789+AJ793))</f>
        <v>0</v>
      </c>
      <c r="AL798" s="185">
        <f t="shared" ref="AL798" si="3157">IF(AL783=0,0,AL783-IF(AL$2=1,AL784,AK789+AK793))</f>
        <v>0</v>
      </c>
      <c r="AM798" s="185">
        <f t="shared" ref="AM798" si="3158">IF(AM783=0,0,AM783-IF(AM$2=1,AM784,AL789+AL793))</f>
        <v>0</v>
      </c>
      <c r="AN798" s="185">
        <f t="shared" ref="AN798" si="3159">IF(AN783=0,0,AN783-IF(AN$2=1,AN784,AM789+AM793))</f>
        <v>0</v>
      </c>
      <c r="AO798" s="185">
        <f t="shared" ref="AO798" si="3160">IF(AO783=0,0,AO783-IF(AO$2=1,AO784,AN789+AN793))</f>
        <v>0</v>
      </c>
      <c r="AP798" s="185">
        <f t="shared" ref="AP798" si="3161">IF(AP783=0,0,AP783-IF(AP$2=1,AP784,AO789+AO793))</f>
        <v>0</v>
      </c>
      <c r="AQ798" s="185">
        <f t="shared" ref="AQ798" si="3162">IF(AQ783=0,0,AQ783-IF(AQ$2=1,AQ784,AP789+AP793))</f>
        <v>0</v>
      </c>
      <c r="AR798" s="185">
        <f t="shared" ref="AR798" si="3163">IF(AR783=0,0,AR783-IF(AR$2=1,AR784,AQ789+AQ793))</f>
        <v>0</v>
      </c>
      <c r="AS798" s="185">
        <f t="shared" ref="AS798" si="3164">IF(AS783=0,0,AS783-IF(AS$2=1,AS784,AR789+AR793))</f>
        <v>0</v>
      </c>
      <c r="AT798" s="185">
        <f t="shared" ref="AT798" si="3165">IF(AT783=0,0,AT783-IF(AT$2=1,AT784,AS789+AS793))</f>
        <v>0</v>
      </c>
      <c r="AU798" s="185">
        <f t="shared" ref="AU798" si="3166">IF(AU783=0,0,AU783-IF(AU$2=1,AU784,AT789+AT793))</f>
        <v>0</v>
      </c>
      <c r="AV798" s="185">
        <f t="shared" ref="AV798" si="3167">IF(AV783=0,0,AV783-IF(AV$2=1,AV784,AU789+AU793))</f>
        <v>0</v>
      </c>
      <c r="AW798" s="185">
        <f t="shared" ref="AW798" si="3168">IF(AW783=0,0,AW783-IF(AW$2=1,AW784,AV789+AV793))</f>
        <v>0</v>
      </c>
      <c r="AX798" s="185">
        <f t="shared" ref="AX798" si="3169">IF(AX783=0,0,AX783-IF(AX$2=1,AX784,AW789+AW793))</f>
        <v>0</v>
      </c>
      <c r="AY798" s="185">
        <f t="shared" ref="AY798" si="3170">IF(AY783=0,0,AY783-IF(AY$2=1,AY784,AX789+AX793))</f>
        <v>0</v>
      </c>
      <c r="AZ798" s="185">
        <f t="shared" ref="AZ798" si="3171">IF(AZ783=0,0,AZ783-IF(AZ$2=1,AZ784,AY789+AY793))</f>
        <v>0</v>
      </c>
      <c r="BA798" s="185">
        <f t="shared" ref="BA798" si="3172">IF(BA783=0,0,BA783-IF(BA$2=1,BA784,AZ789+AZ793))</f>
        <v>0</v>
      </c>
      <c r="BB798" s="185">
        <f t="shared" ref="BB798" si="3173">IF(BB783=0,0,BB783-IF(BB$2=1,BB784,BA789+BA793))</f>
        <v>0</v>
      </c>
      <c r="BC798" s="185"/>
      <c r="BD798" s="193">
        <f>SUM(G798:BC798)</f>
        <v>0</v>
      </c>
    </row>
    <row r="799" spans="1:56" hidden="1" outlineLevel="1" x14ac:dyDescent="0.3">
      <c r="A799" s="184" t="str">
        <f ca="1">Language!A$894</f>
        <v>прибыль/убыток от продажи актива (налоговая)</v>
      </c>
      <c r="B799" s="216"/>
      <c r="C799" s="163" t="str">
        <f t="shared" ca="1" si="3122"/>
        <v>руб.</v>
      </c>
      <c r="D799" s="174">
        <v>1</v>
      </c>
      <c r="E799" s="170" t="s">
        <v>763</v>
      </c>
      <c r="F799" s="170" t="s">
        <v>740</v>
      </c>
      <c r="G799" s="185">
        <f t="shared" ref="G799" si="3174">IF(G783=0,0,G783-IF(G$2=1,G784,F789+F797))</f>
        <v>0</v>
      </c>
      <c r="H799" s="185">
        <f t="shared" ref="H799" si="3175">IF(H783=0,0,H783-IF(H$2=1,H784,G789+G797))</f>
        <v>0</v>
      </c>
      <c r="I799" s="185">
        <f t="shared" ref="I799" si="3176">IF(I783=0,0,I783-IF(I$2=1,I784,H789+H797))</f>
        <v>0</v>
      </c>
      <c r="J799" s="185">
        <f t="shared" ref="J799" si="3177">IF(J783=0,0,J783-IF(J$2=1,J784,I789+I797))</f>
        <v>0</v>
      </c>
      <c r="K799" s="185">
        <f t="shared" ref="K799" si="3178">IF(K783=0,0,K783-IF(K$2=1,K784,J789+J797))</f>
        <v>0</v>
      </c>
      <c r="L799" s="185">
        <f t="shared" ref="L799" si="3179">IF(L783=0,0,L783-IF(L$2=1,L784,K789+K797))</f>
        <v>0</v>
      </c>
      <c r="M799" s="185">
        <f t="shared" ref="M799" si="3180">IF(M783=0,0,M783-IF(M$2=1,M784,L789+L797))</f>
        <v>0</v>
      </c>
      <c r="N799" s="185">
        <f t="shared" ref="N799" si="3181">IF(N783=0,0,N783-IF(N$2=1,N784,M789+M797))</f>
        <v>0</v>
      </c>
      <c r="O799" s="185">
        <f t="shared" ref="O799" si="3182">IF(O783=0,0,O783-IF(O$2=1,O784,N789+N797))</f>
        <v>0</v>
      </c>
      <c r="P799" s="185">
        <f t="shared" ref="P799" si="3183">IF(P783=0,0,P783-IF(P$2=1,P784,O789+O797))</f>
        <v>0</v>
      </c>
      <c r="Q799" s="185">
        <f t="shared" ref="Q799" si="3184">IF(Q783=0,0,Q783-IF(Q$2=1,Q784,P789+P797))</f>
        <v>0</v>
      </c>
      <c r="R799" s="185">
        <f t="shared" ref="R799" si="3185">IF(R783=0,0,R783-IF(R$2=1,R784,Q789+Q797))</f>
        <v>0</v>
      </c>
      <c r="S799" s="185">
        <f t="shared" ref="S799" si="3186">IF(S783=0,0,S783-IF(S$2=1,S784,R789+R797))</f>
        <v>0</v>
      </c>
      <c r="T799" s="185">
        <f t="shared" ref="T799" si="3187">IF(T783=0,0,T783-IF(T$2=1,T784,S789+S797))</f>
        <v>0</v>
      </c>
      <c r="U799" s="185">
        <f t="shared" ref="U799" si="3188">IF(U783=0,0,U783-IF(U$2=1,U784,T789+T797))</f>
        <v>0</v>
      </c>
      <c r="V799" s="185">
        <f t="shared" ref="V799" si="3189">IF(V783=0,0,V783-IF(V$2=1,V784,U789+U797))</f>
        <v>0</v>
      </c>
      <c r="W799" s="185">
        <f t="shared" ref="W799" si="3190">IF(W783=0,0,W783-IF(W$2=1,W784,V789+V797))</f>
        <v>0</v>
      </c>
      <c r="X799" s="185">
        <f t="shared" ref="X799" si="3191">IF(X783=0,0,X783-IF(X$2=1,X784,W789+W797))</f>
        <v>0</v>
      </c>
      <c r="Y799" s="185">
        <f t="shared" ref="Y799" si="3192">IF(Y783=0,0,Y783-IF(Y$2=1,Y784,X789+X797))</f>
        <v>0</v>
      </c>
      <c r="Z799" s="185">
        <f t="shared" ref="Z799" si="3193">IF(Z783=0,0,Z783-IF(Z$2=1,Z784,Y789+Y797))</f>
        <v>0</v>
      </c>
      <c r="AA799" s="185">
        <f t="shared" ref="AA799" si="3194">IF(AA783=0,0,AA783-IF(AA$2=1,AA784,Z789+Z797))</f>
        <v>0</v>
      </c>
      <c r="AB799" s="185">
        <f t="shared" ref="AB799" si="3195">IF(AB783=0,0,AB783-IF(AB$2=1,AB784,AA789+AA797))</f>
        <v>0</v>
      </c>
      <c r="AC799" s="185">
        <f t="shared" ref="AC799" si="3196">IF(AC783=0,0,AC783-IF(AC$2=1,AC784,AB789+AB797))</f>
        <v>0</v>
      </c>
      <c r="AD799" s="185">
        <f t="shared" ref="AD799" si="3197">IF(AD783=0,0,AD783-IF(AD$2=1,AD784,AC789+AC797))</f>
        <v>0</v>
      </c>
      <c r="AE799" s="185">
        <f t="shared" ref="AE799" si="3198">IF(AE783=0,0,AE783-IF(AE$2=1,AE784,AD789+AD797))</f>
        <v>0</v>
      </c>
      <c r="AF799" s="185">
        <f t="shared" ref="AF799" si="3199">IF(AF783=0,0,AF783-IF(AF$2=1,AF784,AE789+AE797))</f>
        <v>0</v>
      </c>
      <c r="AG799" s="185">
        <f t="shared" ref="AG799" si="3200">IF(AG783=0,0,AG783-IF(AG$2=1,AG784,AF789+AF797))</f>
        <v>0</v>
      </c>
      <c r="AH799" s="185">
        <f t="shared" ref="AH799" si="3201">IF(AH783=0,0,AH783-IF(AH$2=1,AH784,AG789+AG797))</f>
        <v>0</v>
      </c>
      <c r="AI799" s="185">
        <f t="shared" ref="AI799" si="3202">IF(AI783=0,0,AI783-IF(AI$2=1,AI784,AH789+AH797))</f>
        <v>0</v>
      </c>
      <c r="AJ799" s="185">
        <f t="shared" ref="AJ799" si="3203">IF(AJ783=0,0,AJ783-IF(AJ$2=1,AJ784,AI789+AI797))</f>
        <v>0</v>
      </c>
      <c r="AK799" s="185">
        <f t="shared" ref="AK799" si="3204">IF(AK783=0,0,AK783-IF(AK$2=1,AK784,AJ789+AJ797))</f>
        <v>0</v>
      </c>
      <c r="AL799" s="185">
        <f t="shared" ref="AL799" si="3205">IF(AL783=0,0,AL783-IF(AL$2=1,AL784,AK789+AK797))</f>
        <v>0</v>
      </c>
      <c r="AM799" s="185">
        <f t="shared" ref="AM799" si="3206">IF(AM783=0,0,AM783-IF(AM$2=1,AM784,AL789+AL797))</f>
        <v>0</v>
      </c>
      <c r="AN799" s="185">
        <f t="shared" ref="AN799" si="3207">IF(AN783=0,0,AN783-IF(AN$2=1,AN784,AM789+AM797))</f>
        <v>0</v>
      </c>
      <c r="AO799" s="185">
        <f t="shared" ref="AO799" si="3208">IF(AO783=0,0,AO783-IF(AO$2=1,AO784,AN789+AN797))</f>
        <v>0</v>
      </c>
      <c r="AP799" s="185">
        <f t="shared" ref="AP799" si="3209">IF(AP783=0,0,AP783-IF(AP$2=1,AP784,AO789+AO797))</f>
        <v>0</v>
      </c>
      <c r="AQ799" s="185">
        <f t="shared" ref="AQ799" si="3210">IF(AQ783=0,0,AQ783-IF(AQ$2=1,AQ784,AP789+AP797))</f>
        <v>0</v>
      </c>
      <c r="AR799" s="185">
        <f t="shared" ref="AR799" si="3211">IF(AR783=0,0,AR783-IF(AR$2=1,AR784,AQ789+AQ797))</f>
        <v>0</v>
      </c>
      <c r="AS799" s="185">
        <f t="shared" ref="AS799" si="3212">IF(AS783=0,0,AS783-IF(AS$2=1,AS784,AR789+AR797))</f>
        <v>0</v>
      </c>
      <c r="AT799" s="185">
        <f t="shared" ref="AT799" si="3213">IF(AT783=0,0,AT783-IF(AT$2=1,AT784,AS789+AS797))</f>
        <v>0</v>
      </c>
      <c r="AU799" s="185">
        <f t="shared" ref="AU799" si="3214">IF(AU783=0,0,AU783-IF(AU$2=1,AU784,AT789+AT797))</f>
        <v>0</v>
      </c>
      <c r="AV799" s="185">
        <f t="shared" ref="AV799" si="3215">IF(AV783=0,0,AV783-IF(AV$2=1,AV784,AU789+AU797))</f>
        <v>0</v>
      </c>
      <c r="AW799" s="185">
        <f t="shared" ref="AW799" si="3216">IF(AW783=0,0,AW783-IF(AW$2=1,AW784,AV789+AV797))</f>
        <v>0</v>
      </c>
      <c r="AX799" s="185">
        <f t="shared" ref="AX799" si="3217">IF(AX783=0,0,AX783-IF(AX$2=1,AX784,AW789+AW797))</f>
        <v>0</v>
      </c>
      <c r="AY799" s="185">
        <f t="shared" ref="AY799" si="3218">IF(AY783=0,0,AY783-IF(AY$2=1,AY784,AX789+AX797))</f>
        <v>0</v>
      </c>
      <c r="AZ799" s="185">
        <f t="shared" ref="AZ799" si="3219">IF(AZ783=0,0,AZ783-IF(AZ$2=1,AZ784,AY789+AY797))</f>
        <v>0</v>
      </c>
      <c r="BA799" s="185">
        <f t="shared" ref="BA799" si="3220">IF(BA783=0,0,BA783-IF(BA$2=1,BA784,AZ789+AZ797))</f>
        <v>0</v>
      </c>
      <c r="BB799" s="185">
        <f t="shared" ref="BB799" si="3221">IF(BB783=0,0,BB783-IF(BB$2=1,BB784,BA789+BA797))</f>
        <v>0</v>
      </c>
      <c r="BC799" s="185"/>
      <c r="BD799" s="193">
        <f>SUM(G799:BC799)</f>
        <v>0</v>
      </c>
    </row>
    <row r="800" spans="1:56" hidden="1" outlineLevel="1" x14ac:dyDescent="0.3">
      <c r="A800" s="184" t="str">
        <f ca="1">Language!A$895</f>
        <v>НДС к выручке от продажи актива</v>
      </c>
      <c r="B800" s="216"/>
      <c r="C800" s="163" t="str">
        <f t="shared" ca="1" si="3122"/>
        <v>руб.</v>
      </c>
      <c r="D800" s="174">
        <v>1</v>
      </c>
      <c r="E800" s="170" t="s">
        <v>764</v>
      </c>
      <c r="F800" s="170" t="s">
        <v>740</v>
      </c>
      <c r="G800" s="185">
        <f t="shared" ref="G800:BB800" si="3222">G783*G782</f>
        <v>0</v>
      </c>
      <c r="H800" s="185">
        <f t="shared" si="3222"/>
        <v>0</v>
      </c>
      <c r="I800" s="185">
        <f t="shared" si="3222"/>
        <v>0</v>
      </c>
      <c r="J800" s="185">
        <f t="shared" si="3222"/>
        <v>0</v>
      </c>
      <c r="K800" s="185">
        <f t="shared" si="3222"/>
        <v>0</v>
      </c>
      <c r="L800" s="185">
        <f t="shared" si="3222"/>
        <v>0</v>
      </c>
      <c r="M800" s="185">
        <f t="shared" si="3222"/>
        <v>0</v>
      </c>
      <c r="N800" s="185">
        <f t="shared" si="3222"/>
        <v>0</v>
      </c>
      <c r="O800" s="185">
        <f t="shared" si="3222"/>
        <v>0</v>
      </c>
      <c r="P800" s="185">
        <f t="shared" si="3222"/>
        <v>0</v>
      </c>
      <c r="Q800" s="185">
        <f t="shared" si="3222"/>
        <v>0</v>
      </c>
      <c r="R800" s="185">
        <f t="shared" si="3222"/>
        <v>0</v>
      </c>
      <c r="S800" s="185">
        <f t="shared" si="3222"/>
        <v>0</v>
      </c>
      <c r="T800" s="185">
        <f t="shared" si="3222"/>
        <v>0</v>
      </c>
      <c r="U800" s="185">
        <f t="shared" si="3222"/>
        <v>0</v>
      </c>
      <c r="V800" s="185">
        <f t="shared" si="3222"/>
        <v>0</v>
      </c>
      <c r="W800" s="185">
        <f t="shared" si="3222"/>
        <v>0</v>
      </c>
      <c r="X800" s="185">
        <f t="shared" si="3222"/>
        <v>0</v>
      </c>
      <c r="Y800" s="185">
        <f t="shared" si="3222"/>
        <v>0</v>
      </c>
      <c r="Z800" s="185">
        <f t="shared" si="3222"/>
        <v>0</v>
      </c>
      <c r="AA800" s="185">
        <f t="shared" si="3222"/>
        <v>0</v>
      </c>
      <c r="AB800" s="185">
        <f t="shared" si="3222"/>
        <v>0</v>
      </c>
      <c r="AC800" s="185">
        <f t="shared" si="3222"/>
        <v>0</v>
      </c>
      <c r="AD800" s="185">
        <f t="shared" si="3222"/>
        <v>0</v>
      </c>
      <c r="AE800" s="185">
        <f t="shared" si="3222"/>
        <v>0</v>
      </c>
      <c r="AF800" s="185">
        <f t="shared" si="3222"/>
        <v>0</v>
      </c>
      <c r="AG800" s="185">
        <f t="shared" si="3222"/>
        <v>0</v>
      </c>
      <c r="AH800" s="185">
        <f t="shared" si="3222"/>
        <v>0</v>
      </c>
      <c r="AI800" s="185">
        <f t="shared" si="3222"/>
        <v>0</v>
      </c>
      <c r="AJ800" s="185">
        <f t="shared" si="3222"/>
        <v>0</v>
      </c>
      <c r="AK800" s="185">
        <f t="shared" si="3222"/>
        <v>0</v>
      </c>
      <c r="AL800" s="185">
        <f t="shared" si="3222"/>
        <v>0</v>
      </c>
      <c r="AM800" s="185">
        <f t="shared" si="3222"/>
        <v>0</v>
      </c>
      <c r="AN800" s="185">
        <f t="shared" si="3222"/>
        <v>0</v>
      </c>
      <c r="AO800" s="185">
        <f t="shared" si="3222"/>
        <v>0</v>
      </c>
      <c r="AP800" s="185">
        <f t="shared" si="3222"/>
        <v>0</v>
      </c>
      <c r="AQ800" s="185">
        <f t="shared" si="3222"/>
        <v>0</v>
      </c>
      <c r="AR800" s="185">
        <f t="shared" si="3222"/>
        <v>0</v>
      </c>
      <c r="AS800" s="185">
        <f t="shared" si="3222"/>
        <v>0</v>
      </c>
      <c r="AT800" s="185">
        <f t="shared" si="3222"/>
        <v>0</v>
      </c>
      <c r="AU800" s="185">
        <f t="shared" si="3222"/>
        <v>0</v>
      </c>
      <c r="AV800" s="185">
        <f t="shared" si="3222"/>
        <v>0</v>
      </c>
      <c r="AW800" s="185">
        <f t="shared" si="3222"/>
        <v>0</v>
      </c>
      <c r="AX800" s="185">
        <f t="shared" si="3222"/>
        <v>0</v>
      </c>
      <c r="AY800" s="185">
        <f t="shared" si="3222"/>
        <v>0</v>
      </c>
      <c r="AZ800" s="185">
        <f t="shared" si="3222"/>
        <v>0</v>
      </c>
      <c r="BA800" s="185">
        <f t="shared" si="3222"/>
        <v>0</v>
      </c>
      <c r="BB800" s="185">
        <f t="shared" si="3222"/>
        <v>0</v>
      </c>
      <c r="BC800" s="185"/>
      <c r="BD800" s="193">
        <f>SUM(G800:BC800)</f>
        <v>0</v>
      </c>
    </row>
    <row r="801" spans="1:56" hidden="1" outlineLevel="1" x14ac:dyDescent="0.3">
      <c r="A801" s="184" t="str">
        <f ca="1">Language!A$896</f>
        <v>курсовые разницы</v>
      </c>
      <c r="B801" s="216"/>
      <c r="C801" s="163" t="str">
        <f t="shared" ca="1" si="3122"/>
        <v>руб.</v>
      </c>
      <c r="D801" s="174">
        <v>1</v>
      </c>
      <c r="E801" s="170" t="s">
        <v>1278</v>
      </c>
      <c r="F801" s="170" t="s">
        <v>740</v>
      </c>
      <c r="G801" s="185">
        <f>-(SUM($G784:G784)+$B786-G789+G790-G791-SUM($G788:G788)+IF(G$2=1,0,SUM($F801:F801)))</f>
        <v>0</v>
      </c>
      <c r="H801" s="185">
        <f>-(SUM($G784:H784)+$B786-H789+H790-H791-SUM($G788:H788)+IF(H$2=1,0,SUM($F801:G801)))</f>
        <v>0</v>
      </c>
      <c r="I801" s="185">
        <f>-(SUM($G784:I784)+$B786-I789+I790-I791-SUM($G788:I788)+IF(I$2=1,0,SUM($F801:H801)))</f>
        <v>0</v>
      </c>
      <c r="J801" s="185">
        <f>-(SUM($G784:J784)+$B786-J789+J790-J791-SUM($G788:J788)+IF(J$2=1,0,SUM($F801:I801)))</f>
        <v>0</v>
      </c>
      <c r="K801" s="185">
        <f>-(SUM($G784:K784)+$B786-K789+K790-K791-SUM($G788:K788)+IF(K$2=1,0,SUM($F801:J801)))</f>
        <v>0</v>
      </c>
      <c r="L801" s="185">
        <f>-(SUM($G784:L784)+$B786-L789+L790-L791-SUM($G788:L788)+IF(L$2=1,0,SUM($F801:K801)))</f>
        <v>0</v>
      </c>
      <c r="M801" s="185">
        <f>-(SUM($G784:M784)+$B786-M789+M790-M791-SUM($G788:M788)+IF(M$2=1,0,SUM($F801:L801)))</f>
        <v>0</v>
      </c>
      <c r="N801" s="185">
        <f>-(SUM($G784:N784)+$B786-N789+N790-N791-SUM($G788:N788)+IF(N$2=1,0,SUM($F801:M801)))</f>
        <v>0</v>
      </c>
      <c r="O801" s="185">
        <f>-(SUM($G784:O784)+$B786-O789+O790-O791-SUM($G788:O788)+IF(O$2=1,0,SUM($F801:N801)))</f>
        <v>0</v>
      </c>
      <c r="P801" s="185">
        <f>-(SUM($G784:P784)+$B786-P789+P790-P791-SUM($G788:P788)+IF(P$2=1,0,SUM($F801:O801)))</f>
        <v>0</v>
      </c>
      <c r="Q801" s="185">
        <f>-(SUM($G784:Q784)+$B786-Q789+Q790-Q791-SUM($G788:Q788)+IF(Q$2=1,0,SUM($F801:P801)))</f>
        <v>0</v>
      </c>
      <c r="R801" s="185">
        <f>-(SUM($G784:R784)+$B786-R789+R790-R791-SUM($G788:R788)+IF(R$2=1,0,SUM($F801:Q801)))</f>
        <v>0</v>
      </c>
      <c r="S801" s="185">
        <f>-(SUM($G784:S784)+$B786-S789+S790-S791-SUM($G788:S788)+IF(S$2=1,0,SUM($F801:R801)))</f>
        <v>0</v>
      </c>
      <c r="T801" s="185">
        <f>-(SUM($G784:T784)+$B786-T789+T790-T791-SUM($G788:T788)+IF(T$2=1,0,SUM($F801:S801)))</f>
        <v>0</v>
      </c>
      <c r="U801" s="185">
        <f>-(SUM($G784:U784)+$B786-U789+U790-U791-SUM($G788:U788)+IF(U$2=1,0,SUM($F801:T801)))</f>
        <v>0</v>
      </c>
      <c r="V801" s="185">
        <f>-(SUM($G784:V784)+$B786-V789+V790-V791-SUM($G788:V788)+IF(V$2=1,0,SUM($F801:U801)))</f>
        <v>0</v>
      </c>
      <c r="W801" s="185">
        <f>-(SUM($G784:W784)+$B786-W789+W790-W791-SUM($G788:W788)+IF(W$2=1,0,SUM($F801:V801)))</f>
        <v>0</v>
      </c>
      <c r="X801" s="185">
        <f>-(SUM($G784:X784)+$B786-X789+X790-X791-SUM($G788:X788)+IF(X$2=1,0,SUM($F801:W801)))</f>
        <v>0</v>
      </c>
      <c r="Y801" s="185">
        <f>-(SUM($G784:Y784)+$B786-Y789+Y790-Y791-SUM($G788:Y788)+IF(Y$2=1,0,SUM($F801:X801)))</f>
        <v>0</v>
      </c>
      <c r="Z801" s="185">
        <f>-(SUM($G784:Z784)+$B786-Z789+Z790-Z791-SUM($G788:Z788)+IF(Z$2=1,0,SUM($F801:Y801)))</f>
        <v>0</v>
      </c>
      <c r="AA801" s="185">
        <f>-(SUM($G784:AA784)+$B786-AA789+AA790-AA791-SUM($G788:AA788)+IF(AA$2=1,0,SUM($F801:Z801)))</f>
        <v>0</v>
      </c>
      <c r="AB801" s="185">
        <f>-(SUM($G784:AB784)+$B786-AB789+AB790-AB791-SUM($G788:AB788)+IF(AB$2=1,0,SUM($F801:AA801)))</f>
        <v>0</v>
      </c>
      <c r="AC801" s="185">
        <f>-(SUM($G784:AC784)+$B786-AC789+AC790-AC791-SUM($G788:AC788)+IF(AC$2=1,0,SUM($F801:AB801)))</f>
        <v>0</v>
      </c>
      <c r="AD801" s="185">
        <f>-(SUM($G784:AD784)+$B786-AD789+AD790-AD791-SUM($G788:AD788)+IF(AD$2=1,0,SUM($F801:AC801)))</f>
        <v>0</v>
      </c>
      <c r="AE801" s="185">
        <f>-(SUM($G784:AE784)+$B786-AE789+AE790-AE791-SUM($G788:AE788)+IF(AE$2=1,0,SUM($F801:AD801)))</f>
        <v>0</v>
      </c>
      <c r="AF801" s="185">
        <f>-(SUM($G784:AF784)+$B786-AF789+AF790-AF791-SUM($G788:AF788)+IF(AF$2=1,0,SUM($F801:AE801)))</f>
        <v>0</v>
      </c>
      <c r="AG801" s="185">
        <f>-(SUM($G784:AG784)+$B786-AG789+AG790-AG791-SUM($G788:AG788)+IF(AG$2=1,0,SUM($F801:AF801)))</f>
        <v>0</v>
      </c>
      <c r="AH801" s="185">
        <f>-(SUM($G784:AH784)+$B786-AH789+AH790-AH791-SUM($G788:AH788)+IF(AH$2=1,0,SUM($F801:AG801)))</f>
        <v>0</v>
      </c>
      <c r="AI801" s="185">
        <f>-(SUM($G784:AI784)+$B786-AI789+AI790-AI791-SUM($G788:AI788)+IF(AI$2=1,0,SUM($F801:AH801)))</f>
        <v>0</v>
      </c>
      <c r="AJ801" s="185">
        <f>-(SUM($G784:AJ784)+$B786-AJ789+AJ790-AJ791-SUM($G788:AJ788)+IF(AJ$2=1,0,SUM($F801:AI801)))</f>
        <v>0</v>
      </c>
      <c r="AK801" s="185">
        <f>-(SUM($G784:AK784)+$B786-AK789+AK790-AK791-SUM($G788:AK788)+IF(AK$2=1,0,SUM($F801:AJ801)))</f>
        <v>0</v>
      </c>
      <c r="AL801" s="185">
        <f>-(SUM($G784:AL784)+$B786-AL789+AL790-AL791-SUM($G788:AL788)+IF(AL$2=1,0,SUM($F801:AK801)))</f>
        <v>0</v>
      </c>
      <c r="AM801" s="185">
        <f>-(SUM($G784:AM784)+$B786-AM789+AM790-AM791-SUM($G788:AM788)+IF(AM$2=1,0,SUM($F801:AL801)))</f>
        <v>0</v>
      </c>
      <c r="AN801" s="185">
        <f>-(SUM($G784:AN784)+$B786-AN789+AN790-AN791-SUM($G788:AN788)+IF(AN$2=1,0,SUM($F801:AM801)))</f>
        <v>0</v>
      </c>
      <c r="AO801" s="185">
        <f>-(SUM($G784:AO784)+$B786-AO789+AO790-AO791-SUM($G788:AO788)+IF(AO$2=1,0,SUM($F801:AN801)))</f>
        <v>0</v>
      </c>
      <c r="AP801" s="185">
        <f>-(SUM($G784:AP784)+$B786-AP789+AP790-AP791-SUM($G788:AP788)+IF(AP$2=1,0,SUM($F801:AO801)))</f>
        <v>0</v>
      </c>
      <c r="AQ801" s="185">
        <f>-(SUM($G784:AQ784)+$B786-AQ789+AQ790-AQ791-SUM($G788:AQ788)+IF(AQ$2=1,0,SUM($F801:AP801)))</f>
        <v>0</v>
      </c>
      <c r="AR801" s="185">
        <f>-(SUM($G784:AR784)+$B786-AR789+AR790-AR791-SUM($G788:AR788)+IF(AR$2=1,0,SUM($F801:AQ801)))</f>
        <v>0</v>
      </c>
      <c r="AS801" s="185">
        <f>-(SUM($G784:AS784)+$B786-AS789+AS790-AS791-SUM($G788:AS788)+IF(AS$2=1,0,SUM($F801:AR801)))</f>
        <v>0</v>
      </c>
      <c r="AT801" s="185">
        <f>-(SUM($G784:AT784)+$B786-AT789+AT790-AT791-SUM($G788:AT788)+IF(AT$2=1,0,SUM($F801:AS801)))</f>
        <v>0</v>
      </c>
      <c r="AU801" s="185">
        <f>-(SUM($G784:AU784)+$B786-AU789+AU790-AU791-SUM($G788:AU788)+IF(AU$2=1,0,SUM($F801:AT801)))</f>
        <v>0</v>
      </c>
      <c r="AV801" s="185">
        <f>-(SUM($G784:AV784)+$B786-AV789+AV790-AV791-SUM($G788:AV788)+IF(AV$2=1,0,SUM($F801:AU801)))</f>
        <v>0</v>
      </c>
      <c r="AW801" s="185">
        <f>-(SUM($G784:AW784)+$B786-AW789+AW790-AW791-SUM($G788:AW788)+IF(AW$2=1,0,SUM($F801:AV801)))</f>
        <v>0</v>
      </c>
      <c r="AX801" s="185">
        <f>-(SUM($G784:AX784)+$B786-AX789+AX790-AX791-SUM($G788:AX788)+IF(AX$2=1,0,SUM($F801:AW801)))</f>
        <v>0</v>
      </c>
      <c r="AY801" s="185">
        <f>-(SUM($G784:AY784)+$B786-AY789+AY790-AY791-SUM($G788:AY788)+IF(AY$2=1,0,SUM($F801:AX801)))</f>
        <v>0</v>
      </c>
      <c r="AZ801" s="185">
        <f>-(SUM($G784:AZ784)+$B786-AZ789+AZ790-AZ791-SUM($G788:AZ788)+IF(AZ$2=1,0,SUM($F801:AY801)))</f>
        <v>0</v>
      </c>
      <c r="BA801" s="185">
        <f>-(SUM($G784:BA784)+$B786-BA789+BA790-BA791-SUM($G788:BA788)+IF(BA$2=1,0,SUM($F801:AZ801)))</f>
        <v>0</v>
      </c>
      <c r="BB801" s="185">
        <f>-(SUM($G784:BB784)+$B786-BB789+BB790-BB791-SUM($G788:BB788)+IF(BB$2=1,0,SUM($F801:BA801)))</f>
        <v>0</v>
      </c>
      <c r="BC801" s="185"/>
      <c r="BD801" s="193">
        <f>SUM(G801:BC801)</f>
        <v>0</v>
      </c>
    </row>
    <row r="802" spans="1:56" x14ac:dyDescent="0.3">
      <c r="A802" s="283" t="s">
        <v>3498</v>
      </c>
      <c r="C802" s="176"/>
      <c r="D802" s="174">
        <v>1</v>
      </c>
      <c r="F802" s="170" t="s">
        <v>3499</v>
      </c>
    </row>
    <row r="803" spans="1:56" collapsed="1" x14ac:dyDescent="0.3">
      <c r="A803" s="175" t="str">
        <f ca="1">Language!A$874</f>
        <v>график оплаты, без НДС</v>
      </c>
      <c r="B803" s="199">
        <f>BD803</f>
        <v>75000000</v>
      </c>
      <c r="C803" s="176" t="str">
        <f t="shared" ref="C803:C805" ca="1" si="3223">CHOOSE(D803,CurName1,CurName2,CurName3)</f>
        <v>руб.</v>
      </c>
      <c r="D803" s="174">
        <f>D802</f>
        <v>1</v>
      </c>
      <c r="F803" s="170" t="s">
        <v>740</v>
      </c>
      <c r="G803" s="297">
        <v>0</v>
      </c>
      <c r="H803" s="297">
        <v>0</v>
      </c>
      <c r="I803" s="297">
        <v>75000000</v>
      </c>
      <c r="J803" s="297">
        <v>0</v>
      </c>
      <c r="K803" s="297">
        <v>0</v>
      </c>
      <c r="L803" s="297">
        <v>0</v>
      </c>
      <c r="M803" s="297">
        <v>0</v>
      </c>
      <c r="N803" s="297">
        <v>0</v>
      </c>
      <c r="O803" s="297">
        <v>0</v>
      </c>
      <c r="P803" s="297">
        <v>0</v>
      </c>
      <c r="Q803" s="297">
        <v>0</v>
      </c>
      <c r="R803" s="297">
        <v>0</v>
      </c>
      <c r="S803" s="297">
        <v>0</v>
      </c>
      <c r="T803" s="297">
        <v>0</v>
      </c>
      <c r="U803" s="297">
        <v>0</v>
      </c>
      <c r="V803" s="297">
        <v>0</v>
      </c>
      <c r="W803" s="297">
        <v>0</v>
      </c>
      <c r="X803" s="297">
        <v>0</v>
      </c>
      <c r="Y803" s="297">
        <v>0</v>
      </c>
      <c r="Z803" s="297">
        <v>0</v>
      </c>
      <c r="AA803" s="297">
        <v>0</v>
      </c>
      <c r="AB803" s="297">
        <v>0</v>
      </c>
      <c r="AC803" s="297">
        <v>0</v>
      </c>
      <c r="AD803" s="297">
        <v>0</v>
      </c>
      <c r="AE803" s="297">
        <v>0</v>
      </c>
      <c r="AF803" s="297">
        <v>0</v>
      </c>
      <c r="AG803" s="297">
        <v>0</v>
      </c>
      <c r="AH803" s="297">
        <v>0</v>
      </c>
      <c r="AI803" s="297">
        <v>0</v>
      </c>
      <c r="AJ803" s="297">
        <v>0</v>
      </c>
      <c r="AK803" s="297">
        <v>0</v>
      </c>
      <c r="AL803" s="297">
        <v>0</v>
      </c>
      <c r="AM803" s="297">
        <v>0</v>
      </c>
      <c r="AN803" s="297">
        <v>0</v>
      </c>
      <c r="AO803" s="297">
        <v>0</v>
      </c>
      <c r="AP803" s="297">
        <v>0</v>
      </c>
      <c r="AQ803" s="297">
        <v>0</v>
      </c>
      <c r="AR803" s="297">
        <v>0</v>
      </c>
      <c r="AS803" s="297">
        <v>0</v>
      </c>
      <c r="AT803" s="297">
        <v>0</v>
      </c>
      <c r="AU803" s="297">
        <v>0</v>
      </c>
      <c r="AV803" s="297">
        <v>0</v>
      </c>
      <c r="AW803" s="297">
        <v>0</v>
      </c>
      <c r="AX803" s="297">
        <v>0</v>
      </c>
      <c r="AY803" s="297">
        <v>0</v>
      </c>
      <c r="AZ803" s="297">
        <v>0</v>
      </c>
      <c r="BA803" s="297">
        <v>0</v>
      </c>
      <c r="BB803" s="297">
        <v>0</v>
      </c>
      <c r="BC803" s="177"/>
      <c r="BD803" s="178">
        <f>SUM(G803:BC803)</f>
        <v>75000000</v>
      </c>
    </row>
    <row r="804" spans="1:56" hidden="1" outlineLevel="1" x14ac:dyDescent="0.3">
      <c r="A804" s="175" t="str">
        <f ca="1">Language!A$875</f>
        <v>ранее осуществленные инвестиции, без НДС</v>
      </c>
      <c r="B804" s="295">
        <v>0</v>
      </c>
      <c r="C804" s="176" t="str">
        <f t="shared" ca="1" si="3223"/>
        <v>руб.</v>
      </c>
      <c r="D804" s="174">
        <f>D802</f>
        <v>1</v>
      </c>
    </row>
    <row r="805" spans="1:56" hidden="1" outlineLevel="1" x14ac:dyDescent="0.3">
      <c r="A805" s="175" t="str">
        <f ca="1">Language!A$876</f>
        <v>график ввода в эксплуатацию, без НДС</v>
      </c>
      <c r="B805" s="176"/>
      <c r="C805" s="176" t="str">
        <f t="shared" ca="1" si="3223"/>
        <v>руб.</v>
      </c>
      <c r="D805" s="174">
        <f>D802</f>
        <v>1</v>
      </c>
      <c r="F805" s="170" t="s">
        <v>740</v>
      </c>
      <c r="G805" s="297">
        <f>IF(G$2&gt;=ROUNDUP(Параметры!$B$18,0)+1,MAX(0,$BD803+$B804-SUM($F805:F805)),0)</f>
        <v>0</v>
      </c>
      <c r="H805" s="297">
        <f>IF(H$2&gt;=ROUNDUP(Параметры!$B$18,0)+1,MAX(0,$BD803+$B804-SUM($F805:G805)),0)</f>
        <v>0</v>
      </c>
      <c r="I805" s="297">
        <f>IF(I$2&gt;=ROUNDUP(Параметры!$B$18,0)+1,MAX(0,$BD803+$B804-SUM($F805:H805)),0)</f>
        <v>0</v>
      </c>
      <c r="J805" s="297">
        <f>IF(J$2&gt;=ROUNDUP(Параметры!$B$18,0)+1,MAX(0,$BD803+$B804-SUM($F805:I805)),0)</f>
        <v>0</v>
      </c>
      <c r="K805" s="297">
        <f>IF(K$2&gt;=ROUNDUP(Параметры!$B$18,0)+1,MAX(0,$BD803+$B804-SUM($F805:J805)),0)</f>
        <v>0</v>
      </c>
      <c r="L805" s="297">
        <f>IF(L$2&gt;=ROUNDUP(Параметры!$B$18,0)+1,MAX(0,$BD803+$B804-SUM($F805:K805)),0)</f>
        <v>0</v>
      </c>
      <c r="M805" s="297">
        <f>IF(M$2&gt;=ROUNDUP(Параметры!$B$18,0)+1,MAX(0,$BD803+$B804-SUM($F805:L805)),0)</f>
        <v>75000000</v>
      </c>
      <c r="N805" s="297">
        <f>IF(N$2&gt;=ROUNDUP(Параметры!$B$18,0)+1,MAX(0,$BD803+$B804-SUM($F805:M805)),0)</f>
        <v>0</v>
      </c>
      <c r="O805" s="297">
        <f>IF(O$2&gt;=ROUNDUP(Параметры!$B$18,0)+1,MAX(0,$BD803+$B804-SUM($F805:N805)),0)</f>
        <v>0</v>
      </c>
      <c r="P805" s="297">
        <f>IF(P$2&gt;=ROUNDUP(Параметры!$B$18,0)+1,MAX(0,$BD803+$B804-SUM($F805:O805)),0)</f>
        <v>0</v>
      </c>
      <c r="Q805" s="297">
        <f>IF(Q$2&gt;=ROUNDUP(Параметры!$B$18,0)+1,MAX(0,$BD803+$B804-SUM($F805:P805)),0)</f>
        <v>0</v>
      </c>
      <c r="R805" s="297">
        <f>IF(R$2&gt;=ROUNDUP(Параметры!$B$18,0)+1,MAX(0,$BD803+$B804-SUM($F805:Q805)),0)</f>
        <v>0</v>
      </c>
      <c r="S805" s="297">
        <f>IF(S$2&gt;=ROUNDUP(Параметры!$B$18,0)+1,MAX(0,$BD803+$B804-SUM($F805:R805)),0)</f>
        <v>0</v>
      </c>
      <c r="T805" s="297">
        <f>IF(T$2&gt;=ROUNDUP(Параметры!$B$18,0)+1,MAX(0,$BD803+$B804-SUM($F805:S805)),0)</f>
        <v>0</v>
      </c>
      <c r="U805" s="297">
        <f>IF(U$2&gt;=ROUNDUP(Параметры!$B$18,0)+1,MAX(0,$BD803+$B804-SUM($F805:T805)),0)</f>
        <v>0</v>
      </c>
      <c r="V805" s="297">
        <f>IF(V$2&gt;=ROUNDUP(Параметры!$B$18,0)+1,MAX(0,$BD803+$B804-SUM($F805:U805)),0)</f>
        <v>0</v>
      </c>
      <c r="W805" s="297">
        <f>IF(W$2&gt;=ROUNDUP(Параметры!$B$18,0)+1,MAX(0,$BD803+$B804-SUM($F805:V805)),0)</f>
        <v>0</v>
      </c>
      <c r="X805" s="297">
        <f>IF(X$2&gt;=ROUNDUP(Параметры!$B$18,0)+1,MAX(0,$BD803+$B804-SUM($F805:W805)),0)</f>
        <v>0</v>
      </c>
      <c r="Y805" s="297">
        <f>IF(Y$2&gt;=ROUNDUP(Параметры!$B$18,0)+1,MAX(0,$BD803+$B804-SUM($F805:X805)),0)</f>
        <v>0</v>
      </c>
      <c r="Z805" s="297">
        <f>IF(Z$2&gt;=ROUNDUP(Параметры!$B$18,0)+1,MAX(0,$BD803+$B804-SUM($F805:Y805)),0)</f>
        <v>0</v>
      </c>
      <c r="AA805" s="297">
        <f>IF(AA$2&gt;=ROUNDUP(Параметры!$B$18,0)+1,MAX(0,$BD803+$B804-SUM($F805:Z805)),0)</f>
        <v>0</v>
      </c>
      <c r="AB805" s="297">
        <f>IF(AB$2&gt;=ROUNDUP(Параметры!$B$18,0)+1,MAX(0,$BD803+$B804-SUM($F805:AA805)),0)</f>
        <v>0</v>
      </c>
      <c r="AC805" s="297">
        <f>IF(AC$2&gt;=ROUNDUP(Параметры!$B$18,0)+1,MAX(0,$BD803+$B804-SUM($F805:AB805)),0)</f>
        <v>0</v>
      </c>
      <c r="AD805" s="297">
        <f>IF(AD$2&gt;=ROUNDUP(Параметры!$B$18,0)+1,MAX(0,$BD803+$B804-SUM($F805:AC805)),0)</f>
        <v>0</v>
      </c>
      <c r="AE805" s="297">
        <f>IF(AE$2&gt;=ROUNDUP(Параметры!$B$18,0)+1,MAX(0,$BD803+$B804-SUM($F805:AD805)),0)</f>
        <v>0</v>
      </c>
      <c r="AF805" s="297">
        <f>IF(AF$2&gt;=ROUNDUP(Параметры!$B$18,0)+1,MAX(0,$BD803+$B804-SUM($F805:AE805)),0)</f>
        <v>0</v>
      </c>
      <c r="AG805" s="297">
        <f>IF(AG$2&gt;=ROUNDUP(Параметры!$B$18,0)+1,MAX(0,$BD803+$B804-SUM($F805:AF805)),0)</f>
        <v>0</v>
      </c>
      <c r="AH805" s="297">
        <f>IF(AH$2&gt;=ROUNDUP(Параметры!$B$18,0)+1,MAX(0,$BD803+$B804-SUM($F805:AG805)),0)</f>
        <v>0</v>
      </c>
      <c r="AI805" s="297">
        <f>IF(AI$2&gt;=ROUNDUP(Параметры!$B$18,0)+1,MAX(0,$BD803+$B804-SUM($F805:AH805)),0)</f>
        <v>0</v>
      </c>
      <c r="AJ805" s="297">
        <f>IF(AJ$2&gt;=ROUNDUP(Параметры!$B$18,0)+1,MAX(0,$BD803+$B804-SUM($F805:AI805)),0)</f>
        <v>0</v>
      </c>
      <c r="AK805" s="297">
        <f>IF(AK$2&gt;=ROUNDUP(Параметры!$B$18,0)+1,MAX(0,$BD803+$B804-SUM($F805:AJ805)),0)</f>
        <v>0</v>
      </c>
      <c r="AL805" s="297">
        <f>IF(AL$2&gt;=ROUNDUP(Параметры!$B$18,0)+1,MAX(0,$BD803+$B804-SUM($F805:AK805)),0)</f>
        <v>0</v>
      </c>
      <c r="AM805" s="297">
        <f>IF(AM$2&gt;=ROUNDUP(Параметры!$B$18,0)+1,MAX(0,$BD803+$B804-SUM($F805:AL805)),0)</f>
        <v>0</v>
      </c>
      <c r="AN805" s="297">
        <f>IF(AN$2&gt;=ROUNDUP(Параметры!$B$18,0)+1,MAX(0,$BD803+$B804-SUM($F805:AM805)),0)</f>
        <v>0</v>
      </c>
      <c r="AO805" s="297">
        <f>IF(AO$2&gt;=ROUNDUP(Параметры!$B$18,0)+1,MAX(0,$BD803+$B804-SUM($F805:AN805)),0)</f>
        <v>0</v>
      </c>
      <c r="AP805" s="297">
        <f>IF(AP$2&gt;=ROUNDUP(Параметры!$B$18,0)+1,MAX(0,$BD803+$B804-SUM($F805:AO805)),0)</f>
        <v>0</v>
      </c>
      <c r="AQ805" s="297">
        <f>IF(AQ$2&gt;=ROUNDUP(Параметры!$B$18,0)+1,MAX(0,$BD803+$B804-SUM($F805:AP805)),0)</f>
        <v>0</v>
      </c>
      <c r="AR805" s="297">
        <f>IF(AR$2&gt;=ROUNDUP(Параметры!$B$18,0)+1,MAX(0,$BD803+$B804-SUM($F805:AQ805)),0)</f>
        <v>0</v>
      </c>
      <c r="AS805" s="297">
        <f>IF(AS$2&gt;=ROUNDUP(Параметры!$B$18,0)+1,MAX(0,$BD803+$B804-SUM($F805:AR805)),0)</f>
        <v>0</v>
      </c>
      <c r="AT805" s="297">
        <f>IF(AT$2&gt;=ROUNDUP(Параметры!$B$18,0)+1,MAX(0,$BD803+$B804-SUM($F805:AS805)),0)</f>
        <v>0</v>
      </c>
      <c r="AU805" s="297">
        <f>IF(AU$2&gt;=ROUNDUP(Параметры!$B$18,0)+1,MAX(0,$BD803+$B804-SUM($F805:AT805)),0)</f>
        <v>0</v>
      </c>
      <c r="AV805" s="297">
        <f>IF(AV$2&gt;=ROUNDUP(Параметры!$B$18,0)+1,MAX(0,$BD803+$B804-SUM($F805:AU805)),0)</f>
        <v>0</v>
      </c>
      <c r="AW805" s="297">
        <f>IF(AW$2&gt;=ROUNDUP(Параметры!$B$18,0)+1,MAX(0,$BD803+$B804-SUM($F805:AV805)),0)</f>
        <v>0</v>
      </c>
      <c r="AX805" s="297">
        <f>IF(AX$2&gt;=ROUNDUP(Параметры!$B$18,0)+1,MAX(0,$BD803+$B804-SUM($F805:AW805)),0)</f>
        <v>0</v>
      </c>
      <c r="AY805" s="297">
        <f>IF(AY$2&gt;=ROUNDUP(Параметры!$B$18,0)+1,MAX(0,$BD803+$B804-SUM($F805:AX805)),0)</f>
        <v>0</v>
      </c>
      <c r="AZ805" s="297">
        <f>IF(AZ$2&gt;=ROUNDUP(Параметры!$B$18,0)+1,MAX(0,$BD803+$B804-SUM($F805:AY805)),0)</f>
        <v>0</v>
      </c>
      <c r="BA805" s="297">
        <f>IF(BA$2&gt;=ROUNDUP(Параметры!$B$18,0)+1,MAX(0,$BD803+$B804-SUM($F805:AZ805)),0)</f>
        <v>0</v>
      </c>
      <c r="BB805" s="297">
        <f>IF(BB$2&gt;=ROUNDUP(Параметры!$B$18,0)+1,MAX(0,$BD803+$B804-SUM($F805:BA805)),0)</f>
        <v>0</v>
      </c>
      <c r="BC805" s="177"/>
      <c r="BD805" s="178">
        <f>SUM(G805:BC805)</f>
        <v>75000000</v>
      </c>
    </row>
    <row r="806" spans="1:56" hidden="1" outlineLevel="1" x14ac:dyDescent="0.3">
      <c r="A806" s="175" t="str">
        <f ca="1">Language!A$877</f>
        <v xml:space="preserve">срок полезного использования </v>
      </c>
      <c r="B806" s="295">
        <v>30</v>
      </c>
      <c r="C806" s="176" t="str">
        <f ca="1">Language!A$48</f>
        <v>лет</v>
      </c>
      <c r="D806" s="174">
        <v>1</v>
      </c>
      <c r="G806" s="177"/>
      <c r="H806" s="177"/>
      <c r="I806" s="177"/>
      <c r="J806" s="177"/>
      <c r="K806" s="177"/>
      <c r="L806" s="177"/>
      <c r="M806" s="177"/>
      <c r="N806" s="177"/>
      <c r="O806" s="177"/>
      <c r="P806" s="177"/>
      <c r="Q806" s="177"/>
      <c r="R806" s="177"/>
      <c r="S806" s="177"/>
      <c r="T806" s="177"/>
      <c r="U806" s="177"/>
      <c r="V806" s="177"/>
      <c r="W806" s="177"/>
      <c r="X806" s="177"/>
      <c r="Y806" s="177"/>
      <c r="Z806" s="177"/>
      <c r="AA806" s="177"/>
      <c r="AB806" s="177"/>
      <c r="AC806" s="177"/>
      <c r="AD806" s="177"/>
      <c r="AE806" s="177"/>
      <c r="AF806" s="177"/>
      <c r="AG806" s="177"/>
      <c r="AH806" s="177"/>
      <c r="AI806" s="177"/>
      <c r="AJ806" s="177"/>
      <c r="AK806" s="177"/>
      <c r="AL806" s="177"/>
      <c r="AM806" s="177"/>
      <c r="AN806" s="177"/>
      <c r="AO806" s="177"/>
      <c r="AP806" s="177"/>
      <c r="AQ806" s="177"/>
      <c r="AR806" s="177"/>
      <c r="AS806" s="177"/>
      <c r="AT806" s="177"/>
      <c r="AU806" s="177"/>
      <c r="AV806" s="177"/>
      <c r="AW806" s="177"/>
      <c r="AX806" s="177"/>
      <c r="AY806" s="177"/>
      <c r="AZ806" s="177"/>
      <c r="BA806" s="177"/>
      <c r="BB806" s="177"/>
      <c r="BC806" s="177"/>
      <c r="BD806" s="178"/>
    </row>
    <row r="807" spans="1:56" s="170" customFormat="1" hidden="1" outlineLevel="1" x14ac:dyDescent="0.3">
      <c r="A807" s="184" t="str">
        <f ca="1">Language!A$878</f>
        <v>амортизационная премия для налоговой амортизации</v>
      </c>
      <c r="B807" s="298">
        <v>0</v>
      </c>
      <c r="C807" s="163" t="s">
        <v>1</v>
      </c>
      <c r="D807" s="174">
        <v>1</v>
      </c>
      <c r="F807" s="170" t="s">
        <v>2347</v>
      </c>
      <c r="G807" s="185"/>
      <c r="H807" s="185"/>
      <c r="I807" s="185"/>
      <c r="J807" s="185"/>
      <c r="K807" s="185"/>
      <c r="L807" s="185"/>
      <c r="M807" s="185"/>
      <c r="N807" s="185"/>
      <c r="O807" s="185"/>
      <c r="P807" s="185"/>
      <c r="Q807" s="185"/>
      <c r="R807" s="185"/>
      <c r="S807" s="185"/>
      <c r="T807" s="185"/>
      <c r="U807" s="185"/>
      <c r="V807" s="185"/>
      <c r="W807" s="185"/>
      <c r="X807" s="185"/>
      <c r="Y807" s="185"/>
      <c r="Z807" s="185"/>
      <c r="AA807" s="185"/>
      <c r="AB807" s="185"/>
      <c r="AC807" s="185"/>
      <c r="AD807" s="185"/>
      <c r="AE807" s="185"/>
      <c r="AF807" s="185"/>
      <c r="AG807" s="185"/>
      <c r="AH807" s="185"/>
      <c r="AI807" s="185"/>
      <c r="AJ807" s="185"/>
      <c r="AK807" s="185"/>
      <c r="AL807" s="185"/>
      <c r="AM807" s="185"/>
      <c r="AN807" s="185"/>
      <c r="AO807" s="185"/>
      <c r="AP807" s="185"/>
      <c r="AQ807" s="185"/>
      <c r="AR807" s="185"/>
      <c r="AS807" s="185"/>
      <c r="AT807" s="185"/>
      <c r="AU807" s="185"/>
      <c r="AV807" s="185"/>
      <c r="AW807" s="185"/>
      <c r="AX807" s="185"/>
      <c r="AY807" s="185"/>
      <c r="AZ807" s="185"/>
      <c r="BA807" s="185"/>
      <c r="BB807" s="185"/>
      <c r="BC807" s="185"/>
      <c r="BD807" s="193"/>
    </row>
    <row r="808" spans="1:56" s="170" customFormat="1" hidden="1" outlineLevel="1" x14ac:dyDescent="0.3">
      <c r="A808" s="184" t="str">
        <f ca="1">Language!A$879</f>
        <v>ставка НДС</v>
      </c>
      <c r="B808" s="203"/>
      <c r="C808" s="163" t="s">
        <v>1</v>
      </c>
      <c r="D808" s="174">
        <v>1</v>
      </c>
      <c r="F808" s="170" t="s">
        <v>2346</v>
      </c>
      <c r="G808" s="290">
        <f>IF(G$2=1,Параметры!G$72,IF(F808=Параметры!F$72,Параметры!F$72,F808))</f>
        <v>0</v>
      </c>
      <c r="H808" s="290">
        <f>IF(H$2=1,Параметры!H$72,IF(G808=Параметры!G$72,Параметры!G$72,G808))</f>
        <v>0</v>
      </c>
      <c r="I808" s="290">
        <f>IF(I$2=1,Параметры!I$72,IF(H808=Параметры!H$72,Параметры!H$72,H808))</f>
        <v>0</v>
      </c>
      <c r="J808" s="290">
        <f>IF(J$2=1,Параметры!J$72,IF(I808=Параметры!I$72,Параметры!I$72,I808))</f>
        <v>0</v>
      </c>
      <c r="K808" s="290">
        <f>IF(K$2=1,Параметры!K$72,IF(J808=Параметры!J$72,Параметры!J$72,J808))</f>
        <v>0</v>
      </c>
      <c r="L808" s="290">
        <f>IF(L$2=1,Параметры!L$72,IF(K808=Параметры!K$72,Параметры!K$72,K808))</f>
        <v>0</v>
      </c>
      <c r="M808" s="290">
        <f>IF(M$2=1,Параметры!M$72,IF(L808=Параметры!L$72,Параметры!L$72,L808))</f>
        <v>0</v>
      </c>
      <c r="N808" s="290">
        <f>IF(N$2=1,Параметры!N$72,IF(M808=Параметры!M$72,Параметры!M$72,M808))</f>
        <v>0</v>
      </c>
      <c r="O808" s="290">
        <f>IF(O$2=1,Параметры!O$72,IF(N808=Параметры!N$72,Параметры!N$72,N808))</f>
        <v>0</v>
      </c>
      <c r="P808" s="290">
        <f>IF(P$2=1,Параметры!P$72,IF(O808=Параметры!O$72,Параметры!O$72,O808))</f>
        <v>0</v>
      </c>
      <c r="Q808" s="290">
        <f>IF(Q$2=1,Параметры!Q$72,IF(P808=Параметры!P$72,Параметры!P$72,P808))</f>
        <v>0</v>
      </c>
      <c r="R808" s="290">
        <f>IF(R$2=1,Параметры!R$72,IF(Q808=Параметры!Q$72,Параметры!Q$72,Q808))</f>
        <v>0</v>
      </c>
      <c r="S808" s="290">
        <f>IF(S$2=1,Параметры!S$72,IF(R808=Параметры!R$72,Параметры!R$72,R808))</f>
        <v>0</v>
      </c>
      <c r="T808" s="290">
        <f>IF(T$2=1,Параметры!T$72,IF(S808=Параметры!S$72,Параметры!S$72,S808))</f>
        <v>0</v>
      </c>
      <c r="U808" s="290">
        <f>IF(U$2=1,Параметры!U$72,IF(T808=Параметры!T$72,Параметры!T$72,T808))</f>
        <v>0</v>
      </c>
      <c r="V808" s="290">
        <f>IF(V$2=1,Параметры!V$72,IF(U808=Параметры!U$72,Параметры!U$72,U808))</f>
        <v>0</v>
      </c>
      <c r="W808" s="290">
        <f>IF(W$2=1,Параметры!W$72,IF(V808=Параметры!V$72,Параметры!V$72,V808))</f>
        <v>0</v>
      </c>
      <c r="X808" s="290">
        <f>IF(X$2=1,Параметры!X$72,IF(W808=Параметры!W$72,Параметры!W$72,W808))</f>
        <v>0</v>
      </c>
      <c r="Y808" s="290">
        <f>IF(Y$2=1,Параметры!Y$72,IF(X808=Параметры!X$72,Параметры!X$72,X808))</f>
        <v>0</v>
      </c>
      <c r="Z808" s="290">
        <f>IF(Z$2=1,Параметры!Z$72,IF(Y808=Параметры!Y$72,Параметры!Y$72,Y808))</f>
        <v>0</v>
      </c>
      <c r="AA808" s="290">
        <f>IF(AA$2=1,Параметры!AA$72,IF(Z808=Параметры!Z$72,Параметры!Z$72,Z808))</f>
        <v>0</v>
      </c>
      <c r="AB808" s="290">
        <f>IF(AB$2=1,Параметры!AB$72,IF(AA808=Параметры!AA$72,Параметры!AA$72,AA808))</f>
        <v>0</v>
      </c>
      <c r="AC808" s="290">
        <f>IF(AC$2=1,Параметры!AC$72,IF(AB808=Параметры!AB$72,Параметры!AB$72,AB808))</f>
        <v>0</v>
      </c>
      <c r="AD808" s="290">
        <f>IF(AD$2=1,Параметры!AD$72,IF(AC808=Параметры!AC$72,Параметры!AC$72,AC808))</f>
        <v>0</v>
      </c>
      <c r="AE808" s="290">
        <f>IF(AE$2=1,Параметры!AE$72,IF(AD808=Параметры!AD$72,Параметры!AD$72,AD808))</f>
        <v>0</v>
      </c>
      <c r="AF808" s="290">
        <f>IF(AF$2=1,Параметры!AF$72,IF(AE808=Параметры!AE$72,Параметры!AE$72,AE808))</f>
        <v>0</v>
      </c>
      <c r="AG808" s="290">
        <f>IF(AG$2=1,Параметры!AG$72,IF(AF808=Параметры!AF$72,Параметры!AF$72,AF808))</f>
        <v>0</v>
      </c>
      <c r="AH808" s="290">
        <f>IF(AH$2=1,Параметры!AH$72,IF(AG808=Параметры!AG$72,Параметры!AG$72,AG808))</f>
        <v>0</v>
      </c>
      <c r="AI808" s="290">
        <f>IF(AI$2=1,Параметры!AI$72,IF(AH808=Параметры!AH$72,Параметры!AH$72,AH808))</f>
        <v>0</v>
      </c>
      <c r="AJ808" s="290">
        <f>IF(AJ$2=1,Параметры!AJ$72,IF(AI808=Параметры!AI$72,Параметры!AI$72,AI808))</f>
        <v>0</v>
      </c>
      <c r="AK808" s="290">
        <f>IF(AK$2=1,Параметры!AK$72,IF(AJ808=Параметры!AJ$72,Параметры!AJ$72,AJ808))</f>
        <v>0</v>
      </c>
      <c r="AL808" s="290">
        <f>IF(AL$2=1,Параметры!AL$72,IF(AK808=Параметры!AK$72,Параметры!AK$72,AK808))</f>
        <v>0</v>
      </c>
      <c r="AM808" s="290">
        <f>IF(AM$2=1,Параметры!AM$72,IF(AL808=Параметры!AL$72,Параметры!AL$72,AL808))</f>
        <v>0</v>
      </c>
      <c r="AN808" s="290">
        <f>IF(AN$2=1,Параметры!AN$72,IF(AM808=Параметры!AM$72,Параметры!AM$72,AM808))</f>
        <v>0</v>
      </c>
      <c r="AO808" s="290">
        <f>IF(AO$2=1,Параметры!AO$72,IF(AN808=Параметры!AN$72,Параметры!AN$72,AN808))</f>
        <v>0</v>
      </c>
      <c r="AP808" s="290">
        <f>IF(AP$2=1,Параметры!AP$72,IF(AO808=Параметры!AO$72,Параметры!AO$72,AO808))</f>
        <v>0</v>
      </c>
      <c r="AQ808" s="290">
        <f>IF(AQ$2=1,Параметры!AQ$72,IF(AP808=Параметры!AP$72,Параметры!AP$72,AP808))</f>
        <v>0</v>
      </c>
      <c r="AR808" s="290">
        <f>IF(AR$2=1,Параметры!AR$72,IF(AQ808=Параметры!AQ$72,Параметры!AQ$72,AQ808))</f>
        <v>0</v>
      </c>
      <c r="AS808" s="290">
        <f>IF(AS$2=1,Параметры!AS$72,IF(AR808=Параметры!AR$72,Параметры!AR$72,AR808))</f>
        <v>0</v>
      </c>
      <c r="AT808" s="290">
        <f>IF(AT$2=1,Параметры!AT$72,IF(AS808=Параметры!AS$72,Параметры!AS$72,AS808))</f>
        <v>0</v>
      </c>
      <c r="AU808" s="290">
        <f>IF(AU$2=1,Параметры!AU$72,IF(AT808=Параметры!AT$72,Параметры!AT$72,AT808))</f>
        <v>0</v>
      </c>
      <c r="AV808" s="290">
        <f>IF(AV$2=1,Параметры!AV$72,IF(AU808=Параметры!AU$72,Параметры!AU$72,AU808))</f>
        <v>0</v>
      </c>
      <c r="AW808" s="290">
        <f>IF(AW$2=1,Параметры!AW$72,IF(AV808=Параметры!AV$72,Параметры!AV$72,AV808))</f>
        <v>0</v>
      </c>
      <c r="AX808" s="290">
        <f>IF(AX$2=1,Параметры!AX$72,IF(AW808=Параметры!AW$72,Параметры!AW$72,AW808))</f>
        <v>0</v>
      </c>
      <c r="AY808" s="290">
        <f>IF(AY$2=1,Параметры!AY$72,IF(AX808=Параметры!AX$72,Параметры!AX$72,AX808))</f>
        <v>0</v>
      </c>
      <c r="AZ808" s="290">
        <f>IF(AZ$2=1,Параметры!AZ$72,IF(AY808=Параметры!AY$72,Параметры!AY$72,AY808))</f>
        <v>0</v>
      </c>
      <c r="BA808" s="290">
        <f>IF(BA$2=1,Параметры!BA$72,IF(AZ808=Параметры!AZ$72,Параметры!AZ$72,AZ808))</f>
        <v>0</v>
      </c>
      <c r="BB808" s="290">
        <f>IF(BB$2=1,Параметры!BB$72,IF(BA808=Параметры!BA$72,Параметры!BA$72,BA808))</f>
        <v>0</v>
      </c>
      <c r="BC808" s="190"/>
      <c r="BD808" s="186"/>
    </row>
    <row r="809" spans="1:56" hidden="1" outlineLevel="1" x14ac:dyDescent="0.3">
      <c r="A809" s="184" t="str">
        <f ca="1">Language!A$880</f>
        <v>выручка от продажи актива, без НДС</v>
      </c>
      <c r="B809" s="217"/>
      <c r="C809" s="163" t="str">
        <f ca="1">CHOOSE(D809,CurName1,CurName2,CurName3)</f>
        <v>руб.</v>
      </c>
      <c r="D809" s="174">
        <v>1</v>
      </c>
      <c r="E809" s="170" t="s">
        <v>755</v>
      </c>
      <c r="F809" s="170" t="s">
        <v>2353</v>
      </c>
      <c r="G809" s="287">
        <v>0</v>
      </c>
      <c r="H809" s="287">
        <v>0</v>
      </c>
      <c r="I809" s="287">
        <v>0</v>
      </c>
      <c r="J809" s="287">
        <v>0</v>
      </c>
      <c r="K809" s="287">
        <v>0</v>
      </c>
      <c r="L809" s="287">
        <v>0</v>
      </c>
      <c r="M809" s="287">
        <v>0</v>
      </c>
      <c r="N809" s="287">
        <v>0</v>
      </c>
      <c r="O809" s="287">
        <v>0</v>
      </c>
      <c r="P809" s="287">
        <v>0</v>
      </c>
      <c r="Q809" s="287">
        <v>0</v>
      </c>
      <c r="R809" s="287">
        <v>0</v>
      </c>
      <c r="S809" s="287">
        <v>0</v>
      </c>
      <c r="T809" s="287">
        <v>0</v>
      </c>
      <c r="U809" s="287">
        <v>0</v>
      </c>
      <c r="V809" s="287">
        <v>0</v>
      </c>
      <c r="W809" s="287">
        <v>0</v>
      </c>
      <c r="X809" s="287">
        <v>0</v>
      </c>
      <c r="Y809" s="287">
        <v>0</v>
      </c>
      <c r="Z809" s="287">
        <v>0</v>
      </c>
      <c r="AA809" s="287">
        <v>0</v>
      </c>
      <c r="AB809" s="287">
        <v>0</v>
      </c>
      <c r="AC809" s="287">
        <v>0</v>
      </c>
      <c r="AD809" s="287">
        <v>0</v>
      </c>
      <c r="AE809" s="287">
        <v>0</v>
      </c>
      <c r="AF809" s="287">
        <v>0</v>
      </c>
      <c r="AG809" s="287">
        <v>0</v>
      </c>
      <c r="AH809" s="287">
        <v>0</v>
      </c>
      <c r="AI809" s="287">
        <v>0</v>
      </c>
      <c r="AJ809" s="287">
        <v>0</v>
      </c>
      <c r="AK809" s="287">
        <v>0</v>
      </c>
      <c r="AL809" s="287">
        <v>0</v>
      </c>
      <c r="AM809" s="287">
        <v>0</v>
      </c>
      <c r="AN809" s="287">
        <v>0</v>
      </c>
      <c r="AO809" s="287">
        <v>0</v>
      </c>
      <c r="AP809" s="287">
        <v>0</v>
      </c>
      <c r="AQ809" s="287">
        <v>0</v>
      </c>
      <c r="AR809" s="287">
        <v>0</v>
      </c>
      <c r="AS809" s="287">
        <v>0</v>
      </c>
      <c r="AT809" s="287">
        <v>0</v>
      </c>
      <c r="AU809" s="287">
        <v>0</v>
      </c>
      <c r="AV809" s="287">
        <v>0</v>
      </c>
      <c r="AW809" s="287">
        <v>0</v>
      </c>
      <c r="AX809" s="287">
        <v>0</v>
      </c>
      <c r="AY809" s="287">
        <v>0</v>
      </c>
      <c r="AZ809" s="287">
        <v>0</v>
      </c>
      <c r="BA809" s="287">
        <v>0</v>
      </c>
      <c r="BB809" s="287">
        <v>0</v>
      </c>
      <c r="BC809" s="177"/>
      <c r="BD809" s="178">
        <f>SUM(G809:BC809)</f>
        <v>0</v>
      </c>
    </row>
    <row r="810" spans="1:56" hidden="1" outlineLevel="1" x14ac:dyDescent="0.3">
      <c r="A810" s="184" t="str">
        <f ca="1">Language!A$881</f>
        <v>суммы в осн. валюте: график оплаты, без НДС</v>
      </c>
      <c r="B810" s="163"/>
      <c r="C810" s="163" t="str">
        <f t="shared" ref="C810:C827" ca="1" si="3224">CHOOSE(D810,CurName1,CurName2,CurName3)</f>
        <v>руб.</v>
      </c>
      <c r="D810" s="174">
        <v>1</v>
      </c>
      <c r="E810" s="170" t="s">
        <v>751</v>
      </c>
      <c r="F810" s="170" t="s">
        <v>740</v>
      </c>
      <c r="G810" s="185">
        <f>G803*CHOOSE($D803,1,Параметры!G$53,Параметры!G$59)</f>
        <v>0</v>
      </c>
      <c r="H810" s="185">
        <f>H803*CHOOSE($D803,1,Параметры!H$53,Параметры!H$59)</f>
        <v>0</v>
      </c>
      <c r="I810" s="185">
        <f>I803*CHOOSE($D803,1,Параметры!I$53,Параметры!I$59)</f>
        <v>75000000</v>
      </c>
      <c r="J810" s="185">
        <f>J803*CHOOSE($D803,1,Параметры!J$53,Параметры!J$59)</f>
        <v>0</v>
      </c>
      <c r="K810" s="185">
        <f>K803*CHOOSE($D803,1,Параметры!K$53,Параметры!K$59)</f>
        <v>0</v>
      </c>
      <c r="L810" s="185">
        <f>L803*CHOOSE($D803,1,Параметры!L$53,Параметры!L$59)</f>
        <v>0</v>
      </c>
      <c r="M810" s="185">
        <f>M803*CHOOSE($D803,1,Параметры!M$53,Параметры!M$59)</f>
        <v>0</v>
      </c>
      <c r="N810" s="185">
        <f>N803*CHOOSE($D803,1,Параметры!N$53,Параметры!N$59)</f>
        <v>0</v>
      </c>
      <c r="O810" s="185">
        <f>O803*CHOOSE($D803,1,Параметры!O$53,Параметры!O$59)</f>
        <v>0</v>
      </c>
      <c r="P810" s="185">
        <f>P803*CHOOSE($D803,1,Параметры!P$53,Параметры!P$59)</f>
        <v>0</v>
      </c>
      <c r="Q810" s="185">
        <f>Q803*CHOOSE($D803,1,Параметры!Q$53,Параметры!Q$59)</f>
        <v>0</v>
      </c>
      <c r="R810" s="185">
        <f>R803*CHOOSE($D803,1,Параметры!R$53,Параметры!R$59)</f>
        <v>0</v>
      </c>
      <c r="S810" s="185">
        <f>S803*CHOOSE($D803,1,Параметры!S$53,Параметры!S$59)</f>
        <v>0</v>
      </c>
      <c r="T810" s="185">
        <f>T803*CHOOSE($D803,1,Параметры!T$53,Параметры!T$59)</f>
        <v>0</v>
      </c>
      <c r="U810" s="185">
        <f>U803*CHOOSE($D803,1,Параметры!U$53,Параметры!U$59)</f>
        <v>0</v>
      </c>
      <c r="V810" s="185">
        <f>V803*CHOOSE($D803,1,Параметры!V$53,Параметры!V$59)</f>
        <v>0</v>
      </c>
      <c r="W810" s="185">
        <f>W803*CHOOSE($D803,1,Параметры!W$53,Параметры!W$59)</f>
        <v>0</v>
      </c>
      <c r="X810" s="185">
        <f>X803*CHOOSE($D803,1,Параметры!X$53,Параметры!X$59)</f>
        <v>0</v>
      </c>
      <c r="Y810" s="185">
        <f>Y803*CHOOSE($D803,1,Параметры!Y$53,Параметры!Y$59)</f>
        <v>0</v>
      </c>
      <c r="Z810" s="185">
        <f>Z803*CHOOSE($D803,1,Параметры!Z$53,Параметры!Z$59)</f>
        <v>0</v>
      </c>
      <c r="AA810" s="185">
        <f>AA803*CHOOSE($D803,1,Параметры!AA$53,Параметры!AA$59)</f>
        <v>0</v>
      </c>
      <c r="AB810" s="185">
        <f>AB803*CHOOSE($D803,1,Параметры!AB$53,Параметры!AB$59)</f>
        <v>0</v>
      </c>
      <c r="AC810" s="185">
        <f>AC803*CHOOSE($D803,1,Параметры!AC$53,Параметры!AC$59)</f>
        <v>0</v>
      </c>
      <c r="AD810" s="185">
        <f>AD803*CHOOSE($D803,1,Параметры!AD$53,Параметры!AD$59)</f>
        <v>0</v>
      </c>
      <c r="AE810" s="185">
        <f>AE803*CHOOSE($D803,1,Параметры!AE$53,Параметры!AE$59)</f>
        <v>0</v>
      </c>
      <c r="AF810" s="185">
        <f>AF803*CHOOSE($D803,1,Параметры!AF$53,Параметры!AF$59)</f>
        <v>0</v>
      </c>
      <c r="AG810" s="185">
        <f>AG803*CHOOSE($D803,1,Параметры!AG$53,Параметры!AG$59)</f>
        <v>0</v>
      </c>
      <c r="AH810" s="185">
        <f>AH803*CHOOSE($D803,1,Параметры!AH$53,Параметры!AH$59)</f>
        <v>0</v>
      </c>
      <c r="AI810" s="185">
        <f>AI803*CHOOSE($D803,1,Параметры!AI$53,Параметры!AI$59)</f>
        <v>0</v>
      </c>
      <c r="AJ810" s="185">
        <f>AJ803*CHOOSE($D803,1,Параметры!AJ$53,Параметры!AJ$59)</f>
        <v>0</v>
      </c>
      <c r="AK810" s="185">
        <f>AK803*CHOOSE($D803,1,Параметры!AK$53,Параметры!AK$59)</f>
        <v>0</v>
      </c>
      <c r="AL810" s="185">
        <f>AL803*CHOOSE($D803,1,Параметры!AL$53,Параметры!AL$59)</f>
        <v>0</v>
      </c>
      <c r="AM810" s="185">
        <f>AM803*CHOOSE($D803,1,Параметры!AM$53,Параметры!AM$59)</f>
        <v>0</v>
      </c>
      <c r="AN810" s="185">
        <f>AN803*CHOOSE($D803,1,Параметры!AN$53,Параметры!AN$59)</f>
        <v>0</v>
      </c>
      <c r="AO810" s="185">
        <f>AO803*CHOOSE($D803,1,Параметры!AO$53,Параметры!AO$59)</f>
        <v>0</v>
      </c>
      <c r="AP810" s="185">
        <f>AP803*CHOOSE($D803,1,Параметры!AP$53,Параметры!AP$59)</f>
        <v>0</v>
      </c>
      <c r="AQ810" s="185">
        <f>AQ803*CHOOSE($D803,1,Параметры!AQ$53,Параметры!AQ$59)</f>
        <v>0</v>
      </c>
      <c r="AR810" s="185">
        <f>AR803*CHOOSE($D803,1,Параметры!AR$53,Параметры!AR$59)</f>
        <v>0</v>
      </c>
      <c r="AS810" s="185">
        <f>AS803*CHOOSE($D803,1,Параметры!AS$53,Параметры!AS$59)</f>
        <v>0</v>
      </c>
      <c r="AT810" s="185">
        <f>AT803*CHOOSE($D803,1,Параметры!AT$53,Параметры!AT$59)</f>
        <v>0</v>
      </c>
      <c r="AU810" s="185">
        <f>AU803*CHOOSE($D803,1,Параметры!AU$53,Параметры!AU$59)</f>
        <v>0</v>
      </c>
      <c r="AV810" s="185">
        <f>AV803*CHOOSE($D803,1,Параметры!AV$53,Параметры!AV$59)</f>
        <v>0</v>
      </c>
      <c r="AW810" s="185">
        <f>AW803*CHOOSE($D803,1,Параметры!AW$53,Параметры!AW$59)</f>
        <v>0</v>
      </c>
      <c r="AX810" s="185">
        <f>AX803*CHOOSE($D803,1,Параметры!AX$53,Параметры!AX$59)</f>
        <v>0</v>
      </c>
      <c r="AY810" s="185">
        <f>AY803*CHOOSE($D803,1,Параметры!AY$53,Параметры!AY$59)</f>
        <v>0</v>
      </c>
      <c r="AZ810" s="185">
        <f>AZ803*CHOOSE($D803,1,Параметры!AZ$53,Параметры!AZ$59)</f>
        <v>0</v>
      </c>
      <c r="BA810" s="185">
        <f>BA803*CHOOSE($D803,1,Параметры!BA$53,Параметры!BA$59)</f>
        <v>0</v>
      </c>
      <c r="BB810" s="185">
        <f>BB803*CHOOSE($D803,1,Параметры!BB$53,Параметры!BB$59)</f>
        <v>0</v>
      </c>
      <c r="BC810" s="185"/>
      <c r="BD810" s="193">
        <f>SUM(G810:BC810)</f>
        <v>75000000</v>
      </c>
    </row>
    <row r="811" spans="1:56" hidden="1" outlineLevel="1" x14ac:dyDescent="0.3">
      <c r="A811" s="187" t="str">
        <f ca="1">Language!A$1509</f>
        <v>график оплаты, c НДС</v>
      </c>
      <c r="B811" s="163"/>
      <c r="C811" s="163" t="str">
        <f t="shared" ca="1" si="3224"/>
        <v>руб.</v>
      </c>
      <c r="D811" s="174">
        <v>1</v>
      </c>
      <c r="E811" s="170" t="s">
        <v>993</v>
      </c>
      <c r="F811" s="170" t="s">
        <v>740</v>
      </c>
      <c r="G811" s="185">
        <f>G810+G820</f>
        <v>0</v>
      </c>
      <c r="H811" s="185">
        <f t="shared" ref="H811:BB811" si="3225">H810+H820</f>
        <v>0</v>
      </c>
      <c r="I811" s="185">
        <f t="shared" si="3225"/>
        <v>75000000</v>
      </c>
      <c r="J811" s="185">
        <f t="shared" si="3225"/>
        <v>0</v>
      </c>
      <c r="K811" s="185">
        <f t="shared" si="3225"/>
        <v>0</v>
      </c>
      <c r="L811" s="185">
        <f t="shared" si="3225"/>
        <v>0</v>
      </c>
      <c r="M811" s="185">
        <f t="shared" si="3225"/>
        <v>0</v>
      </c>
      <c r="N811" s="185">
        <f t="shared" si="3225"/>
        <v>0</v>
      </c>
      <c r="O811" s="185">
        <f t="shared" si="3225"/>
        <v>0</v>
      </c>
      <c r="P811" s="185">
        <f t="shared" si="3225"/>
        <v>0</v>
      </c>
      <c r="Q811" s="185">
        <f t="shared" si="3225"/>
        <v>0</v>
      </c>
      <c r="R811" s="185">
        <f t="shared" si="3225"/>
        <v>0</v>
      </c>
      <c r="S811" s="185">
        <f t="shared" si="3225"/>
        <v>0</v>
      </c>
      <c r="T811" s="185">
        <f t="shared" si="3225"/>
        <v>0</v>
      </c>
      <c r="U811" s="185">
        <f t="shared" si="3225"/>
        <v>0</v>
      </c>
      <c r="V811" s="185">
        <f t="shared" si="3225"/>
        <v>0</v>
      </c>
      <c r="W811" s="185">
        <f t="shared" si="3225"/>
        <v>0</v>
      </c>
      <c r="X811" s="185">
        <f t="shared" si="3225"/>
        <v>0</v>
      </c>
      <c r="Y811" s="185">
        <f t="shared" si="3225"/>
        <v>0</v>
      </c>
      <c r="Z811" s="185">
        <f t="shared" si="3225"/>
        <v>0</v>
      </c>
      <c r="AA811" s="185">
        <f t="shared" si="3225"/>
        <v>0</v>
      </c>
      <c r="AB811" s="185">
        <f t="shared" si="3225"/>
        <v>0</v>
      </c>
      <c r="AC811" s="185">
        <f t="shared" si="3225"/>
        <v>0</v>
      </c>
      <c r="AD811" s="185">
        <f t="shared" si="3225"/>
        <v>0</v>
      </c>
      <c r="AE811" s="185">
        <f t="shared" si="3225"/>
        <v>0</v>
      </c>
      <c r="AF811" s="185">
        <f t="shared" si="3225"/>
        <v>0</v>
      </c>
      <c r="AG811" s="185">
        <f t="shared" si="3225"/>
        <v>0</v>
      </c>
      <c r="AH811" s="185">
        <f t="shared" si="3225"/>
        <v>0</v>
      </c>
      <c r="AI811" s="185">
        <f t="shared" si="3225"/>
        <v>0</v>
      </c>
      <c r="AJ811" s="185">
        <f t="shared" si="3225"/>
        <v>0</v>
      </c>
      <c r="AK811" s="185">
        <f t="shared" si="3225"/>
        <v>0</v>
      </c>
      <c r="AL811" s="185">
        <f t="shared" si="3225"/>
        <v>0</v>
      </c>
      <c r="AM811" s="185">
        <f t="shared" si="3225"/>
        <v>0</v>
      </c>
      <c r="AN811" s="185">
        <f t="shared" si="3225"/>
        <v>0</v>
      </c>
      <c r="AO811" s="185">
        <f t="shared" si="3225"/>
        <v>0</v>
      </c>
      <c r="AP811" s="185">
        <f t="shared" si="3225"/>
        <v>0</v>
      </c>
      <c r="AQ811" s="185">
        <f t="shared" si="3225"/>
        <v>0</v>
      </c>
      <c r="AR811" s="185">
        <f t="shared" si="3225"/>
        <v>0</v>
      </c>
      <c r="AS811" s="185">
        <f t="shared" si="3225"/>
        <v>0</v>
      </c>
      <c r="AT811" s="185">
        <f t="shared" si="3225"/>
        <v>0</v>
      </c>
      <c r="AU811" s="185">
        <f t="shared" si="3225"/>
        <v>0</v>
      </c>
      <c r="AV811" s="185">
        <f t="shared" si="3225"/>
        <v>0</v>
      </c>
      <c r="AW811" s="185">
        <f t="shared" si="3225"/>
        <v>0</v>
      </c>
      <c r="AX811" s="185">
        <f t="shared" si="3225"/>
        <v>0</v>
      </c>
      <c r="AY811" s="185">
        <f t="shared" si="3225"/>
        <v>0</v>
      </c>
      <c r="AZ811" s="185">
        <f t="shared" si="3225"/>
        <v>0</v>
      </c>
      <c r="BA811" s="185">
        <f t="shared" si="3225"/>
        <v>0</v>
      </c>
      <c r="BB811" s="185">
        <f t="shared" si="3225"/>
        <v>0</v>
      </c>
      <c r="BC811" s="185"/>
      <c r="BD811" s="193">
        <f>SUM(G811:BC811)</f>
        <v>75000000</v>
      </c>
    </row>
    <row r="812" spans="1:56" hidden="1" outlineLevel="1" x14ac:dyDescent="0.3">
      <c r="A812" s="187" t="str">
        <f ca="1">Language!A$882</f>
        <v>ранее осуществленные инвестиции, без НДС</v>
      </c>
      <c r="B812" s="212">
        <f>B804*CHOOSE(D804,1,Параметры!G$53,Параметры!G$59)</f>
        <v>0</v>
      </c>
      <c r="C812" s="163" t="str">
        <f t="shared" ca="1" si="3224"/>
        <v>руб.</v>
      </c>
      <c r="D812" s="174">
        <v>1</v>
      </c>
      <c r="E812" s="170" t="s">
        <v>1269</v>
      </c>
      <c r="G812" s="185">
        <f>B812</f>
        <v>0</v>
      </c>
      <c r="H812" s="185"/>
      <c r="I812" s="185"/>
      <c r="J812" s="185"/>
      <c r="K812" s="185"/>
      <c r="L812" s="185"/>
      <c r="M812" s="185"/>
      <c r="N812" s="185"/>
      <c r="O812" s="185"/>
      <c r="P812" s="185"/>
      <c r="Q812" s="185"/>
      <c r="R812" s="185"/>
      <c r="S812" s="185"/>
      <c r="T812" s="185"/>
      <c r="U812" s="185"/>
      <c r="V812" s="185"/>
      <c r="W812" s="185"/>
      <c r="X812" s="185"/>
      <c r="Y812" s="185"/>
      <c r="Z812" s="185"/>
      <c r="AA812" s="185"/>
      <c r="AB812" s="185"/>
      <c r="AC812" s="185"/>
      <c r="AD812" s="185"/>
      <c r="AE812" s="185"/>
      <c r="AF812" s="185"/>
      <c r="AG812" s="185"/>
      <c r="AH812" s="185"/>
      <c r="AI812" s="185"/>
      <c r="AJ812" s="185"/>
      <c r="AK812" s="185"/>
      <c r="AL812" s="185"/>
      <c r="AM812" s="185"/>
      <c r="AN812" s="185"/>
      <c r="AO812" s="185"/>
      <c r="AP812" s="185"/>
      <c r="AQ812" s="185"/>
      <c r="AR812" s="185"/>
      <c r="AS812" s="185"/>
      <c r="AT812" s="185"/>
      <c r="AU812" s="185"/>
      <c r="AV812" s="185"/>
      <c r="AW812" s="185"/>
      <c r="AX812" s="185"/>
      <c r="AY812" s="185"/>
      <c r="AZ812" s="185"/>
      <c r="BA812" s="185"/>
      <c r="BB812" s="185"/>
      <c r="BC812" s="185"/>
      <c r="BD812" s="193"/>
    </row>
    <row r="813" spans="1:56" hidden="1" outlineLevel="1" x14ac:dyDescent="0.3">
      <c r="A813" s="187" t="str">
        <f ca="1">Language!A$883</f>
        <v>НДС к ранее осуществленным инвестициям</v>
      </c>
      <c r="B813" s="212">
        <f>B812*G808</f>
        <v>0</v>
      </c>
      <c r="C813" s="163" t="str">
        <f t="shared" ca="1" si="3224"/>
        <v>руб.</v>
      </c>
      <c r="D813" s="174">
        <v>1</v>
      </c>
      <c r="E813" s="170" t="s">
        <v>1273</v>
      </c>
      <c r="G813" s="185">
        <f>B813</f>
        <v>0</v>
      </c>
      <c r="H813" s="185"/>
      <c r="I813" s="185"/>
      <c r="J813" s="185"/>
      <c r="K813" s="185"/>
      <c r="L813" s="185"/>
      <c r="M813" s="185"/>
      <c r="N813" s="185"/>
      <c r="O813" s="185"/>
      <c r="P813" s="185"/>
      <c r="Q813" s="185"/>
      <c r="R813" s="185"/>
      <c r="S813" s="185"/>
      <c r="T813" s="185"/>
      <c r="U813" s="185"/>
      <c r="V813" s="185"/>
      <c r="W813" s="185"/>
      <c r="X813" s="185"/>
      <c r="Y813" s="185"/>
      <c r="Z813" s="185"/>
      <c r="AA813" s="185"/>
      <c r="AB813" s="185"/>
      <c r="AC813" s="185"/>
      <c r="AD813" s="185"/>
      <c r="AE813" s="185"/>
      <c r="AF813" s="185"/>
      <c r="AG813" s="185"/>
      <c r="AH813" s="185"/>
      <c r="AI813" s="185"/>
      <c r="AJ813" s="185"/>
      <c r="AK813" s="185"/>
      <c r="AL813" s="185"/>
      <c r="AM813" s="185"/>
      <c r="AN813" s="185"/>
      <c r="AO813" s="185"/>
      <c r="AP813" s="185"/>
      <c r="AQ813" s="185"/>
      <c r="AR813" s="185"/>
      <c r="AS813" s="185"/>
      <c r="AT813" s="185"/>
      <c r="AU813" s="185"/>
      <c r="AV813" s="185"/>
      <c r="AW813" s="185"/>
      <c r="AX813" s="185"/>
      <c r="AY813" s="185"/>
      <c r="AZ813" s="185"/>
      <c r="BA813" s="185"/>
      <c r="BB813" s="185"/>
      <c r="BC813" s="185"/>
      <c r="BD813" s="193"/>
    </row>
    <row r="814" spans="1:56" hidden="1" outlineLevel="1" x14ac:dyDescent="0.3">
      <c r="A814" s="187" t="str">
        <f ca="1">Language!A$884</f>
        <v>график ввода в эксплуатацию, без НДС</v>
      </c>
      <c r="B814" s="163"/>
      <c r="C814" s="163" t="str">
        <f t="shared" ca="1" si="3224"/>
        <v>руб.</v>
      </c>
      <c r="D814" s="174">
        <v>1</v>
      </c>
      <c r="F814" s="170" t="s">
        <v>740</v>
      </c>
      <c r="G814" s="185">
        <f>G805*CHOOSE($D805,1,Параметры!G$53,Параметры!G$59)</f>
        <v>0</v>
      </c>
      <c r="H814" s="185">
        <f>H805*CHOOSE($D805,1,Параметры!H$53,Параметры!H$59)</f>
        <v>0</v>
      </c>
      <c r="I814" s="185">
        <f>I805*CHOOSE($D805,1,Параметры!I$53,Параметры!I$59)</f>
        <v>0</v>
      </c>
      <c r="J814" s="185">
        <f>J805*CHOOSE($D805,1,Параметры!J$53,Параметры!J$59)</f>
        <v>0</v>
      </c>
      <c r="K814" s="185">
        <f>K805*CHOOSE($D805,1,Параметры!K$53,Параметры!K$59)</f>
        <v>0</v>
      </c>
      <c r="L814" s="185">
        <f>L805*CHOOSE($D805,1,Параметры!L$53,Параметры!L$59)</f>
        <v>0</v>
      </c>
      <c r="M814" s="185">
        <f>M805*CHOOSE($D805,1,Параметры!M$53,Параметры!M$59)</f>
        <v>75000000</v>
      </c>
      <c r="N814" s="185">
        <f>N805*CHOOSE($D805,1,Параметры!N$53,Параметры!N$59)</f>
        <v>0</v>
      </c>
      <c r="O814" s="185">
        <f>O805*CHOOSE($D805,1,Параметры!O$53,Параметры!O$59)</f>
        <v>0</v>
      </c>
      <c r="P814" s="185">
        <f>P805*CHOOSE($D805,1,Параметры!P$53,Параметры!P$59)</f>
        <v>0</v>
      </c>
      <c r="Q814" s="185">
        <f>Q805*CHOOSE($D805,1,Параметры!Q$53,Параметры!Q$59)</f>
        <v>0</v>
      </c>
      <c r="R814" s="185">
        <f>R805*CHOOSE($D805,1,Параметры!R$53,Параметры!R$59)</f>
        <v>0</v>
      </c>
      <c r="S814" s="185">
        <f>S805*CHOOSE($D805,1,Параметры!S$53,Параметры!S$59)</f>
        <v>0</v>
      </c>
      <c r="T814" s="185">
        <f>T805*CHOOSE($D805,1,Параметры!T$53,Параметры!T$59)</f>
        <v>0</v>
      </c>
      <c r="U814" s="185">
        <f>U805*CHOOSE($D805,1,Параметры!U$53,Параметры!U$59)</f>
        <v>0</v>
      </c>
      <c r="V814" s="185">
        <f>V805*CHOOSE($D805,1,Параметры!V$53,Параметры!V$59)</f>
        <v>0</v>
      </c>
      <c r="W814" s="185">
        <f>W805*CHOOSE($D805,1,Параметры!W$53,Параметры!W$59)</f>
        <v>0</v>
      </c>
      <c r="X814" s="185">
        <f>X805*CHOOSE($D805,1,Параметры!X$53,Параметры!X$59)</f>
        <v>0</v>
      </c>
      <c r="Y814" s="185">
        <f>Y805*CHOOSE($D805,1,Параметры!Y$53,Параметры!Y$59)</f>
        <v>0</v>
      </c>
      <c r="Z814" s="185">
        <f>Z805*CHOOSE($D805,1,Параметры!Z$53,Параметры!Z$59)</f>
        <v>0</v>
      </c>
      <c r="AA814" s="185">
        <f>AA805*CHOOSE($D805,1,Параметры!AA$53,Параметры!AA$59)</f>
        <v>0</v>
      </c>
      <c r="AB814" s="185">
        <f>AB805*CHOOSE($D805,1,Параметры!AB$53,Параметры!AB$59)</f>
        <v>0</v>
      </c>
      <c r="AC814" s="185">
        <f>AC805*CHOOSE($D805,1,Параметры!AC$53,Параметры!AC$59)</f>
        <v>0</v>
      </c>
      <c r="AD814" s="185">
        <f>AD805*CHOOSE($D805,1,Параметры!AD$53,Параметры!AD$59)</f>
        <v>0</v>
      </c>
      <c r="AE814" s="185">
        <f>AE805*CHOOSE($D805,1,Параметры!AE$53,Параметры!AE$59)</f>
        <v>0</v>
      </c>
      <c r="AF814" s="185">
        <f>AF805*CHOOSE($D805,1,Параметры!AF$53,Параметры!AF$59)</f>
        <v>0</v>
      </c>
      <c r="AG814" s="185">
        <f>AG805*CHOOSE($D805,1,Параметры!AG$53,Параметры!AG$59)</f>
        <v>0</v>
      </c>
      <c r="AH814" s="185">
        <f>AH805*CHOOSE($D805,1,Параметры!AH$53,Параметры!AH$59)</f>
        <v>0</v>
      </c>
      <c r="AI814" s="185">
        <f>AI805*CHOOSE($D805,1,Параметры!AI$53,Параметры!AI$59)</f>
        <v>0</v>
      </c>
      <c r="AJ814" s="185">
        <f>AJ805*CHOOSE($D805,1,Параметры!AJ$53,Параметры!AJ$59)</f>
        <v>0</v>
      </c>
      <c r="AK814" s="185">
        <f>AK805*CHOOSE($D805,1,Параметры!AK$53,Параметры!AK$59)</f>
        <v>0</v>
      </c>
      <c r="AL814" s="185">
        <f>AL805*CHOOSE($D805,1,Параметры!AL$53,Параметры!AL$59)</f>
        <v>0</v>
      </c>
      <c r="AM814" s="185">
        <f>AM805*CHOOSE($D805,1,Параметры!AM$53,Параметры!AM$59)</f>
        <v>0</v>
      </c>
      <c r="AN814" s="185">
        <f>AN805*CHOOSE($D805,1,Параметры!AN$53,Параметры!AN$59)</f>
        <v>0</v>
      </c>
      <c r="AO814" s="185">
        <f>AO805*CHOOSE($D805,1,Параметры!AO$53,Параметры!AO$59)</f>
        <v>0</v>
      </c>
      <c r="AP814" s="185">
        <f>AP805*CHOOSE($D805,1,Параметры!AP$53,Параметры!AP$59)</f>
        <v>0</v>
      </c>
      <c r="AQ814" s="185">
        <f>AQ805*CHOOSE($D805,1,Параметры!AQ$53,Параметры!AQ$59)</f>
        <v>0</v>
      </c>
      <c r="AR814" s="185">
        <f>AR805*CHOOSE($D805,1,Параметры!AR$53,Параметры!AR$59)</f>
        <v>0</v>
      </c>
      <c r="AS814" s="185">
        <f>AS805*CHOOSE($D805,1,Параметры!AS$53,Параметры!AS$59)</f>
        <v>0</v>
      </c>
      <c r="AT814" s="185">
        <f>AT805*CHOOSE($D805,1,Параметры!AT$53,Параметры!AT$59)</f>
        <v>0</v>
      </c>
      <c r="AU814" s="185">
        <f>AU805*CHOOSE($D805,1,Параметры!AU$53,Параметры!AU$59)</f>
        <v>0</v>
      </c>
      <c r="AV814" s="185">
        <f>AV805*CHOOSE($D805,1,Параметры!AV$53,Параметры!AV$59)</f>
        <v>0</v>
      </c>
      <c r="AW814" s="185">
        <f>AW805*CHOOSE($D805,1,Параметры!AW$53,Параметры!AW$59)</f>
        <v>0</v>
      </c>
      <c r="AX814" s="185">
        <f>AX805*CHOOSE($D805,1,Параметры!AX$53,Параметры!AX$59)</f>
        <v>0</v>
      </c>
      <c r="AY814" s="185">
        <f>AY805*CHOOSE($D805,1,Параметры!AY$53,Параметры!AY$59)</f>
        <v>0</v>
      </c>
      <c r="AZ814" s="185">
        <f>AZ805*CHOOSE($D805,1,Параметры!AZ$53,Параметры!AZ$59)</f>
        <v>0</v>
      </c>
      <c r="BA814" s="185">
        <f>BA805*CHOOSE($D805,1,Параметры!BA$53,Параметры!BA$59)</f>
        <v>0</v>
      </c>
      <c r="BB814" s="185">
        <f>BB805*CHOOSE($D805,1,Параметры!BB$53,Параметры!BB$59)</f>
        <v>0</v>
      </c>
      <c r="BC814" s="185"/>
      <c r="BD814" s="193">
        <f>SUM(G814:BC814)</f>
        <v>75000000</v>
      </c>
    </row>
    <row r="815" spans="1:56" hidden="1" outlineLevel="1" x14ac:dyDescent="0.3">
      <c r="A815" s="184" t="str">
        <f ca="1">Language!A$885</f>
        <v>незавершенные инвестиции</v>
      </c>
      <c r="B815" s="170"/>
      <c r="C815" s="163" t="str">
        <f t="shared" ca="1" si="3224"/>
        <v>руб.</v>
      </c>
      <c r="D815" s="174">
        <v>1</v>
      </c>
      <c r="E815" s="170" t="s">
        <v>754</v>
      </c>
      <c r="F815" s="170" t="s">
        <v>741</v>
      </c>
      <c r="G815" s="185">
        <f>IF(SUM($G809:G809)&gt;0.01,0,MAX(SUM($G803:G803)+$B804-SUM($G805:G805),0))*CHOOSE($D803,1,Параметры!G$53,Параметры!G$59)</f>
        <v>0</v>
      </c>
      <c r="H815" s="185">
        <f>IF(SUM($G809:H809)&gt;0.01,0,MAX(SUM($G803:H803)+$B804-SUM($G805:H805),0))*CHOOSE($D803,1,Параметры!H$53,Параметры!H$59)</f>
        <v>0</v>
      </c>
      <c r="I815" s="185">
        <f>IF(SUM($G809:I809)&gt;0.01,0,MAX(SUM($G803:I803)+$B804-SUM($G805:I805),0))*CHOOSE($D803,1,Параметры!I$53,Параметры!I$59)</f>
        <v>75000000</v>
      </c>
      <c r="J815" s="185">
        <f>IF(SUM($G809:J809)&gt;0.01,0,MAX(SUM($G803:J803)+$B804-SUM($G805:J805),0))*CHOOSE($D803,1,Параметры!J$53,Параметры!J$59)</f>
        <v>75000000</v>
      </c>
      <c r="K815" s="185">
        <f>IF(SUM($G809:K809)&gt;0.01,0,MAX(SUM($G803:K803)+$B804-SUM($G805:K805),0))*CHOOSE($D803,1,Параметры!K$53,Параметры!K$59)</f>
        <v>75000000</v>
      </c>
      <c r="L815" s="185">
        <f>IF(SUM($G809:L809)&gt;0.01,0,MAX(SUM($G803:L803)+$B804-SUM($G805:L805),0))*CHOOSE($D803,1,Параметры!L$53,Параметры!L$59)</f>
        <v>75000000</v>
      </c>
      <c r="M815" s="185">
        <f>IF(SUM($G809:M809)&gt;0.01,0,MAX(SUM($G803:M803)+$B804-SUM($G805:M805),0))*CHOOSE($D803,1,Параметры!M$53,Параметры!M$59)</f>
        <v>0</v>
      </c>
      <c r="N815" s="185">
        <f>IF(SUM($G809:N809)&gt;0.01,0,MAX(SUM($G803:N803)+$B804-SUM($G805:N805),0))*CHOOSE($D803,1,Параметры!N$53,Параметры!N$59)</f>
        <v>0</v>
      </c>
      <c r="O815" s="185">
        <f>IF(SUM($G809:O809)&gt;0.01,0,MAX(SUM($G803:O803)+$B804-SUM($G805:O805),0))*CHOOSE($D803,1,Параметры!O$53,Параметры!O$59)</f>
        <v>0</v>
      </c>
      <c r="P815" s="185">
        <f>IF(SUM($G809:P809)&gt;0.01,0,MAX(SUM($G803:P803)+$B804-SUM($G805:P805),0))*CHOOSE($D803,1,Параметры!P$53,Параметры!P$59)</f>
        <v>0</v>
      </c>
      <c r="Q815" s="185">
        <f>IF(SUM($G809:Q809)&gt;0.01,0,MAX(SUM($G803:Q803)+$B804-SUM($G805:Q805),0))*CHOOSE($D803,1,Параметры!Q$53,Параметры!Q$59)</f>
        <v>0</v>
      </c>
      <c r="R815" s="185">
        <f>IF(SUM($G809:R809)&gt;0.01,0,MAX(SUM($G803:R803)+$B804-SUM($G805:R805),0))*CHOOSE($D803,1,Параметры!R$53,Параметры!R$59)</f>
        <v>0</v>
      </c>
      <c r="S815" s="185">
        <f>IF(SUM($G809:S809)&gt;0.01,0,MAX(SUM($G803:S803)+$B804-SUM($G805:S805),0))*CHOOSE($D803,1,Параметры!S$53,Параметры!S$59)</f>
        <v>0</v>
      </c>
      <c r="T815" s="185">
        <f>IF(SUM($G809:T809)&gt;0.01,0,MAX(SUM($G803:T803)+$B804-SUM($G805:T805),0))*CHOOSE($D803,1,Параметры!T$53,Параметры!T$59)</f>
        <v>0</v>
      </c>
      <c r="U815" s="185">
        <f>IF(SUM($G809:U809)&gt;0.01,0,MAX(SUM($G803:U803)+$B804-SUM($G805:U805),0))*CHOOSE($D803,1,Параметры!U$53,Параметры!U$59)</f>
        <v>0</v>
      </c>
      <c r="V815" s="185">
        <f>IF(SUM($G809:V809)&gt;0.01,0,MAX(SUM($G803:V803)+$B804-SUM($G805:V805),0))*CHOOSE($D803,1,Параметры!V$53,Параметры!V$59)</f>
        <v>0</v>
      </c>
      <c r="W815" s="185">
        <f>IF(SUM($G809:W809)&gt;0.01,0,MAX(SUM($G803:W803)+$B804-SUM($G805:W805),0))*CHOOSE($D803,1,Параметры!W$53,Параметры!W$59)</f>
        <v>0</v>
      </c>
      <c r="X815" s="185">
        <f>IF(SUM($G809:X809)&gt;0.01,0,MAX(SUM($G803:X803)+$B804-SUM($G805:X805),0))*CHOOSE($D803,1,Параметры!X$53,Параметры!X$59)</f>
        <v>0</v>
      </c>
      <c r="Y815" s="185">
        <f>IF(SUM($G809:Y809)&gt;0.01,0,MAX(SUM($G803:Y803)+$B804-SUM($G805:Y805),0))*CHOOSE($D803,1,Параметры!Y$53,Параметры!Y$59)</f>
        <v>0</v>
      </c>
      <c r="Z815" s="185">
        <f>IF(SUM($G809:Z809)&gt;0.01,0,MAX(SUM($G803:Z803)+$B804-SUM($G805:Z805),0))*CHOOSE($D803,1,Параметры!Z$53,Параметры!Z$59)</f>
        <v>0</v>
      </c>
      <c r="AA815" s="185">
        <f>IF(SUM($G809:AA809)&gt;0.01,0,MAX(SUM($G803:AA803)+$B804-SUM($G805:AA805),0))*CHOOSE($D803,1,Параметры!AA$53,Параметры!AA$59)</f>
        <v>0</v>
      </c>
      <c r="AB815" s="185">
        <f>IF(SUM($G809:AB809)&gt;0.01,0,MAX(SUM($G803:AB803)+$B804-SUM($G805:AB805),0))*CHOOSE($D803,1,Параметры!AB$53,Параметры!AB$59)</f>
        <v>0</v>
      </c>
      <c r="AC815" s="185">
        <f>IF(SUM($G809:AC809)&gt;0.01,0,MAX(SUM($G803:AC803)+$B804-SUM($G805:AC805),0))*CHOOSE($D803,1,Параметры!AC$53,Параметры!AC$59)</f>
        <v>0</v>
      </c>
      <c r="AD815" s="185">
        <f>IF(SUM($G809:AD809)&gt;0.01,0,MAX(SUM($G803:AD803)+$B804-SUM($G805:AD805),0))*CHOOSE($D803,1,Параметры!AD$53,Параметры!AD$59)</f>
        <v>0</v>
      </c>
      <c r="AE815" s="185">
        <f>IF(SUM($G809:AE809)&gt;0.01,0,MAX(SUM($G803:AE803)+$B804-SUM($G805:AE805),0))*CHOOSE($D803,1,Параметры!AE$53,Параметры!AE$59)</f>
        <v>0</v>
      </c>
      <c r="AF815" s="185">
        <f>IF(SUM($G809:AF809)&gt;0.01,0,MAX(SUM($G803:AF803)+$B804-SUM($G805:AF805),0))*CHOOSE($D803,1,Параметры!AF$53,Параметры!AF$59)</f>
        <v>0</v>
      </c>
      <c r="AG815" s="185">
        <f>IF(SUM($G809:AG809)&gt;0.01,0,MAX(SUM($G803:AG803)+$B804-SUM($G805:AG805),0))*CHOOSE($D803,1,Параметры!AG$53,Параметры!AG$59)</f>
        <v>0</v>
      </c>
      <c r="AH815" s="185">
        <f>IF(SUM($G809:AH809)&gt;0.01,0,MAX(SUM($G803:AH803)+$B804-SUM($G805:AH805),0))*CHOOSE($D803,1,Параметры!AH$53,Параметры!AH$59)</f>
        <v>0</v>
      </c>
      <c r="AI815" s="185">
        <f>IF(SUM($G809:AI809)&gt;0.01,0,MAX(SUM($G803:AI803)+$B804-SUM($G805:AI805),0))*CHOOSE($D803,1,Параметры!AI$53,Параметры!AI$59)</f>
        <v>0</v>
      </c>
      <c r="AJ815" s="185">
        <f>IF(SUM($G809:AJ809)&gt;0.01,0,MAX(SUM($G803:AJ803)+$B804-SUM($G805:AJ805),0))*CHOOSE($D803,1,Параметры!AJ$53,Параметры!AJ$59)</f>
        <v>0</v>
      </c>
      <c r="AK815" s="185">
        <f>IF(SUM($G809:AK809)&gt;0.01,0,MAX(SUM($G803:AK803)+$B804-SUM($G805:AK805),0))*CHOOSE($D803,1,Параметры!AK$53,Параметры!AK$59)</f>
        <v>0</v>
      </c>
      <c r="AL815" s="185">
        <f>IF(SUM($G809:AL809)&gt;0.01,0,MAX(SUM($G803:AL803)+$B804-SUM($G805:AL805),0))*CHOOSE($D803,1,Параметры!AL$53,Параметры!AL$59)</f>
        <v>0</v>
      </c>
      <c r="AM815" s="185">
        <f>IF(SUM($G809:AM809)&gt;0.01,0,MAX(SUM($G803:AM803)+$B804-SUM($G805:AM805),0))*CHOOSE($D803,1,Параметры!AM$53,Параметры!AM$59)</f>
        <v>0</v>
      </c>
      <c r="AN815" s="185">
        <f>IF(SUM($G809:AN809)&gt;0.01,0,MAX(SUM($G803:AN803)+$B804-SUM($G805:AN805),0))*CHOOSE($D803,1,Параметры!AN$53,Параметры!AN$59)</f>
        <v>0</v>
      </c>
      <c r="AO815" s="185">
        <f>IF(SUM($G809:AO809)&gt;0.01,0,MAX(SUM($G803:AO803)+$B804-SUM($G805:AO805),0))*CHOOSE($D803,1,Параметры!AO$53,Параметры!AO$59)</f>
        <v>0</v>
      </c>
      <c r="AP815" s="185">
        <f>IF(SUM($G809:AP809)&gt;0.01,0,MAX(SUM($G803:AP803)+$B804-SUM($G805:AP805),0))*CHOOSE($D803,1,Параметры!AP$53,Параметры!AP$59)</f>
        <v>0</v>
      </c>
      <c r="AQ815" s="185">
        <f>IF(SUM($G809:AQ809)&gt;0.01,0,MAX(SUM($G803:AQ803)+$B804-SUM($G805:AQ805),0))*CHOOSE($D803,1,Параметры!AQ$53,Параметры!AQ$59)</f>
        <v>0</v>
      </c>
      <c r="AR815" s="185">
        <f>IF(SUM($G809:AR809)&gt;0.01,0,MAX(SUM($G803:AR803)+$B804-SUM($G805:AR805),0))*CHOOSE($D803,1,Параметры!AR$53,Параметры!AR$59)</f>
        <v>0</v>
      </c>
      <c r="AS815" s="185">
        <f>IF(SUM($G809:AS809)&gt;0.01,0,MAX(SUM($G803:AS803)+$B804-SUM($G805:AS805),0))*CHOOSE($D803,1,Параметры!AS$53,Параметры!AS$59)</f>
        <v>0</v>
      </c>
      <c r="AT815" s="185">
        <f>IF(SUM($G809:AT809)&gt;0.01,0,MAX(SUM($G803:AT803)+$B804-SUM($G805:AT805),0))*CHOOSE($D803,1,Параметры!AT$53,Параметры!AT$59)</f>
        <v>0</v>
      </c>
      <c r="AU815" s="185">
        <f>IF(SUM($G809:AU809)&gt;0.01,0,MAX(SUM($G803:AU803)+$B804-SUM($G805:AU805),0))*CHOOSE($D803,1,Параметры!AU$53,Параметры!AU$59)</f>
        <v>0</v>
      </c>
      <c r="AV815" s="185">
        <f>IF(SUM($G809:AV809)&gt;0.01,0,MAX(SUM($G803:AV803)+$B804-SUM($G805:AV805),0))*CHOOSE($D803,1,Параметры!AV$53,Параметры!AV$59)</f>
        <v>0</v>
      </c>
      <c r="AW815" s="185">
        <f>IF(SUM($G809:AW809)&gt;0.01,0,MAX(SUM($G803:AW803)+$B804-SUM($G805:AW805),0))*CHOOSE($D803,1,Параметры!AW$53,Параметры!AW$59)</f>
        <v>0</v>
      </c>
      <c r="AX815" s="185">
        <f>IF(SUM($G809:AX809)&gt;0.01,0,MAX(SUM($G803:AX803)+$B804-SUM($G805:AX805),0))*CHOOSE($D803,1,Параметры!AX$53,Параметры!AX$59)</f>
        <v>0</v>
      </c>
      <c r="AY815" s="185">
        <f>IF(SUM($G809:AY809)&gt;0.01,0,MAX(SUM($G803:AY803)+$B804-SUM($G805:AY805),0))*CHOOSE($D803,1,Параметры!AY$53,Параметры!AY$59)</f>
        <v>0</v>
      </c>
      <c r="AZ815" s="185">
        <f>IF(SUM($G809:AZ809)&gt;0.01,0,MAX(SUM($G803:AZ803)+$B804-SUM($G805:AZ805),0))*CHOOSE($D803,1,Параметры!AZ$53,Параметры!AZ$59)</f>
        <v>0</v>
      </c>
      <c r="BA815" s="185">
        <f>IF(SUM($G809:BA809)&gt;0.01,0,MAX(SUM($G803:BA803)+$B804-SUM($G805:BA805),0))*CHOOSE($D803,1,Параметры!BA$53,Параметры!BA$59)</f>
        <v>0</v>
      </c>
      <c r="BB815" s="185">
        <f>IF(SUM($G809:BB809)&gt;0.01,0,MAX(SUM($G803:BB803)+$B804-SUM($G805:BB805),0))*CHOOSE($D803,1,Параметры!BB$53,Параметры!BB$59)</f>
        <v>0</v>
      </c>
      <c r="BC815" s="185"/>
      <c r="BD815" s="186"/>
    </row>
    <row r="816" spans="1:56" hidden="1" outlineLevel="1" x14ac:dyDescent="0.3">
      <c r="A816" s="184" t="str">
        <f ca="1">Language!A$886</f>
        <v>кредиторская задолженность</v>
      </c>
      <c r="B816" s="170"/>
      <c r="C816" s="163" t="str">
        <f t="shared" ca="1" si="3224"/>
        <v>руб.</v>
      </c>
      <c r="D816" s="174">
        <v>1</v>
      </c>
      <c r="E816" s="170" t="s">
        <v>752</v>
      </c>
      <c r="F816" s="170" t="s">
        <v>741</v>
      </c>
      <c r="G816" s="185">
        <f>IF(SUM($G809:G809)&gt;0.01,0,MAX(SUM($G805:G805)-SUM($G803:G803)-$B804,0))*CHOOSE($D803,1,Параметры!G$53,Параметры!G$59)*(1+G808)</f>
        <v>0</v>
      </c>
      <c r="H816" s="185">
        <f>IF(SUM($G809:H809)&gt;0.01,0,MAX(SUM($G805:H805)-SUM($G803:H803)-$B804,0))*CHOOSE($D803,1,Параметры!H$53,Параметры!H$59)*(1+H808)</f>
        <v>0</v>
      </c>
      <c r="I816" s="185">
        <f>IF(SUM($G809:I809)&gt;0.01,0,MAX(SUM($G805:I805)-SUM($G803:I803)-$B804,0))*CHOOSE($D803,1,Параметры!I$53,Параметры!I$59)*(1+I808)</f>
        <v>0</v>
      </c>
      <c r="J816" s="185">
        <f>IF(SUM($G809:J809)&gt;0.01,0,MAX(SUM($G805:J805)-SUM($G803:J803)-$B804,0))*CHOOSE($D803,1,Параметры!J$53,Параметры!J$59)*(1+J808)</f>
        <v>0</v>
      </c>
      <c r="K816" s="185">
        <f>IF(SUM($G809:K809)&gt;0.01,0,MAX(SUM($G805:K805)-SUM($G803:K803)-$B804,0))*CHOOSE($D803,1,Параметры!K$53,Параметры!K$59)*(1+K808)</f>
        <v>0</v>
      </c>
      <c r="L816" s="185">
        <f>IF(SUM($G809:L809)&gt;0.01,0,MAX(SUM($G805:L805)-SUM($G803:L803)-$B804,0))*CHOOSE($D803,1,Параметры!L$53,Параметры!L$59)*(1+L808)</f>
        <v>0</v>
      </c>
      <c r="M816" s="185">
        <f>IF(SUM($G809:M809)&gt;0.01,0,MAX(SUM($G805:M805)-SUM($G803:M803)-$B804,0))*CHOOSE($D803,1,Параметры!M$53,Параметры!M$59)*(1+M808)</f>
        <v>0</v>
      </c>
      <c r="N816" s="185">
        <f>IF(SUM($G809:N809)&gt;0.01,0,MAX(SUM($G805:N805)-SUM($G803:N803)-$B804,0))*CHOOSE($D803,1,Параметры!N$53,Параметры!N$59)*(1+N808)</f>
        <v>0</v>
      </c>
      <c r="O816" s="185">
        <f>IF(SUM($G809:O809)&gt;0.01,0,MAX(SUM($G805:O805)-SUM($G803:O803)-$B804,0))*CHOOSE($D803,1,Параметры!O$53,Параметры!O$59)*(1+O808)</f>
        <v>0</v>
      </c>
      <c r="P816" s="185">
        <f>IF(SUM($G809:P809)&gt;0.01,0,MAX(SUM($G805:P805)-SUM($G803:P803)-$B804,0))*CHOOSE($D803,1,Параметры!P$53,Параметры!P$59)*(1+P808)</f>
        <v>0</v>
      </c>
      <c r="Q816" s="185">
        <f>IF(SUM($G809:Q809)&gt;0.01,0,MAX(SUM($G805:Q805)-SUM($G803:Q803)-$B804,0))*CHOOSE($D803,1,Параметры!Q$53,Параметры!Q$59)*(1+Q808)</f>
        <v>0</v>
      </c>
      <c r="R816" s="185">
        <f>IF(SUM($G809:R809)&gt;0.01,0,MAX(SUM($G805:R805)-SUM($G803:R803)-$B804,0))*CHOOSE($D803,1,Параметры!R$53,Параметры!R$59)*(1+R808)</f>
        <v>0</v>
      </c>
      <c r="S816" s="185">
        <f>IF(SUM($G809:S809)&gt;0.01,0,MAX(SUM($G805:S805)-SUM($G803:S803)-$B804,0))*CHOOSE($D803,1,Параметры!S$53,Параметры!S$59)*(1+S808)</f>
        <v>0</v>
      </c>
      <c r="T816" s="185">
        <f>IF(SUM($G809:T809)&gt;0.01,0,MAX(SUM($G805:T805)-SUM($G803:T803)-$B804,0))*CHOOSE($D803,1,Параметры!T$53,Параметры!T$59)*(1+T808)</f>
        <v>0</v>
      </c>
      <c r="U816" s="185">
        <f>IF(SUM($G809:U809)&gt;0.01,0,MAX(SUM($G805:U805)-SUM($G803:U803)-$B804,0))*CHOOSE($D803,1,Параметры!U$53,Параметры!U$59)*(1+U808)</f>
        <v>0</v>
      </c>
      <c r="V816" s="185">
        <f>IF(SUM($G809:V809)&gt;0.01,0,MAX(SUM($G805:V805)-SUM($G803:V803)-$B804,0))*CHOOSE($D803,1,Параметры!V$53,Параметры!V$59)*(1+V808)</f>
        <v>0</v>
      </c>
      <c r="W816" s="185">
        <f>IF(SUM($G809:W809)&gt;0.01,0,MAX(SUM($G805:W805)-SUM($G803:W803)-$B804,0))*CHOOSE($D803,1,Параметры!W$53,Параметры!W$59)*(1+W808)</f>
        <v>0</v>
      </c>
      <c r="X816" s="185">
        <f>IF(SUM($G809:X809)&gt;0.01,0,MAX(SUM($G805:X805)-SUM($G803:X803)-$B804,0))*CHOOSE($D803,1,Параметры!X$53,Параметры!X$59)*(1+X808)</f>
        <v>0</v>
      </c>
      <c r="Y816" s="185">
        <f>IF(SUM($G809:Y809)&gt;0.01,0,MAX(SUM($G805:Y805)-SUM($G803:Y803)-$B804,0))*CHOOSE($D803,1,Параметры!Y$53,Параметры!Y$59)*(1+Y808)</f>
        <v>0</v>
      </c>
      <c r="Z816" s="185">
        <f>IF(SUM($G809:Z809)&gt;0.01,0,MAX(SUM($G805:Z805)-SUM($G803:Z803)-$B804,0))*CHOOSE($D803,1,Параметры!Z$53,Параметры!Z$59)*(1+Z808)</f>
        <v>0</v>
      </c>
      <c r="AA816" s="185">
        <f>IF(SUM($G809:AA809)&gt;0.01,0,MAX(SUM($G805:AA805)-SUM($G803:AA803)-$B804,0))*CHOOSE($D803,1,Параметры!AA$53,Параметры!AA$59)*(1+AA808)</f>
        <v>0</v>
      </c>
      <c r="AB816" s="185">
        <f>IF(SUM($G809:AB809)&gt;0.01,0,MAX(SUM($G805:AB805)-SUM($G803:AB803)-$B804,0))*CHOOSE($D803,1,Параметры!AB$53,Параметры!AB$59)*(1+AB808)</f>
        <v>0</v>
      </c>
      <c r="AC816" s="185">
        <f>IF(SUM($G809:AC809)&gt;0.01,0,MAX(SUM($G805:AC805)-SUM($G803:AC803)-$B804,0))*CHOOSE($D803,1,Параметры!AC$53,Параметры!AC$59)*(1+AC808)</f>
        <v>0</v>
      </c>
      <c r="AD816" s="185">
        <f>IF(SUM($G809:AD809)&gt;0.01,0,MAX(SUM($G805:AD805)-SUM($G803:AD803)-$B804,0))*CHOOSE($D803,1,Параметры!AD$53,Параметры!AD$59)*(1+AD808)</f>
        <v>0</v>
      </c>
      <c r="AE816" s="185">
        <f>IF(SUM($G809:AE809)&gt;0.01,0,MAX(SUM($G805:AE805)-SUM($G803:AE803)-$B804,0))*CHOOSE($D803,1,Параметры!AE$53,Параметры!AE$59)*(1+AE808)</f>
        <v>0</v>
      </c>
      <c r="AF816" s="185">
        <f>IF(SUM($G809:AF809)&gt;0.01,0,MAX(SUM($G805:AF805)-SUM($G803:AF803)-$B804,0))*CHOOSE($D803,1,Параметры!AF$53,Параметры!AF$59)*(1+AF808)</f>
        <v>0</v>
      </c>
      <c r="AG816" s="185">
        <f>IF(SUM($G809:AG809)&gt;0.01,0,MAX(SUM($G805:AG805)-SUM($G803:AG803)-$B804,0))*CHOOSE($D803,1,Параметры!AG$53,Параметры!AG$59)*(1+AG808)</f>
        <v>0</v>
      </c>
      <c r="AH816" s="185">
        <f>IF(SUM($G809:AH809)&gt;0.01,0,MAX(SUM($G805:AH805)-SUM($G803:AH803)-$B804,0))*CHOOSE($D803,1,Параметры!AH$53,Параметры!AH$59)*(1+AH808)</f>
        <v>0</v>
      </c>
      <c r="AI816" s="185">
        <f>IF(SUM($G809:AI809)&gt;0.01,0,MAX(SUM($G805:AI805)-SUM($G803:AI803)-$B804,0))*CHOOSE($D803,1,Параметры!AI$53,Параметры!AI$59)*(1+AI808)</f>
        <v>0</v>
      </c>
      <c r="AJ816" s="185">
        <f>IF(SUM($G809:AJ809)&gt;0.01,0,MAX(SUM($G805:AJ805)-SUM($G803:AJ803)-$B804,0))*CHOOSE($D803,1,Параметры!AJ$53,Параметры!AJ$59)*(1+AJ808)</f>
        <v>0</v>
      </c>
      <c r="AK816" s="185">
        <f>IF(SUM($G809:AK809)&gt;0.01,0,MAX(SUM($G805:AK805)-SUM($G803:AK803)-$B804,0))*CHOOSE($D803,1,Параметры!AK$53,Параметры!AK$59)*(1+AK808)</f>
        <v>0</v>
      </c>
      <c r="AL816" s="185">
        <f>IF(SUM($G809:AL809)&gt;0.01,0,MAX(SUM($G805:AL805)-SUM($G803:AL803)-$B804,0))*CHOOSE($D803,1,Параметры!AL$53,Параметры!AL$59)*(1+AL808)</f>
        <v>0</v>
      </c>
      <c r="AM816" s="185">
        <f>IF(SUM($G809:AM809)&gt;0.01,0,MAX(SUM($G805:AM805)-SUM($G803:AM803)-$B804,0))*CHOOSE($D803,1,Параметры!AM$53,Параметры!AM$59)*(1+AM808)</f>
        <v>0</v>
      </c>
      <c r="AN816" s="185">
        <f>IF(SUM($G809:AN809)&gt;0.01,0,MAX(SUM($G805:AN805)-SUM($G803:AN803)-$B804,0))*CHOOSE($D803,1,Параметры!AN$53,Параметры!AN$59)*(1+AN808)</f>
        <v>0</v>
      </c>
      <c r="AO816" s="185">
        <f>IF(SUM($G809:AO809)&gt;0.01,0,MAX(SUM($G805:AO805)-SUM($G803:AO803)-$B804,0))*CHOOSE($D803,1,Параметры!AO$53,Параметры!AO$59)*(1+AO808)</f>
        <v>0</v>
      </c>
      <c r="AP816" s="185">
        <f>IF(SUM($G809:AP809)&gt;0.01,0,MAX(SUM($G805:AP805)-SUM($G803:AP803)-$B804,0))*CHOOSE($D803,1,Параметры!AP$53,Параметры!AP$59)*(1+AP808)</f>
        <v>0</v>
      </c>
      <c r="AQ816" s="185">
        <f>IF(SUM($G809:AQ809)&gt;0.01,0,MAX(SUM($G805:AQ805)-SUM($G803:AQ803)-$B804,0))*CHOOSE($D803,1,Параметры!AQ$53,Параметры!AQ$59)*(1+AQ808)</f>
        <v>0</v>
      </c>
      <c r="AR816" s="185">
        <f>IF(SUM($G809:AR809)&gt;0.01,0,MAX(SUM($G805:AR805)-SUM($G803:AR803)-$B804,0))*CHOOSE($D803,1,Параметры!AR$53,Параметры!AR$59)*(1+AR808)</f>
        <v>0</v>
      </c>
      <c r="AS816" s="185">
        <f>IF(SUM($G809:AS809)&gt;0.01,0,MAX(SUM($G805:AS805)-SUM($G803:AS803)-$B804,0))*CHOOSE($D803,1,Параметры!AS$53,Параметры!AS$59)*(1+AS808)</f>
        <v>0</v>
      </c>
      <c r="AT816" s="185">
        <f>IF(SUM($G809:AT809)&gt;0.01,0,MAX(SUM($G805:AT805)-SUM($G803:AT803)-$B804,0))*CHOOSE($D803,1,Параметры!AT$53,Параметры!AT$59)*(1+AT808)</f>
        <v>0</v>
      </c>
      <c r="AU816" s="185">
        <f>IF(SUM($G809:AU809)&gt;0.01,0,MAX(SUM($G805:AU805)-SUM($G803:AU803)-$B804,0))*CHOOSE($D803,1,Параметры!AU$53,Параметры!AU$59)*(1+AU808)</f>
        <v>0</v>
      </c>
      <c r="AV816" s="185">
        <f>IF(SUM($G809:AV809)&gt;0.01,0,MAX(SUM($G805:AV805)-SUM($G803:AV803)-$B804,0))*CHOOSE($D803,1,Параметры!AV$53,Параметры!AV$59)*(1+AV808)</f>
        <v>0</v>
      </c>
      <c r="AW816" s="185">
        <f>IF(SUM($G809:AW809)&gt;0.01,0,MAX(SUM($G805:AW805)-SUM($G803:AW803)-$B804,0))*CHOOSE($D803,1,Параметры!AW$53,Параметры!AW$59)*(1+AW808)</f>
        <v>0</v>
      </c>
      <c r="AX816" s="185">
        <f>IF(SUM($G809:AX809)&gt;0.01,0,MAX(SUM($G805:AX805)-SUM($G803:AX803)-$B804,0))*CHOOSE($D803,1,Параметры!AX$53,Параметры!AX$59)*(1+AX808)</f>
        <v>0</v>
      </c>
      <c r="AY816" s="185">
        <f>IF(SUM($G809:AY809)&gt;0.01,0,MAX(SUM($G805:AY805)-SUM($G803:AY803)-$B804,0))*CHOOSE($D803,1,Параметры!AY$53,Параметры!AY$59)*(1+AY808)</f>
        <v>0</v>
      </c>
      <c r="AZ816" s="185">
        <f>IF(SUM($G809:AZ809)&gt;0.01,0,MAX(SUM($G805:AZ805)-SUM($G803:AZ803)-$B804,0))*CHOOSE($D803,1,Параметры!AZ$53,Параметры!AZ$59)*(1+AZ808)</f>
        <v>0</v>
      </c>
      <c r="BA816" s="185">
        <f>IF(SUM($G809:BA809)&gt;0.01,0,MAX(SUM($G805:BA805)-SUM($G803:BA803)-$B804,0))*CHOOSE($D803,1,Параметры!BA$53,Параметры!BA$59)*(1+BA808)</f>
        <v>0</v>
      </c>
      <c r="BB816" s="185">
        <f>IF(SUM($G809:BB809)&gt;0.01,0,MAX(SUM($G805:BB805)-SUM($G803:BB803)-$B804,0))*CHOOSE($D803,1,Параметры!BB$53,Параметры!BB$59)*(1+BB808)</f>
        <v>0</v>
      </c>
      <c r="BC816" s="185"/>
      <c r="BD816" s="186"/>
    </row>
    <row r="817" spans="1:56" hidden="1" outlineLevel="1" x14ac:dyDescent="0.3">
      <c r="A817" s="184" t="str">
        <f ca="1">Language!A$1511</f>
        <v>НДС к кредиторской задолженности</v>
      </c>
      <c r="B817" s="170"/>
      <c r="C817" s="163" t="str">
        <f t="shared" ca="1" si="3224"/>
        <v>руб.</v>
      </c>
      <c r="D817" s="174">
        <v>1</v>
      </c>
      <c r="E817" s="170" t="s">
        <v>2294</v>
      </c>
      <c r="F817" s="170" t="s">
        <v>741</v>
      </c>
      <c r="G817" s="185">
        <f>MAX(SUM($G821:G821)-SUM($G820:G820)-SUM($G813:G813),0)</f>
        <v>0</v>
      </c>
      <c r="H817" s="185">
        <f>MAX(SUM($G821:H821)-SUM($G820:H820)-SUM($G813:H813),0)</f>
        <v>0</v>
      </c>
      <c r="I817" s="185">
        <f>MAX(SUM($G821:I821)-SUM($G820:I820)-SUM($G813:I813),0)</f>
        <v>0</v>
      </c>
      <c r="J817" s="185">
        <f>MAX(SUM($G821:J821)-SUM($G820:J820)-SUM($G813:J813),0)</f>
        <v>0</v>
      </c>
      <c r="K817" s="185">
        <f>MAX(SUM($G821:K821)-SUM($G820:K820)-SUM($G813:K813),0)</f>
        <v>0</v>
      </c>
      <c r="L817" s="185">
        <f>MAX(SUM($G821:L821)-SUM($G820:L820)-SUM($G813:L813),0)</f>
        <v>0</v>
      </c>
      <c r="M817" s="185">
        <f>MAX(SUM($G821:M821)-SUM($G820:M820)-SUM($G813:M813),0)</f>
        <v>0</v>
      </c>
      <c r="N817" s="185">
        <f>MAX(SUM($G821:N821)-SUM($G820:N820)-SUM($G813:N813),0)</f>
        <v>0</v>
      </c>
      <c r="O817" s="185">
        <f>MAX(SUM($G821:O821)-SUM($G820:O820)-SUM($G813:O813),0)</f>
        <v>0</v>
      </c>
      <c r="P817" s="185">
        <f>MAX(SUM($G821:P821)-SUM($G820:P820)-SUM($G813:P813),0)</f>
        <v>0</v>
      </c>
      <c r="Q817" s="185">
        <f>MAX(SUM($G821:Q821)-SUM($G820:Q820)-SUM($G813:Q813),0)</f>
        <v>0</v>
      </c>
      <c r="R817" s="185">
        <f>MAX(SUM($G821:R821)-SUM($G820:R820)-SUM($G813:R813),0)</f>
        <v>0</v>
      </c>
      <c r="S817" s="185">
        <f>MAX(SUM($G821:S821)-SUM($G820:S820)-SUM($G813:S813),0)</f>
        <v>0</v>
      </c>
      <c r="T817" s="185">
        <f>MAX(SUM($G821:T821)-SUM($G820:T820)-SUM($G813:T813),0)</f>
        <v>0</v>
      </c>
      <c r="U817" s="185">
        <f>MAX(SUM($G821:U821)-SUM($G820:U820)-SUM($G813:U813),0)</f>
        <v>0</v>
      </c>
      <c r="V817" s="185">
        <f>MAX(SUM($G821:V821)-SUM($G820:V820)-SUM($G813:V813),0)</f>
        <v>0</v>
      </c>
      <c r="W817" s="185">
        <f>MAX(SUM($G821:W821)-SUM($G820:W820)-SUM($G813:W813),0)</f>
        <v>0</v>
      </c>
      <c r="X817" s="185">
        <f>MAX(SUM($G821:X821)-SUM($G820:X820)-SUM($G813:X813),0)</f>
        <v>0</v>
      </c>
      <c r="Y817" s="185">
        <f>MAX(SUM($G821:Y821)-SUM($G820:Y820)-SUM($G813:Y813),0)</f>
        <v>0</v>
      </c>
      <c r="Z817" s="185">
        <f>MAX(SUM($G821:Z821)-SUM($G820:Z820)-SUM($G813:Z813),0)</f>
        <v>0</v>
      </c>
      <c r="AA817" s="185">
        <f>MAX(SUM($G821:AA821)-SUM($G820:AA820)-SUM($G813:AA813),0)</f>
        <v>0</v>
      </c>
      <c r="AB817" s="185">
        <f>MAX(SUM($G821:AB821)-SUM($G820:AB820)-SUM($G813:AB813),0)</f>
        <v>0</v>
      </c>
      <c r="AC817" s="185">
        <f>MAX(SUM($G821:AC821)-SUM($G820:AC820)-SUM($G813:AC813),0)</f>
        <v>0</v>
      </c>
      <c r="AD817" s="185">
        <f>MAX(SUM($G821:AD821)-SUM($G820:AD820)-SUM($G813:AD813),0)</f>
        <v>0</v>
      </c>
      <c r="AE817" s="185">
        <f>MAX(SUM($G821:AE821)-SUM($G820:AE820)-SUM($G813:AE813),0)</f>
        <v>0</v>
      </c>
      <c r="AF817" s="185">
        <f>MAX(SUM($G821:AF821)-SUM($G820:AF820)-SUM($G813:AF813),0)</f>
        <v>0</v>
      </c>
      <c r="AG817" s="185">
        <f>MAX(SUM($G821:AG821)-SUM($G820:AG820)-SUM($G813:AG813),0)</f>
        <v>0</v>
      </c>
      <c r="AH817" s="185">
        <f>MAX(SUM($G821:AH821)-SUM($G820:AH820)-SUM($G813:AH813),0)</f>
        <v>0</v>
      </c>
      <c r="AI817" s="185">
        <f>MAX(SUM($G821:AI821)-SUM($G820:AI820)-SUM($G813:AI813),0)</f>
        <v>0</v>
      </c>
      <c r="AJ817" s="185">
        <f>MAX(SUM($G821:AJ821)-SUM($G820:AJ820)-SUM($G813:AJ813),0)</f>
        <v>0</v>
      </c>
      <c r="AK817" s="185">
        <f>MAX(SUM($G821:AK821)-SUM($G820:AK820)-SUM($G813:AK813),0)</f>
        <v>0</v>
      </c>
      <c r="AL817" s="185">
        <f>MAX(SUM($G821:AL821)-SUM($G820:AL820)-SUM($G813:AL813),0)</f>
        <v>0</v>
      </c>
      <c r="AM817" s="185">
        <f>MAX(SUM($G821:AM821)-SUM($G820:AM820)-SUM($G813:AM813),0)</f>
        <v>0</v>
      </c>
      <c r="AN817" s="185">
        <f>MAX(SUM($G821:AN821)-SUM($G820:AN820)-SUM($G813:AN813),0)</f>
        <v>0</v>
      </c>
      <c r="AO817" s="185">
        <f>MAX(SUM($G821:AO821)-SUM($G820:AO820)-SUM($G813:AO813),0)</f>
        <v>0</v>
      </c>
      <c r="AP817" s="185">
        <f>MAX(SUM($G821:AP821)-SUM($G820:AP820)-SUM($G813:AP813),0)</f>
        <v>0</v>
      </c>
      <c r="AQ817" s="185">
        <f>MAX(SUM($G821:AQ821)-SUM($G820:AQ820)-SUM($G813:AQ813),0)</f>
        <v>0</v>
      </c>
      <c r="AR817" s="185">
        <f>MAX(SUM($G821:AR821)-SUM($G820:AR820)-SUM($G813:AR813),0)</f>
        <v>0</v>
      </c>
      <c r="AS817" s="185">
        <f>MAX(SUM($G821:AS821)-SUM($G820:AS820)-SUM($G813:AS813),0)</f>
        <v>0</v>
      </c>
      <c r="AT817" s="185">
        <f>MAX(SUM($G821:AT821)-SUM($G820:AT820)-SUM($G813:AT813),0)</f>
        <v>0</v>
      </c>
      <c r="AU817" s="185">
        <f>MAX(SUM($G821:AU821)-SUM($G820:AU820)-SUM($G813:AU813),0)</f>
        <v>0</v>
      </c>
      <c r="AV817" s="185">
        <f>MAX(SUM($G821:AV821)-SUM($G820:AV820)-SUM($G813:AV813),0)</f>
        <v>0</v>
      </c>
      <c r="AW817" s="185">
        <f>MAX(SUM($G821:AW821)-SUM($G820:AW820)-SUM($G813:AW813),0)</f>
        <v>0</v>
      </c>
      <c r="AX817" s="185">
        <f>MAX(SUM($G821:AX821)-SUM($G820:AX820)-SUM($G813:AX813),0)</f>
        <v>0</v>
      </c>
      <c r="AY817" s="185">
        <f>MAX(SUM($G821:AY821)-SUM($G820:AY820)-SUM($G813:AY813),0)</f>
        <v>0</v>
      </c>
      <c r="AZ817" s="185">
        <f>MAX(SUM($G821:AZ821)-SUM($G820:AZ820)-SUM($G813:AZ813),0)</f>
        <v>0</v>
      </c>
      <c r="BA817" s="185">
        <f>MAX(SUM($G821:BA821)-SUM($G820:BA820)-SUM($G813:BA813),0)</f>
        <v>0</v>
      </c>
      <c r="BB817" s="185">
        <f>MAX(SUM($G821:BB821)-SUM($G820:BB820)-SUM($G813:BB813),0)</f>
        <v>0</v>
      </c>
      <c r="BC817" s="185"/>
      <c r="BD817" s="186"/>
    </row>
    <row r="818" spans="1:56" hidden="1" outlineLevel="1" x14ac:dyDescent="0.3">
      <c r="A818" s="184" t="str">
        <f ca="1">Language!A$887</f>
        <v>амортизация (бухгалтерская)</v>
      </c>
      <c r="B818" s="170"/>
      <c r="C818" s="163" t="str">
        <f t="shared" ca="1" si="3224"/>
        <v>руб.</v>
      </c>
      <c r="D818" s="174">
        <v>1</v>
      </c>
      <c r="E818" s="170" t="s">
        <v>756</v>
      </c>
      <c r="F818" s="170" t="s">
        <v>740</v>
      </c>
      <c r="G818" s="185">
        <f ca="1">IF(SUM($G809:G809)&gt;0.01,0,IF($B806=0,0,MIN((SUM($G814:G814)-IF(G$2&gt;$B806*12/Prj_Step,SUM($G814:OFFSET(G814,0,-$B806*12/Prj_Step)),0))/$B806/12*Параметры!G$31,IF(G$2=1,G814,F819+SUM($F814:G814)-SUM($F814:F814)))))</f>
        <v>0</v>
      </c>
      <c r="H818" s="185">
        <f ca="1">IF(SUM($G809:H809)&gt;0.01,0,IF($B806=0,0,MIN((SUM($G814:H814)-IF(H$2&gt;$B806*12/Prj_Step,SUM($G814:OFFSET(H814,0,-$B806*12/Prj_Step)),0))/$B806/12*Параметры!H$31,IF(H$2=1,H814,G819+SUM($F814:H814)-SUM($F814:G814)))))</f>
        <v>0</v>
      </c>
      <c r="I818" s="185">
        <f ca="1">IF(SUM($G809:I809)&gt;0.01,0,IF($B806=0,0,MIN((SUM($G814:I814)-IF(I$2&gt;$B806*12/Prj_Step,SUM($G814:OFFSET(I814,0,-$B806*12/Prj_Step)),0))/$B806/12*Параметры!I$31,IF(I$2=1,I814,H819+SUM($F814:I814)-SUM($F814:H814)))))</f>
        <v>0</v>
      </c>
      <c r="J818" s="185">
        <f ca="1">IF(SUM($G809:J809)&gt;0.01,0,IF($B806=0,0,MIN((SUM($G814:J814)-IF(J$2&gt;$B806*12/Prj_Step,SUM($G814:OFFSET(J814,0,-$B806*12/Prj_Step)),0))/$B806/12*Параметры!J$31,IF(J$2=1,J814,I819+SUM($F814:J814)-SUM($F814:I814)))))</f>
        <v>0</v>
      </c>
      <c r="K818" s="185">
        <f ca="1">IF(SUM($G809:K809)&gt;0.01,0,IF($B806=0,0,MIN((SUM($G814:K814)-IF(K$2&gt;$B806*12/Prj_Step,SUM($G814:OFFSET(K814,0,-$B806*12/Prj_Step)),0))/$B806/12*Параметры!K$31,IF(K$2=1,K814,J819+SUM($F814:K814)-SUM($F814:J814)))))</f>
        <v>0</v>
      </c>
      <c r="L818" s="185">
        <f ca="1">IF(SUM($G809:L809)&gt;0.01,0,IF($B806=0,0,MIN((SUM($G814:L814)-IF(L$2&gt;$B806*12/Prj_Step,SUM($G814:OFFSET(L814,0,-$B806*12/Prj_Step)),0))/$B806/12*Параметры!L$31,IF(L$2=1,L814,K819+SUM($F814:L814)-SUM($F814:K814)))))</f>
        <v>0</v>
      </c>
      <c r="M818" s="185">
        <f ca="1">IF(SUM($G809:M809)&gt;0.01,0,IF($B806=0,0,MIN((SUM($G814:M814)-IF(M$2&gt;$B806*12/Prj_Step,SUM($G814:OFFSET(M814,0,-$B806*12/Prj_Step)),0))/$B806/12*Параметры!M$31,IF(M$2=1,M814,L819+SUM($F814:M814)-SUM($F814:L814)))))</f>
        <v>208333.33333333334</v>
      </c>
      <c r="N818" s="185">
        <f ca="1">IF(SUM($G809:N809)&gt;0.01,0,IF($B806=0,0,MIN((SUM($G814:N814)-IF(N$2&gt;$B806*12/Prj_Step,SUM($G814:OFFSET(N814,0,-$B806*12/Prj_Step)),0))/$B806/12*Параметры!N$31,IF(N$2=1,N814,M819+SUM($F814:N814)-SUM($F814:M814)))))</f>
        <v>208333.33333333334</v>
      </c>
      <c r="O818" s="185">
        <f ca="1">IF(SUM($G809:O809)&gt;0.01,0,IF($B806=0,0,MIN((SUM($G814:O814)-IF(O$2&gt;$B806*12/Prj_Step,SUM($G814:OFFSET(O814,0,-$B806*12/Prj_Step)),0))/$B806/12*Параметры!O$31,IF(O$2=1,O814,N819+SUM($F814:O814)-SUM($F814:N814)))))</f>
        <v>208333.33333333334</v>
      </c>
      <c r="P818" s="185">
        <f ca="1">IF(SUM($G809:P809)&gt;0.01,0,IF($B806=0,0,MIN((SUM($G814:P814)-IF(P$2&gt;$B806*12/Prj_Step,SUM($G814:OFFSET(P814,0,-$B806*12/Prj_Step)),0))/$B806/12*Параметры!P$31,IF(P$2=1,P814,O819+SUM($F814:P814)-SUM($F814:O814)))))</f>
        <v>208333.33333333334</v>
      </c>
      <c r="Q818" s="185">
        <f ca="1">IF(SUM($G809:Q809)&gt;0.01,0,IF($B806=0,0,MIN((SUM($G814:Q814)-IF(Q$2&gt;$B806*12/Prj_Step,SUM($G814:OFFSET(Q814,0,-$B806*12/Prj_Step)),0))/$B806/12*Параметры!Q$31,IF(Q$2=1,Q814,P819+SUM($F814:Q814)-SUM($F814:P814)))))</f>
        <v>208333.33333333334</v>
      </c>
      <c r="R818" s="185">
        <f ca="1">IF(SUM($G809:R809)&gt;0.01,0,IF($B806=0,0,MIN((SUM($G814:R814)-IF(R$2&gt;$B806*12/Prj_Step,SUM($G814:OFFSET(R814,0,-$B806*12/Prj_Step)),0))/$B806/12*Параметры!R$31,IF(R$2=1,R814,Q819+SUM($F814:R814)-SUM($F814:Q814)))))</f>
        <v>208333.33333333334</v>
      </c>
      <c r="S818" s="185">
        <f ca="1">IF(SUM($G809:S809)&gt;0.01,0,IF($B806=0,0,MIN((SUM($G814:S814)-IF(S$2&gt;$B806*12/Prj_Step,SUM($G814:OFFSET(S814,0,-$B806*12/Prj_Step)),0))/$B806/12*Параметры!S$31,IF(S$2=1,S814,R819+SUM($F814:S814)-SUM($F814:R814)))))</f>
        <v>208333.33333333334</v>
      </c>
      <c r="T818" s="185">
        <f ca="1">IF(SUM($G809:T809)&gt;0.01,0,IF($B806=0,0,MIN((SUM($G814:T814)-IF(T$2&gt;$B806*12/Prj_Step,SUM($G814:OFFSET(T814,0,-$B806*12/Prj_Step)),0))/$B806/12*Параметры!T$31,IF(T$2=1,T814,S819+SUM($F814:T814)-SUM($F814:S814)))))</f>
        <v>208333.33333333334</v>
      </c>
      <c r="U818" s="185">
        <f ca="1">IF(SUM($G809:U809)&gt;0.01,0,IF($B806=0,0,MIN((SUM($G814:U814)-IF(U$2&gt;$B806*12/Prj_Step,SUM($G814:OFFSET(U814,0,-$B806*12/Prj_Step)),0))/$B806/12*Параметры!U$31,IF(U$2=1,U814,T819+SUM($F814:U814)-SUM($F814:T814)))))</f>
        <v>208333.33333333334</v>
      </c>
      <c r="V818" s="185">
        <f ca="1">IF(SUM($G809:V809)&gt;0.01,0,IF($B806=0,0,MIN((SUM($G814:V814)-IF(V$2&gt;$B806*12/Prj_Step,SUM($G814:OFFSET(V814,0,-$B806*12/Prj_Step)),0))/$B806/12*Параметры!V$31,IF(V$2=1,V814,U819+SUM($F814:V814)-SUM($F814:U814)))))</f>
        <v>208333.33333333334</v>
      </c>
      <c r="W818" s="185">
        <f ca="1">IF(SUM($G809:W809)&gt;0.01,0,IF($B806=0,0,MIN((SUM($G814:W814)-IF(W$2&gt;$B806*12/Prj_Step,SUM($G814:OFFSET(W814,0,-$B806*12/Prj_Step)),0))/$B806/12*Параметры!W$31,IF(W$2=1,W814,V819+SUM($F814:W814)-SUM($F814:V814)))))</f>
        <v>208333.33333333334</v>
      </c>
      <c r="X818" s="185">
        <f ca="1">IF(SUM($G809:X809)&gt;0.01,0,IF($B806=0,0,MIN((SUM($G814:X814)-IF(X$2&gt;$B806*12/Prj_Step,SUM($G814:OFFSET(X814,0,-$B806*12/Prj_Step)),0))/$B806/12*Параметры!X$31,IF(X$2=1,X814,W819+SUM($F814:X814)-SUM($F814:W814)))))</f>
        <v>208333.33333333334</v>
      </c>
      <c r="Y818" s="185">
        <f ca="1">IF(SUM($G809:Y809)&gt;0.01,0,IF($B806=0,0,MIN((SUM($G814:Y814)-IF(Y$2&gt;$B806*12/Prj_Step,SUM($G814:OFFSET(Y814,0,-$B806*12/Prj_Step)),0))/$B806/12*Параметры!Y$31,IF(Y$2=1,Y814,X819+SUM($F814:Y814)-SUM($F814:X814)))))</f>
        <v>208333.33333333334</v>
      </c>
      <c r="Z818" s="185">
        <f ca="1">IF(SUM($G809:Z809)&gt;0.01,0,IF($B806=0,0,MIN((SUM($G814:Z814)-IF(Z$2&gt;$B806*12/Prj_Step,SUM($G814:OFFSET(Z814,0,-$B806*12/Prj_Step)),0))/$B806/12*Параметры!Z$31,IF(Z$2=1,Z814,Y819+SUM($F814:Z814)-SUM($F814:Y814)))))</f>
        <v>208333.33333333334</v>
      </c>
      <c r="AA818" s="185">
        <f ca="1">IF(SUM($G809:AA809)&gt;0.01,0,IF($B806=0,0,MIN((SUM($G814:AA814)-IF(AA$2&gt;$B806*12/Prj_Step,SUM($G814:OFFSET(AA814,0,-$B806*12/Prj_Step)),0))/$B806/12*Параметры!AA$31,IF(AA$2=1,AA814,Z819+SUM($F814:AA814)-SUM($F814:Z814)))))</f>
        <v>208333.33333333334</v>
      </c>
      <c r="AB818" s="185">
        <f ca="1">IF(SUM($G809:AB809)&gt;0.01,0,IF($B806=0,0,MIN((SUM($G814:AB814)-IF(AB$2&gt;$B806*12/Prj_Step,SUM($G814:OFFSET(AB814,0,-$B806*12/Prj_Step)),0))/$B806/12*Параметры!AB$31,IF(AB$2=1,AB814,AA819+SUM($F814:AB814)-SUM($F814:AA814)))))</f>
        <v>208333.33333333334</v>
      </c>
      <c r="AC818" s="185">
        <f ca="1">IF(SUM($G809:AC809)&gt;0.01,0,IF($B806=0,0,MIN((SUM($G814:AC814)-IF(AC$2&gt;$B806*12/Prj_Step,SUM($G814:OFFSET(AC814,0,-$B806*12/Prj_Step)),0))/$B806/12*Параметры!AC$31,IF(AC$2=1,AC814,AB819+SUM($F814:AC814)-SUM($F814:AB814)))))</f>
        <v>208333.33333333334</v>
      </c>
      <c r="AD818" s="185">
        <f ca="1">IF(SUM($G809:AD809)&gt;0.01,0,IF($B806=0,0,MIN((SUM($G814:AD814)-IF(AD$2&gt;$B806*12/Prj_Step,SUM($G814:OFFSET(AD814,0,-$B806*12/Prj_Step)),0))/$B806/12*Параметры!AD$31,IF(AD$2=1,AD814,AC819+SUM($F814:AD814)-SUM($F814:AC814)))))</f>
        <v>208333.33333333334</v>
      </c>
      <c r="AE818" s="185">
        <f ca="1">IF(SUM($G809:AE809)&gt;0.01,0,IF($B806=0,0,MIN((SUM($G814:AE814)-IF(AE$2&gt;$B806*12/Prj_Step,SUM($G814:OFFSET(AE814,0,-$B806*12/Prj_Step)),0))/$B806/12*Параметры!AE$31,IF(AE$2=1,AE814,AD819+SUM($F814:AE814)-SUM($F814:AD814)))))</f>
        <v>208333.33333333334</v>
      </c>
      <c r="AF818" s="185">
        <f ca="1">IF(SUM($G809:AF809)&gt;0.01,0,IF($B806=0,0,MIN((SUM($G814:AF814)-IF(AF$2&gt;$B806*12/Prj_Step,SUM($G814:OFFSET(AF814,0,-$B806*12/Prj_Step)),0))/$B806/12*Параметры!AF$31,IF(AF$2=1,AF814,AE819+SUM($F814:AF814)-SUM($F814:AE814)))))</f>
        <v>208333.33333333334</v>
      </c>
      <c r="AG818" s="185">
        <f ca="1">IF(SUM($G809:AG809)&gt;0.01,0,IF($B806=0,0,MIN((SUM($G814:AG814)-IF(AG$2&gt;$B806*12/Prj_Step,SUM($G814:OFFSET(AG814,0,-$B806*12/Prj_Step)),0))/$B806/12*Параметры!AG$31,IF(AG$2=1,AG814,AF819+SUM($F814:AG814)-SUM($F814:AF814)))))</f>
        <v>208333.33333333334</v>
      </c>
      <c r="AH818" s="185">
        <f ca="1">IF(SUM($G809:AH809)&gt;0.01,0,IF($B806=0,0,MIN((SUM($G814:AH814)-IF(AH$2&gt;$B806*12/Prj_Step,SUM($G814:OFFSET(AH814,0,-$B806*12/Prj_Step)),0))/$B806/12*Параметры!AH$31,IF(AH$2=1,AH814,AG819+SUM($F814:AH814)-SUM($F814:AG814)))))</f>
        <v>208333.33333333334</v>
      </c>
      <c r="AI818" s="185">
        <f ca="1">IF(SUM($G809:AI809)&gt;0.01,0,IF($B806=0,0,MIN((SUM($G814:AI814)-IF(AI$2&gt;$B806*12/Prj_Step,SUM($G814:OFFSET(AI814,0,-$B806*12/Prj_Step)),0))/$B806/12*Параметры!AI$31,IF(AI$2=1,AI814,AH819+SUM($F814:AI814)-SUM($F814:AH814)))))</f>
        <v>208333.33333333334</v>
      </c>
      <c r="AJ818" s="185">
        <f ca="1">IF(SUM($G809:AJ809)&gt;0.01,0,IF($B806=0,0,MIN((SUM($G814:AJ814)-IF(AJ$2&gt;$B806*12/Prj_Step,SUM($G814:OFFSET(AJ814,0,-$B806*12/Prj_Step)),0))/$B806/12*Параметры!AJ$31,IF(AJ$2=1,AJ814,AI819+SUM($F814:AJ814)-SUM($F814:AI814)))))</f>
        <v>208333.33333333334</v>
      </c>
      <c r="AK818" s="185">
        <f ca="1">IF(SUM($G809:AK809)&gt;0.01,0,IF($B806=0,0,MIN((SUM($G814:AK814)-IF(AK$2&gt;$B806*12/Prj_Step,SUM($G814:OFFSET(AK814,0,-$B806*12/Prj_Step)),0))/$B806/12*Параметры!AK$31,IF(AK$2=1,AK814,AJ819+SUM($F814:AK814)-SUM($F814:AJ814)))))</f>
        <v>208333.33333333334</v>
      </c>
      <c r="AL818" s="185">
        <f ca="1">IF(SUM($G809:AL809)&gt;0.01,0,IF($B806=0,0,MIN((SUM($G814:AL814)-IF(AL$2&gt;$B806*12/Prj_Step,SUM($G814:OFFSET(AL814,0,-$B806*12/Prj_Step)),0))/$B806/12*Параметры!AL$31,IF(AL$2=1,AL814,AK819+SUM($F814:AL814)-SUM($F814:AK814)))))</f>
        <v>208333.33333333334</v>
      </c>
      <c r="AM818" s="185">
        <f ca="1">IF(SUM($G809:AM809)&gt;0.01,0,IF($B806=0,0,MIN((SUM($G814:AM814)-IF(AM$2&gt;$B806*12/Prj_Step,SUM($G814:OFFSET(AM814,0,-$B806*12/Prj_Step)),0))/$B806/12*Параметры!AM$31,IF(AM$2=1,AM814,AL819+SUM($F814:AM814)-SUM($F814:AL814)))))</f>
        <v>208333.33333333334</v>
      </c>
      <c r="AN818" s="185">
        <f ca="1">IF(SUM($G809:AN809)&gt;0.01,0,IF($B806=0,0,MIN((SUM($G814:AN814)-IF(AN$2&gt;$B806*12/Prj_Step,SUM($G814:OFFSET(AN814,0,-$B806*12/Prj_Step)),0))/$B806/12*Параметры!AN$31,IF(AN$2=1,AN814,AM819+SUM($F814:AN814)-SUM($F814:AM814)))))</f>
        <v>208333.33333333334</v>
      </c>
      <c r="AO818" s="185">
        <f ca="1">IF(SUM($G809:AO809)&gt;0.01,0,IF($B806=0,0,MIN((SUM($G814:AO814)-IF(AO$2&gt;$B806*12/Prj_Step,SUM($G814:OFFSET(AO814,0,-$B806*12/Prj_Step)),0))/$B806/12*Параметры!AO$31,IF(AO$2=1,AO814,AN819+SUM($F814:AO814)-SUM($F814:AN814)))))</f>
        <v>208333.33333333334</v>
      </c>
      <c r="AP818" s="185">
        <f ca="1">IF(SUM($G809:AP809)&gt;0.01,0,IF($B806=0,0,MIN((SUM($G814:AP814)-IF(AP$2&gt;$B806*12/Prj_Step,SUM($G814:OFFSET(AP814,0,-$B806*12/Prj_Step)),0))/$B806/12*Параметры!AP$31,IF(AP$2=1,AP814,AO819+SUM($F814:AP814)-SUM($F814:AO814)))))</f>
        <v>208333.33333333334</v>
      </c>
      <c r="AQ818" s="185">
        <f ca="1">IF(SUM($G809:AQ809)&gt;0.01,0,IF($B806=0,0,MIN((SUM($G814:AQ814)-IF(AQ$2&gt;$B806*12/Prj_Step,SUM($G814:OFFSET(AQ814,0,-$B806*12/Prj_Step)),0))/$B806/12*Параметры!AQ$31,IF(AQ$2=1,AQ814,AP819+SUM($F814:AQ814)-SUM($F814:AP814)))))</f>
        <v>208333.33333333334</v>
      </c>
      <c r="AR818" s="185">
        <f ca="1">IF(SUM($G809:AR809)&gt;0.01,0,IF($B806=0,0,MIN((SUM($G814:AR814)-IF(AR$2&gt;$B806*12/Prj_Step,SUM($G814:OFFSET(AR814,0,-$B806*12/Prj_Step)),0))/$B806/12*Параметры!AR$31,IF(AR$2=1,AR814,AQ819+SUM($F814:AR814)-SUM($F814:AQ814)))))</f>
        <v>208333.33333333334</v>
      </c>
      <c r="AS818" s="185">
        <f ca="1">IF(SUM($G809:AS809)&gt;0.01,0,IF($B806=0,0,MIN((SUM($G814:AS814)-IF(AS$2&gt;$B806*12/Prj_Step,SUM($G814:OFFSET(AS814,0,-$B806*12/Prj_Step)),0))/$B806/12*Параметры!AS$31,IF(AS$2=1,AS814,AR819+SUM($F814:AS814)-SUM($F814:AR814)))))</f>
        <v>208333.33333333334</v>
      </c>
      <c r="AT818" s="185">
        <f ca="1">IF(SUM($G809:AT809)&gt;0.01,0,IF($B806=0,0,MIN((SUM($G814:AT814)-IF(AT$2&gt;$B806*12/Prj_Step,SUM($G814:OFFSET(AT814,0,-$B806*12/Prj_Step)),0))/$B806/12*Параметры!AT$31,IF(AT$2=1,AT814,AS819+SUM($F814:AT814)-SUM($F814:AS814)))))</f>
        <v>208333.33333333334</v>
      </c>
      <c r="AU818" s="185">
        <f ca="1">IF(SUM($G809:AU809)&gt;0.01,0,IF($B806=0,0,MIN((SUM($G814:AU814)-IF(AU$2&gt;$B806*12/Prj_Step,SUM($G814:OFFSET(AU814,0,-$B806*12/Prj_Step)),0))/$B806/12*Параметры!AU$31,IF(AU$2=1,AU814,AT819+SUM($F814:AU814)-SUM($F814:AT814)))))</f>
        <v>208333.33333333334</v>
      </c>
      <c r="AV818" s="185">
        <f ca="1">IF(SUM($G809:AV809)&gt;0.01,0,IF($B806=0,0,MIN((SUM($G814:AV814)-IF(AV$2&gt;$B806*12/Prj_Step,SUM($G814:OFFSET(AV814,0,-$B806*12/Prj_Step)),0))/$B806/12*Параметры!AV$31,IF(AV$2=1,AV814,AU819+SUM($F814:AV814)-SUM($F814:AU814)))))</f>
        <v>208333.33333333334</v>
      </c>
      <c r="AW818" s="185">
        <f ca="1">IF(SUM($G809:AW809)&gt;0.01,0,IF($B806=0,0,MIN((SUM($G814:AW814)-IF(AW$2&gt;$B806*12/Prj_Step,SUM($G814:OFFSET(AW814,0,-$B806*12/Prj_Step)),0))/$B806/12*Параметры!AW$31,IF(AW$2=1,AW814,AV819+SUM($F814:AW814)-SUM($F814:AV814)))))</f>
        <v>208333.33333333334</v>
      </c>
      <c r="AX818" s="185">
        <f ca="1">IF(SUM($G809:AX809)&gt;0.01,0,IF($B806=0,0,MIN((SUM($G814:AX814)-IF(AX$2&gt;$B806*12/Prj_Step,SUM($G814:OFFSET(AX814,0,-$B806*12/Prj_Step)),0))/$B806/12*Параметры!AX$31,IF(AX$2=1,AX814,AW819+SUM($F814:AX814)-SUM($F814:AW814)))))</f>
        <v>208333.33333333334</v>
      </c>
      <c r="AY818" s="185">
        <f ca="1">IF(SUM($G809:AY809)&gt;0.01,0,IF($B806=0,0,MIN((SUM($G814:AY814)-IF(AY$2&gt;$B806*12/Prj_Step,SUM($G814:OFFSET(AY814,0,-$B806*12/Prj_Step)),0))/$B806/12*Параметры!AY$31,IF(AY$2=1,AY814,AX819+SUM($F814:AY814)-SUM($F814:AX814)))))</f>
        <v>208333.33333333334</v>
      </c>
      <c r="AZ818" s="185">
        <f ca="1">IF(SUM($G809:AZ809)&gt;0.01,0,IF($B806=0,0,MIN((SUM($G814:AZ814)-IF(AZ$2&gt;$B806*12/Prj_Step,SUM($G814:OFFSET(AZ814,0,-$B806*12/Prj_Step)),0))/$B806/12*Параметры!AZ$31,IF(AZ$2=1,AZ814,AY819+SUM($F814:AZ814)-SUM($F814:AY814)))))</f>
        <v>208333.33333333334</v>
      </c>
      <c r="BA818" s="185">
        <f ca="1">IF(SUM($G809:BA809)&gt;0.01,0,IF($B806=0,0,MIN((SUM($G814:BA814)-IF(BA$2&gt;$B806*12/Prj_Step,SUM($G814:OFFSET(BA814,0,-$B806*12/Prj_Step)),0))/$B806/12*Параметры!BA$31,IF(BA$2=1,BA814,AZ819+SUM($F814:BA814)-SUM($F814:AZ814)))))</f>
        <v>208333.33333333334</v>
      </c>
      <c r="BB818" s="185">
        <f ca="1">IF(SUM($G809:BB809)&gt;0.01,0,IF($B806=0,0,MIN((SUM($G814:BB814)-IF(BB$2&gt;$B806*12/Prj_Step,SUM($G814:OFFSET(BB814,0,-$B806*12/Prj_Step)),0))/$B806/12*Параметры!BB$31,IF(BB$2=1,BB814,BA819+SUM($F814:BB814)-SUM($F814:BA814)))))</f>
        <v>208333.33333333334</v>
      </c>
      <c r="BC818" s="185"/>
      <c r="BD818" s="193">
        <f ca="1">SUM(G818:BC818)</f>
        <v>8749999.9999999963</v>
      </c>
    </row>
    <row r="819" spans="1:56" hidden="1" outlineLevel="1" x14ac:dyDescent="0.3">
      <c r="A819" s="184" t="str">
        <f ca="1">Language!A$888</f>
        <v>балансовая стоимость (бухгалтерская)</v>
      </c>
      <c r="B819" s="170"/>
      <c r="C819" s="163" t="str">
        <f t="shared" ca="1" si="3224"/>
        <v>руб.</v>
      </c>
      <c r="D819" s="174">
        <v>1</v>
      </c>
      <c r="E819" s="170" t="s">
        <v>757</v>
      </c>
      <c r="F819" s="170" t="s">
        <v>741</v>
      </c>
      <c r="G819" s="185">
        <f ca="1">IF(SUM($G809:G809)&gt;0.01,0,SUM($G814:G814)-SUM($G818:G818))</f>
        <v>0</v>
      </c>
      <c r="H819" s="185">
        <f ca="1">IF(SUM($G809:H809)&gt;0.01,0,SUM($G814:H814)-SUM($G818:H818))</f>
        <v>0</v>
      </c>
      <c r="I819" s="185">
        <f ca="1">IF(SUM($G809:I809)&gt;0.01,0,SUM($G814:I814)-SUM($G818:I818))</f>
        <v>0</v>
      </c>
      <c r="J819" s="185">
        <f ca="1">IF(SUM($G809:J809)&gt;0.01,0,SUM($G814:J814)-SUM($G818:J818))</f>
        <v>0</v>
      </c>
      <c r="K819" s="185">
        <f ca="1">IF(SUM($G809:K809)&gt;0.01,0,SUM($G814:K814)-SUM($G818:K818))</f>
        <v>0</v>
      </c>
      <c r="L819" s="185">
        <f ca="1">IF(SUM($G809:L809)&gt;0.01,0,SUM($G814:L814)-SUM($G818:L818))</f>
        <v>0</v>
      </c>
      <c r="M819" s="185">
        <f ca="1">IF(SUM($G809:M809)&gt;0.01,0,SUM($G814:M814)-SUM($G818:M818))</f>
        <v>74791666.666666672</v>
      </c>
      <c r="N819" s="185">
        <f ca="1">IF(SUM($G809:N809)&gt;0.01,0,SUM($G814:N814)-SUM($G818:N818))</f>
        <v>74583333.333333328</v>
      </c>
      <c r="O819" s="185">
        <f ca="1">IF(SUM($G809:O809)&gt;0.01,0,SUM($G814:O814)-SUM($G818:O818))</f>
        <v>74375000</v>
      </c>
      <c r="P819" s="185">
        <f ca="1">IF(SUM($G809:P809)&gt;0.01,0,SUM($G814:P814)-SUM($G818:P818))</f>
        <v>74166666.666666672</v>
      </c>
      <c r="Q819" s="185">
        <f ca="1">IF(SUM($G809:Q809)&gt;0.01,0,SUM($G814:Q814)-SUM($G818:Q818))</f>
        <v>73958333.333333328</v>
      </c>
      <c r="R819" s="185">
        <f ca="1">IF(SUM($G809:R809)&gt;0.01,0,SUM($G814:R814)-SUM($G818:R818))</f>
        <v>73750000</v>
      </c>
      <c r="S819" s="185">
        <f ca="1">IF(SUM($G809:S809)&gt;0.01,0,SUM($G814:S814)-SUM($G818:S818))</f>
        <v>73541666.666666672</v>
      </c>
      <c r="T819" s="185">
        <f ca="1">IF(SUM($G809:T809)&gt;0.01,0,SUM($G814:T814)-SUM($G818:T818))</f>
        <v>73333333.333333328</v>
      </c>
      <c r="U819" s="185">
        <f ca="1">IF(SUM($G809:U809)&gt;0.01,0,SUM($G814:U814)-SUM($G818:U818))</f>
        <v>73125000</v>
      </c>
      <c r="V819" s="185">
        <f ca="1">IF(SUM($G809:V809)&gt;0.01,0,SUM($G814:V814)-SUM($G818:V818))</f>
        <v>72916666.666666672</v>
      </c>
      <c r="W819" s="185">
        <f ca="1">IF(SUM($G809:W809)&gt;0.01,0,SUM($G814:W814)-SUM($G818:W818))</f>
        <v>72708333.333333328</v>
      </c>
      <c r="X819" s="185">
        <f ca="1">IF(SUM($G809:X809)&gt;0.01,0,SUM($G814:X814)-SUM($G818:X818))</f>
        <v>72500000</v>
      </c>
      <c r="Y819" s="185">
        <f ca="1">IF(SUM($G809:Y809)&gt;0.01,0,SUM($G814:Y814)-SUM($G818:Y818))</f>
        <v>72291666.666666672</v>
      </c>
      <c r="Z819" s="185">
        <f ca="1">IF(SUM($G809:Z809)&gt;0.01,0,SUM($G814:Z814)-SUM($G818:Z818))</f>
        <v>72083333.333333328</v>
      </c>
      <c r="AA819" s="185">
        <f ca="1">IF(SUM($G809:AA809)&gt;0.01,0,SUM($G814:AA814)-SUM($G818:AA818))</f>
        <v>71875000</v>
      </c>
      <c r="AB819" s="185">
        <f ca="1">IF(SUM($G809:AB809)&gt;0.01,0,SUM($G814:AB814)-SUM($G818:AB818))</f>
        <v>71666666.666666672</v>
      </c>
      <c r="AC819" s="185">
        <f ca="1">IF(SUM($G809:AC809)&gt;0.01,0,SUM($G814:AC814)-SUM($G818:AC818))</f>
        <v>71458333.333333328</v>
      </c>
      <c r="AD819" s="185">
        <f ca="1">IF(SUM($G809:AD809)&gt;0.01,0,SUM($G814:AD814)-SUM($G818:AD818))</f>
        <v>71250000</v>
      </c>
      <c r="AE819" s="185">
        <f ca="1">IF(SUM($G809:AE809)&gt;0.01,0,SUM($G814:AE814)-SUM($G818:AE818))</f>
        <v>71041666.666666672</v>
      </c>
      <c r="AF819" s="185">
        <f ca="1">IF(SUM($G809:AF809)&gt;0.01,0,SUM($G814:AF814)-SUM($G818:AF818))</f>
        <v>70833333.333333328</v>
      </c>
      <c r="AG819" s="185">
        <f ca="1">IF(SUM($G809:AG809)&gt;0.01,0,SUM($G814:AG814)-SUM($G818:AG818))</f>
        <v>70625000</v>
      </c>
      <c r="AH819" s="185">
        <f ca="1">IF(SUM($G809:AH809)&gt;0.01,0,SUM($G814:AH814)-SUM($G818:AH818))</f>
        <v>70416666.666666672</v>
      </c>
      <c r="AI819" s="185">
        <f ca="1">IF(SUM($G809:AI809)&gt;0.01,0,SUM($G814:AI814)-SUM($G818:AI818))</f>
        <v>70208333.333333328</v>
      </c>
      <c r="AJ819" s="185">
        <f ca="1">IF(SUM($G809:AJ809)&gt;0.01,0,SUM($G814:AJ814)-SUM($G818:AJ818))</f>
        <v>70000000</v>
      </c>
      <c r="AK819" s="185">
        <f ca="1">IF(SUM($G809:AK809)&gt;0.01,0,SUM($G814:AK814)-SUM($G818:AK818))</f>
        <v>69791666.666666672</v>
      </c>
      <c r="AL819" s="185">
        <f ca="1">IF(SUM($G809:AL809)&gt;0.01,0,SUM($G814:AL814)-SUM($G818:AL818))</f>
        <v>69583333.333333328</v>
      </c>
      <c r="AM819" s="185">
        <f ca="1">IF(SUM($G809:AM809)&gt;0.01,0,SUM($G814:AM814)-SUM($G818:AM818))</f>
        <v>69375000</v>
      </c>
      <c r="AN819" s="185">
        <f ca="1">IF(SUM($G809:AN809)&gt;0.01,0,SUM($G814:AN814)-SUM($G818:AN818))</f>
        <v>69166666.666666672</v>
      </c>
      <c r="AO819" s="185">
        <f ca="1">IF(SUM($G809:AO809)&gt;0.01,0,SUM($G814:AO814)-SUM($G818:AO818))</f>
        <v>68958333.333333328</v>
      </c>
      <c r="AP819" s="185">
        <f ca="1">IF(SUM($G809:AP809)&gt;0.01,0,SUM($G814:AP814)-SUM($G818:AP818))</f>
        <v>68750000</v>
      </c>
      <c r="AQ819" s="185">
        <f ca="1">IF(SUM($G809:AQ809)&gt;0.01,0,SUM($G814:AQ814)-SUM($G818:AQ818))</f>
        <v>68541666.666666672</v>
      </c>
      <c r="AR819" s="185">
        <f ca="1">IF(SUM($G809:AR809)&gt;0.01,0,SUM($G814:AR814)-SUM($G818:AR818))</f>
        <v>68333333.333333343</v>
      </c>
      <c r="AS819" s="185">
        <f ca="1">IF(SUM($G809:AS809)&gt;0.01,0,SUM($G814:AS814)-SUM($G818:AS818))</f>
        <v>68125000</v>
      </c>
      <c r="AT819" s="185">
        <f ca="1">IF(SUM($G809:AT809)&gt;0.01,0,SUM($G814:AT814)-SUM($G818:AT818))</f>
        <v>67916666.666666672</v>
      </c>
      <c r="AU819" s="185">
        <f ca="1">IF(SUM($G809:AU809)&gt;0.01,0,SUM($G814:AU814)-SUM($G818:AU818))</f>
        <v>67708333.333333343</v>
      </c>
      <c r="AV819" s="185">
        <f ca="1">IF(SUM($G809:AV809)&gt;0.01,0,SUM($G814:AV814)-SUM($G818:AV818))</f>
        <v>67500000</v>
      </c>
      <c r="AW819" s="185">
        <f ca="1">IF(SUM($G809:AW809)&gt;0.01,0,SUM($G814:AW814)-SUM($G818:AW818))</f>
        <v>67291666.666666672</v>
      </c>
      <c r="AX819" s="185">
        <f ca="1">IF(SUM($G809:AX809)&gt;0.01,0,SUM($G814:AX814)-SUM($G818:AX818))</f>
        <v>67083333.333333336</v>
      </c>
      <c r="AY819" s="185">
        <f ca="1">IF(SUM($G809:AY809)&gt;0.01,0,SUM($G814:AY814)-SUM($G818:AY818))</f>
        <v>66875000.000000007</v>
      </c>
      <c r="AZ819" s="185">
        <f ca="1">IF(SUM($G809:AZ809)&gt;0.01,0,SUM($G814:AZ814)-SUM($G818:AZ818))</f>
        <v>66666666.666666672</v>
      </c>
      <c r="BA819" s="185">
        <f ca="1">IF(SUM($G809:BA809)&gt;0.01,0,SUM($G814:BA814)-SUM($G818:BA818))</f>
        <v>66458333.333333336</v>
      </c>
      <c r="BB819" s="185">
        <f ca="1">IF(SUM($G809:BB809)&gt;0.01,0,SUM($G814:BB814)-SUM($G818:BB818))</f>
        <v>66250000</v>
      </c>
      <c r="BC819" s="185"/>
      <c r="BD819" s="186"/>
    </row>
    <row r="820" spans="1:56" hidden="1" outlineLevel="1" x14ac:dyDescent="0.3">
      <c r="A820" s="184" t="str">
        <f ca="1">Language!A$889</f>
        <v>выплаченный НДС</v>
      </c>
      <c r="B820" s="170"/>
      <c r="C820" s="163" t="str">
        <f t="shared" ca="1" si="3224"/>
        <v>руб.</v>
      </c>
      <c r="D820" s="174">
        <v>1</v>
      </c>
      <c r="E820" s="170" t="s">
        <v>758</v>
      </c>
      <c r="F820" s="170" t="s">
        <v>740</v>
      </c>
      <c r="G820" s="185">
        <f t="shared" ref="G820:BB820" si="3226">G810*G808</f>
        <v>0</v>
      </c>
      <c r="H820" s="185">
        <f t="shared" si="3226"/>
        <v>0</v>
      </c>
      <c r="I820" s="185">
        <f t="shared" si="3226"/>
        <v>0</v>
      </c>
      <c r="J820" s="185">
        <f t="shared" si="3226"/>
        <v>0</v>
      </c>
      <c r="K820" s="185">
        <f t="shared" si="3226"/>
        <v>0</v>
      </c>
      <c r="L820" s="185">
        <f t="shared" si="3226"/>
        <v>0</v>
      </c>
      <c r="M820" s="185">
        <f t="shared" si="3226"/>
        <v>0</v>
      </c>
      <c r="N820" s="185">
        <f t="shared" si="3226"/>
        <v>0</v>
      </c>
      <c r="O820" s="185">
        <f t="shared" si="3226"/>
        <v>0</v>
      </c>
      <c r="P820" s="185">
        <f t="shared" si="3226"/>
        <v>0</v>
      </c>
      <c r="Q820" s="185">
        <f t="shared" si="3226"/>
        <v>0</v>
      </c>
      <c r="R820" s="185">
        <f t="shared" si="3226"/>
        <v>0</v>
      </c>
      <c r="S820" s="185">
        <f t="shared" si="3226"/>
        <v>0</v>
      </c>
      <c r="T820" s="185">
        <f t="shared" si="3226"/>
        <v>0</v>
      </c>
      <c r="U820" s="185">
        <f t="shared" si="3226"/>
        <v>0</v>
      </c>
      <c r="V820" s="185">
        <f t="shared" si="3226"/>
        <v>0</v>
      </c>
      <c r="W820" s="185">
        <f t="shared" si="3226"/>
        <v>0</v>
      </c>
      <c r="X820" s="185">
        <f t="shared" si="3226"/>
        <v>0</v>
      </c>
      <c r="Y820" s="185">
        <f t="shared" si="3226"/>
        <v>0</v>
      </c>
      <c r="Z820" s="185">
        <f t="shared" si="3226"/>
        <v>0</v>
      </c>
      <c r="AA820" s="185">
        <f t="shared" si="3226"/>
        <v>0</v>
      </c>
      <c r="AB820" s="185">
        <f t="shared" si="3226"/>
        <v>0</v>
      </c>
      <c r="AC820" s="185">
        <f t="shared" si="3226"/>
        <v>0</v>
      </c>
      <c r="AD820" s="185">
        <f t="shared" si="3226"/>
        <v>0</v>
      </c>
      <c r="AE820" s="185">
        <f t="shared" si="3226"/>
        <v>0</v>
      </c>
      <c r="AF820" s="185">
        <f t="shared" si="3226"/>
        <v>0</v>
      </c>
      <c r="AG820" s="185">
        <f t="shared" si="3226"/>
        <v>0</v>
      </c>
      <c r="AH820" s="185">
        <f t="shared" si="3226"/>
        <v>0</v>
      </c>
      <c r="AI820" s="185">
        <f t="shared" si="3226"/>
        <v>0</v>
      </c>
      <c r="AJ820" s="185">
        <f t="shared" si="3226"/>
        <v>0</v>
      </c>
      <c r="AK820" s="185">
        <f t="shared" si="3226"/>
        <v>0</v>
      </c>
      <c r="AL820" s="185">
        <f t="shared" si="3226"/>
        <v>0</v>
      </c>
      <c r="AM820" s="185">
        <f t="shared" si="3226"/>
        <v>0</v>
      </c>
      <c r="AN820" s="185">
        <f t="shared" si="3226"/>
        <v>0</v>
      </c>
      <c r="AO820" s="185">
        <f t="shared" si="3226"/>
        <v>0</v>
      </c>
      <c r="AP820" s="185">
        <f t="shared" si="3226"/>
        <v>0</v>
      </c>
      <c r="AQ820" s="185">
        <f t="shared" si="3226"/>
        <v>0</v>
      </c>
      <c r="AR820" s="185">
        <f t="shared" si="3226"/>
        <v>0</v>
      </c>
      <c r="AS820" s="185">
        <f t="shared" si="3226"/>
        <v>0</v>
      </c>
      <c r="AT820" s="185">
        <f t="shared" si="3226"/>
        <v>0</v>
      </c>
      <c r="AU820" s="185">
        <f t="shared" si="3226"/>
        <v>0</v>
      </c>
      <c r="AV820" s="185">
        <f t="shared" si="3226"/>
        <v>0</v>
      </c>
      <c r="AW820" s="185">
        <f t="shared" si="3226"/>
        <v>0</v>
      </c>
      <c r="AX820" s="185">
        <f t="shared" si="3226"/>
        <v>0</v>
      </c>
      <c r="AY820" s="185">
        <f t="shared" si="3226"/>
        <v>0</v>
      </c>
      <c r="AZ820" s="185">
        <f t="shared" si="3226"/>
        <v>0</v>
      </c>
      <c r="BA820" s="185">
        <f t="shared" si="3226"/>
        <v>0</v>
      </c>
      <c r="BB820" s="185">
        <f t="shared" si="3226"/>
        <v>0</v>
      </c>
      <c r="BC820" s="185"/>
      <c r="BD820" s="193">
        <f>SUM(G820:BC820)</f>
        <v>0</v>
      </c>
    </row>
    <row r="821" spans="1:56" hidden="1" outlineLevel="1" x14ac:dyDescent="0.3">
      <c r="A821" s="184" t="str">
        <f ca="1">Language!A$890</f>
        <v>зачтенный НДС</v>
      </c>
      <c r="B821" s="170"/>
      <c r="C821" s="163" t="str">
        <f t="shared" ca="1" si="3224"/>
        <v>руб.</v>
      </c>
      <c r="D821" s="174">
        <v>1</v>
      </c>
      <c r="E821" s="170" t="s">
        <v>759</v>
      </c>
      <c r="F821" s="170" t="s">
        <v>740</v>
      </c>
      <c r="G821" s="185">
        <f t="shared" ref="G821:BB821" si="3227">G814*G808</f>
        <v>0</v>
      </c>
      <c r="H821" s="185">
        <f t="shared" si="3227"/>
        <v>0</v>
      </c>
      <c r="I821" s="185">
        <f t="shared" si="3227"/>
        <v>0</v>
      </c>
      <c r="J821" s="185">
        <f t="shared" si="3227"/>
        <v>0</v>
      </c>
      <c r="K821" s="185">
        <f t="shared" si="3227"/>
        <v>0</v>
      </c>
      <c r="L821" s="185">
        <f t="shared" si="3227"/>
        <v>0</v>
      </c>
      <c r="M821" s="185">
        <f t="shared" si="3227"/>
        <v>0</v>
      </c>
      <c r="N821" s="185">
        <f t="shared" si="3227"/>
        <v>0</v>
      </c>
      <c r="O821" s="185">
        <f t="shared" si="3227"/>
        <v>0</v>
      </c>
      <c r="P821" s="185">
        <f t="shared" si="3227"/>
        <v>0</v>
      </c>
      <c r="Q821" s="185">
        <f t="shared" si="3227"/>
        <v>0</v>
      </c>
      <c r="R821" s="185">
        <f t="shared" si="3227"/>
        <v>0</v>
      </c>
      <c r="S821" s="185">
        <f t="shared" si="3227"/>
        <v>0</v>
      </c>
      <c r="T821" s="185">
        <f t="shared" si="3227"/>
        <v>0</v>
      </c>
      <c r="U821" s="185">
        <f t="shared" si="3227"/>
        <v>0</v>
      </c>
      <c r="V821" s="185">
        <f t="shared" si="3227"/>
        <v>0</v>
      </c>
      <c r="W821" s="185">
        <f t="shared" si="3227"/>
        <v>0</v>
      </c>
      <c r="X821" s="185">
        <f t="shared" si="3227"/>
        <v>0</v>
      </c>
      <c r="Y821" s="185">
        <f t="shared" si="3227"/>
        <v>0</v>
      </c>
      <c r="Z821" s="185">
        <f t="shared" si="3227"/>
        <v>0</v>
      </c>
      <c r="AA821" s="185">
        <f t="shared" si="3227"/>
        <v>0</v>
      </c>
      <c r="AB821" s="185">
        <f t="shared" si="3227"/>
        <v>0</v>
      </c>
      <c r="AC821" s="185">
        <f t="shared" si="3227"/>
        <v>0</v>
      </c>
      <c r="AD821" s="185">
        <f t="shared" si="3227"/>
        <v>0</v>
      </c>
      <c r="AE821" s="185">
        <f t="shared" si="3227"/>
        <v>0</v>
      </c>
      <c r="AF821" s="185">
        <f t="shared" si="3227"/>
        <v>0</v>
      </c>
      <c r="AG821" s="185">
        <f t="shared" si="3227"/>
        <v>0</v>
      </c>
      <c r="AH821" s="185">
        <f t="shared" si="3227"/>
        <v>0</v>
      </c>
      <c r="AI821" s="185">
        <f t="shared" si="3227"/>
        <v>0</v>
      </c>
      <c r="AJ821" s="185">
        <f t="shared" si="3227"/>
        <v>0</v>
      </c>
      <c r="AK821" s="185">
        <f t="shared" si="3227"/>
        <v>0</v>
      </c>
      <c r="AL821" s="185">
        <f t="shared" si="3227"/>
        <v>0</v>
      </c>
      <c r="AM821" s="185">
        <f t="shared" si="3227"/>
        <v>0</v>
      </c>
      <c r="AN821" s="185">
        <f t="shared" si="3227"/>
        <v>0</v>
      </c>
      <c r="AO821" s="185">
        <f t="shared" si="3227"/>
        <v>0</v>
      </c>
      <c r="AP821" s="185">
        <f t="shared" si="3227"/>
        <v>0</v>
      </c>
      <c r="AQ821" s="185">
        <f t="shared" si="3227"/>
        <v>0</v>
      </c>
      <c r="AR821" s="185">
        <f t="shared" si="3227"/>
        <v>0</v>
      </c>
      <c r="AS821" s="185">
        <f t="shared" si="3227"/>
        <v>0</v>
      </c>
      <c r="AT821" s="185">
        <f t="shared" si="3227"/>
        <v>0</v>
      </c>
      <c r="AU821" s="185">
        <f t="shared" si="3227"/>
        <v>0</v>
      </c>
      <c r="AV821" s="185">
        <f t="shared" si="3227"/>
        <v>0</v>
      </c>
      <c r="AW821" s="185">
        <f t="shared" si="3227"/>
        <v>0</v>
      </c>
      <c r="AX821" s="185">
        <f t="shared" si="3227"/>
        <v>0</v>
      </c>
      <c r="AY821" s="185">
        <f t="shared" si="3227"/>
        <v>0</v>
      </c>
      <c r="AZ821" s="185">
        <f t="shared" si="3227"/>
        <v>0</v>
      </c>
      <c r="BA821" s="185">
        <f t="shared" si="3227"/>
        <v>0</v>
      </c>
      <c r="BB821" s="185">
        <f t="shared" si="3227"/>
        <v>0</v>
      </c>
      <c r="BC821" s="185"/>
      <c r="BD821" s="193">
        <f>SUM(G821:BC821)</f>
        <v>0</v>
      </c>
    </row>
    <row r="822" spans="1:56" hidden="1" outlineLevel="1" x14ac:dyDescent="0.3">
      <c r="A822" s="184" t="str">
        <f ca="1">Language!A$891</f>
        <v>амортизация (налоговая)</v>
      </c>
      <c r="B822" s="170"/>
      <c r="C822" s="163" t="str">
        <f t="shared" ca="1" si="3224"/>
        <v>руб.</v>
      </c>
      <c r="D822" s="174">
        <v>1</v>
      </c>
      <c r="E822" s="170" t="s">
        <v>760</v>
      </c>
      <c r="F822" s="170" t="s">
        <v>740</v>
      </c>
      <c r="G822" s="185">
        <f ca="1">IF(SUM($G809:G809)&gt;0.01,0,$B807*G814+IF($B806=0,0,MIN((SUM($G814:G814)-IF(G$2&gt;$B806*12/Prj_Step,SUM($G814:OFFSET(G814,0,-$B806*12/Prj_Step)),0))*(1-$B807)/$B806/12*Параметры!G$31,IF(G$2=1,G814,F823+SUM($F814:G814)*(1-$B807)-SUM($F814:F814)*(1-$B807)))))</f>
        <v>0</v>
      </c>
      <c r="H822" s="185">
        <f ca="1">IF(SUM($G809:H809)&gt;0.01,0,$B807*H814+IF($B806=0,0,MIN((SUM($G814:H814)-IF(H$2&gt;$B806*12/Prj_Step,SUM($G814:OFFSET(H814,0,-$B806*12/Prj_Step)),0))*(1-$B807)/$B806/12*Параметры!H$31,IF(H$2=1,H814,G823+SUM($F814:H814)*(1-$B807)-SUM($F814:G814)*(1-$B807)))))</f>
        <v>0</v>
      </c>
      <c r="I822" s="185">
        <f ca="1">IF(SUM($G809:I809)&gt;0.01,0,$B807*I814+IF($B806=0,0,MIN((SUM($G814:I814)-IF(I$2&gt;$B806*12/Prj_Step,SUM($G814:OFFSET(I814,0,-$B806*12/Prj_Step)),0))*(1-$B807)/$B806/12*Параметры!I$31,IF(I$2=1,I814,H823+SUM($F814:I814)*(1-$B807)-SUM($F814:H814)*(1-$B807)))))</f>
        <v>0</v>
      </c>
      <c r="J822" s="185">
        <f ca="1">IF(SUM($G809:J809)&gt;0.01,0,$B807*J814+IF($B806=0,0,MIN((SUM($G814:J814)-IF(J$2&gt;$B806*12/Prj_Step,SUM($G814:OFFSET(J814,0,-$B806*12/Prj_Step)),0))*(1-$B807)/$B806/12*Параметры!J$31,IF(J$2=1,J814,I823+SUM($F814:J814)*(1-$B807)-SUM($F814:I814)*(1-$B807)))))</f>
        <v>0</v>
      </c>
      <c r="K822" s="185">
        <f ca="1">IF(SUM($G809:K809)&gt;0.01,0,$B807*K814+IF($B806=0,0,MIN((SUM($G814:K814)-IF(K$2&gt;$B806*12/Prj_Step,SUM($G814:OFFSET(K814,0,-$B806*12/Prj_Step)),0))*(1-$B807)/$B806/12*Параметры!K$31,IF(K$2=1,K814,J823+SUM($F814:K814)*(1-$B807)-SUM($F814:J814)*(1-$B807)))))</f>
        <v>0</v>
      </c>
      <c r="L822" s="185">
        <f ca="1">IF(SUM($G809:L809)&gt;0.01,0,$B807*L814+IF($B806=0,0,MIN((SUM($G814:L814)-IF(L$2&gt;$B806*12/Prj_Step,SUM($G814:OFFSET(L814,0,-$B806*12/Prj_Step)),0))*(1-$B807)/$B806/12*Параметры!L$31,IF(L$2=1,L814,K823+SUM($F814:L814)*(1-$B807)-SUM($F814:K814)*(1-$B807)))))</f>
        <v>0</v>
      </c>
      <c r="M822" s="185">
        <f ca="1">IF(SUM($G809:M809)&gt;0.01,0,$B807*M814+IF($B806=0,0,MIN((SUM($G814:M814)-IF(M$2&gt;$B806*12/Prj_Step,SUM($G814:OFFSET(M814,0,-$B806*12/Prj_Step)),0))*(1-$B807)/$B806/12*Параметры!M$31,IF(M$2=1,M814,L823+SUM($F814:M814)*(1-$B807)-SUM($F814:L814)*(1-$B807)))))</f>
        <v>208333.33333333334</v>
      </c>
      <c r="N822" s="185">
        <f ca="1">IF(SUM($G809:N809)&gt;0.01,0,$B807*N814+IF($B806=0,0,MIN((SUM($G814:N814)-IF(N$2&gt;$B806*12/Prj_Step,SUM($G814:OFFSET(N814,0,-$B806*12/Prj_Step)),0))*(1-$B807)/$B806/12*Параметры!N$31,IF(N$2=1,N814,M823+SUM($F814:N814)*(1-$B807)-SUM($F814:M814)*(1-$B807)))))</f>
        <v>208333.33333333334</v>
      </c>
      <c r="O822" s="185">
        <f ca="1">IF(SUM($G809:O809)&gt;0.01,0,$B807*O814+IF($B806=0,0,MIN((SUM($G814:O814)-IF(O$2&gt;$B806*12/Prj_Step,SUM($G814:OFFSET(O814,0,-$B806*12/Prj_Step)),0))*(1-$B807)/$B806/12*Параметры!O$31,IF(O$2=1,O814,N823+SUM($F814:O814)*(1-$B807)-SUM($F814:N814)*(1-$B807)))))</f>
        <v>208333.33333333334</v>
      </c>
      <c r="P822" s="185">
        <f ca="1">IF(SUM($G809:P809)&gt;0.01,0,$B807*P814+IF($B806=0,0,MIN((SUM($G814:P814)-IF(P$2&gt;$B806*12/Prj_Step,SUM($G814:OFFSET(P814,0,-$B806*12/Prj_Step)),0))*(1-$B807)/$B806/12*Параметры!P$31,IF(P$2=1,P814,O823+SUM($F814:P814)*(1-$B807)-SUM($F814:O814)*(1-$B807)))))</f>
        <v>208333.33333333334</v>
      </c>
      <c r="Q822" s="185">
        <f ca="1">IF(SUM($G809:Q809)&gt;0.01,0,$B807*Q814+IF($B806=0,0,MIN((SUM($G814:Q814)-IF(Q$2&gt;$B806*12/Prj_Step,SUM($G814:OFFSET(Q814,0,-$B806*12/Prj_Step)),0))*(1-$B807)/$B806/12*Параметры!Q$31,IF(Q$2=1,Q814,P823+SUM($F814:Q814)*(1-$B807)-SUM($F814:P814)*(1-$B807)))))</f>
        <v>208333.33333333334</v>
      </c>
      <c r="R822" s="185">
        <f ca="1">IF(SUM($G809:R809)&gt;0.01,0,$B807*R814+IF($B806=0,0,MIN((SUM($G814:R814)-IF(R$2&gt;$B806*12/Prj_Step,SUM($G814:OFFSET(R814,0,-$B806*12/Prj_Step)),0))*(1-$B807)/$B806/12*Параметры!R$31,IF(R$2=1,R814,Q823+SUM($F814:R814)*(1-$B807)-SUM($F814:Q814)*(1-$B807)))))</f>
        <v>208333.33333333334</v>
      </c>
      <c r="S822" s="185">
        <f ca="1">IF(SUM($G809:S809)&gt;0.01,0,$B807*S814+IF($B806=0,0,MIN((SUM($G814:S814)-IF(S$2&gt;$B806*12/Prj_Step,SUM($G814:OFFSET(S814,0,-$B806*12/Prj_Step)),0))*(1-$B807)/$B806/12*Параметры!S$31,IF(S$2=1,S814,R823+SUM($F814:S814)*(1-$B807)-SUM($F814:R814)*(1-$B807)))))</f>
        <v>208333.33333333334</v>
      </c>
      <c r="T822" s="185">
        <f ca="1">IF(SUM($G809:T809)&gt;0.01,0,$B807*T814+IF($B806=0,0,MIN((SUM($G814:T814)-IF(T$2&gt;$B806*12/Prj_Step,SUM($G814:OFFSET(T814,0,-$B806*12/Prj_Step)),0))*(1-$B807)/$B806/12*Параметры!T$31,IF(T$2=1,T814,S823+SUM($F814:T814)*(1-$B807)-SUM($F814:S814)*(1-$B807)))))</f>
        <v>208333.33333333334</v>
      </c>
      <c r="U822" s="185">
        <f ca="1">IF(SUM($G809:U809)&gt;0.01,0,$B807*U814+IF($B806=0,0,MIN((SUM($G814:U814)-IF(U$2&gt;$B806*12/Prj_Step,SUM($G814:OFFSET(U814,0,-$B806*12/Prj_Step)),0))*(1-$B807)/$B806/12*Параметры!U$31,IF(U$2=1,U814,T823+SUM($F814:U814)*(1-$B807)-SUM($F814:T814)*(1-$B807)))))</f>
        <v>208333.33333333334</v>
      </c>
      <c r="V822" s="185">
        <f ca="1">IF(SUM($G809:V809)&gt;0.01,0,$B807*V814+IF($B806=0,0,MIN((SUM($G814:V814)-IF(V$2&gt;$B806*12/Prj_Step,SUM($G814:OFFSET(V814,0,-$B806*12/Prj_Step)),0))*(1-$B807)/$B806/12*Параметры!V$31,IF(V$2=1,V814,U823+SUM($F814:V814)*(1-$B807)-SUM($F814:U814)*(1-$B807)))))</f>
        <v>208333.33333333334</v>
      </c>
      <c r="W822" s="185">
        <f ca="1">IF(SUM($G809:W809)&gt;0.01,0,$B807*W814+IF($B806=0,0,MIN((SUM($G814:W814)-IF(W$2&gt;$B806*12/Prj_Step,SUM($G814:OFFSET(W814,0,-$B806*12/Prj_Step)),0))*(1-$B807)/$B806/12*Параметры!W$31,IF(W$2=1,W814,V823+SUM($F814:W814)*(1-$B807)-SUM($F814:V814)*(1-$B807)))))</f>
        <v>208333.33333333334</v>
      </c>
      <c r="X822" s="185">
        <f ca="1">IF(SUM($G809:X809)&gt;0.01,0,$B807*X814+IF($B806=0,0,MIN((SUM($G814:X814)-IF(X$2&gt;$B806*12/Prj_Step,SUM($G814:OFFSET(X814,0,-$B806*12/Prj_Step)),0))*(1-$B807)/$B806/12*Параметры!X$31,IF(X$2=1,X814,W823+SUM($F814:X814)*(1-$B807)-SUM($F814:W814)*(1-$B807)))))</f>
        <v>208333.33333333334</v>
      </c>
      <c r="Y822" s="185">
        <f ca="1">IF(SUM($G809:Y809)&gt;0.01,0,$B807*Y814+IF($B806=0,0,MIN((SUM($G814:Y814)-IF(Y$2&gt;$B806*12/Prj_Step,SUM($G814:OFFSET(Y814,0,-$B806*12/Prj_Step)),0))*(1-$B807)/$B806/12*Параметры!Y$31,IF(Y$2=1,Y814,X823+SUM($F814:Y814)*(1-$B807)-SUM($F814:X814)*(1-$B807)))))</f>
        <v>208333.33333333334</v>
      </c>
      <c r="Z822" s="185">
        <f ca="1">IF(SUM($G809:Z809)&gt;0.01,0,$B807*Z814+IF($B806=0,0,MIN((SUM($G814:Z814)-IF(Z$2&gt;$B806*12/Prj_Step,SUM($G814:OFFSET(Z814,0,-$B806*12/Prj_Step)),0))*(1-$B807)/$B806/12*Параметры!Z$31,IF(Z$2=1,Z814,Y823+SUM($F814:Z814)*(1-$B807)-SUM($F814:Y814)*(1-$B807)))))</f>
        <v>208333.33333333334</v>
      </c>
      <c r="AA822" s="185">
        <f ca="1">IF(SUM($G809:AA809)&gt;0.01,0,$B807*AA814+IF($B806=0,0,MIN((SUM($G814:AA814)-IF(AA$2&gt;$B806*12/Prj_Step,SUM($G814:OFFSET(AA814,0,-$B806*12/Prj_Step)),0))*(1-$B807)/$B806/12*Параметры!AA$31,IF(AA$2=1,AA814,Z823+SUM($F814:AA814)*(1-$B807)-SUM($F814:Z814)*(1-$B807)))))</f>
        <v>208333.33333333334</v>
      </c>
      <c r="AB822" s="185">
        <f ca="1">IF(SUM($G809:AB809)&gt;0.01,0,$B807*AB814+IF($B806=0,0,MIN((SUM($G814:AB814)-IF(AB$2&gt;$B806*12/Prj_Step,SUM($G814:OFFSET(AB814,0,-$B806*12/Prj_Step)),0))*(1-$B807)/$B806/12*Параметры!AB$31,IF(AB$2=1,AB814,AA823+SUM($F814:AB814)*(1-$B807)-SUM($F814:AA814)*(1-$B807)))))</f>
        <v>208333.33333333334</v>
      </c>
      <c r="AC822" s="185">
        <f ca="1">IF(SUM($G809:AC809)&gt;0.01,0,$B807*AC814+IF($B806=0,0,MIN((SUM($G814:AC814)-IF(AC$2&gt;$B806*12/Prj_Step,SUM($G814:OFFSET(AC814,0,-$B806*12/Prj_Step)),0))*(1-$B807)/$B806/12*Параметры!AC$31,IF(AC$2=1,AC814,AB823+SUM($F814:AC814)*(1-$B807)-SUM($F814:AB814)*(1-$B807)))))</f>
        <v>208333.33333333334</v>
      </c>
      <c r="AD822" s="185">
        <f ca="1">IF(SUM($G809:AD809)&gt;0.01,0,$B807*AD814+IF($B806=0,0,MIN((SUM($G814:AD814)-IF(AD$2&gt;$B806*12/Prj_Step,SUM($G814:OFFSET(AD814,0,-$B806*12/Prj_Step)),0))*(1-$B807)/$B806/12*Параметры!AD$31,IF(AD$2=1,AD814,AC823+SUM($F814:AD814)*(1-$B807)-SUM($F814:AC814)*(1-$B807)))))</f>
        <v>208333.33333333334</v>
      </c>
      <c r="AE822" s="185">
        <f ca="1">IF(SUM($G809:AE809)&gt;0.01,0,$B807*AE814+IF($B806=0,0,MIN((SUM($G814:AE814)-IF(AE$2&gt;$B806*12/Prj_Step,SUM($G814:OFFSET(AE814,0,-$B806*12/Prj_Step)),0))*(1-$B807)/$B806/12*Параметры!AE$31,IF(AE$2=1,AE814,AD823+SUM($F814:AE814)*(1-$B807)-SUM($F814:AD814)*(1-$B807)))))</f>
        <v>208333.33333333334</v>
      </c>
      <c r="AF822" s="185">
        <f ca="1">IF(SUM($G809:AF809)&gt;0.01,0,$B807*AF814+IF($B806=0,0,MIN((SUM($G814:AF814)-IF(AF$2&gt;$B806*12/Prj_Step,SUM($G814:OFFSET(AF814,0,-$B806*12/Prj_Step)),0))*(1-$B807)/$B806/12*Параметры!AF$31,IF(AF$2=1,AF814,AE823+SUM($F814:AF814)*(1-$B807)-SUM($F814:AE814)*(1-$B807)))))</f>
        <v>208333.33333333334</v>
      </c>
      <c r="AG822" s="185">
        <f ca="1">IF(SUM($G809:AG809)&gt;0.01,0,$B807*AG814+IF($B806=0,0,MIN((SUM($G814:AG814)-IF(AG$2&gt;$B806*12/Prj_Step,SUM($G814:OFFSET(AG814,0,-$B806*12/Prj_Step)),0))*(1-$B807)/$B806/12*Параметры!AG$31,IF(AG$2=1,AG814,AF823+SUM($F814:AG814)*(1-$B807)-SUM($F814:AF814)*(1-$B807)))))</f>
        <v>208333.33333333334</v>
      </c>
      <c r="AH822" s="185">
        <f ca="1">IF(SUM($G809:AH809)&gt;0.01,0,$B807*AH814+IF($B806=0,0,MIN((SUM($G814:AH814)-IF(AH$2&gt;$B806*12/Prj_Step,SUM($G814:OFFSET(AH814,0,-$B806*12/Prj_Step)),0))*(1-$B807)/$B806/12*Параметры!AH$31,IF(AH$2=1,AH814,AG823+SUM($F814:AH814)*(1-$B807)-SUM($F814:AG814)*(1-$B807)))))</f>
        <v>208333.33333333334</v>
      </c>
      <c r="AI822" s="185">
        <f ca="1">IF(SUM($G809:AI809)&gt;0.01,0,$B807*AI814+IF($B806=0,0,MIN((SUM($G814:AI814)-IF(AI$2&gt;$B806*12/Prj_Step,SUM($G814:OFFSET(AI814,0,-$B806*12/Prj_Step)),0))*(1-$B807)/$B806/12*Параметры!AI$31,IF(AI$2=1,AI814,AH823+SUM($F814:AI814)*(1-$B807)-SUM($F814:AH814)*(1-$B807)))))</f>
        <v>208333.33333333334</v>
      </c>
      <c r="AJ822" s="185">
        <f ca="1">IF(SUM($G809:AJ809)&gt;0.01,0,$B807*AJ814+IF($B806=0,0,MIN((SUM($G814:AJ814)-IF(AJ$2&gt;$B806*12/Prj_Step,SUM($G814:OFFSET(AJ814,0,-$B806*12/Prj_Step)),0))*(1-$B807)/$B806/12*Параметры!AJ$31,IF(AJ$2=1,AJ814,AI823+SUM($F814:AJ814)*(1-$B807)-SUM($F814:AI814)*(1-$B807)))))</f>
        <v>208333.33333333334</v>
      </c>
      <c r="AK822" s="185">
        <f ca="1">IF(SUM($G809:AK809)&gt;0.01,0,$B807*AK814+IF($B806=0,0,MIN((SUM($G814:AK814)-IF(AK$2&gt;$B806*12/Prj_Step,SUM($G814:OFFSET(AK814,0,-$B806*12/Prj_Step)),0))*(1-$B807)/$B806/12*Параметры!AK$31,IF(AK$2=1,AK814,AJ823+SUM($F814:AK814)*(1-$B807)-SUM($F814:AJ814)*(1-$B807)))))</f>
        <v>208333.33333333334</v>
      </c>
      <c r="AL822" s="185">
        <f ca="1">IF(SUM($G809:AL809)&gt;0.01,0,$B807*AL814+IF($B806=0,0,MIN((SUM($G814:AL814)-IF(AL$2&gt;$B806*12/Prj_Step,SUM($G814:OFFSET(AL814,0,-$B806*12/Prj_Step)),0))*(1-$B807)/$B806/12*Параметры!AL$31,IF(AL$2=1,AL814,AK823+SUM($F814:AL814)*(1-$B807)-SUM($F814:AK814)*(1-$B807)))))</f>
        <v>208333.33333333334</v>
      </c>
      <c r="AM822" s="185">
        <f ca="1">IF(SUM($G809:AM809)&gt;0.01,0,$B807*AM814+IF($B806=0,0,MIN((SUM($G814:AM814)-IF(AM$2&gt;$B806*12/Prj_Step,SUM($G814:OFFSET(AM814,0,-$B806*12/Prj_Step)),0))*(1-$B807)/$B806/12*Параметры!AM$31,IF(AM$2=1,AM814,AL823+SUM($F814:AM814)*(1-$B807)-SUM($F814:AL814)*(1-$B807)))))</f>
        <v>208333.33333333334</v>
      </c>
      <c r="AN822" s="185">
        <f ca="1">IF(SUM($G809:AN809)&gt;0.01,0,$B807*AN814+IF($B806=0,0,MIN((SUM($G814:AN814)-IF(AN$2&gt;$B806*12/Prj_Step,SUM($G814:OFFSET(AN814,0,-$B806*12/Prj_Step)),0))*(1-$B807)/$B806/12*Параметры!AN$31,IF(AN$2=1,AN814,AM823+SUM($F814:AN814)*(1-$B807)-SUM($F814:AM814)*(1-$B807)))))</f>
        <v>208333.33333333334</v>
      </c>
      <c r="AO822" s="185">
        <f ca="1">IF(SUM($G809:AO809)&gt;0.01,0,$B807*AO814+IF($B806=0,0,MIN((SUM($G814:AO814)-IF(AO$2&gt;$B806*12/Prj_Step,SUM($G814:OFFSET(AO814,0,-$B806*12/Prj_Step)),0))*(1-$B807)/$B806/12*Параметры!AO$31,IF(AO$2=1,AO814,AN823+SUM($F814:AO814)*(1-$B807)-SUM($F814:AN814)*(1-$B807)))))</f>
        <v>208333.33333333334</v>
      </c>
      <c r="AP822" s="185">
        <f ca="1">IF(SUM($G809:AP809)&gt;0.01,0,$B807*AP814+IF($B806=0,0,MIN((SUM($G814:AP814)-IF(AP$2&gt;$B806*12/Prj_Step,SUM($G814:OFFSET(AP814,0,-$B806*12/Prj_Step)),0))*(1-$B807)/$B806/12*Параметры!AP$31,IF(AP$2=1,AP814,AO823+SUM($F814:AP814)*(1-$B807)-SUM($F814:AO814)*(1-$B807)))))</f>
        <v>208333.33333333334</v>
      </c>
      <c r="AQ822" s="185">
        <f ca="1">IF(SUM($G809:AQ809)&gt;0.01,0,$B807*AQ814+IF($B806=0,0,MIN((SUM($G814:AQ814)-IF(AQ$2&gt;$B806*12/Prj_Step,SUM($G814:OFFSET(AQ814,0,-$B806*12/Prj_Step)),0))*(1-$B807)/$B806/12*Параметры!AQ$31,IF(AQ$2=1,AQ814,AP823+SUM($F814:AQ814)*(1-$B807)-SUM($F814:AP814)*(1-$B807)))))</f>
        <v>208333.33333333334</v>
      </c>
      <c r="AR822" s="185">
        <f ca="1">IF(SUM($G809:AR809)&gt;0.01,0,$B807*AR814+IF($B806=0,0,MIN((SUM($G814:AR814)-IF(AR$2&gt;$B806*12/Prj_Step,SUM($G814:OFFSET(AR814,0,-$B806*12/Prj_Step)),0))*(1-$B807)/$B806/12*Параметры!AR$31,IF(AR$2=1,AR814,AQ823+SUM($F814:AR814)*(1-$B807)-SUM($F814:AQ814)*(1-$B807)))))</f>
        <v>208333.33333333334</v>
      </c>
      <c r="AS822" s="185">
        <f ca="1">IF(SUM($G809:AS809)&gt;0.01,0,$B807*AS814+IF($B806=0,0,MIN((SUM($G814:AS814)-IF(AS$2&gt;$B806*12/Prj_Step,SUM($G814:OFFSET(AS814,0,-$B806*12/Prj_Step)),0))*(1-$B807)/$B806/12*Параметры!AS$31,IF(AS$2=1,AS814,AR823+SUM($F814:AS814)*(1-$B807)-SUM($F814:AR814)*(1-$B807)))))</f>
        <v>208333.33333333334</v>
      </c>
      <c r="AT822" s="185">
        <f ca="1">IF(SUM($G809:AT809)&gt;0.01,0,$B807*AT814+IF($B806=0,0,MIN((SUM($G814:AT814)-IF(AT$2&gt;$B806*12/Prj_Step,SUM($G814:OFFSET(AT814,0,-$B806*12/Prj_Step)),0))*(1-$B807)/$B806/12*Параметры!AT$31,IF(AT$2=1,AT814,AS823+SUM($F814:AT814)*(1-$B807)-SUM($F814:AS814)*(1-$B807)))))</f>
        <v>208333.33333333334</v>
      </c>
      <c r="AU822" s="185">
        <f ca="1">IF(SUM($G809:AU809)&gt;0.01,0,$B807*AU814+IF($B806=0,0,MIN((SUM($G814:AU814)-IF(AU$2&gt;$B806*12/Prj_Step,SUM($G814:OFFSET(AU814,0,-$B806*12/Prj_Step)),0))*(1-$B807)/$B806/12*Параметры!AU$31,IF(AU$2=1,AU814,AT823+SUM($F814:AU814)*(1-$B807)-SUM($F814:AT814)*(1-$B807)))))</f>
        <v>208333.33333333334</v>
      </c>
      <c r="AV822" s="185">
        <f ca="1">IF(SUM($G809:AV809)&gt;0.01,0,$B807*AV814+IF($B806=0,0,MIN((SUM($G814:AV814)-IF(AV$2&gt;$B806*12/Prj_Step,SUM($G814:OFFSET(AV814,0,-$B806*12/Prj_Step)),0))*(1-$B807)/$B806/12*Параметры!AV$31,IF(AV$2=1,AV814,AU823+SUM($F814:AV814)*(1-$B807)-SUM($F814:AU814)*(1-$B807)))))</f>
        <v>208333.33333333334</v>
      </c>
      <c r="AW822" s="185">
        <f ca="1">IF(SUM($G809:AW809)&gt;0.01,0,$B807*AW814+IF($B806=0,0,MIN((SUM($G814:AW814)-IF(AW$2&gt;$B806*12/Prj_Step,SUM($G814:OFFSET(AW814,0,-$B806*12/Prj_Step)),0))*(1-$B807)/$B806/12*Параметры!AW$31,IF(AW$2=1,AW814,AV823+SUM($F814:AW814)*(1-$B807)-SUM($F814:AV814)*(1-$B807)))))</f>
        <v>208333.33333333334</v>
      </c>
      <c r="AX822" s="185">
        <f ca="1">IF(SUM($G809:AX809)&gt;0.01,0,$B807*AX814+IF($B806=0,0,MIN((SUM($G814:AX814)-IF(AX$2&gt;$B806*12/Prj_Step,SUM($G814:OFFSET(AX814,0,-$B806*12/Prj_Step)),0))*(1-$B807)/$B806/12*Параметры!AX$31,IF(AX$2=1,AX814,AW823+SUM($F814:AX814)*(1-$B807)-SUM($F814:AW814)*(1-$B807)))))</f>
        <v>208333.33333333334</v>
      </c>
      <c r="AY822" s="185">
        <f ca="1">IF(SUM($G809:AY809)&gt;0.01,0,$B807*AY814+IF($B806=0,0,MIN((SUM($G814:AY814)-IF(AY$2&gt;$B806*12/Prj_Step,SUM($G814:OFFSET(AY814,0,-$B806*12/Prj_Step)),0))*(1-$B807)/$B806/12*Параметры!AY$31,IF(AY$2=1,AY814,AX823+SUM($F814:AY814)*(1-$B807)-SUM($F814:AX814)*(1-$B807)))))</f>
        <v>208333.33333333334</v>
      </c>
      <c r="AZ822" s="185">
        <f ca="1">IF(SUM($G809:AZ809)&gt;0.01,0,$B807*AZ814+IF($B806=0,0,MIN((SUM($G814:AZ814)-IF(AZ$2&gt;$B806*12/Prj_Step,SUM($G814:OFFSET(AZ814,0,-$B806*12/Prj_Step)),0))*(1-$B807)/$B806/12*Параметры!AZ$31,IF(AZ$2=1,AZ814,AY823+SUM($F814:AZ814)*(1-$B807)-SUM($F814:AY814)*(1-$B807)))))</f>
        <v>208333.33333333334</v>
      </c>
      <c r="BA822" s="185">
        <f ca="1">IF(SUM($G809:BA809)&gt;0.01,0,$B807*BA814+IF($B806=0,0,MIN((SUM($G814:BA814)-IF(BA$2&gt;$B806*12/Prj_Step,SUM($G814:OFFSET(BA814,0,-$B806*12/Prj_Step)),0))*(1-$B807)/$B806/12*Параметры!BA$31,IF(BA$2=1,BA814,AZ823+SUM($F814:BA814)*(1-$B807)-SUM($F814:AZ814)*(1-$B807)))))</f>
        <v>208333.33333333334</v>
      </c>
      <c r="BB822" s="185">
        <f ca="1">IF(SUM($G809:BB809)&gt;0.01,0,$B807*BB814+IF($B806=0,0,MIN((SUM($G814:BB814)-IF(BB$2&gt;$B806*12/Prj_Step,SUM($G814:OFFSET(BB814,0,-$B806*12/Prj_Step)),0))*(1-$B807)/$B806/12*Параметры!BB$31,IF(BB$2=1,BB814,BA823+SUM($F814:BB814)*(1-$B807)-SUM($F814:BA814)*(1-$B807)))))</f>
        <v>208333.33333333334</v>
      </c>
      <c r="BC822" s="185"/>
      <c r="BD822" s="193">
        <f ca="1">SUM(G822:BC822)</f>
        <v>8749999.9999999963</v>
      </c>
    </row>
    <row r="823" spans="1:56" hidden="1" outlineLevel="1" x14ac:dyDescent="0.3">
      <c r="A823" s="184" t="str">
        <f ca="1">Language!A$892</f>
        <v>балансовая стоимость (налоговая)</v>
      </c>
      <c r="B823" s="170"/>
      <c r="C823" s="163" t="str">
        <f t="shared" ca="1" si="3224"/>
        <v>руб.</v>
      </c>
      <c r="D823" s="174">
        <v>1</v>
      </c>
      <c r="E823" s="170" t="s">
        <v>761</v>
      </c>
      <c r="F823" s="170" t="s">
        <v>741</v>
      </c>
      <c r="G823" s="185">
        <f ca="1">IF(SUM($G809:G809)&gt;0.01,0,SUM($G814:G814)-SUM($G822:G822))</f>
        <v>0</v>
      </c>
      <c r="H823" s="185">
        <f ca="1">IF(SUM($G809:H809)&gt;0.01,0,SUM($G814:H814)-SUM($G822:H822))</f>
        <v>0</v>
      </c>
      <c r="I823" s="185">
        <f ca="1">IF(SUM($G809:I809)&gt;0.01,0,SUM($G814:I814)-SUM($G822:I822))</f>
        <v>0</v>
      </c>
      <c r="J823" s="185">
        <f ca="1">IF(SUM($G809:J809)&gt;0.01,0,SUM($G814:J814)-SUM($G822:J822))</f>
        <v>0</v>
      </c>
      <c r="K823" s="185">
        <f ca="1">IF(SUM($G809:K809)&gt;0.01,0,SUM($G814:K814)-SUM($G822:K822))</f>
        <v>0</v>
      </c>
      <c r="L823" s="185">
        <f ca="1">IF(SUM($G809:L809)&gt;0.01,0,SUM($G814:L814)-SUM($G822:L822))</f>
        <v>0</v>
      </c>
      <c r="M823" s="185">
        <f ca="1">IF(SUM($G809:M809)&gt;0.01,0,SUM($G814:M814)-SUM($G822:M822))</f>
        <v>74791666.666666672</v>
      </c>
      <c r="N823" s="185">
        <f ca="1">IF(SUM($G809:N809)&gt;0.01,0,SUM($G814:N814)-SUM($G822:N822))</f>
        <v>74583333.333333328</v>
      </c>
      <c r="O823" s="185">
        <f ca="1">IF(SUM($G809:O809)&gt;0.01,0,SUM($G814:O814)-SUM($G822:O822))</f>
        <v>74375000</v>
      </c>
      <c r="P823" s="185">
        <f ca="1">IF(SUM($G809:P809)&gt;0.01,0,SUM($G814:P814)-SUM($G822:P822))</f>
        <v>74166666.666666672</v>
      </c>
      <c r="Q823" s="185">
        <f ca="1">IF(SUM($G809:Q809)&gt;0.01,0,SUM($G814:Q814)-SUM($G822:Q822))</f>
        <v>73958333.333333328</v>
      </c>
      <c r="R823" s="185">
        <f ca="1">IF(SUM($G809:R809)&gt;0.01,0,SUM($G814:R814)-SUM($G822:R822))</f>
        <v>73750000</v>
      </c>
      <c r="S823" s="185">
        <f ca="1">IF(SUM($G809:S809)&gt;0.01,0,SUM($G814:S814)-SUM($G822:S822))</f>
        <v>73541666.666666672</v>
      </c>
      <c r="T823" s="185">
        <f ca="1">IF(SUM($G809:T809)&gt;0.01,0,SUM($G814:T814)-SUM($G822:T822))</f>
        <v>73333333.333333328</v>
      </c>
      <c r="U823" s="185">
        <f ca="1">IF(SUM($G809:U809)&gt;0.01,0,SUM($G814:U814)-SUM($G822:U822))</f>
        <v>73125000</v>
      </c>
      <c r="V823" s="185">
        <f ca="1">IF(SUM($G809:V809)&gt;0.01,0,SUM($G814:V814)-SUM($G822:V822))</f>
        <v>72916666.666666672</v>
      </c>
      <c r="W823" s="185">
        <f ca="1">IF(SUM($G809:W809)&gt;0.01,0,SUM($G814:W814)-SUM($G822:W822))</f>
        <v>72708333.333333328</v>
      </c>
      <c r="X823" s="185">
        <f ca="1">IF(SUM($G809:X809)&gt;0.01,0,SUM($G814:X814)-SUM($G822:X822))</f>
        <v>72500000</v>
      </c>
      <c r="Y823" s="185">
        <f ca="1">IF(SUM($G809:Y809)&gt;0.01,0,SUM($G814:Y814)-SUM($G822:Y822))</f>
        <v>72291666.666666672</v>
      </c>
      <c r="Z823" s="185">
        <f ca="1">IF(SUM($G809:Z809)&gt;0.01,0,SUM($G814:Z814)-SUM($G822:Z822))</f>
        <v>72083333.333333328</v>
      </c>
      <c r="AA823" s="185">
        <f ca="1">IF(SUM($G809:AA809)&gt;0.01,0,SUM($G814:AA814)-SUM($G822:AA822))</f>
        <v>71875000</v>
      </c>
      <c r="AB823" s="185">
        <f ca="1">IF(SUM($G809:AB809)&gt;0.01,0,SUM($G814:AB814)-SUM($G822:AB822))</f>
        <v>71666666.666666672</v>
      </c>
      <c r="AC823" s="185">
        <f ca="1">IF(SUM($G809:AC809)&gt;0.01,0,SUM($G814:AC814)-SUM($G822:AC822))</f>
        <v>71458333.333333328</v>
      </c>
      <c r="AD823" s="185">
        <f ca="1">IF(SUM($G809:AD809)&gt;0.01,0,SUM($G814:AD814)-SUM($G822:AD822))</f>
        <v>71250000</v>
      </c>
      <c r="AE823" s="185">
        <f ca="1">IF(SUM($G809:AE809)&gt;0.01,0,SUM($G814:AE814)-SUM($G822:AE822))</f>
        <v>71041666.666666672</v>
      </c>
      <c r="AF823" s="185">
        <f ca="1">IF(SUM($G809:AF809)&gt;0.01,0,SUM($G814:AF814)-SUM($G822:AF822))</f>
        <v>70833333.333333328</v>
      </c>
      <c r="AG823" s="185">
        <f ca="1">IF(SUM($G809:AG809)&gt;0.01,0,SUM($G814:AG814)-SUM($G822:AG822))</f>
        <v>70625000</v>
      </c>
      <c r="AH823" s="185">
        <f ca="1">IF(SUM($G809:AH809)&gt;0.01,0,SUM($G814:AH814)-SUM($G822:AH822))</f>
        <v>70416666.666666672</v>
      </c>
      <c r="AI823" s="185">
        <f ca="1">IF(SUM($G809:AI809)&gt;0.01,0,SUM($G814:AI814)-SUM($G822:AI822))</f>
        <v>70208333.333333328</v>
      </c>
      <c r="AJ823" s="185">
        <f ca="1">IF(SUM($G809:AJ809)&gt;0.01,0,SUM($G814:AJ814)-SUM($G822:AJ822))</f>
        <v>70000000</v>
      </c>
      <c r="AK823" s="185">
        <f ca="1">IF(SUM($G809:AK809)&gt;0.01,0,SUM($G814:AK814)-SUM($G822:AK822))</f>
        <v>69791666.666666672</v>
      </c>
      <c r="AL823" s="185">
        <f ca="1">IF(SUM($G809:AL809)&gt;0.01,0,SUM($G814:AL814)-SUM($G822:AL822))</f>
        <v>69583333.333333328</v>
      </c>
      <c r="AM823" s="185">
        <f ca="1">IF(SUM($G809:AM809)&gt;0.01,0,SUM($G814:AM814)-SUM($G822:AM822))</f>
        <v>69375000</v>
      </c>
      <c r="AN823" s="185">
        <f ca="1">IF(SUM($G809:AN809)&gt;0.01,0,SUM($G814:AN814)-SUM($G822:AN822))</f>
        <v>69166666.666666672</v>
      </c>
      <c r="AO823" s="185">
        <f ca="1">IF(SUM($G809:AO809)&gt;0.01,0,SUM($G814:AO814)-SUM($G822:AO822))</f>
        <v>68958333.333333328</v>
      </c>
      <c r="AP823" s="185">
        <f ca="1">IF(SUM($G809:AP809)&gt;0.01,0,SUM($G814:AP814)-SUM($G822:AP822))</f>
        <v>68750000</v>
      </c>
      <c r="AQ823" s="185">
        <f ca="1">IF(SUM($G809:AQ809)&gt;0.01,0,SUM($G814:AQ814)-SUM($G822:AQ822))</f>
        <v>68541666.666666672</v>
      </c>
      <c r="AR823" s="185">
        <f ca="1">IF(SUM($G809:AR809)&gt;0.01,0,SUM($G814:AR814)-SUM($G822:AR822))</f>
        <v>68333333.333333343</v>
      </c>
      <c r="AS823" s="185">
        <f ca="1">IF(SUM($G809:AS809)&gt;0.01,0,SUM($G814:AS814)-SUM($G822:AS822))</f>
        <v>68125000</v>
      </c>
      <c r="AT823" s="185">
        <f ca="1">IF(SUM($G809:AT809)&gt;0.01,0,SUM($G814:AT814)-SUM($G822:AT822))</f>
        <v>67916666.666666672</v>
      </c>
      <c r="AU823" s="185">
        <f ca="1">IF(SUM($G809:AU809)&gt;0.01,0,SUM($G814:AU814)-SUM($G822:AU822))</f>
        <v>67708333.333333343</v>
      </c>
      <c r="AV823" s="185">
        <f ca="1">IF(SUM($G809:AV809)&gt;0.01,0,SUM($G814:AV814)-SUM($G822:AV822))</f>
        <v>67500000</v>
      </c>
      <c r="AW823" s="185">
        <f ca="1">IF(SUM($G809:AW809)&gt;0.01,0,SUM($G814:AW814)-SUM($G822:AW822))</f>
        <v>67291666.666666672</v>
      </c>
      <c r="AX823" s="185">
        <f ca="1">IF(SUM($G809:AX809)&gt;0.01,0,SUM($G814:AX814)-SUM($G822:AX822))</f>
        <v>67083333.333333336</v>
      </c>
      <c r="AY823" s="185">
        <f ca="1">IF(SUM($G809:AY809)&gt;0.01,0,SUM($G814:AY814)-SUM($G822:AY822))</f>
        <v>66875000.000000007</v>
      </c>
      <c r="AZ823" s="185">
        <f ca="1">IF(SUM($G809:AZ809)&gt;0.01,0,SUM($G814:AZ814)-SUM($G822:AZ822))</f>
        <v>66666666.666666672</v>
      </c>
      <c r="BA823" s="185">
        <f ca="1">IF(SUM($G809:BA809)&gt;0.01,0,SUM($G814:BA814)-SUM($G822:BA822))</f>
        <v>66458333.333333336</v>
      </c>
      <c r="BB823" s="185">
        <f ca="1">IF(SUM($G809:BB809)&gt;0.01,0,SUM($G814:BB814)-SUM($G822:BB822))</f>
        <v>66250000</v>
      </c>
      <c r="BC823" s="185"/>
      <c r="BD823" s="193"/>
    </row>
    <row r="824" spans="1:56" hidden="1" outlineLevel="1" x14ac:dyDescent="0.3">
      <c r="A824" s="184" t="str">
        <f ca="1">Language!A$893</f>
        <v>прибыль/убыток от продажи актива (бухгалтерская)</v>
      </c>
      <c r="B824" s="216"/>
      <c r="C824" s="163" t="str">
        <f t="shared" ca="1" si="3224"/>
        <v>руб.</v>
      </c>
      <c r="D824" s="174">
        <v>1</v>
      </c>
      <c r="E824" s="170" t="s">
        <v>762</v>
      </c>
      <c r="F824" s="170" t="s">
        <v>740</v>
      </c>
      <c r="G824" s="185">
        <f t="shared" ref="G824" si="3228">IF(G809=0,0,G809-IF(G$2=1,G810,F815+F819))</f>
        <v>0</v>
      </c>
      <c r="H824" s="185">
        <f t="shared" ref="H824" si="3229">IF(H809=0,0,H809-IF(H$2=1,H810,G815+G819))</f>
        <v>0</v>
      </c>
      <c r="I824" s="185">
        <f t="shared" ref="I824" si="3230">IF(I809=0,0,I809-IF(I$2=1,I810,H815+H819))</f>
        <v>0</v>
      </c>
      <c r="J824" s="185">
        <f t="shared" ref="J824" si="3231">IF(J809=0,0,J809-IF(J$2=1,J810,I815+I819))</f>
        <v>0</v>
      </c>
      <c r="K824" s="185">
        <f t="shared" ref="K824" si="3232">IF(K809=0,0,K809-IF(K$2=1,K810,J815+J819))</f>
        <v>0</v>
      </c>
      <c r="L824" s="185">
        <f t="shared" ref="L824" si="3233">IF(L809=0,0,L809-IF(L$2=1,L810,K815+K819))</f>
        <v>0</v>
      </c>
      <c r="M824" s="185">
        <f t="shared" ref="M824" si="3234">IF(M809=0,0,M809-IF(M$2=1,M810,L815+L819))</f>
        <v>0</v>
      </c>
      <c r="N824" s="185">
        <f t="shared" ref="N824" si="3235">IF(N809=0,0,N809-IF(N$2=1,N810,M815+M819))</f>
        <v>0</v>
      </c>
      <c r="O824" s="185">
        <f t="shared" ref="O824" si="3236">IF(O809=0,0,O809-IF(O$2=1,O810,N815+N819))</f>
        <v>0</v>
      </c>
      <c r="P824" s="185">
        <f t="shared" ref="P824" si="3237">IF(P809=0,0,P809-IF(P$2=1,P810,O815+O819))</f>
        <v>0</v>
      </c>
      <c r="Q824" s="185">
        <f t="shared" ref="Q824" si="3238">IF(Q809=0,0,Q809-IF(Q$2=1,Q810,P815+P819))</f>
        <v>0</v>
      </c>
      <c r="R824" s="185">
        <f t="shared" ref="R824" si="3239">IF(R809=0,0,R809-IF(R$2=1,R810,Q815+Q819))</f>
        <v>0</v>
      </c>
      <c r="S824" s="185">
        <f t="shared" ref="S824" si="3240">IF(S809=0,0,S809-IF(S$2=1,S810,R815+R819))</f>
        <v>0</v>
      </c>
      <c r="T824" s="185">
        <f t="shared" ref="T824" si="3241">IF(T809=0,0,T809-IF(T$2=1,T810,S815+S819))</f>
        <v>0</v>
      </c>
      <c r="U824" s="185">
        <f t="shared" ref="U824" si="3242">IF(U809=0,0,U809-IF(U$2=1,U810,T815+T819))</f>
        <v>0</v>
      </c>
      <c r="V824" s="185">
        <f t="shared" ref="V824" si="3243">IF(V809=0,0,V809-IF(V$2=1,V810,U815+U819))</f>
        <v>0</v>
      </c>
      <c r="W824" s="185">
        <f t="shared" ref="W824" si="3244">IF(W809=0,0,W809-IF(W$2=1,W810,V815+V819))</f>
        <v>0</v>
      </c>
      <c r="X824" s="185">
        <f t="shared" ref="X824" si="3245">IF(X809=0,0,X809-IF(X$2=1,X810,W815+W819))</f>
        <v>0</v>
      </c>
      <c r="Y824" s="185">
        <f t="shared" ref="Y824" si="3246">IF(Y809=0,0,Y809-IF(Y$2=1,Y810,X815+X819))</f>
        <v>0</v>
      </c>
      <c r="Z824" s="185">
        <f t="shared" ref="Z824" si="3247">IF(Z809=0,0,Z809-IF(Z$2=1,Z810,Y815+Y819))</f>
        <v>0</v>
      </c>
      <c r="AA824" s="185">
        <f t="shared" ref="AA824" si="3248">IF(AA809=0,0,AA809-IF(AA$2=1,AA810,Z815+Z819))</f>
        <v>0</v>
      </c>
      <c r="AB824" s="185">
        <f t="shared" ref="AB824" si="3249">IF(AB809=0,0,AB809-IF(AB$2=1,AB810,AA815+AA819))</f>
        <v>0</v>
      </c>
      <c r="AC824" s="185">
        <f t="shared" ref="AC824" si="3250">IF(AC809=0,0,AC809-IF(AC$2=1,AC810,AB815+AB819))</f>
        <v>0</v>
      </c>
      <c r="AD824" s="185">
        <f t="shared" ref="AD824" si="3251">IF(AD809=0,0,AD809-IF(AD$2=1,AD810,AC815+AC819))</f>
        <v>0</v>
      </c>
      <c r="AE824" s="185">
        <f t="shared" ref="AE824" si="3252">IF(AE809=0,0,AE809-IF(AE$2=1,AE810,AD815+AD819))</f>
        <v>0</v>
      </c>
      <c r="AF824" s="185">
        <f t="shared" ref="AF824" si="3253">IF(AF809=0,0,AF809-IF(AF$2=1,AF810,AE815+AE819))</f>
        <v>0</v>
      </c>
      <c r="AG824" s="185">
        <f t="shared" ref="AG824" si="3254">IF(AG809=0,0,AG809-IF(AG$2=1,AG810,AF815+AF819))</f>
        <v>0</v>
      </c>
      <c r="AH824" s="185">
        <f t="shared" ref="AH824" si="3255">IF(AH809=0,0,AH809-IF(AH$2=1,AH810,AG815+AG819))</f>
        <v>0</v>
      </c>
      <c r="AI824" s="185">
        <f t="shared" ref="AI824" si="3256">IF(AI809=0,0,AI809-IF(AI$2=1,AI810,AH815+AH819))</f>
        <v>0</v>
      </c>
      <c r="AJ824" s="185">
        <f t="shared" ref="AJ824" si="3257">IF(AJ809=0,0,AJ809-IF(AJ$2=1,AJ810,AI815+AI819))</f>
        <v>0</v>
      </c>
      <c r="AK824" s="185">
        <f t="shared" ref="AK824" si="3258">IF(AK809=0,0,AK809-IF(AK$2=1,AK810,AJ815+AJ819))</f>
        <v>0</v>
      </c>
      <c r="AL824" s="185">
        <f t="shared" ref="AL824" si="3259">IF(AL809=0,0,AL809-IF(AL$2=1,AL810,AK815+AK819))</f>
        <v>0</v>
      </c>
      <c r="AM824" s="185">
        <f t="shared" ref="AM824" si="3260">IF(AM809=0,0,AM809-IF(AM$2=1,AM810,AL815+AL819))</f>
        <v>0</v>
      </c>
      <c r="AN824" s="185">
        <f t="shared" ref="AN824" si="3261">IF(AN809=0,0,AN809-IF(AN$2=1,AN810,AM815+AM819))</f>
        <v>0</v>
      </c>
      <c r="AO824" s="185">
        <f t="shared" ref="AO824" si="3262">IF(AO809=0,0,AO809-IF(AO$2=1,AO810,AN815+AN819))</f>
        <v>0</v>
      </c>
      <c r="AP824" s="185">
        <f t="shared" ref="AP824" si="3263">IF(AP809=0,0,AP809-IF(AP$2=1,AP810,AO815+AO819))</f>
        <v>0</v>
      </c>
      <c r="AQ824" s="185">
        <f t="shared" ref="AQ824" si="3264">IF(AQ809=0,0,AQ809-IF(AQ$2=1,AQ810,AP815+AP819))</f>
        <v>0</v>
      </c>
      <c r="AR824" s="185">
        <f t="shared" ref="AR824" si="3265">IF(AR809=0,0,AR809-IF(AR$2=1,AR810,AQ815+AQ819))</f>
        <v>0</v>
      </c>
      <c r="AS824" s="185">
        <f t="shared" ref="AS824" si="3266">IF(AS809=0,0,AS809-IF(AS$2=1,AS810,AR815+AR819))</f>
        <v>0</v>
      </c>
      <c r="AT824" s="185">
        <f t="shared" ref="AT824" si="3267">IF(AT809=0,0,AT809-IF(AT$2=1,AT810,AS815+AS819))</f>
        <v>0</v>
      </c>
      <c r="AU824" s="185">
        <f t="shared" ref="AU824" si="3268">IF(AU809=0,0,AU809-IF(AU$2=1,AU810,AT815+AT819))</f>
        <v>0</v>
      </c>
      <c r="AV824" s="185">
        <f t="shared" ref="AV824" si="3269">IF(AV809=0,0,AV809-IF(AV$2=1,AV810,AU815+AU819))</f>
        <v>0</v>
      </c>
      <c r="AW824" s="185">
        <f t="shared" ref="AW824" si="3270">IF(AW809=0,0,AW809-IF(AW$2=1,AW810,AV815+AV819))</f>
        <v>0</v>
      </c>
      <c r="AX824" s="185">
        <f t="shared" ref="AX824" si="3271">IF(AX809=0,0,AX809-IF(AX$2=1,AX810,AW815+AW819))</f>
        <v>0</v>
      </c>
      <c r="AY824" s="185">
        <f t="shared" ref="AY824" si="3272">IF(AY809=0,0,AY809-IF(AY$2=1,AY810,AX815+AX819))</f>
        <v>0</v>
      </c>
      <c r="AZ824" s="185">
        <f t="shared" ref="AZ824" si="3273">IF(AZ809=0,0,AZ809-IF(AZ$2=1,AZ810,AY815+AY819))</f>
        <v>0</v>
      </c>
      <c r="BA824" s="185">
        <f t="shared" ref="BA824" si="3274">IF(BA809=0,0,BA809-IF(BA$2=1,BA810,AZ815+AZ819))</f>
        <v>0</v>
      </c>
      <c r="BB824" s="185">
        <f t="shared" ref="BB824" si="3275">IF(BB809=0,0,BB809-IF(BB$2=1,BB810,BA815+BA819))</f>
        <v>0</v>
      </c>
      <c r="BC824" s="185"/>
      <c r="BD824" s="193">
        <f>SUM(G824:BC824)</f>
        <v>0</v>
      </c>
    </row>
    <row r="825" spans="1:56" hidden="1" outlineLevel="1" x14ac:dyDescent="0.3">
      <c r="A825" s="184" t="str">
        <f ca="1">Language!A$894</f>
        <v>прибыль/убыток от продажи актива (налоговая)</v>
      </c>
      <c r="B825" s="216"/>
      <c r="C825" s="163" t="str">
        <f t="shared" ca="1" si="3224"/>
        <v>руб.</v>
      </c>
      <c r="D825" s="174">
        <v>1</v>
      </c>
      <c r="E825" s="170" t="s">
        <v>763</v>
      </c>
      <c r="F825" s="170" t="s">
        <v>740</v>
      </c>
      <c r="G825" s="185">
        <f t="shared" ref="G825" si="3276">IF(G809=0,0,G809-IF(G$2=1,G810,F815+F823))</f>
        <v>0</v>
      </c>
      <c r="H825" s="185">
        <f t="shared" ref="H825" si="3277">IF(H809=0,0,H809-IF(H$2=1,H810,G815+G823))</f>
        <v>0</v>
      </c>
      <c r="I825" s="185">
        <f t="shared" ref="I825" si="3278">IF(I809=0,0,I809-IF(I$2=1,I810,H815+H823))</f>
        <v>0</v>
      </c>
      <c r="J825" s="185">
        <f t="shared" ref="J825" si="3279">IF(J809=0,0,J809-IF(J$2=1,J810,I815+I823))</f>
        <v>0</v>
      </c>
      <c r="K825" s="185">
        <f t="shared" ref="K825" si="3280">IF(K809=0,0,K809-IF(K$2=1,K810,J815+J823))</f>
        <v>0</v>
      </c>
      <c r="L825" s="185">
        <f t="shared" ref="L825" si="3281">IF(L809=0,0,L809-IF(L$2=1,L810,K815+K823))</f>
        <v>0</v>
      </c>
      <c r="M825" s="185">
        <f t="shared" ref="M825" si="3282">IF(M809=0,0,M809-IF(M$2=1,M810,L815+L823))</f>
        <v>0</v>
      </c>
      <c r="N825" s="185">
        <f t="shared" ref="N825" si="3283">IF(N809=0,0,N809-IF(N$2=1,N810,M815+M823))</f>
        <v>0</v>
      </c>
      <c r="O825" s="185">
        <f t="shared" ref="O825" si="3284">IF(O809=0,0,O809-IF(O$2=1,O810,N815+N823))</f>
        <v>0</v>
      </c>
      <c r="P825" s="185">
        <f t="shared" ref="P825" si="3285">IF(P809=0,0,P809-IF(P$2=1,P810,O815+O823))</f>
        <v>0</v>
      </c>
      <c r="Q825" s="185">
        <f t="shared" ref="Q825" si="3286">IF(Q809=0,0,Q809-IF(Q$2=1,Q810,P815+P823))</f>
        <v>0</v>
      </c>
      <c r="R825" s="185">
        <f t="shared" ref="R825" si="3287">IF(R809=0,0,R809-IF(R$2=1,R810,Q815+Q823))</f>
        <v>0</v>
      </c>
      <c r="S825" s="185">
        <f t="shared" ref="S825" si="3288">IF(S809=0,0,S809-IF(S$2=1,S810,R815+R823))</f>
        <v>0</v>
      </c>
      <c r="T825" s="185">
        <f t="shared" ref="T825" si="3289">IF(T809=0,0,T809-IF(T$2=1,T810,S815+S823))</f>
        <v>0</v>
      </c>
      <c r="U825" s="185">
        <f t="shared" ref="U825" si="3290">IF(U809=0,0,U809-IF(U$2=1,U810,T815+T823))</f>
        <v>0</v>
      </c>
      <c r="V825" s="185">
        <f t="shared" ref="V825" si="3291">IF(V809=0,0,V809-IF(V$2=1,V810,U815+U823))</f>
        <v>0</v>
      </c>
      <c r="W825" s="185">
        <f t="shared" ref="W825" si="3292">IF(W809=0,0,W809-IF(W$2=1,W810,V815+V823))</f>
        <v>0</v>
      </c>
      <c r="X825" s="185">
        <f t="shared" ref="X825" si="3293">IF(X809=0,0,X809-IF(X$2=1,X810,W815+W823))</f>
        <v>0</v>
      </c>
      <c r="Y825" s="185">
        <f t="shared" ref="Y825" si="3294">IF(Y809=0,0,Y809-IF(Y$2=1,Y810,X815+X823))</f>
        <v>0</v>
      </c>
      <c r="Z825" s="185">
        <f t="shared" ref="Z825" si="3295">IF(Z809=0,0,Z809-IF(Z$2=1,Z810,Y815+Y823))</f>
        <v>0</v>
      </c>
      <c r="AA825" s="185">
        <f t="shared" ref="AA825" si="3296">IF(AA809=0,0,AA809-IF(AA$2=1,AA810,Z815+Z823))</f>
        <v>0</v>
      </c>
      <c r="AB825" s="185">
        <f t="shared" ref="AB825" si="3297">IF(AB809=0,0,AB809-IF(AB$2=1,AB810,AA815+AA823))</f>
        <v>0</v>
      </c>
      <c r="AC825" s="185">
        <f t="shared" ref="AC825" si="3298">IF(AC809=0,0,AC809-IF(AC$2=1,AC810,AB815+AB823))</f>
        <v>0</v>
      </c>
      <c r="AD825" s="185">
        <f t="shared" ref="AD825" si="3299">IF(AD809=0,0,AD809-IF(AD$2=1,AD810,AC815+AC823))</f>
        <v>0</v>
      </c>
      <c r="AE825" s="185">
        <f t="shared" ref="AE825" si="3300">IF(AE809=0,0,AE809-IF(AE$2=1,AE810,AD815+AD823))</f>
        <v>0</v>
      </c>
      <c r="AF825" s="185">
        <f t="shared" ref="AF825" si="3301">IF(AF809=0,0,AF809-IF(AF$2=1,AF810,AE815+AE823))</f>
        <v>0</v>
      </c>
      <c r="AG825" s="185">
        <f t="shared" ref="AG825" si="3302">IF(AG809=0,0,AG809-IF(AG$2=1,AG810,AF815+AF823))</f>
        <v>0</v>
      </c>
      <c r="AH825" s="185">
        <f t="shared" ref="AH825" si="3303">IF(AH809=0,0,AH809-IF(AH$2=1,AH810,AG815+AG823))</f>
        <v>0</v>
      </c>
      <c r="AI825" s="185">
        <f t="shared" ref="AI825" si="3304">IF(AI809=0,0,AI809-IF(AI$2=1,AI810,AH815+AH823))</f>
        <v>0</v>
      </c>
      <c r="AJ825" s="185">
        <f t="shared" ref="AJ825" si="3305">IF(AJ809=0,0,AJ809-IF(AJ$2=1,AJ810,AI815+AI823))</f>
        <v>0</v>
      </c>
      <c r="AK825" s="185">
        <f t="shared" ref="AK825" si="3306">IF(AK809=0,0,AK809-IF(AK$2=1,AK810,AJ815+AJ823))</f>
        <v>0</v>
      </c>
      <c r="AL825" s="185">
        <f t="shared" ref="AL825" si="3307">IF(AL809=0,0,AL809-IF(AL$2=1,AL810,AK815+AK823))</f>
        <v>0</v>
      </c>
      <c r="AM825" s="185">
        <f t="shared" ref="AM825" si="3308">IF(AM809=0,0,AM809-IF(AM$2=1,AM810,AL815+AL823))</f>
        <v>0</v>
      </c>
      <c r="AN825" s="185">
        <f t="shared" ref="AN825" si="3309">IF(AN809=0,0,AN809-IF(AN$2=1,AN810,AM815+AM823))</f>
        <v>0</v>
      </c>
      <c r="AO825" s="185">
        <f t="shared" ref="AO825" si="3310">IF(AO809=0,0,AO809-IF(AO$2=1,AO810,AN815+AN823))</f>
        <v>0</v>
      </c>
      <c r="AP825" s="185">
        <f t="shared" ref="AP825" si="3311">IF(AP809=0,0,AP809-IF(AP$2=1,AP810,AO815+AO823))</f>
        <v>0</v>
      </c>
      <c r="AQ825" s="185">
        <f t="shared" ref="AQ825" si="3312">IF(AQ809=0,0,AQ809-IF(AQ$2=1,AQ810,AP815+AP823))</f>
        <v>0</v>
      </c>
      <c r="AR825" s="185">
        <f t="shared" ref="AR825" si="3313">IF(AR809=0,0,AR809-IF(AR$2=1,AR810,AQ815+AQ823))</f>
        <v>0</v>
      </c>
      <c r="AS825" s="185">
        <f t="shared" ref="AS825" si="3314">IF(AS809=0,0,AS809-IF(AS$2=1,AS810,AR815+AR823))</f>
        <v>0</v>
      </c>
      <c r="AT825" s="185">
        <f t="shared" ref="AT825" si="3315">IF(AT809=0,0,AT809-IF(AT$2=1,AT810,AS815+AS823))</f>
        <v>0</v>
      </c>
      <c r="AU825" s="185">
        <f t="shared" ref="AU825" si="3316">IF(AU809=0,0,AU809-IF(AU$2=1,AU810,AT815+AT823))</f>
        <v>0</v>
      </c>
      <c r="AV825" s="185">
        <f t="shared" ref="AV825" si="3317">IF(AV809=0,0,AV809-IF(AV$2=1,AV810,AU815+AU823))</f>
        <v>0</v>
      </c>
      <c r="AW825" s="185">
        <f t="shared" ref="AW825" si="3318">IF(AW809=0,0,AW809-IF(AW$2=1,AW810,AV815+AV823))</f>
        <v>0</v>
      </c>
      <c r="AX825" s="185">
        <f t="shared" ref="AX825" si="3319">IF(AX809=0,0,AX809-IF(AX$2=1,AX810,AW815+AW823))</f>
        <v>0</v>
      </c>
      <c r="AY825" s="185">
        <f t="shared" ref="AY825" si="3320">IF(AY809=0,0,AY809-IF(AY$2=1,AY810,AX815+AX823))</f>
        <v>0</v>
      </c>
      <c r="AZ825" s="185">
        <f t="shared" ref="AZ825" si="3321">IF(AZ809=0,0,AZ809-IF(AZ$2=1,AZ810,AY815+AY823))</f>
        <v>0</v>
      </c>
      <c r="BA825" s="185">
        <f t="shared" ref="BA825" si="3322">IF(BA809=0,0,BA809-IF(BA$2=1,BA810,AZ815+AZ823))</f>
        <v>0</v>
      </c>
      <c r="BB825" s="185">
        <f t="shared" ref="BB825" si="3323">IF(BB809=0,0,BB809-IF(BB$2=1,BB810,BA815+BA823))</f>
        <v>0</v>
      </c>
      <c r="BC825" s="185"/>
      <c r="BD825" s="193">
        <f>SUM(G825:BC825)</f>
        <v>0</v>
      </c>
    </row>
    <row r="826" spans="1:56" hidden="1" outlineLevel="1" x14ac:dyDescent="0.3">
      <c r="A826" s="184" t="str">
        <f ca="1">Language!A$895</f>
        <v>НДС к выручке от продажи актива</v>
      </c>
      <c r="B826" s="216"/>
      <c r="C826" s="163" t="str">
        <f t="shared" ca="1" si="3224"/>
        <v>руб.</v>
      </c>
      <c r="D826" s="174">
        <v>1</v>
      </c>
      <c r="E826" s="170" t="s">
        <v>764</v>
      </c>
      <c r="F826" s="170" t="s">
        <v>740</v>
      </c>
      <c r="G826" s="185">
        <f t="shared" ref="G826:BB826" si="3324">G809*G808</f>
        <v>0</v>
      </c>
      <c r="H826" s="185">
        <f t="shared" si="3324"/>
        <v>0</v>
      </c>
      <c r="I826" s="185">
        <f t="shared" si="3324"/>
        <v>0</v>
      </c>
      <c r="J826" s="185">
        <f t="shared" si="3324"/>
        <v>0</v>
      </c>
      <c r="K826" s="185">
        <f t="shared" si="3324"/>
        <v>0</v>
      </c>
      <c r="L826" s="185">
        <f t="shared" si="3324"/>
        <v>0</v>
      </c>
      <c r="M826" s="185">
        <f t="shared" si="3324"/>
        <v>0</v>
      </c>
      <c r="N826" s="185">
        <f t="shared" si="3324"/>
        <v>0</v>
      </c>
      <c r="O826" s="185">
        <f t="shared" si="3324"/>
        <v>0</v>
      </c>
      <c r="P826" s="185">
        <f t="shared" si="3324"/>
        <v>0</v>
      </c>
      <c r="Q826" s="185">
        <f t="shared" si="3324"/>
        <v>0</v>
      </c>
      <c r="R826" s="185">
        <f t="shared" si="3324"/>
        <v>0</v>
      </c>
      <c r="S826" s="185">
        <f t="shared" si="3324"/>
        <v>0</v>
      </c>
      <c r="T826" s="185">
        <f t="shared" si="3324"/>
        <v>0</v>
      </c>
      <c r="U826" s="185">
        <f t="shared" si="3324"/>
        <v>0</v>
      </c>
      <c r="V826" s="185">
        <f t="shared" si="3324"/>
        <v>0</v>
      </c>
      <c r="W826" s="185">
        <f t="shared" si="3324"/>
        <v>0</v>
      </c>
      <c r="X826" s="185">
        <f t="shared" si="3324"/>
        <v>0</v>
      </c>
      <c r="Y826" s="185">
        <f t="shared" si="3324"/>
        <v>0</v>
      </c>
      <c r="Z826" s="185">
        <f t="shared" si="3324"/>
        <v>0</v>
      </c>
      <c r="AA826" s="185">
        <f t="shared" si="3324"/>
        <v>0</v>
      </c>
      <c r="AB826" s="185">
        <f t="shared" si="3324"/>
        <v>0</v>
      </c>
      <c r="AC826" s="185">
        <f t="shared" si="3324"/>
        <v>0</v>
      </c>
      <c r="AD826" s="185">
        <f t="shared" si="3324"/>
        <v>0</v>
      </c>
      <c r="AE826" s="185">
        <f t="shared" si="3324"/>
        <v>0</v>
      </c>
      <c r="AF826" s="185">
        <f t="shared" si="3324"/>
        <v>0</v>
      </c>
      <c r="AG826" s="185">
        <f t="shared" si="3324"/>
        <v>0</v>
      </c>
      <c r="AH826" s="185">
        <f t="shared" si="3324"/>
        <v>0</v>
      </c>
      <c r="AI826" s="185">
        <f t="shared" si="3324"/>
        <v>0</v>
      </c>
      <c r="AJ826" s="185">
        <f t="shared" si="3324"/>
        <v>0</v>
      </c>
      <c r="AK826" s="185">
        <f t="shared" si="3324"/>
        <v>0</v>
      </c>
      <c r="AL826" s="185">
        <f t="shared" si="3324"/>
        <v>0</v>
      </c>
      <c r="AM826" s="185">
        <f t="shared" si="3324"/>
        <v>0</v>
      </c>
      <c r="AN826" s="185">
        <f t="shared" si="3324"/>
        <v>0</v>
      </c>
      <c r="AO826" s="185">
        <f t="shared" si="3324"/>
        <v>0</v>
      </c>
      <c r="AP826" s="185">
        <f t="shared" si="3324"/>
        <v>0</v>
      </c>
      <c r="AQ826" s="185">
        <f t="shared" si="3324"/>
        <v>0</v>
      </c>
      <c r="AR826" s="185">
        <f t="shared" si="3324"/>
        <v>0</v>
      </c>
      <c r="AS826" s="185">
        <f t="shared" si="3324"/>
        <v>0</v>
      </c>
      <c r="AT826" s="185">
        <f t="shared" si="3324"/>
        <v>0</v>
      </c>
      <c r="AU826" s="185">
        <f t="shared" si="3324"/>
        <v>0</v>
      </c>
      <c r="AV826" s="185">
        <f t="shared" si="3324"/>
        <v>0</v>
      </c>
      <c r="AW826" s="185">
        <f t="shared" si="3324"/>
        <v>0</v>
      </c>
      <c r="AX826" s="185">
        <f t="shared" si="3324"/>
        <v>0</v>
      </c>
      <c r="AY826" s="185">
        <f t="shared" si="3324"/>
        <v>0</v>
      </c>
      <c r="AZ826" s="185">
        <f t="shared" si="3324"/>
        <v>0</v>
      </c>
      <c r="BA826" s="185">
        <f t="shared" si="3324"/>
        <v>0</v>
      </c>
      <c r="BB826" s="185">
        <f t="shared" si="3324"/>
        <v>0</v>
      </c>
      <c r="BC826" s="185"/>
      <c r="BD826" s="193">
        <f>SUM(G826:BC826)</f>
        <v>0</v>
      </c>
    </row>
    <row r="827" spans="1:56" hidden="1" outlineLevel="1" x14ac:dyDescent="0.3">
      <c r="A827" s="184" t="str">
        <f ca="1">Language!A$896</f>
        <v>курсовые разницы</v>
      </c>
      <c r="B827" s="216"/>
      <c r="C827" s="163" t="str">
        <f t="shared" ca="1" si="3224"/>
        <v>руб.</v>
      </c>
      <c r="D827" s="174">
        <v>1</v>
      </c>
      <c r="E827" s="170" t="s">
        <v>1278</v>
      </c>
      <c r="F827" s="170" t="s">
        <v>740</v>
      </c>
      <c r="G827" s="185">
        <f>-(SUM($G810:G810)+$B812-G815+G816-G817-SUM($G814:G814)+IF(G$2=1,0,SUM($F827:F827)))</f>
        <v>0</v>
      </c>
      <c r="H827" s="185">
        <f>-(SUM($G810:H810)+$B812-H815+H816-H817-SUM($G814:H814)+IF(H$2=1,0,SUM($F827:G827)))</f>
        <v>0</v>
      </c>
      <c r="I827" s="185">
        <f>-(SUM($G810:I810)+$B812-I815+I816-I817-SUM($G814:I814)+IF(I$2=1,0,SUM($F827:H827)))</f>
        <v>0</v>
      </c>
      <c r="J827" s="185">
        <f>-(SUM($G810:J810)+$B812-J815+J816-J817-SUM($G814:J814)+IF(J$2=1,0,SUM($F827:I827)))</f>
        <v>0</v>
      </c>
      <c r="K827" s="185">
        <f>-(SUM($G810:K810)+$B812-K815+K816-K817-SUM($G814:K814)+IF(K$2=1,0,SUM($F827:J827)))</f>
        <v>0</v>
      </c>
      <c r="L827" s="185">
        <f>-(SUM($G810:L810)+$B812-L815+L816-L817-SUM($G814:L814)+IF(L$2=1,0,SUM($F827:K827)))</f>
        <v>0</v>
      </c>
      <c r="M827" s="185">
        <f>-(SUM($G810:M810)+$B812-M815+M816-M817-SUM($G814:M814)+IF(M$2=1,0,SUM($F827:L827)))</f>
        <v>0</v>
      </c>
      <c r="N827" s="185">
        <f>-(SUM($G810:N810)+$B812-N815+N816-N817-SUM($G814:N814)+IF(N$2=1,0,SUM($F827:M827)))</f>
        <v>0</v>
      </c>
      <c r="O827" s="185">
        <f>-(SUM($G810:O810)+$B812-O815+O816-O817-SUM($G814:O814)+IF(O$2=1,0,SUM($F827:N827)))</f>
        <v>0</v>
      </c>
      <c r="P827" s="185">
        <f>-(SUM($G810:P810)+$B812-P815+P816-P817-SUM($G814:P814)+IF(P$2=1,0,SUM($F827:O827)))</f>
        <v>0</v>
      </c>
      <c r="Q827" s="185">
        <f>-(SUM($G810:Q810)+$B812-Q815+Q816-Q817-SUM($G814:Q814)+IF(Q$2=1,0,SUM($F827:P827)))</f>
        <v>0</v>
      </c>
      <c r="R827" s="185">
        <f>-(SUM($G810:R810)+$B812-R815+R816-R817-SUM($G814:R814)+IF(R$2=1,0,SUM($F827:Q827)))</f>
        <v>0</v>
      </c>
      <c r="S827" s="185">
        <f>-(SUM($G810:S810)+$B812-S815+S816-S817-SUM($G814:S814)+IF(S$2=1,0,SUM($F827:R827)))</f>
        <v>0</v>
      </c>
      <c r="T827" s="185">
        <f>-(SUM($G810:T810)+$B812-T815+T816-T817-SUM($G814:T814)+IF(T$2=1,0,SUM($F827:S827)))</f>
        <v>0</v>
      </c>
      <c r="U827" s="185">
        <f>-(SUM($G810:U810)+$B812-U815+U816-U817-SUM($G814:U814)+IF(U$2=1,0,SUM($F827:T827)))</f>
        <v>0</v>
      </c>
      <c r="V827" s="185">
        <f>-(SUM($G810:V810)+$B812-V815+V816-V817-SUM($G814:V814)+IF(V$2=1,0,SUM($F827:U827)))</f>
        <v>0</v>
      </c>
      <c r="W827" s="185">
        <f>-(SUM($G810:W810)+$B812-W815+W816-W817-SUM($G814:W814)+IF(W$2=1,0,SUM($F827:V827)))</f>
        <v>0</v>
      </c>
      <c r="X827" s="185">
        <f>-(SUM($G810:X810)+$B812-X815+X816-X817-SUM($G814:X814)+IF(X$2=1,0,SUM($F827:W827)))</f>
        <v>0</v>
      </c>
      <c r="Y827" s="185">
        <f>-(SUM($G810:Y810)+$B812-Y815+Y816-Y817-SUM($G814:Y814)+IF(Y$2=1,0,SUM($F827:X827)))</f>
        <v>0</v>
      </c>
      <c r="Z827" s="185">
        <f>-(SUM($G810:Z810)+$B812-Z815+Z816-Z817-SUM($G814:Z814)+IF(Z$2=1,0,SUM($F827:Y827)))</f>
        <v>0</v>
      </c>
      <c r="AA827" s="185">
        <f>-(SUM($G810:AA810)+$B812-AA815+AA816-AA817-SUM($G814:AA814)+IF(AA$2=1,0,SUM($F827:Z827)))</f>
        <v>0</v>
      </c>
      <c r="AB827" s="185">
        <f>-(SUM($G810:AB810)+$B812-AB815+AB816-AB817-SUM($G814:AB814)+IF(AB$2=1,0,SUM($F827:AA827)))</f>
        <v>0</v>
      </c>
      <c r="AC827" s="185">
        <f>-(SUM($G810:AC810)+$B812-AC815+AC816-AC817-SUM($G814:AC814)+IF(AC$2=1,0,SUM($F827:AB827)))</f>
        <v>0</v>
      </c>
      <c r="AD827" s="185">
        <f>-(SUM($G810:AD810)+$B812-AD815+AD816-AD817-SUM($G814:AD814)+IF(AD$2=1,0,SUM($F827:AC827)))</f>
        <v>0</v>
      </c>
      <c r="AE827" s="185">
        <f>-(SUM($G810:AE810)+$B812-AE815+AE816-AE817-SUM($G814:AE814)+IF(AE$2=1,0,SUM($F827:AD827)))</f>
        <v>0</v>
      </c>
      <c r="AF827" s="185">
        <f>-(SUM($G810:AF810)+$B812-AF815+AF816-AF817-SUM($G814:AF814)+IF(AF$2=1,0,SUM($F827:AE827)))</f>
        <v>0</v>
      </c>
      <c r="AG827" s="185">
        <f>-(SUM($G810:AG810)+$B812-AG815+AG816-AG817-SUM($G814:AG814)+IF(AG$2=1,0,SUM($F827:AF827)))</f>
        <v>0</v>
      </c>
      <c r="AH827" s="185">
        <f>-(SUM($G810:AH810)+$B812-AH815+AH816-AH817-SUM($G814:AH814)+IF(AH$2=1,0,SUM($F827:AG827)))</f>
        <v>0</v>
      </c>
      <c r="AI827" s="185">
        <f>-(SUM($G810:AI810)+$B812-AI815+AI816-AI817-SUM($G814:AI814)+IF(AI$2=1,0,SUM($F827:AH827)))</f>
        <v>0</v>
      </c>
      <c r="AJ827" s="185">
        <f>-(SUM($G810:AJ810)+$B812-AJ815+AJ816-AJ817-SUM($G814:AJ814)+IF(AJ$2=1,0,SUM($F827:AI827)))</f>
        <v>0</v>
      </c>
      <c r="AK827" s="185">
        <f>-(SUM($G810:AK810)+$B812-AK815+AK816-AK817-SUM($G814:AK814)+IF(AK$2=1,0,SUM($F827:AJ827)))</f>
        <v>0</v>
      </c>
      <c r="AL827" s="185">
        <f>-(SUM($G810:AL810)+$B812-AL815+AL816-AL817-SUM($G814:AL814)+IF(AL$2=1,0,SUM($F827:AK827)))</f>
        <v>0</v>
      </c>
      <c r="AM827" s="185">
        <f>-(SUM($G810:AM810)+$B812-AM815+AM816-AM817-SUM($G814:AM814)+IF(AM$2=1,0,SUM($F827:AL827)))</f>
        <v>0</v>
      </c>
      <c r="AN827" s="185">
        <f>-(SUM($G810:AN810)+$B812-AN815+AN816-AN817-SUM($G814:AN814)+IF(AN$2=1,0,SUM($F827:AM827)))</f>
        <v>0</v>
      </c>
      <c r="AO827" s="185">
        <f>-(SUM($G810:AO810)+$B812-AO815+AO816-AO817-SUM($G814:AO814)+IF(AO$2=1,0,SUM($F827:AN827)))</f>
        <v>0</v>
      </c>
      <c r="AP827" s="185">
        <f>-(SUM($G810:AP810)+$B812-AP815+AP816-AP817-SUM($G814:AP814)+IF(AP$2=1,0,SUM($F827:AO827)))</f>
        <v>0</v>
      </c>
      <c r="AQ827" s="185">
        <f>-(SUM($G810:AQ810)+$B812-AQ815+AQ816-AQ817-SUM($G814:AQ814)+IF(AQ$2=1,0,SUM($F827:AP827)))</f>
        <v>0</v>
      </c>
      <c r="AR827" s="185">
        <f>-(SUM($G810:AR810)+$B812-AR815+AR816-AR817-SUM($G814:AR814)+IF(AR$2=1,0,SUM($F827:AQ827)))</f>
        <v>0</v>
      </c>
      <c r="AS827" s="185">
        <f>-(SUM($G810:AS810)+$B812-AS815+AS816-AS817-SUM($G814:AS814)+IF(AS$2=1,0,SUM($F827:AR827)))</f>
        <v>0</v>
      </c>
      <c r="AT827" s="185">
        <f>-(SUM($G810:AT810)+$B812-AT815+AT816-AT817-SUM($G814:AT814)+IF(AT$2=1,0,SUM($F827:AS827)))</f>
        <v>0</v>
      </c>
      <c r="AU827" s="185">
        <f>-(SUM($G810:AU810)+$B812-AU815+AU816-AU817-SUM($G814:AU814)+IF(AU$2=1,0,SUM($F827:AT827)))</f>
        <v>0</v>
      </c>
      <c r="AV827" s="185">
        <f>-(SUM($G810:AV810)+$B812-AV815+AV816-AV817-SUM($G814:AV814)+IF(AV$2=1,0,SUM($F827:AU827)))</f>
        <v>0</v>
      </c>
      <c r="AW827" s="185">
        <f>-(SUM($G810:AW810)+$B812-AW815+AW816-AW817-SUM($G814:AW814)+IF(AW$2=1,0,SUM($F827:AV827)))</f>
        <v>0</v>
      </c>
      <c r="AX827" s="185">
        <f>-(SUM($G810:AX810)+$B812-AX815+AX816-AX817-SUM($G814:AX814)+IF(AX$2=1,0,SUM($F827:AW827)))</f>
        <v>0</v>
      </c>
      <c r="AY827" s="185">
        <f>-(SUM($G810:AY810)+$B812-AY815+AY816-AY817-SUM($G814:AY814)+IF(AY$2=1,0,SUM($F827:AX827)))</f>
        <v>0</v>
      </c>
      <c r="AZ827" s="185">
        <f>-(SUM($G810:AZ810)+$B812-AZ815+AZ816-AZ817-SUM($G814:AZ814)+IF(AZ$2=1,0,SUM($F827:AY827)))</f>
        <v>0</v>
      </c>
      <c r="BA827" s="185">
        <f>-(SUM($G810:BA810)+$B812-BA815+BA816-BA817-SUM($G814:BA814)+IF(BA$2=1,0,SUM($F827:AZ827)))</f>
        <v>0</v>
      </c>
      <c r="BB827" s="185">
        <f>-(SUM($G810:BB810)+$B812-BB815+BB816-BB817-SUM($G814:BB814)+IF(BB$2=1,0,SUM($F827:BA827)))</f>
        <v>0</v>
      </c>
      <c r="BC827" s="185"/>
      <c r="BD827" s="193">
        <f>SUM(G827:BC827)</f>
        <v>0</v>
      </c>
    </row>
    <row r="828" spans="1:56" x14ac:dyDescent="0.3">
      <c r="A828" s="283" t="s">
        <v>3501</v>
      </c>
      <c r="C828" s="176"/>
      <c r="D828" s="174">
        <v>1</v>
      </c>
      <c r="F828" s="170" t="s">
        <v>3502</v>
      </c>
    </row>
    <row r="829" spans="1:56" collapsed="1" x14ac:dyDescent="0.3">
      <c r="A829" s="175" t="str">
        <f ca="1">Language!A$874</f>
        <v>график оплаты, без НДС</v>
      </c>
      <c r="B829" s="199">
        <f>BD829</f>
        <v>20000000</v>
      </c>
      <c r="C829" s="176" t="str">
        <f t="shared" ref="C829:C831" ca="1" si="3325">CHOOSE(D829,CurName1,CurName2,CurName3)</f>
        <v>руб.</v>
      </c>
      <c r="D829" s="174">
        <f>D828</f>
        <v>1</v>
      </c>
      <c r="F829" s="170" t="s">
        <v>740</v>
      </c>
      <c r="G829" s="297">
        <v>0</v>
      </c>
      <c r="H829" s="297">
        <v>0</v>
      </c>
      <c r="I829" s="297">
        <v>0</v>
      </c>
      <c r="J829" s="297">
        <v>7000000</v>
      </c>
      <c r="K829" s="297">
        <v>7000000</v>
      </c>
      <c r="L829" s="297">
        <v>6000000</v>
      </c>
      <c r="M829" s="297">
        <v>0</v>
      </c>
      <c r="N829" s="297">
        <v>0</v>
      </c>
      <c r="O829" s="297">
        <v>0</v>
      </c>
      <c r="P829" s="297">
        <v>0</v>
      </c>
      <c r="Q829" s="297">
        <v>0</v>
      </c>
      <c r="R829" s="297">
        <v>0</v>
      </c>
      <c r="S829" s="297">
        <v>0</v>
      </c>
      <c r="T829" s="297">
        <v>0</v>
      </c>
      <c r="U829" s="297">
        <v>0</v>
      </c>
      <c r="V829" s="297">
        <v>0</v>
      </c>
      <c r="W829" s="297">
        <v>0</v>
      </c>
      <c r="X829" s="297">
        <v>0</v>
      </c>
      <c r="Y829" s="297">
        <v>0</v>
      </c>
      <c r="Z829" s="297">
        <v>0</v>
      </c>
      <c r="AA829" s="297">
        <v>0</v>
      </c>
      <c r="AB829" s="297">
        <v>0</v>
      </c>
      <c r="AC829" s="297">
        <v>0</v>
      </c>
      <c r="AD829" s="297">
        <v>0</v>
      </c>
      <c r="AE829" s="297">
        <v>0</v>
      </c>
      <c r="AF829" s="297">
        <v>0</v>
      </c>
      <c r="AG829" s="297">
        <v>0</v>
      </c>
      <c r="AH829" s="297">
        <v>0</v>
      </c>
      <c r="AI829" s="297">
        <v>0</v>
      </c>
      <c r="AJ829" s="297">
        <v>0</v>
      </c>
      <c r="AK829" s="297">
        <v>0</v>
      </c>
      <c r="AL829" s="297">
        <v>0</v>
      </c>
      <c r="AM829" s="297">
        <v>0</v>
      </c>
      <c r="AN829" s="297">
        <v>0</v>
      </c>
      <c r="AO829" s="297">
        <v>0</v>
      </c>
      <c r="AP829" s="297">
        <v>0</v>
      </c>
      <c r="AQ829" s="297">
        <v>0</v>
      </c>
      <c r="AR829" s="297">
        <v>0</v>
      </c>
      <c r="AS829" s="297">
        <v>0</v>
      </c>
      <c r="AT829" s="297">
        <v>0</v>
      </c>
      <c r="AU829" s="297">
        <v>0</v>
      </c>
      <c r="AV829" s="297">
        <v>0</v>
      </c>
      <c r="AW829" s="297">
        <v>0</v>
      </c>
      <c r="AX829" s="297">
        <v>0</v>
      </c>
      <c r="AY829" s="297">
        <v>0</v>
      </c>
      <c r="AZ829" s="297">
        <v>0</v>
      </c>
      <c r="BA829" s="297">
        <v>0</v>
      </c>
      <c r="BB829" s="297">
        <v>0</v>
      </c>
      <c r="BC829" s="177"/>
      <c r="BD829" s="178">
        <f>SUM(G829:BC829)</f>
        <v>20000000</v>
      </c>
    </row>
    <row r="830" spans="1:56" hidden="1" outlineLevel="1" x14ac:dyDescent="0.3">
      <c r="A830" s="175" t="str">
        <f ca="1">Language!A$875</f>
        <v>ранее осуществленные инвестиции, без НДС</v>
      </c>
      <c r="B830" s="295">
        <v>0</v>
      </c>
      <c r="C830" s="176" t="str">
        <f t="shared" ca="1" si="3325"/>
        <v>руб.</v>
      </c>
      <c r="D830" s="174">
        <f>D828</f>
        <v>1</v>
      </c>
    </row>
    <row r="831" spans="1:56" hidden="1" outlineLevel="1" x14ac:dyDescent="0.3">
      <c r="A831" s="175" t="str">
        <f ca="1">Language!A$876</f>
        <v>график ввода в эксплуатацию, без НДС</v>
      </c>
      <c r="B831" s="176"/>
      <c r="C831" s="176" t="str">
        <f t="shared" ca="1" si="3325"/>
        <v>руб.</v>
      </c>
      <c r="D831" s="174">
        <f>D828</f>
        <v>1</v>
      </c>
      <c r="F831" s="170" t="s">
        <v>740</v>
      </c>
      <c r="G831" s="297">
        <f>IF(G$2&gt;=ROUNDUP(Параметры!$B$18,0)+1,MAX(0,$BD829+$B830-SUM($F831:F831)),0)</f>
        <v>0</v>
      </c>
      <c r="H831" s="297">
        <f>IF(H$2&gt;=ROUNDUP(Параметры!$B$18,0)+1,MAX(0,$BD829+$B830-SUM($F831:G831)),0)</f>
        <v>0</v>
      </c>
      <c r="I831" s="297">
        <f>IF(I$2&gt;=ROUNDUP(Параметры!$B$18,0)+1,MAX(0,$BD829+$B830-SUM($F831:H831)),0)</f>
        <v>0</v>
      </c>
      <c r="J831" s="297">
        <f>IF(J$2&gt;=ROUNDUP(Параметры!$B$18,0)+1,MAX(0,$BD829+$B830-SUM($F831:I831)),0)</f>
        <v>0</v>
      </c>
      <c r="K831" s="297">
        <f>IF(K$2&gt;=ROUNDUP(Параметры!$B$18,0)+1,MAX(0,$BD829+$B830-SUM($F831:J831)),0)</f>
        <v>0</v>
      </c>
      <c r="L831" s="297">
        <f>IF(L$2&gt;=ROUNDUP(Параметры!$B$18,0)+1,MAX(0,$BD829+$B830-SUM($F831:K831)),0)</f>
        <v>0</v>
      </c>
      <c r="M831" s="297">
        <f>IF(M$2&gt;=ROUNDUP(Параметры!$B$18,0)+1,MAX(0,$BD829+$B830-SUM($F831:L831)),0)</f>
        <v>20000000</v>
      </c>
      <c r="N831" s="297">
        <f>IF(N$2&gt;=ROUNDUP(Параметры!$B$18,0)+1,MAX(0,$BD829+$B830-SUM($F831:M831)),0)</f>
        <v>0</v>
      </c>
      <c r="O831" s="297">
        <f>IF(O$2&gt;=ROUNDUP(Параметры!$B$18,0)+1,MAX(0,$BD829+$B830-SUM($F831:N831)),0)</f>
        <v>0</v>
      </c>
      <c r="P831" s="297">
        <f>IF(P$2&gt;=ROUNDUP(Параметры!$B$18,0)+1,MAX(0,$BD829+$B830-SUM($F831:O831)),0)</f>
        <v>0</v>
      </c>
      <c r="Q831" s="297">
        <f>IF(Q$2&gt;=ROUNDUP(Параметры!$B$18,0)+1,MAX(0,$BD829+$B830-SUM($F831:P831)),0)</f>
        <v>0</v>
      </c>
      <c r="R831" s="297">
        <f>IF(R$2&gt;=ROUNDUP(Параметры!$B$18,0)+1,MAX(0,$BD829+$B830-SUM($F831:Q831)),0)</f>
        <v>0</v>
      </c>
      <c r="S831" s="297">
        <f>IF(S$2&gt;=ROUNDUP(Параметры!$B$18,0)+1,MAX(0,$BD829+$B830-SUM($F831:R831)),0)</f>
        <v>0</v>
      </c>
      <c r="T831" s="297">
        <f>IF(T$2&gt;=ROUNDUP(Параметры!$B$18,0)+1,MAX(0,$BD829+$B830-SUM($F831:S831)),0)</f>
        <v>0</v>
      </c>
      <c r="U831" s="297">
        <f>IF(U$2&gt;=ROUNDUP(Параметры!$B$18,0)+1,MAX(0,$BD829+$B830-SUM($F831:T831)),0)</f>
        <v>0</v>
      </c>
      <c r="V831" s="297">
        <f>IF(V$2&gt;=ROUNDUP(Параметры!$B$18,0)+1,MAX(0,$BD829+$B830-SUM($F831:U831)),0)</f>
        <v>0</v>
      </c>
      <c r="W831" s="297">
        <f>IF(W$2&gt;=ROUNDUP(Параметры!$B$18,0)+1,MAX(0,$BD829+$B830-SUM($F831:V831)),0)</f>
        <v>0</v>
      </c>
      <c r="X831" s="297">
        <f>IF(X$2&gt;=ROUNDUP(Параметры!$B$18,0)+1,MAX(0,$BD829+$B830-SUM($F831:W831)),0)</f>
        <v>0</v>
      </c>
      <c r="Y831" s="297">
        <f>IF(Y$2&gt;=ROUNDUP(Параметры!$B$18,0)+1,MAX(0,$BD829+$B830-SUM($F831:X831)),0)</f>
        <v>0</v>
      </c>
      <c r="Z831" s="297">
        <f>IF(Z$2&gt;=ROUNDUP(Параметры!$B$18,0)+1,MAX(0,$BD829+$B830-SUM($F831:Y831)),0)</f>
        <v>0</v>
      </c>
      <c r="AA831" s="297">
        <f>IF(AA$2&gt;=ROUNDUP(Параметры!$B$18,0)+1,MAX(0,$BD829+$B830-SUM($F831:Z831)),0)</f>
        <v>0</v>
      </c>
      <c r="AB831" s="297">
        <f>IF(AB$2&gt;=ROUNDUP(Параметры!$B$18,0)+1,MAX(0,$BD829+$B830-SUM($F831:AA831)),0)</f>
        <v>0</v>
      </c>
      <c r="AC831" s="297">
        <f>IF(AC$2&gt;=ROUNDUP(Параметры!$B$18,0)+1,MAX(0,$BD829+$B830-SUM($F831:AB831)),0)</f>
        <v>0</v>
      </c>
      <c r="AD831" s="297">
        <f>IF(AD$2&gt;=ROUNDUP(Параметры!$B$18,0)+1,MAX(0,$BD829+$B830-SUM($F831:AC831)),0)</f>
        <v>0</v>
      </c>
      <c r="AE831" s="297">
        <f>IF(AE$2&gt;=ROUNDUP(Параметры!$B$18,0)+1,MAX(0,$BD829+$B830-SUM($F831:AD831)),0)</f>
        <v>0</v>
      </c>
      <c r="AF831" s="297">
        <f>IF(AF$2&gt;=ROUNDUP(Параметры!$B$18,0)+1,MAX(0,$BD829+$B830-SUM($F831:AE831)),0)</f>
        <v>0</v>
      </c>
      <c r="AG831" s="297">
        <f>IF(AG$2&gt;=ROUNDUP(Параметры!$B$18,0)+1,MAX(0,$BD829+$B830-SUM($F831:AF831)),0)</f>
        <v>0</v>
      </c>
      <c r="AH831" s="297">
        <f>IF(AH$2&gt;=ROUNDUP(Параметры!$B$18,0)+1,MAX(0,$BD829+$B830-SUM($F831:AG831)),0)</f>
        <v>0</v>
      </c>
      <c r="AI831" s="297">
        <f>IF(AI$2&gt;=ROUNDUP(Параметры!$B$18,0)+1,MAX(0,$BD829+$B830-SUM($F831:AH831)),0)</f>
        <v>0</v>
      </c>
      <c r="AJ831" s="297">
        <f>IF(AJ$2&gt;=ROUNDUP(Параметры!$B$18,0)+1,MAX(0,$BD829+$B830-SUM($F831:AI831)),0)</f>
        <v>0</v>
      </c>
      <c r="AK831" s="297">
        <f>IF(AK$2&gt;=ROUNDUP(Параметры!$B$18,0)+1,MAX(0,$BD829+$B830-SUM($F831:AJ831)),0)</f>
        <v>0</v>
      </c>
      <c r="AL831" s="297">
        <f>IF(AL$2&gt;=ROUNDUP(Параметры!$B$18,0)+1,MAX(0,$BD829+$B830-SUM($F831:AK831)),0)</f>
        <v>0</v>
      </c>
      <c r="AM831" s="297">
        <f>IF(AM$2&gt;=ROUNDUP(Параметры!$B$18,0)+1,MAX(0,$BD829+$B830-SUM($F831:AL831)),0)</f>
        <v>0</v>
      </c>
      <c r="AN831" s="297">
        <f>IF(AN$2&gt;=ROUNDUP(Параметры!$B$18,0)+1,MAX(0,$BD829+$B830-SUM($F831:AM831)),0)</f>
        <v>0</v>
      </c>
      <c r="AO831" s="297">
        <f>IF(AO$2&gt;=ROUNDUP(Параметры!$B$18,0)+1,MAX(0,$BD829+$B830-SUM($F831:AN831)),0)</f>
        <v>0</v>
      </c>
      <c r="AP831" s="297">
        <f>IF(AP$2&gt;=ROUNDUP(Параметры!$B$18,0)+1,MAX(0,$BD829+$B830-SUM($F831:AO831)),0)</f>
        <v>0</v>
      </c>
      <c r="AQ831" s="297">
        <f>IF(AQ$2&gt;=ROUNDUP(Параметры!$B$18,0)+1,MAX(0,$BD829+$B830-SUM($F831:AP831)),0)</f>
        <v>0</v>
      </c>
      <c r="AR831" s="297">
        <f>IF(AR$2&gt;=ROUNDUP(Параметры!$B$18,0)+1,MAX(0,$BD829+$B830-SUM($F831:AQ831)),0)</f>
        <v>0</v>
      </c>
      <c r="AS831" s="297">
        <f>IF(AS$2&gt;=ROUNDUP(Параметры!$B$18,0)+1,MAX(0,$BD829+$B830-SUM($F831:AR831)),0)</f>
        <v>0</v>
      </c>
      <c r="AT831" s="297">
        <f>IF(AT$2&gt;=ROUNDUP(Параметры!$B$18,0)+1,MAX(0,$BD829+$B830-SUM($F831:AS831)),0)</f>
        <v>0</v>
      </c>
      <c r="AU831" s="297">
        <f>IF(AU$2&gt;=ROUNDUP(Параметры!$B$18,0)+1,MAX(0,$BD829+$B830-SUM($F831:AT831)),0)</f>
        <v>0</v>
      </c>
      <c r="AV831" s="297">
        <f>IF(AV$2&gt;=ROUNDUP(Параметры!$B$18,0)+1,MAX(0,$BD829+$B830-SUM($F831:AU831)),0)</f>
        <v>0</v>
      </c>
      <c r="AW831" s="297">
        <f>IF(AW$2&gt;=ROUNDUP(Параметры!$B$18,0)+1,MAX(0,$BD829+$B830-SUM($F831:AV831)),0)</f>
        <v>0</v>
      </c>
      <c r="AX831" s="297">
        <f>IF(AX$2&gt;=ROUNDUP(Параметры!$B$18,0)+1,MAX(0,$BD829+$B830-SUM($F831:AW831)),0)</f>
        <v>0</v>
      </c>
      <c r="AY831" s="297">
        <f>IF(AY$2&gt;=ROUNDUP(Параметры!$B$18,0)+1,MAX(0,$BD829+$B830-SUM($F831:AX831)),0)</f>
        <v>0</v>
      </c>
      <c r="AZ831" s="297">
        <f>IF(AZ$2&gt;=ROUNDUP(Параметры!$B$18,0)+1,MAX(0,$BD829+$B830-SUM($F831:AY831)),0)</f>
        <v>0</v>
      </c>
      <c r="BA831" s="297">
        <f>IF(BA$2&gt;=ROUNDUP(Параметры!$B$18,0)+1,MAX(0,$BD829+$B830-SUM($F831:AZ831)),0)</f>
        <v>0</v>
      </c>
      <c r="BB831" s="297">
        <f>IF(BB$2&gt;=ROUNDUP(Параметры!$B$18,0)+1,MAX(0,$BD829+$B830-SUM($F831:BA831)),0)</f>
        <v>0</v>
      </c>
      <c r="BC831" s="177"/>
      <c r="BD831" s="178">
        <f>SUM(G831:BC831)</f>
        <v>20000000</v>
      </c>
    </row>
    <row r="832" spans="1:56" hidden="1" outlineLevel="1" x14ac:dyDescent="0.3">
      <c r="A832" s="175" t="str">
        <f ca="1">Language!A$877</f>
        <v xml:space="preserve">срок полезного использования </v>
      </c>
      <c r="B832" s="295">
        <v>30</v>
      </c>
      <c r="C832" s="176" t="str">
        <f ca="1">Language!A$48</f>
        <v>лет</v>
      </c>
      <c r="D832" s="174">
        <v>1</v>
      </c>
      <c r="G832" s="177"/>
      <c r="H832" s="177"/>
      <c r="I832" s="177"/>
      <c r="J832" s="177"/>
      <c r="K832" s="177"/>
      <c r="L832" s="177"/>
      <c r="M832" s="177"/>
      <c r="N832" s="177"/>
      <c r="O832" s="177"/>
      <c r="P832" s="177"/>
      <c r="Q832" s="177"/>
      <c r="R832" s="177"/>
      <c r="S832" s="177"/>
      <c r="T832" s="177"/>
      <c r="U832" s="177"/>
      <c r="V832" s="177"/>
      <c r="W832" s="177"/>
      <c r="X832" s="177"/>
      <c r="Y832" s="177"/>
      <c r="Z832" s="177"/>
      <c r="AA832" s="177"/>
      <c r="AB832" s="177"/>
      <c r="AC832" s="177"/>
      <c r="AD832" s="177"/>
      <c r="AE832" s="177"/>
      <c r="AF832" s="177"/>
      <c r="AG832" s="177"/>
      <c r="AH832" s="177"/>
      <c r="AI832" s="177"/>
      <c r="AJ832" s="177"/>
      <c r="AK832" s="177"/>
      <c r="AL832" s="177"/>
      <c r="AM832" s="177"/>
      <c r="AN832" s="177"/>
      <c r="AO832" s="177"/>
      <c r="AP832" s="177"/>
      <c r="AQ832" s="177"/>
      <c r="AR832" s="177"/>
      <c r="AS832" s="177"/>
      <c r="AT832" s="177"/>
      <c r="AU832" s="177"/>
      <c r="AV832" s="177"/>
      <c r="AW832" s="177"/>
      <c r="AX832" s="177"/>
      <c r="AY832" s="177"/>
      <c r="AZ832" s="177"/>
      <c r="BA832" s="177"/>
      <c r="BB832" s="177"/>
      <c r="BC832" s="177"/>
      <c r="BD832" s="178"/>
    </row>
    <row r="833" spans="1:56" s="170" customFormat="1" hidden="1" outlineLevel="1" x14ac:dyDescent="0.3">
      <c r="A833" s="184" t="str">
        <f ca="1">Language!A$878</f>
        <v>амортизационная премия для налоговой амортизации</v>
      </c>
      <c r="B833" s="298">
        <v>0</v>
      </c>
      <c r="C833" s="163" t="s">
        <v>1</v>
      </c>
      <c r="D833" s="174">
        <v>1</v>
      </c>
      <c r="F833" s="170" t="s">
        <v>2347</v>
      </c>
      <c r="G833" s="185"/>
      <c r="H833" s="185"/>
      <c r="I833" s="185"/>
      <c r="J833" s="185"/>
      <c r="K833" s="185"/>
      <c r="L833" s="185"/>
      <c r="M833" s="185"/>
      <c r="N833" s="185"/>
      <c r="O833" s="185"/>
      <c r="P833" s="185"/>
      <c r="Q833" s="185"/>
      <c r="R833" s="185"/>
      <c r="S833" s="185"/>
      <c r="T833" s="185"/>
      <c r="U833" s="185"/>
      <c r="V833" s="185"/>
      <c r="W833" s="185"/>
      <c r="X833" s="185"/>
      <c r="Y833" s="185"/>
      <c r="Z833" s="185"/>
      <c r="AA833" s="185"/>
      <c r="AB833" s="185"/>
      <c r="AC833" s="185"/>
      <c r="AD833" s="185"/>
      <c r="AE833" s="185"/>
      <c r="AF833" s="185"/>
      <c r="AG833" s="185"/>
      <c r="AH833" s="185"/>
      <c r="AI833" s="185"/>
      <c r="AJ833" s="185"/>
      <c r="AK833" s="185"/>
      <c r="AL833" s="185"/>
      <c r="AM833" s="185"/>
      <c r="AN833" s="185"/>
      <c r="AO833" s="185"/>
      <c r="AP833" s="185"/>
      <c r="AQ833" s="185"/>
      <c r="AR833" s="185"/>
      <c r="AS833" s="185"/>
      <c r="AT833" s="185"/>
      <c r="AU833" s="185"/>
      <c r="AV833" s="185"/>
      <c r="AW833" s="185"/>
      <c r="AX833" s="185"/>
      <c r="AY833" s="185"/>
      <c r="AZ833" s="185"/>
      <c r="BA833" s="185"/>
      <c r="BB833" s="185"/>
      <c r="BC833" s="185"/>
      <c r="BD833" s="193"/>
    </row>
    <row r="834" spans="1:56" s="170" customFormat="1" hidden="1" outlineLevel="1" x14ac:dyDescent="0.3">
      <c r="A834" s="184" t="str">
        <f ca="1">Language!A$879</f>
        <v>ставка НДС</v>
      </c>
      <c r="B834" s="203"/>
      <c r="C834" s="163" t="s">
        <v>1</v>
      </c>
      <c r="D834" s="174">
        <v>1</v>
      </c>
      <c r="F834" s="170" t="s">
        <v>2346</v>
      </c>
      <c r="G834" s="290">
        <f>IF(G$2=1,Параметры!G$72,IF(F834=Параметры!F$72,Параметры!F$72,F834))</f>
        <v>0</v>
      </c>
      <c r="H834" s="290">
        <f>IF(H$2=1,Параметры!H$72,IF(G834=Параметры!G$72,Параметры!G$72,G834))</f>
        <v>0</v>
      </c>
      <c r="I834" s="290">
        <f>IF(I$2=1,Параметры!I$72,IF(H834=Параметры!H$72,Параметры!H$72,H834))</f>
        <v>0</v>
      </c>
      <c r="J834" s="290">
        <f>IF(J$2=1,Параметры!J$72,IF(I834=Параметры!I$72,Параметры!I$72,I834))</f>
        <v>0</v>
      </c>
      <c r="K834" s="290">
        <f>IF(K$2=1,Параметры!K$72,IF(J834=Параметры!J$72,Параметры!J$72,J834))</f>
        <v>0</v>
      </c>
      <c r="L834" s="290">
        <f>IF(L$2=1,Параметры!L$72,IF(K834=Параметры!K$72,Параметры!K$72,K834))</f>
        <v>0</v>
      </c>
      <c r="M834" s="290">
        <f>IF(M$2=1,Параметры!M$72,IF(L834=Параметры!L$72,Параметры!L$72,L834))</f>
        <v>0</v>
      </c>
      <c r="N834" s="290">
        <f>IF(N$2=1,Параметры!N$72,IF(M834=Параметры!M$72,Параметры!M$72,M834))</f>
        <v>0</v>
      </c>
      <c r="O834" s="290">
        <f>IF(O$2=1,Параметры!O$72,IF(N834=Параметры!N$72,Параметры!N$72,N834))</f>
        <v>0</v>
      </c>
      <c r="P834" s="290">
        <f>IF(P$2=1,Параметры!P$72,IF(O834=Параметры!O$72,Параметры!O$72,O834))</f>
        <v>0</v>
      </c>
      <c r="Q834" s="290">
        <f>IF(Q$2=1,Параметры!Q$72,IF(P834=Параметры!P$72,Параметры!P$72,P834))</f>
        <v>0</v>
      </c>
      <c r="R834" s="290">
        <f>IF(R$2=1,Параметры!R$72,IF(Q834=Параметры!Q$72,Параметры!Q$72,Q834))</f>
        <v>0</v>
      </c>
      <c r="S834" s="290">
        <f>IF(S$2=1,Параметры!S$72,IF(R834=Параметры!R$72,Параметры!R$72,R834))</f>
        <v>0</v>
      </c>
      <c r="T834" s="290">
        <f>IF(T$2=1,Параметры!T$72,IF(S834=Параметры!S$72,Параметры!S$72,S834))</f>
        <v>0</v>
      </c>
      <c r="U834" s="290">
        <f>IF(U$2=1,Параметры!U$72,IF(T834=Параметры!T$72,Параметры!T$72,T834))</f>
        <v>0</v>
      </c>
      <c r="V834" s="290">
        <f>IF(V$2=1,Параметры!V$72,IF(U834=Параметры!U$72,Параметры!U$72,U834))</f>
        <v>0</v>
      </c>
      <c r="W834" s="290">
        <f>IF(W$2=1,Параметры!W$72,IF(V834=Параметры!V$72,Параметры!V$72,V834))</f>
        <v>0</v>
      </c>
      <c r="X834" s="290">
        <f>IF(X$2=1,Параметры!X$72,IF(W834=Параметры!W$72,Параметры!W$72,W834))</f>
        <v>0</v>
      </c>
      <c r="Y834" s="290">
        <f>IF(Y$2=1,Параметры!Y$72,IF(X834=Параметры!X$72,Параметры!X$72,X834))</f>
        <v>0</v>
      </c>
      <c r="Z834" s="290">
        <f>IF(Z$2=1,Параметры!Z$72,IF(Y834=Параметры!Y$72,Параметры!Y$72,Y834))</f>
        <v>0</v>
      </c>
      <c r="AA834" s="290">
        <f>IF(AA$2=1,Параметры!AA$72,IF(Z834=Параметры!Z$72,Параметры!Z$72,Z834))</f>
        <v>0</v>
      </c>
      <c r="AB834" s="290">
        <f>IF(AB$2=1,Параметры!AB$72,IF(AA834=Параметры!AA$72,Параметры!AA$72,AA834))</f>
        <v>0</v>
      </c>
      <c r="AC834" s="290">
        <f>IF(AC$2=1,Параметры!AC$72,IF(AB834=Параметры!AB$72,Параметры!AB$72,AB834))</f>
        <v>0</v>
      </c>
      <c r="AD834" s="290">
        <f>IF(AD$2=1,Параметры!AD$72,IF(AC834=Параметры!AC$72,Параметры!AC$72,AC834))</f>
        <v>0</v>
      </c>
      <c r="AE834" s="290">
        <f>IF(AE$2=1,Параметры!AE$72,IF(AD834=Параметры!AD$72,Параметры!AD$72,AD834))</f>
        <v>0</v>
      </c>
      <c r="AF834" s="290">
        <f>IF(AF$2=1,Параметры!AF$72,IF(AE834=Параметры!AE$72,Параметры!AE$72,AE834))</f>
        <v>0</v>
      </c>
      <c r="AG834" s="290">
        <f>IF(AG$2=1,Параметры!AG$72,IF(AF834=Параметры!AF$72,Параметры!AF$72,AF834))</f>
        <v>0</v>
      </c>
      <c r="AH834" s="290">
        <f>IF(AH$2=1,Параметры!AH$72,IF(AG834=Параметры!AG$72,Параметры!AG$72,AG834))</f>
        <v>0</v>
      </c>
      <c r="AI834" s="290">
        <f>IF(AI$2=1,Параметры!AI$72,IF(AH834=Параметры!AH$72,Параметры!AH$72,AH834))</f>
        <v>0</v>
      </c>
      <c r="AJ834" s="290">
        <f>IF(AJ$2=1,Параметры!AJ$72,IF(AI834=Параметры!AI$72,Параметры!AI$72,AI834))</f>
        <v>0</v>
      </c>
      <c r="AK834" s="290">
        <f>IF(AK$2=1,Параметры!AK$72,IF(AJ834=Параметры!AJ$72,Параметры!AJ$72,AJ834))</f>
        <v>0</v>
      </c>
      <c r="AL834" s="290">
        <f>IF(AL$2=1,Параметры!AL$72,IF(AK834=Параметры!AK$72,Параметры!AK$72,AK834))</f>
        <v>0</v>
      </c>
      <c r="AM834" s="290">
        <f>IF(AM$2=1,Параметры!AM$72,IF(AL834=Параметры!AL$72,Параметры!AL$72,AL834))</f>
        <v>0</v>
      </c>
      <c r="AN834" s="290">
        <f>IF(AN$2=1,Параметры!AN$72,IF(AM834=Параметры!AM$72,Параметры!AM$72,AM834))</f>
        <v>0</v>
      </c>
      <c r="AO834" s="290">
        <f>IF(AO$2=1,Параметры!AO$72,IF(AN834=Параметры!AN$72,Параметры!AN$72,AN834))</f>
        <v>0</v>
      </c>
      <c r="AP834" s="290">
        <f>IF(AP$2=1,Параметры!AP$72,IF(AO834=Параметры!AO$72,Параметры!AO$72,AO834))</f>
        <v>0</v>
      </c>
      <c r="AQ834" s="290">
        <f>IF(AQ$2=1,Параметры!AQ$72,IF(AP834=Параметры!AP$72,Параметры!AP$72,AP834))</f>
        <v>0</v>
      </c>
      <c r="AR834" s="290">
        <f>IF(AR$2=1,Параметры!AR$72,IF(AQ834=Параметры!AQ$72,Параметры!AQ$72,AQ834))</f>
        <v>0</v>
      </c>
      <c r="AS834" s="290">
        <f>IF(AS$2=1,Параметры!AS$72,IF(AR834=Параметры!AR$72,Параметры!AR$72,AR834))</f>
        <v>0</v>
      </c>
      <c r="AT834" s="290">
        <f>IF(AT$2=1,Параметры!AT$72,IF(AS834=Параметры!AS$72,Параметры!AS$72,AS834))</f>
        <v>0</v>
      </c>
      <c r="AU834" s="290">
        <f>IF(AU$2=1,Параметры!AU$72,IF(AT834=Параметры!AT$72,Параметры!AT$72,AT834))</f>
        <v>0</v>
      </c>
      <c r="AV834" s="290">
        <f>IF(AV$2=1,Параметры!AV$72,IF(AU834=Параметры!AU$72,Параметры!AU$72,AU834))</f>
        <v>0</v>
      </c>
      <c r="AW834" s="290">
        <f>IF(AW$2=1,Параметры!AW$72,IF(AV834=Параметры!AV$72,Параметры!AV$72,AV834))</f>
        <v>0</v>
      </c>
      <c r="AX834" s="290">
        <f>IF(AX$2=1,Параметры!AX$72,IF(AW834=Параметры!AW$72,Параметры!AW$72,AW834))</f>
        <v>0</v>
      </c>
      <c r="AY834" s="290">
        <f>IF(AY$2=1,Параметры!AY$72,IF(AX834=Параметры!AX$72,Параметры!AX$72,AX834))</f>
        <v>0</v>
      </c>
      <c r="AZ834" s="290">
        <f>IF(AZ$2=1,Параметры!AZ$72,IF(AY834=Параметры!AY$72,Параметры!AY$72,AY834))</f>
        <v>0</v>
      </c>
      <c r="BA834" s="290">
        <f>IF(BA$2=1,Параметры!BA$72,IF(AZ834=Параметры!AZ$72,Параметры!AZ$72,AZ834))</f>
        <v>0</v>
      </c>
      <c r="BB834" s="290">
        <f>IF(BB$2=1,Параметры!BB$72,IF(BA834=Параметры!BA$72,Параметры!BA$72,BA834))</f>
        <v>0</v>
      </c>
      <c r="BC834" s="190"/>
      <c r="BD834" s="186"/>
    </row>
    <row r="835" spans="1:56" hidden="1" outlineLevel="1" x14ac:dyDescent="0.3">
      <c r="A835" s="184" t="str">
        <f ca="1">Language!A$880</f>
        <v>выручка от продажи актива, без НДС</v>
      </c>
      <c r="B835" s="217"/>
      <c r="C835" s="163" t="str">
        <f ca="1">CHOOSE(D835,CurName1,CurName2,CurName3)</f>
        <v>руб.</v>
      </c>
      <c r="D835" s="174">
        <v>1</v>
      </c>
      <c r="E835" s="170" t="s">
        <v>755</v>
      </c>
      <c r="F835" s="170" t="s">
        <v>2353</v>
      </c>
      <c r="G835" s="287">
        <v>0</v>
      </c>
      <c r="H835" s="287">
        <v>0</v>
      </c>
      <c r="I835" s="287">
        <v>0</v>
      </c>
      <c r="J835" s="287">
        <v>0</v>
      </c>
      <c r="K835" s="287">
        <v>0</v>
      </c>
      <c r="L835" s="287">
        <v>0</v>
      </c>
      <c r="M835" s="287">
        <v>0</v>
      </c>
      <c r="N835" s="287">
        <v>0</v>
      </c>
      <c r="O835" s="287">
        <v>0</v>
      </c>
      <c r="P835" s="287">
        <v>0</v>
      </c>
      <c r="Q835" s="287">
        <v>0</v>
      </c>
      <c r="R835" s="287">
        <v>0</v>
      </c>
      <c r="S835" s="287">
        <v>0</v>
      </c>
      <c r="T835" s="287">
        <v>0</v>
      </c>
      <c r="U835" s="287">
        <v>0</v>
      </c>
      <c r="V835" s="287">
        <v>0</v>
      </c>
      <c r="W835" s="287">
        <v>0</v>
      </c>
      <c r="X835" s="287">
        <v>0</v>
      </c>
      <c r="Y835" s="287">
        <v>0</v>
      </c>
      <c r="Z835" s="287">
        <v>0</v>
      </c>
      <c r="AA835" s="287">
        <v>0</v>
      </c>
      <c r="AB835" s="287">
        <v>0</v>
      </c>
      <c r="AC835" s="287">
        <v>0</v>
      </c>
      <c r="AD835" s="287">
        <v>0</v>
      </c>
      <c r="AE835" s="287">
        <v>0</v>
      </c>
      <c r="AF835" s="287">
        <v>0</v>
      </c>
      <c r="AG835" s="287">
        <v>0</v>
      </c>
      <c r="AH835" s="287">
        <v>0</v>
      </c>
      <c r="AI835" s="287">
        <v>0</v>
      </c>
      <c r="AJ835" s="287">
        <v>0</v>
      </c>
      <c r="AK835" s="287">
        <v>0</v>
      </c>
      <c r="AL835" s="287">
        <v>0</v>
      </c>
      <c r="AM835" s="287">
        <v>0</v>
      </c>
      <c r="AN835" s="287">
        <v>0</v>
      </c>
      <c r="AO835" s="287">
        <v>0</v>
      </c>
      <c r="AP835" s="287">
        <v>0</v>
      </c>
      <c r="AQ835" s="287">
        <v>0</v>
      </c>
      <c r="AR835" s="287">
        <v>0</v>
      </c>
      <c r="AS835" s="287">
        <v>0</v>
      </c>
      <c r="AT835" s="287">
        <v>0</v>
      </c>
      <c r="AU835" s="287">
        <v>0</v>
      </c>
      <c r="AV835" s="287">
        <v>0</v>
      </c>
      <c r="AW835" s="287">
        <v>0</v>
      </c>
      <c r="AX835" s="287">
        <v>0</v>
      </c>
      <c r="AY835" s="287">
        <v>0</v>
      </c>
      <c r="AZ835" s="287">
        <v>0</v>
      </c>
      <c r="BA835" s="287">
        <v>0</v>
      </c>
      <c r="BB835" s="287">
        <v>0</v>
      </c>
      <c r="BC835" s="177"/>
      <c r="BD835" s="178">
        <f>SUM(G835:BC835)</f>
        <v>0</v>
      </c>
    </row>
    <row r="836" spans="1:56" hidden="1" outlineLevel="1" x14ac:dyDescent="0.3">
      <c r="A836" s="184" t="str">
        <f ca="1">Language!A$881</f>
        <v>суммы в осн. валюте: график оплаты, без НДС</v>
      </c>
      <c r="B836" s="163"/>
      <c r="C836" s="163" t="str">
        <f t="shared" ref="C836:C853" ca="1" si="3326">CHOOSE(D836,CurName1,CurName2,CurName3)</f>
        <v>руб.</v>
      </c>
      <c r="D836" s="174">
        <v>1</v>
      </c>
      <c r="E836" s="170" t="s">
        <v>751</v>
      </c>
      <c r="F836" s="170" t="s">
        <v>740</v>
      </c>
      <c r="G836" s="185">
        <f>G829*CHOOSE($D829,1,Параметры!G$53,Параметры!G$59)</f>
        <v>0</v>
      </c>
      <c r="H836" s="185">
        <f>H829*CHOOSE($D829,1,Параметры!H$53,Параметры!H$59)</f>
        <v>0</v>
      </c>
      <c r="I836" s="185">
        <f>I829*CHOOSE($D829,1,Параметры!I$53,Параметры!I$59)</f>
        <v>0</v>
      </c>
      <c r="J836" s="185">
        <f>J829*CHOOSE($D829,1,Параметры!J$53,Параметры!J$59)</f>
        <v>7000000</v>
      </c>
      <c r="K836" s="185">
        <f>K829*CHOOSE($D829,1,Параметры!K$53,Параметры!K$59)</f>
        <v>7000000</v>
      </c>
      <c r="L836" s="185">
        <f>L829*CHOOSE($D829,1,Параметры!L$53,Параметры!L$59)</f>
        <v>6000000</v>
      </c>
      <c r="M836" s="185">
        <f>M829*CHOOSE($D829,1,Параметры!M$53,Параметры!M$59)</f>
        <v>0</v>
      </c>
      <c r="N836" s="185">
        <f>N829*CHOOSE($D829,1,Параметры!N$53,Параметры!N$59)</f>
        <v>0</v>
      </c>
      <c r="O836" s="185">
        <f>O829*CHOOSE($D829,1,Параметры!O$53,Параметры!O$59)</f>
        <v>0</v>
      </c>
      <c r="P836" s="185">
        <f>P829*CHOOSE($D829,1,Параметры!P$53,Параметры!P$59)</f>
        <v>0</v>
      </c>
      <c r="Q836" s="185">
        <f>Q829*CHOOSE($D829,1,Параметры!Q$53,Параметры!Q$59)</f>
        <v>0</v>
      </c>
      <c r="R836" s="185">
        <f>R829*CHOOSE($D829,1,Параметры!R$53,Параметры!R$59)</f>
        <v>0</v>
      </c>
      <c r="S836" s="185">
        <f>S829*CHOOSE($D829,1,Параметры!S$53,Параметры!S$59)</f>
        <v>0</v>
      </c>
      <c r="T836" s="185">
        <f>T829*CHOOSE($D829,1,Параметры!T$53,Параметры!T$59)</f>
        <v>0</v>
      </c>
      <c r="U836" s="185">
        <f>U829*CHOOSE($D829,1,Параметры!U$53,Параметры!U$59)</f>
        <v>0</v>
      </c>
      <c r="V836" s="185">
        <f>V829*CHOOSE($D829,1,Параметры!V$53,Параметры!V$59)</f>
        <v>0</v>
      </c>
      <c r="W836" s="185">
        <f>W829*CHOOSE($D829,1,Параметры!W$53,Параметры!W$59)</f>
        <v>0</v>
      </c>
      <c r="X836" s="185">
        <f>X829*CHOOSE($D829,1,Параметры!X$53,Параметры!X$59)</f>
        <v>0</v>
      </c>
      <c r="Y836" s="185">
        <f>Y829*CHOOSE($D829,1,Параметры!Y$53,Параметры!Y$59)</f>
        <v>0</v>
      </c>
      <c r="Z836" s="185">
        <f>Z829*CHOOSE($D829,1,Параметры!Z$53,Параметры!Z$59)</f>
        <v>0</v>
      </c>
      <c r="AA836" s="185">
        <f>AA829*CHOOSE($D829,1,Параметры!AA$53,Параметры!AA$59)</f>
        <v>0</v>
      </c>
      <c r="AB836" s="185">
        <f>AB829*CHOOSE($D829,1,Параметры!AB$53,Параметры!AB$59)</f>
        <v>0</v>
      </c>
      <c r="AC836" s="185">
        <f>AC829*CHOOSE($D829,1,Параметры!AC$53,Параметры!AC$59)</f>
        <v>0</v>
      </c>
      <c r="AD836" s="185">
        <f>AD829*CHOOSE($D829,1,Параметры!AD$53,Параметры!AD$59)</f>
        <v>0</v>
      </c>
      <c r="AE836" s="185">
        <f>AE829*CHOOSE($D829,1,Параметры!AE$53,Параметры!AE$59)</f>
        <v>0</v>
      </c>
      <c r="AF836" s="185">
        <f>AF829*CHOOSE($D829,1,Параметры!AF$53,Параметры!AF$59)</f>
        <v>0</v>
      </c>
      <c r="AG836" s="185">
        <f>AG829*CHOOSE($D829,1,Параметры!AG$53,Параметры!AG$59)</f>
        <v>0</v>
      </c>
      <c r="AH836" s="185">
        <f>AH829*CHOOSE($D829,1,Параметры!AH$53,Параметры!AH$59)</f>
        <v>0</v>
      </c>
      <c r="AI836" s="185">
        <f>AI829*CHOOSE($D829,1,Параметры!AI$53,Параметры!AI$59)</f>
        <v>0</v>
      </c>
      <c r="AJ836" s="185">
        <f>AJ829*CHOOSE($D829,1,Параметры!AJ$53,Параметры!AJ$59)</f>
        <v>0</v>
      </c>
      <c r="AK836" s="185">
        <f>AK829*CHOOSE($D829,1,Параметры!AK$53,Параметры!AK$59)</f>
        <v>0</v>
      </c>
      <c r="AL836" s="185">
        <f>AL829*CHOOSE($D829,1,Параметры!AL$53,Параметры!AL$59)</f>
        <v>0</v>
      </c>
      <c r="AM836" s="185">
        <f>AM829*CHOOSE($D829,1,Параметры!AM$53,Параметры!AM$59)</f>
        <v>0</v>
      </c>
      <c r="AN836" s="185">
        <f>AN829*CHOOSE($D829,1,Параметры!AN$53,Параметры!AN$59)</f>
        <v>0</v>
      </c>
      <c r="AO836" s="185">
        <f>AO829*CHOOSE($D829,1,Параметры!AO$53,Параметры!AO$59)</f>
        <v>0</v>
      </c>
      <c r="AP836" s="185">
        <f>AP829*CHOOSE($D829,1,Параметры!AP$53,Параметры!AP$59)</f>
        <v>0</v>
      </c>
      <c r="AQ836" s="185">
        <f>AQ829*CHOOSE($D829,1,Параметры!AQ$53,Параметры!AQ$59)</f>
        <v>0</v>
      </c>
      <c r="AR836" s="185">
        <f>AR829*CHOOSE($D829,1,Параметры!AR$53,Параметры!AR$59)</f>
        <v>0</v>
      </c>
      <c r="AS836" s="185">
        <f>AS829*CHOOSE($D829,1,Параметры!AS$53,Параметры!AS$59)</f>
        <v>0</v>
      </c>
      <c r="AT836" s="185">
        <f>AT829*CHOOSE($D829,1,Параметры!AT$53,Параметры!AT$59)</f>
        <v>0</v>
      </c>
      <c r="AU836" s="185">
        <f>AU829*CHOOSE($D829,1,Параметры!AU$53,Параметры!AU$59)</f>
        <v>0</v>
      </c>
      <c r="AV836" s="185">
        <f>AV829*CHOOSE($D829,1,Параметры!AV$53,Параметры!AV$59)</f>
        <v>0</v>
      </c>
      <c r="AW836" s="185">
        <f>AW829*CHOOSE($D829,1,Параметры!AW$53,Параметры!AW$59)</f>
        <v>0</v>
      </c>
      <c r="AX836" s="185">
        <f>AX829*CHOOSE($D829,1,Параметры!AX$53,Параметры!AX$59)</f>
        <v>0</v>
      </c>
      <c r="AY836" s="185">
        <f>AY829*CHOOSE($D829,1,Параметры!AY$53,Параметры!AY$59)</f>
        <v>0</v>
      </c>
      <c r="AZ836" s="185">
        <f>AZ829*CHOOSE($D829,1,Параметры!AZ$53,Параметры!AZ$59)</f>
        <v>0</v>
      </c>
      <c r="BA836" s="185">
        <f>BA829*CHOOSE($D829,1,Параметры!BA$53,Параметры!BA$59)</f>
        <v>0</v>
      </c>
      <c r="BB836" s="185">
        <f>BB829*CHOOSE($D829,1,Параметры!BB$53,Параметры!BB$59)</f>
        <v>0</v>
      </c>
      <c r="BC836" s="185"/>
      <c r="BD836" s="193">
        <f>SUM(G836:BC836)</f>
        <v>20000000</v>
      </c>
    </row>
    <row r="837" spans="1:56" hidden="1" outlineLevel="1" x14ac:dyDescent="0.3">
      <c r="A837" s="187" t="str">
        <f ca="1">Language!A$1509</f>
        <v>график оплаты, c НДС</v>
      </c>
      <c r="B837" s="163"/>
      <c r="C837" s="163" t="str">
        <f t="shared" ca="1" si="3326"/>
        <v>руб.</v>
      </c>
      <c r="D837" s="174">
        <v>1</v>
      </c>
      <c r="E837" s="170" t="s">
        <v>993</v>
      </c>
      <c r="F837" s="170" t="s">
        <v>740</v>
      </c>
      <c r="G837" s="185">
        <f>G836+G846</f>
        <v>0</v>
      </c>
      <c r="H837" s="185">
        <f t="shared" ref="H837:BB837" si="3327">H836+H846</f>
        <v>0</v>
      </c>
      <c r="I837" s="185">
        <f t="shared" si="3327"/>
        <v>0</v>
      </c>
      <c r="J837" s="185">
        <f t="shared" si="3327"/>
        <v>7000000</v>
      </c>
      <c r="K837" s="185">
        <f t="shared" si="3327"/>
        <v>7000000</v>
      </c>
      <c r="L837" s="185">
        <f t="shared" si="3327"/>
        <v>6000000</v>
      </c>
      <c r="M837" s="185">
        <f t="shared" si="3327"/>
        <v>0</v>
      </c>
      <c r="N837" s="185">
        <f t="shared" si="3327"/>
        <v>0</v>
      </c>
      <c r="O837" s="185">
        <f t="shared" si="3327"/>
        <v>0</v>
      </c>
      <c r="P837" s="185">
        <f t="shared" si="3327"/>
        <v>0</v>
      </c>
      <c r="Q837" s="185">
        <f t="shared" si="3327"/>
        <v>0</v>
      </c>
      <c r="R837" s="185">
        <f t="shared" si="3327"/>
        <v>0</v>
      </c>
      <c r="S837" s="185">
        <f t="shared" si="3327"/>
        <v>0</v>
      </c>
      <c r="T837" s="185">
        <f t="shared" si="3327"/>
        <v>0</v>
      </c>
      <c r="U837" s="185">
        <f t="shared" si="3327"/>
        <v>0</v>
      </c>
      <c r="V837" s="185">
        <f t="shared" si="3327"/>
        <v>0</v>
      </c>
      <c r="W837" s="185">
        <f t="shared" si="3327"/>
        <v>0</v>
      </c>
      <c r="X837" s="185">
        <f t="shared" si="3327"/>
        <v>0</v>
      </c>
      <c r="Y837" s="185">
        <f t="shared" si="3327"/>
        <v>0</v>
      </c>
      <c r="Z837" s="185">
        <f t="shared" si="3327"/>
        <v>0</v>
      </c>
      <c r="AA837" s="185">
        <f t="shared" si="3327"/>
        <v>0</v>
      </c>
      <c r="AB837" s="185">
        <f t="shared" si="3327"/>
        <v>0</v>
      </c>
      <c r="AC837" s="185">
        <f t="shared" si="3327"/>
        <v>0</v>
      </c>
      <c r="AD837" s="185">
        <f t="shared" si="3327"/>
        <v>0</v>
      </c>
      <c r="AE837" s="185">
        <f t="shared" si="3327"/>
        <v>0</v>
      </c>
      <c r="AF837" s="185">
        <f t="shared" si="3327"/>
        <v>0</v>
      </c>
      <c r="AG837" s="185">
        <f t="shared" si="3327"/>
        <v>0</v>
      </c>
      <c r="AH837" s="185">
        <f t="shared" si="3327"/>
        <v>0</v>
      </c>
      <c r="AI837" s="185">
        <f t="shared" si="3327"/>
        <v>0</v>
      </c>
      <c r="AJ837" s="185">
        <f t="shared" si="3327"/>
        <v>0</v>
      </c>
      <c r="AK837" s="185">
        <f t="shared" si="3327"/>
        <v>0</v>
      </c>
      <c r="AL837" s="185">
        <f t="shared" si="3327"/>
        <v>0</v>
      </c>
      <c r="AM837" s="185">
        <f t="shared" si="3327"/>
        <v>0</v>
      </c>
      <c r="AN837" s="185">
        <f t="shared" si="3327"/>
        <v>0</v>
      </c>
      <c r="AO837" s="185">
        <f t="shared" si="3327"/>
        <v>0</v>
      </c>
      <c r="AP837" s="185">
        <f t="shared" si="3327"/>
        <v>0</v>
      </c>
      <c r="AQ837" s="185">
        <f t="shared" si="3327"/>
        <v>0</v>
      </c>
      <c r="AR837" s="185">
        <f t="shared" si="3327"/>
        <v>0</v>
      </c>
      <c r="AS837" s="185">
        <f t="shared" si="3327"/>
        <v>0</v>
      </c>
      <c r="AT837" s="185">
        <f t="shared" si="3327"/>
        <v>0</v>
      </c>
      <c r="AU837" s="185">
        <f t="shared" si="3327"/>
        <v>0</v>
      </c>
      <c r="AV837" s="185">
        <f t="shared" si="3327"/>
        <v>0</v>
      </c>
      <c r="AW837" s="185">
        <f t="shared" si="3327"/>
        <v>0</v>
      </c>
      <c r="AX837" s="185">
        <f t="shared" si="3327"/>
        <v>0</v>
      </c>
      <c r="AY837" s="185">
        <f t="shared" si="3327"/>
        <v>0</v>
      </c>
      <c r="AZ837" s="185">
        <f t="shared" si="3327"/>
        <v>0</v>
      </c>
      <c r="BA837" s="185">
        <f t="shared" si="3327"/>
        <v>0</v>
      </c>
      <c r="BB837" s="185">
        <f t="shared" si="3327"/>
        <v>0</v>
      </c>
      <c r="BC837" s="185"/>
      <c r="BD837" s="193">
        <f>SUM(G837:BC837)</f>
        <v>20000000</v>
      </c>
    </row>
    <row r="838" spans="1:56" hidden="1" outlineLevel="1" x14ac:dyDescent="0.3">
      <c r="A838" s="187" t="str">
        <f ca="1">Language!A$882</f>
        <v>ранее осуществленные инвестиции, без НДС</v>
      </c>
      <c r="B838" s="212">
        <f>B830*CHOOSE(D830,1,Параметры!G$53,Параметры!G$59)</f>
        <v>0</v>
      </c>
      <c r="C838" s="163" t="str">
        <f t="shared" ca="1" si="3326"/>
        <v>руб.</v>
      </c>
      <c r="D838" s="174">
        <v>1</v>
      </c>
      <c r="E838" s="170" t="s">
        <v>1269</v>
      </c>
      <c r="G838" s="185">
        <f>B838</f>
        <v>0</v>
      </c>
      <c r="H838" s="185"/>
      <c r="I838" s="185"/>
      <c r="J838" s="185"/>
      <c r="K838" s="185"/>
      <c r="L838" s="185"/>
      <c r="M838" s="185"/>
      <c r="N838" s="185"/>
      <c r="O838" s="185"/>
      <c r="P838" s="185"/>
      <c r="Q838" s="185"/>
      <c r="R838" s="185"/>
      <c r="S838" s="185"/>
      <c r="T838" s="185"/>
      <c r="U838" s="185"/>
      <c r="V838" s="185"/>
      <c r="W838" s="185"/>
      <c r="X838" s="185"/>
      <c r="Y838" s="185"/>
      <c r="Z838" s="185"/>
      <c r="AA838" s="185"/>
      <c r="AB838" s="185"/>
      <c r="AC838" s="185"/>
      <c r="AD838" s="185"/>
      <c r="AE838" s="185"/>
      <c r="AF838" s="185"/>
      <c r="AG838" s="185"/>
      <c r="AH838" s="185"/>
      <c r="AI838" s="185"/>
      <c r="AJ838" s="185"/>
      <c r="AK838" s="185"/>
      <c r="AL838" s="185"/>
      <c r="AM838" s="185"/>
      <c r="AN838" s="185"/>
      <c r="AO838" s="185"/>
      <c r="AP838" s="185"/>
      <c r="AQ838" s="185"/>
      <c r="AR838" s="185"/>
      <c r="AS838" s="185"/>
      <c r="AT838" s="185"/>
      <c r="AU838" s="185"/>
      <c r="AV838" s="185"/>
      <c r="AW838" s="185"/>
      <c r="AX838" s="185"/>
      <c r="AY838" s="185"/>
      <c r="AZ838" s="185"/>
      <c r="BA838" s="185"/>
      <c r="BB838" s="185"/>
      <c r="BC838" s="185"/>
      <c r="BD838" s="193"/>
    </row>
    <row r="839" spans="1:56" hidden="1" outlineLevel="1" x14ac:dyDescent="0.3">
      <c r="A839" s="187" t="str">
        <f ca="1">Language!A$883</f>
        <v>НДС к ранее осуществленным инвестициям</v>
      </c>
      <c r="B839" s="212">
        <f>B838*G834</f>
        <v>0</v>
      </c>
      <c r="C839" s="163" t="str">
        <f t="shared" ca="1" si="3326"/>
        <v>руб.</v>
      </c>
      <c r="D839" s="174">
        <v>1</v>
      </c>
      <c r="E839" s="170" t="s">
        <v>1273</v>
      </c>
      <c r="G839" s="185">
        <f>B839</f>
        <v>0</v>
      </c>
      <c r="H839" s="185"/>
      <c r="I839" s="185"/>
      <c r="J839" s="185"/>
      <c r="K839" s="185"/>
      <c r="L839" s="185"/>
      <c r="M839" s="185"/>
      <c r="N839" s="185"/>
      <c r="O839" s="185"/>
      <c r="P839" s="185"/>
      <c r="Q839" s="185"/>
      <c r="R839" s="185"/>
      <c r="S839" s="185"/>
      <c r="T839" s="185"/>
      <c r="U839" s="185"/>
      <c r="V839" s="185"/>
      <c r="W839" s="185"/>
      <c r="X839" s="185"/>
      <c r="Y839" s="185"/>
      <c r="Z839" s="185"/>
      <c r="AA839" s="185"/>
      <c r="AB839" s="185"/>
      <c r="AC839" s="185"/>
      <c r="AD839" s="185"/>
      <c r="AE839" s="185"/>
      <c r="AF839" s="185"/>
      <c r="AG839" s="185"/>
      <c r="AH839" s="185"/>
      <c r="AI839" s="185"/>
      <c r="AJ839" s="185"/>
      <c r="AK839" s="185"/>
      <c r="AL839" s="185"/>
      <c r="AM839" s="185"/>
      <c r="AN839" s="185"/>
      <c r="AO839" s="185"/>
      <c r="AP839" s="185"/>
      <c r="AQ839" s="185"/>
      <c r="AR839" s="185"/>
      <c r="AS839" s="185"/>
      <c r="AT839" s="185"/>
      <c r="AU839" s="185"/>
      <c r="AV839" s="185"/>
      <c r="AW839" s="185"/>
      <c r="AX839" s="185"/>
      <c r="AY839" s="185"/>
      <c r="AZ839" s="185"/>
      <c r="BA839" s="185"/>
      <c r="BB839" s="185"/>
      <c r="BC839" s="185"/>
      <c r="BD839" s="193"/>
    </row>
    <row r="840" spans="1:56" hidden="1" outlineLevel="1" x14ac:dyDescent="0.3">
      <c r="A840" s="187" t="str">
        <f ca="1">Language!A$884</f>
        <v>график ввода в эксплуатацию, без НДС</v>
      </c>
      <c r="B840" s="163"/>
      <c r="C840" s="163" t="str">
        <f t="shared" ca="1" si="3326"/>
        <v>руб.</v>
      </c>
      <c r="D840" s="174">
        <v>1</v>
      </c>
      <c r="F840" s="170" t="s">
        <v>740</v>
      </c>
      <c r="G840" s="185">
        <f>G831*CHOOSE($D831,1,Параметры!G$53,Параметры!G$59)</f>
        <v>0</v>
      </c>
      <c r="H840" s="185">
        <f>H831*CHOOSE($D831,1,Параметры!H$53,Параметры!H$59)</f>
        <v>0</v>
      </c>
      <c r="I840" s="185">
        <f>I831*CHOOSE($D831,1,Параметры!I$53,Параметры!I$59)</f>
        <v>0</v>
      </c>
      <c r="J840" s="185">
        <f>J831*CHOOSE($D831,1,Параметры!J$53,Параметры!J$59)</f>
        <v>0</v>
      </c>
      <c r="K840" s="185">
        <f>K831*CHOOSE($D831,1,Параметры!K$53,Параметры!K$59)</f>
        <v>0</v>
      </c>
      <c r="L840" s="185">
        <f>L831*CHOOSE($D831,1,Параметры!L$53,Параметры!L$59)</f>
        <v>0</v>
      </c>
      <c r="M840" s="185">
        <f>M831*CHOOSE($D831,1,Параметры!M$53,Параметры!M$59)</f>
        <v>20000000</v>
      </c>
      <c r="N840" s="185">
        <f>N831*CHOOSE($D831,1,Параметры!N$53,Параметры!N$59)</f>
        <v>0</v>
      </c>
      <c r="O840" s="185">
        <f>O831*CHOOSE($D831,1,Параметры!O$53,Параметры!O$59)</f>
        <v>0</v>
      </c>
      <c r="P840" s="185">
        <f>P831*CHOOSE($D831,1,Параметры!P$53,Параметры!P$59)</f>
        <v>0</v>
      </c>
      <c r="Q840" s="185">
        <f>Q831*CHOOSE($D831,1,Параметры!Q$53,Параметры!Q$59)</f>
        <v>0</v>
      </c>
      <c r="R840" s="185">
        <f>R831*CHOOSE($D831,1,Параметры!R$53,Параметры!R$59)</f>
        <v>0</v>
      </c>
      <c r="S840" s="185">
        <f>S831*CHOOSE($D831,1,Параметры!S$53,Параметры!S$59)</f>
        <v>0</v>
      </c>
      <c r="T840" s="185">
        <f>T831*CHOOSE($D831,1,Параметры!T$53,Параметры!T$59)</f>
        <v>0</v>
      </c>
      <c r="U840" s="185">
        <f>U831*CHOOSE($D831,1,Параметры!U$53,Параметры!U$59)</f>
        <v>0</v>
      </c>
      <c r="V840" s="185">
        <f>V831*CHOOSE($D831,1,Параметры!V$53,Параметры!V$59)</f>
        <v>0</v>
      </c>
      <c r="W840" s="185">
        <f>W831*CHOOSE($D831,1,Параметры!W$53,Параметры!W$59)</f>
        <v>0</v>
      </c>
      <c r="X840" s="185">
        <f>X831*CHOOSE($D831,1,Параметры!X$53,Параметры!X$59)</f>
        <v>0</v>
      </c>
      <c r="Y840" s="185">
        <f>Y831*CHOOSE($D831,1,Параметры!Y$53,Параметры!Y$59)</f>
        <v>0</v>
      </c>
      <c r="Z840" s="185">
        <f>Z831*CHOOSE($D831,1,Параметры!Z$53,Параметры!Z$59)</f>
        <v>0</v>
      </c>
      <c r="AA840" s="185">
        <f>AA831*CHOOSE($D831,1,Параметры!AA$53,Параметры!AA$59)</f>
        <v>0</v>
      </c>
      <c r="AB840" s="185">
        <f>AB831*CHOOSE($D831,1,Параметры!AB$53,Параметры!AB$59)</f>
        <v>0</v>
      </c>
      <c r="AC840" s="185">
        <f>AC831*CHOOSE($D831,1,Параметры!AC$53,Параметры!AC$59)</f>
        <v>0</v>
      </c>
      <c r="AD840" s="185">
        <f>AD831*CHOOSE($D831,1,Параметры!AD$53,Параметры!AD$59)</f>
        <v>0</v>
      </c>
      <c r="AE840" s="185">
        <f>AE831*CHOOSE($D831,1,Параметры!AE$53,Параметры!AE$59)</f>
        <v>0</v>
      </c>
      <c r="AF840" s="185">
        <f>AF831*CHOOSE($D831,1,Параметры!AF$53,Параметры!AF$59)</f>
        <v>0</v>
      </c>
      <c r="AG840" s="185">
        <f>AG831*CHOOSE($D831,1,Параметры!AG$53,Параметры!AG$59)</f>
        <v>0</v>
      </c>
      <c r="AH840" s="185">
        <f>AH831*CHOOSE($D831,1,Параметры!AH$53,Параметры!AH$59)</f>
        <v>0</v>
      </c>
      <c r="AI840" s="185">
        <f>AI831*CHOOSE($D831,1,Параметры!AI$53,Параметры!AI$59)</f>
        <v>0</v>
      </c>
      <c r="AJ840" s="185">
        <f>AJ831*CHOOSE($D831,1,Параметры!AJ$53,Параметры!AJ$59)</f>
        <v>0</v>
      </c>
      <c r="AK840" s="185">
        <f>AK831*CHOOSE($D831,1,Параметры!AK$53,Параметры!AK$59)</f>
        <v>0</v>
      </c>
      <c r="AL840" s="185">
        <f>AL831*CHOOSE($D831,1,Параметры!AL$53,Параметры!AL$59)</f>
        <v>0</v>
      </c>
      <c r="AM840" s="185">
        <f>AM831*CHOOSE($D831,1,Параметры!AM$53,Параметры!AM$59)</f>
        <v>0</v>
      </c>
      <c r="AN840" s="185">
        <f>AN831*CHOOSE($D831,1,Параметры!AN$53,Параметры!AN$59)</f>
        <v>0</v>
      </c>
      <c r="AO840" s="185">
        <f>AO831*CHOOSE($D831,1,Параметры!AO$53,Параметры!AO$59)</f>
        <v>0</v>
      </c>
      <c r="AP840" s="185">
        <f>AP831*CHOOSE($D831,1,Параметры!AP$53,Параметры!AP$59)</f>
        <v>0</v>
      </c>
      <c r="AQ840" s="185">
        <f>AQ831*CHOOSE($D831,1,Параметры!AQ$53,Параметры!AQ$59)</f>
        <v>0</v>
      </c>
      <c r="AR840" s="185">
        <f>AR831*CHOOSE($D831,1,Параметры!AR$53,Параметры!AR$59)</f>
        <v>0</v>
      </c>
      <c r="AS840" s="185">
        <f>AS831*CHOOSE($D831,1,Параметры!AS$53,Параметры!AS$59)</f>
        <v>0</v>
      </c>
      <c r="AT840" s="185">
        <f>AT831*CHOOSE($D831,1,Параметры!AT$53,Параметры!AT$59)</f>
        <v>0</v>
      </c>
      <c r="AU840" s="185">
        <f>AU831*CHOOSE($D831,1,Параметры!AU$53,Параметры!AU$59)</f>
        <v>0</v>
      </c>
      <c r="AV840" s="185">
        <f>AV831*CHOOSE($D831,1,Параметры!AV$53,Параметры!AV$59)</f>
        <v>0</v>
      </c>
      <c r="AW840" s="185">
        <f>AW831*CHOOSE($D831,1,Параметры!AW$53,Параметры!AW$59)</f>
        <v>0</v>
      </c>
      <c r="AX840" s="185">
        <f>AX831*CHOOSE($D831,1,Параметры!AX$53,Параметры!AX$59)</f>
        <v>0</v>
      </c>
      <c r="AY840" s="185">
        <f>AY831*CHOOSE($D831,1,Параметры!AY$53,Параметры!AY$59)</f>
        <v>0</v>
      </c>
      <c r="AZ840" s="185">
        <f>AZ831*CHOOSE($D831,1,Параметры!AZ$53,Параметры!AZ$59)</f>
        <v>0</v>
      </c>
      <c r="BA840" s="185">
        <f>BA831*CHOOSE($D831,1,Параметры!BA$53,Параметры!BA$59)</f>
        <v>0</v>
      </c>
      <c r="BB840" s="185">
        <f>BB831*CHOOSE($D831,1,Параметры!BB$53,Параметры!BB$59)</f>
        <v>0</v>
      </c>
      <c r="BC840" s="185"/>
      <c r="BD840" s="193">
        <f>SUM(G840:BC840)</f>
        <v>20000000</v>
      </c>
    </row>
    <row r="841" spans="1:56" hidden="1" outlineLevel="1" x14ac:dyDescent="0.3">
      <c r="A841" s="184" t="str">
        <f ca="1">Language!A$885</f>
        <v>незавершенные инвестиции</v>
      </c>
      <c r="B841" s="170"/>
      <c r="C841" s="163" t="str">
        <f t="shared" ca="1" si="3326"/>
        <v>руб.</v>
      </c>
      <c r="D841" s="174">
        <v>1</v>
      </c>
      <c r="E841" s="170" t="s">
        <v>754</v>
      </c>
      <c r="F841" s="170" t="s">
        <v>741</v>
      </c>
      <c r="G841" s="185">
        <f>IF(SUM($G835:G835)&gt;0.01,0,MAX(SUM($G829:G829)+$B830-SUM($G831:G831),0))*CHOOSE($D829,1,Параметры!G$53,Параметры!G$59)</f>
        <v>0</v>
      </c>
      <c r="H841" s="185">
        <f>IF(SUM($G835:H835)&gt;0.01,0,MAX(SUM($G829:H829)+$B830-SUM($G831:H831),0))*CHOOSE($D829,1,Параметры!H$53,Параметры!H$59)</f>
        <v>0</v>
      </c>
      <c r="I841" s="185">
        <f>IF(SUM($G835:I835)&gt;0.01,0,MAX(SUM($G829:I829)+$B830-SUM($G831:I831),0))*CHOOSE($D829,1,Параметры!I$53,Параметры!I$59)</f>
        <v>0</v>
      </c>
      <c r="J841" s="185">
        <f>IF(SUM($G835:J835)&gt;0.01,0,MAX(SUM($G829:J829)+$B830-SUM($G831:J831),0))*CHOOSE($D829,1,Параметры!J$53,Параметры!J$59)</f>
        <v>7000000</v>
      </c>
      <c r="K841" s="185">
        <f>IF(SUM($G835:K835)&gt;0.01,0,MAX(SUM($G829:K829)+$B830-SUM($G831:K831),0))*CHOOSE($D829,1,Параметры!K$53,Параметры!K$59)</f>
        <v>14000000</v>
      </c>
      <c r="L841" s="185">
        <f>IF(SUM($G835:L835)&gt;0.01,0,MAX(SUM($G829:L829)+$B830-SUM($G831:L831),0))*CHOOSE($D829,1,Параметры!L$53,Параметры!L$59)</f>
        <v>20000000</v>
      </c>
      <c r="M841" s="185">
        <f>IF(SUM($G835:M835)&gt;0.01,0,MAX(SUM($G829:M829)+$B830-SUM($G831:M831),0))*CHOOSE($D829,1,Параметры!M$53,Параметры!M$59)</f>
        <v>0</v>
      </c>
      <c r="N841" s="185">
        <f>IF(SUM($G835:N835)&gt;0.01,0,MAX(SUM($G829:N829)+$B830-SUM($G831:N831),0))*CHOOSE($D829,1,Параметры!N$53,Параметры!N$59)</f>
        <v>0</v>
      </c>
      <c r="O841" s="185">
        <f>IF(SUM($G835:O835)&gt;0.01,0,MAX(SUM($G829:O829)+$B830-SUM($G831:O831),0))*CHOOSE($D829,1,Параметры!O$53,Параметры!O$59)</f>
        <v>0</v>
      </c>
      <c r="P841" s="185">
        <f>IF(SUM($G835:P835)&gt;0.01,0,MAX(SUM($G829:P829)+$B830-SUM($G831:P831),0))*CHOOSE($D829,1,Параметры!P$53,Параметры!P$59)</f>
        <v>0</v>
      </c>
      <c r="Q841" s="185">
        <f>IF(SUM($G835:Q835)&gt;0.01,0,MAX(SUM($G829:Q829)+$B830-SUM($G831:Q831),0))*CHOOSE($D829,1,Параметры!Q$53,Параметры!Q$59)</f>
        <v>0</v>
      </c>
      <c r="R841" s="185">
        <f>IF(SUM($G835:R835)&gt;0.01,0,MAX(SUM($G829:R829)+$B830-SUM($G831:R831),0))*CHOOSE($D829,1,Параметры!R$53,Параметры!R$59)</f>
        <v>0</v>
      </c>
      <c r="S841" s="185">
        <f>IF(SUM($G835:S835)&gt;0.01,0,MAX(SUM($G829:S829)+$B830-SUM($G831:S831),0))*CHOOSE($D829,1,Параметры!S$53,Параметры!S$59)</f>
        <v>0</v>
      </c>
      <c r="T841" s="185">
        <f>IF(SUM($G835:T835)&gt;0.01,0,MAX(SUM($G829:T829)+$B830-SUM($G831:T831),0))*CHOOSE($D829,1,Параметры!T$53,Параметры!T$59)</f>
        <v>0</v>
      </c>
      <c r="U841" s="185">
        <f>IF(SUM($G835:U835)&gt;0.01,0,MAX(SUM($G829:U829)+$B830-SUM($G831:U831),0))*CHOOSE($D829,1,Параметры!U$53,Параметры!U$59)</f>
        <v>0</v>
      </c>
      <c r="V841" s="185">
        <f>IF(SUM($G835:V835)&gt;0.01,0,MAX(SUM($G829:V829)+$B830-SUM($G831:V831),0))*CHOOSE($D829,1,Параметры!V$53,Параметры!V$59)</f>
        <v>0</v>
      </c>
      <c r="W841" s="185">
        <f>IF(SUM($G835:W835)&gt;0.01,0,MAX(SUM($G829:W829)+$B830-SUM($G831:W831),0))*CHOOSE($D829,1,Параметры!W$53,Параметры!W$59)</f>
        <v>0</v>
      </c>
      <c r="X841" s="185">
        <f>IF(SUM($G835:X835)&gt;0.01,0,MAX(SUM($G829:X829)+$B830-SUM($G831:X831),0))*CHOOSE($D829,1,Параметры!X$53,Параметры!X$59)</f>
        <v>0</v>
      </c>
      <c r="Y841" s="185">
        <f>IF(SUM($G835:Y835)&gt;0.01,0,MAX(SUM($G829:Y829)+$B830-SUM($G831:Y831),0))*CHOOSE($D829,1,Параметры!Y$53,Параметры!Y$59)</f>
        <v>0</v>
      </c>
      <c r="Z841" s="185">
        <f>IF(SUM($G835:Z835)&gt;0.01,0,MAX(SUM($G829:Z829)+$B830-SUM($G831:Z831),0))*CHOOSE($D829,1,Параметры!Z$53,Параметры!Z$59)</f>
        <v>0</v>
      </c>
      <c r="AA841" s="185">
        <f>IF(SUM($G835:AA835)&gt;0.01,0,MAX(SUM($G829:AA829)+$B830-SUM($G831:AA831),0))*CHOOSE($D829,1,Параметры!AA$53,Параметры!AA$59)</f>
        <v>0</v>
      </c>
      <c r="AB841" s="185">
        <f>IF(SUM($G835:AB835)&gt;0.01,0,MAX(SUM($G829:AB829)+$B830-SUM($G831:AB831),0))*CHOOSE($D829,1,Параметры!AB$53,Параметры!AB$59)</f>
        <v>0</v>
      </c>
      <c r="AC841" s="185">
        <f>IF(SUM($G835:AC835)&gt;0.01,0,MAX(SUM($G829:AC829)+$B830-SUM($G831:AC831),0))*CHOOSE($D829,1,Параметры!AC$53,Параметры!AC$59)</f>
        <v>0</v>
      </c>
      <c r="AD841" s="185">
        <f>IF(SUM($G835:AD835)&gt;0.01,0,MAX(SUM($G829:AD829)+$B830-SUM($G831:AD831),0))*CHOOSE($D829,1,Параметры!AD$53,Параметры!AD$59)</f>
        <v>0</v>
      </c>
      <c r="AE841" s="185">
        <f>IF(SUM($G835:AE835)&gt;0.01,0,MAX(SUM($G829:AE829)+$B830-SUM($G831:AE831),0))*CHOOSE($D829,1,Параметры!AE$53,Параметры!AE$59)</f>
        <v>0</v>
      </c>
      <c r="AF841" s="185">
        <f>IF(SUM($G835:AF835)&gt;0.01,0,MAX(SUM($G829:AF829)+$B830-SUM($G831:AF831),0))*CHOOSE($D829,1,Параметры!AF$53,Параметры!AF$59)</f>
        <v>0</v>
      </c>
      <c r="AG841" s="185">
        <f>IF(SUM($G835:AG835)&gt;0.01,0,MAX(SUM($G829:AG829)+$B830-SUM($G831:AG831),0))*CHOOSE($D829,1,Параметры!AG$53,Параметры!AG$59)</f>
        <v>0</v>
      </c>
      <c r="AH841" s="185">
        <f>IF(SUM($G835:AH835)&gt;0.01,0,MAX(SUM($G829:AH829)+$B830-SUM($G831:AH831),0))*CHOOSE($D829,1,Параметры!AH$53,Параметры!AH$59)</f>
        <v>0</v>
      </c>
      <c r="AI841" s="185">
        <f>IF(SUM($G835:AI835)&gt;0.01,0,MAX(SUM($G829:AI829)+$B830-SUM($G831:AI831),0))*CHOOSE($D829,1,Параметры!AI$53,Параметры!AI$59)</f>
        <v>0</v>
      </c>
      <c r="AJ841" s="185">
        <f>IF(SUM($G835:AJ835)&gt;0.01,0,MAX(SUM($G829:AJ829)+$B830-SUM($G831:AJ831),0))*CHOOSE($D829,1,Параметры!AJ$53,Параметры!AJ$59)</f>
        <v>0</v>
      </c>
      <c r="AK841" s="185">
        <f>IF(SUM($G835:AK835)&gt;0.01,0,MAX(SUM($G829:AK829)+$B830-SUM($G831:AK831),0))*CHOOSE($D829,1,Параметры!AK$53,Параметры!AK$59)</f>
        <v>0</v>
      </c>
      <c r="AL841" s="185">
        <f>IF(SUM($G835:AL835)&gt;0.01,0,MAX(SUM($G829:AL829)+$B830-SUM($G831:AL831),0))*CHOOSE($D829,1,Параметры!AL$53,Параметры!AL$59)</f>
        <v>0</v>
      </c>
      <c r="AM841" s="185">
        <f>IF(SUM($G835:AM835)&gt;0.01,0,MAX(SUM($G829:AM829)+$B830-SUM($G831:AM831),0))*CHOOSE($D829,1,Параметры!AM$53,Параметры!AM$59)</f>
        <v>0</v>
      </c>
      <c r="AN841" s="185">
        <f>IF(SUM($G835:AN835)&gt;0.01,0,MAX(SUM($G829:AN829)+$B830-SUM($G831:AN831),0))*CHOOSE($D829,1,Параметры!AN$53,Параметры!AN$59)</f>
        <v>0</v>
      </c>
      <c r="AO841" s="185">
        <f>IF(SUM($G835:AO835)&gt;0.01,0,MAX(SUM($G829:AO829)+$B830-SUM($G831:AO831),0))*CHOOSE($D829,1,Параметры!AO$53,Параметры!AO$59)</f>
        <v>0</v>
      </c>
      <c r="AP841" s="185">
        <f>IF(SUM($G835:AP835)&gt;0.01,0,MAX(SUM($G829:AP829)+$B830-SUM($G831:AP831),0))*CHOOSE($D829,1,Параметры!AP$53,Параметры!AP$59)</f>
        <v>0</v>
      </c>
      <c r="AQ841" s="185">
        <f>IF(SUM($G835:AQ835)&gt;0.01,0,MAX(SUM($G829:AQ829)+$B830-SUM($G831:AQ831),0))*CHOOSE($D829,1,Параметры!AQ$53,Параметры!AQ$59)</f>
        <v>0</v>
      </c>
      <c r="AR841" s="185">
        <f>IF(SUM($G835:AR835)&gt;0.01,0,MAX(SUM($G829:AR829)+$B830-SUM($G831:AR831),0))*CHOOSE($D829,1,Параметры!AR$53,Параметры!AR$59)</f>
        <v>0</v>
      </c>
      <c r="AS841" s="185">
        <f>IF(SUM($G835:AS835)&gt;0.01,0,MAX(SUM($G829:AS829)+$B830-SUM($G831:AS831),0))*CHOOSE($D829,1,Параметры!AS$53,Параметры!AS$59)</f>
        <v>0</v>
      </c>
      <c r="AT841" s="185">
        <f>IF(SUM($G835:AT835)&gt;0.01,0,MAX(SUM($G829:AT829)+$B830-SUM($G831:AT831),0))*CHOOSE($D829,1,Параметры!AT$53,Параметры!AT$59)</f>
        <v>0</v>
      </c>
      <c r="AU841" s="185">
        <f>IF(SUM($G835:AU835)&gt;0.01,0,MAX(SUM($G829:AU829)+$B830-SUM($G831:AU831),0))*CHOOSE($D829,1,Параметры!AU$53,Параметры!AU$59)</f>
        <v>0</v>
      </c>
      <c r="AV841" s="185">
        <f>IF(SUM($G835:AV835)&gt;0.01,0,MAX(SUM($G829:AV829)+$B830-SUM($G831:AV831),0))*CHOOSE($D829,1,Параметры!AV$53,Параметры!AV$59)</f>
        <v>0</v>
      </c>
      <c r="AW841" s="185">
        <f>IF(SUM($G835:AW835)&gt;0.01,0,MAX(SUM($G829:AW829)+$B830-SUM($G831:AW831),0))*CHOOSE($D829,1,Параметры!AW$53,Параметры!AW$59)</f>
        <v>0</v>
      </c>
      <c r="AX841" s="185">
        <f>IF(SUM($G835:AX835)&gt;0.01,0,MAX(SUM($G829:AX829)+$B830-SUM($G831:AX831),0))*CHOOSE($D829,1,Параметры!AX$53,Параметры!AX$59)</f>
        <v>0</v>
      </c>
      <c r="AY841" s="185">
        <f>IF(SUM($G835:AY835)&gt;0.01,0,MAX(SUM($G829:AY829)+$B830-SUM($G831:AY831),0))*CHOOSE($D829,1,Параметры!AY$53,Параметры!AY$59)</f>
        <v>0</v>
      </c>
      <c r="AZ841" s="185">
        <f>IF(SUM($G835:AZ835)&gt;0.01,0,MAX(SUM($G829:AZ829)+$B830-SUM($G831:AZ831),0))*CHOOSE($D829,1,Параметры!AZ$53,Параметры!AZ$59)</f>
        <v>0</v>
      </c>
      <c r="BA841" s="185">
        <f>IF(SUM($G835:BA835)&gt;0.01,0,MAX(SUM($G829:BA829)+$B830-SUM($G831:BA831),0))*CHOOSE($D829,1,Параметры!BA$53,Параметры!BA$59)</f>
        <v>0</v>
      </c>
      <c r="BB841" s="185">
        <f>IF(SUM($G835:BB835)&gt;0.01,0,MAX(SUM($G829:BB829)+$B830-SUM($G831:BB831),0))*CHOOSE($D829,1,Параметры!BB$53,Параметры!BB$59)</f>
        <v>0</v>
      </c>
      <c r="BC841" s="185"/>
      <c r="BD841" s="186"/>
    </row>
    <row r="842" spans="1:56" hidden="1" outlineLevel="1" x14ac:dyDescent="0.3">
      <c r="A842" s="184" t="str">
        <f ca="1">Language!A$886</f>
        <v>кредиторская задолженность</v>
      </c>
      <c r="B842" s="170"/>
      <c r="C842" s="163" t="str">
        <f t="shared" ca="1" si="3326"/>
        <v>руб.</v>
      </c>
      <c r="D842" s="174">
        <v>1</v>
      </c>
      <c r="E842" s="170" t="s">
        <v>752</v>
      </c>
      <c r="F842" s="170" t="s">
        <v>741</v>
      </c>
      <c r="G842" s="185">
        <f>IF(SUM($G835:G835)&gt;0.01,0,MAX(SUM($G831:G831)-SUM($G829:G829)-$B830,0))*CHOOSE($D829,1,Параметры!G$53,Параметры!G$59)*(1+G834)</f>
        <v>0</v>
      </c>
      <c r="H842" s="185">
        <f>IF(SUM($G835:H835)&gt;0.01,0,MAX(SUM($G831:H831)-SUM($G829:H829)-$B830,0))*CHOOSE($D829,1,Параметры!H$53,Параметры!H$59)*(1+H834)</f>
        <v>0</v>
      </c>
      <c r="I842" s="185">
        <f>IF(SUM($G835:I835)&gt;0.01,0,MAX(SUM($G831:I831)-SUM($G829:I829)-$B830,0))*CHOOSE($D829,1,Параметры!I$53,Параметры!I$59)*(1+I834)</f>
        <v>0</v>
      </c>
      <c r="J842" s="185">
        <f>IF(SUM($G835:J835)&gt;0.01,0,MAX(SUM($G831:J831)-SUM($G829:J829)-$B830,0))*CHOOSE($D829,1,Параметры!J$53,Параметры!J$59)*(1+J834)</f>
        <v>0</v>
      </c>
      <c r="K842" s="185">
        <f>IF(SUM($G835:K835)&gt;0.01,0,MAX(SUM($G831:K831)-SUM($G829:K829)-$B830,0))*CHOOSE($D829,1,Параметры!K$53,Параметры!K$59)*(1+K834)</f>
        <v>0</v>
      </c>
      <c r="L842" s="185">
        <f>IF(SUM($G835:L835)&gt;0.01,0,MAX(SUM($G831:L831)-SUM($G829:L829)-$B830,0))*CHOOSE($D829,1,Параметры!L$53,Параметры!L$59)*(1+L834)</f>
        <v>0</v>
      </c>
      <c r="M842" s="185">
        <f>IF(SUM($G835:M835)&gt;0.01,0,MAX(SUM($G831:M831)-SUM($G829:M829)-$B830,0))*CHOOSE($D829,1,Параметры!M$53,Параметры!M$59)*(1+M834)</f>
        <v>0</v>
      </c>
      <c r="N842" s="185">
        <f>IF(SUM($G835:N835)&gt;0.01,0,MAX(SUM($G831:N831)-SUM($G829:N829)-$B830,0))*CHOOSE($D829,1,Параметры!N$53,Параметры!N$59)*(1+N834)</f>
        <v>0</v>
      </c>
      <c r="O842" s="185">
        <f>IF(SUM($G835:O835)&gt;0.01,0,MAX(SUM($G831:O831)-SUM($G829:O829)-$B830,0))*CHOOSE($D829,1,Параметры!O$53,Параметры!O$59)*(1+O834)</f>
        <v>0</v>
      </c>
      <c r="P842" s="185">
        <f>IF(SUM($G835:P835)&gt;0.01,0,MAX(SUM($G831:P831)-SUM($G829:P829)-$B830,0))*CHOOSE($D829,1,Параметры!P$53,Параметры!P$59)*(1+P834)</f>
        <v>0</v>
      </c>
      <c r="Q842" s="185">
        <f>IF(SUM($G835:Q835)&gt;0.01,0,MAX(SUM($G831:Q831)-SUM($G829:Q829)-$B830,0))*CHOOSE($D829,1,Параметры!Q$53,Параметры!Q$59)*(1+Q834)</f>
        <v>0</v>
      </c>
      <c r="R842" s="185">
        <f>IF(SUM($G835:R835)&gt;0.01,0,MAX(SUM($G831:R831)-SUM($G829:R829)-$B830,0))*CHOOSE($D829,1,Параметры!R$53,Параметры!R$59)*(1+R834)</f>
        <v>0</v>
      </c>
      <c r="S842" s="185">
        <f>IF(SUM($G835:S835)&gt;0.01,0,MAX(SUM($G831:S831)-SUM($G829:S829)-$B830,0))*CHOOSE($D829,1,Параметры!S$53,Параметры!S$59)*(1+S834)</f>
        <v>0</v>
      </c>
      <c r="T842" s="185">
        <f>IF(SUM($G835:T835)&gt;0.01,0,MAX(SUM($G831:T831)-SUM($G829:T829)-$B830,0))*CHOOSE($D829,1,Параметры!T$53,Параметры!T$59)*(1+T834)</f>
        <v>0</v>
      </c>
      <c r="U842" s="185">
        <f>IF(SUM($G835:U835)&gt;0.01,0,MAX(SUM($G831:U831)-SUM($G829:U829)-$B830,0))*CHOOSE($D829,1,Параметры!U$53,Параметры!U$59)*(1+U834)</f>
        <v>0</v>
      </c>
      <c r="V842" s="185">
        <f>IF(SUM($G835:V835)&gt;0.01,0,MAX(SUM($G831:V831)-SUM($G829:V829)-$B830,0))*CHOOSE($D829,1,Параметры!V$53,Параметры!V$59)*(1+V834)</f>
        <v>0</v>
      </c>
      <c r="W842" s="185">
        <f>IF(SUM($G835:W835)&gt;0.01,0,MAX(SUM($G831:W831)-SUM($G829:W829)-$B830,0))*CHOOSE($D829,1,Параметры!W$53,Параметры!W$59)*(1+W834)</f>
        <v>0</v>
      </c>
      <c r="X842" s="185">
        <f>IF(SUM($G835:X835)&gt;0.01,0,MAX(SUM($G831:X831)-SUM($G829:X829)-$B830,0))*CHOOSE($D829,1,Параметры!X$53,Параметры!X$59)*(1+X834)</f>
        <v>0</v>
      </c>
      <c r="Y842" s="185">
        <f>IF(SUM($G835:Y835)&gt;0.01,0,MAX(SUM($G831:Y831)-SUM($G829:Y829)-$B830,0))*CHOOSE($D829,1,Параметры!Y$53,Параметры!Y$59)*(1+Y834)</f>
        <v>0</v>
      </c>
      <c r="Z842" s="185">
        <f>IF(SUM($G835:Z835)&gt;0.01,0,MAX(SUM($G831:Z831)-SUM($G829:Z829)-$B830,0))*CHOOSE($D829,1,Параметры!Z$53,Параметры!Z$59)*(1+Z834)</f>
        <v>0</v>
      </c>
      <c r="AA842" s="185">
        <f>IF(SUM($G835:AA835)&gt;0.01,0,MAX(SUM($G831:AA831)-SUM($G829:AA829)-$B830,0))*CHOOSE($D829,1,Параметры!AA$53,Параметры!AA$59)*(1+AA834)</f>
        <v>0</v>
      </c>
      <c r="AB842" s="185">
        <f>IF(SUM($G835:AB835)&gt;0.01,0,MAX(SUM($G831:AB831)-SUM($G829:AB829)-$B830,0))*CHOOSE($D829,1,Параметры!AB$53,Параметры!AB$59)*(1+AB834)</f>
        <v>0</v>
      </c>
      <c r="AC842" s="185">
        <f>IF(SUM($G835:AC835)&gt;0.01,0,MAX(SUM($G831:AC831)-SUM($G829:AC829)-$B830,0))*CHOOSE($D829,1,Параметры!AC$53,Параметры!AC$59)*(1+AC834)</f>
        <v>0</v>
      </c>
      <c r="AD842" s="185">
        <f>IF(SUM($G835:AD835)&gt;0.01,0,MAX(SUM($G831:AD831)-SUM($G829:AD829)-$B830,0))*CHOOSE($D829,1,Параметры!AD$53,Параметры!AD$59)*(1+AD834)</f>
        <v>0</v>
      </c>
      <c r="AE842" s="185">
        <f>IF(SUM($G835:AE835)&gt;0.01,0,MAX(SUM($G831:AE831)-SUM($G829:AE829)-$B830,0))*CHOOSE($D829,1,Параметры!AE$53,Параметры!AE$59)*(1+AE834)</f>
        <v>0</v>
      </c>
      <c r="AF842" s="185">
        <f>IF(SUM($G835:AF835)&gt;0.01,0,MAX(SUM($G831:AF831)-SUM($G829:AF829)-$B830,0))*CHOOSE($D829,1,Параметры!AF$53,Параметры!AF$59)*(1+AF834)</f>
        <v>0</v>
      </c>
      <c r="AG842" s="185">
        <f>IF(SUM($G835:AG835)&gt;0.01,0,MAX(SUM($G831:AG831)-SUM($G829:AG829)-$B830,0))*CHOOSE($D829,1,Параметры!AG$53,Параметры!AG$59)*(1+AG834)</f>
        <v>0</v>
      </c>
      <c r="AH842" s="185">
        <f>IF(SUM($G835:AH835)&gt;0.01,0,MAX(SUM($G831:AH831)-SUM($G829:AH829)-$B830,0))*CHOOSE($D829,1,Параметры!AH$53,Параметры!AH$59)*(1+AH834)</f>
        <v>0</v>
      </c>
      <c r="AI842" s="185">
        <f>IF(SUM($G835:AI835)&gt;0.01,0,MAX(SUM($G831:AI831)-SUM($G829:AI829)-$B830,0))*CHOOSE($D829,1,Параметры!AI$53,Параметры!AI$59)*(1+AI834)</f>
        <v>0</v>
      </c>
      <c r="AJ842" s="185">
        <f>IF(SUM($G835:AJ835)&gt;0.01,0,MAX(SUM($G831:AJ831)-SUM($G829:AJ829)-$B830,0))*CHOOSE($D829,1,Параметры!AJ$53,Параметры!AJ$59)*(1+AJ834)</f>
        <v>0</v>
      </c>
      <c r="AK842" s="185">
        <f>IF(SUM($G835:AK835)&gt;0.01,0,MAX(SUM($G831:AK831)-SUM($G829:AK829)-$B830,0))*CHOOSE($D829,1,Параметры!AK$53,Параметры!AK$59)*(1+AK834)</f>
        <v>0</v>
      </c>
      <c r="AL842" s="185">
        <f>IF(SUM($G835:AL835)&gt;0.01,0,MAX(SUM($G831:AL831)-SUM($G829:AL829)-$B830,0))*CHOOSE($D829,1,Параметры!AL$53,Параметры!AL$59)*(1+AL834)</f>
        <v>0</v>
      </c>
      <c r="AM842" s="185">
        <f>IF(SUM($G835:AM835)&gt;0.01,0,MAX(SUM($G831:AM831)-SUM($G829:AM829)-$B830,0))*CHOOSE($D829,1,Параметры!AM$53,Параметры!AM$59)*(1+AM834)</f>
        <v>0</v>
      </c>
      <c r="AN842" s="185">
        <f>IF(SUM($G835:AN835)&gt;0.01,0,MAX(SUM($G831:AN831)-SUM($G829:AN829)-$B830,0))*CHOOSE($D829,1,Параметры!AN$53,Параметры!AN$59)*(1+AN834)</f>
        <v>0</v>
      </c>
      <c r="AO842" s="185">
        <f>IF(SUM($G835:AO835)&gt;0.01,0,MAX(SUM($G831:AO831)-SUM($G829:AO829)-$B830,0))*CHOOSE($D829,1,Параметры!AO$53,Параметры!AO$59)*(1+AO834)</f>
        <v>0</v>
      </c>
      <c r="AP842" s="185">
        <f>IF(SUM($G835:AP835)&gt;0.01,0,MAX(SUM($G831:AP831)-SUM($G829:AP829)-$B830,0))*CHOOSE($D829,1,Параметры!AP$53,Параметры!AP$59)*(1+AP834)</f>
        <v>0</v>
      </c>
      <c r="AQ842" s="185">
        <f>IF(SUM($G835:AQ835)&gt;0.01,0,MAX(SUM($G831:AQ831)-SUM($G829:AQ829)-$B830,0))*CHOOSE($D829,1,Параметры!AQ$53,Параметры!AQ$59)*(1+AQ834)</f>
        <v>0</v>
      </c>
      <c r="AR842" s="185">
        <f>IF(SUM($G835:AR835)&gt;0.01,0,MAX(SUM($G831:AR831)-SUM($G829:AR829)-$B830,0))*CHOOSE($D829,1,Параметры!AR$53,Параметры!AR$59)*(1+AR834)</f>
        <v>0</v>
      </c>
      <c r="AS842" s="185">
        <f>IF(SUM($G835:AS835)&gt;0.01,0,MAX(SUM($G831:AS831)-SUM($G829:AS829)-$B830,0))*CHOOSE($D829,1,Параметры!AS$53,Параметры!AS$59)*(1+AS834)</f>
        <v>0</v>
      </c>
      <c r="AT842" s="185">
        <f>IF(SUM($G835:AT835)&gt;0.01,0,MAX(SUM($G831:AT831)-SUM($G829:AT829)-$B830,0))*CHOOSE($D829,1,Параметры!AT$53,Параметры!AT$59)*(1+AT834)</f>
        <v>0</v>
      </c>
      <c r="AU842" s="185">
        <f>IF(SUM($G835:AU835)&gt;0.01,0,MAX(SUM($G831:AU831)-SUM($G829:AU829)-$B830,0))*CHOOSE($D829,1,Параметры!AU$53,Параметры!AU$59)*(1+AU834)</f>
        <v>0</v>
      </c>
      <c r="AV842" s="185">
        <f>IF(SUM($G835:AV835)&gt;0.01,0,MAX(SUM($G831:AV831)-SUM($G829:AV829)-$B830,0))*CHOOSE($D829,1,Параметры!AV$53,Параметры!AV$59)*(1+AV834)</f>
        <v>0</v>
      </c>
      <c r="AW842" s="185">
        <f>IF(SUM($G835:AW835)&gt;0.01,0,MAX(SUM($G831:AW831)-SUM($G829:AW829)-$B830,0))*CHOOSE($D829,1,Параметры!AW$53,Параметры!AW$59)*(1+AW834)</f>
        <v>0</v>
      </c>
      <c r="AX842" s="185">
        <f>IF(SUM($G835:AX835)&gt;0.01,0,MAX(SUM($G831:AX831)-SUM($G829:AX829)-$B830,0))*CHOOSE($D829,1,Параметры!AX$53,Параметры!AX$59)*(1+AX834)</f>
        <v>0</v>
      </c>
      <c r="AY842" s="185">
        <f>IF(SUM($G835:AY835)&gt;0.01,0,MAX(SUM($G831:AY831)-SUM($G829:AY829)-$B830,0))*CHOOSE($D829,1,Параметры!AY$53,Параметры!AY$59)*(1+AY834)</f>
        <v>0</v>
      </c>
      <c r="AZ842" s="185">
        <f>IF(SUM($G835:AZ835)&gt;0.01,0,MAX(SUM($G831:AZ831)-SUM($G829:AZ829)-$B830,0))*CHOOSE($D829,1,Параметры!AZ$53,Параметры!AZ$59)*(1+AZ834)</f>
        <v>0</v>
      </c>
      <c r="BA842" s="185">
        <f>IF(SUM($G835:BA835)&gt;0.01,0,MAX(SUM($G831:BA831)-SUM($G829:BA829)-$B830,0))*CHOOSE($D829,1,Параметры!BA$53,Параметры!BA$59)*(1+BA834)</f>
        <v>0</v>
      </c>
      <c r="BB842" s="185">
        <f>IF(SUM($G835:BB835)&gt;0.01,0,MAX(SUM($G831:BB831)-SUM($G829:BB829)-$B830,0))*CHOOSE($D829,1,Параметры!BB$53,Параметры!BB$59)*(1+BB834)</f>
        <v>0</v>
      </c>
      <c r="BC842" s="185"/>
      <c r="BD842" s="186"/>
    </row>
    <row r="843" spans="1:56" hidden="1" outlineLevel="1" x14ac:dyDescent="0.3">
      <c r="A843" s="184" t="str">
        <f ca="1">Language!A$1511</f>
        <v>НДС к кредиторской задолженности</v>
      </c>
      <c r="B843" s="170"/>
      <c r="C843" s="163" t="str">
        <f t="shared" ca="1" si="3326"/>
        <v>руб.</v>
      </c>
      <c r="D843" s="174">
        <v>1</v>
      </c>
      <c r="E843" s="170" t="s">
        <v>2294</v>
      </c>
      <c r="F843" s="170" t="s">
        <v>741</v>
      </c>
      <c r="G843" s="185">
        <f>MAX(SUM($G847:G847)-SUM($G846:G846)-SUM($G839:G839),0)</f>
        <v>0</v>
      </c>
      <c r="H843" s="185">
        <f>MAX(SUM($G847:H847)-SUM($G846:H846)-SUM($G839:H839),0)</f>
        <v>0</v>
      </c>
      <c r="I843" s="185">
        <f>MAX(SUM($G847:I847)-SUM($G846:I846)-SUM($G839:I839),0)</f>
        <v>0</v>
      </c>
      <c r="J843" s="185">
        <f>MAX(SUM($G847:J847)-SUM($G846:J846)-SUM($G839:J839),0)</f>
        <v>0</v>
      </c>
      <c r="K843" s="185">
        <f>MAX(SUM($G847:K847)-SUM($G846:K846)-SUM($G839:K839),0)</f>
        <v>0</v>
      </c>
      <c r="L843" s="185">
        <f>MAX(SUM($G847:L847)-SUM($G846:L846)-SUM($G839:L839),0)</f>
        <v>0</v>
      </c>
      <c r="M843" s="185">
        <f>MAX(SUM($G847:M847)-SUM($G846:M846)-SUM($G839:M839),0)</f>
        <v>0</v>
      </c>
      <c r="N843" s="185">
        <f>MAX(SUM($G847:N847)-SUM($G846:N846)-SUM($G839:N839),0)</f>
        <v>0</v>
      </c>
      <c r="O843" s="185">
        <f>MAX(SUM($G847:O847)-SUM($G846:O846)-SUM($G839:O839),0)</f>
        <v>0</v>
      </c>
      <c r="P843" s="185">
        <f>MAX(SUM($G847:P847)-SUM($G846:P846)-SUM($G839:P839),0)</f>
        <v>0</v>
      </c>
      <c r="Q843" s="185">
        <f>MAX(SUM($G847:Q847)-SUM($G846:Q846)-SUM($G839:Q839),0)</f>
        <v>0</v>
      </c>
      <c r="R843" s="185">
        <f>MAX(SUM($G847:R847)-SUM($G846:R846)-SUM($G839:R839),0)</f>
        <v>0</v>
      </c>
      <c r="S843" s="185">
        <f>MAX(SUM($G847:S847)-SUM($G846:S846)-SUM($G839:S839),0)</f>
        <v>0</v>
      </c>
      <c r="T843" s="185">
        <f>MAX(SUM($G847:T847)-SUM($G846:T846)-SUM($G839:T839),0)</f>
        <v>0</v>
      </c>
      <c r="U843" s="185">
        <f>MAX(SUM($G847:U847)-SUM($G846:U846)-SUM($G839:U839),0)</f>
        <v>0</v>
      </c>
      <c r="V843" s="185">
        <f>MAX(SUM($G847:V847)-SUM($G846:V846)-SUM($G839:V839),0)</f>
        <v>0</v>
      </c>
      <c r="W843" s="185">
        <f>MAX(SUM($G847:W847)-SUM($G846:W846)-SUM($G839:W839),0)</f>
        <v>0</v>
      </c>
      <c r="X843" s="185">
        <f>MAX(SUM($G847:X847)-SUM($G846:X846)-SUM($G839:X839),0)</f>
        <v>0</v>
      </c>
      <c r="Y843" s="185">
        <f>MAX(SUM($G847:Y847)-SUM($G846:Y846)-SUM($G839:Y839),0)</f>
        <v>0</v>
      </c>
      <c r="Z843" s="185">
        <f>MAX(SUM($G847:Z847)-SUM($G846:Z846)-SUM($G839:Z839),0)</f>
        <v>0</v>
      </c>
      <c r="AA843" s="185">
        <f>MAX(SUM($G847:AA847)-SUM($G846:AA846)-SUM($G839:AA839),0)</f>
        <v>0</v>
      </c>
      <c r="AB843" s="185">
        <f>MAX(SUM($G847:AB847)-SUM($G846:AB846)-SUM($G839:AB839),0)</f>
        <v>0</v>
      </c>
      <c r="AC843" s="185">
        <f>MAX(SUM($G847:AC847)-SUM($G846:AC846)-SUM($G839:AC839),0)</f>
        <v>0</v>
      </c>
      <c r="AD843" s="185">
        <f>MAX(SUM($G847:AD847)-SUM($G846:AD846)-SUM($G839:AD839),0)</f>
        <v>0</v>
      </c>
      <c r="AE843" s="185">
        <f>MAX(SUM($G847:AE847)-SUM($G846:AE846)-SUM($G839:AE839),0)</f>
        <v>0</v>
      </c>
      <c r="AF843" s="185">
        <f>MAX(SUM($G847:AF847)-SUM($G846:AF846)-SUM($G839:AF839),0)</f>
        <v>0</v>
      </c>
      <c r="AG843" s="185">
        <f>MAX(SUM($G847:AG847)-SUM($G846:AG846)-SUM($G839:AG839),0)</f>
        <v>0</v>
      </c>
      <c r="AH843" s="185">
        <f>MAX(SUM($G847:AH847)-SUM($G846:AH846)-SUM($G839:AH839),0)</f>
        <v>0</v>
      </c>
      <c r="AI843" s="185">
        <f>MAX(SUM($G847:AI847)-SUM($G846:AI846)-SUM($G839:AI839),0)</f>
        <v>0</v>
      </c>
      <c r="AJ843" s="185">
        <f>MAX(SUM($G847:AJ847)-SUM($G846:AJ846)-SUM($G839:AJ839),0)</f>
        <v>0</v>
      </c>
      <c r="AK843" s="185">
        <f>MAX(SUM($G847:AK847)-SUM($G846:AK846)-SUM($G839:AK839),0)</f>
        <v>0</v>
      </c>
      <c r="AL843" s="185">
        <f>MAX(SUM($G847:AL847)-SUM($G846:AL846)-SUM($G839:AL839),0)</f>
        <v>0</v>
      </c>
      <c r="AM843" s="185">
        <f>MAX(SUM($G847:AM847)-SUM($G846:AM846)-SUM($G839:AM839),0)</f>
        <v>0</v>
      </c>
      <c r="AN843" s="185">
        <f>MAX(SUM($G847:AN847)-SUM($G846:AN846)-SUM($G839:AN839),0)</f>
        <v>0</v>
      </c>
      <c r="AO843" s="185">
        <f>MAX(SUM($G847:AO847)-SUM($G846:AO846)-SUM($G839:AO839),0)</f>
        <v>0</v>
      </c>
      <c r="AP843" s="185">
        <f>MAX(SUM($G847:AP847)-SUM($G846:AP846)-SUM($G839:AP839),0)</f>
        <v>0</v>
      </c>
      <c r="AQ843" s="185">
        <f>MAX(SUM($G847:AQ847)-SUM($G846:AQ846)-SUM($G839:AQ839),0)</f>
        <v>0</v>
      </c>
      <c r="AR843" s="185">
        <f>MAX(SUM($G847:AR847)-SUM($G846:AR846)-SUM($G839:AR839),0)</f>
        <v>0</v>
      </c>
      <c r="AS843" s="185">
        <f>MAX(SUM($G847:AS847)-SUM($G846:AS846)-SUM($G839:AS839),0)</f>
        <v>0</v>
      </c>
      <c r="AT843" s="185">
        <f>MAX(SUM($G847:AT847)-SUM($G846:AT846)-SUM($G839:AT839),0)</f>
        <v>0</v>
      </c>
      <c r="AU843" s="185">
        <f>MAX(SUM($G847:AU847)-SUM($G846:AU846)-SUM($G839:AU839),0)</f>
        <v>0</v>
      </c>
      <c r="AV843" s="185">
        <f>MAX(SUM($G847:AV847)-SUM($G846:AV846)-SUM($G839:AV839),0)</f>
        <v>0</v>
      </c>
      <c r="AW843" s="185">
        <f>MAX(SUM($G847:AW847)-SUM($G846:AW846)-SUM($G839:AW839),0)</f>
        <v>0</v>
      </c>
      <c r="AX843" s="185">
        <f>MAX(SUM($G847:AX847)-SUM($G846:AX846)-SUM($G839:AX839),0)</f>
        <v>0</v>
      </c>
      <c r="AY843" s="185">
        <f>MAX(SUM($G847:AY847)-SUM($G846:AY846)-SUM($G839:AY839),0)</f>
        <v>0</v>
      </c>
      <c r="AZ843" s="185">
        <f>MAX(SUM($G847:AZ847)-SUM($G846:AZ846)-SUM($G839:AZ839),0)</f>
        <v>0</v>
      </c>
      <c r="BA843" s="185">
        <f>MAX(SUM($G847:BA847)-SUM($G846:BA846)-SUM($G839:BA839),0)</f>
        <v>0</v>
      </c>
      <c r="BB843" s="185">
        <f>MAX(SUM($G847:BB847)-SUM($G846:BB846)-SUM($G839:BB839),0)</f>
        <v>0</v>
      </c>
      <c r="BC843" s="185"/>
      <c r="BD843" s="186"/>
    </row>
    <row r="844" spans="1:56" hidden="1" outlineLevel="1" x14ac:dyDescent="0.3">
      <c r="A844" s="184" t="str">
        <f ca="1">Language!A$887</f>
        <v>амортизация (бухгалтерская)</v>
      </c>
      <c r="B844" s="170"/>
      <c r="C844" s="163" t="str">
        <f t="shared" ca="1" si="3326"/>
        <v>руб.</v>
      </c>
      <c r="D844" s="174">
        <v>1</v>
      </c>
      <c r="E844" s="170" t="s">
        <v>756</v>
      </c>
      <c r="F844" s="170" t="s">
        <v>740</v>
      </c>
      <c r="G844" s="185">
        <f ca="1">IF(SUM($G835:G835)&gt;0.01,0,IF($B832=0,0,MIN((SUM($G840:G840)-IF(G$2&gt;$B832*12/Prj_Step,SUM($G840:OFFSET(G840,0,-$B832*12/Prj_Step)),0))/$B832/12*Параметры!G$31,IF(G$2=1,G840,F845+SUM($F840:G840)-SUM($F840:F840)))))</f>
        <v>0</v>
      </c>
      <c r="H844" s="185">
        <f ca="1">IF(SUM($G835:H835)&gt;0.01,0,IF($B832=0,0,MIN((SUM($G840:H840)-IF(H$2&gt;$B832*12/Prj_Step,SUM($G840:OFFSET(H840,0,-$B832*12/Prj_Step)),0))/$B832/12*Параметры!H$31,IF(H$2=1,H840,G845+SUM($F840:H840)-SUM($F840:G840)))))</f>
        <v>0</v>
      </c>
      <c r="I844" s="185">
        <f ca="1">IF(SUM($G835:I835)&gt;0.01,0,IF($B832=0,0,MIN((SUM($G840:I840)-IF(I$2&gt;$B832*12/Prj_Step,SUM($G840:OFFSET(I840,0,-$B832*12/Prj_Step)),0))/$B832/12*Параметры!I$31,IF(I$2=1,I840,H845+SUM($F840:I840)-SUM($F840:H840)))))</f>
        <v>0</v>
      </c>
      <c r="J844" s="185">
        <f ca="1">IF(SUM($G835:J835)&gt;0.01,0,IF($B832=0,0,MIN((SUM($G840:J840)-IF(J$2&gt;$B832*12/Prj_Step,SUM($G840:OFFSET(J840,0,-$B832*12/Prj_Step)),0))/$B832/12*Параметры!J$31,IF(J$2=1,J840,I845+SUM($F840:J840)-SUM($F840:I840)))))</f>
        <v>0</v>
      </c>
      <c r="K844" s="185">
        <f ca="1">IF(SUM($G835:K835)&gt;0.01,0,IF($B832=0,0,MIN((SUM($G840:K840)-IF(K$2&gt;$B832*12/Prj_Step,SUM($G840:OFFSET(K840,0,-$B832*12/Prj_Step)),0))/$B832/12*Параметры!K$31,IF(K$2=1,K840,J845+SUM($F840:K840)-SUM($F840:J840)))))</f>
        <v>0</v>
      </c>
      <c r="L844" s="185">
        <f ca="1">IF(SUM($G835:L835)&gt;0.01,0,IF($B832=0,0,MIN((SUM($G840:L840)-IF(L$2&gt;$B832*12/Prj_Step,SUM($G840:OFFSET(L840,0,-$B832*12/Prj_Step)),0))/$B832/12*Параметры!L$31,IF(L$2=1,L840,K845+SUM($F840:L840)-SUM($F840:K840)))))</f>
        <v>0</v>
      </c>
      <c r="M844" s="185">
        <f ca="1">IF(SUM($G835:M835)&gt;0.01,0,IF($B832=0,0,MIN((SUM($G840:M840)-IF(M$2&gt;$B832*12/Prj_Step,SUM($G840:OFFSET(M840,0,-$B832*12/Prj_Step)),0))/$B832/12*Параметры!M$31,IF(M$2=1,M840,L845+SUM($F840:M840)-SUM($F840:L840)))))</f>
        <v>55555.555555555555</v>
      </c>
      <c r="N844" s="185">
        <f ca="1">IF(SUM($G835:N835)&gt;0.01,0,IF($B832=0,0,MIN((SUM($G840:N840)-IF(N$2&gt;$B832*12/Prj_Step,SUM($G840:OFFSET(N840,0,-$B832*12/Prj_Step)),0))/$B832/12*Параметры!N$31,IF(N$2=1,N840,M845+SUM($F840:N840)-SUM($F840:M840)))))</f>
        <v>55555.555555555555</v>
      </c>
      <c r="O844" s="185">
        <f ca="1">IF(SUM($G835:O835)&gt;0.01,0,IF($B832=0,0,MIN((SUM($G840:O840)-IF(O$2&gt;$B832*12/Prj_Step,SUM($G840:OFFSET(O840,0,-$B832*12/Prj_Step)),0))/$B832/12*Параметры!O$31,IF(O$2=1,O840,N845+SUM($F840:O840)-SUM($F840:N840)))))</f>
        <v>55555.555555555555</v>
      </c>
      <c r="P844" s="185">
        <f ca="1">IF(SUM($G835:P835)&gt;0.01,0,IF($B832=0,0,MIN((SUM($G840:P840)-IF(P$2&gt;$B832*12/Prj_Step,SUM($G840:OFFSET(P840,0,-$B832*12/Prj_Step)),0))/$B832/12*Параметры!P$31,IF(P$2=1,P840,O845+SUM($F840:P840)-SUM($F840:O840)))))</f>
        <v>55555.555555555555</v>
      </c>
      <c r="Q844" s="185">
        <f ca="1">IF(SUM($G835:Q835)&gt;0.01,0,IF($B832=0,0,MIN((SUM($G840:Q840)-IF(Q$2&gt;$B832*12/Prj_Step,SUM($G840:OFFSET(Q840,0,-$B832*12/Prj_Step)),0))/$B832/12*Параметры!Q$31,IF(Q$2=1,Q840,P845+SUM($F840:Q840)-SUM($F840:P840)))))</f>
        <v>55555.555555555555</v>
      </c>
      <c r="R844" s="185">
        <f ca="1">IF(SUM($G835:R835)&gt;0.01,0,IF($B832=0,0,MIN((SUM($G840:R840)-IF(R$2&gt;$B832*12/Prj_Step,SUM($G840:OFFSET(R840,0,-$B832*12/Prj_Step)),0))/$B832/12*Параметры!R$31,IF(R$2=1,R840,Q845+SUM($F840:R840)-SUM($F840:Q840)))))</f>
        <v>55555.555555555555</v>
      </c>
      <c r="S844" s="185">
        <f ca="1">IF(SUM($G835:S835)&gt;0.01,0,IF($B832=0,0,MIN((SUM($G840:S840)-IF(S$2&gt;$B832*12/Prj_Step,SUM($G840:OFFSET(S840,0,-$B832*12/Prj_Step)),0))/$B832/12*Параметры!S$31,IF(S$2=1,S840,R845+SUM($F840:S840)-SUM($F840:R840)))))</f>
        <v>55555.555555555555</v>
      </c>
      <c r="T844" s="185">
        <f ca="1">IF(SUM($G835:T835)&gt;0.01,0,IF($B832=0,0,MIN((SUM($G840:T840)-IF(T$2&gt;$B832*12/Prj_Step,SUM($G840:OFFSET(T840,0,-$B832*12/Prj_Step)),0))/$B832/12*Параметры!T$31,IF(T$2=1,T840,S845+SUM($F840:T840)-SUM($F840:S840)))))</f>
        <v>55555.555555555555</v>
      </c>
      <c r="U844" s="185">
        <f ca="1">IF(SUM($G835:U835)&gt;0.01,0,IF($B832=0,0,MIN((SUM($G840:U840)-IF(U$2&gt;$B832*12/Prj_Step,SUM($G840:OFFSET(U840,0,-$B832*12/Prj_Step)),0))/$B832/12*Параметры!U$31,IF(U$2=1,U840,T845+SUM($F840:U840)-SUM($F840:T840)))))</f>
        <v>55555.555555555555</v>
      </c>
      <c r="V844" s="185">
        <f ca="1">IF(SUM($G835:V835)&gt;0.01,0,IF($B832=0,0,MIN((SUM($G840:V840)-IF(V$2&gt;$B832*12/Prj_Step,SUM($G840:OFFSET(V840,0,-$B832*12/Prj_Step)),0))/$B832/12*Параметры!V$31,IF(V$2=1,V840,U845+SUM($F840:V840)-SUM($F840:U840)))))</f>
        <v>55555.555555555555</v>
      </c>
      <c r="W844" s="185">
        <f ca="1">IF(SUM($G835:W835)&gt;0.01,0,IF($B832=0,0,MIN((SUM($G840:W840)-IF(W$2&gt;$B832*12/Prj_Step,SUM($G840:OFFSET(W840,0,-$B832*12/Prj_Step)),0))/$B832/12*Параметры!W$31,IF(W$2=1,W840,V845+SUM($F840:W840)-SUM($F840:V840)))))</f>
        <v>55555.555555555555</v>
      </c>
      <c r="X844" s="185">
        <f ca="1">IF(SUM($G835:X835)&gt;0.01,0,IF($B832=0,0,MIN((SUM($G840:X840)-IF(X$2&gt;$B832*12/Prj_Step,SUM($G840:OFFSET(X840,0,-$B832*12/Prj_Step)),0))/$B832/12*Параметры!X$31,IF(X$2=1,X840,W845+SUM($F840:X840)-SUM($F840:W840)))))</f>
        <v>55555.555555555555</v>
      </c>
      <c r="Y844" s="185">
        <f ca="1">IF(SUM($G835:Y835)&gt;0.01,0,IF($B832=0,0,MIN((SUM($G840:Y840)-IF(Y$2&gt;$B832*12/Prj_Step,SUM($G840:OFFSET(Y840,0,-$B832*12/Prj_Step)),0))/$B832/12*Параметры!Y$31,IF(Y$2=1,Y840,X845+SUM($F840:Y840)-SUM($F840:X840)))))</f>
        <v>55555.555555555555</v>
      </c>
      <c r="Z844" s="185">
        <f ca="1">IF(SUM($G835:Z835)&gt;0.01,0,IF($B832=0,0,MIN((SUM($G840:Z840)-IF(Z$2&gt;$B832*12/Prj_Step,SUM($G840:OFFSET(Z840,0,-$B832*12/Prj_Step)),0))/$B832/12*Параметры!Z$31,IF(Z$2=1,Z840,Y845+SUM($F840:Z840)-SUM($F840:Y840)))))</f>
        <v>55555.555555555555</v>
      </c>
      <c r="AA844" s="185">
        <f ca="1">IF(SUM($G835:AA835)&gt;0.01,0,IF($B832=0,0,MIN((SUM($G840:AA840)-IF(AA$2&gt;$B832*12/Prj_Step,SUM($G840:OFFSET(AA840,0,-$B832*12/Prj_Step)),0))/$B832/12*Параметры!AA$31,IF(AA$2=1,AA840,Z845+SUM($F840:AA840)-SUM($F840:Z840)))))</f>
        <v>55555.555555555555</v>
      </c>
      <c r="AB844" s="185">
        <f ca="1">IF(SUM($G835:AB835)&gt;0.01,0,IF($B832=0,0,MIN((SUM($G840:AB840)-IF(AB$2&gt;$B832*12/Prj_Step,SUM($G840:OFFSET(AB840,0,-$B832*12/Prj_Step)),0))/$B832/12*Параметры!AB$31,IF(AB$2=1,AB840,AA845+SUM($F840:AB840)-SUM($F840:AA840)))))</f>
        <v>55555.555555555555</v>
      </c>
      <c r="AC844" s="185">
        <f ca="1">IF(SUM($G835:AC835)&gt;0.01,0,IF($B832=0,0,MIN((SUM($G840:AC840)-IF(AC$2&gt;$B832*12/Prj_Step,SUM($G840:OFFSET(AC840,0,-$B832*12/Prj_Step)),0))/$B832/12*Параметры!AC$31,IF(AC$2=1,AC840,AB845+SUM($F840:AC840)-SUM($F840:AB840)))))</f>
        <v>55555.555555555555</v>
      </c>
      <c r="AD844" s="185">
        <f ca="1">IF(SUM($G835:AD835)&gt;0.01,0,IF($B832=0,0,MIN((SUM($G840:AD840)-IF(AD$2&gt;$B832*12/Prj_Step,SUM($G840:OFFSET(AD840,0,-$B832*12/Prj_Step)),0))/$B832/12*Параметры!AD$31,IF(AD$2=1,AD840,AC845+SUM($F840:AD840)-SUM($F840:AC840)))))</f>
        <v>55555.555555555555</v>
      </c>
      <c r="AE844" s="185">
        <f ca="1">IF(SUM($G835:AE835)&gt;0.01,0,IF($B832=0,0,MIN((SUM($G840:AE840)-IF(AE$2&gt;$B832*12/Prj_Step,SUM($G840:OFFSET(AE840,0,-$B832*12/Prj_Step)),0))/$B832/12*Параметры!AE$31,IF(AE$2=1,AE840,AD845+SUM($F840:AE840)-SUM($F840:AD840)))))</f>
        <v>55555.555555555555</v>
      </c>
      <c r="AF844" s="185">
        <f ca="1">IF(SUM($G835:AF835)&gt;0.01,0,IF($B832=0,0,MIN((SUM($G840:AF840)-IF(AF$2&gt;$B832*12/Prj_Step,SUM($G840:OFFSET(AF840,0,-$B832*12/Prj_Step)),0))/$B832/12*Параметры!AF$31,IF(AF$2=1,AF840,AE845+SUM($F840:AF840)-SUM($F840:AE840)))))</f>
        <v>55555.555555555555</v>
      </c>
      <c r="AG844" s="185">
        <f ca="1">IF(SUM($G835:AG835)&gt;0.01,0,IF($B832=0,0,MIN((SUM($G840:AG840)-IF(AG$2&gt;$B832*12/Prj_Step,SUM($G840:OFFSET(AG840,0,-$B832*12/Prj_Step)),0))/$B832/12*Параметры!AG$31,IF(AG$2=1,AG840,AF845+SUM($F840:AG840)-SUM($F840:AF840)))))</f>
        <v>55555.555555555555</v>
      </c>
      <c r="AH844" s="185">
        <f ca="1">IF(SUM($G835:AH835)&gt;0.01,0,IF($B832=0,0,MIN((SUM($G840:AH840)-IF(AH$2&gt;$B832*12/Prj_Step,SUM($G840:OFFSET(AH840,0,-$B832*12/Prj_Step)),0))/$B832/12*Параметры!AH$31,IF(AH$2=1,AH840,AG845+SUM($F840:AH840)-SUM($F840:AG840)))))</f>
        <v>55555.555555555555</v>
      </c>
      <c r="AI844" s="185">
        <f ca="1">IF(SUM($G835:AI835)&gt;0.01,0,IF($B832=0,0,MIN((SUM($G840:AI840)-IF(AI$2&gt;$B832*12/Prj_Step,SUM($G840:OFFSET(AI840,0,-$B832*12/Prj_Step)),0))/$B832/12*Параметры!AI$31,IF(AI$2=1,AI840,AH845+SUM($F840:AI840)-SUM($F840:AH840)))))</f>
        <v>55555.555555555555</v>
      </c>
      <c r="AJ844" s="185">
        <f ca="1">IF(SUM($G835:AJ835)&gt;0.01,0,IF($B832=0,0,MIN((SUM($G840:AJ840)-IF(AJ$2&gt;$B832*12/Prj_Step,SUM($G840:OFFSET(AJ840,0,-$B832*12/Prj_Step)),0))/$B832/12*Параметры!AJ$31,IF(AJ$2=1,AJ840,AI845+SUM($F840:AJ840)-SUM($F840:AI840)))))</f>
        <v>55555.555555555555</v>
      </c>
      <c r="AK844" s="185">
        <f ca="1">IF(SUM($G835:AK835)&gt;0.01,0,IF($B832=0,0,MIN((SUM($G840:AK840)-IF(AK$2&gt;$B832*12/Prj_Step,SUM($G840:OFFSET(AK840,0,-$B832*12/Prj_Step)),0))/$B832/12*Параметры!AK$31,IF(AK$2=1,AK840,AJ845+SUM($F840:AK840)-SUM($F840:AJ840)))))</f>
        <v>55555.555555555555</v>
      </c>
      <c r="AL844" s="185">
        <f ca="1">IF(SUM($G835:AL835)&gt;0.01,0,IF($B832=0,0,MIN((SUM($G840:AL840)-IF(AL$2&gt;$B832*12/Prj_Step,SUM($G840:OFFSET(AL840,0,-$B832*12/Prj_Step)),0))/$B832/12*Параметры!AL$31,IF(AL$2=1,AL840,AK845+SUM($F840:AL840)-SUM($F840:AK840)))))</f>
        <v>55555.555555555555</v>
      </c>
      <c r="AM844" s="185">
        <f ca="1">IF(SUM($G835:AM835)&gt;0.01,0,IF($B832=0,0,MIN((SUM($G840:AM840)-IF(AM$2&gt;$B832*12/Prj_Step,SUM($G840:OFFSET(AM840,0,-$B832*12/Prj_Step)),0))/$B832/12*Параметры!AM$31,IF(AM$2=1,AM840,AL845+SUM($F840:AM840)-SUM($F840:AL840)))))</f>
        <v>55555.555555555555</v>
      </c>
      <c r="AN844" s="185">
        <f ca="1">IF(SUM($G835:AN835)&gt;0.01,0,IF($B832=0,0,MIN((SUM($G840:AN840)-IF(AN$2&gt;$B832*12/Prj_Step,SUM($G840:OFFSET(AN840,0,-$B832*12/Prj_Step)),0))/$B832/12*Параметры!AN$31,IF(AN$2=1,AN840,AM845+SUM($F840:AN840)-SUM($F840:AM840)))))</f>
        <v>55555.555555555555</v>
      </c>
      <c r="AO844" s="185">
        <f ca="1">IF(SUM($G835:AO835)&gt;0.01,0,IF($B832=0,0,MIN((SUM($G840:AO840)-IF(AO$2&gt;$B832*12/Prj_Step,SUM($G840:OFFSET(AO840,0,-$B832*12/Prj_Step)),0))/$B832/12*Параметры!AO$31,IF(AO$2=1,AO840,AN845+SUM($F840:AO840)-SUM($F840:AN840)))))</f>
        <v>55555.555555555555</v>
      </c>
      <c r="AP844" s="185">
        <f ca="1">IF(SUM($G835:AP835)&gt;0.01,0,IF($B832=0,0,MIN((SUM($G840:AP840)-IF(AP$2&gt;$B832*12/Prj_Step,SUM($G840:OFFSET(AP840,0,-$B832*12/Prj_Step)),0))/$B832/12*Параметры!AP$31,IF(AP$2=1,AP840,AO845+SUM($F840:AP840)-SUM($F840:AO840)))))</f>
        <v>55555.555555555555</v>
      </c>
      <c r="AQ844" s="185">
        <f ca="1">IF(SUM($G835:AQ835)&gt;0.01,0,IF($B832=0,0,MIN((SUM($G840:AQ840)-IF(AQ$2&gt;$B832*12/Prj_Step,SUM($G840:OFFSET(AQ840,0,-$B832*12/Prj_Step)),0))/$B832/12*Параметры!AQ$31,IF(AQ$2=1,AQ840,AP845+SUM($F840:AQ840)-SUM($F840:AP840)))))</f>
        <v>55555.555555555555</v>
      </c>
      <c r="AR844" s="185">
        <f ca="1">IF(SUM($G835:AR835)&gt;0.01,0,IF($B832=0,0,MIN((SUM($G840:AR840)-IF(AR$2&gt;$B832*12/Prj_Step,SUM($G840:OFFSET(AR840,0,-$B832*12/Prj_Step)),0))/$B832/12*Параметры!AR$31,IF(AR$2=1,AR840,AQ845+SUM($F840:AR840)-SUM($F840:AQ840)))))</f>
        <v>55555.555555555555</v>
      </c>
      <c r="AS844" s="185">
        <f ca="1">IF(SUM($G835:AS835)&gt;0.01,0,IF($B832=0,0,MIN((SUM($G840:AS840)-IF(AS$2&gt;$B832*12/Prj_Step,SUM($G840:OFFSET(AS840,0,-$B832*12/Prj_Step)),0))/$B832/12*Параметры!AS$31,IF(AS$2=1,AS840,AR845+SUM($F840:AS840)-SUM($F840:AR840)))))</f>
        <v>55555.555555555555</v>
      </c>
      <c r="AT844" s="185">
        <f ca="1">IF(SUM($G835:AT835)&gt;0.01,0,IF($B832=0,0,MIN((SUM($G840:AT840)-IF(AT$2&gt;$B832*12/Prj_Step,SUM($G840:OFFSET(AT840,0,-$B832*12/Prj_Step)),0))/$B832/12*Параметры!AT$31,IF(AT$2=1,AT840,AS845+SUM($F840:AT840)-SUM($F840:AS840)))))</f>
        <v>55555.555555555555</v>
      </c>
      <c r="AU844" s="185">
        <f ca="1">IF(SUM($G835:AU835)&gt;0.01,0,IF($B832=0,0,MIN((SUM($G840:AU840)-IF(AU$2&gt;$B832*12/Prj_Step,SUM($G840:OFFSET(AU840,0,-$B832*12/Prj_Step)),0))/$B832/12*Параметры!AU$31,IF(AU$2=1,AU840,AT845+SUM($F840:AU840)-SUM($F840:AT840)))))</f>
        <v>55555.555555555555</v>
      </c>
      <c r="AV844" s="185">
        <f ca="1">IF(SUM($G835:AV835)&gt;0.01,0,IF($B832=0,0,MIN((SUM($G840:AV840)-IF(AV$2&gt;$B832*12/Prj_Step,SUM($G840:OFFSET(AV840,0,-$B832*12/Prj_Step)),0))/$B832/12*Параметры!AV$31,IF(AV$2=1,AV840,AU845+SUM($F840:AV840)-SUM($F840:AU840)))))</f>
        <v>55555.555555555555</v>
      </c>
      <c r="AW844" s="185">
        <f ca="1">IF(SUM($G835:AW835)&gt;0.01,0,IF($B832=0,0,MIN((SUM($G840:AW840)-IF(AW$2&gt;$B832*12/Prj_Step,SUM($G840:OFFSET(AW840,0,-$B832*12/Prj_Step)),0))/$B832/12*Параметры!AW$31,IF(AW$2=1,AW840,AV845+SUM($F840:AW840)-SUM($F840:AV840)))))</f>
        <v>55555.555555555555</v>
      </c>
      <c r="AX844" s="185">
        <f ca="1">IF(SUM($G835:AX835)&gt;0.01,0,IF($B832=0,0,MIN((SUM($G840:AX840)-IF(AX$2&gt;$B832*12/Prj_Step,SUM($G840:OFFSET(AX840,0,-$B832*12/Prj_Step)),0))/$B832/12*Параметры!AX$31,IF(AX$2=1,AX840,AW845+SUM($F840:AX840)-SUM($F840:AW840)))))</f>
        <v>55555.555555555555</v>
      </c>
      <c r="AY844" s="185">
        <f ca="1">IF(SUM($G835:AY835)&gt;0.01,0,IF($B832=0,0,MIN((SUM($G840:AY840)-IF(AY$2&gt;$B832*12/Prj_Step,SUM($G840:OFFSET(AY840,0,-$B832*12/Prj_Step)),0))/$B832/12*Параметры!AY$31,IF(AY$2=1,AY840,AX845+SUM($F840:AY840)-SUM($F840:AX840)))))</f>
        <v>55555.555555555555</v>
      </c>
      <c r="AZ844" s="185">
        <f ca="1">IF(SUM($G835:AZ835)&gt;0.01,0,IF($B832=0,0,MIN((SUM($G840:AZ840)-IF(AZ$2&gt;$B832*12/Prj_Step,SUM($G840:OFFSET(AZ840,0,-$B832*12/Prj_Step)),0))/$B832/12*Параметры!AZ$31,IF(AZ$2=1,AZ840,AY845+SUM($F840:AZ840)-SUM($F840:AY840)))))</f>
        <v>55555.555555555555</v>
      </c>
      <c r="BA844" s="185">
        <f ca="1">IF(SUM($G835:BA835)&gt;0.01,0,IF($B832=0,0,MIN((SUM($G840:BA840)-IF(BA$2&gt;$B832*12/Prj_Step,SUM($G840:OFFSET(BA840,0,-$B832*12/Prj_Step)),0))/$B832/12*Параметры!BA$31,IF(BA$2=1,BA840,AZ845+SUM($F840:BA840)-SUM($F840:AZ840)))))</f>
        <v>55555.555555555555</v>
      </c>
      <c r="BB844" s="185">
        <f ca="1">IF(SUM($G835:BB835)&gt;0.01,0,IF($B832=0,0,MIN((SUM($G840:BB840)-IF(BB$2&gt;$B832*12/Prj_Step,SUM($G840:OFFSET(BB840,0,-$B832*12/Prj_Step)),0))/$B832/12*Параметры!BB$31,IF(BB$2=1,BB840,BA845+SUM($F840:BB840)-SUM($F840:BA840)))))</f>
        <v>55555.555555555555</v>
      </c>
      <c r="BC844" s="185"/>
      <c r="BD844" s="193">
        <f ca="1">SUM(G844:BC844)</f>
        <v>2333333.3333333316</v>
      </c>
    </row>
    <row r="845" spans="1:56" hidden="1" outlineLevel="1" x14ac:dyDescent="0.3">
      <c r="A845" s="184" t="str">
        <f ca="1">Language!A$888</f>
        <v>балансовая стоимость (бухгалтерская)</v>
      </c>
      <c r="B845" s="170"/>
      <c r="C845" s="163" t="str">
        <f t="shared" ca="1" si="3326"/>
        <v>руб.</v>
      </c>
      <c r="D845" s="174">
        <v>1</v>
      </c>
      <c r="E845" s="170" t="s">
        <v>757</v>
      </c>
      <c r="F845" s="170" t="s">
        <v>741</v>
      </c>
      <c r="G845" s="185">
        <f ca="1">IF(SUM($G835:G835)&gt;0.01,0,SUM($G840:G840)-SUM($G844:G844))</f>
        <v>0</v>
      </c>
      <c r="H845" s="185">
        <f ca="1">IF(SUM($G835:H835)&gt;0.01,0,SUM($G840:H840)-SUM($G844:H844))</f>
        <v>0</v>
      </c>
      <c r="I845" s="185">
        <f ca="1">IF(SUM($G835:I835)&gt;0.01,0,SUM($G840:I840)-SUM($G844:I844))</f>
        <v>0</v>
      </c>
      <c r="J845" s="185">
        <f ca="1">IF(SUM($G835:J835)&gt;0.01,0,SUM($G840:J840)-SUM($G844:J844))</f>
        <v>0</v>
      </c>
      <c r="K845" s="185">
        <f ca="1">IF(SUM($G835:K835)&gt;0.01,0,SUM($G840:K840)-SUM($G844:K844))</f>
        <v>0</v>
      </c>
      <c r="L845" s="185">
        <f ca="1">IF(SUM($G835:L835)&gt;0.01,0,SUM($G840:L840)-SUM($G844:L844))</f>
        <v>0</v>
      </c>
      <c r="M845" s="185">
        <f ca="1">IF(SUM($G835:M835)&gt;0.01,0,SUM($G840:M840)-SUM($G844:M844))</f>
        <v>19944444.444444444</v>
      </c>
      <c r="N845" s="185">
        <f ca="1">IF(SUM($G835:N835)&gt;0.01,0,SUM($G840:N840)-SUM($G844:N844))</f>
        <v>19888888.888888888</v>
      </c>
      <c r="O845" s="185">
        <f ca="1">IF(SUM($G835:O835)&gt;0.01,0,SUM($G840:O840)-SUM($G844:O844))</f>
        <v>19833333.333333332</v>
      </c>
      <c r="P845" s="185">
        <f ca="1">IF(SUM($G835:P835)&gt;0.01,0,SUM($G840:P840)-SUM($G844:P844))</f>
        <v>19777777.777777776</v>
      </c>
      <c r="Q845" s="185">
        <f ca="1">IF(SUM($G835:Q835)&gt;0.01,0,SUM($G840:Q840)-SUM($G844:Q844))</f>
        <v>19722222.222222224</v>
      </c>
      <c r="R845" s="185">
        <f ca="1">IF(SUM($G835:R835)&gt;0.01,0,SUM($G840:R840)-SUM($G844:R844))</f>
        <v>19666666.666666668</v>
      </c>
      <c r="S845" s="185">
        <f ca="1">IF(SUM($G835:S835)&gt;0.01,0,SUM($G840:S840)-SUM($G844:S844))</f>
        <v>19611111.111111112</v>
      </c>
      <c r="T845" s="185">
        <f ca="1">IF(SUM($G835:T835)&gt;0.01,0,SUM($G840:T840)-SUM($G844:T844))</f>
        <v>19555555.555555556</v>
      </c>
      <c r="U845" s="185">
        <f ca="1">IF(SUM($G835:U835)&gt;0.01,0,SUM($G840:U840)-SUM($G844:U844))</f>
        <v>19500000</v>
      </c>
      <c r="V845" s="185">
        <f ca="1">IF(SUM($G835:V835)&gt;0.01,0,SUM($G840:V840)-SUM($G844:V844))</f>
        <v>19444444.444444444</v>
      </c>
      <c r="W845" s="185">
        <f ca="1">IF(SUM($G835:W835)&gt;0.01,0,SUM($G840:W840)-SUM($G844:W844))</f>
        <v>19388888.888888888</v>
      </c>
      <c r="X845" s="185">
        <f ca="1">IF(SUM($G835:X835)&gt;0.01,0,SUM($G840:X840)-SUM($G844:X844))</f>
        <v>19333333.333333332</v>
      </c>
      <c r="Y845" s="185">
        <f ca="1">IF(SUM($G835:Y835)&gt;0.01,0,SUM($G840:Y840)-SUM($G844:Y844))</f>
        <v>19277777.777777776</v>
      </c>
      <c r="Z845" s="185">
        <f ca="1">IF(SUM($G835:Z835)&gt;0.01,0,SUM($G840:Z840)-SUM($G844:Z844))</f>
        <v>19222222.222222224</v>
      </c>
      <c r="AA845" s="185">
        <f ca="1">IF(SUM($G835:AA835)&gt;0.01,0,SUM($G840:AA840)-SUM($G844:AA844))</f>
        <v>19166666.666666668</v>
      </c>
      <c r="AB845" s="185">
        <f ca="1">IF(SUM($G835:AB835)&gt;0.01,0,SUM($G840:AB840)-SUM($G844:AB844))</f>
        <v>19111111.111111112</v>
      </c>
      <c r="AC845" s="185">
        <f ca="1">IF(SUM($G835:AC835)&gt;0.01,0,SUM($G840:AC840)-SUM($G844:AC844))</f>
        <v>19055555.555555556</v>
      </c>
      <c r="AD845" s="185">
        <f ca="1">IF(SUM($G835:AD835)&gt;0.01,0,SUM($G840:AD840)-SUM($G844:AD844))</f>
        <v>19000000</v>
      </c>
      <c r="AE845" s="185">
        <f ca="1">IF(SUM($G835:AE835)&gt;0.01,0,SUM($G840:AE840)-SUM($G844:AE844))</f>
        <v>18944444.444444444</v>
      </c>
      <c r="AF845" s="185">
        <f ca="1">IF(SUM($G835:AF835)&gt;0.01,0,SUM($G840:AF840)-SUM($G844:AF844))</f>
        <v>18888888.888888888</v>
      </c>
      <c r="AG845" s="185">
        <f ca="1">IF(SUM($G835:AG835)&gt;0.01,0,SUM($G840:AG840)-SUM($G844:AG844))</f>
        <v>18833333.333333336</v>
      </c>
      <c r="AH845" s="185">
        <f ca="1">IF(SUM($G835:AH835)&gt;0.01,0,SUM($G840:AH840)-SUM($G844:AH844))</f>
        <v>18777777.77777778</v>
      </c>
      <c r="AI845" s="185">
        <f ca="1">IF(SUM($G835:AI835)&gt;0.01,0,SUM($G840:AI840)-SUM($G844:AI844))</f>
        <v>18722222.222222224</v>
      </c>
      <c r="AJ845" s="185">
        <f ca="1">IF(SUM($G835:AJ835)&gt;0.01,0,SUM($G840:AJ840)-SUM($G844:AJ844))</f>
        <v>18666666.666666668</v>
      </c>
      <c r="AK845" s="185">
        <f ca="1">IF(SUM($G835:AK835)&gt;0.01,0,SUM($G840:AK840)-SUM($G844:AK844))</f>
        <v>18611111.111111112</v>
      </c>
      <c r="AL845" s="185">
        <f ca="1">IF(SUM($G835:AL835)&gt;0.01,0,SUM($G840:AL840)-SUM($G844:AL844))</f>
        <v>18555555.555555556</v>
      </c>
      <c r="AM845" s="185">
        <f ca="1">IF(SUM($G835:AM835)&gt;0.01,0,SUM($G840:AM840)-SUM($G844:AM844))</f>
        <v>18500000</v>
      </c>
      <c r="AN845" s="185">
        <f ca="1">IF(SUM($G835:AN835)&gt;0.01,0,SUM($G840:AN840)-SUM($G844:AN844))</f>
        <v>18444444.444444444</v>
      </c>
      <c r="AO845" s="185">
        <f ca="1">IF(SUM($G835:AO835)&gt;0.01,0,SUM($G840:AO840)-SUM($G844:AO844))</f>
        <v>18388888.888888888</v>
      </c>
      <c r="AP845" s="185">
        <f ca="1">IF(SUM($G835:AP835)&gt;0.01,0,SUM($G840:AP840)-SUM($G844:AP844))</f>
        <v>18333333.333333336</v>
      </c>
      <c r="AQ845" s="185">
        <f ca="1">IF(SUM($G835:AQ835)&gt;0.01,0,SUM($G840:AQ840)-SUM($G844:AQ844))</f>
        <v>18277777.77777778</v>
      </c>
      <c r="AR845" s="185">
        <f ca="1">IF(SUM($G835:AR835)&gt;0.01,0,SUM($G840:AR840)-SUM($G844:AR844))</f>
        <v>18222222.222222224</v>
      </c>
      <c r="AS845" s="185">
        <f ca="1">IF(SUM($G835:AS835)&gt;0.01,0,SUM($G840:AS840)-SUM($G844:AS844))</f>
        <v>18166666.666666668</v>
      </c>
      <c r="AT845" s="185">
        <f ca="1">IF(SUM($G835:AT835)&gt;0.01,0,SUM($G840:AT840)-SUM($G844:AT844))</f>
        <v>18111111.111111112</v>
      </c>
      <c r="AU845" s="185">
        <f ca="1">IF(SUM($G835:AU835)&gt;0.01,0,SUM($G840:AU840)-SUM($G844:AU844))</f>
        <v>18055555.555555556</v>
      </c>
      <c r="AV845" s="185">
        <f ca="1">IF(SUM($G835:AV835)&gt;0.01,0,SUM($G840:AV840)-SUM($G844:AV844))</f>
        <v>18000000</v>
      </c>
      <c r="AW845" s="185">
        <f ca="1">IF(SUM($G835:AW835)&gt;0.01,0,SUM($G840:AW840)-SUM($G844:AW844))</f>
        <v>17944444.444444448</v>
      </c>
      <c r="AX845" s="185">
        <f ca="1">IF(SUM($G835:AX835)&gt;0.01,0,SUM($G840:AX840)-SUM($G844:AX844))</f>
        <v>17888888.888888892</v>
      </c>
      <c r="AY845" s="185">
        <f ca="1">IF(SUM($G835:AY835)&gt;0.01,0,SUM($G840:AY840)-SUM($G844:AY844))</f>
        <v>17833333.333333336</v>
      </c>
      <c r="AZ845" s="185">
        <f ca="1">IF(SUM($G835:AZ835)&gt;0.01,0,SUM($G840:AZ840)-SUM($G844:AZ844))</f>
        <v>17777777.77777778</v>
      </c>
      <c r="BA845" s="185">
        <f ca="1">IF(SUM($G835:BA835)&gt;0.01,0,SUM($G840:BA840)-SUM($G844:BA844))</f>
        <v>17722222.222222224</v>
      </c>
      <c r="BB845" s="185">
        <f ca="1">IF(SUM($G835:BB835)&gt;0.01,0,SUM($G840:BB840)-SUM($G844:BB844))</f>
        <v>17666666.666666668</v>
      </c>
      <c r="BC845" s="185"/>
      <c r="BD845" s="186"/>
    </row>
    <row r="846" spans="1:56" hidden="1" outlineLevel="1" x14ac:dyDescent="0.3">
      <c r="A846" s="184" t="str">
        <f ca="1">Language!A$889</f>
        <v>выплаченный НДС</v>
      </c>
      <c r="B846" s="170"/>
      <c r="C846" s="163" t="str">
        <f t="shared" ca="1" si="3326"/>
        <v>руб.</v>
      </c>
      <c r="D846" s="174">
        <v>1</v>
      </c>
      <c r="E846" s="170" t="s">
        <v>758</v>
      </c>
      <c r="F846" s="170" t="s">
        <v>740</v>
      </c>
      <c r="G846" s="185">
        <f t="shared" ref="G846:BB846" si="3328">G836*G834</f>
        <v>0</v>
      </c>
      <c r="H846" s="185">
        <f t="shared" si="3328"/>
        <v>0</v>
      </c>
      <c r="I846" s="185">
        <f t="shared" si="3328"/>
        <v>0</v>
      </c>
      <c r="J846" s="185">
        <f t="shared" si="3328"/>
        <v>0</v>
      </c>
      <c r="K846" s="185">
        <f t="shared" si="3328"/>
        <v>0</v>
      </c>
      <c r="L846" s="185">
        <f t="shared" si="3328"/>
        <v>0</v>
      </c>
      <c r="M846" s="185">
        <f t="shared" si="3328"/>
        <v>0</v>
      </c>
      <c r="N846" s="185">
        <f t="shared" si="3328"/>
        <v>0</v>
      </c>
      <c r="O846" s="185">
        <f t="shared" si="3328"/>
        <v>0</v>
      </c>
      <c r="P846" s="185">
        <f t="shared" si="3328"/>
        <v>0</v>
      </c>
      <c r="Q846" s="185">
        <f t="shared" si="3328"/>
        <v>0</v>
      </c>
      <c r="R846" s="185">
        <f t="shared" si="3328"/>
        <v>0</v>
      </c>
      <c r="S846" s="185">
        <f t="shared" si="3328"/>
        <v>0</v>
      </c>
      <c r="T846" s="185">
        <f t="shared" si="3328"/>
        <v>0</v>
      </c>
      <c r="U846" s="185">
        <f t="shared" si="3328"/>
        <v>0</v>
      </c>
      <c r="V846" s="185">
        <f t="shared" si="3328"/>
        <v>0</v>
      </c>
      <c r="W846" s="185">
        <f t="shared" si="3328"/>
        <v>0</v>
      </c>
      <c r="X846" s="185">
        <f t="shared" si="3328"/>
        <v>0</v>
      </c>
      <c r="Y846" s="185">
        <f t="shared" si="3328"/>
        <v>0</v>
      </c>
      <c r="Z846" s="185">
        <f t="shared" si="3328"/>
        <v>0</v>
      </c>
      <c r="AA846" s="185">
        <f t="shared" si="3328"/>
        <v>0</v>
      </c>
      <c r="AB846" s="185">
        <f t="shared" si="3328"/>
        <v>0</v>
      </c>
      <c r="AC846" s="185">
        <f t="shared" si="3328"/>
        <v>0</v>
      </c>
      <c r="AD846" s="185">
        <f t="shared" si="3328"/>
        <v>0</v>
      </c>
      <c r="AE846" s="185">
        <f t="shared" si="3328"/>
        <v>0</v>
      </c>
      <c r="AF846" s="185">
        <f t="shared" si="3328"/>
        <v>0</v>
      </c>
      <c r="AG846" s="185">
        <f t="shared" si="3328"/>
        <v>0</v>
      </c>
      <c r="AH846" s="185">
        <f t="shared" si="3328"/>
        <v>0</v>
      </c>
      <c r="AI846" s="185">
        <f t="shared" si="3328"/>
        <v>0</v>
      </c>
      <c r="AJ846" s="185">
        <f t="shared" si="3328"/>
        <v>0</v>
      </c>
      <c r="AK846" s="185">
        <f t="shared" si="3328"/>
        <v>0</v>
      </c>
      <c r="AL846" s="185">
        <f t="shared" si="3328"/>
        <v>0</v>
      </c>
      <c r="AM846" s="185">
        <f t="shared" si="3328"/>
        <v>0</v>
      </c>
      <c r="AN846" s="185">
        <f t="shared" si="3328"/>
        <v>0</v>
      </c>
      <c r="AO846" s="185">
        <f t="shared" si="3328"/>
        <v>0</v>
      </c>
      <c r="AP846" s="185">
        <f t="shared" si="3328"/>
        <v>0</v>
      </c>
      <c r="AQ846" s="185">
        <f t="shared" si="3328"/>
        <v>0</v>
      </c>
      <c r="AR846" s="185">
        <f t="shared" si="3328"/>
        <v>0</v>
      </c>
      <c r="AS846" s="185">
        <f t="shared" si="3328"/>
        <v>0</v>
      </c>
      <c r="AT846" s="185">
        <f t="shared" si="3328"/>
        <v>0</v>
      </c>
      <c r="AU846" s="185">
        <f t="shared" si="3328"/>
        <v>0</v>
      </c>
      <c r="AV846" s="185">
        <f t="shared" si="3328"/>
        <v>0</v>
      </c>
      <c r="AW846" s="185">
        <f t="shared" si="3328"/>
        <v>0</v>
      </c>
      <c r="AX846" s="185">
        <f t="shared" si="3328"/>
        <v>0</v>
      </c>
      <c r="AY846" s="185">
        <f t="shared" si="3328"/>
        <v>0</v>
      </c>
      <c r="AZ846" s="185">
        <f t="shared" si="3328"/>
        <v>0</v>
      </c>
      <c r="BA846" s="185">
        <f t="shared" si="3328"/>
        <v>0</v>
      </c>
      <c r="BB846" s="185">
        <f t="shared" si="3328"/>
        <v>0</v>
      </c>
      <c r="BC846" s="185"/>
      <c r="BD846" s="193">
        <f>SUM(G846:BC846)</f>
        <v>0</v>
      </c>
    </row>
    <row r="847" spans="1:56" hidden="1" outlineLevel="1" x14ac:dyDescent="0.3">
      <c r="A847" s="184" t="str">
        <f ca="1">Language!A$890</f>
        <v>зачтенный НДС</v>
      </c>
      <c r="B847" s="170"/>
      <c r="C847" s="163" t="str">
        <f t="shared" ca="1" si="3326"/>
        <v>руб.</v>
      </c>
      <c r="D847" s="174">
        <v>1</v>
      </c>
      <c r="E847" s="170" t="s">
        <v>759</v>
      </c>
      <c r="F847" s="170" t="s">
        <v>740</v>
      </c>
      <c r="G847" s="185">
        <f t="shared" ref="G847:BB847" si="3329">G840*G834</f>
        <v>0</v>
      </c>
      <c r="H847" s="185">
        <f t="shared" si="3329"/>
        <v>0</v>
      </c>
      <c r="I847" s="185">
        <f t="shared" si="3329"/>
        <v>0</v>
      </c>
      <c r="J847" s="185">
        <f t="shared" si="3329"/>
        <v>0</v>
      </c>
      <c r="K847" s="185">
        <f t="shared" si="3329"/>
        <v>0</v>
      </c>
      <c r="L847" s="185">
        <f t="shared" si="3329"/>
        <v>0</v>
      </c>
      <c r="M847" s="185">
        <f t="shared" si="3329"/>
        <v>0</v>
      </c>
      <c r="N847" s="185">
        <f t="shared" si="3329"/>
        <v>0</v>
      </c>
      <c r="O847" s="185">
        <f t="shared" si="3329"/>
        <v>0</v>
      </c>
      <c r="P847" s="185">
        <f t="shared" si="3329"/>
        <v>0</v>
      </c>
      <c r="Q847" s="185">
        <f t="shared" si="3329"/>
        <v>0</v>
      </c>
      <c r="R847" s="185">
        <f t="shared" si="3329"/>
        <v>0</v>
      </c>
      <c r="S847" s="185">
        <f t="shared" si="3329"/>
        <v>0</v>
      </c>
      <c r="T847" s="185">
        <f t="shared" si="3329"/>
        <v>0</v>
      </c>
      <c r="U847" s="185">
        <f t="shared" si="3329"/>
        <v>0</v>
      </c>
      <c r="V847" s="185">
        <f t="shared" si="3329"/>
        <v>0</v>
      </c>
      <c r="W847" s="185">
        <f t="shared" si="3329"/>
        <v>0</v>
      </c>
      <c r="X847" s="185">
        <f t="shared" si="3329"/>
        <v>0</v>
      </c>
      <c r="Y847" s="185">
        <f t="shared" si="3329"/>
        <v>0</v>
      </c>
      <c r="Z847" s="185">
        <f t="shared" si="3329"/>
        <v>0</v>
      </c>
      <c r="AA847" s="185">
        <f t="shared" si="3329"/>
        <v>0</v>
      </c>
      <c r="AB847" s="185">
        <f t="shared" si="3329"/>
        <v>0</v>
      </c>
      <c r="AC847" s="185">
        <f t="shared" si="3329"/>
        <v>0</v>
      </c>
      <c r="AD847" s="185">
        <f t="shared" si="3329"/>
        <v>0</v>
      </c>
      <c r="AE847" s="185">
        <f t="shared" si="3329"/>
        <v>0</v>
      </c>
      <c r="AF847" s="185">
        <f t="shared" si="3329"/>
        <v>0</v>
      </c>
      <c r="AG847" s="185">
        <f t="shared" si="3329"/>
        <v>0</v>
      </c>
      <c r="AH847" s="185">
        <f t="shared" si="3329"/>
        <v>0</v>
      </c>
      <c r="AI847" s="185">
        <f t="shared" si="3329"/>
        <v>0</v>
      </c>
      <c r="AJ847" s="185">
        <f t="shared" si="3329"/>
        <v>0</v>
      </c>
      <c r="AK847" s="185">
        <f t="shared" si="3329"/>
        <v>0</v>
      </c>
      <c r="AL847" s="185">
        <f t="shared" si="3329"/>
        <v>0</v>
      </c>
      <c r="AM847" s="185">
        <f t="shared" si="3329"/>
        <v>0</v>
      </c>
      <c r="AN847" s="185">
        <f t="shared" si="3329"/>
        <v>0</v>
      </c>
      <c r="AO847" s="185">
        <f t="shared" si="3329"/>
        <v>0</v>
      </c>
      <c r="AP847" s="185">
        <f t="shared" si="3329"/>
        <v>0</v>
      </c>
      <c r="AQ847" s="185">
        <f t="shared" si="3329"/>
        <v>0</v>
      </c>
      <c r="AR847" s="185">
        <f t="shared" si="3329"/>
        <v>0</v>
      </c>
      <c r="AS847" s="185">
        <f t="shared" si="3329"/>
        <v>0</v>
      </c>
      <c r="AT847" s="185">
        <f t="shared" si="3329"/>
        <v>0</v>
      </c>
      <c r="AU847" s="185">
        <f t="shared" si="3329"/>
        <v>0</v>
      </c>
      <c r="AV847" s="185">
        <f t="shared" si="3329"/>
        <v>0</v>
      </c>
      <c r="AW847" s="185">
        <f t="shared" si="3329"/>
        <v>0</v>
      </c>
      <c r="AX847" s="185">
        <f t="shared" si="3329"/>
        <v>0</v>
      </c>
      <c r="AY847" s="185">
        <f t="shared" si="3329"/>
        <v>0</v>
      </c>
      <c r="AZ847" s="185">
        <f t="shared" si="3329"/>
        <v>0</v>
      </c>
      <c r="BA847" s="185">
        <f t="shared" si="3329"/>
        <v>0</v>
      </c>
      <c r="BB847" s="185">
        <f t="shared" si="3329"/>
        <v>0</v>
      </c>
      <c r="BC847" s="185"/>
      <c r="BD847" s="193">
        <f>SUM(G847:BC847)</f>
        <v>0</v>
      </c>
    </row>
    <row r="848" spans="1:56" hidden="1" outlineLevel="1" x14ac:dyDescent="0.3">
      <c r="A848" s="184" t="str">
        <f ca="1">Language!A$891</f>
        <v>амортизация (налоговая)</v>
      </c>
      <c r="B848" s="170"/>
      <c r="C848" s="163" t="str">
        <f t="shared" ca="1" si="3326"/>
        <v>руб.</v>
      </c>
      <c r="D848" s="174">
        <v>1</v>
      </c>
      <c r="E848" s="170" t="s">
        <v>760</v>
      </c>
      <c r="F848" s="170" t="s">
        <v>740</v>
      </c>
      <c r="G848" s="185">
        <f ca="1">IF(SUM($G835:G835)&gt;0.01,0,$B833*G840+IF($B832=0,0,MIN((SUM($G840:G840)-IF(G$2&gt;$B832*12/Prj_Step,SUM($G840:OFFSET(G840,0,-$B832*12/Prj_Step)),0))*(1-$B833)/$B832/12*Параметры!G$31,IF(G$2=1,G840,F849+SUM($F840:G840)*(1-$B833)-SUM($F840:F840)*(1-$B833)))))</f>
        <v>0</v>
      </c>
      <c r="H848" s="185">
        <f ca="1">IF(SUM($G835:H835)&gt;0.01,0,$B833*H840+IF($B832=0,0,MIN((SUM($G840:H840)-IF(H$2&gt;$B832*12/Prj_Step,SUM($G840:OFFSET(H840,0,-$B832*12/Prj_Step)),0))*(1-$B833)/$B832/12*Параметры!H$31,IF(H$2=1,H840,G849+SUM($F840:H840)*(1-$B833)-SUM($F840:G840)*(1-$B833)))))</f>
        <v>0</v>
      </c>
      <c r="I848" s="185">
        <f ca="1">IF(SUM($G835:I835)&gt;0.01,0,$B833*I840+IF($B832=0,0,MIN((SUM($G840:I840)-IF(I$2&gt;$B832*12/Prj_Step,SUM($G840:OFFSET(I840,0,-$B832*12/Prj_Step)),0))*(1-$B833)/$B832/12*Параметры!I$31,IF(I$2=1,I840,H849+SUM($F840:I840)*(1-$B833)-SUM($F840:H840)*(1-$B833)))))</f>
        <v>0</v>
      </c>
      <c r="J848" s="185">
        <f ca="1">IF(SUM($G835:J835)&gt;0.01,0,$B833*J840+IF($B832=0,0,MIN((SUM($G840:J840)-IF(J$2&gt;$B832*12/Prj_Step,SUM($G840:OFFSET(J840,0,-$B832*12/Prj_Step)),0))*(1-$B833)/$B832/12*Параметры!J$31,IF(J$2=1,J840,I849+SUM($F840:J840)*(1-$B833)-SUM($F840:I840)*(1-$B833)))))</f>
        <v>0</v>
      </c>
      <c r="K848" s="185">
        <f ca="1">IF(SUM($G835:K835)&gt;0.01,0,$B833*K840+IF($B832=0,0,MIN((SUM($G840:K840)-IF(K$2&gt;$B832*12/Prj_Step,SUM($G840:OFFSET(K840,0,-$B832*12/Prj_Step)),0))*(1-$B833)/$B832/12*Параметры!K$31,IF(K$2=1,K840,J849+SUM($F840:K840)*(1-$B833)-SUM($F840:J840)*(1-$B833)))))</f>
        <v>0</v>
      </c>
      <c r="L848" s="185">
        <f ca="1">IF(SUM($G835:L835)&gt;0.01,0,$B833*L840+IF($B832=0,0,MIN((SUM($G840:L840)-IF(L$2&gt;$B832*12/Prj_Step,SUM($G840:OFFSET(L840,0,-$B832*12/Prj_Step)),0))*(1-$B833)/$B832/12*Параметры!L$31,IF(L$2=1,L840,K849+SUM($F840:L840)*(1-$B833)-SUM($F840:K840)*(1-$B833)))))</f>
        <v>0</v>
      </c>
      <c r="M848" s="185">
        <f ca="1">IF(SUM($G835:M835)&gt;0.01,0,$B833*M840+IF($B832=0,0,MIN((SUM($G840:M840)-IF(M$2&gt;$B832*12/Prj_Step,SUM($G840:OFFSET(M840,0,-$B832*12/Prj_Step)),0))*(1-$B833)/$B832/12*Параметры!M$31,IF(M$2=1,M840,L849+SUM($F840:M840)*(1-$B833)-SUM($F840:L840)*(1-$B833)))))</f>
        <v>55555.555555555555</v>
      </c>
      <c r="N848" s="185">
        <f ca="1">IF(SUM($G835:N835)&gt;0.01,0,$B833*N840+IF($B832=0,0,MIN((SUM($G840:N840)-IF(N$2&gt;$B832*12/Prj_Step,SUM($G840:OFFSET(N840,0,-$B832*12/Prj_Step)),0))*(1-$B833)/$B832/12*Параметры!N$31,IF(N$2=1,N840,M849+SUM($F840:N840)*(1-$B833)-SUM($F840:M840)*(1-$B833)))))</f>
        <v>55555.555555555555</v>
      </c>
      <c r="O848" s="185">
        <f ca="1">IF(SUM($G835:O835)&gt;0.01,0,$B833*O840+IF($B832=0,0,MIN((SUM($G840:O840)-IF(O$2&gt;$B832*12/Prj_Step,SUM($G840:OFFSET(O840,0,-$B832*12/Prj_Step)),0))*(1-$B833)/$B832/12*Параметры!O$31,IF(O$2=1,O840,N849+SUM($F840:O840)*(1-$B833)-SUM($F840:N840)*(1-$B833)))))</f>
        <v>55555.555555555555</v>
      </c>
      <c r="P848" s="185">
        <f ca="1">IF(SUM($G835:P835)&gt;0.01,0,$B833*P840+IF($B832=0,0,MIN((SUM($G840:P840)-IF(P$2&gt;$B832*12/Prj_Step,SUM($G840:OFFSET(P840,0,-$B832*12/Prj_Step)),0))*(1-$B833)/$B832/12*Параметры!P$31,IF(P$2=1,P840,O849+SUM($F840:P840)*(1-$B833)-SUM($F840:O840)*(1-$B833)))))</f>
        <v>55555.555555555555</v>
      </c>
      <c r="Q848" s="185">
        <f ca="1">IF(SUM($G835:Q835)&gt;0.01,0,$B833*Q840+IF($B832=0,0,MIN((SUM($G840:Q840)-IF(Q$2&gt;$B832*12/Prj_Step,SUM($G840:OFFSET(Q840,0,-$B832*12/Prj_Step)),0))*(1-$B833)/$B832/12*Параметры!Q$31,IF(Q$2=1,Q840,P849+SUM($F840:Q840)*(1-$B833)-SUM($F840:P840)*(1-$B833)))))</f>
        <v>55555.555555555555</v>
      </c>
      <c r="R848" s="185">
        <f ca="1">IF(SUM($G835:R835)&gt;0.01,0,$B833*R840+IF($B832=0,0,MIN((SUM($G840:R840)-IF(R$2&gt;$B832*12/Prj_Step,SUM($G840:OFFSET(R840,0,-$B832*12/Prj_Step)),0))*(1-$B833)/$B832/12*Параметры!R$31,IF(R$2=1,R840,Q849+SUM($F840:R840)*(1-$B833)-SUM($F840:Q840)*(1-$B833)))))</f>
        <v>55555.555555555555</v>
      </c>
      <c r="S848" s="185">
        <f ca="1">IF(SUM($G835:S835)&gt;0.01,0,$B833*S840+IF($B832=0,0,MIN((SUM($G840:S840)-IF(S$2&gt;$B832*12/Prj_Step,SUM($G840:OFFSET(S840,0,-$B832*12/Prj_Step)),0))*(1-$B833)/$B832/12*Параметры!S$31,IF(S$2=1,S840,R849+SUM($F840:S840)*(1-$B833)-SUM($F840:R840)*(1-$B833)))))</f>
        <v>55555.555555555555</v>
      </c>
      <c r="T848" s="185">
        <f ca="1">IF(SUM($G835:T835)&gt;0.01,0,$B833*T840+IF($B832=0,0,MIN((SUM($G840:T840)-IF(T$2&gt;$B832*12/Prj_Step,SUM($G840:OFFSET(T840,0,-$B832*12/Prj_Step)),0))*(1-$B833)/$B832/12*Параметры!T$31,IF(T$2=1,T840,S849+SUM($F840:T840)*(1-$B833)-SUM($F840:S840)*(1-$B833)))))</f>
        <v>55555.555555555555</v>
      </c>
      <c r="U848" s="185">
        <f ca="1">IF(SUM($G835:U835)&gt;0.01,0,$B833*U840+IF($B832=0,0,MIN((SUM($G840:U840)-IF(U$2&gt;$B832*12/Prj_Step,SUM($G840:OFFSET(U840,0,-$B832*12/Prj_Step)),0))*(1-$B833)/$B832/12*Параметры!U$31,IF(U$2=1,U840,T849+SUM($F840:U840)*(1-$B833)-SUM($F840:T840)*(1-$B833)))))</f>
        <v>55555.555555555555</v>
      </c>
      <c r="V848" s="185">
        <f ca="1">IF(SUM($G835:V835)&gt;0.01,0,$B833*V840+IF($B832=0,0,MIN((SUM($G840:V840)-IF(V$2&gt;$B832*12/Prj_Step,SUM($G840:OFFSET(V840,0,-$B832*12/Prj_Step)),0))*(1-$B833)/$B832/12*Параметры!V$31,IF(V$2=1,V840,U849+SUM($F840:V840)*(1-$B833)-SUM($F840:U840)*(1-$B833)))))</f>
        <v>55555.555555555555</v>
      </c>
      <c r="W848" s="185">
        <f ca="1">IF(SUM($G835:W835)&gt;0.01,0,$B833*W840+IF($B832=0,0,MIN((SUM($G840:W840)-IF(W$2&gt;$B832*12/Prj_Step,SUM($G840:OFFSET(W840,0,-$B832*12/Prj_Step)),0))*(1-$B833)/$B832/12*Параметры!W$31,IF(W$2=1,W840,V849+SUM($F840:W840)*(1-$B833)-SUM($F840:V840)*(1-$B833)))))</f>
        <v>55555.555555555555</v>
      </c>
      <c r="X848" s="185">
        <f ca="1">IF(SUM($G835:X835)&gt;0.01,0,$B833*X840+IF($B832=0,0,MIN((SUM($G840:X840)-IF(X$2&gt;$B832*12/Prj_Step,SUM($G840:OFFSET(X840,0,-$B832*12/Prj_Step)),0))*(1-$B833)/$B832/12*Параметры!X$31,IF(X$2=1,X840,W849+SUM($F840:X840)*(1-$B833)-SUM($F840:W840)*(1-$B833)))))</f>
        <v>55555.555555555555</v>
      </c>
      <c r="Y848" s="185">
        <f ca="1">IF(SUM($G835:Y835)&gt;0.01,0,$B833*Y840+IF($B832=0,0,MIN((SUM($G840:Y840)-IF(Y$2&gt;$B832*12/Prj_Step,SUM($G840:OFFSET(Y840,0,-$B832*12/Prj_Step)),0))*(1-$B833)/$B832/12*Параметры!Y$31,IF(Y$2=1,Y840,X849+SUM($F840:Y840)*(1-$B833)-SUM($F840:X840)*(1-$B833)))))</f>
        <v>55555.555555555555</v>
      </c>
      <c r="Z848" s="185">
        <f ca="1">IF(SUM($G835:Z835)&gt;0.01,0,$B833*Z840+IF($B832=0,0,MIN((SUM($G840:Z840)-IF(Z$2&gt;$B832*12/Prj_Step,SUM($G840:OFFSET(Z840,0,-$B832*12/Prj_Step)),0))*(1-$B833)/$B832/12*Параметры!Z$31,IF(Z$2=1,Z840,Y849+SUM($F840:Z840)*(1-$B833)-SUM($F840:Y840)*(1-$B833)))))</f>
        <v>55555.555555555555</v>
      </c>
      <c r="AA848" s="185">
        <f ca="1">IF(SUM($G835:AA835)&gt;0.01,0,$B833*AA840+IF($B832=0,0,MIN((SUM($G840:AA840)-IF(AA$2&gt;$B832*12/Prj_Step,SUM($G840:OFFSET(AA840,0,-$B832*12/Prj_Step)),0))*(1-$B833)/$B832/12*Параметры!AA$31,IF(AA$2=1,AA840,Z849+SUM($F840:AA840)*(1-$B833)-SUM($F840:Z840)*(1-$B833)))))</f>
        <v>55555.555555555555</v>
      </c>
      <c r="AB848" s="185">
        <f ca="1">IF(SUM($G835:AB835)&gt;0.01,0,$B833*AB840+IF($B832=0,0,MIN((SUM($G840:AB840)-IF(AB$2&gt;$B832*12/Prj_Step,SUM($G840:OFFSET(AB840,0,-$B832*12/Prj_Step)),0))*(1-$B833)/$B832/12*Параметры!AB$31,IF(AB$2=1,AB840,AA849+SUM($F840:AB840)*(1-$B833)-SUM($F840:AA840)*(1-$B833)))))</f>
        <v>55555.555555555555</v>
      </c>
      <c r="AC848" s="185">
        <f ca="1">IF(SUM($G835:AC835)&gt;0.01,0,$B833*AC840+IF($B832=0,0,MIN((SUM($G840:AC840)-IF(AC$2&gt;$B832*12/Prj_Step,SUM($G840:OFFSET(AC840,0,-$B832*12/Prj_Step)),0))*(1-$B833)/$B832/12*Параметры!AC$31,IF(AC$2=1,AC840,AB849+SUM($F840:AC840)*(1-$B833)-SUM($F840:AB840)*(1-$B833)))))</f>
        <v>55555.555555555555</v>
      </c>
      <c r="AD848" s="185">
        <f ca="1">IF(SUM($G835:AD835)&gt;0.01,0,$B833*AD840+IF($B832=0,0,MIN((SUM($G840:AD840)-IF(AD$2&gt;$B832*12/Prj_Step,SUM($G840:OFFSET(AD840,0,-$B832*12/Prj_Step)),0))*(1-$B833)/$B832/12*Параметры!AD$31,IF(AD$2=1,AD840,AC849+SUM($F840:AD840)*(1-$B833)-SUM($F840:AC840)*(1-$B833)))))</f>
        <v>55555.555555555555</v>
      </c>
      <c r="AE848" s="185">
        <f ca="1">IF(SUM($G835:AE835)&gt;0.01,0,$B833*AE840+IF($B832=0,0,MIN((SUM($G840:AE840)-IF(AE$2&gt;$B832*12/Prj_Step,SUM($G840:OFFSET(AE840,0,-$B832*12/Prj_Step)),0))*(1-$B833)/$B832/12*Параметры!AE$31,IF(AE$2=1,AE840,AD849+SUM($F840:AE840)*(1-$B833)-SUM($F840:AD840)*(1-$B833)))))</f>
        <v>55555.555555555555</v>
      </c>
      <c r="AF848" s="185">
        <f ca="1">IF(SUM($G835:AF835)&gt;0.01,0,$B833*AF840+IF($B832=0,0,MIN((SUM($G840:AF840)-IF(AF$2&gt;$B832*12/Prj_Step,SUM($G840:OFFSET(AF840,0,-$B832*12/Prj_Step)),0))*(1-$B833)/$B832/12*Параметры!AF$31,IF(AF$2=1,AF840,AE849+SUM($F840:AF840)*(1-$B833)-SUM($F840:AE840)*(1-$B833)))))</f>
        <v>55555.555555555555</v>
      </c>
      <c r="AG848" s="185">
        <f ca="1">IF(SUM($G835:AG835)&gt;0.01,0,$B833*AG840+IF($B832=0,0,MIN((SUM($G840:AG840)-IF(AG$2&gt;$B832*12/Prj_Step,SUM($G840:OFFSET(AG840,0,-$B832*12/Prj_Step)),0))*(1-$B833)/$B832/12*Параметры!AG$31,IF(AG$2=1,AG840,AF849+SUM($F840:AG840)*(1-$B833)-SUM($F840:AF840)*(1-$B833)))))</f>
        <v>55555.555555555555</v>
      </c>
      <c r="AH848" s="185">
        <f ca="1">IF(SUM($G835:AH835)&gt;0.01,0,$B833*AH840+IF($B832=0,0,MIN((SUM($G840:AH840)-IF(AH$2&gt;$B832*12/Prj_Step,SUM($G840:OFFSET(AH840,0,-$B832*12/Prj_Step)),0))*(1-$B833)/$B832/12*Параметры!AH$31,IF(AH$2=1,AH840,AG849+SUM($F840:AH840)*(1-$B833)-SUM($F840:AG840)*(1-$B833)))))</f>
        <v>55555.555555555555</v>
      </c>
      <c r="AI848" s="185">
        <f ca="1">IF(SUM($G835:AI835)&gt;0.01,0,$B833*AI840+IF($B832=0,0,MIN((SUM($G840:AI840)-IF(AI$2&gt;$B832*12/Prj_Step,SUM($G840:OFFSET(AI840,0,-$B832*12/Prj_Step)),0))*(1-$B833)/$B832/12*Параметры!AI$31,IF(AI$2=1,AI840,AH849+SUM($F840:AI840)*(1-$B833)-SUM($F840:AH840)*(1-$B833)))))</f>
        <v>55555.555555555555</v>
      </c>
      <c r="AJ848" s="185">
        <f ca="1">IF(SUM($G835:AJ835)&gt;0.01,0,$B833*AJ840+IF($B832=0,0,MIN((SUM($G840:AJ840)-IF(AJ$2&gt;$B832*12/Prj_Step,SUM($G840:OFFSET(AJ840,0,-$B832*12/Prj_Step)),0))*(1-$B833)/$B832/12*Параметры!AJ$31,IF(AJ$2=1,AJ840,AI849+SUM($F840:AJ840)*(1-$B833)-SUM($F840:AI840)*(1-$B833)))))</f>
        <v>55555.555555555555</v>
      </c>
      <c r="AK848" s="185">
        <f ca="1">IF(SUM($G835:AK835)&gt;0.01,0,$B833*AK840+IF($B832=0,0,MIN((SUM($G840:AK840)-IF(AK$2&gt;$B832*12/Prj_Step,SUM($G840:OFFSET(AK840,0,-$B832*12/Prj_Step)),0))*(1-$B833)/$B832/12*Параметры!AK$31,IF(AK$2=1,AK840,AJ849+SUM($F840:AK840)*(1-$B833)-SUM($F840:AJ840)*(1-$B833)))))</f>
        <v>55555.555555555555</v>
      </c>
      <c r="AL848" s="185">
        <f ca="1">IF(SUM($G835:AL835)&gt;0.01,0,$B833*AL840+IF($B832=0,0,MIN((SUM($G840:AL840)-IF(AL$2&gt;$B832*12/Prj_Step,SUM($G840:OFFSET(AL840,0,-$B832*12/Prj_Step)),0))*(1-$B833)/$B832/12*Параметры!AL$31,IF(AL$2=1,AL840,AK849+SUM($F840:AL840)*(1-$B833)-SUM($F840:AK840)*(1-$B833)))))</f>
        <v>55555.555555555555</v>
      </c>
      <c r="AM848" s="185">
        <f ca="1">IF(SUM($G835:AM835)&gt;0.01,0,$B833*AM840+IF($B832=0,0,MIN((SUM($G840:AM840)-IF(AM$2&gt;$B832*12/Prj_Step,SUM($G840:OFFSET(AM840,0,-$B832*12/Prj_Step)),0))*(1-$B833)/$B832/12*Параметры!AM$31,IF(AM$2=1,AM840,AL849+SUM($F840:AM840)*(1-$B833)-SUM($F840:AL840)*(1-$B833)))))</f>
        <v>55555.555555555555</v>
      </c>
      <c r="AN848" s="185">
        <f ca="1">IF(SUM($G835:AN835)&gt;0.01,0,$B833*AN840+IF($B832=0,0,MIN((SUM($G840:AN840)-IF(AN$2&gt;$B832*12/Prj_Step,SUM($G840:OFFSET(AN840,0,-$B832*12/Prj_Step)),0))*(1-$B833)/$B832/12*Параметры!AN$31,IF(AN$2=1,AN840,AM849+SUM($F840:AN840)*(1-$B833)-SUM($F840:AM840)*(1-$B833)))))</f>
        <v>55555.555555555555</v>
      </c>
      <c r="AO848" s="185">
        <f ca="1">IF(SUM($G835:AO835)&gt;0.01,0,$B833*AO840+IF($B832=0,0,MIN((SUM($G840:AO840)-IF(AO$2&gt;$B832*12/Prj_Step,SUM($G840:OFFSET(AO840,0,-$B832*12/Prj_Step)),0))*(1-$B833)/$B832/12*Параметры!AO$31,IF(AO$2=1,AO840,AN849+SUM($F840:AO840)*(1-$B833)-SUM($F840:AN840)*(1-$B833)))))</f>
        <v>55555.555555555555</v>
      </c>
      <c r="AP848" s="185">
        <f ca="1">IF(SUM($G835:AP835)&gt;0.01,0,$B833*AP840+IF($B832=0,0,MIN((SUM($G840:AP840)-IF(AP$2&gt;$B832*12/Prj_Step,SUM($G840:OFFSET(AP840,0,-$B832*12/Prj_Step)),0))*(1-$B833)/$B832/12*Параметры!AP$31,IF(AP$2=1,AP840,AO849+SUM($F840:AP840)*(1-$B833)-SUM($F840:AO840)*(1-$B833)))))</f>
        <v>55555.555555555555</v>
      </c>
      <c r="AQ848" s="185">
        <f ca="1">IF(SUM($G835:AQ835)&gt;0.01,0,$B833*AQ840+IF($B832=0,0,MIN((SUM($G840:AQ840)-IF(AQ$2&gt;$B832*12/Prj_Step,SUM($G840:OFFSET(AQ840,0,-$B832*12/Prj_Step)),0))*(1-$B833)/$B832/12*Параметры!AQ$31,IF(AQ$2=1,AQ840,AP849+SUM($F840:AQ840)*(1-$B833)-SUM($F840:AP840)*(1-$B833)))))</f>
        <v>55555.555555555555</v>
      </c>
      <c r="AR848" s="185">
        <f ca="1">IF(SUM($G835:AR835)&gt;0.01,0,$B833*AR840+IF($B832=0,0,MIN((SUM($G840:AR840)-IF(AR$2&gt;$B832*12/Prj_Step,SUM($G840:OFFSET(AR840,0,-$B832*12/Prj_Step)),0))*(1-$B833)/$B832/12*Параметры!AR$31,IF(AR$2=1,AR840,AQ849+SUM($F840:AR840)*(1-$B833)-SUM($F840:AQ840)*(1-$B833)))))</f>
        <v>55555.555555555555</v>
      </c>
      <c r="AS848" s="185">
        <f ca="1">IF(SUM($G835:AS835)&gt;0.01,0,$B833*AS840+IF($B832=0,0,MIN((SUM($G840:AS840)-IF(AS$2&gt;$B832*12/Prj_Step,SUM($G840:OFFSET(AS840,0,-$B832*12/Prj_Step)),0))*(1-$B833)/$B832/12*Параметры!AS$31,IF(AS$2=1,AS840,AR849+SUM($F840:AS840)*(1-$B833)-SUM($F840:AR840)*(1-$B833)))))</f>
        <v>55555.555555555555</v>
      </c>
      <c r="AT848" s="185">
        <f ca="1">IF(SUM($G835:AT835)&gt;0.01,0,$B833*AT840+IF($B832=0,0,MIN((SUM($G840:AT840)-IF(AT$2&gt;$B832*12/Prj_Step,SUM($G840:OFFSET(AT840,0,-$B832*12/Prj_Step)),0))*(1-$B833)/$B832/12*Параметры!AT$31,IF(AT$2=1,AT840,AS849+SUM($F840:AT840)*(1-$B833)-SUM($F840:AS840)*(1-$B833)))))</f>
        <v>55555.555555555555</v>
      </c>
      <c r="AU848" s="185">
        <f ca="1">IF(SUM($G835:AU835)&gt;0.01,0,$B833*AU840+IF($B832=0,0,MIN((SUM($G840:AU840)-IF(AU$2&gt;$B832*12/Prj_Step,SUM($G840:OFFSET(AU840,0,-$B832*12/Prj_Step)),0))*(1-$B833)/$B832/12*Параметры!AU$31,IF(AU$2=1,AU840,AT849+SUM($F840:AU840)*(1-$B833)-SUM($F840:AT840)*(1-$B833)))))</f>
        <v>55555.555555555555</v>
      </c>
      <c r="AV848" s="185">
        <f ca="1">IF(SUM($G835:AV835)&gt;0.01,0,$B833*AV840+IF($B832=0,0,MIN((SUM($G840:AV840)-IF(AV$2&gt;$B832*12/Prj_Step,SUM($G840:OFFSET(AV840,0,-$B832*12/Prj_Step)),0))*(1-$B833)/$B832/12*Параметры!AV$31,IF(AV$2=1,AV840,AU849+SUM($F840:AV840)*(1-$B833)-SUM($F840:AU840)*(1-$B833)))))</f>
        <v>55555.555555555555</v>
      </c>
      <c r="AW848" s="185">
        <f ca="1">IF(SUM($G835:AW835)&gt;0.01,0,$B833*AW840+IF($B832=0,0,MIN((SUM($G840:AW840)-IF(AW$2&gt;$B832*12/Prj_Step,SUM($G840:OFFSET(AW840,0,-$B832*12/Prj_Step)),0))*(1-$B833)/$B832/12*Параметры!AW$31,IF(AW$2=1,AW840,AV849+SUM($F840:AW840)*(1-$B833)-SUM($F840:AV840)*(1-$B833)))))</f>
        <v>55555.555555555555</v>
      </c>
      <c r="AX848" s="185">
        <f ca="1">IF(SUM($G835:AX835)&gt;0.01,0,$B833*AX840+IF($B832=0,0,MIN((SUM($G840:AX840)-IF(AX$2&gt;$B832*12/Prj_Step,SUM($G840:OFFSET(AX840,0,-$B832*12/Prj_Step)),0))*(1-$B833)/$B832/12*Параметры!AX$31,IF(AX$2=1,AX840,AW849+SUM($F840:AX840)*(1-$B833)-SUM($F840:AW840)*(1-$B833)))))</f>
        <v>55555.555555555555</v>
      </c>
      <c r="AY848" s="185">
        <f ca="1">IF(SUM($G835:AY835)&gt;0.01,0,$B833*AY840+IF($B832=0,0,MIN((SUM($G840:AY840)-IF(AY$2&gt;$B832*12/Prj_Step,SUM($G840:OFFSET(AY840,0,-$B832*12/Prj_Step)),0))*(1-$B833)/$B832/12*Параметры!AY$31,IF(AY$2=1,AY840,AX849+SUM($F840:AY840)*(1-$B833)-SUM($F840:AX840)*(1-$B833)))))</f>
        <v>55555.555555555555</v>
      </c>
      <c r="AZ848" s="185">
        <f ca="1">IF(SUM($G835:AZ835)&gt;0.01,0,$B833*AZ840+IF($B832=0,0,MIN((SUM($G840:AZ840)-IF(AZ$2&gt;$B832*12/Prj_Step,SUM($G840:OFFSET(AZ840,0,-$B832*12/Prj_Step)),0))*(1-$B833)/$B832/12*Параметры!AZ$31,IF(AZ$2=1,AZ840,AY849+SUM($F840:AZ840)*(1-$B833)-SUM($F840:AY840)*(1-$B833)))))</f>
        <v>55555.555555555555</v>
      </c>
      <c r="BA848" s="185">
        <f ca="1">IF(SUM($G835:BA835)&gt;0.01,0,$B833*BA840+IF($B832=0,0,MIN((SUM($G840:BA840)-IF(BA$2&gt;$B832*12/Prj_Step,SUM($G840:OFFSET(BA840,0,-$B832*12/Prj_Step)),0))*(1-$B833)/$B832/12*Параметры!BA$31,IF(BA$2=1,BA840,AZ849+SUM($F840:BA840)*(1-$B833)-SUM($F840:AZ840)*(1-$B833)))))</f>
        <v>55555.555555555555</v>
      </c>
      <c r="BB848" s="185">
        <f ca="1">IF(SUM($G835:BB835)&gt;0.01,0,$B833*BB840+IF($B832=0,0,MIN((SUM($G840:BB840)-IF(BB$2&gt;$B832*12/Prj_Step,SUM($G840:OFFSET(BB840,0,-$B832*12/Prj_Step)),0))*(1-$B833)/$B832/12*Параметры!BB$31,IF(BB$2=1,BB840,BA849+SUM($F840:BB840)*(1-$B833)-SUM($F840:BA840)*(1-$B833)))))</f>
        <v>55555.555555555555</v>
      </c>
      <c r="BC848" s="185"/>
      <c r="BD848" s="193">
        <f ca="1">SUM(G848:BC848)</f>
        <v>2333333.3333333316</v>
      </c>
    </row>
    <row r="849" spans="1:56" hidden="1" outlineLevel="1" x14ac:dyDescent="0.3">
      <c r="A849" s="184" t="str">
        <f ca="1">Language!A$892</f>
        <v>балансовая стоимость (налоговая)</v>
      </c>
      <c r="B849" s="170"/>
      <c r="C849" s="163" t="str">
        <f t="shared" ca="1" si="3326"/>
        <v>руб.</v>
      </c>
      <c r="D849" s="174">
        <v>1</v>
      </c>
      <c r="E849" s="170" t="s">
        <v>761</v>
      </c>
      <c r="F849" s="170" t="s">
        <v>741</v>
      </c>
      <c r="G849" s="185">
        <f ca="1">IF(SUM($G835:G835)&gt;0.01,0,SUM($G840:G840)-SUM($G848:G848))</f>
        <v>0</v>
      </c>
      <c r="H849" s="185">
        <f ca="1">IF(SUM($G835:H835)&gt;0.01,0,SUM($G840:H840)-SUM($G848:H848))</f>
        <v>0</v>
      </c>
      <c r="I849" s="185">
        <f ca="1">IF(SUM($G835:I835)&gt;0.01,0,SUM($G840:I840)-SUM($G848:I848))</f>
        <v>0</v>
      </c>
      <c r="J849" s="185">
        <f ca="1">IF(SUM($G835:J835)&gt;0.01,0,SUM($G840:J840)-SUM($G848:J848))</f>
        <v>0</v>
      </c>
      <c r="K849" s="185">
        <f ca="1">IF(SUM($G835:K835)&gt;0.01,0,SUM($G840:K840)-SUM($G848:K848))</f>
        <v>0</v>
      </c>
      <c r="L849" s="185">
        <f ca="1">IF(SUM($G835:L835)&gt;0.01,0,SUM($G840:L840)-SUM($G848:L848))</f>
        <v>0</v>
      </c>
      <c r="M849" s="185">
        <f ca="1">IF(SUM($G835:M835)&gt;0.01,0,SUM($G840:M840)-SUM($G848:M848))</f>
        <v>19944444.444444444</v>
      </c>
      <c r="N849" s="185">
        <f ca="1">IF(SUM($G835:N835)&gt;0.01,0,SUM($G840:N840)-SUM($G848:N848))</f>
        <v>19888888.888888888</v>
      </c>
      <c r="O849" s="185">
        <f ca="1">IF(SUM($G835:O835)&gt;0.01,0,SUM($G840:O840)-SUM($G848:O848))</f>
        <v>19833333.333333332</v>
      </c>
      <c r="P849" s="185">
        <f ca="1">IF(SUM($G835:P835)&gt;0.01,0,SUM($G840:P840)-SUM($G848:P848))</f>
        <v>19777777.777777776</v>
      </c>
      <c r="Q849" s="185">
        <f ca="1">IF(SUM($G835:Q835)&gt;0.01,0,SUM($G840:Q840)-SUM($G848:Q848))</f>
        <v>19722222.222222224</v>
      </c>
      <c r="R849" s="185">
        <f ca="1">IF(SUM($G835:R835)&gt;0.01,0,SUM($G840:R840)-SUM($G848:R848))</f>
        <v>19666666.666666668</v>
      </c>
      <c r="S849" s="185">
        <f ca="1">IF(SUM($G835:S835)&gt;0.01,0,SUM($G840:S840)-SUM($G848:S848))</f>
        <v>19611111.111111112</v>
      </c>
      <c r="T849" s="185">
        <f ca="1">IF(SUM($G835:T835)&gt;0.01,0,SUM($G840:T840)-SUM($G848:T848))</f>
        <v>19555555.555555556</v>
      </c>
      <c r="U849" s="185">
        <f ca="1">IF(SUM($G835:U835)&gt;0.01,0,SUM($G840:U840)-SUM($G848:U848))</f>
        <v>19500000</v>
      </c>
      <c r="V849" s="185">
        <f ca="1">IF(SUM($G835:V835)&gt;0.01,0,SUM($G840:V840)-SUM($G848:V848))</f>
        <v>19444444.444444444</v>
      </c>
      <c r="W849" s="185">
        <f ca="1">IF(SUM($G835:W835)&gt;0.01,0,SUM($G840:W840)-SUM($G848:W848))</f>
        <v>19388888.888888888</v>
      </c>
      <c r="X849" s="185">
        <f ca="1">IF(SUM($G835:X835)&gt;0.01,0,SUM($G840:X840)-SUM($G848:X848))</f>
        <v>19333333.333333332</v>
      </c>
      <c r="Y849" s="185">
        <f ca="1">IF(SUM($G835:Y835)&gt;0.01,0,SUM($G840:Y840)-SUM($G848:Y848))</f>
        <v>19277777.777777776</v>
      </c>
      <c r="Z849" s="185">
        <f ca="1">IF(SUM($G835:Z835)&gt;0.01,0,SUM($G840:Z840)-SUM($G848:Z848))</f>
        <v>19222222.222222224</v>
      </c>
      <c r="AA849" s="185">
        <f ca="1">IF(SUM($G835:AA835)&gt;0.01,0,SUM($G840:AA840)-SUM($G848:AA848))</f>
        <v>19166666.666666668</v>
      </c>
      <c r="AB849" s="185">
        <f ca="1">IF(SUM($G835:AB835)&gt;0.01,0,SUM($G840:AB840)-SUM($G848:AB848))</f>
        <v>19111111.111111112</v>
      </c>
      <c r="AC849" s="185">
        <f ca="1">IF(SUM($G835:AC835)&gt;0.01,0,SUM($G840:AC840)-SUM($G848:AC848))</f>
        <v>19055555.555555556</v>
      </c>
      <c r="AD849" s="185">
        <f ca="1">IF(SUM($G835:AD835)&gt;0.01,0,SUM($G840:AD840)-SUM($G848:AD848))</f>
        <v>19000000</v>
      </c>
      <c r="AE849" s="185">
        <f ca="1">IF(SUM($G835:AE835)&gt;0.01,0,SUM($G840:AE840)-SUM($G848:AE848))</f>
        <v>18944444.444444444</v>
      </c>
      <c r="AF849" s="185">
        <f ca="1">IF(SUM($G835:AF835)&gt;0.01,0,SUM($G840:AF840)-SUM($G848:AF848))</f>
        <v>18888888.888888888</v>
      </c>
      <c r="AG849" s="185">
        <f ca="1">IF(SUM($G835:AG835)&gt;0.01,0,SUM($G840:AG840)-SUM($G848:AG848))</f>
        <v>18833333.333333336</v>
      </c>
      <c r="AH849" s="185">
        <f ca="1">IF(SUM($G835:AH835)&gt;0.01,0,SUM($G840:AH840)-SUM($G848:AH848))</f>
        <v>18777777.77777778</v>
      </c>
      <c r="AI849" s="185">
        <f ca="1">IF(SUM($G835:AI835)&gt;0.01,0,SUM($G840:AI840)-SUM($G848:AI848))</f>
        <v>18722222.222222224</v>
      </c>
      <c r="AJ849" s="185">
        <f ca="1">IF(SUM($G835:AJ835)&gt;0.01,0,SUM($G840:AJ840)-SUM($G848:AJ848))</f>
        <v>18666666.666666668</v>
      </c>
      <c r="AK849" s="185">
        <f ca="1">IF(SUM($G835:AK835)&gt;0.01,0,SUM($G840:AK840)-SUM($G848:AK848))</f>
        <v>18611111.111111112</v>
      </c>
      <c r="AL849" s="185">
        <f ca="1">IF(SUM($G835:AL835)&gt;0.01,0,SUM($G840:AL840)-SUM($G848:AL848))</f>
        <v>18555555.555555556</v>
      </c>
      <c r="AM849" s="185">
        <f ca="1">IF(SUM($G835:AM835)&gt;0.01,0,SUM($G840:AM840)-SUM($G848:AM848))</f>
        <v>18500000</v>
      </c>
      <c r="AN849" s="185">
        <f ca="1">IF(SUM($G835:AN835)&gt;0.01,0,SUM($G840:AN840)-SUM($G848:AN848))</f>
        <v>18444444.444444444</v>
      </c>
      <c r="AO849" s="185">
        <f ca="1">IF(SUM($G835:AO835)&gt;0.01,0,SUM($G840:AO840)-SUM($G848:AO848))</f>
        <v>18388888.888888888</v>
      </c>
      <c r="AP849" s="185">
        <f ca="1">IF(SUM($G835:AP835)&gt;0.01,0,SUM($G840:AP840)-SUM($G848:AP848))</f>
        <v>18333333.333333336</v>
      </c>
      <c r="AQ849" s="185">
        <f ca="1">IF(SUM($G835:AQ835)&gt;0.01,0,SUM($G840:AQ840)-SUM($G848:AQ848))</f>
        <v>18277777.77777778</v>
      </c>
      <c r="AR849" s="185">
        <f ca="1">IF(SUM($G835:AR835)&gt;0.01,0,SUM($G840:AR840)-SUM($G848:AR848))</f>
        <v>18222222.222222224</v>
      </c>
      <c r="AS849" s="185">
        <f ca="1">IF(SUM($G835:AS835)&gt;0.01,0,SUM($G840:AS840)-SUM($G848:AS848))</f>
        <v>18166666.666666668</v>
      </c>
      <c r="AT849" s="185">
        <f ca="1">IF(SUM($G835:AT835)&gt;0.01,0,SUM($G840:AT840)-SUM($G848:AT848))</f>
        <v>18111111.111111112</v>
      </c>
      <c r="AU849" s="185">
        <f ca="1">IF(SUM($G835:AU835)&gt;0.01,0,SUM($G840:AU840)-SUM($G848:AU848))</f>
        <v>18055555.555555556</v>
      </c>
      <c r="AV849" s="185">
        <f ca="1">IF(SUM($G835:AV835)&gt;0.01,0,SUM($G840:AV840)-SUM($G848:AV848))</f>
        <v>18000000</v>
      </c>
      <c r="AW849" s="185">
        <f ca="1">IF(SUM($G835:AW835)&gt;0.01,0,SUM($G840:AW840)-SUM($G848:AW848))</f>
        <v>17944444.444444448</v>
      </c>
      <c r="AX849" s="185">
        <f ca="1">IF(SUM($G835:AX835)&gt;0.01,0,SUM($G840:AX840)-SUM($G848:AX848))</f>
        <v>17888888.888888892</v>
      </c>
      <c r="AY849" s="185">
        <f ca="1">IF(SUM($G835:AY835)&gt;0.01,0,SUM($G840:AY840)-SUM($G848:AY848))</f>
        <v>17833333.333333336</v>
      </c>
      <c r="AZ849" s="185">
        <f ca="1">IF(SUM($G835:AZ835)&gt;0.01,0,SUM($G840:AZ840)-SUM($G848:AZ848))</f>
        <v>17777777.77777778</v>
      </c>
      <c r="BA849" s="185">
        <f ca="1">IF(SUM($G835:BA835)&gt;0.01,0,SUM($G840:BA840)-SUM($G848:BA848))</f>
        <v>17722222.222222224</v>
      </c>
      <c r="BB849" s="185">
        <f ca="1">IF(SUM($G835:BB835)&gt;0.01,0,SUM($G840:BB840)-SUM($G848:BB848))</f>
        <v>17666666.666666668</v>
      </c>
      <c r="BC849" s="185"/>
      <c r="BD849" s="193"/>
    </row>
    <row r="850" spans="1:56" hidden="1" outlineLevel="1" x14ac:dyDescent="0.3">
      <c r="A850" s="184" t="str">
        <f ca="1">Language!A$893</f>
        <v>прибыль/убыток от продажи актива (бухгалтерская)</v>
      </c>
      <c r="B850" s="216"/>
      <c r="C850" s="163" t="str">
        <f t="shared" ca="1" si="3326"/>
        <v>руб.</v>
      </c>
      <c r="D850" s="174">
        <v>1</v>
      </c>
      <c r="E850" s="170" t="s">
        <v>762</v>
      </c>
      <c r="F850" s="170" t="s">
        <v>740</v>
      </c>
      <c r="G850" s="185">
        <f t="shared" ref="G850" si="3330">IF(G835=0,0,G835-IF(G$2=1,G836,F841+F845))</f>
        <v>0</v>
      </c>
      <c r="H850" s="185">
        <f t="shared" ref="H850" si="3331">IF(H835=0,0,H835-IF(H$2=1,H836,G841+G845))</f>
        <v>0</v>
      </c>
      <c r="I850" s="185">
        <f t="shared" ref="I850" si="3332">IF(I835=0,0,I835-IF(I$2=1,I836,H841+H845))</f>
        <v>0</v>
      </c>
      <c r="J850" s="185">
        <f t="shared" ref="J850" si="3333">IF(J835=0,0,J835-IF(J$2=1,J836,I841+I845))</f>
        <v>0</v>
      </c>
      <c r="K850" s="185">
        <f t="shared" ref="K850" si="3334">IF(K835=0,0,K835-IF(K$2=1,K836,J841+J845))</f>
        <v>0</v>
      </c>
      <c r="L850" s="185">
        <f t="shared" ref="L850" si="3335">IF(L835=0,0,L835-IF(L$2=1,L836,K841+K845))</f>
        <v>0</v>
      </c>
      <c r="M850" s="185">
        <f t="shared" ref="M850" si="3336">IF(M835=0,0,M835-IF(M$2=1,M836,L841+L845))</f>
        <v>0</v>
      </c>
      <c r="N850" s="185">
        <f t="shared" ref="N850" si="3337">IF(N835=0,0,N835-IF(N$2=1,N836,M841+M845))</f>
        <v>0</v>
      </c>
      <c r="O850" s="185">
        <f t="shared" ref="O850" si="3338">IF(O835=0,0,O835-IF(O$2=1,O836,N841+N845))</f>
        <v>0</v>
      </c>
      <c r="P850" s="185">
        <f t="shared" ref="P850" si="3339">IF(P835=0,0,P835-IF(P$2=1,P836,O841+O845))</f>
        <v>0</v>
      </c>
      <c r="Q850" s="185">
        <f t="shared" ref="Q850" si="3340">IF(Q835=0,0,Q835-IF(Q$2=1,Q836,P841+P845))</f>
        <v>0</v>
      </c>
      <c r="R850" s="185">
        <f t="shared" ref="R850" si="3341">IF(R835=0,0,R835-IF(R$2=1,R836,Q841+Q845))</f>
        <v>0</v>
      </c>
      <c r="S850" s="185">
        <f t="shared" ref="S850" si="3342">IF(S835=0,0,S835-IF(S$2=1,S836,R841+R845))</f>
        <v>0</v>
      </c>
      <c r="T850" s="185">
        <f t="shared" ref="T850" si="3343">IF(T835=0,0,T835-IF(T$2=1,T836,S841+S845))</f>
        <v>0</v>
      </c>
      <c r="U850" s="185">
        <f t="shared" ref="U850" si="3344">IF(U835=0,0,U835-IF(U$2=1,U836,T841+T845))</f>
        <v>0</v>
      </c>
      <c r="V850" s="185">
        <f t="shared" ref="V850" si="3345">IF(V835=0,0,V835-IF(V$2=1,V836,U841+U845))</f>
        <v>0</v>
      </c>
      <c r="W850" s="185">
        <f t="shared" ref="W850" si="3346">IF(W835=0,0,W835-IF(W$2=1,W836,V841+V845))</f>
        <v>0</v>
      </c>
      <c r="X850" s="185">
        <f t="shared" ref="X850" si="3347">IF(X835=0,0,X835-IF(X$2=1,X836,W841+W845))</f>
        <v>0</v>
      </c>
      <c r="Y850" s="185">
        <f t="shared" ref="Y850" si="3348">IF(Y835=0,0,Y835-IF(Y$2=1,Y836,X841+X845))</f>
        <v>0</v>
      </c>
      <c r="Z850" s="185">
        <f t="shared" ref="Z850" si="3349">IF(Z835=0,0,Z835-IF(Z$2=1,Z836,Y841+Y845))</f>
        <v>0</v>
      </c>
      <c r="AA850" s="185">
        <f t="shared" ref="AA850" si="3350">IF(AA835=0,0,AA835-IF(AA$2=1,AA836,Z841+Z845))</f>
        <v>0</v>
      </c>
      <c r="AB850" s="185">
        <f t="shared" ref="AB850" si="3351">IF(AB835=0,0,AB835-IF(AB$2=1,AB836,AA841+AA845))</f>
        <v>0</v>
      </c>
      <c r="AC850" s="185">
        <f t="shared" ref="AC850" si="3352">IF(AC835=0,0,AC835-IF(AC$2=1,AC836,AB841+AB845))</f>
        <v>0</v>
      </c>
      <c r="AD850" s="185">
        <f t="shared" ref="AD850" si="3353">IF(AD835=0,0,AD835-IF(AD$2=1,AD836,AC841+AC845))</f>
        <v>0</v>
      </c>
      <c r="AE850" s="185">
        <f t="shared" ref="AE850" si="3354">IF(AE835=0,0,AE835-IF(AE$2=1,AE836,AD841+AD845))</f>
        <v>0</v>
      </c>
      <c r="AF850" s="185">
        <f t="shared" ref="AF850" si="3355">IF(AF835=0,0,AF835-IF(AF$2=1,AF836,AE841+AE845))</f>
        <v>0</v>
      </c>
      <c r="AG850" s="185">
        <f t="shared" ref="AG850" si="3356">IF(AG835=0,0,AG835-IF(AG$2=1,AG836,AF841+AF845))</f>
        <v>0</v>
      </c>
      <c r="AH850" s="185">
        <f t="shared" ref="AH850" si="3357">IF(AH835=0,0,AH835-IF(AH$2=1,AH836,AG841+AG845))</f>
        <v>0</v>
      </c>
      <c r="AI850" s="185">
        <f t="shared" ref="AI850" si="3358">IF(AI835=0,0,AI835-IF(AI$2=1,AI836,AH841+AH845))</f>
        <v>0</v>
      </c>
      <c r="AJ850" s="185">
        <f t="shared" ref="AJ850" si="3359">IF(AJ835=0,0,AJ835-IF(AJ$2=1,AJ836,AI841+AI845))</f>
        <v>0</v>
      </c>
      <c r="AK850" s="185">
        <f t="shared" ref="AK850" si="3360">IF(AK835=0,0,AK835-IF(AK$2=1,AK836,AJ841+AJ845))</f>
        <v>0</v>
      </c>
      <c r="AL850" s="185">
        <f t="shared" ref="AL850" si="3361">IF(AL835=0,0,AL835-IF(AL$2=1,AL836,AK841+AK845))</f>
        <v>0</v>
      </c>
      <c r="AM850" s="185">
        <f t="shared" ref="AM850" si="3362">IF(AM835=0,0,AM835-IF(AM$2=1,AM836,AL841+AL845))</f>
        <v>0</v>
      </c>
      <c r="AN850" s="185">
        <f t="shared" ref="AN850" si="3363">IF(AN835=0,0,AN835-IF(AN$2=1,AN836,AM841+AM845))</f>
        <v>0</v>
      </c>
      <c r="AO850" s="185">
        <f t="shared" ref="AO850" si="3364">IF(AO835=0,0,AO835-IF(AO$2=1,AO836,AN841+AN845))</f>
        <v>0</v>
      </c>
      <c r="AP850" s="185">
        <f t="shared" ref="AP850" si="3365">IF(AP835=0,0,AP835-IF(AP$2=1,AP836,AO841+AO845))</f>
        <v>0</v>
      </c>
      <c r="AQ850" s="185">
        <f t="shared" ref="AQ850" si="3366">IF(AQ835=0,0,AQ835-IF(AQ$2=1,AQ836,AP841+AP845))</f>
        <v>0</v>
      </c>
      <c r="AR850" s="185">
        <f t="shared" ref="AR850" si="3367">IF(AR835=0,0,AR835-IF(AR$2=1,AR836,AQ841+AQ845))</f>
        <v>0</v>
      </c>
      <c r="AS850" s="185">
        <f t="shared" ref="AS850" si="3368">IF(AS835=0,0,AS835-IF(AS$2=1,AS836,AR841+AR845))</f>
        <v>0</v>
      </c>
      <c r="AT850" s="185">
        <f t="shared" ref="AT850" si="3369">IF(AT835=0,0,AT835-IF(AT$2=1,AT836,AS841+AS845))</f>
        <v>0</v>
      </c>
      <c r="AU850" s="185">
        <f t="shared" ref="AU850" si="3370">IF(AU835=0,0,AU835-IF(AU$2=1,AU836,AT841+AT845))</f>
        <v>0</v>
      </c>
      <c r="AV850" s="185">
        <f t="shared" ref="AV850" si="3371">IF(AV835=0,0,AV835-IF(AV$2=1,AV836,AU841+AU845))</f>
        <v>0</v>
      </c>
      <c r="AW850" s="185">
        <f t="shared" ref="AW850" si="3372">IF(AW835=0,0,AW835-IF(AW$2=1,AW836,AV841+AV845))</f>
        <v>0</v>
      </c>
      <c r="AX850" s="185">
        <f t="shared" ref="AX850" si="3373">IF(AX835=0,0,AX835-IF(AX$2=1,AX836,AW841+AW845))</f>
        <v>0</v>
      </c>
      <c r="AY850" s="185">
        <f t="shared" ref="AY850" si="3374">IF(AY835=0,0,AY835-IF(AY$2=1,AY836,AX841+AX845))</f>
        <v>0</v>
      </c>
      <c r="AZ850" s="185">
        <f t="shared" ref="AZ850" si="3375">IF(AZ835=0,0,AZ835-IF(AZ$2=1,AZ836,AY841+AY845))</f>
        <v>0</v>
      </c>
      <c r="BA850" s="185">
        <f t="shared" ref="BA850" si="3376">IF(BA835=0,0,BA835-IF(BA$2=1,BA836,AZ841+AZ845))</f>
        <v>0</v>
      </c>
      <c r="BB850" s="185">
        <f t="shared" ref="BB850" si="3377">IF(BB835=0,0,BB835-IF(BB$2=1,BB836,BA841+BA845))</f>
        <v>0</v>
      </c>
      <c r="BC850" s="185"/>
      <c r="BD850" s="193">
        <f>SUM(G850:BC850)</f>
        <v>0</v>
      </c>
    </row>
    <row r="851" spans="1:56" hidden="1" outlineLevel="1" x14ac:dyDescent="0.3">
      <c r="A851" s="184" t="str">
        <f ca="1">Language!A$894</f>
        <v>прибыль/убыток от продажи актива (налоговая)</v>
      </c>
      <c r="B851" s="216"/>
      <c r="C851" s="163" t="str">
        <f t="shared" ca="1" si="3326"/>
        <v>руб.</v>
      </c>
      <c r="D851" s="174">
        <v>1</v>
      </c>
      <c r="E851" s="170" t="s">
        <v>763</v>
      </c>
      <c r="F851" s="170" t="s">
        <v>740</v>
      </c>
      <c r="G851" s="185">
        <f t="shared" ref="G851" si="3378">IF(G835=0,0,G835-IF(G$2=1,G836,F841+F849))</f>
        <v>0</v>
      </c>
      <c r="H851" s="185">
        <f t="shared" ref="H851" si="3379">IF(H835=0,0,H835-IF(H$2=1,H836,G841+G849))</f>
        <v>0</v>
      </c>
      <c r="I851" s="185">
        <f t="shared" ref="I851" si="3380">IF(I835=0,0,I835-IF(I$2=1,I836,H841+H849))</f>
        <v>0</v>
      </c>
      <c r="J851" s="185">
        <f t="shared" ref="J851" si="3381">IF(J835=0,0,J835-IF(J$2=1,J836,I841+I849))</f>
        <v>0</v>
      </c>
      <c r="K851" s="185">
        <f t="shared" ref="K851" si="3382">IF(K835=0,0,K835-IF(K$2=1,K836,J841+J849))</f>
        <v>0</v>
      </c>
      <c r="L851" s="185">
        <f t="shared" ref="L851" si="3383">IF(L835=0,0,L835-IF(L$2=1,L836,K841+K849))</f>
        <v>0</v>
      </c>
      <c r="M851" s="185">
        <f t="shared" ref="M851" si="3384">IF(M835=0,0,M835-IF(M$2=1,M836,L841+L849))</f>
        <v>0</v>
      </c>
      <c r="N851" s="185">
        <f t="shared" ref="N851" si="3385">IF(N835=0,0,N835-IF(N$2=1,N836,M841+M849))</f>
        <v>0</v>
      </c>
      <c r="O851" s="185">
        <f t="shared" ref="O851" si="3386">IF(O835=0,0,O835-IF(O$2=1,O836,N841+N849))</f>
        <v>0</v>
      </c>
      <c r="P851" s="185">
        <f t="shared" ref="P851" si="3387">IF(P835=0,0,P835-IF(P$2=1,P836,O841+O849))</f>
        <v>0</v>
      </c>
      <c r="Q851" s="185">
        <f t="shared" ref="Q851" si="3388">IF(Q835=0,0,Q835-IF(Q$2=1,Q836,P841+P849))</f>
        <v>0</v>
      </c>
      <c r="R851" s="185">
        <f t="shared" ref="R851" si="3389">IF(R835=0,0,R835-IF(R$2=1,R836,Q841+Q849))</f>
        <v>0</v>
      </c>
      <c r="S851" s="185">
        <f t="shared" ref="S851" si="3390">IF(S835=0,0,S835-IF(S$2=1,S836,R841+R849))</f>
        <v>0</v>
      </c>
      <c r="T851" s="185">
        <f t="shared" ref="T851" si="3391">IF(T835=0,0,T835-IF(T$2=1,T836,S841+S849))</f>
        <v>0</v>
      </c>
      <c r="U851" s="185">
        <f t="shared" ref="U851" si="3392">IF(U835=0,0,U835-IF(U$2=1,U836,T841+T849))</f>
        <v>0</v>
      </c>
      <c r="V851" s="185">
        <f t="shared" ref="V851" si="3393">IF(V835=0,0,V835-IF(V$2=1,V836,U841+U849))</f>
        <v>0</v>
      </c>
      <c r="W851" s="185">
        <f t="shared" ref="W851" si="3394">IF(W835=0,0,W835-IF(W$2=1,W836,V841+V849))</f>
        <v>0</v>
      </c>
      <c r="X851" s="185">
        <f t="shared" ref="X851" si="3395">IF(X835=0,0,X835-IF(X$2=1,X836,W841+W849))</f>
        <v>0</v>
      </c>
      <c r="Y851" s="185">
        <f t="shared" ref="Y851" si="3396">IF(Y835=0,0,Y835-IF(Y$2=1,Y836,X841+X849))</f>
        <v>0</v>
      </c>
      <c r="Z851" s="185">
        <f t="shared" ref="Z851" si="3397">IF(Z835=0,0,Z835-IF(Z$2=1,Z836,Y841+Y849))</f>
        <v>0</v>
      </c>
      <c r="AA851" s="185">
        <f t="shared" ref="AA851" si="3398">IF(AA835=0,0,AA835-IF(AA$2=1,AA836,Z841+Z849))</f>
        <v>0</v>
      </c>
      <c r="AB851" s="185">
        <f t="shared" ref="AB851" si="3399">IF(AB835=0,0,AB835-IF(AB$2=1,AB836,AA841+AA849))</f>
        <v>0</v>
      </c>
      <c r="AC851" s="185">
        <f t="shared" ref="AC851" si="3400">IF(AC835=0,0,AC835-IF(AC$2=1,AC836,AB841+AB849))</f>
        <v>0</v>
      </c>
      <c r="AD851" s="185">
        <f t="shared" ref="AD851" si="3401">IF(AD835=0,0,AD835-IF(AD$2=1,AD836,AC841+AC849))</f>
        <v>0</v>
      </c>
      <c r="AE851" s="185">
        <f t="shared" ref="AE851" si="3402">IF(AE835=0,0,AE835-IF(AE$2=1,AE836,AD841+AD849))</f>
        <v>0</v>
      </c>
      <c r="AF851" s="185">
        <f t="shared" ref="AF851" si="3403">IF(AF835=0,0,AF835-IF(AF$2=1,AF836,AE841+AE849))</f>
        <v>0</v>
      </c>
      <c r="AG851" s="185">
        <f t="shared" ref="AG851" si="3404">IF(AG835=0,0,AG835-IF(AG$2=1,AG836,AF841+AF849))</f>
        <v>0</v>
      </c>
      <c r="AH851" s="185">
        <f t="shared" ref="AH851" si="3405">IF(AH835=0,0,AH835-IF(AH$2=1,AH836,AG841+AG849))</f>
        <v>0</v>
      </c>
      <c r="AI851" s="185">
        <f t="shared" ref="AI851" si="3406">IF(AI835=0,0,AI835-IF(AI$2=1,AI836,AH841+AH849))</f>
        <v>0</v>
      </c>
      <c r="AJ851" s="185">
        <f t="shared" ref="AJ851" si="3407">IF(AJ835=0,0,AJ835-IF(AJ$2=1,AJ836,AI841+AI849))</f>
        <v>0</v>
      </c>
      <c r="AK851" s="185">
        <f t="shared" ref="AK851" si="3408">IF(AK835=0,0,AK835-IF(AK$2=1,AK836,AJ841+AJ849))</f>
        <v>0</v>
      </c>
      <c r="AL851" s="185">
        <f t="shared" ref="AL851" si="3409">IF(AL835=0,0,AL835-IF(AL$2=1,AL836,AK841+AK849))</f>
        <v>0</v>
      </c>
      <c r="AM851" s="185">
        <f t="shared" ref="AM851" si="3410">IF(AM835=0,0,AM835-IF(AM$2=1,AM836,AL841+AL849))</f>
        <v>0</v>
      </c>
      <c r="AN851" s="185">
        <f t="shared" ref="AN851" si="3411">IF(AN835=0,0,AN835-IF(AN$2=1,AN836,AM841+AM849))</f>
        <v>0</v>
      </c>
      <c r="AO851" s="185">
        <f t="shared" ref="AO851" si="3412">IF(AO835=0,0,AO835-IF(AO$2=1,AO836,AN841+AN849))</f>
        <v>0</v>
      </c>
      <c r="AP851" s="185">
        <f t="shared" ref="AP851" si="3413">IF(AP835=0,0,AP835-IF(AP$2=1,AP836,AO841+AO849))</f>
        <v>0</v>
      </c>
      <c r="AQ851" s="185">
        <f t="shared" ref="AQ851" si="3414">IF(AQ835=0,0,AQ835-IF(AQ$2=1,AQ836,AP841+AP849))</f>
        <v>0</v>
      </c>
      <c r="AR851" s="185">
        <f t="shared" ref="AR851" si="3415">IF(AR835=0,0,AR835-IF(AR$2=1,AR836,AQ841+AQ849))</f>
        <v>0</v>
      </c>
      <c r="AS851" s="185">
        <f t="shared" ref="AS851" si="3416">IF(AS835=0,0,AS835-IF(AS$2=1,AS836,AR841+AR849))</f>
        <v>0</v>
      </c>
      <c r="AT851" s="185">
        <f t="shared" ref="AT851" si="3417">IF(AT835=0,0,AT835-IF(AT$2=1,AT836,AS841+AS849))</f>
        <v>0</v>
      </c>
      <c r="AU851" s="185">
        <f t="shared" ref="AU851" si="3418">IF(AU835=0,0,AU835-IF(AU$2=1,AU836,AT841+AT849))</f>
        <v>0</v>
      </c>
      <c r="AV851" s="185">
        <f t="shared" ref="AV851" si="3419">IF(AV835=0,0,AV835-IF(AV$2=1,AV836,AU841+AU849))</f>
        <v>0</v>
      </c>
      <c r="AW851" s="185">
        <f t="shared" ref="AW851" si="3420">IF(AW835=0,0,AW835-IF(AW$2=1,AW836,AV841+AV849))</f>
        <v>0</v>
      </c>
      <c r="AX851" s="185">
        <f t="shared" ref="AX851" si="3421">IF(AX835=0,0,AX835-IF(AX$2=1,AX836,AW841+AW849))</f>
        <v>0</v>
      </c>
      <c r="AY851" s="185">
        <f t="shared" ref="AY851" si="3422">IF(AY835=0,0,AY835-IF(AY$2=1,AY836,AX841+AX849))</f>
        <v>0</v>
      </c>
      <c r="AZ851" s="185">
        <f t="shared" ref="AZ851" si="3423">IF(AZ835=0,0,AZ835-IF(AZ$2=1,AZ836,AY841+AY849))</f>
        <v>0</v>
      </c>
      <c r="BA851" s="185">
        <f t="shared" ref="BA851" si="3424">IF(BA835=0,0,BA835-IF(BA$2=1,BA836,AZ841+AZ849))</f>
        <v>0</v>
      </c>
      <c r="BB851" s="185">
        <f t="shared" ref="BB851" si="3425">IF(BB835=0,0,BB835-IF(BB$2=1,BB836,BA841+BA849))</f>
        <v>0</v>
      </c>
      <c r="BC851" s="185"/>
      <c r="BD851" s="193">
        <f>SUM(G851:BC851)</f>
        <v>0</v>
      </c>
    </row>
    <row r="852" spans="1:56" hidden="1" outlineLevel="1" x14ac:dyDescent="0.3">
      <c r="A852" s="184" t="str">
        <f ca="1">Language!A$895</f>
        <v>НДС к выручке от продажи актива</v>
      </c>
      <c r="B852" s="216"/>
      <c r="C852" s="163" t="str">
        <f t="shared" ca="1" si="3326"/>
        <v>руб.</v>
      </c>
      <c r="D852" s="174">
        <v>1</v>
      </c>
      <c r="E852" s="170" t="s">
        <v>764</v>
      </c>
      <c r="F852" s="170" t="s">
        <v>740</v>
      </c>
      <c r="G852" s="185">
        <f t="shared" ref="G852:BB852" si="3426">G835*G834</f>
        <v>0</v>
      </c>
      <c r="H852" s="185">
        <f t="shared" si="3426"/>
        <v>0</v>
      </c>
      <c r="I852" s="185">
        <f t="shared" si="3426"/>
        <v>0</v>
      </c>
      <c r="J852" s="185">
        <f t="shared" si="3426"/>
        <v>0</v>
      </c>
      <c r="K852" s="185">
        <f t="shared" si="3426"/>
        <v>0</v>
      </c>
      <c r="L852" s="185">
        <f t="shared" si="3426"/>
        <v>0</v>
      </c>
      <c r="M852" s="185">
        <f t="shared" si="3426"/>
        <v>0</v>
      </c>
      <c r="N852" s="185">
        <f t="shared" si="3426"/>
        <v>0</v>
      </c>
      <c r="O852" s="185">
        <f t="shared" si="3426"/>
        <v>0</v>
      </c>
      <c r="P852" s="185">
        <f t="shared" si="3426"/>
        <v>0</v>
      </c>
      <c r="Q852" s="185">
        <f t="shared" si="3426"/>
        <v>0</v>
      </c>
      <c r="R852" s="185">
        <f t="shared" si="3426"/>
        <v>0</v>
      </c>
      <c r="S852" s="185">
        <f t="shared" si="3426"/>
        <v>0</v>
      </c>
      <c r="T852" s="185">
        <f t="shared" si="3426"/>
        <v>0</v>
      </c>
      <c r="U852" s="185">
        <f t="shared" si="3426"/>
        <v>0</v>
      </c>
      <c r="V852" s="185">
        <f t="shared" si="3426"/>
        <v>0</v>
      </c>
      <c r="W852" s="185">
        <f t="shared" si="3426"/>
        <v>0</v>
      </c>
      <c r="X852" s="185">
        <f t="shared" si="3426"/>
        <v>0</v>
      </c>
      <c r="Y852" s="185">
        <f t="shared" si="3426"/>
        <v>0</v>
      </c>
      <c r="Z852" s="185">
        <f t="shared" si="3426"/>
        <v>0</v>
      </c>
      <c r="AA852" s="185">
        <f t="shared" si="3426"/>
        <v>0</v>
      </c>
      <c r="AB852" s="185">
        <f t="shared" si="3426"/>
        <v>0</v>
      </c>
      <c r="AC852" s="185">
        <f t="shared" si="3426"/>
        <v>0</v>
      </c>
      <c r="AD852" s="185">
        <f t="shared" si="3426"/>
        <v>0</v>
      </c>
      <c r="AE852" s="185">
        <f t="shared" si="3426"/>
        <v>0</v>
      </c>
      <c r="AF852" s="185">
        <f t="shared" si="3426"/>
        <v>0</v>
      </c>
      <c r="AG852" s="185">
        <f t="shared" si="3426"/>
        <v>0</v>
      </c>
      <c r="AH852" s="185">
        <f t="shared" si="3426"/>
        <v>0</v>
      </c>
      <c r="AI852" s="185">
        <f t="shared" si="3426"/>
        <v>0</v>
      </c>
      <c r="AJ852" s="185">
        <f t="shared" si="3426"/>
        <v>0</v>
      </c>
      <c r="AK852" s="185">
        <f t="shared" si="3426"/>
        <v>0</v>
      </c>
      <c r="AL852" s="185">
        <f t="shared" si="3426"/>
        <v>0</v>
      </c>
      <c r="AM852" s="185">
        <f t="shared" si="3426"/>
        <v>0</v>
      </c>
      <c r="AN852" s="185">
        <f t="shared" si="3426"/>
        <v>0</v>
      </c>
      <c r="AO852" s="185">
        <f t="shared" si="3426"/>
        <v>0</v>
      </c>
      <c r="AP852" s="185">
        <f t="shared" si="3426"/>
        <v>0</v>
      </c>
      <c r="AQ852" s="185">
        <f t="shared" si="3426"/>
        <v>0</v>
      </c>
      <c r="AR852" s="185">
        <f t="shared" si="3426"/>
        <v>0</v>
      </c>
      <c r="AS852" s="185">
        <f t="shared" si="3426"/>
        <v>0</v>
      </c>
      <c r="AT852" s="185">
        <f t="shared" si="3426"/>
        <v>0</v>
      </c>
      <c r="AU852" s="185">
        <f t="shared" si="3426"/>
        <v>0</v>
      </c>
      <c r="AV852" s="185">
        <f t="shared" si="3426"/>
        <v>0</v>
      </c>
      <c r="AW852" s="185">
        <f t="shared" si="3426"/>
        <v>0</v>
      </c>
      <c r="AX852" s="185">
        <f t="shared" si="3426"/>
        <v>0</v>
      </c>
      <c r="AY852" s="185">
        <f t="shared" si="3426"/>
        <v>0</v>
      </c>
      <c r="AZ852" s="185">
        <f t="shared" si="3426"/>
        <v>0</v>
      </c>
      <c r="BA852" s="185">
        <f t="shared" si="3426"/>
        <v>0</v>
      </c>
      <c r="BB852" s="185">
        <f t="shared" si="3426"/>
        <v>0</v>
      </c>
      <c r="BC852" s="185"/>
      <c r="BD852" s="193">
        <f>SUM(G852:BC852)</f>
        <v>0</v>
      </c>
    </row>
    <row r="853" spans="1:56" hidden="1" outlineLevel="1" x14ac:dyDescent="0.3">
      <c r="A853" s="184" t="str">
        <f ca="1">Language!A$896</f>
        <v>курсовые разницы</v>
      </c>
      <c r="B853" s="216"/>
      <c r="C853" s="163" t="str">
        <f t="shared" ca="1" si="3326"/>
        <v>руб.</v>
      </c>
      <c r="D853" s="174">
        <v>1</v>
      </c>
      <c r="E853" s="170" t="s">
        <v>1278</v>
      </c>
      <c r="F853" s="170" t="s">
        <v>740</v>
      </c>
      <c r="G853" s="185">
        <f>-(SUM($G836:G836)+$B838-G841+G842-G843-SUM($G840:G840)+IF(G$2=1,0,SUM($F853:F853)))</f>
        <v>0</v>
      </c>
      <c r="H853" s="185">
        <f>-(SUM($G836:H836)+$B838-H841+H842-H843-SUM($G840:H840)+IF(H$2=1,0,SUM($F853:G853)))</f>
        <v>0</v>
      </c>
      <c r="I853" s="185">
        <f>-(SUM($G836:I836)+$B838-I841+I842-I843-SUM($G840:I840)+IF(I$2=1,0,SUM($F853:H853)))</f>
        <v>0</v>
      </c>
      <c r="J853" s="185">
        <f>-(SUM($G836:J836)+$B838-J841+J842-J843-SUM($G840:J840)+IF(J$2=1,0,SUM($F853:I853)))</f>
        <v>0</v>
      </c>
      <c r="K853" s="185">
        <f>-(SUM($G836:K836)+$B838-K841+K842-K843-SUM($G840:K840)+IF(K$2=1,0,SUM($F853:J853)))</f>
        <v>0</v>
      </c>
      <c r="L853" s="185">
        <f>-(SUM($G836:L836)+$B838-L841+L842-L843-SUM($G840:L840)+IF(L$2=1,0,SUM($F853:K853)))</f>
        <v>0</v>
      </c>
      <c r="M853" s="185">
        <f>-(SUM($G836:M836)+$B838-M841+M842-M843-SUM($G840:M840)+IF(M$2=1,0,SUM($F853:L853)))</f>
        <v>0</v>
      </c>
      <c r="N853" s="185">
        <f>-(SUM($G836:N836)+$B838-N841+N842-N843-SUM($G840:N840)+IF(N$2=1,0,SUM($F853:M853)))</f>
        <v>0</v>
      </c>
      <c r="O853" s="185">
        <f>-(SUM($G836:O836)+$B838-O841+O842-O843-SUM($G840:O840)+IF(O$2=1,0,SUM($F853:N853)))</f>
        <v>0</v>
      </c>
      <c r="P853" s="185">
        <f>-(SUM($G836:P836)+$B838-P841+P842-P843-SUM($G840:P840)+IF(P$2=1,0,SUM($F853:O853)))</f>
        <v>0</v>
      </c>
      <c r="Q853" s="185">
        <f>-(SUM($G836:Q836)+$B838-Q841+Q842-Q843-SUM($G840:Q840)+IF(Q$2=1,0,SUM($F853:P853)))</f>
        <v>0</v>
      </c>
      <c r="R853" s="185">
        <f>-(SUM($G836:R836)+$B838-R841+R842-R843-SUM($G840:R840)+IF(R$2=1,0,SUM($F853:Q853)))</f>
        <v>0</v>
      </c>
      <c r="S853" s="185">
        <f>-(SUM($G836:S836)+$B838-S841+S842-S843-SUM($G840:S840)+IF(S$2=1,0,SUM($F853:R853)))</f>
        <v>0</v>
      </c>
      <c r="T853" s="185">
        <f>-(SUM($G836:T836)+$B838-T841+T842-T843-SUM($G840:T840)+IF(T$2=1,0,SUM($F853:S853)))</f>
        <v>0</v>
      </c>
      <c r="U853" s="185">
        <f>-(SUM($G836:U836)+$B838-U841+U842-U843-SUM($G840:U840)+IF(U$2=1,0,SUM($F853:T853)))</f>
        <v>0</v>
      </c>
      <c r="V853" s="185">
        <f>-(SUM($G836:V836)+$B838-V841+V842-V843-SUM($G840:V840)+IF(V$2=1,0,SUM($F853:U853)))</f>
        <v>0</v>
      </c>
      <c r="W853" s="185">
        <f>-(SUM($G836:W836)+$B838-W841+W842-W843-SUM($G840:W840)+IF(W$2=1,0,SUM($F853:V853)))</f>
        <v>0</v>
      </c>
      <c r="X853" s="185">
        <f>-(SUM($G836:X836)+$B838-X841+X842-X843-SUM($G840:X840)+IF(X$2=1,0,SUM($F853:W853)))</f>
        <v>0</v>
      </c>
      <c r="Y853" s="185">
        <f>-(SUM($G836:Y836)+$B838-Y841+Y842-Y843-SUM($G840:Y840)+IF(Y$2=1,0,SUM($F853:X853)))</f>
        <v>0</v>
      </c>
      <c r="Z853" s="185">
        <f>-(SUM($G836:Z836)+$B838-Z841+Z842-Z843-SUM($G840:Z840)+IF(Z$2=1,0,SUM($F853:Y853)))</f>
        <v>0</v>
      </c>
      <c r="AA853" s="185">
        <f>-(SUM($G836:AA836)+$B838-AA841+AA842-AA843-SUM($G840:AA840)+IF(AA$2=1,0,SUM($F853:Z853)))</f>
        <v>0</v>
      </c>
      <c r="AB853" s="185">
        <f>-(SUM($G836:AB836)+$B838-AB841+AB842-AB843-SUM($G840:AB840)+IF(AB$2=1,0,SUM($F853:AA853)))</f>
        <v>0</v>
      </c>
      <c r="AC853" s="185">
        <f>-(SUM($G836:AC836)+$B838-AC841+AC842-AC843-SUM($G840:AC840)+IF(AC$2=1,0,SUM($F853:AB853)))</f>
        <v>0</v>
      </c>
      <c r="AD853" s="185">
        <f>-(SUM($G836:AD836)+$B838-AD841+AD842-AD843-SUM($G840:AD840)+IF(AD$2=1,0,SUM($F853:AC853)))</f>
        <v>0</v>
      </c>
      <c r="AE853" s="185">
        <f>-(SUM($G836:AE836)+$B838-AE841+AE842-AE843-SUM($G840:AE840)+IF(AE$2=1,0,SUM($F853:AD853)))</f>
        <v>0</v>
      </c>
      <c r="AF853" s="185">
        <f>-(SUM($G836:AF836)+$B838-AF841+AF842-AF843-SUM($G840:AF840)+IF(AF$2=1,0,SUM($F853:AE853)))</f>
        <v>0</v>
      </c>
      <c r="AG853" s="185">
        <f>-(SUM($G836:AG836)+$B838-AG841+AG842-AG843-SUM($G840:AG840)+IF(AG$2=1,0,SUM($F853:AF853)))</f>
        <v>0</v>
      </c>
      <c r="AH853" s="185">
        <f>-(SUM($G836:AH836)+$B838-AH841+AH842-AH843-SUM($G840:AH840)+IF(AH$2=1,0,SUM($F853:AG853)))</f>
        <v>0</v>
      </c>
      <c r="AI853" s="185">
        <f>-(SUM($G836:AI836)+$B838-AI841+AI842-AI843-SUM($G840:AI840)+IF(AI$2=1,0,SUM($F853:AH853)))</f>
        <v>0</v>
      </c>
      <c r="AJ853" s="185">
        <f>-(SUM($G836:AJ836)+$B838-AJ841+AJ842-AJ843-SUM($G840:AJ840)+IF(AJ$2=1,0,SUM($F853:AI853)))</f>
        <v>0</v>
      </c>
      <c r="AK853" s="185">
        <f>-(SUM($G836:AK836)+$B838-AK841+AK842-AK843-SUM($G840:AK840)+IF(AK$2=1,0,SUM($F853:AJ853)))</f>
        <v>0</v>
      </c>
      <c r="AL853" s="185">
        <f>-(SUM($G836:AL836)+$B838-AL841+AL842-AL843-SUM($G840:AL840)+IF(AL$2=1,0,SUM($F853:AK853)))</f>
        <v>0</v>
      </c>
      <c r="AM853" s="185">
        <f>-(SUM($G836:AM836)+$B838-AM841+AM842-AM843-SUM($G840:AM840)+IF(AM$2=1,0,SUM($F853:AL853)))</f>
        <v>0</v>
      </c>
      <c r="AN853" s="185">
        <f>-(SUM($G836:AN836)+$B838-AN841+AN842-AN843-SUM($G840:AN840)+IF(AN$2=1,0,SUM($F853:AM853)))</f>
        <v>0</v>
      </c>
      <c r="AO853" s="185">
        <f>-(SUM($G836:AO836)+$B838-AO841+AO842-AO843-SUM($G840:AO840)+IF(AO$2=1,0,SUM($F853:AN853)))</f>
        <v>0</v>
      </c>
      <c r="AP853" s="185">
        <f>-(SUM($G836:AP836)+$B838-AP841+AP842-AP843-SUM($G840:AP840)+IF(AP$2=1,0,SUM($F853:AO853)))</f>
        <v>0</v>
      </c>
      <c r="AQ853" s="185">
        <f>-(SUM($G836:AQ836)+$B838-AQ841+AQ842-AQ843-SUM($G840:AQ840)+IF(AQ$2=1,0,SUM($F853:AP853)))</f>
        <v>0</v>
      </c>
      <c r="AR853" s="185">
        <f>-(SUM($G836:AR836)+$B838-AR841+AR842-AR843-SUM($G840:AR840)+IF(AR$2=1,0,SUM($F853:AQ853)))</f>
        <v>0</v>
      </c>
      <c r="AS853" s="185">
        <f>-(SUM($G836:AS836)+$B838-AS841+AS842-AS843-SUM($G840:AS840)+IF(AS$2=1,0,SUM($F853:AR853)))</f>
        <v>0</v>
      </c>
      <c r="AT853" s="185">
        <f>-(SUM($G836:AT836)+$B838-AT841+AT842-AT843-SUM($G840:AT840)+IF(AT$2=1,0,SUM($F853:AS853)))</f>
        <v>0</v>
      </c>
      <c r="AU853" s="185">
        <f>-(SUM($G836:AU836)+$B838-AU841+AU842-AU843-SUM($G840:AU840)+IF(AU$2=1,0,SUM($F853:AT853)))</f>
        <v>0</v>
      </c>
      <c r="AV853" s="185">
        <f>-(SUM($G836:AV836)+$B838-AV841+AV842-AV843-SUM($G840:AV840)+IF(AV$2=1,0,SUM($F853:AU853)))</f>
        <v>0</v>
      </c>
      <c r="AW853" s="185">
        <f>-(SUM($G836:AW836)+$B838-AW841+AW842-AW843-SUM($G840:AW840)+IF(AW$2=1,0,SUM($F853:AV853)))</f>
        <v>0</v>
      </c>
      <c r="AX853" s="185">
        <f>-(SUM($G836:AX836)+$B838-AX841+AX842-AX843-SUM($G840:AX840)+IF(AX$2=1,0,SUM($F853:AW853)))</f>
        <v>0</v>
      </c>
      <c r="AY853" s="185">
        <f>-(SUM($G836:AY836)+$B838-AY841+AY842-AY843-SUM($G840:AY840)+IF(AY$2=1,0,SUM($F853:AX853)))</f>
        <v>0</v>
      </c>
      <c r="AZ853" s="185">
        <f>-(SUM($G836:AZ836)+$B838-AZ841+AZ842-AZ843-SUM($G840:AZ840)+IF(AZ$2=1,0,SUM($F853:AY853)))</f>
        <v>0</v>
      </c>
      <c r="BA853" s="185">
        <f>-(SUM($G836:BA836)+$B838-BA841+BA842-BA843-SUM($G840:BA840)+IF(BA$2=1,0,SUM($F853:AZ853)))</f>
        <v>0</v>
      </c>
      <c r="BB853" s="185">
        <f>-(SUM($G836:BB836)+$B838-BB841+BB842-BB843-SUM($G840:BB840)+IF(BB$2=1,0,SUM($F853:BA853)))</f>
        <v>0</v>
      </c>
      <c r="BC853" s="185"/>
      <c r="BD853" s="193">
        <f>SUM(G853:BC853)</f>
        <v>0</v>
      </c>
    </row>
    <row r="855" spans="1:56" x14ac:dyDescent="0.3">
      <c r="A855" s="207" t="str">
        <f ca="1">Language!A$947</f>
        <v>Оборудование</v>
      </c>
      <c r="B855" s="196"/>
      <c r="C855" s="196"/>
      <c r="D855" s="197"/>
      <c r="E855" s="197" t="s">
        <v>730</v>
      </c>
      <c r="F855" s="197" t="s">
        <v>3524</v>
      </c>
      <c r="G855" s="196"/>
      <c r="H855" s="196"/>
      <c r="I855" s="196"/>
      <c r="J855" s="196"/>
      <c r="K855" s="196"/>
      <c r="L855" s="196"/>
      <c r="M855" s="196"/>
      <c r="N855" s="196"/>
      <c r="O855" s="196"/>
      <c r="P855" s="196"/>
      <c r="Q855" s="196"/>
      <c r="R855" s="196"/>
      <c r="S855" s="196"/>
      <c r="T855" s="196"/>
      <c r="U855" s="196"/>
      <c r="V855" s="196"/>
      <c r="W855" s="196"/>
      <c r="X855" s="196"/>
      <c r="Y855" s="196"/>
      <c r="Z855" s="196"/>
      <c r="AA855" s="196"/>
      <c r="AB855" s="196"/>
      <c r="AC855" s="196"/>
      <c r="AD855" s="196"/>
      <c r="AE855" s="196"/>
      <c r="AF855" s="196"/>
      <c r="AG855" s="196"/>
      <c r="AH855" s="196"/>
      <c r="AI855" s="196"/>
      <c r="AJ855" s="196"/>
      <c r="AK855" s="196"/>
      <c r="AL855" s="196"/>
      <c r="AM855" s="196"/>
      <c r="AN855" s="196"/>
      <c r="AO855" s="196"/>
      <c r="AP855" s="196"/>
      <c r="AQ855" s="196"/>
      <c r="AR855" s="196"/>
      <c r="AS855" s="196"/>
      <c r="AT855" s="196"/>
      <c r="AU855" s="196"/>
      <c r="AV855" s="196"/>
      <c r="AW855" s="196"/>
      <c r="AX855" s="196"/>
      <c r="AY855" s="196"/>
      <c r="AZ855" s="196"/>
      <c r="BA855" s="196"/>
      <c r="BB855" s="196"/>
      <c r="BC855" s="196"/>
      <c r="BD855" s="204"/>
    </row>
    <row r="857" spans="1:56" x14ac:dyDescent="0.3">
      <c r="A857" s="283" t="s">
        <v>3470</v>
      </c>
      <c r="C857" s="176"/>
      <c r="D857" s="174">
        <v>1</v>
      </c>
      <c r="F857" s="170" t="s">
        <v>3471</v>
      </c>
      <c r="G857" s="177"/>
      <c r="H857" s="177"/>
      <c r="I857" s="177"/>
      <c r="J857" s="177"/>
      <c r="K857" s="177"/>
      <c r="L857" s="177"/>
      <c r="M857" s="177"/>
      <c r="N857" s="177"/>
      <c r="O857" s="177"/>
      <c r="P857" s="177"/>
      <c r="Q857" s="177"/>
      <c r="R857" s="177"/>
      <c r="S857" s="177"/>
      <c r="T857" s="177"/>
      <c r="U857" s="177"/>
      <c r="V857" s="177"/>
      <c r="W857" s="177"/>
      <c r="X857" s="177"/>
      <c r="Y857" s="177"/>
      <c r="Z857" s="177"/>
      <c r="AA857" s="177"/>
      <c r="AB857" s="177"/>
      <c r="AC857" s="177"/>
      <c r="AD857" s="177"/>
      <c r="AE857" s="177"/>
      <c r="AF857" s="177"/>
      <c r="AG857" s="177"/>
      <c r="AH857" s="177"/>
      <c r="AI857" s="177"/>
      <c r="AJ857" s="177"/>
      <c r="AK857" s="177"/>
      <c r="AL857" s="177"/>
      <c r="AM857" s="177"/>
      <c r="AN857" s="177"/>
      <c r="AO857" s="177"/>
      <c r="AP857" s="177"/>
      <c r="AQ857" s="177"/>
      <c r="AR857" s="177"/>
      <c r="AS857" s="177"/>
      <c r="AT857" s="177"/>
      <c r="AU857" s="177"/>
      <c r="AV857" s="177"/>
      <c r="AW857" s="177"/>
      <c r="AX857" s="177"/>
      <c r="AY857" s="177"/>
      <c r="AZ857" s="177"/>
      <c r="BA857" s="177"/>
      <c r="BB857" s="177"/>
      <c r="BC857" s="177"/>
      <c r="BD857" s="178"/>
    </row>
    <row r="858" spans="1:56" collapsed="1" x14ac:dyDescent="0.3">
      <c r="A858" s="175" t="str">
        <f ca="1">Language!A$898</f>
        <v>график оплаты, без НДС</v>
      </c>
      <c r="B858" s="199">
        <f>BD858</f>
        <v>1800000</v>
      </c>
      <c r="C858" s="176" t="str">
        <f t="shared" ref="C858:C859" ca="1" si="3427">CHOOSE(D858,CurName1,CurName2,CurName3)</f>
        <v>руб.</v>
      </c>
      <c r="D858" s="174">
        <f>D857</f>
        <v>1</v>
      </c>
      <c r="F858" s="170" t="s">
        <v>740</v>
      </c>
      <c r="G858" s="297">
        <v>0</v>
      </c>
      <c r="H858" s="297">
        <v>0</v>
      </c>
      <c r="I858" s="297">
        <v>0</v>
      </c>
      <c r="J858" s="297">
        <v>0</v>
      </c>
      <c r="K858" s="297">
        <v>0</v>
      </c>
      <c r="L858" s="297">
        <v>1800000</v>
      </c>
      <c r="M858" s="297">
        <v>0</v>
      </c>
      <c r="N858" s="297">
        <v>0</v>
      </c>
      <c r="O858" s="297">
        <v>0</v>
      </c>
      <c r="P858" s="297">
        <v>0</v>
      </c>
      <c r="Q858" s="297">
        <v>0</v>
      </c>
      <c r="R858" s="297">
        <v>0</v>
      </c>
      <c r="S858" s="297">
        <v>0</v>
      </c>
      <c r="T858" s="297">
        <v>0</v>
      </c>
      <c r="U858" s="297">
        <v>0</v>
      </c>
      <c r="V858" s="297">
        <v>0</v>
      </c>
      <c r="W858" s="297">
        <v>0</v>
      </c>
      <c r="X858" s="297">
        <v>0</v>
      </c>
      <c r="Y858" s="297">
        <v>0</v>
      </c>
      <c r="Z858" s="297">
        <v>0</v>
      </c>
      <c r="AA858" s="297">
        <v>0</v>
      </c>
      <c r="AB858" s="297">
        <v>0</v>
      </c>
      <c r="AC858" s="297">
        <v>0</v>
      </c>
      <c r="AD858" s="297">
        <v>0</v>
      </c>
      <c r="AE858" s="297">
        <v>0</v>
      </c>
      <c r="AF858" s="297">
        <v>0</v>
      </c>
      <c r="AG858" s="297">
        <v>0</v>
      </c>
      <c r="AH858" s="297">
        <v>0</v>
      </c>
      <c r="AI858" s="297">
        <v>0</v>
      </c>
      <c r="AJ858" s="297">
        <v>0</v>
      </c>
      <c r="AK858" s="297">
        <v>0</v>
      </c>
      <c r="AL858" s="297">
        <v>0</v>
      </c>
      <c r="AM858" s="297">
        <v>0</v>
      </c>
      <c r="AN858" s="297">
        <v>0</v>
      </c>
      <c r="AO858" s="297">
        <v>0</v>
      </c>
      <c r="AP858" s="297">
        <v>0</v>
      </c>
      <c r="AQ858" s="297">
        <v>0</v>
      </c>
      <c r="AR858" s="297">
        <v>0</v>
      </c>
      <c r="AS858" s="297">
        <v>0</v>
      </c>
      <c r="AT858" s="297">
        <v>0</v>
      </c>
      <c r="AU858" s="297">
        <v>0</v>
      </c>
      <c r="AV858" s="297">
        <v>0</v>
      </c>
      <c r="AW858" s="297">
        <v>0</v>
      </c>
      <c r="AX858" s="297">
        <v>0</v>
      </c>
      <c r="AY858" s="297">
        <v>0</v>
      </c>
      <c r="AZ858" s="297">
        <v>0</v>
      </c>
      <c r="BA858" s="297">
        <v>0</v>
      </c>
      <c r="BB858" s="297">
        <v>0</v>
      </c>
      <c r="BC858" s="177"/>
      <c r="BD858" s="178">
        <f>SUM(G858:BC858)</f>
        <v>1800000</v>
      </c>
    </row>
    <row r="859" spans="1:56" hidden="1" outlineLevel="1" x14ac:dyDescent="0.3">
      <c r="A859" s="175" t="str">
        <f ca="1">Language!A$899</f>
        <v>ранее осуществленные инвестиции, без НДС</v>
      </c>
      <c r="B859" s="295">
        <v>0</v>
      </c>
      <c r="C859" s="176" t="str">
        <f t="shared" ca="1" si="3427"/>
        <v>руб.</v>
      </c>
      <c r="D859" s="174">
        <f>D857</f>
        <v>1</v>
      </c>
    </row>
    <row r="860" spans="1:56" hidden="1" outlineLevel="1" x14ac:dyDescent="0.3">
      <c r="A860" s="175" t="str">
        <f ca="1">Language!A$900</f>
        <v>график ввода в эксплуатацию, без НДС</v>
      </c>
      <c r="B860" s="176"/>
      <c r="C860" s="176" t="str">
        <f ca="1">CHOOSE(D860,CurName1,CurName2,CurName3)</f>
        <v>руб.</v>
      </c>
      <c r="D860" s="174">
        <f>D857</f>
        <v>1</v>
      </c>
      <c r="F860" s="170" t="s">
        <v>740</v>
      </c>
      <c r="G860" s="297">
        <f>IF(G$2&gt;=ROUNDUP(Параметры!$B$18,0)+1,MAX(0,$BD858+$B859-SUM($F860:F860)),0)</f>
        <v>0</v>
      </c>
      <c r="H860" s="297">
        <f>IF(H$2&gt;=ROUNDUP(Параметры!$B$18,0)+1,MAX(0,$BD858+$B859-SUM($F860:G860)),0)</f>
        <v>0</v>
      </c>
      <c r="I860" s="297">
        <f>IF(I$2&gt;=ROUNDUP(Параметры!$B$18,0)+1,MAX(0,$BD858+$B859-SUM($F860:H860)),0)</f>
        <v>0</v>
      </c>
      <c r="J860" s="297">
        <f>IF(J$2&gt;=ROUNDUP(Параметры!$B$18,0)+1,MAX(0,$BD858+$B859-SUM($F860:I860)),0)</f>
        <v>0</v>
      </c>
      <c r="K860" s="297">
        <f>IF(K$2&gt;=ROUNDUP(Параметры!$B$18,0)+1,MAX(0,$BD858+$B859-SUM($F860:J860)),0)</f>
        <v>0</v>
      </c>
      <c r="L860" s="297">
        <f>IF(L$2&gt;=ROUNDUP(Параметры!$B$18,0)+1,MAX(0,$BD858+$B859-SUM($F860:K860)),0)</f>
        <v>0</v>
      </c>
      <c r="M860" s="297">
        <f>IF(M$2&gt;=ROUNDUP(Параметры!$B$18,0)+1,MAX(0,$BD858+$B859-SUM($F860:L860)),0)</f>
        <v>1800000</v>
      </c>
      <c r="N860" s="297">
        <f>IF(N$2&gt;=ROUNDUP(Параметры!$B$18,0)+1,MAX(0,$BD858+$B859-SUM($F860:M860)),0)</f>
        <v>0</v>
      </c>
      <c r="O860" s="297">
        <f>IF(O$2&gt;=ROUNDUP(Параметры!$B$18,0)+1,MAX(0,$BD858+$B859-SUM($F860:N860)),0)</f>
        <v>0</v>
      </c>
      <c r="P860" s="297">
        <f>IF(P$2&gt;=ROUNDUP(Параметры!$B$18,0)+1,MAX(0,$BD858+$B859-SUM($F860:O860)),0)</f>
        <v>0</v>
      </c>
      <c r="Q860" s="297">
        <f>IF(Q$2&gt;=ROUNDUP(Параметры!$B$18,0)+1,MAX(0,$BD858+$B859-SUM($F860:P860)),0)</f>
        <v>0</v>
      </c>
      <c r="R860" s="297">
        <f>IF(R$2&gt;=ROUNDUP(Параметры!$B$18,0)+1,MAX(0,$BD858+$B859-SUM($F860:Q860)),0)</f>
        <v>0</v>
      </c>
      <c r="S860" s="297">
        <f>IF(S$2&gt;=ROUNDUP(Параметры!$B$18,0)+1,MAX(0,$BD858+$B859-SUM($F860:R860)),0)</f>
        <v>0</v>
      </c>
      <c r="T860" s="297">
        <f>IF(T$2&gt;=ROUNDUP(Параметры!$B$18,0)+1,MAX(0,$BD858+$B859-SUM($F860:S860)),0)</f>
        <v>0</v>
      </c>
      <c r="U860" s="297">
        <f>IF(U$2&gt;=ROUNDUP(Параметры!$B$18,0)+1,MAX(0,$BD858+$B859-SUM($F860:T860)),0)</f>
        <v>0</v>
      </c>
      <c r="V860" s="297">
        <f>IF(V$2&gt;=ROUNDUP(Параметры!$B$18,0)+1,MAX(0,$BD858+$B859-SUM($F860:U860)),0)</f>
        <v>0</v>
      </c>
      <c r="W860" s="297">
        <f>IF(W$2&gt;=ROUNDUP(Параметры!$B$18,0)+1,MAX(0,$BD858+$B859-SUM($F860:V860)),0)</f>
        <v>0</v>
      </c>
      <c r="X860" s="297">
        <f>IF(X$2&gt;=ROUNDUP(Параметры!$B$18,0)+1,MAX(0,$BD858+$B859-SUM($F860:W860)),0)</f>
        <v>0</v>
      </c>
      <c r="Y860" s="297">
        <f>IF(Y$2&gt;=ROUNDUP(Параметры!$B$18,0)+1,MAX(0,$BD858+$B859-SUM($F860:X860)),0)</f>
        <v>0</v>
      </c>
      <c r="Z860" s="297">
        <f>IF(Z$2&gt;=ROUNDUP(Параметры!$B$18,0)+1,MAX(0,$BD858+$B859-SUM($F860:Y860)),0)</f>
        <v>0</v>
      </c>
      <c r="AA860" s="297">
        <f>IF(AA$2&gt;=ROUNDUP(Параметры!$B$18,0)+1,MAX(0,$BD858+$B859-SUM($F860:Z860)),0)</f>
        <v>0</v>
      </c>
      <c r="AB860" s="297">
        <f>IF(AB$2&gt;=ROUNDUP(Параметры!$B$18,0)+1,MAX(0,$BD858+$B859-SUM($F860:AA860)),0)</f>
        <v>0</v>
      </c>
      <c r="AC860" s="297">
        <f>IF(AC$2&gt;=ROUNDUP(Параметры!$B$18,0)+1,MAX(0,$BD858+$B859-SUM($F860:AB860)),0)</f>
        <v>0</v>
      </c>
      <c r="AD860" s="297">
        <f>IF(AD$2&gt;=ROUNDUP(Параметры!$B$18,0)+1,MAX(0,$BD858+$B859-SUM($F860:AC860)),0)</f>
        <v>0</v>
      </c>
      <c r="AE860" s="297">
        <f>IF(AE$2&gt;=ROUNDUP(Параметры!$B$18,0)+1,MAX(0,$BD858+$B859-SUM($F860:AD860)),0)</f>
        <v>0</v>
      </c>
      <c r="AF860" s="297">
        <f>IF(AF$2&gt;=ROUNDUP(Параметры!$B$18,0)+1,MAX(0,$BD858+$B859-SUM($F860:AE860)),0)</f>
        <v>0</v>
      </c>
      <c r="AG860" s="297">
        <f>IF(AG$2&gt;=ROUNDUP(Параметры!$B$18,0)+1,MAX(0,$BD858+$B859-SUM($F860:AF860)),0)</f>
        <v>0</v>
      </c>
      <c r="AH860" s="297">
        <f>IF(AH$2&gt;=ROUNDUP(Параметры!$B$18,0)+1,MAX(0,$BD858+$B859-SUM($F860:AG860)),0)</f>
        <v>0</v>
      </c>
      <c r="AI860" s="297">
        <f>IF(AI$2&gt;=ROUNDUP(Параметры!$B$18,0)+1,MAX(0,$BD858+$B859-SUM($F860:AH860)),0)</f>
        <v>0</v>
      </c>
      <c r="AJ860" s="297">
        <f>IF(AJ$2&gt;=ROUNDUP(Параметры!$B$18,0)+1,MAX(0,$BD858+$B859-SUM($F860:AI860)),0)</f>
        <v>0</v>
      </c>
      <c r="AK860" s="297">
        <f>IF(AK$2&gt;=ROUNDUP(Параметры!$B$18,0)+1,MAX(0,$BD858+$B859-SUM($F860:AJ860)),0)</f>
        <v>0</v>
      </c>
      <c r="AL860" s="297">
        <f>IF(AL$2&gt;=ROUNDUP(Параметры!$B$18,0)+1,MAX(0,$BD858+$B859-SUM($F860:AK860)),0)</f>
        <v>0</v>
      </c>
      <c r="AM860" s="297">
        <f>IF(AM$2&gt;=ROUNDUP(Параметры!$B$18,0)+1,MAX(0,$BD858+$B859-SUM($F860:AL860)),0)</f>
        <v>0</v>
      </c>
      <c r="AN860" s="297">
        <f>IF(AN$2&gt;=ROUNDUP(Параметры!$B$18,0)+1,MAX(0,$BD858+$B859-SUM($F860:AM860)),0)</f>
        <v>0</v>
      </c>
      <c r="AO860" s="297">
        <f>IF(AO$2&gt;=ROUNDUP(Параметры!$B$18,0)+1,MAX(0,$BD858+$B859-SUM($F860:AN860)),0)</f>
        <v>0</v>
      </c>
      <c r="AP860" s="297">
        <f>IF(AP$2&gt;=ROUNDUP(Параметры!$B$18,0)+1,MAX(0,$BD858+$B859-SUM($F860:AO860)),0)</f>
        <v>0</v>
      </c>
      <c r="AQ860" s="297">
        <f>IF(AQ$2&gt;=ROUNDUP(Параметры!$B$18,0)+1,MAX(0,$BD858+$B859-SUM($F860:AP860)),0)</f>
        <v>0</v>
      </c>
      <c r="AR860" s="297">
        <f>IF(AR$2&gt;=ROUNDUP(Параметры!$B$18,0)+1,MAX(0,$BD858+$B859-SUM($F860:AQ860)),0)</f>
        <v>0</v>
      </c>
      <c r="AS860" s="297">
        <f>IF(AS$2&gt;=ROUNDUP(Параметры!$B$18,0)+1,MAX(0,$BD858+$B859-SUM($F860:AR860)),0)</f>
        <v>0</v>
      </c>
      <c r="AT860" s="297">
        <f>IF(AT$2&gt;=ROUNDUP(Параметры!$B$18,0)+1,MAX(0,$BD858+$B859-SUM($F860:AS860)),0)</f>
        <v>0</v>
      </c>
      <c r="AU860" s="297">
        <f>IF(AU$2&gt;=ROUNDUP(Параметры!$B$18,0)+1,MAX(0,$BD858+$B859-SUM($F860:AT860)),0)</f>
        <v>0</v>
      </c>
      <c r="AV860" s="297">
        <f>IF(AV$2&gt;=ROUNDUP(Параметры!$B$18,0)+1,MAX(0,$BD858+$B859-SUM($F860:AU860)),0)</f>
        <v>0</v>
      </c>
      <c r="AW860" s="297">
        <f>IF(AW$2&gt;=ROUNDUP(Параметры!$B$18,0)+1,MAX(0,$BD858+$B859-SUM($F860:AV860)),0)</f>
        <v>0</v>
      </c>
      <c r="AX860" s="297">
        <f>IF(AX$2&gt;=ROUNDUP(Параметры!$B$18,0)+1,MAX(0,$BD858+$B859-SUM($F860:AW860)),0)</f>
        <v>0</v>
      </c>
      <c r="AY860" s="297">
        <f>IF(AY$2&gt;=ROUNDUP(Параметры!$B$18,0)+1,MAX(0,$BD858+$B859-SUM($F860:AX860)),0)</f>
        <v>0</v>
      </c>
      <c r="AZ860" s="297">
        <f>IF(AZ$2&gt;=ROUNDUP(Параметры!$B$18,0)+1,MAX(0,$BD858+$B859-SUM($F860:AY860)),0)</f>
        <v>0</v>
      </c>
      <c r="BA860" s="297">
        <f>IF(BA$2&gt;=ROUNDUP(Параметры!$B$18,0)+1,MAX(0,$BD858+$B859-SUM($F860:AZ860)),0)</f>
        <v>0</v>
      </c>
      <c r="BB860" s="297">
        <f>IF(BB$2&gt;=ROUNDUP(Параметры!$B$18,0)+1,MAX(0,$BD858+$B859-SUM($F860:BA860)),0)</f>
        <v>0</v>
      </c>
      <c r="BC860" s="177"/>
      <c r="BD860" s="178">
        <f>SUM(G860:BC860)</f>
        <v>1800000</v>
      </c>
    </row>
    <row r="861" spans="1:56" hidden="1" outlineLevel="1" x14ac:dyDescent="0.3">
      <c r="A861" s="175" t="str">
        <f ca="1">Language!A$901</f>
        <v xml:space="preserve">срок полезного использования </v>
      </c>
      <c r="B861" s="295">
        <v>10</v>
      </c>
      <c r="C861" s="176" t="str">
        <f ca="1">Language!A$48</f>
        <v>лет</v>
      </c>
      <c r="D861" s="174">
        <v>1</v>
      </c>
      <c r="G861" s="177"/>
      <c r="H861" s="177"/>
      <c r="I861" s="177"/>
      <c r="J861" s="177"/>
      <c r="K861" s="177"/>
      <c r="L861" s="177"/>
      <c r="M861" s="177"/>
      <c r="N861" s="177"/>
      <c r="O861" s="177"/>
      <c r="P861" s="177"/>
      <c r="Q861" s="177"/>
      <c r="R861" s="177"/>
      <c r="S861" s="177"/>
      <c r="T861" s="177"/>
      <c r="U861" s="177"/>
      <c r="V861" s="177"/>
      <c r="W861" s="177"/>
      <c r="X861" s="177"/>
      <c r="Y861" s="177"/>
      <c r="Z861" s="177"/>
      <c r="AA861" s="177"/>
      <c r="AB861" s="177"/>
      <c r="AC861" s="177"/>
      <c r="AD861" s="177"/>
      <c r="AE861" s="177"/>
      <c r="AF861" s="177"/>
      <c r="AG861" s="177"/>
      <c r="AH861" s="177"/>
      <c r="AI861" s="177"/>
      <c r="AJ861" s="177"/>
      <c r="AK861" s="177"/>
      <c r="AL861" s="177"/>
      <c r="AM861" s="177"/>
      <c r="AN861" s="177"/>
      <c r="AO861" s="177"/>
      <c r="AP861" s="177"/>
      <c r="AQ861" s="177"/>
      <c r="AR861" s="177"/>
      <c r="AS861" s="177"/>
      <c r="AT861" s="177"/>
      <c r="AU861" s="177"/>
      <c r="AV861" s="177"/>
      <c r="AW861" s="177"/>
      <c r="AX861" s="177"/>
      <c r="AY861" s="177"/>
      <c r="AZ861" s="177"/>
      <c r="BA861" s="177"/>
      <c r="BB861" s="177"/>
      <c r="BC861" s="177"/>
      <c r="BD861" s="178"/>
    </row>
    <row r="862" spans="1:56" s="170" customFormat="1" hidden="1" outlineLevel="1" x14ac:dyDescent="0.3">
      <c r="A862" s="184" t="str">
        <f ca="1">Language!A$902</f>
        <v>амортизационная премия для налоговой амортизации</v>
      </c>
      <c r="B862" s="298">
        <v>0</v>
      </c>
      <c r="C862" s="163" t="s">
        <v>1</v>
      </c>
      <c r="D862" s="174">
        <v>1</v>
      </c>
      <c r="F862" s="170" t="s">
        <v>2347</v>
      </c>
      <c r="G862" s="185"/>
      <c r="H862" s="185"/>
      <c r="I862" s="185"/>
      <c r="J862" s="185"/>
      <c r="K862" s="185"/>
      <c r="L862" s="185"/>
      <c r="M862" s="185"/>
      <c r="N862" s="185"/>
      <c r="O862" s="185"/>
      <c r="P862" s="185"/>
      <c r="Q862" s="185"/>
      <c r="R862" s="185"/>
      <c r="S862" s="185"/>
      <c r="T862" s="185"/>
      <c r="U862" s="185"/>
      <c r="V862" s="185"/>
      <c r="W862" s="185"/>
      <c r="X862" s="185"/>
      <c r="Y862" s="185"/>
      <c r="Z862" s="185"/>
      <c r="AA862" s="185"/>
      <c r="AB862" s="185"/>
      <c r="AC862" s="185"/>
      <c r="AD862" s="185"/>
      <c r="AE862" s="185"/>
      <c r="AF862" s="185"/>
      <c r="AG862" s="185"/>
      <c r="AH862" s="185"/>
      <c r="AI862" s="185"/>
      <c r="AJ862" s="185"/>
      <c r="AK862" s="185"/>
      <c r="AL862" s="185"/>
      <c r="AM862" s="185"/>
      <c r="AN862" s="185"/>
      <c r="AO862" s="185"/>
      <c r="AP862" s="185"/>
      <c r="AQ862" s="185"/>
      <c r="AR862" s="185"/>
      <c r="AS862" s="185"/>
      <c r="AT862" s="185"/>
      <c r="AU862" s="185"/>
      <c r="AV862" s="185"/>
      <c r="AW862" s="185"/>
      <c r="AX862" s="185"/>
      <c r="AY862" s="185"/>
      <c r="AZ862" s="185"/>
      <c r="BA862" s="185"/>
      <c r="BB862" s="185"/>
      <c r="BC862" s="185"/>
      <c r="BD862" s="193"/>
    </row>
    <row r="863" spans="1:56" hidden="1" outlineLevel="1" x14ac:dyDescent="0.3">
      <c r="A863" s="175" t="str">
        <f ca="1">Language!A$903</f>
        <v>импорт оборудования</v>
      </c>
      <c r="B863" s="295">
        <v>0</v>
      </c>
      <c r="C863" s="176" t="str">
        <f ca="1">IF(B863=0,Language!$A$1482,Language!$A$1481)</f>
        <v>Не импорт</v>
      </c>
      <c r="D863" s="174"/>
      <c r="G863" s="177"/>
      <c r="H863" s="177"/>
      <c r="I863" s="177"/>
      <c r="J863" s="177"/>
      <c r="K863" s="177"/>
      <c r="L863" s="177"/>
      <c r="M863" s="177"/>
      <c r="N863" s="177"/>
      <c r="O863" s="177"/>
      <c r="P863" s="177"/>
      <c r="Q863" s="177"/>
      <c r="R863" s="177"/>
      <c r="S863" s="177"/>
      <c r="T863" s="177"/>
      <c r="U863" s="177"/>
      <c r="V863" s="177"/>
      <c r="W863" s="177"/>
      <c r="X863" s="177"/>
      <c r="Y863" s="177"/>
      <c r="Z863" s="177"/>
      <c r="AA863" s="177"/>
      <c r="AB863" s="177"/>
      <c r="AC863" s="177"/>
      <c r="AD863" s="177"/>
      <c r="AE863" s="177"/>
      <c r="AF863" s="177"/>
      <c r="AG863" s="177"/>
      <c r="AH863" s="177"/>
      <c r="AI863" s="177"/>
      <c r="AJ863" s="177"/>
      <c r="AK863" s="177"/>
      <c r="AL863" s="177"/>
      <c r="AM863" s="177"/>
      <c r="AN863" s="177"/>
      <c r="AO863" s="177"/>
      <c r="AP863" s="177"/>
      <c r="AQ863" s="177"/>
      <c r="AR863" s="177"/>
      <c r="AS863" s="177"/>
      <c r="AT863" s="177"/>
      <c r="AU863" s="177"/>
      <c r="AV863" s="177"/>
      <c r="AW863" s="177"/>
      <c r="AX863" s="177"/>
      <c r="AY863" s="177"/>
      <c r="AZ863" s="177"/>
      <c r="BA863" s="177"/>
      <c r="BB863" s="177"/>
      <c r="BC863" s="177"/>
      <c r="BD863" s="178"/>
    </row>
    <row r="864" spans="1:56" hidden="1" outlineLevel="1" x14ac:dyDescent="0.3">
      <c r="A864" s="175" t="str">
        <f ca="1">Language!A$904</f>
        <v>пересечение границы при импорте</v>
      </c>
      <c r="B864" s="295">
        <v>1</v>
      </c>
      <c r="C864" s="176" t="str">
        <f ca="1">Language!$A$1480</f>
        <v>период</v>
      </c>
      <c r="D864" s="174"/>
    </row>
    <row r="865" spans="1:56" hidden="1" outlineLevel="1" x14ac:dyDescent="0.3">
      <c r="A865" s="175" t="str">
        <f ca="1">Language!A$905</f>
        <v>импортная пошлина</v>
      </c>
      <c r="B865" s="299">
        <f>IF(B863="Нет",0,10%)</f>
        <v>0.1</v>
      </c>
      <c r="C865" s="176" t="str">
        <f ca="1">CHOOSE(D865,CurName1,CurName2,CurName3)</f>
        <v>руб.</v>
      </c>
      <c r="D865" s="174">
        <f>D857</f>
        <v>1</v>
      </c>
      <c r="F865" s="170" t="s">
        <v>740</v>
      </c>
      <c r="G865" s="177">
        <f t="shared" ref="G865:BB865" si="3428">IF($B863=0,0,IF(G$2=$B864,(MAX($BD858,$BD860)+$B859)*$B865,0))</f>
        <v>0</v>
      </c>
      <c r="H865" s="177">
        <f t="shared" si="3428"/>
        <v>0</v>
      </c>
      <c r="I865" s="177">
        <f t="shared" si="3428"/>
        <v>0</v>
      </c>
      <c r="J865" s="177">
        <f t="shared" si="3428"/>
        <v>0</v>
      </c>
      <c r="K865" s="177">
        <f t="shared" si="3428"/>
        <v>0</v>
      </c>
      <c r="L865" s="177">
        <f t="shared" si="3428"/>
        <v>0</v>
      </c>
      <c r="M865" s="177">
        <f t="shared" si="3428"/>
        <v>0</v>
      </c>
      <c r="N865" s="177">
        <f t="shared" si="3428"/>
        <v>0</v>
      </c>
      <c r="O865" s="177">
        <f t="shared" si="3428"/>
        <v>0</v>
      </c>
      <c r="P865" s="177">
        <f t="shared" si="3428"/>
        <v>0</v>
      </c>
      <c r="Q865" s="177">
        <f t="shared" si="3428"/>
        <v>0</v>
      </c>
      <c r="R865" s="177">
        <f t="shared" si="3428"/>
        <v>0</v>
      </c>
      <c r="S865" s="177">
        <f t="shared" si="3428"/>
        <v>0</v>
      </c>
      <c r="T865" s="177">
        <f t="shared" si="3428"/>
        <v>0</v>
      </c>
      <c r="U865" s="177">
        <f t="shared" si="3428"/>
        <v>0</v>
      </c>
      <c r="V865" s="177">
        <f t="shared" si="3428"/>
        <v>0</v>
      </c>
      <c r="W865" s="177">
        <f t="shared" si="3428"/>
        <v>0</v>
      </c>
      <c r="X865" s="177">
        <f t="shared" si="3428"/>
        <v>0</v>
      </c>
      <c r="Y865" s="177">
        <f t="shared" si="3428"/>
        <v>0</v>
      </c>
      <c r="Z865" s="177">
        <f t="shared" si="3428"/>
        <v>0</v>
      </c>
      <c r="AA865" s="177">
        <f t="shared" si="3428"/>
        <v>0</v>
      </c>
      <c r="AB865" s="177">
        <f t="shared" si="3428"/>
        <v>0</v>
      </c>
      <c r="AC865" s="177">
        <f t="shared" si="3428"/>
        <v>0</v>
      </c>
      <c r="AD865" s="177">
        <f t="shared" si="3428"/>
        <v>0</v>
      </c>
      <c r="AE865" s="177">
        <f t="shared" si="3428"/>
        <v>0</v>
      </c>
      <c r="AF865" s="177">
        <f t="shared" si="3428"/>
        <v>0</v>
      </c>
      <c r="AG865" s="177">
        <f t="shared" si="3428"/>
        <v>0</v>
      </c>
      <c r="AH865" s="177">
        <f t="shared" si="3428"/>
        <v>0</v>
      </c>
      <c r="AI865" s="177">
        <f t="shared" si="3428"/>
        <v>0</v>
      </c>
      <c r="AJ865" s="177">
        <f t="shared" si="3428"/>
        <v>0</v>
      </c>
      <c r="AK865" s="177">
        <f t="shared" si="3428"/>
        <v>0</v>
      </c>
      <c r="AL865" s="177">
        <f t="shared" si="3428"/>
        <v>0</v>
      </c>
      <c r="AM865" s="177">
        <f t="shared" si="3428"/>
        <v>0</v>
      </c>
      <c r="AN865" s="177">
        <f t="shared" si="3428"/>
        <v>0</v>
      </c>
      <c r="AO865" s="177">
        <f t="shared" si="3428"/>
        <v>0</v>
      </c>
      <c r="AP865" s="177">
        <f t="shared" si="3428"/>
        <v>0</v>
      </c>
      <c r="AQ865" s="177">
        <f t="shared" si="3428"/>
        <v>0</v>
      </c>
      <c r="AR865" s="177">
        <f t="shared" si="3428"/>
        <v>0</v>
      </c>
      <c r="AS865" s="177">
        <f t="shared" si="3428"/>
        <v>0</v>
      </c>
      <c r="AT865" s="177">
        <f t="shared" si="3428"/>
        <v>0</v>
      </c>
      <c r="AU865" s="177">
        <f t="shared" si="3428"/>
        <v>0</v>
      </c>
      <c r="AV865" s="177">
        <f t="shared" si="3428"/>
        <v>0</v>
      </c>
      <c r="AW865" s="177">
        <f t="shared" si="3428"/>
        <v>0</v>
      </c>
      <c r="AX865" s="177">
        <f t="shared" si="3428"/>
        <v>0</v>
      </c>
      <c r="AY865" s="177">
        <f t="shared" si="3428"/>
        <v>0</v>
      </c>
      <c r="AZ865" s="177">
        <f t="shared" si="3428"/>
        <v>0</v>
      </c>
      <c r="BA865" s="177">
        <f t="shared" si="3428"/>
        <v>0</v>
      </c>
      <c r="BB865" s="177">
        <f t="shared" si="3428"/>
        <v>0</v>
      </c>
      <c r="BC865" s="177"/>
      <c r="BD865" s="178">
        <f>SUM(G865:BC865)</f>
        <v>0</v>
      </c>
    </row>
    <row r="866" spans="1:56" s="170" customFormat="1" hidden="1" outlineLevel="1" x14ac:dyDescent="0.3">
      <c r="A866" s="184" t="str">
        <f ca="1">Language!A$906</f>
        <v>ставка НДС</v>
      </c>
      <c r="B866" s="189"/>
      <c r="C866" s="163" t="s">
        <v>1</v>
      </c>
      <c r="D866" s="174">
        <v>1</v>
      </c>
      <c r="F866" s="170" t="s">
        <v>2346</v>
      </c>
      <c r="G866" s="290">
        <f>IF(G$2=1,Параметры!G$72,IF(F866=Параметры!F$72,Параметры!F$72,F866))</f>
        <v>0</v>
      </c>
      <c r="H866" s="290">
        <f>IF(H$2=1,Параметры!H$72,IF(G866=Параметры!G$72,Параметры!G$72,G866))</f>
        <v>0</v>
      </c>
      <c r="I866" s="290">
        <f>IF(I$2=1,Параметры!I$72,IF(H866=Параметры!H$72,Параметры!H$72,H866))</f>
        <v>0</v>
      </c>
      <c r="J866" s="290">
        <f>IF(J$2=1,Параметры!J$72,IF(I866=Параметры!I$72,Параметры!I$72,I866))</f>
        <v>0</v>
      </c>
      <c r="K866" s="290">
        <f>IF(K$2=1,Параметры!K$72,IF(J866=Параметры!J$72,Параметры!J$72,J866))</f>
        <v>0</v>
      </c>
      <c r="L866" s="290">
        <f>IF(L$2=1,Параметры!L$72,IF(K866=Параметры!K$72,Параметры!K$72,K866))</f>
        <v>0</v>
      </c>
      <c r="M866" s="290">
        <f>IF(M$2=1,Параметры!M$72,IF(L866=Параметры!L$72,Параметры!L$72,L866))</f>
        <v>0</v>
      </c>
      <c r="N866" s="290">
        <f>IF(N$2=1,Параметры!N$72,IF(M866=Параметры!M$72,Параметры!M$72,M866))</f>
        <v>0</v>
      </c>
      <c r="O866" s="290">
        <f>IF(O$2=1,Параметры!O$72,IF(N866=Параметры!N$72,Параметры!N$72,N866))</f>
        <v>0</v>
      </c>
      <c r="P866" s="290">
        <f>IF(P$2=1,Параметры!P$72,IF(O866=Параметры!O$72,Параметры!O$72,O866))</f>
        <v>0</v>
      </c>
      <c r="Q866" s="290">
        <f>IF(Q$2=1,Параметры!Q$72,IF(P866=Параметры!P$72,Параметры!P$72,P866))</f>
        <v>0</v>
      </c>
      <c r="R866" s="290">
        <f>IF(R$2=1,Параметры!R$72,IF(Q866=Параметры!Q$72,Параметры!Q$72,Q866))</f>
        <v>0</v>
      </c>
      <c r="S866" s="290">
        <f>IF(S$2=1,Параметры!S$72,IF(R866=Параметры!R$72,Параметры!R$72,R866))</f>
        <v>0</v>
      </c>
      <c r="T866" s="290">
        <f>IF(T$2=1,Параметры!T$72,IF(S866=Параметры!S$72,Параметры!S$72,S866))</f>
        <v>0</v>
      </c>
      <c r="U866" s="290">
        <f>IF(U$2=1,Параметры!U$72,IF(T866=Параметры!T$72,Параметры!T$72,T866))</f>
        <v>0</v>
      </c>
      <c r="V866" s="290">
        <f>IF(V$2=1,Параметры!V$72,IF(U866=Параметры!U$72,Параметры!U$72,U866))</f>
        <v>0</v>
      </c>
      <c r="W866" s="290">
        <f>IF(W$2=1,Параметры!W$72,IF(V866=Параметры!V$72,Параметры!V$72,V866))</f>
        <v>0</v>
      </c>
      <c r="X866" s="290">
        <f>IF(X$2=1,Параметры!X$72,IF(W866=Параметры!W$72,Параметры!W$72,W866))</f>
        <v>0</v>
      </c>
      <c r="Y866" s="290">
        <f>IF(Y$2=1,Параметры!Y$72,IF(X866=Параметры!X$72,Параметры!X$72,X866))</f>
        <v>0</v>
      </c>
      <c r="Z866" s="290">
        <f>IF(Z$2=1,Параметры!Z$72,IF(Y866=Параметры!Y$72,Параметры!Y$72,Y866))</f>
        <v>0</v>
      </c>
      <c r="AA866" s="290">
        <f>IF(AA$2=1,Параметры!AA$72,IF(Z866=Параметры!Z$72,Параметры!Z$72,Z866))</f>
        <v>0</v>
      </c>
      <c r="AB866" s="290">
        <f>IF(AB$2=1,Параметры!AB$72,IF(AA866=Параметры!AA$72,Параметры!AA$72,AA866))</f>
        <v>0</v>
      </c>
      <c r="AC866" s="290">
        <f>IF(AC$2=1,Параметры!AC$72,IF(AB866=Параметры!AB$72,Параметры!AB$72,AB866))</f>
        <v>0</v>
      </c>
      <c r="AD866" s="290">
        <f>IF(AD$2=1,Параметры!AD$72,IF(AC866=Параметры!AC$72,Параметры!AC$72,AC866))</f>
        <v>0</v>
      </c>
      <c r="AE866" s="290">
        <f>IF(AE$2=1,Параметры!AE$72,IF(AD866=Параметры!AD$72,Параметры!AD$72,AD866))</f>
        <v>0</v>
      </c>
      <c r="AF866" s="290">
        <f>IF(AF$2=1,Параметры!AF$72,IF(AE866=Параметры!AE$72,Параметры!AE$72,AE866))</f>
        <v>0</v>
      </c>
      <c r="AG866" s="290">
        <f>IF(AG$2=1,Параметры!AG$72,IF(AF866=Параметры!AF$72,Параметры!AF$72,AF866))</f>
        <v>0</v>
      </c>
      <c r="AH866" s="290">
        <f>IF(AH$2=1,Параметры!AH$72,IF(AG866=Параметры!AG$72,Параметры!AG$72,AG866))</f>
        <v>0</v>
      </c>
      <c r="AI866" s="290">
        <f>IF(AI$2=1,Параметры!AI$72,IF(AH866=Параметры!AH$72,Параметры!AH$72,AH866))</f>
        <v>0</v>
      </c>
      <c r="AJ866" s="290">
        <f>IF(AJ$2=1,Параметры!AJ$72,IF(AI866=Параметры!AI$72,Параметры!AI$72,AI866))</f>
        <v>0</v>
      </c>
      <c r="AK866" s="290">
        <f>IF(AK$2=1,Параметры!AK$72,IF(AJ866=Параметры!AJ$72,Параметры!AJ$72,AJ866))</f>
        <v>0</v>
      </c>
      <c r="AL866" s="290">
        <f>IF(AL$2=1,Параметры!AL$72,IF(AK866=Параметры!AK$72,Параметры!AK$72,AK866))</f>
        <v>0</v>
      </c>
      <c r="AM866" s="290">
        <f>IF(AM$2=1,Параметры!AM$72,IF(AL866=Параметры!AL$72,Параметры!AL$72,AL866))</f>
        <v>0</v>
      </c>
      <c r="AN866" s="290">
        <f>IF(AN$2=1,Параметры!AN$72,IF(AM866=Параметры!AM$72,Параметры!AM$72,AM866))</f>
        <v>0</v>
      </c>
      <c r="AO866" s="290">
        <f>IF(AO$2=1,Параметры!AO$72,IF(AN866=Параметры!AN$72,Параметры!AN$72,AN866))</f>
        <v>0</v>
      </c>
      <c r="AP866" s="290">
        <f>IF(AP$2=1,Параметры!AP$72,IF(AO866=Параметры!AO$72,Параметры!AO$72,AO866))</f>
        <v>0</v>
      </c>
      <c r="AQ866" s="290">
        <f>IF(AQ$2=1,Параметры!AQ$72,IF(AP866=Параметры!AP$72,Параметры!AP$72,AP866))</f>
        <v>0</v>
      </c>
      <c r="AR866" s="290">
        <f>IF(AR$2=1,Параметры!AR$72,IF(AQ866=Параметры!AQ$72,Параметры!AQ$72,AQ866))</f>
        <v>0</v>
      </c>
      <c r="AS866" s="290">
        <f>IF(AS$2=1,Параметры!AS$72,IF(AR866=Параметры!AR$72,Параметры!AR$72,AR866))</f>
        <v>0</v>
      </c>
      <c r="AT866" s="290">
        <f>IF(AT$2=1,Параметры!AT$72,IF(AS866=Параметры!AS$72,Параметры!AS$72,AS866))</f>
        <v>0</v>
      </c>
      <c r="AU866" s="290">
        <f>IF(AU$2=1,Параметры!AU$72,IF(AT866=Параметры!AT$72,Параметры!AT$72,AT866))</f>
        <v>0</v>
      </c>
      <c r="AV866" s="290">
        <f>IF(AV$2=1,Параметры!AV$72,IF(AU866=Параметры!AU$72,Параметры!AU$72,AU866))</f>
        <v>0</v>
      </c>
      <c r="AW866" s="290">
        <f>IF(AW$2=1,Параметры!AW$72,IF(AV866=Параметры!AV$72,Параметры!AV$72,AV866))</f>
        <v>0</v>
      </c>
      <c r="AX866" s="290">
        <f>IF(AX$2=1,Параметры!AX$72,IF(AW866=Параметры!AW$72,Параметры!AW$72,AW866))</f>
        <v>0</v>
      </c>
      <c r="AY866" s="290">
        <f>IF(AY$2=1,Параметры!AY$72,IF(AX866=Параметры!AX$72,Параметры!AX$72,AX866))</f>
        <v>0</v>
      </c>
      <c r="AZ866" s="290">
        <f>IF(AZ$2=1,Параметры!AZ$72,IF(AY866=Параметры!AY$72,Параметры!AY$72,AY866))</f>
        <v>0</v>
      </c>
      <c r="BA866" s="290">
        <f>IF(BA$2=1,Параметры!BA$72,IF(AZ866=Параметры!AZ$72,Параметры!AZ$72,AZ866))</f>
        <v>0</v>
      </c>
      <c r="BB866" s="290">
        <f>IF(BB$2=1,Параметры!BB$72,IF(BA866=Параметры!BA$72,Параметры!BA$72,BA866))</f>
        <v>0</v>
      </c>
      <c r="BC866" s="190"/>
      <c r="BD866" s="186"/>
    </row>
    <row r="867" spans="1:56" s="170" customFormat="1" hidden="1" outlineLevel="1" x14ac:dyDescent="0.3">
      <c r="A867" s="184" t="str">
        <f ca="1">Language!A$907</f>
        <v>выручка от продажи актива, без НДС</v>
      </c>
      <c r="B867" s="216"/>
      <c r="C867" s="163" t="str">
        <f ca="1">CHOOSE(D867,CurName1,CurName2,CurName3)</f>
        <v>руб.</v>
      </c>
      <c r="D867" s="174">
        <v>1</v>
      </c>
      <c r="E867" s="170" t="s">
        <v>755</v>
      </c>
      <c r="F867" s="170" t="s">
        <v>2353</v>
      </c>
      <c r="G867" s="287">
        <v>0</v>
      </c>
      <c r="H867" s="287">
        <v>0</v>
      </c>
      <c r="I867" s="287">
        <v>0</v>
      </c>
      <c r="J867" s="287">
        <v>0</v>
      </c>
      <c r="K867" s="287">
        <v>0</v>
      </c>
      <c r="L867" s="287">
        <v>0</v>
      </c>
      <c r="M867" s="287">
        <v>0</v>
      </c>
      <c r="N867" s="287">
        <v>0</v>
      </c>
      <c r="O867" s="287">
        <v>0</v>
      </c>
      <c r="P867" s="287">
        <v>0</v>
      </c>
      <c r="Q867" s="287">
        <v>0</v>
      </c>
      <c r="R867" s="287">
        <v>0</v>
      </c>
      <c r="S867" s="287">
        <v>0</v>
      </c>
      <c r="T867" s="287">
        <v>0</v>
      </c>
      <c r="U867" s="287">
        <v>0</v>
      </c>
      <c r="V867" s="287">
        <v>0</v>
      </c>
      <c r="W867" s="287">
        <v>0</v>
      </c>
      <c r="X867" s="287">
        <v>0</v>
      </c>
      <c r="Y867" s="287">
        <v>0</v>
      </c>
      <c r="Z867" s="287">
        <v>0</v>
      </c>
      <c r="AA867" s="287">
        <v>0</v>
      </c>
      <c r="AB867" s="287">
        <v>0</v>
      </c>
      <c r="AC867" s="287">
        <v>0</v>
      </c>
      <c r="AD867" s="287">
        <v>0</v>
      </c>
      <c r="AE867" s="287">
        <v>0</v>
      </c>
      <c r="AF867" s="287">
        <v>0</v>
      </c>
      <c r="AG867" s="287">
        <v>0</v>
      </c>
      <c r="AH867" s="287">
        <v>0</v>
      </c>
      <c r="AI867" s="287">
        <v>0</v>
      </c>
      <c r="AJ867" s="287">
        <v>0</v>
      </c>
      <c r="AK867" s="287">
        <v>0</v>
      </c>
      <c r="AL867" s="287">
        <v>0</v>
      </c>
      <c r="AM867" s="287">
        <v>0</v>
      </c>
      <c r="AN867" s="287">
        <v>0</v>
      </c>
      <c r="AO867" s="287">
        <v>0</v>
      </c>
      <c r="AP867" s="287">
        <v>0</v>
      </c>
      <c r="AQ867" s="287">
        <v>0</v>
      </c>
      <c r="AR867" s="287">
        <v>0</v>
      </c>
      <c r="AS867" s="287">
        <v>0</v>
      </c>
      <c r="AT867" s="287">
        <v>0</v>
      </c>
      <c r="AU867" s="287">
        <v>0</v>
      </c>
      <c r="AV867" s="287">
        <v>0</v>
      </c>
      <c r="AW867" s="287">
        <v>0</v>
      </c>
      <c r="AX867" s="287">
        <v>0</v>
      </c>
      <c r="AY867" s="287">
        <v>0</v>
      </c>
      <c r="AZ867" s="287">
        <v>0</v>
      </c>
      <c r="BA867" s="287">
        <v>0</v>
      </c>
      <c r="BB867" s="287">
        <v>0</v>
      </c>
      <c r="BC867" s="185"/>
      <c r="BD867" s="193">
        <f>SUM(G867:BC867)</f>
        <v>0</v>
      </c>
    </row>
    <row r="868" spans="1:56" hidden="1" outlineLevel="1" x14ac:dyDescent="0.3">
      <c r="A868" s="184" t="str">
        <f ca="1">Language!A$908</f>
        <v>суммы в осн. валюте: график оплаты, без НДС</v>
      </c>
      <c r="B868" s="203"/>
      <c r="C868" s="163" t="str">
        <f t="shared" ref="C868:C886" ca="1" si="3429">CHOOSE(D868,CurName1,CurName2,CurName3)</f>
        <v>руб.</v>
      </c>
      <c r="D868" s="174">
        <v>1</v>
      </c>
      <c r="E868" s="170" t="s">
        <v>751</v>
      </c>
      <c r="F868" s="170" t="s">
        <v>740</v>
      </c>
      <c r="G868" s="185">
        <f>G858*CHOOSE($D858,1,Параметры!G$53,Параметры!G$59)</f>
        <v>0</v>
      </c>
      <c r="H868" s="185">
        <f>H858*CHOOSE($D858,1,Параметры!H$53,Параметры!H$59)</f>
        <v>0</v>
      </c>
      <c r="I868" s="185">
        <f>I858*CHOOSE($D858,1,Параметры!I$53,Параметры!I$59)</f>
        <v>0</v>
      </c>
      <c r="J868" s="185">
        <f>J858*CHOOSE($D858,1,Параметры!J$53,Параметры!J$59)</f>
        <v>0</v>
      </c>
      <c r="K868" s="185">
        <f>K858*CHOOSE($D858,1,Параметры!K$53,Параметры!K$59)</f>
        <v>0</v>
      </c>
      <c r="L868" s="185">
        <f>L858*CHOOSE($D858,1,Параметры!L$53,Параметры!L$59)</f>
        <v>1800000</v>
      </c>
      <c r="M868" s="185">
        <f>M858*CHOOSE($D858,1,Параметры!M$53,Параметры!M$59)</f>
        <v>0</v>
      </c>
      <c r="N868" s="185">
        <f>N858*CHOOSE($D858,1,Параметры!N$53,Параметры!N$59)</f>
        <v>0</v>
      </c>
      <c r="O868" s="185">
        <f>O858*CHOOSE($D858,1,Параметры!O$53,Параметры!O$59)</f>
        <v>0</v>
      </c>
      <c r="P868" s="185">
        <f>P858*CHOOSE($D858,1,Параметры!P$53,Параметры!P$59)</f>
        <v>0</v>
      </c>
      <c r="Q868" s="185">
        <f>Q858*CHOOSE($D858,1,Параметры!Q$53,Параметры!Q$59)</f>
        <v>0</v>
      </c>
      <c r="R868" s="185">
        <f>R858*CHOOSE($D858,1,Параметры!R$53,Параметры!R$59)</f>
        <v>0</v>
      </c>
      <c r="S868" s="185">
        <f>S858*CHOOSE($D858,1,Параметры!S$53,Параметры!S$59)</f>
        <v>0</v>
      </c>
      <c r="T868" s="185">
        <f>T858*CHOOSE($D858,1,Параметры!T$53,Параметры!T$59)</f>
        <v>0</v>
      </c>
      <c r="U868" s="185">
        <f>U858*CHOOSE($D858,1,Параметры!U$53,Параметры!U$59)</f>
        <v>0</v>
      </c>
      <c r="V868" s="185">
        <f>V858*CHOOSE($D858,1,Параметры!V$53,Параметры!V$59)</f>
        <v>0</v>
      </c>
      <c r="W868" s="185">
        <f>W858*CHOOSE($D858,1,Параметры!W$53,Параметры!W$59)</f>
        <v>0</v>
      </c>
      <c r="X868" s="185">
        <f>X858*CHOOSE($D858,1,Параметры!X$53,Параметры!X$59)</f>
        <v>0</v>
      </c>
      <c r="Y868" s="185">
        <f>Y858*CHOOSE($D858,1,Параметры!Y$53,Параметры!Y$59)</f>
        <v>0</v>
      </c>
      <c r="Z868" s="185">
        <f>Z858*CHOOSE($D858,1,Параметры!Z$53,Параметры!Z$59)</f>
        <v>0</v>
      </c>
      <c r="AA868" s="185">
        <f>AA858*CHOOSE($D858,1,Параметры!AA$53,Параметры!AA$59)</f>
        <v>0</v>
      </c>
      <c r="AB868" s="185">
        <f>AB858*CHOOSE($D858,1,Параметры!AB$53,Параметры!AB$59)</f>
        <v>0</v>
      </c>
      <c r="AC868" s="185">
        <f>AC858*CHOOSE($D858,1,Параметры!AC$53,Параметры!AC$59)</f>
        <v>0</v>
      </c>
      <c r="AD868" s="185">
        <f>AD858*CHOOSE($D858,1,Параметры!AD$53,Параметры!AD$59)</f>
        <v>0</v>
      </c>
      <c r="AE868" s="185">
        <f>AE858*CHOOSE($D858,1,Параметры!AE$53,Параметры!AE$59)</f>
        <v>0</v>
      </c>
      <c r="AF868" s="185">
        <f>AF858*CHOOSE($D858,1,Параметры!AF$53,Параметры!AF$59)</f>
        <v>0</v>
      </c>
      <c r="AG868" s="185">
        <f>AG858*CHOOSE($D858,1,Параметры!AG$53,Параметры!AG$59)</f>
        <v>0</v>
      </c>
      <c r="AH868" s="185">
        <f>AH858*CHOOSE($D858,1,Параметры!AH$53,Параметры!AH$59)</f>
        <v>0</v>
      </c>
      <c r="AI868" s="185">
        <f>AI858*CHOOSE($D858,1,Параметры!AI$53,Параметры!AI$59)</f>
        <v>0</v>
      </c>
      <c r="AJ868" s="185">
        <f>AJ858*CHOOSE($D858,1,Параметры!AJ$53,Параметры!AJ$59)</f>
        <v>0</v>
      </c>
      <c r="AK868" s="185">
        <f>AK858*CHOOSE($D858,1,Параметры!AK$53,Параметры!AK$59)</f>
        <v>0</v>
      </c>
      <c r="AL868" s="185">
        <f>AL858*CHOOSE($D858,1,Параметры!AL$53,Параметры!AL$59)</f>
        <v>0</v>
      </c>
      <c r="AM868" s="185">
        <f>AM858*CHOOSE($D858,1,Параметры!AM$53,Параметры!AM$59)</f>
        <v>0</v>
      </c>
      <c r="AN868" s="185">
        <f>AN858*CHOOSE($D858,1,Параметры!AN$53,Параметры!AN$59)</f>
        <v>0</v>
      </c>
      <c r="AO868" s="185">
        <f>AO858*CHOOSE($D858,1,Параметры!AO$53,Параметры!AO$59)</f>
        <v>0</v>
      </c>
      <c r="AP868" s="185">
        <f>AP858*CHOOSE($D858,1,Параметры!AP$53,Параметры!AP$59)</f>
        <v>0</v>
      </c>
      <c r="AQ868" s="185">
        <f>AQ858*CHOOSE($D858,1,Параметры!AQ$53,Параметры!AQ$59)</f>
        <v>0</v>
      </c>
      <c r="AR868" s="185">
        <f>AR858*CHOOSE($D858,1,Параметры!AR$53,Параметры!AR$59)</f>
        <v>0</v>
      </c>
      <c r="AS868" s="185">
        <f>AS858*CHOOSE($D858,1,Параметры!AS$53,Параметры!AS$59)</f>
        <v>0</v>
      </c>
      <c r="AT868" s="185">
        <f>AT858*CHOOSE($D858,1,Параметры!AT$53,Параметры!AT$59)</f>
        <v>0</v>
      </c>
      <c r="AU868" s="185">
        <f>AU858*CHOOSE($D858,1,Параметры!AU$53,Параметры!AU$59)</f>
        <v>0</v>
      </c>
      <c r="AV868" s="185">
        <f>AV858*CHOOSE($D858,1,Параметры!AV$53,Параметры!AV$59)</f>
        <v>0</v>
      </c>
      <c r="AW868" s="185">
        <f>AW858*CHOOSE($D858,1,Параметры!AW$53,Параметры!AW$59)</f>
        <v>0</v>
      </c>
      <c r="AX868" s="185">
        <f>AX858*CHOOSE($D858,1,Параметры!AX$53,Параметры!AX$59)</f>
        <v>0</v>
      </c>
      <c r="AY868" s="185">
        <f>AY858*CHOOSE($D858,1,Параметры!AY$53,Параметры!AY$59)</f>
        <v>0</v>
      </c>
      <c r="AZ868" s="185">
        <f>AZ858*CHOOSE($D858,1,Параметры!AZ$53,Параметры!AZ$59)</f>
        <v>0</v>
      </c>
      <c r="BA868" s="185">
        <f>BA858*CHOOSE($D858,1,Параметры!BA$53,Параметры!BA$59)</f>
        <v>0</v>
      </c>
      <c r="BB868" s="185">
        <f>BB858*CHOOSE($D858,1,Параметры!BB$53,Параметры!BB$59)</f>
        <v>0</v>
      </c>
      <c r="BC868" s="185"/>
      <c r="BD868" s="193">
        <f>SUM(G868:BC868)</f>
        <v>1800000</v>
      </c>
    </row>
    <row r="869" spans="1:56" hidden="1" outlineLevel="1" x14ac:dyDescent="0.3">
      <c r="A869" s="187" t="str">
        <f ca="1">Language!A$1509</f>
        <v>график оплаты, c НДС</v>
      </c>
      <c r="B869" s="163"/>
      <c r="C869" s="163" t="str">
        <f t="shared" ca="1" si="3429"/>
        <v>руб.</v>
      </c>
      <c r="D869" s="174">
        <v>1</v>
      </c>
      <c r="E869" s="170" t="s">
        <v>993</v>
      </c>
      <c r="F869" s="170" t="s">
        <v>740</v>
      </c>
      <c r="G869" s="185">
        <f>G868+G873+G879</f>
        <v>0</v>
      </c>
      <c r="H869" s="185">
        <f t="shared" ref="H869:BB869" si="3430">H868+H873+H879</f>
        <v>0</v>
      </c>
      <c r="I869" s="185">
        <f t="shared" si="3430"/>
        <v>0</v>
      </c>
      <c r="J869" s="185">
        <f t="shared" si="3430"/>
        <v>0</v>
      </c>
      <c r="K869" s="185">
        <f t="shared" si="3430"/>
        <v>0</v>
      </c>
      <c r="L869" s="185">
        <f t="shared" si="3430"/>
        <v>1800000</v>
      </c>
      <c r="M869" s="185">
        <f t="shared" si="3430"/>
        <v>0</v>
      </c>
      <c r="N869" s="185">
        <f t="shared" si="3430"/>
        <v>0</v>
      </c>
      <c r="O869" s="185">
        <f t="shared" si="3430"/>
        <v>0</v>
      </c>
      <c r="P869" s="185">
        <f t="shared" si="3430"/>
        <v>0</v>
      </c>
      <c r="Q869" s="185">
        <f t="shared" si="3430"/>
        <v>0</v>
      </c>
      <c r="R869" s="185">
        <f t="shared" si="3430"/>
        <v>0</v>
      </c>
      <c r="S869" s="185">
        <f t="shared" si="3430"/>
        <v>0</v>
      </c>
      <c r="T869" s="185">
        <f t="shared" si="3430"/>
        <v>0</v>
      </c>
      <c r="U869" s="185">
        <f t="shared" si="3430"/>
        <v>0</v>
      </c>
      <c r="V869" s="185">
        <f t="shared" si="3430"/>
        <v>0</v>
      </c>
      <c r="W869" s="185">
        <f t="shared" si="3430"/>
        <v>0</v>
      </c>
      <c r="X869" s="185">
        <f t="shared" si="3430"/>
        <v>0</v>
      </c>
      <c r="Y869" s="185">
        <f t="shared" si="3430"/>
        <v>0</v>
      </c>
      <c r="Z869" s="185">
        <f t="shared" si="3430"/>
        <v>0</v>
      </c>
      <c r="AA869" s="185">
        <f t="shared" si="3430"/>
        <v>0</v>
      </c>
      <c r="AB869" s="185">
        <f t="shared" si="3430"/>
        <v>0</v>
      </c>
      <c r="AC869" s="185">
        <f t="shared" si="3430"/>
        <v>0</v>
      </c>
      <c r="AD869" s="185">
        <f t="shared" si="3430"/>
        <v>0</v>
      </c>
      <c r="AE869" s="185">
        <f t="shared" si="3430"/>
        <v>0</v>
      </c>
      <c r="AF869" s="185">
        <f t="shared" si="3430"/>
        <v>0</v>
      </c>
      <c r="AG869" s="185">
        <f t="shared" si="3430"/>
        <v>0</v>
      </c>
      <c r="AH869" s="185">
        <f t="shared" si="3430"/>
        <v>0</v>
      </c>
      <c r="AI869" s="185">
        <f t="shared" si="3430"/>
        <v>0</v>
      </c>
      <c r="AJ869" s="185">
        <f t="shared" si="3430"/>
        <v>0</v>
      </c>
      <c r="AK869" s="185">
        <f t="shared" si="3430"/>
        <v>0</v>
      </c>
      <c r="AL869" s="185">
        <f t="shared" si="3430"/>
        <v>0</v>
      </c>
      <c r="AM869" s="185">
        <f t="shared" si="3430"/>
        <v>0</v>
      </c>
      <c r="AN869" s="185">
        <f t="shared" si="3430"/>
        <v>0</v>
      </c>
      <c r="AO869" s="185">
        <f t="shared" si="3430"/>
        <v>0</v>
      </c>
      <c r="AP869" s="185">
        <f t="shared" si="3430"/>
        <v>0</v>
      </c>
      <c r="AQ869" s="185">
        <f t="shared" si="3430"/>
        <v>0</v>
      </c>
      <c r="AR869" s="185">
        <f t="shared" si="3430"/>
        <v>0</v>
      </c>
      <c r="AS869" s="185">
        <f t="shared" si="3430"/>
        <v>0</v>
      </c>
      <c r="AT869" s="185">
        <f t="shared" si="3430"/>
        <v>0</v>
      </c>
      <c r="AU869" s="185">
        <f t="shared" si="3430"/>
        <v>0</v>
      </c>
      <c r="AV869" s="185">
        <f t="shared" si="3430"/>
        <v>0</v>
      </c>
      <c r="AW869" s="185">
        <f t="shared" si="3430"/>
        <v>0</v>
      </c>
      <c r="AX869" s="185">
        <f t="shared" si="3430"/>
        <v>0</v>
      </c>
      <c r="AY869" s="185">
        <f t="shared" si="3430"/>
        <v>0</v>
      </c>
      <c r="AZ869" s="185">
        <f t="shared" si="3430"/>
        <v>0</v>
      </c>
      <c r="BA869" s="185">
        <f t="shared" si="3430"/>
        <v>0</v>
      </c>
      <c r="BB869" s="185">
        <f t="shared" si="3430"/>
        <v>0</v>
      </c>
      <c r="BC869" s="185"/>
      <c r="BD869" s="193">
        <f>SUM(G869:BC869)</f>
        <v>1800000</v>
      </c>
    </row>
    <row r="870" spans="1:56" hidden="1" outlineLevel="1" x14ac:dyDescent="0.3">
      <c r="A870" s="187" t="str">
        <f ca="1">Language!A$909</f>
        <v>ранее осуществленные инвестиции, без НДС</v>
      </c>
      <c r="B870" s="212">
        <f>B859*CHOOSE(D859,1,Параметры!G$53,Параметры!G$59)</f>
        <v>0</v>
      </c>
      <c r="C870" s="163" t="str">
        <f t="shared" ca="1" si="3429"/>
        <v>руб.</v>
      </c>
      <c r="D870" s="174">
        <v>1</v>
      </c>
      <c r="E870" s="170" t="s">
        <v>1269</v>
      </c>
      <c r="G870" s="170">
        <f>B870</f>
        <v>0</v>
      </c>
      <c r="H870" s="170"/>
      <c r="I870" s="170"/>
      <c r="J870" s="170"/>
      <c r="K870" s="170"/>
      <c r="L870" s="170"/>
      <c r="M870" s="170"/>
      <c r="N870" s="170"/>
      <c r="O870" s="170"/>
      <c r="P870" s="170"/>
      <c r="Q870" s="170"/>
      <c r="R870" s="170"/>
      <c r="S870" s="170"/>
      <c r="T870" s="170"/>
      <c r="U870" s="170"/>
      <c r="V870" s="170"/>
      <c r="W870" s="170"/>
      <c r="X870" s="170"/>
      <c r="Y870" s="170"/>
      <c r="Z870" s="170"/>
      <c r="AA870" s="170"/>
      <c r="AB870" s="170"/>
      <c r="AC870" s="170"/>
      <c r="AD870" s="170"/>
      <c r="AE870" s="170"/>
      <c r="AF870" s="170"/>
      <c r="AG870" s="170"/>
      <c r="AH870" s="170"/>
      <c r="AI870" s="170"/>
      <c r="AJ870" s="170"/>
      <c r="AK870" s="170"/>
      <c r="AL870" s="170"/>
      <c r="AM870" s="170"/>
      <c r="AN870" s="170"/>
      <c r="AO870" s="170"/>
      <c r="AP870" s="170"/>
      <c r="AQ870" s="170"/>
      <c r="AR870" s="170"/>
      <c r="AS870" s="170"/>
      <c r="AT870" s="170"/>
      <c r="AU870" s="170"/>
      <c r="AV870" s="170"/>
      <c r="AW870" s="170"/>
      <c r="AX870" s="170"/>
      <c r="AY870" s="170"/>
      <c r="AZ870" s="170"/>
      <c r="BA870" s="170"/>
      <c r="BB870" s="170"/>
      <c r="BC870" s="170"/>
      <c r="BD870" s="193"/>
    </row>
    <row r="871" spans="1:56" hidden="1" outlineLevel="1" x14ac:dyDescent="0.3">
      <c r="A871" s="187" t="str">
        <f ca="1">Language!A$910</f>
        <v>НДС к ранее осуществленным инвестициям</v>
      </c>
      <c r="B871" s="212">
        <f>B870*G866</f>
        <v>0</v>
      </c>
      <c r="C871" s="163" t="str">
        <f t="shared" ca="1" si="3429"/>
        <v>руб.</v>
      </c>
      <c r="D871" s="174">
        <v>1</v>
      </c>
      <c r="E871" s="170" t="s">
        <v>1273</v>
      </c>
      <c r="G871" s="185">
        <f>B871</f>
        <v>0</v>
      </c>
      <c r="H871" s="185"/>
      <c r="I871" s="185"/>
      <c r="J871" s="185"/>
      <c r="K871" s="185"/>
      <c r="L871" s="185"/>
      <c r="M871" s="185"/>
      <c r="N871" s="185"/>
      <c r="O871" s="185"/>
      <c r="P871" s="185"/>
      <c r="Q871" s="185"/>
      <c r="R871" s="185"/>
      <c r="S871" s="185"/>
      <c r="T871" s="185"/>
      <c r="U871" s="185"/>
      <c r="V871" s="185"/>
      <c r="W871" s="185"/>
      <c r="X871" s="185"/>
      <c r="Y871" s="185"/>
      <c r="Z871" s="185"/>
      <c r="AA871" s="185"/>
      <c r="AB871" s="185"/>
      <c r="AC871" s="185"/>
      <c r="AD871" s="185"/>
      <c r="AE871" s="185"/>
      <c r="AF871" s="185"/>
      <c r="AG871" s="185"/>
      <c r="AH871" s="185"/>
      <c r="AI871" s="185"/>
      <c r="AJ871" s="185"/>
      <c r="AK871" s="185"/>
      <c r="AL871" s="185"/>
      <c r="AM871" s="185"/>
      <c r="AN871" s="185"/>
      <c r="AO871" s="185"/>
      <c r="AP871" s="185"/>
      <c r="AQ871" s="185"/>
      <c r="AR871" s="185"/>
      <c r="AS871" s="185"/>
      <c r="AT871" s="185"/>
      <c r="AU871" s="185"/>
      <c r="AV871" s="185"/>
      <c r="AW871" s="185"/>
      <c r="AX871" s="185"/>
      <c r="AY871" s="185"/>
      <c r="AZ871" s="185"/>
      <c r="BA871" s="185"/>
      <c r="BB871" s="185"/>
      <c r="BC871" s="185"/>
      <c r="BD871" s="193"/>
    </row>
    <row r="872" spans="1:56" hidden="1" outlineLevel="1" x14ac:dyDescent="0.3">
      <c r="A872" s="187" t="str">
        <f ca="1">Language!A$911</f>
        <v>график ввода в эксплуатацию, без НДС</v>
      </c>
      <c r="B872" s="203"/>
      <c r="C872" s="163" t="str">
        <f t="shared" ca="1" si="3429"/>
        <v>руб.</v>
      </c>
      <c r="D872" s="174">
        <v>1</v>
      </c>
      <c r="F872" s="170" t="s">
        <v>740</v>
      </c>
      <c r="G872" s="185">
        <f>G860*CHOOSE($D860,1,Параметры!G$53,Параметры!G$59)</f>
        <v>0</v>
      </c>
      <c r="H872" s="185">
        <f>H860*CHOOSE($D860,1,Параметры!H$53,Параметры!H$59)</f>
        <v>0</v>
      </c>
      <c r="I872" s="185">
        <f>I860*CHOOSE($D860,1,Параметры!I$53,Параметры!I$59)</f>
        <v>0</v>
      </c>
      <c r="J872" s="185">
        <f>J860*CHOOSE($D860,1,Параметры!J$53,Параметры!J$59)</f>
        <v>0</v>
      </c>
      <c r="K872" s="185">
        <f>K860*CHOOSE($D860,1,Параметры!K$53,Параметры!K$59)</f>
        <v>0</v>
      </c>
      <c r="L872" s="185">
        <f>L860*CHOOSE($D860,1,Параметры!L$53,Параметры!L$59)</f>
        <v>0</v>
      </c>
      <c r="M872" s="185">
        <f>M860*CHOOSE($D860,1,Параметры!M$53,Параметры!M$59)</f>
        <v>1800000</v>
      </c>
      <c r="N872" s="185">
        <f>N860*CHOOSE($D860,1,Параметры!N$53,Параметры!N$59)</f>
        <v>0</v>
      </c>
      <c r="O872" s="185">
        <f>O860*CHOOSE($D860,1,Параметры!O$53,Параметры!O$59)</f>
        <v>0</v>
      </c>
      <c r="P872" s="185">
        <f>P860*CHOOSE($D860,1,Параметры!P$53,Параметры!P$59)</f>
        <v>0</v>
      </c>
      <c r="Q872" s="185">
        <f>Q860*CHOOSE($D860,1,Параметры!Q$53,Параметры!Q$59)</f>
        <v>0</v>
      </c>
      <c r="R872" s="185">
        <f>R860*CHOOSE($D860,1,Параметры!R$53,Параметры!R$59)</f>
        <v>0</v>
      </c>
      <c r="S872" s="185">
        <f>S860*CHOOSE($D860,1,Параметры!S$53,Параметры!S$59)</f>
        <v>0</v>
      </c>
      <c r="T872" s="185">
        <f>T860*CHOOSE($D860,1,Параметры!T$53,Параметры!T$59)</f>
        <v>0</v>
      </c>
      <c r="U872" s="185">
        <f>U860*CHOOSE($D860,1,Параметры!U$53,Параметры!U$59)</f>
        <v>0</v>
      </c>
      <c r="V872" s="185">
        <f>V860*CHOOSE($D860,1,Параметры!V$53,Параметры!V$59)</f>
        <v>0</v>
      </c>
      <c r="W872" s="185">
        <f>W860*CHOOSE($D860,1,Параметры!W$53,Параметры!W$59)</f>
        <v>0</v>
      </c>
      <c r="X872" s="185">
        <f>X860*CHOOSE($D860,1,Параметры!X$53,Параметры!X$59)</f>
        <v>0</v>
      </c>
      <c r="Y872" s="185">
        <f>Y860*CHOOSE($D860,1,Параметры!Y$53,Параметры!Y$59)</f>
        <v>0</v>
      </c>
      <c r="Z872" s="185">
        <f>Z860*CHOOSE($D860,1,Параметры!Z$53,Параметры!Z$59)</f>
        <v>0</v>
      </c>
      <c r="AA872" s="185">
        <f>AA860*CHOOSE($D860,1,Параметры!AA$53,Параметры!AA$59)</f>
        <v>0</v>
      </c>
      <c r="AB872" s="185">
        <f>AB860*CHOOSE($D860,1,Параметры!AB$53,Параметры!AB$59)</f>
        <v>0</v>
      </c>
      <c r="AC872" s="185">
        <f>AC860*CHOOSE($D860,1,Параметры!AC$53,Параметры!AC$59)</f>
        <v>0</v>
      </c>
      <c r="AD872" s="185">
        <f>AD860*CHOOSE($D860,1,Параметры!AD$53,Параметры!AD$59)</f>
        <v>0</v>
      </c>
      <c r="AE872" s="185">
        <f>AE860*CHOOSE($D860,1,Параметры!AE$53,Параметры!AE$59)</f>
        <v>0</v>
      </c>
      <c r="AF872" s="185">
        <f>AF860*CHOOSE($D860,1,Параметры!AF$53,Параметры!AF$59)</f>
        <v>0</v>
      </c>
      <c r="AG872" s="185">
        <f>AG860*CHOOSE($D860,1,Параметры!AG$53,Параметры!AG$59)</f>
        <v>0</v>
      </c>
      <c r="AH872" s="185">
        <f>AH860*CHOOSE($D860,1,Параметры!AH$53,Параметры!AH$59)</f>
        <v>0</v>
      </c>
      <c r="AI872" s="185">
        <f>AI860*CHOOSE($D860,1,Параметры!AI$53,Параметры!AI$59)</f>
        <v>0</v>
      </c>
      <c r="AJ872" s="185">
        <f>AJ860*CHOOSE($D860,1,Параметры!AJ$53,Параметры!AJ$59)</f>
        <v>0</v>
      </c>
      <c r="AK872" s="185">
        <f>AK860*CHOOSE($D860,1,Параметры!AK$53,Параметры!AK$59)</f>
        <v>0</v>
      </c>
      <c r="AL872" s="185">
        <f>AL860*CHOOSE($D860,1,Параметры!AL$53,Параметры!AL$59)</f>
        <v>0</v>
      </c>
      <c r="AM872" s="185">
        <f>AM860*CHOOSE($D860,1,Параметры!AM$53,Параметры!AM$59)</f>
        <v>0</v>
      </c>
      <c r="AN872" s="185">
        <f>AN860*CHOOSE($D860,1,Параметры!AN$53,Параметры!AN$59)</f>
        <v>0</v>
      </c>
      <c r="AO872" s="185">
        <f>AO860*CHOOSE($D860,1,Параметры!AO$53,Параметры!AO$59)</f>
        <v>0</v>
      </c>
      <c r="AP872" s="185">
        <f>AP860*CHOOSE($D860,1,Параметры!AP$53,Параметры!AP$59)</f>
        <v>0</v>
      </c>
      <c r="AQ872" s="185">
        <f>AQ860*CHOOSE($D860,1,Параметры!AQ$53,Параметры!AQ$59)</f>
        <v>0</v>
      </c>
      <c r="AR872" s="185">
        <f>AR860*CHOOSE($D860,1,Параметры!AR$53,Параметры!AR$59)</f>
        <v>0</v>
      </c>
      <c r="AS872" s="185">
        <f>AS860*CHOOSE($D860,1,Параметры!AS$53,Параметры!AS$59)</f>
        <v>0</v>
      </c>
      <c r="AT872" s="185">
        <f>AT860*CHOOSE($D860,1,Параметры!AT$53,Параметры!AT$59)</f>
        <v>0</v>
      </c>
      <c r="AU872" s="185">
        <f>AU860*CHOOSE($D860,1,Параметры!AU$53,Параметры!AU$59)</f>
        <v>0</v>
      </c>
      <c r="AV872" s="185">
        <f>AV860*CHOOSE($D860,1,Параметры!AV$53,Параметры!AV$59)</f>
        <v>0</v>
      </c>
      <c r="AW872" s="185">
        <f>AW860*CHOOSE($D860,1,Параметры!AW$53,Параметры!AW$59)</f>
        <v>0</v>
      </c>
      <c r="AX872" s="185">
        <f>AX860*CHOOSE($D860,1,Параметры!AX$53,Параметры!AX$59)</f>
        <v>0</v>
      </c>
      <c r="AY872" s="185">
        <f>AY860*CHOOSE($D860,1,Параметры!AY$53,Параметры!AY$59)</f>
        <v>0</v>
      </c>
      <c r="AZ872" s="185">
        <f>AZ860*CHOOSE($D860,1,Параметры!AZ$53,Параметры!AZ$59)</f>
        <v>0</v>
      </c>
      <c r="BA872" s="185">
        <f>BA860*CHOOSE($D860,1,Параметры!BA$53,Параметры!BA$59)</f>
        <v>0</v>
      </c>
      <c r="BB872" s="185">
        <f>BB860*CHOOSE($D860,1,Параметры!BB$53,Параметры!BB$59)</f>
        <v>0</v>
      </c>
      <c r="BC872" s="185"/>
      <c r="BD872" s="193">
        <f>SUM(G872:BC872)</f>
        <v>1800000</v>
      </c>
    </row>
    <row r="873" spans="1:56" hidden="1" outlineLevel="1" x14ac:dyDescent="0.3">
      <c r="A873" s="187" t="str">
        <f ca="1">Language!A$912</f>
        <v>импортная пошлина</v>
      </c>
      <c r="B873" s="203"/>
      <c r="C873" s="163" t="str">
        <f t="shared" ca="1" si="3429"/>
        <v>руб.</v>
      </c>
      <c r="D873" s="174">
        <v>1</v>
      </c>
      <c r="E873" s="170" t="s">
        <v>765</v>
      </c>
      <c r="F873" s="170" t="s">
        <v>740</v>
      </c>
      <c r="G873" s="185">
        <f>G865*CHOOSE($D865,1,Параметры!G$53,Параметры!G$59)</f>
        <v>0</v>
      </c>
      <c r="H873" s="185">
        <f>H865*CHOOSE($D865,1,Параметры!H$53,Параметры!H$59)</f>
        <v>0</v>
      </c>
      <c r="I873" s="185">
        <f>I865*CHOOSE($D865,1,Параметры!I$53,Параметры!I$59)</f>
        <v>0</v>
      </c>
      <c r="J873" s="185">
        <f>J865*CHOOSE($D865,1,Параметры!J$53,Параметры!J$59)</f>
        <v>0</v>
      </c>
      <c r="K873" s="185">
        <f>K865*CHOOSE($D865,1,Параметры!K$53,Параметры!K$59)</f>
        <v>0</v>
      </c>
      <c r="L873" s="185">
        <f>L865*CHOOSE($D865,1,Параметры!L$53,Параметры!L$59)</f>
        <v>0</v>
      </c>
      <c r="M873" s="185">
        <f>M865*CHOOSE($D865,1,Параметры!M$53,Параметры!M$59)</f>
        <v>0</v>
      </c>
      <c r="N873" s="185">
        <f>N865*CHOOSE($D865,1,Параметры!N$53,Параметры!N$59)</f>
        <v>0</v>
      </c>
      <c r="O873" s="185">
        <f>O865*CHOOSE($D865,1,Параметры!O$53,Параметры!O$59)</f>
        <v>0</v>
      </c>
      <c r="P873" s="185">
        <f>P865*CHOOSE($D865,1,Параметры!P$53,Параметры!P$59)</f>
        <v>0</v>
      </c>
      <c r="Q873" s="185">
        <f>Q865*CHOOSE($D865,1,Параметры!Q$53,Параметры!Q$59)</f>
        <v>0</v>
      </c>
      <c r="R873" s="185">
        <f>R865*CHOOSE($D865,1,Параметры!R$53,Параметры!R$59)</f>
        <v>0</v>
      </c>
      <c r="S873" s="185">
        <f>S865*CHOOSE($D865,1,Параметры!S$53,Параметры!S$59)</f>
        <v>0</v>
      </c>
      <c r="T873" s="185">
        <f>T865*CHOOSE($D865,1,Параметры!T$53,Параметры!T$59)</f>
        <v>0</v>
      </c>
      <c r="U873" s="185">
        <f>U865*CHOOSE($D865,1,Параметры!U$53,Параметры!U$59)</f>
        <v>0</v>
      </c>
      <c r="V873" s="185">
        <f>V865*CHOOSE($D865,1,Параметры!V$53,Параметры!V$59)</f>
        <v>0</v>
      </c>
      <c r="W873" s="185">
        <f>W865*CHOOSE($D865,1,Параметры!W$53,Параметры!W$59)</f>
        <v>0</v>
      </c>
      <c r="X873" s="185">
        <f>X865*CHOOSE($D865,1,Параметры!X$53,Параметры!X$59)</f>
        <v>0</v>
      </c>
      <c r="Y873" s="185">
        <f>Y865*CHOOSE($D865,1,Параметры!Y$53,Параметры!Y$59)</f>
        <v>0</v>
      </c>
      <c r="Z873" s="185">
        <f>Z865*CHOOSE($D865,1,Параметры!Z$53,Параметры!Z$59)</f>
        <v>0</v>
      </c>
      <c r="AA873" s="185">
        <f>AA865*CHOOSE($D865,1,Параметры!AA$53,Параметры!AA$59)</f>
        <v>0</v>
      </c>
      <c r="AB873" s="185">
        <f>AB865*CHOOSE($D865,1,Параметры!AB$53,Параметры!AB$59)</f>
        <v>0</v>
      </c>
      <c r="AC873" s="185">
        <f>AC865*CHOOSE($D865,1,Параметры!AC$53,Параметры!AC$59)</f>
        <v>0</v>
      </c>
      <c r="AD873" s="185">
        <f>AD865*CHOOSE($D865,1,Параметры!AD$53,Параметры!AD$59)</f>
        <v>0</v>
      </c>
      <c r="AE873" s="185">
        <f>AE865*CHOOSE($D865,1,Параметры!AE$53,Параметры!AE$59)</f>
        <v>0</v>
      </c>
      <c r="AF873" s="185">
        <f>AF865*CHOOSE($D865,1,Параметры!AF$53,Параметры!AF$59)</f>
        <v>0</v>
      </c>
      <c r="AG873" s="185">
        <f>AG865*CHOOSE($D865,1,Параметры!AG$53,Параметры!AG$59)</f>
        <v>0</v>
      </c>
      <c r="AH873" s="185">
        <f>AH865*CHOOSE($D865,1,Параметры!AH$53,Параметры!AH$59)</f>
        <v>0</v>
      </c>
      <c r="AI873" s="185">
        <f>AI865*CHOOSE($D865,1,Параметры!AI$53,Параметры!AI$59)</f>
        <v>0</v>
      </c>
      <c r="AJ873" s="185">
        <f>AJ865*CHOOSE($D865,1,Параметры!AJ$53,Параметры!AJ$59)</f>
        <v>0</v>
      </c>
      <c r="AK873" s="185">
        <f>AK865*CHOOSE($D865,1,Параметры!AK$53,Параметры!AK$59)</f>
        <v>0</v>
      </c>
      <c r="AL873" s="185">
        <f>AL865*CHOOSE($D865,1,Параметры!AL$53,Параметры!AL$59)</f>
        <v>0</v>
      </c>
      <c r="AM873" s="185">
        <f>AM865*CHOOSE($D865,1,Параметры!AM$53,Параметры!AM$59)</f>
        <v>0</v>
      </c>
      <c r="AN873" s="185">
        <f>AN865*CHOOSE($D865,1,Параметры!AN$53,Параметры!AN$59)</f>
        <v>0</v>
      </c>
      <c r="AO873" s="185">
        <f>AO865*CHOOSE($D865,1,Параметры!AO$53,Параметры!AO$59)</f>
        <v>0</v>
      </c>
      <c r="AP873" s="185">
        <f>AP865*CHOOSE($D865,1,Параметры!AP$53,Параметры!AP$59)</f>
        <v>0</v>
      </c>
      <c r="AQ873" s="185">
        <f>AQ865*CHOOSE($D865,1,Параметры!AQ$53,Параметры!AQ$59)</f>
        <v>0</v>
      </c>
      <c r="AR873" s="185">
        <f>AR865*CHOOSE($D865,1,Параметры!AR$53,Параметры!AR$59)</f>
        <v>0</v>
      </c>
      <c r="AS873" s="185">
        <f>AS865*CHOOSE($D865,1,Параметры!AS$53,Параметры!AS$59)</f>
        <v>0</v>
      </c>
      <c r="AT873" s="185">
        <f>AT865*CHOOSE($D865,1,Параметры!AT$53,Параметры!AT$59)</f>
        <v>0</v>
      </c>
      <c r="AU873" s="185">
        <f>AU865*CHOOSE($D865,1,Параметры!AU$53,Параметры!AU$59)</f>
        <v>0</v>
      </c>
      <c r="AV873" s="185">
        <f>AV865*CHOOSE($D865,1,Параметры!AV$53,Параметры!AV$59)</f>
        <v>0</v>
      </c>
      <c r="AW873" s="185">
        <f>AW865*CHOOSE($D865,1,Параметры!AW$53,Параметры!AW$59)</f>
        <v>0</v>
      </c>
      <c r="AX873" s="185">
        <f>AX865*CHOOSE($D865,1,Параметры!AX$53,Параметры!AX$59)</f>
        <v>0</v>
      </c>
      <c r="AY873" s="185">
        <f>AY865*CHOOSE($D865,1,Параметры!AY$53,Параметры!AY$59)</f>
        <v>0</v>
      </c>
      <c r="AZ873" s="185">
        <f>AZ865*CHOOSE($D865,1,Параметры!AZ$53,Параметры!AZ$59)</f>
        <v>0</v>
      </c>
      <c r="BA873" s="185">
        <f>BA865*CHOOSE($D865,1,Параметры!BA$53,Параметры!BA$59)</f>
        <v>0</v>
      </c>
      <c r="BB873" s="185">
        <f>BB865*CHOOSE($D865,1,Параметры!BB$53,Параметры!BB$59)</f>
        <v>0</v>
      </c>
      <c r="BC873" s="185"/>
      <c r="BD873" s="193">
        <f>SUM(G873:BC873)</f>
        <v>0</v>
      </c>
    </row>
    <row r="874" spans="1:56" hidden="1" outlineLevel="1" x14ac:dyDescent="0.3">
      <c r="A874" s="184" t="str">
        <f ca="1">Language!A$913</f>
        <v>незавершенные инвестиции</v>
      </c>
      <c r="B874" s="170"/>
      <c r="C874" s="163" t="str">
        <f t="shared" ca="1" si="3429"/>
        <v>руб.</v>
      </c>
      <c r="D874" s="174">
        <v>1</v>
      </c>
      <c r="E874" s="170" t="s">
        <v>754</v>
      </c>
      <c r="F874" s="170" t="s">
        <v>741</v>
      </c>
      <c r="G874" s="185">
        <f>IF(SUM($G867:G867)&gt;0.01,0,MAX(SUM($G858:G858)+$B859-SUM($G860:G860),0)+IF($B863=0,0,MAX(SUM($G865:G865)-SUM($G860:G860)*$B865,0)))*CHOOSE($D858,1,Параметры!G$53,Параметры!G$59)</f>
        <v>0</v>
      </c>
      <c r="H874" s="185">
        <f>IF(SUM($G867:H867)&gt;0.01,0,MAX(SUM($G858:H858)+$B859-SUM($G860:H860),0)+IF($B863=0,0,MAX(SUM($G865:H865)-SUM($G860:H860)*$B865,0)))*CHOOSE($D858,1,Параметры!H$53,Параметры!H$59)</f>
        <v>0</v>
      </c>
      <c r="I874" s="185">
        <f>IF(SUM($G867:I867)&gt;0.01,0,MAX(SUM($G858:I858)+$B859-SUM($G860:I860),0)+IF($B863=0,0,MAX(SUM($G865:I865)-SUM($G860:I860)*$B865,0)))*CHOOSE($D858,1,Параметры!I$53,Параметры!I$59)</f>
        <v>0</v>
      </c>
      <c r="J874" s="185">
        <f>IF(SUM($G867:J867)&gt;0.01,0,MAX(SUM($G858:J858)+$B859-SUM($G860:J860),0)+IF($B863=0,0,MAX(SUM($G865:J865)-SUM($G860:J860)*$B865,0)))*CHOOSE($D858,1,Параметры!J$53,Параметры!J$59)</f>
        <v>0</v>
      </c>
      <c r="K874" s="185">
        <f>IF(SUM($G867:K867)&gt;0.01,0,MAX(SUM($G858:K858)+$B859-SUM($G860:K860),0)+IF($B863=0,0,MAX(SUM($G865:K865)-SUM($G860:K860)*$B865,0)))*CHOOSE($D858,1,Параметры!K$53,Параметры!K$59)</f>
        <v>0</v>
      </c>
      <c r="L874" s="185">
        <f>IF(SUM($G867:L867)&gt;0.01,0,MAX(SUM($G858:L858)+$B859-SUM($G860:L860),0)+IF($B863=0,0,MAX(SUM($G865:L865)-SUM($G860:L860)*$B865,0)))*CHOOSE($D858,1,Параметры!L$53,Параметры!L$59)</f>
        <v>1800000</v>
      </c>
      <c r="M874" s="185">
        <f>IF(SUM($G867:M867)&gt;0.01,0,MAX(SUM($G858:M858)+$B859-SUM($G860:M860),0)+IF($B863=0,0,MAX(SUM($G865:M865)-SUM($G860:M860)*$B865,0)))*CHOOSE($D858,1,Параметры!M$53,Параметры!M$59)</f>
        <v>0</v>
      </c>
      <c r="N874" s="185">
        <f>IF(SUM($G867:N867)&gt;0.01,0,MAX(SUM($G858:N858)+$B859-SUM($G860:N860),0)+IF($B863=0,0,MAX(SUM($G865:N865)-SUM($G860:N860)*$B865,0)))*CHOOSE($D858,1,Параметры!N$53,Параметры!N$59)</f>
        <v>0</v>
      </c>
      <c r="O874" s="185">
        <f>IF(SUM($G867:O867)&gt;0.01,0,MAX(SUM($G858:O858)+$B859-SUM($G860:O860),0)+IF($B863=0,0,MAX(SUM($G865:O865)-SUM($G860:O860)*$B865,0)))*CHOOSE($D858,1,Параметры!O$53,Параметры!O$59)</f>
        <v>0</v>
      </c>
      <c r="P874" s="185">
        <f>IF(SUM($G867:P867)&gt;0.01,0,MAX(SUM($G858:P858)+$B859-SUM($G860:P860),0)+IF($B863=0,0,MAX(SUM($G865:P865)-SUM($G860:P860)*$B865,0)))*CHOOSE($D858,1,Параметры!P$53,Параметры!P$59)</f>
        <v>0</v>
      </c>
      <c r="Q874" s="185">
        <f>IF(SUM($G867:Q867)&gt;0.01,0,MAX(SUM($G858:Q858)+$B859-SUM($G860:Q860),0)+IF($B863=0,0,MAX(SUM($G865:Q865)-SUM($G860:Q860)*$B865,0)))*CHOOSE($D858,1,Параметры!Q$53,Параметры!Q$59)</f>
        <v>0</v>
      </c>
      <c r="R874" s="185">
        <f>IF(SUM($G867:R867)&gt;0.01,0,MAX(SUM($G858:R858)+$B859-SUM($G860:R860),0)+IF($B863=0,0,MAX(SUM($G865:R865)-SUM($G860:R860)*$B865,0)))*CHOOSE($D858,1,Параметры!R$53,Параметры!R$59)</f>
        <v>0</v>
      </c>
      <c r="S874" s="185">
        <f>IF(SUM($G867:S867)&gt;0.01,0,MAX(SUM($G858:S858)+$B859-SUM($G860:S860),0)+IF($B863=0,0,MAX(SUM($G865:S865)-SUM($G860:S860)*$B865,0)))*CHOOSE($D858,1,Параметры!S$53,Параметры!S$59)</f>
        <v>0</v>
      </c>
      <c r="T874" s="185">
        <f>IF(SUM($G867:T867)&gt;0.01,0,MAX(SUM($G858:T858)+$B859-SUM($G860:T860),0)+IF($B863=0,0,MAX(SUM($G865:T865)-SUM($G860:T860)*$B865,0)))*CHOOSE($D858,1,Параметры!T$53,Параметры!T$59)</f>
        <v>0</v>
      </c>
      <c r="U874" s="185">
        <f>IF(SUM($G867:U867)&gt;0.01,0,MAX(SUM($G858:U858)+$B859-SUM($G860:U860),0)+IF($B863=0,0,MAX(SUM($G865:U865)-SUM($G860:U860)*$B865,0)))*CHOOSE($D858,1,Параметры!U$53,Параметры!U$59)</f>
        <v>0</v>
      </c>
      <c r="V874" s="185">
        <f>IF(SUM($G867:V867)&gt;0.01,0,MAX(SUM($G858:V858)+$B859-SUM($G860:V860),0)+IF($B863=0,0,MAX(SUM($G865:V865)-SUM($G860:V860)*$B865,0)))*CHOOSE($D858,1,Параметры!V$53,Параметры!V$59)</f>
        <v>0</v>
      </c>
      <c r="W874" s="185">
        <f>IF(SUM($G867:W867)&gt;0.01,0,MAX(SUM($G858:W858)+$B859-SUM($G860:W860),0)+IF($B863=0,0,MAX(SUM($G865:W865)-SUM($G860:W860)*$B865,0)))*CHOOSE($D858,1,Параметры!W$53,Параметры!W$59)</f>
        <v>0</v>
      </c>
      <c r="X874" s="185">
        <f>IF(SUM($G867:X867)&gt;0.01,0,MAX(SUM($G858:X858)+$B859-SUM($G860:X860),0)+IF($B863=0,0,MAX(SUM($G865:X865)-SUM($G860:X860)*$B865,0)))*CHOOSE($D858,1,Параметры!X$53,Параметры!X$59)</f>
        <v>0</v>
      </c>
      <c r="Y874" s="185">
        <f>IF(SUM($G867:Y867)&gt;0.01,0,MAX(SUM($G858:Y858)+$B859-SUM($G860:Y860),0)+IF($B863=0,0,MAX(SUM($G865:Y865)-SUM($G860:Y860)*$B865,0)))*CHOOSE($D858,1,Параметры!Y$53,Параметры!Y$59)</f>
        <v>0</v>
      </c>
      <c r="Z874" s="185">
        <f>IF(SUM($G867:Z867)&gt;0.01,0,MAX(SUM($G858:Z858)+$B859-SUM($G860:Z860),0)+IF($B863=0,0,MAX(SUM($G865:Z865)-SUM($G860:Z860)*$B865,0)))*CHOOSE($D858,1,Параметры!Z$53,Параметры!Z$59)</f>
        <v>0</v>
      </c>
      <c r="AA874" s="185">
        <f>IF(SUM($G867:AA867)&gt;0.01,0,MAX(SUM($G858:AA858)+$B859-SUM($G860:AA860),0)+IF($B863=0,0,MAX(SUM($G865:AA865)-SUM($G860:AA860)*$B865,0)))*CHOOSE($D858,1,Параметры!AA$53,Параметры!AA$59)</f>
        <v>0</v>
      </c>
      <c r="AB874" s="185">
        <f>IF(SUM($G867:AB867)&gt;0.01,0,MAX(SUM($G858:AB858)+$B859-SUM($G860:AB860),0)+IF($B863=0,0,MAX(SUM($G865:AB865)-SUM($G860:AB860)*$B865,0)))*CHOOSE($D858,1,Параметры!AB$53,Параметры!AB$59)</f>
        <v>0</v>
      </c>
      <c r="AC874" s="185">
        <f>IF(SUM($G867:AC867)&gt;0.01,0,MAX(SUM($G858:AC858)+$B859-SUM($G860:AC860),0)+IF($B863=0,0,MAX(SUM($G865:AC865)-SUM($G860:AC860)*$B865,0)))*CHOOSE($D858,1,Параметры!AC$53,Параметры!AC$59)</f>
        <v>0</v>
      </c>
      <c r="AD874" s="185">
        <f>IF(SUM($G867:AD867)&gt;0.01,0,MAX(SUM($G858:AD858)+$B859-SUM($G860:AD860),0)+IF($B863=0,0,MAX(SUM($G865:AD865)-SUM($G860:AD860)*$B865,0)))*CHOOSE($D858,1,Параметры!AD$53,Параметры!AD$59)</f>
        <v>0</v>
      </c>
      <c r="AE874" s="185">
        <f>IF(SUM($G867:AE867)&gt;0.01,0,MAX(SUM($G858:AE858)+$B859-SUM($G860:AE860),0)+IF($B863=0,0,MAX(SUM($G865:AE865)-SUM($G860:AE860)*$B865,0)))*CHOOSE($D858,1,Параметры!AE$53,Параметры!AE$59)</f>
        <v>0</v>
      </c>
      <c r="AF874" s="185">
        <f>IF(SUM($G867:AF867)&gt;0.01,0,MAX(SUM($G858:AF858)+$B859-SUM($G860:AF860),0)+IF($B863=0,0,MAX(SUM($G865:AF865)-SUM($G860:AF860)*$B865,0)))*CHOOSE($D858,1,Параметры!AF$53,Параметры!AF$59)</f>
        <v>0</v>
      </c>
      <c r="AG874" s="185">
        <f>IF(SUM($G867:AG867)&gt;0.01,0,MAX(SUM($G858:AG858)+$B859-SUM($G860:AG860),0)+IF($B863=0,0,MAX(SUM($G865:AG865)-SUM($G860:AG860)*$B865,0)))*CHOOSE($D858,1,Параметры!AG$53,Параметры!AG$59)</f>
        <v>0</v>
      </c>
      <c r="AH874" s="185">
        <f>IF(SUM($G867:AH867)&gt;0.01,0,MAX(SUM($G858:AH858)+$B859-SUM($G860:AH860),0)+IF($B863=0,0,MAX(SUM($G865:AH865)-SUM($G860:AH860)*$B865,0)))*CHOOSE($D858,1,Параметры!AH$53,Параметры!AH$59)</f>
        <v>0</v>
      </c>
      <c r="AI874" s="185">
        <f>IF(SUM($G867:AI867)&gt;0.01,0,MAX(SUM($G858:AI858)+$B859-SUM($G860:AI860),0)+IF($B863=0,0,MAX(SUM($G865:AI865)-SUM($G860:AI860)*$B865,0)))*CHOOSE($D858,1,Параметры!AI$53,Параметры!AI$59)</f>
        <v>0</v>
      </c>
      <c r="AJ874" s="185">
        <f>IF(SUM($G867:AJ867)&gt;0.01,0,MAX(SUM($G858:AJ858)+$B859-SUM($G860:AJ860),0)+IF($B863=0,0,MAX(SUM($G865:AJ865)-SUM($G860:AJ860)*$B865,0)))*CHOOSE($D858,1,Параметры!AJ$53,Параметры!AJ$59)</f>
        <v>0</v>
      </c>
      <c r="AK874" s="185">
        <f>IF(SUM($G867:AK867)&gt;0.01,0,MAX(SUM($G858:AK858)+$B859-SUM($G860:AK860),0)+IF($B863=0,0,MAX(SUM($G865:AK865)-SUM($G860:AK860)*$B865,0)))*CHOOSE($D858,1,Параметры!AK$53,Параметры!AK$59)</f>
        <v>0</v>
      </c>
      <c r="AL874" s="185">
        <f>IF(SUM($G867:AL867)&gt;0.01,0,MAX(SUM($G858:AL858)+$B859-SUM($G860:AL860),0)+IF($B863=0,0,MAX(SUM($G865:AL865)-SUM($G860:AL860)*$B865,0)))*CHOOSE($D858,1,Параметры!AL$53,Параметры!AL$59)</f>
        <v>0</v>
      </c>
      <c r="AM874" s="185">
        <f>IF(SUM($G867:AM867)&gt;0.01,0,MAX(SUM($G858:AM858)+$B859-SUM($G860:AM860),0)+IF($B863=0,0,MAX(SUM($G865:AM865)-SUM($G860:AM860)*$B865,0)))*CHOOSE($D858,1,Параметры!AM$53,Параметры!AM$59)</f>
        <v>0</v>
      </c>
      <c r="AN874" s="185">
        <f>IF(SUM($G867:AN867)&gt;0.01,0,MAX(SUM($G858:AN858)+$B859-SUM($G860:AN860),0)+IF($B863=0,0,MAX(SUM($G865:AN865)-SUM($G860:AN860)*$B865,0)))*CHOOSE($D858,1,Параметры!AN$53,Параметры!AN$59)</f>
        <v>0</v>
      </c>
      <c r="AO874" s="185">
        <f>IF(SUM($G867:AO867)&gt;0.01,0,MAX(SUM($G858:AO858)+$B859-SUM($G860:AO860),0)+IF($B863=0,0,MAX(SUM($G865:AO865)-SUM($G860:AO860)*$B865,0)))*CHOOSE($D858,1,Параметры!AO$53,Параметры!AO$59)</f>
        <v>0</v>
      </c>
      <c r="AP874" s="185">
        <f>IF(SUM($G867:AP867)&gt;0.01,0,MAX(SUM($G858:AP858)+$B859-SUM($G860:AP860),0)+IF($B863=0,0,MAX(SUM($G865:AP865)-SUM($G860:AP860)*$B865,0)))*CHOOSE($D858,1,Параметры!AP$53,Параметры!AP$59)</f>
        <v>0</v>
      </c>
      <c r="AQ874" s="185">
        <f>IF(SUM($G867:AQ867)&gt;0.01,0,MAX(SUM($G858:AQ858)+$B859-SUM($G860:AQ860),0)+IF($B863=0,0,MAX(SUM($G865:AQ865)-SUM($G860:AQ860)*$B865,0)))*CHOOSE($D858,1,Параметры!AQ$53,Параметры!AQ$59)</f>
        <v>0</v>
      </c>
      <c r="AR874" s="185">
        <f>IF(SUM($G867:AR867)&gt;0.01,0,MAX(SUM($G858:AR858)+$B859-SUM($G860:AR860),0)+IF($B863=0,0,MAX(SUM($G865:AR865)-SUM($G860:AR860)*$B865,0)))*CHOOSE($D858,1,Параметры!AR$53,Параметры!AR$59)</f>
        <v>0</v>
      </c>
      <c r="AS874" s="185">
        <f>IF(SUM($G867:AS867)&gt;0.01,0,MAX(SUM($G858:AS858)+$B859-SUM($G860:AS860),0)+IF($B863=0,0,MAX(SUM($G865:AS865)-SUM($G860:AS860)*$B865,0)))*CHOOSE($D858,1,Параметры!AS$53,Параметры!AS$59)</f>
        <v>0</v>
      </c>
      <c r="AT874" s="185">
        <f>IF(SUM($G867:AT867)&gt;0.01,0,MAX(SUM($G858:AT858)+$B859-SUM($G860:AT860),0)+IF($B863=0,0,MAX(SUM($G865:AT865)-SUM($G860:AT860)*$B865,0)))*CHOOSE($D858,1,Параметры!AT$53,Параметры!AT$59)</f>
        <v>0</v>
      </c>
      <c r="AU874" s="185">
        <f>IF(SUM($G867:AU867)&gt;0.01,0,MAX(SUM($G858:AU858)+$B859-SUM($G860:AU860),0)+IF($B863=0,0,MAX(SUM($G865:AU865)-SUM($G860:AU860)*$B865,0)))*CHOOSE($D858,1,Параметры!AU$53,Параметры!AU$59)</f>
        <v>0</v>
      </c>
      <c r="AV874" s="185">
        <f>IF(SUM($G867:AV867)&gt;0.01,0,MAX(SUM($G858:AV858)+$B859-SUM($G860:AV860),0)+IF($B863=0,0,MAX(SUM($G865:AV865)-SUM($G860:AV860)*$B865,0)))*CHOOSE($D858,1,Параметры!AV$53,Параметры!AV$59)</f>
        <v>0</v>
      </c>
      <c r="AW874" s="185">
        <f>IF(SUM($G867:AW867)&gt;0.01,0,MAX(SUM($G858:AW858)+$B859-SUM($G860:AW860),0)+IF($B863=0,0,MAX(SUM($G865:AW865)-SUM($G860:AW860)*$B865,0)))*CHOOSE($D858,1,Параметры!AW$53,Параметры!AW$59)</f>
        <v>0</v>
      </c>
      <c r="AX874" s="185">
        <f>IF(SUM($G867:AX867)&gt;0.01,0,MAX(SUM($G858:AX858)+$B859-SUM($G860:AX860),0)+IF($B863=0,0,MAX(SUM($G865:AX865)-SUM($G860:AX860)*$B865,0)))*CHOOSE($D858,1,Параметры!AX$53,Параметры!AX$59)</f>
        <v>0</v>
      </c>
      <c r="AY874" s="185">
        <f>IF(SUM($G867:AY867)&gt;0.01,0,MAX(SUM($G858:AY858)+$B859-SUM($G860:AY860),0)+IF($B863=0,0,MAX(SUM($G865:AY865)-SUM($G860:AY860)*$B865,0)))*CHOOSE($D858,1,Параметры!AY$53,Параметры!AY$59)</f>
        <v>0</v>
      </c>
      <c r="AZ874" s="185">
        <f>IF(SUM($G867:AZ867)&gt;0.01,0,MAX(SUM($G858:AZ858)+$B859-SUM($G860:AZ860),0)+IF($B863=0,0,MAX(SUM($G865:AZ865)-SUM($G860:AZ860)*$B865,0)))*CHOOSE($D858,1,Параметры!AZ$53,Параметры!AZ$59)</f>
        <v>0</v>
      </c>
      <c r="BA874" s="185">
        <f>IF(SUM($G867:BA867)&gt;0.01,0,MAX(SUM($G858:BA858)+$B859-SUM($G860:BA860),0)+IF($B863=0,0,MAX(SUM($G865:BA865)-SUM($G860:BA860)*$B865,0)))*CHOOSE($D858,1,Параметры!BA$53,Параметры!BA$59)</f>
        <v>0</v>
      </c>
      <c r="BB874" s="185">
        <f>IF(SUM($G867:BB867)&gt;0.01,0,MAX(SUM($G858:BB858)+$B859-SUM($G860:BB860),0)+IF($B863=0,0,MAX(SUM($G865:BB865)-SUM($G860:BB860)*$B865,0)))*CHOOSE($D858,1,Параметры!BB$53,Параметры!BB$59)</f>
        <v>0</v>
      </c>
      <c r="BC874" s="185"/>
      <c r="BD874" s="186"/>
    </row>
    <row r="875" spans="1:56" hidden="1" outlineLevel="1" x14ac:dyDescent="0.3">
      <c r="A875" s="184" t="str">
        <f ca="1">Language!A$914</f>
        <v>кредиторская задолженность</v>
      </c>
      <c r="B875" s="170"/>
      <c r="C875" s="163" t="str">
        <f t="shared" ca="1" si="3429"/>
        <v>руб.</v>
      </c>
      <c r="D875" s="174">
        <v>1</v>
      </c>
      <c r="E875" s="170" t="s">
        <v>752</v>
      </c>
      <c r="F875" s="170" t="s">
        <v>741</v>
      </c>
      <c r="G875" s="185">
        <f>IF(SUM($G867:G867)&gt;0.01,0,MAX(SUM($G860:G860)-SUM($G858:G858)-$B859,0)*CHOOSE($D858,1,Параметры!G$53,Параметры!G$59)+IF($B863=0,0,MAX(SUM($G860:G860)*$B865-SUM($G865:G865),0)*CHOOSE($D858,1,Параметры!G$53,Параметры!G$59)+MAX(SUM($G880:G880)-SUM($G879:G879),0)))*IF($B863=0,1+G866,1)</f>
        <v>0</v>
      </c>
      <c r="H875" s="185">
        <f>IF(SUM($G867:H867)&gt;0.01,0,MAX(SUM($G860:H860)-SUM($G858:H858)-$B859,0)*CHOOSE($D858,1,Параметры!H$53,Параметры!H$59)+IF($B863=0,0,MAX(SUM($G860:H860)*$B865-SUM($G865:H865),0)*CHOOSE($D858,1,Параметры!H$53,Параметры!H$59)+MAX(SUM($G880:H880)-SUM($G879:H879),0)))*IF($B863=0,1+H866,1)</f>
        <v>0</v>
      </c>
      <c r="I875" s="185">
        <f>IF(SUM($G867:I867)&gt;0.01,0,MAX(SUM($G860:I860)-SUM($G858:I858)-$B859,0)*CHOOSE($D858,1,Параметры!I$53,Параметры!I$59)+IF($B863=0,0,MAX(SUM($G860:I860)*$B865-SUM($G865:I865),0)*CHOOSE($D858,1,Параметры!I$53,Параметры!I$59)+MAX(SUM($G880:I880)-SUM($G879:I879),0)))*IF($B863=0,1+I866,1)</f>
        <v>0</v>
      </c>
      <c r="J875" s="185">
        <f>IF(SUM($G867:J867)&gt;0.01,0,MAX(SUM($G860:J860)-SUM($G858:J858)-$B859,0)*CHOOSE($D858,1,Параметры!J$53,Параметры!J$59)+IF($B863=0,0,MAX(SUM($G860:J860)*$B865-SUM($G865:J865),0)*CHOOSE($D858,1,Параметры!J$53,Параметры!J$59)+MAX(SUM($G880:J880)-SUM($G879:J879),0)))*IF($B863=0,1+J866,1)</f>
        <v>0</v>
      </c>
      <c r="K875" s="185">
        <f>IF(SUM($G867:K867)&gt;0.01,0,MAX(SUM($G860:K860)-SUM($G858:K858)-$B859,0)*CHOOSE($D858,1,Параметры!K$53,Параметры!K$59)+IF($B863=0,0,MAX(SUM($G860:K860)*$B865-SUM($G865:K865),0)*CHOOSE($D858,1,Параметры!K$53,Параметры!K$59)+MAX(SUM($G880:K880)-SUM($G879:K879),0)))*IF($B863=0,1+K866,1)</f>
        <v>0</v>
      </c>
      <c r="L875" s="185">
        <f>IF(SUM($G867:L867)&gt;0.01,0,MAX(SUM($G860:L860)-SUM($G858:L858)-$B859,0)*CHOOSE($D858,1,Параметры!L$53,Параметры!L$59)+IF($B863=0,0,MAX(SUM($G860:L860)*$B865-SUM($G865:L865),0)*CHOOSE($D858,1,Параметры!L$53,Параметры!L$59)+MAX(SUM($G880:L880)-SUM($G879:L879),0)))*IF($B863=0,1+L866,1)</f>
        <v>0</v>
      </c>
      <c r="M875" s="185">
        <f>IF(SUM($G867:M867)&gt;0.01,0,MAX(SUM($G860:M860)-SUM($G858:M858)-$B859,0)*CHOOSE($D858,1,Параметры!M$53,Параметры!M$59)+IF($B863=0,0,MAX(SUM($G860:M860)*$B865-SUM($G865:M865),0)*CHOOSE($D858,1,Параметры!M$53,Параметры!M$59)+MAX(SUM($G880:M880)-SUM($G879:M879),0)))*IF($B863=0,1+M866,1)</f>
        <v>0</v>
      </c>
      <c r="N875" s="185">
        <f>IF(SUM($G867:N867)&gt;0.01,0,MAX(SUM($G860:N860)-SUM($G858:N858)-$B859,0)*CHOOSE($D858,1,Параметры!N$53,Параметры!N$59)+IF($B863=0,0,MAX(SUM($G860:N860)*$B865-SUM($G865:N865),0)*CHOOSE($D858,1,Параметры!N$53,Параметры!N$59)+MAX(SUM($G880:N880)-SUM($G879:N879),0)))*IF($B863=0,1+N866,1)</f>
        <v>0</v>
      </c>
      <c r="O875" s="185">
        <f>IF(SUM($G867:O867)&gt;0.01,0,MAX(SUM($G860:O860)-SUM($G858:O858)-$B859,0)*CHOOSE($D858,1,Параметры!O$53,Параметры!O$59)+IF($B863=0,0,MAX(SUM($G860:O860)*$B865-SUM($G865:O865),0)*CHOOSE($D858,1,Параметры!O$53,Параметры!O$59)+MAX(SUM($G880:O880)-SUM($G879:O879),0)))*IF($B863=0,1+O866,1)</f>
        <v>0</v>
      </c>
      <c r="P875" s="185">
        <f>IF(SUM($G867:P867)&gt;0.01,0,MAX(SUM($G860:P860)-SUM($G858:P858)-$B859,0)*CHOOSE($D858,1,Параметры!P$53,Параметры!P$59)+IF($B863=0,0,MAX(SUM($G860:P860)*$B865-SUM($G865:P865),0)*CHOOSE($D858,1,Параметры!P$53,Параметры!P$59)+MAX(SUM($G880:P880)-SUM($G879:P879),0)))*IF($B863=0,1+P866,1)</f>
        <v>0</v>
      </c>
      <c r="Q875" s="185">
        <f>IF(SUM($G867:Q867)&gt;0.01,0,MAX(SUM($G860:Q860)-SUM($G858:Q858)-$B859,0)*CHOOSE($D858,1,Параметры!Q$53,Параметры!Q$59)+IF($B863=0,0,MAX(SUM($G860:Q860)*$B865-SUM($G865:Q865),0)*CHOOSE($D858,1,Параметры!Q$53,Параметры!Q$59)+MAX(SUM($G880:Q880)-SUM($G879:Q879),0)))*IF($B863=0,1+Q866,1)</f>
        <v>0</v>
      </c>
      <c r="R875" s="185">
        <f>IF(SUM($G867:R867)&gt;0.01,0,MAX(SUM($G860:R860)-SUM($G858:R858)-$B859,0)*CHOOSE($D858,1,Параметры!R$53,Параметры!R$59)+IF($B863=0,0,MAX(SUM($G860:R860)*$B865-SUM($G865:R865),0)*CHOOSE($D858,1,Параметры!R$53,Параметры!R$59)+MAX(SUM($G880:R880)-SUM($G879:R879),0)))*IF($B863=0,1+R866,1)</f>
        <v>0</v>
      </c>
      <c r="S875" s="185">
        <f>IF(SUM($G867:S867)&gt;0.01,0,MAX(SUM($G860:S860)-SUM($G858:S858)-$B859,0)*CHOOSE($D858,1,Параметры!S$53,Параметры!S$59)+IF($B863=0,0,MAX(SUM($G860:S860)*$B865-SUM($G865:S865),0)*CHOOSE($D858,1,Параметры!S$53,Параметры!S$59)+MAX(SUM($G880:S880)-SUM($G879:S879),0)))*IF($B863=0,1+S866,1)</f>
        <v>0</v>
      </c>
      <c r="T875" s="185">
        <f>IF(SUM($G867:T867)&gt;0.01,0,MAX(SUM($G860:T860)-SUM($G858:T858)-$B859,0)*CHOOSE($D858,1,Параметры!T$53,Параметры!T$59)+IF($B863=0,0,MAX(SUM($G860:T860)*$B865-SUM($G865:T865),0)*CHOOSE($D858,1,Параметры!T$53,Параметры!T$59)+MAX(SUM($G880:T880)-SUM($G879:T879),0)))*IF($B863=0,1+T866,1)</f>
        <v>0</v>
      </c>
      <c r="U875" s="185">
        <f>IF(SUM($G867:U867)&gt;0.01,0,MAX(SUM($G860:U860)-SUM($G858:U858)-$B859,0)*CHOOSE($D858,1,Параметры!U$53,Параметры!U$59)+IF($B863=0,0,MAX(SUM($G860:U860)*$B865-SUM($G865:U865),0)*CHOOSE($D858,1,Параметры!U$53,Параметры!U$59)+MAX(SUM($G880:U880)-SUM($G879:U879),0)))*IF($B863=0,1+U866,1)</f>
        <v>0</v>
      </c>
      <c r="V875" s="185">
        <f>IF(SUM($G867:V867)&gt;0.01,0,MAX(SUM($G860:V860)-SUM($G858:V858)-$B859,0)*CHOOSE($D858,1,Параметры!V$53,Параметры!V$59)+IF($B863=0,0,MAX(SUM($G860:V860)*$B865-SUM($G865:V865),0)*CHOOSE($D858,1,Параметры!V$53,Параметры!V$59)+MAX(SUM($G880:V880)-SUM($G879:V879),0)))*IF($B863=0,1+V866,1)</f>
        <v>0</v>
      </c>
      <c r="W875" s="185">
        <f>IF(SUM($G867:W867)&gt;0.01,0,MAX(SUM($G860:W860)-SUM($G858:W858)-$B859,0)*CHOOSE($D858,1,Параметры!W$53,Параметры!W$59)+IF($B863=0,0,MAX(SUM($G860:W860)*$B865-SUM($G865:W865),0)*CHOOSE($D858,1,Параметры!W$53,Параметры!W$59)+MAX(SUM($G880:W880)-SUM($G879:W879),0)))*IF($B863=0,1+W866,1)</f>
        <v>0</v>
      </c>
      <c r="X875" s="185">
        <f>IF(SUM($G867:X867)&gt;0.01,0,MAX(SUM($G860:X860)-SUM($G858:X858)-$B859,0)*CHOOSE($D858,1,Параметры!X$53,Параметры!X$59)+IF($B863=0,0,MAX(SUM($G860:X860)*$B865-SUM($G865:X865),0)*CHOOSE($D858,1,Параметры!X$53,Параметры!X$59)+MAX(SUM($G880:X880)-SUM($G879:X879),0)))*IF($B863=0,1+X866,1)</f>
        <v>0</v>
      </c>
      <c r="Y875" s="185">
        <f>IF(SUM($G867:Y867)&gt;0.01,0,MAX(SUM($G860:Y860)-SUM($G858:Y858)-$B859,0)*CHOOSE($D858,1,Параметры!Y$53,Параметры!Y$59)+IF($B863=0,0,MAX(SUM($G860:Y860)*$B865-SUM($G865:Y865),0)*CHOOSE($D858,1,Параметры!Y$53,Параметры!Y$59)+MAX(SUM($G880:Y880)-SUM($G879:Y879),0)))*IF($B863=0,1+Y866,1)</f>
        <v>0</v>
      </c>
      <c r="Z875" s="185">
        <f>IF(SUM($G867:Z867)&gt;0.01,0,MAX(SUM($G860:Z860)-SUM($G858:Z858)-$B859,0)*CHOOSE($D858,1,Параметры!Z$53,Параметры!Z$59)+IF($B863=0,0,MAX(SUM($G860:Z860)*$B865-SUM($G865:Z865),0)*CHOOSE($D858,1,Параметры!Z$53,Параметры!Z$59)+MAX(SUM($G880:Z880)-SUM($G879:Z879),0)))*IF($B863=0,1+Z866,1)</f>
        <v>0</v>
      </c>
      <c r="AA875" s="185">
        <f>IF(SUM($G867:AA867)&gt;0.01,0,MAX(SUM($G860:AA860)-SUM($G858:AA858)-$B859,0)*CHOOSE($D858,1,Параметры!AA$53,Параметры!AA$59)+IF($B863=0,0,MAX(SUM($G860:AA860)*$B865-SUM($G865:AA865),0)*CHOOSE($D858,1,Параметры!AA$53,Параметры!AA$59)+MAX(SUM($G880:AA880)-SUM($G879:AA879),0)))*IF($B863=0,1+AA866,1)</f>
        <v>0</v>
      </c>
      <c r="AB875" s="185">
        <f>IF(SUM($G867:AB867)&gt;0.01,0,MAX(SUM($G860:AB860)-SUM($G858:AB858)-$B859,0)*CHOOSE($D858,1,Параметры!AB$53,Параметры!AB$59)+IF($B863=0,0,MAX(SUM($G860:AB860)*$B865-SUM($G865:AB865),0)*CHOOSE($D858,1,Параметры!AB$53,Параметры!AB$59)+MAX(SUM($G880:AB880)-SUM($G879:AB879),0)))*IF($B863=0,1+AB866,1)</f>
        <v>0</v>
      </c>
      <c r="AC875" s="185">
        <f>IF(SUM($G867:AC867)&gt;0.01,0,MAX(SUM($G860:AC860)-SUM($G858:AC858)-$B859,0)*CHOOSE($D858,1,Параметры!AC$53,Параметры!AC$59)+IF($B863=0,0,MAX(SUM($G860:AC860)*$B865-SUM($G865:AC865),0)*CHOOSE($D858,1,Параметры!AC$53,Параметры!AC$59)+MAX(SUM($G880:AC880)-SUM($G879:AC879),0)))*IF($B863=0,1+AC866,1)</f>
        <v>0</v>
      </c>
      <c r="AD875" s="185">
        <f>IF(SUM($G867:AD867)&gt;0.01,0,MAX(SUM($G860:AD860)-SUM($G858:AD858)-$B859,0)*CHOOSE($D858,1,Параметры!AD$53,Параметры!AD$59)+IF($B863=0,0,MAX(SUM($G860:AD860)*$B865-SUM($G865:AD865),0)*CHOOSE($D858,1,Параметры!AD$53,Параметры!AD$59)+MAX(SUM($G880:AD880)-SUM($G879:AD879),0)))*IF($B863=0,1+AD866,1)</f>
        <v>0</v>
      </c>
      <c r="AE875" s="185">
        <f>IF(SUM($G867:AE867)&gt;0.01,0,MAX(SUM($G860:AE860)-SUM($G858:AE858)-$B859,0)*CHOOSE($D858,1,Параметры!AE$53,Параметры!AE$59)+IF($B863=0,0,MAX(SUM($G860:AE860)*$B865-SUM($G865:AE865),0)*CHOOSE($D858,1,Параметры!AE$53,Параметры!AE$59)+MAX(SUM($G880:AE880)-SUM($G879:AE879),0)))*IF($B863=0,1+AE866,1)</f>
        <v>0</v>
      </c>
      <c r="AF875" s="185">
        <f>IF(SUM($G867:AF867)&gt;0.01,0,MAX(SUM($G860:AF860)-SUM($G858:AF858)-$B859,0)*CHOOSE($D858,1,Параметры!AF$53,Параметры!AF$59)+IF($B863=0,0,MAX(SUM($G860:AF860)*$B865-SUM($G865:AF865),0)*CHOOSE($D858,1,Параметры!AF$53,Параметры!AF$59)+MAX(SUM($G880:AF880)-SUM($G879:AF879),0)))*IF($B863=0,1+AF866,1)</f>
        <v>0</v>
      </c>
      <c r="AG875" s="185">
        <f>IF(SUM($G867:AG867)&gt;0.01,0,MAX(SUM($G860:AG860)-SUM($G858:AG858)-$B859,0)*CHOOSE($D858,1,Параметры!AG$53,Параметры!AG$59)+IF($B863=0,0,MAX(SUM($G860:AG860)*$B865-SUM($G865:AG865),0)*CHOOSE($D858,1,Параметры!AG$53,Параметры!AG$59)+MAX(SUM($G880:AG880)-SUM($G879:AG879),0)))*IF($B863=0,1+AG866,1)</f>
        <v>0</v>
      </c>
      <c r="AH875" s="185">
        <f>IF(SUM($G867:AH867)&gt;0.01,0,MAX(SUM($G860:AH860)-SUM($G858:AH858)-$B859,0)*CHOOSE($D858,1,Параметры!AH$53,Параметры!AH$59)+IF($B863=0,0,MAX(SUM($G860:AH860)*$B865-SUM($G865:AH865),0)*CHOOSE($D858,1,Параметры!AH$53,Параметры!AH$59)+MAX(SUM($G880:AH880)-SUM($G879:AH879),0)))*IF($B863=0,1+AH866,1)</f>
        <v>0</v>
      </c>
      <c r="AI875" s="185">
        <f>IF(SUM($G867:AI867)&gt;0.01,0,MAX(SUM($G860:AI860)-SUM($G858:AI858)-$B859,0)*CHOOSE($D858,1,Параметры!AI$53,Параметры!AI$59)+IF($B863=0,0,MAX(SUM($G860:AI860)*$B865-SUM($G865:AI865),0)*CHOOSE($D858,1,Параметры!AI$53,Параметры!AI$59)+MAX(SUM($G880:AI880)-SUM($G879:AI879),0)))*IF($B863=0,1+AI866,1)</f>
        <v>0</v>
      </c>
      <c r="AJ875" s="185">
        <f>IF(SUM($G867:AJ867)&gt;0.01,0,MAX(SUM($G860:AJ860)-SUM($G858:AJ858)-$B859,0)*CHOOSE($D858,1,Параметры!AJ$53,Параметры!AJ$59)+IF($B863=0,0,MAX(SUM($G860:AJ860)*$B865-SUM($G865:AJ865),0)*CHOOSE($D858,1,Параметры!AJ$53,Параметры!AJ$59)+MAX(SUM($G880:AJ880)-SUM($G879:AJ879),0)))*IF($B863=0,1+AJ866,1)</f>
        <v>0</v>
      </c>
      <c r="AK875" s="185">
        <f>IF(SUM($G867:AK867)&gt;0.01,0,MAX(SUM($G860:AK860)-SUM($G858:AK858)-$B859,0)*CHOOSE($D858,1,Параметры!AK$53,Параметры!AK$59)+IF($B863=0,0,MAX(SUM($G860:AK860)*$B865-SUM($G865:AK865),0)*CHOOSE($D858,1,Параметры!AK$53,Параметры!AK$59)+MAX(SUM($G880:AK880)-SUM($G879:AK879),0)))*IF($B863=0,1+AK866,1)</f>
        <v>0</v>
      </c>
      <c r="AL875" s="185">
        <f>IF(SUM($G867:AL867)&gt;0.01,0,MAX(SUM($G860:AL860)-SUM($G858:AL858)-$B859,0)*CHOOSE($D858,1,Параметры!AL$53,Параметры!AL$59)+IF($B863=0,0,MAX(SUM($G860:AL860)*$B865-SUM($G865:AL865),0)*CHOOSE($D858,1,Параметры!AL$53,Параметры!AL$59)+MAX(SUM($G880:AL880)-SUM($G879:AL879),0)))*IF($B863=0,1+AL866,1)</f>
        <v>0</v>
      </c>
      <c r="AM875" s="185">
        <f>IF(SUM($G867:AM867)&gt;0.01,0,MAX(SUM($G860:AM860)-SUM($G858:AM858)-$B859,0)*CHOOSE($D858,1,Параметры!AM$53,Параметры!AM$59)+IF($B863=0,0,MAX(SUM($G860:AM860)*$B865-SUM($G865:AM865),0)*CHOOSE($D858,1,Параметры!AM$53,Параметры!AM$59)+MAX(SUM($G880:AM880)-SUM($G879:AM879),0)))*IF($B863=0,1+AM866,1)</f>
        <v>0</v>
      </c>
      <c r="AN875" s="185">
        <f>IF(SUM($G867:AN867)&gt;0.01,0,MAX(SUM($G860:AN860)-SUM($G858:AN858)-$B859,0)*CHOOSE($D858,1,Параметры!AN$53,Параметры!AN$59)+IF($B863=0,0,MAX(SUM($G860:AN860)*$B865-SUM($G865:AN865),0)*CHOOSE($D858,1,Параметры!AN$53,Параметры!AN$59)+MAX(SUM($G880:AN880)-SUM($G879:AN879),0)))*IF($B863=0,1+AN866,1)</f>
        <v>0</v>
      </c>
      <c r="AO875" s="185">
        <f>IF(SUM($G867:AO867)&gt;0.01,0,MAX(SUM($G860:AO860)-SUM($G858:AO858)-$B859,0)*CHOOSE($D858,1,Параметры!AO$53,Параметры!AO$59)+IF($B863=0,0,MAX(SUM($G860:AO860)*$B865-SUM($G865:AO865),0)*CHOOSE($D858,1,Параметры!AO$53,Параметры!AO$59)+MAX(SUM($G880:AO880)-SUM($G879:AO879),0)))*IF($B863=0,1+AO866,1)</f>
        <v>0</v>
      </c>
      <c r="AP875" s="185">
        <f>IF(SUM($G867:AP867)&gt;0.01,0,MAX(SUM($G860:AP860)-SUM($G858:AP858)-$B859,0)*CHOOSE($D858,1,Параметры!AP$53,Параметры!AP$59)+IF($B863=0,0,MAX(SUM($G860:AP860)*$B865-SUM($G865:AP865),0)*CHOOSE($D858,1,Параметры!AP$53,Параметры!AP$59)+MAX(SUM($G880:AP880)-SUM($G879:AP879),0)))*IF($B863=0,1+AP866,1)</f>
        <v>0</v>
      </c>
      <c r="AQ875" s="185">
        <f>IF(SUM($G867:AQ867)&gt;0.01,0,MAX(SUM($G860:AQ860)-SUM($G858:AQ858)-$B859,0)*CHOOSE($D858,1,Параметры!AQ$53,Параметры!AQ$59)+IF($B863=0,0,MAX(SUM($G860:AQ860)*$B865-SUM($G865:AQ865),0)*CHOOSE($D858,1,Параметры!AQ$53,Параметры!AQ$59)+MAX(SUM($G880:AQ880)-SUM($G879:AQ879),0)))*IF($B863=0,1+AQ866,1)</f>
        <v>0</v>
      </c>
      <c r="AR875" s="185">
        <f>IF(SUM($G867:AR867)&gt;0.01,0,MAX(SUM($G860:AR860)-SUM($G858:AR858)-$B859,0)*CHOOSE($D858,1,Параметры!AR$53,Параметры!AR$59)+IF($B863=0,0,MAX(SUM($G860:AR860)*$B865-SUM($G865:AR865),0)*CHOOSE($D858,1,Параметры!AR$53,Параметры!AR$59)+MAX(SUM($G880:AR880)-SUM($G879:AR879),0)))*IF($B863=0,1+AR866,1)</f>
        <v>0</v>
      </c>
      <c r="AS875" s="185">
        <f>IF(SUM($G867:AS867)&gt;0.01,0,MAX(SUM($G860:AS860)-SUM($G858:AS858)-$B859,0)*CHOOSE($D858,1,Параметры!AS$53,Параметры!AS$59)+IF($B863=0,0,MAX(SUM($G860:AS860)*$B865-SUM($G865:AS865),0)*CHOOSE($D858,1,Параметры!AS$53,Параметры!AS$59)+MAX(SUM($G880:AS880)-SUM($G879:AS879),0)))*IF($B863=0,1+AS866,1)</f>
        <v>0</v>
      </c>
      <c r="AT875" s="185">
        <f>IF(SUM($G867:AT867)&gt;0.01,0,MAX(SUM($G860:AT860)-SUM($G858:AT858)-$B859,0)*CHOOSE($D858,1,Параметры!AT$53,Параметры!AT$59)+IF($B863=0,0,MAX(SUM($G860:AT860)*$B865-SUM($G865:AT865),0)*CHOOSE($D858,1,Параметры!AT$53,Параметры!AT$59)+MAX(SUM($G880:AT880)-SUM($G879:AT879),0)))*IF($B863=0,1+AT866,1)</f>
        <v>0</v>
      </c>
      <c r="AU875" s="185">
        <f>IF(SUM($G867:AU867)&gt;0.01,0,MAX(SUM($G860:AU860)-SUM($G858:AU858)-$B859,0)*CHOOSE($D858,1,Параметры!AU$53,Параметры!AU$59)+IF($B863=0,0,MAX(SUM($G860:AU860)*$B865-SUM($G865:AU865),0)*CHOOSE($D858,1,Параметры!AU$53,Параметры!AU$59)+MAX(SUM($G880:AU880)-SUM($G879:AU879),0)))*IF($B863=0,1+AU866,1)</f>
        <v>0</v>
      </c>
      <c r="AV875" s="185">
        <f>IF(SUM($G867:AV867)&gt;0.01,0,MAX(SUM($G860:AV860)-SUM($G858:AV858)-$B859,0)*CHOOSE($D858,1,Параметры!AV$53,Параметры!AV$59)+IF($B863=0,0,MAX(SUM($G860:AV860)*$B865-SUM($G865:AV865),0)*CHOOSE($D858,1,Параметры!AV$53,Параметры!AV$59)+MAX(SUM($G880:AV880)-SUM($G879:AV879),0)))*IF($B863=0,1+AV866,1)</f>
        <v>0</v>
      </c>
      <c r="AW875" s="185">
        <f>IF(SUM($G867:AW867)&gt;0.01,0,MAX(SUM($G860:AW860)-SUM($G858:AW858)-$B859,0)*CHOOSE($D858,1,Параметры!AW$53,Параметры!AW$59)+IF($B863=0,0,MAX(SUM($G860:AW860)*$B865-SUM($G865:AW865),0)*CHOOSE($D858,1,Параметры!AW$53,Параметры!AW$59)+MAX(SUM($G880:AW880)-SUM($G879:AW879),0)))*IF($B863=0,1+AW866,1)</f>
        <v>0</v>
      </c>
      <c r="AX875" s="185">
        <f>IF(SUM($G867:AX867)&gt;0.01,0,MAX(SUM($G860:AX860)-SUM($G858:AX858)-$B859,0)*CHOOSE($D858,1,Параметры!AX$53,Параметры!AX$59)+IF($B863=0,0,MAX(SUM($G860:AX860)*$B865-SUM($G865:AX865),0)*CHOOSE($D858,1,Параметры!AX$53,Параметры!AX$59)+MAX(SUM($G880:AX880)-SUM($G879:AX879),0)))*IF($B863=0,1+AX866,1)</f>
        <v>0</v>
      </c>
      <c r="AY875" s="185">
        <f>IF(SUM($G867:AY867)&gt;0.01,0,MAX(SUM($G860:AY860)-SUM($G858:AY858)-$B859,0)*CHOOSE($D858,1,Параметры!AY$53,Параметры!AY$59)+IF($B863=0,0,MAX(SUM($G860:AY860)*$B865-SUM($G865:AY865),0)*CHOOSE($D858,1,Параметры!AY$53,Параметры!AY$59)+MAX(SUM($G880:AY880)-SUM($G879:AY879),0)))*IF($B863=0,1+AY866,1)</f>
        <v>0</v>
      </c>
      <c r="AZ875" s="185">
        <f>IF(SUM($G867:AZ867)&gt;0.01,0,MAX(SUM($G860:AZ860)-SUM($G858:AZ858)-$B859,0)*CHOOSE($D858,1,Параметры!AZ$53,Параметры!AZ$59)+IF($B863=0,0,MAX(SUM($G860:AZ860)*$B865-SUM($G865:AZ865),0)*CHOOSE($D858,1,Параметры!AZ$53,Параметры!AZ$59)+MAX(SUM($G880:AZ880)-SUM($G879:AZ879),0)))*IF($B863=0,1+AZ866,1)</f>
        <v>0</v>
      </c>
      <c r="BA875" s="185">
        <f>IF(SUM($G867:BA867)&gt;0.01,0,MAX(SUM($G860:BA860)-SUM($G858:BA858)-$B859,0)*CHOOSE($D858,1,Параметры!BA$53,Параметры!BA$59)+IF($B863=0,0,MAX(SUM($G860:BA860)*$B865-SUM($G865:BA865),0)*CHOOSE($D858,1,Параметры!BA$53,Параметры!BA$59)+MAX(SUM($G880:BA880)-SUM($G879:BA879),0)))*IF($B863=0,1+BA866,1)</f>
        <v>0</v>
      </c>
      <c r="BB875" s="185">
        <f>IF(SUM($G867:BB867)&gt;0.01,0,MAX(SUM($G860:BB860)-SUM($G858:BB858)-$B859,0)*CHOOSE($D858,1,Параметры!BB$53,Параметры!BB$59)+IF($B863=0,0,MAX(SUM($G860:BB860)*$B865-SUM($G865:BB865),0)*CHOOSE($D858,1,Параметры!BB$53,Параметры!BB$59)+MAX(SUM($G880:BB880)-SUM($G879:BB879),0)))*IF($B863=0,1+BB866,1)</f>
        <v>0</v>
      </c>
      <c r="BC875" s="185"/>
      <c r="BD875" s="186"/>
    </row>
    <row r="876" spans="1:56" hidden="1" outlineLevel="1" x14ac:dyDescent="0.3">
      <c r="A876" s="184" t="str">
        <f ca="1">Language!A$1511</f>
        <v>НДС к кредиторской задолженности</v>
      </c>
      <c r="B876" s="170"/>
      <c r="C876" s="163" t="str">
        <f t="shared" ca="1" si="3429"/>
        <v>руб.</v>
      </c>
      <c r="D876" s="174">
        <v>1</v>
      </c>
      <c r="E876" s="170" t="s">
        <v>2294</v>
      </c>
      <c r="F876" s="170" t="s">
        <v>741</v>
      </c>
      <c r="G876" s="185">
        <f>MAX(SUM($G880:G880)-SUM($G879:G879)-IF($B863=0,SUM($G871:G871),0),0)</f>
        <v>0</v>
      </c>
      <c r="H876" s="185">
        <f>MAX(SUM($G880:H880)-SUM($G879:H879)-IF($B863=0,SUM($G871:H871),0),0)</f>
        <v>0</v>
      </c>
      <c r="I876" s="185">
        <f>MAX(SUM($G880:I880)-SUM($G879:I879)-IF($B863=0,SUM($G871:I871),0),0)</f>
        <v>0</v>
      </c>
      <c r="J876" s="185">
        <f>MAX(SUM($G880:J880)-SUM($G879:J879)-IF($B863=0,SUM($G871:J871),0),0)</f>
        <v>0</v>
      </c>
      <c r="K876" s="185">
        <f>MAX(SUM($G880:K880)-SUM($G879:K879)-IF($B863=0,SUM($G871:K871),0),0)</f>
        <v>0</v>
      </c>
      <c r="L876" s="185">
        <f>MAX(SUM($G880:L880)-SUM($G879:L879)-IF($B863=0,SUM($G871:L871),0),0)</f>
        <v>0</v>
      </c>
      <c r="M876" s="185">
        <f>MAX(SUM($G880:M880)-SUM($G879:M879)-IF($B863=0,SUM($G871:M871),0),0)</f>
        <v>0</v>
      </c>
      <c r="N876" s="185">
        <f>MAX(SUM($G880:N880)-SUM($G879:N879)-IF($B863=0,SUM($G871:N871),0),0)</f>
        <v>0</v>
      </c>
      <c r="O876" s="185">
        <f>MAX(SUM($G880:O880)-SUM($G879:O879)-IF($B863=0,SUM($G871:O871),0),0)</f>
        <v>0</v>
      </c>
      <c r="P876" s="185">
        <f>MAX(SUM($G880:P880)-SUM($G879:P879)-IF($B863=0,SUM($G871:P871),0),0)</f>
        <v>0</v>
      </c>
      <c r="Q876" s="185">
        <f>MAX(SUM($G880:Q880)-SUM($G879:Q879)-IF($B863=0,SUM($G871:Q871),0),0)</f>
        <v>0</v>
      </c>
      <c r="R876" s="185">
        <f>MAX(SUM($G880:R880)-SUM($G879:R879)-IF($B863=0,SUM($G871:R871),0),0)</f>
        <v>0</v>
      </c>
      <c r="S876" s="185">
        <f>MAX(SUM($G880:S880)-SUM($G879:S879)-IF($B863=0,SUM($G871:S871),0),0)</f>
        <v>0</v>
      </c>
      <c r="T876" s="185">
        <f>MAX(SUM($G880:T880)-SUM($G879:T879)-IF($B863=0,SUM($G871:T871),0),0)</f>
        <v>0</v>
      </c>
      <c r="U876" s="185">
        <f>MAX(SUM($G880:U880)-SUM($G879:U879)-IF($B863=0,SUM($G871:U871),0),0)</f>
        <v>0</v>
      </c>
      <c r="V876" s="185">
        <f>MAX(SUM($G880:V880)-SUM($G879:V879)-IF($B863=0,SUM($G871:V871),0),0)</f>
        <v>0</v>
      </c>
      <c r="W876" s="185">
        <f>MAX(SUM($G880:W880)-SUM($G879:W879)-IF($B863=0,SUM($G871:W871),0),0)</f>
        <v>0</v>
      </c>
      <c r="X876" s="185">
        <f>MAX(SUM($G880:X880)-SUM($G879:X879)-IF($B863=0,SUM($G871:X871),0),0)</f>
        <v>0</v>
      </c>
      <c r="Y876" s="185">
        <f>MAX(SUM($G880:Y880)-SUM($G879:Y879)-IF($B863=0,SUM($G871:Y871),0),0)</f>
        <v>0</v>
      </c>
      <c r="Z876" s="185">
        <f>MAX(SUM($G880:Z880)-SUM($G879:Z879)-IF($B863=0,SUM($G871:Z871),0),0)</f>
        <v>0</v>
      </c>
      <c r="AA876" s="185">
        <f>MAX(SUM($G880:AA880)-SUM($G879:AA879)-IF($B863=0,SUM($G871:AA871),0),0)</f>
        <v>0</v>
      </c>
      <c r="AB876" s="185">
        <f>MAX(SUM($G880:AB880)-SUM($G879:AB879)-IF($B863=0,SUM($G871:AB871),0),0)</f>
        <v>0</v>
      </c>
      <c r="AC876" s="185">
        <f>MAX(SUM($G880:AC880)-SUM($G879:AC879)-IF($B863=0,SUM($G871:AC871),0),0)</f>
        <v>0</v>
      </c>
      <c r="AD876" s="185">
        <f>MAX(SUM($G880:AD880)-SUM($G879:AD879)-IF($B863=0,SUM($G871:AD871),0),0)</f>
        <v>0</v>
      </c>
      <c r="AE876" s="185">
        <f>MAX(SUM($G880:AE880)-SUM($G879:AE879)-IF($B863=0,SUM($G871:AE871),0),0)</f>
        <v>0</v>
      </c>
      <c r="AF876" s="185">
        <f>MAX(SUM($G880:AF880)-SUM($G879:AF879)-IF($B863=0,SUM($G871:AF871),0),0)</f>
        <v>0</v>
      </c>
      <c r="AG876" s="185">
        <f>MAX(SUM($G880:AG880)-SUM($G879:AG879)-IF($B863=0,SUM($G871:AG871),0),0)</f>
        <v>0</v>
      </c>
      <c r="AH876" s="185">
        <f>MAX(SUM($G880:AH880)-SUM($G879:AH879)-IF($B863=0,SUM($G871:AH871),0),0)</f>
        <v>0</v>
      </c>
      <c r="AI876" s="185">
        <f>MAX(SUM($G880:AI880)-SUM($G879:AI879)-IF($B863=0,SUM($G871:AI871),0),0)</f>
        <v>0</v>
      </c>
      <c r="AJ876" s="185">
        <f>MAX(SUM($G880:AJ880)-SUM($G879:AJ879)-IF($B863=0,SUM($G871:AJ871),0),0)</f>
        <v>0</v>
      </c>
      <c r="AK876" s="185">
        <f>MAX(SUM($G880:AK880)-SUM($G879:AK879)-IF($B863=0,SUM($G871:AK871),0),0)</f>
        <v>0</v>
      </c>
      <c r="AL876" s="185">
        <f>MAX(SUM($G880:AL880)-SUM($G879:AL879)-IF($B863=0,SUM($G871:AL871),0),0)</f>
        <v>0</v>
      </c>
      <c r="AM876" s="185">
        <f>MAX(SUM($G880:AM880)-SUM($G879:AM879)-IF($B863=0,SUM($G871:AM871),0),0)</f>
        <v>0</v>
      </c>
      <c r="AN876" s="185">
        <f>MAX(SUM($G880:AN880)-SUM($G879:AN879)-IF($B863=0,SUM($G871:AN871),0),0)</f>
        <v>0</v>
      </c>
      <c r="AO876" s="185">
        <f>MAX(SUM($G880:AO880)-SUM($G879:AO879)-IF($B863=0,SUM($G871:AO871),0),0)</f>
        <v>0</v>
      </c>
      <c r="AP876" s="185">
        <f>MAX(SUM($G880:AP880)-SUM($G879:AP879)-IF($B863=0,SUM($G871:AP871),0),0)</f>
        <v>0</v>
      </c>
      <c r="AQ876" s="185">
        <f>MAX(SUM($G880:AQ880)-SUM($G879:AQ879)-IF($B863=0,SUM($G871:AQ871),0),0)</f>
        <v>0</v>
      </c>
      <c r="AR876" s="185">
        <f>MAX(SUM($G880:AR880)-SUM($G879:AR879)-IF($B863=0,SUM($G871:AR871),0),0)</f>
        <v>0</v>
      </c>
      <c r="AS876" s="185">
        <f>MAX(SUM($G880:AS880)-SUM($G879:AS879)-IF($B863=0,SUM($G871:AS871),0),0)</f>
        <v>0</v>
      </c>
      <c r="AT876" s="185">
        <f>MAX(SUM($G880:AT880)-SUM($G879:AT879)-IF($B863=0,SUM($G871:AT871),0),0)</f>
        <v>0</v>
      </c>
      <c r="AU876" s="185">
        <f>MAX(SUM($G880:AU880)-SUM($G879:AU879)-IF($B863=0,SUM($G871:AU871),0),0)</f>
        <v>0</v>
      </c>
      <c r="AV876" s="185">
        <f>MAX(SUM($G880:AV880)-SUM($G879:AV879)-IF($B863=0,SUM($G871:AV871),0),0)</f>
        <v>0</v>
      </c>
      <c r="AW876" s="185">
        <f>MAX(SUM($G880:AW880)-SUM($G879:AW879)-IF($B863=0,SUM($G871:AW871),0),0)</f>
        <v>0</v>
      </c>
      <c r="AX876" s="185">
        <f>MAX(SUM($G880:AX880)-SUM($G879:AX879)-IF($B863=0,SUM($G871:AX871),0),0)</f>
        <v>0</v>
      </c>
      <c r="AY876" s="185">
        <f>MAX(SUM($G880:AY880)-SUM($G879:AY879)-IF($B863=0,SUM($G871:AY871),0),0)</f>
        <v>0</v>
      </c>
      <c r="AZ876" s="185">
        <f>MAX(SUM($G880:AZ880)-SUM($G879:AZ879)-IF($B863=0,SUM($G871:AZ871),0),0)</f>
        <v>0</v>
      </c>
      <c r="BA876" s="185">
        <f>MAX(SUM($G880:BA880)-SUM($G879:BA879)-IF($B863=0,SUM($G871:BA871),0),0)</f>
        <v>0</v>
      </c>
      <c r="BB876" s="185">
        <f>MAX(SUM($G880:BB880)-SUM($G879:BB879)-IF($B863=0,SUM($G871:BB871),0),0)</f>
        <v>0</v>
      </c>
      <c r="BC876" s="185"/>
      <c r="BD876" s="186"/>
    </row>
    <row r="877" spans="1:56" hidden="1" outlineLevel="1" x14ac:dyDescent="0.3">
      <c r="A877" s="184" t="str">
        <f ca="1">Language!A$915</f>
        <v>амортизация (бухгалтерская)</v>
      </c>
      <c r="B877" s="216"/>
      <c r="C877" s="163" t="str">
        <f t="shared" ca="1" si="3429"/>
        <v>руб.</v>
      </c>
      <c r="D877" s="174">
        <v>1</v>
      </c>
      <c r="E877" s="170" t="s">
        <v>756</v>
      </c>
      <c r="F877" s="170" t="s">
        <v>740</v>
      </c>
      <c r="G877" s="185">
        <f ca="1">IF(SUM($G867:G867)&gt;0.01,0,IF($B861=0,0,MIN((SUM($G872:G872)-IF(G$2&gt;$B861*12/Prj_Step,SUM($G872:OFFSET(G872,0,-$B861*12/Prj_Step)),0))*IF($B863=0,1,(1+$B865))/$B861/12*Параметры!G$31,IF(G$2=1,G872,F878+SUM($F872:G872)*IF($B863=0,1,(1+$B865))-SUM($F872:F872)*IF($B863=0,1,(1+$B865))))))</f>
        <v>0</v>
      </c>
      <c r="H877" s="185">
        <f ca="1">IF(SUM($G867:H867)&gt;0.01,0,IF($B861=0,0,MIN((SUM($G872:H872)-IF(H$2&gt;$B861*12/Prj_Step,SUM($G872:OFFSET(H872,0,-$B861*12/Prj_Step)),0))*IF($B863=0,1,(1+$B865))/$B861/12*Параметры!H$31,IF(H$2=1,H872,G878+SUM($F872:H872)*IF($B863=0,1,(1+$B865))-SUM($F872:G872)*IF($B863=0,1,(1+$B865))))))</f>
        <v>0</v>
      </c>
      <c r="I877" s="185">
        <f ca="1">IF(SUM($G867:I867)&gt;0.01,0,IF($B861=0,0,MIN((SUM($G872:I872)-IF(I$2&gt;$B861*12/Prj_Step,SUM($G872:OFFSET(I872,0,-$B861*12/Prj_Step)),0))*IF($B863=0,1,(1+$B865))/$B861/12*Параметры!I$31,IF(I$2=1,I872,H878+SUM($F872:I872)*IF($B863=0,1,(1+$B865))-SUM($F872:H872)*IF($B863=0,1,(1+$B865))))))</f>
        <v>0</v>
      </c>
      <c r="J877" s="185">
        <f ca="1">IF(SUM($G867:J867)&gt;0.01,0,IF($B861=0,0,MIN((SUM($G872:J872)-IF(J$2&gt;$B861*12/Prj_Step,SUM($G872:OFFSET(J872,0,-$B861*12/Prj_Step)),0))*IF($B863=0,1,(1+$B865))/$B861/12*Параметры!J$31,IF(J$2=1,J872,I878+SUM($F872:J872)*IF($B863=0,1,(1+$B865))-SUM($F872:I872)*IF($B863=0,1,(1+$B865))))))</f>
        <v>0</v>
      </c>
      <c r="K877" s="185">
        <f ca="1">IF(SUM($G867:K867)&gt;0.01,0,IF($B861=0,0,MIN((SUM($G872:K872)-IF(K$2&gt;$B861*12/Prj_Step,SUM($G872:OFFSET(K872,0,-$B861*12/Prj_Step)),0))*IF($B863=0,1,(1+$B865))/$B861/12*Параметры!K$31,IF(K$2=1,K872,J878+SUM($F872:K872)*IF($B863=0,1,(1+$B865))-SUM($F872:J872)*IF($B863=0,1,(1+$B865))))))</f>
        <v>0</v>
      </c>
      <c r="L877" s="185">
        <f ca="1">IF(SUM($G867:L867)&gt;0.01,0,IF($B861=0,0,MIN((SUM($G872:L872)-IF(L$2&gt;$B861*12/Prj_Step,SUM($G872:OFFSET(L872,0,-$B861*12/Prj_Step)),0))*IF($B863=0,1,(1+$B865))/$B861/12*Параметры!L$31,IF(L$2=1,L872,K878+SUM($F872:L872)*IF($B863=0,1,(1+$B865))-SUM($F872:K872)*IF($B863=0,1,(1+$B865))))))</f>
        <v>0</v>
      </c>
      <c r="M877" s="185">
        <f ca="1">IF(SUM($G867:M867)&gt;0.01,0,IF($B861=0,0,MIN((SUM($G872:M872)-IF(M$2&gt;$B861*12/Prj_Step,SUM($G872:OFFSET(M872,0,-$B861*12/Prj_Step)),0))*IF($B863=0,1,(1+$B865))/$B861/12*Параметры!M$31,IF(M$2=1,M872,L878+SUM($F872:M872)*IF($B863=0,1,(1+$B865))-SUM($F872:L872)*IF($B863=0,1,(1+$B865))))))</f>
        <v>15000</v>
      </c>
      <c r="N877" s="185">
        <f ca="1">IF(SUM($G867:N867)&gt;0.01,0,IF($B861=0,0,MIN((SUM($G872:N872)-IF(N$2&gt;$B861*12/Prj_Step,SUM($G872:OFFSET(N872,0,-$B861*12/Prj_Step)),0))*IF($B863=0,1,(1+$B865))/$B861/12*Параметры!N$31,IF(N$2=1,N872,M878+SUM($F872:N872)*IF($B863=0,1,(1+$B865))-SUM($F872:M872)*IF($B863=0,1,(1+$B865))))))</f>
        <v>15000</v>
      </c>
      <c r="O877" s="185">
        <f ca="1">IF(SUM($G867:O867)&gt;0.01,0,IF($B861=0,0,MIN((SUM($G872:O872)-IF(O$2&gt;$B861*12/Prj_Step,SUM($G872:OFFSET(O872,0,-$B861*12/Prj_Step)),0))*IF($B863=0,1,(1+$B865))/$B861/12*Параметры!O$31,IF(O$2=1,O872,N878+SUM($F872:O872)*IF($B863=0,1,(1+$B865))-SUM($F872:N872)*IF($B863=0,1,(1+$B865))))))</f>
        <v>15000</v>
      </c>
      <c r="P877" s="185">
        <f ca="1">IF(SUM($G867:P867)&gt;0.01,0,IF($B861=0,0,MIN((SUM($G872:P872)-IF(P$2&gt;$B861*12/Prj_Step,SUM($G872:OFFSET(P872,0,-$B861*12/Prj_Step)),0))*IF($B863=0,1,(1+$B865))/$B861/12*Параметры!P$31,IF(P$2=1,P872,O878+SUM($F872:P872)*IF($B863=0,1,(1+$B865))-SUM($F872:O872)*IF($B863=0,1,(1+$B865))))))</f>
        <v>15000</v>
      </c>
      <c r="Q877" s="185">
        <f ca="1">IF(SUM($G867:Q867)&gt;0.01,0,IF($B861=0,0,MIN((SUM($G872:Q872)-IF(Q$2&gt;$B861*12/Prj_Step,SUM($G872:OFFSET(Q872,0,-$B861*12/Prj_Step)),0))*IF($B863=0,1,(1+$B865))/$B861/12*Параметры!Q$31,IF(Q$2=1,Q872,P878+SUM($F872:Q872)*IF($B863=0,1,(1+$B865))-SUM($F872:P872)*IF($B863=0,1,(1+$B865))))))</f>
        <v>15000</v>
      </c>
      <c r="R877" s="185">
        <f ca="1">IF(SUM($G867:R867)&gt;0.01,0,IF($B861=0,0,MIN((SUM($G872:R872)-IF(R$2&gt;$B861*12/Prj_Step,SUM($G872:OFFSET(R872,0,-$B861*12/Prj_Step)),0))*IF($B863=0,1,(1+$B865))/$B861/12*Параметры!R$31,IF(R$2=1,R872,Q878+SUM($F872:R872)*IF($B863=0,1,(1+$B865))-SUM($F872:Q872)*IF($B863=0,1,(1+$B865))))))</f>
        <v>15000</v>
      </c>
      <c r="S877" s="185">
        <f ca="1">IF(SUM($G867:S867)&gt;0.01,0,IF($B861=0,0,MIN((SUM($G872:S872)-IF(S$2&gt;$B861*12/Prj_Step,SUM($G872:OFFSET(S872,0,-$B861*12/Prj_Step)),0))*IF($B863=0,1,(1+$B865))/$B861/12*Параметры!S$31,IF(S$2=1,S872,R878+SUM($F872:S872)*IF($B863=0,1,(1+$B865))-SUM($F872:R872)*IF($B863=0,1,(1+$B865))))))</f>
        <v>15000</v>
      </c>
      <c r="T877" s="185">
        <f ca="1">IF(SUM($G867:T867)&gt;0.01,0,IF($B861=0,0,MIN((SUM($G872:T872)-IF(T$2&gt;$B861*12/Prj_Step,SUM($G872:OFFSET(T872,0,-$B861*12/Prj_Step)),0))*IF($B863=0,1,(1+$B865))/$B861/12*Параметры!T$31,IF(T$2=1,T872,S878+SUM($F872:T872)*IF($B863=0,1,(1+$B865))-SUM($F872:S872)*IF($B863=0,1,(1+$B865))))))</f>
        <v>15000</v>
      </c>
      <c r="U877" s="185">
        <f ca="1">IF(SUM($G867:U867)&gt;0.01,0,IF($B861=0,0,MIN((SUM($G872:U872)-IF(U$2&gt;$B861*12/Prj_Step,SUM($G872:OFFSET(U872,0,-$B861*12/Prj_Step)),0))*IF($B863=0,1,(1+$B865))/$B861/12*Параметры!U$31,IF(U$2=1,U872,T878+SUM($F872:U872)*IF($B863=0,1,(1+$B865))-SUM($F872:T872)*IF($B863=0,1,(1+$B865))))))</f>
        <v>15000</v>
      </c>
      <c r="V877" s="185">
        <f ca="1">IF(SUM($G867:V867)&gt;0.01,0,IF($B861=0,0,MIN((SUM($G872:V872)-IF(V$2&gt;$B861*12/Prj_Step,SUM($G872:OFFSET(V872,0,-$B861*12/Prj_Step)),0))*IF($B863=0,1,(1+$B865))/$B861/12*Параметры!V$31,IF(V$2=1,V872,U878+SUM($F872:V872)*IF($B863=0,1,(1+$B865))-SUM($F872:U872)*IF($B863=0,1,(1+$B865))))))</f>
        <v>15000</v>
      </c>
      <c r="W877" s="185">
        <f ca="1">IF(SUM($G867:W867)&gt;0.01,0,IF($B861=0,0,MIN((SUM($G872:W872)-IF(W$2&gt;$B861*12/Prj_Step,SUM($G872:OFFSET(W872,0,-$B861*12/Prj_Step)),0))*IF($B863=0,1,(1+$B865))/$B861/12*Параметры!W$31,IF(W$2=1,W872,V878+SUM($F872:W872)*IF($B863=0,1,(1+$B865))-SUM($F872:V872)*IF($B863=0,1,(1+$B865))))))</f>
        <v>15000</v>
      </c>
      <c r="X877" s="185">
        <f ca="1">IF(SUM($G867:X867)&gt;0.01,0,IF($B861=0,0,MIN((SUM($G872:X872)-IF(X$2&gt;$B861*12/Prj_Step,SUM($G872:OFFSET(X872,0,-$B861*12/Prj_Step)),0))*IF($B863=0,1,(1+$B865))/$B861/12*Параметры!X$31,IF(X$2=1,X872,W878+SUM($F872:X872)*IF($B863=0,1,(1+$B865))-SUM($F872:W872)*IF($B863=0,1,(1+$B865))))))</f>
        <v>15000</v>
      </c>
      <c r="Y877" s="185">
        <f ca="1">IF(SUM($G867:Y867)&gt;0.01,0,IF($B861=0,0,MIN((SUM($G872:Y872)-IF(Y$2&gt;$B861*12/Prj_Step,SUM($G872:OFFSET(Y872,0,-$B861*12/Prj_Step)),0))*IF($B863=0,1,(1+$B865))/$B861/12*Параметры!Y$31,IF(Y$2=1,Y872,X878+SUM($F872:Y872)*IF($B863=0,1,(1+$B865))-SUM($F872:X872)*IF($B863=0,1,(1+$B865))))))</f>
        <v>15000</v>
      </c>
      <c r="Z877" s="185">
        <f ca="1">IF(SUM($G867:Z867)&gt;0.01,0,IF($B861=0,0,MIN((SUM($G872:Z872)-IF(Z$2&gt;$B861*12/Prj_Step,SUM($G872:OFFSET(Z872,0,-$B861*12/Prj_Step)),0))*IF($B863=0,1,(1+$B865))/$B861/12*Параметры!Z$31,IF(Z$2=1,Z872,Y878+SUM($F872:Z872)*IF($B863=0,1,(1+$B865))-SUM($F872:Y872)*IF($B863=0,1,(1+$B865))))))</f>
        <v>15000</v>
      </c>
      <c r="AA877" s="185">
        <f ca="1">IF(SUM($G867:AA867)&gt;0.01,0,IF($B861=0,0,MIN((SUM($G872:AA872)-IF(AA$2&gt;$B861*12/Prj_Step,SUM($G872:OFFSET(AA872,0,-$B861*12/Prj_Step)),0))*IF($B863=0,1,(1+$B865))/$B861/12*Параметры!AA$31,IF(AA$2=1,AA872,Z878+SUM($F872:AA872)*IF($B863=0,1,(1+$B865))-SUM($F872:Z872)*IF($B863=0,1,(1+$B865))))))</f>
        <v>15000</v>
      </c>
      <c r="AB877" s="185">
        <f ca="1">IF(SUM($G867:AB867)&gt;0.01,0,IF($B861=0,0,MIN((SUM($G872:AB872)-IF(AB$2&gt;$B861*12/Prj_Step,SUM($G872:OFFSET(AB872,0,-$B861*12/Prj_Step)),0))*IF($B863=0,1,(1+$B865))/$B861/12*Параметры!AB$31,IF(AB$2=1,AB872,AA878+SUM($F872:AB872)*IF($B863=0,1,(1+$B865))-SUM($F872:AA872)*IF($B863=0,1,(1+$B865))))))</f>
        <v>15000</v>
      </c>
      <c r="AC877" s="185">
        <f ca="1">IF(SUM($G867:AC867)&gt;0.01,0,IF($B861=0,0,MIN((SUM($G872:AC872)-IF(AC$2&gt;$B861*12/Prj_Step,SUM($G872:OFFSET(AC872,0,-$B861*12/Prj_Step)),0))*IF($B863=0,1,(1+$B865))/$B861/12*Параметры!AC$31,IF(AC$2=1,AC872,AB878+SUM($F872:AC872)*IF($B863=0,1,(1+$B865))-SUM($F872:AB872)*IF($B863=0,1,(1+$B865))))))</f>
        <v>15000</v>
      </c>
      <c r="AD877" s="185">
        <f ca="1">IF(SUM($G867:AD867)&gt;0.01,0,IF($B861=0,0,MIN((SUM($G872:AD872)-IF(AD$2&gt;$B861*12/Prj_Step,SUM($G872:OFFSET(AD872,0,-$B861*12/Prj_Step)),0))*IF($B863=0,1,(1+$B865))/$B861/12*Параметры!AD$31,IF(AD$2=1,AD872,AC878+SUM($F872:AD872)*IF($B863=0,1,(1+$B865))-SUM($F872:AC872)*IF($B863=0,1,(1+$B865))))))</f>
        <v>15000</v>
      </c>
      <c r="AE877" s="185">
        <f ca="1">IF(SUM($G867:AE867)&gt;0.01,0,IF($B861=0,0,MIN((SUM($G872:AE872)-IF(AE$2&gt;$B861*12/Prj_Step,SUM($G872:OFFSET(AE872,0,-$B861*12/Prj_Step)),0))*IF($B863=0,1,(1+$B865))/$B861/12*Параметры!AE$31,IF(AE$2=1,AE872,AD878+SUM($F872:AE872)*IF($B863=0,1,(1+$B865))-SUM($F872:AD872)*IF($B863=0,1,(1+$B865))))))</f>
        <v>15000</v>
      </c>
      <c r="AF877" s="185">
        <f ca="1">IF(SUM($G867:AF867)&gt;0.01,0,IF($B861=0,0,MIN((SUM($G872:AF872)-IF(AF$2&gt;$B861*12/Prj_Step,SUM($G872:OFFSET(AF872,0,-$B861*12/Prj_Step)),0))*IF($B863=0,1,(1+$B865))/$B861/12*Параметры!AF$31,IF(AF$2=1,AF872,AE878+SUM($F872:AF872)*IF($B863=0,1,(1+$B865))-SUM($F872:AE872)*IF($B863=0,1,(1+$B865))))))</f>
        <v>15000</v>
      </c>
      <c r="AG877" s="185">
        <f ca="1">IF(SUM($G867:AG867)&gt;0.01,0,IF($B861=0,0,MIN((SUM($G872:AG872)-IF(AG$2&gt;$B861*12/Prj_Step,SUM($G872:OFFSET(AG872,0,-$B861*12/Prj_Step)),0))*IF($B863=0,1,(1+$B865))/$B861/12*Параметры!AG$31,IF(AG$2=1,AG872,AF878+SUM($F872:AG872)*IF($B863=0,1,(1+$B865))-SUM($F872:AF872)*IF($B863=0,1,(1+$B865))))))</f>
        <v>15000</v>
      </c>
      <c r="AH877" s="185">
        <f ca="1">IF(SUM($G867:AH867)&gt;0.01,0,IF($B861=0,0,MIN((SUM($G872:AH872)-IF(AH$2&gt;$B861*12/Prj_Step,SUM($G872:OFFSET(AH872,0,-$B861*12/Prj_Step)),0))*IF($B863=0,1,(1+$B865))/$B861/12*Параметры!AH$31,IF(AH$2=1,AH872,AG878+SUM($F872:AH872)*IF($B863=0,1,(1+$B865))-SUM($F872:AG872)*IF($B863=0,1,(1+$B865))))))</f>
        <v>15000</v>
      </c>
      <c r="AI877" s="185">
        <f ca="1">IF(SUM($G867:AI867)&gt;0.01,0,IF($B861=0,0,MIN((SUM($G872:AI872)-IF(AI$2&gt;$B861*12/Prj_Step,SUM($G872:OFFSET(AI872,0,-$B861*12/Prj_Step)),0))*IF($B863=0,1,(1+$B865))/$B861/12*Параметры!AI$31,IF(AI$2=1,AI872,AH878+SUM($F872:AI872)*IF($B863=0,1,(1+$B865))-SUM($F872:AH872)*IF($B863=0,1,(1+$B865))))))</f>
        <v>15000</v>
      </c>
      <c r="AJ877" s="185">
        <f ca="1">IF(SUM($G867:AJ867)&gt;0.01,0,IF($B861=0,0,MIN((SUM($G872:AJ872)-IF(AJ$2&gt;$B861*12/Prj_Step,SUM($G872:OFFSET(AJ872,0,-$B861*12/Prj_Step)),0))*IF($B863=0,1,(1+$B865))/$B861/12*Параметры!AJ$31,IF(AJ$2=1,AJ872,AI878+SUM($F872:AJ872)*IF($B863=0,1,(1+$B865))-SUM($F872:AI872)*IF($B863=0,1,(1+$B865))))))</f>
        <v>15000</v>
      </c>
      <c r="AK877" s="185">
        <f ca="1">IF(SUM($G867:AK867)&gt;0.01,0,IF($B861=0,0,MIN((SUM($G872:AK872)-IF(AK$2&gt;$B861*12/Prj_Step,SUM($G872:OFFSET(AK872,0,-$B861*12/Prj_Step)),0))*IF($B863=0,1,(1+$B865))/$B861/12*Параметры!AK$31,IF(AK$2=1,AK872,AJ878+SUM($F872:AK872)*IF($B863=0,1,(1+$B865))-SUM($F872:AJ872)*IF($B863=0,1,(1+$B865))))))</f>
        <v>15000</v>
      </c>
      <c r="AL877" s="185">
        <f ca="1">IF(SUM($G867:AL867)&gt;0.01,0,IF($B861=0,0,MIN((SUM($G872:AL872)-IF(AL$2&gt;$B861*12/Prj_Step,SUM($G872:OFFSET(AL872,0,-$B861*12/Prj_Step)),0))*IF($B863=0,1,(1+$B865))/$B861/12*Параметры!AL$31,IF(AL$2=1,AL872,AK878+SUM($F872:AL872)*IF($B863=0,1,(1+$B865))-SUM($F872:AK872)*IF($B863=0,1,(1+$B865))))))</f>
        <v>15000</v>
      </c>
      <c r="AM877" s="185">
        <f ca="1">IF(SUM($G867:AM867)&gt;0.01,0,IF($B861=0,0,MIN((SUM($G872:AM872)-IF(AM$2&gt;$B861*12/Prj_Step,SUM($G872:OFFSET(AM872,0,-$B861*12/Prj_Step)),0))*IF($B863=0,1,(1+$B865))/$B861/12*Параметры!AM$31,IF(AM$2=1,AM872,AL878+SUM($F872:AM872)*IF($B863=0,1,(1+$B865))-SUM($F872:AL872)*IF($B863=0,1,(1+$B865))))))</f>
        <v>15000</v>
      </c>
      <c r="AN877" s="185">
        <f ca="1">IF(SUM($G867:AN867)&gt;0.01,0,IF($B861=0,0,MIN((SUM($G872:AN872)-IF(AN$2&gt;$B861*12/Prj_Step,SUM($G872:OFFSET(AN872,0,-$B861*12/Prj_Step)),0))*IF($B863=0,1,(1+$B865))/$B861/12*Параметры!AN$31,IF(AN$2=1,AN872,AM878+SUM($F872:AN872)*IF($B863=0,1,(1+$B865))-SUM($F872:AM872)*IF($B863=0,1,(1+$B865))))))</f>
        <v>15000</v>
      </c>
      <c r="AO877" s="185">
        <f ca="1">IF(SUM($G867:AO867)&gt;0.01,0,IF($B861=0,0,MIN((SUM($G872:AO872)-IF(AO$2&gt;$B861*12/Prj_Step,SUM($G872:OFFSET(AO872,0,-$B861*12/Prj_Step)),0))*IF($B863=0,1,(1+$B865))/$B861/12*Параметры!AO$31,IF(AO$2=1,AO872,AN878+SUM($F872:AO872)*IF($B863=0,1,(1+$B865))-SUM($F872:AN872)*IF($B863=0,1,(1+$B865))))))</f>
        <v>15000</v>
      </c>
      <c r="AP877" s="185">
        <f ca="1">IF(SUM($G867:AP867)&gt;0.01,0,IF($B861=0,0,MIN((SUM($G872:AP872)-IF(AP$2&gt;$B861*12/Prj_Step,SUM($G872:OFFSET(AP872,0,-$B861*12/Prj_Step)),0))*IF($B863=0,1,(1+$B865))/$B861/12*Параметры!AP$31,IF(AP$2=1,AP872,AO878+SUM($F872:AP872)*IF($B863=0,1,(1+$B865))-SUM($F872:AO872)*IF($B863=0,1,(1+$B865))))))</f>
        <v>15000</v>
      </c>
      <c r="AQ877" s="185">
        <f ca="1">IF(SUM($G867:AQ867)&gt;0.01,0,IF($B861=0,0,MIN((SUM($G872:AQ872)-IF(AQ$2&gt;$B861*12/Prj_Step,SUM($G872:OFFSET(AQ872,0,-$B861*12/Prj_Step)),0))*IF($B863=0,1,(1+$B865))/$B861/12*Параметры!AQ$31,IF(AQ$2=1,AQ872,AP878+SUM($F872:AQ872)*IF($B863=0,1,(1+$B865))-SUM($F872:AP872)*IF($B863=0,1,(1+$B865))))))</f>
        <v>15000</v>
      </c>
      <c r="AR877" s="185">
        <f ca="1">IF(SUM($G867:AR867)&gt;0.01,0,IF($B861=0,0,MIN((SUM($G872:AR872)-IF(AR$2&gt;$B861*12/Prj_Step,SUM($G872:OFFSET(AR872,0,-$B861*12/Prj_Step)),0))*IF($B863=0,1,(1+$B865))/$B861/12*Параметры!AR$31,IF(AR$2=1,AR872,AQ878+SUM($F872:AR872)*IF($B863=0,1,(1+$B865))-SUM($F872:AQ872)*IF($B863=0,1,(1+$B865))))))</f>
        <v>15000</v>
      </c>
      <c r="AS877" s="185">
        <f ca="1">IF(SUM($G867:AS867)&gt;0.01,0,IF($B861=0,0,MIN((SUM($G872:AS872)-IF(AS$2&gt;$B861*12/Prj_Step,SUM($G872:OFFSET(AS872,0,-$B861*12/Prj_Step)),0))*IF($B863=0,1,(1+$B865))/$B861/12*Параметры!AS$31,IF(AS$2=1,AS872,AR878+SUM($F872:AS872)*IF($B863=0,1,(1+$B865))-SUM($F872:AR872)*IF($B863=0,1,(1+$B865))))))</f>
        <v>15000</v>
      </c>
      <c r="AT877" s="185">
        <f ca="1">IF(SUM($G867:AT867)&gt;0.01,0,IF($B861=0,0,MIN((SUM($G872:AT872)-IF(AT$2&gt;$B861*12/Prj_Step,SUM($G872:OFFSET(AT872,0,-$B861*12/Prj_Step)),0))*IF($B863=0,1,(1+$B865))/$B861/12*Параметры!AT$31,IF(AT$2=1,AT872,AS878+SUM($F872:AT872)*IF($B863=0,1,(1+$B865))-SUM($F872:AS872)*IF($B863=0,1,(1+$B865))))))</f>
        <v>15000</v>
      </c>
      <c r="AU877" s="185">
        <f ca="1">IF(SUM($G867:AU867)&gt;0.01,0,IF($B861=0,0,MIN((SUM($G872:AU872)-IF(AU$2&gt;$B861*12/Prj_Step,SUM($G872:OFFSET(AU872,0,-$B861*12/Prj_Step)),0))*IF($B863=0,1,(1+$B865))/$B861/12*Параметры!AU$31,IF(AU$2=1,AU872,AT878+SUM($F872:AU872)*IF($B863=0,1,(1+$B865))-SUM($F872:AT872)*IF($B863=0,1,(1+$B865))))))</f>
        <v>15000</v>
      </c>
      <c r="AV877" s="185">
        <f ca="1">IF(SUM($G867:AV867)&gt;0.01,0,IF($B861=0,0,MIN((SUM($G872:AV872)-IF(AV$2&gt;$B861*12/Prj_Step,SUM($G872:OFFSET(AV872,0,-$B861*12/Prj_Step)),0))*IF($B863=0,1,(1+$B865))/$B861/12*Параметры!AV$31,IF(AV$2=1,AV872,AU878+SUM($F872:AV872)*IF($B863=0,1,(1+$B865))-SUM($F872:AU872)*IF($B863=0,1,(1+$B865))))))</f>
        <v>15000</v>
      </c>
      <c r="AW877" s="185">
        <f ca="1">IF(SUM($G867:AW867)&gt;0.01,0,IF($B861=0,0,MIN((SUM($G872:AW872)-IF(AW$2&gt;$B861*12/Prj_Step,SUM($G872:OFFSET(AW872,0,-$B861*12/Prj_Step)),0))*IF($B863=0,1,(1+$B865))/$B861/12*Параметры!AW$31,IF(AW$2=1,AW872,AV878+SUM($F872:AW872)*IF($B863=0,1,(1+$B865))-SUM($F872:AV872)*IF($B863=0,1,(1+$B865))))))</f>
        <v>15000</v>
      </c>
      <c r="AX877" s="185">
        <f ca="1">IF(SUM($G867:AX867)&gt;0.01,0,IF($B861=0,0,MIN((SUM($G872:AX872)-IF(AX$2&gt;$B861*12/Prj_Step,SUM($G872:OFFSET(AX872,0,-$B861*12/Prj_Step)),0))*IF($B863=0,1,(1+$B865))/$B861/12*Параметры!AX$31,IF(AX$2=1,AX872,AW878+SUM($F872:AX872)*IF($B863=0,1,(1+$B865))-SUM($F872:AW872)*IF($B863=0,1,(1+$B865))))))</f>
        <v>15000</v>
      </c>
      <c r="AY877" s="185">
        <f ca="1">IF(SUM($G867:AY867)&gt;0.01,0,IF($B861=0,0,MIN((SUM($G872:AY872)-IF(AY$2&gt;$B861*12/Prj_Step,SUM($G872:OFFSET(AY872,0,-$B861*12/Prj_Step)),0))*IF($B863=0,1,(1+$B865))/$B861/12*Параметры!AY$31,IF(AY$2=1,AY872,AX878+SUM($F872:AY872)*IF($B863=0,1,(1+$B865))-SUM($F872:AX872)*IF($B863=0,1,(1+$B865))))))</f>
        <v>15000</v>
      </c>
      <c r="AZ877" s="185">
        <f ca="1">IF(SUM($G867:AZ867)&gt;0.01,0,IF($B861=0,0,MIN((SUM($G872:AZ872)-IF(AZ$2&gt;$B861*12/Prj_Step,SUM($G872:OFFSET(AZ872,0,-$B861*12/Prj_Step)),0))*IF($B863=0,1,(1+$B865))/$B861/12*Параметры!AZ$31,IF(AZ$2=1,AZ872,AY878+SUM($F872:AZ872)*IF($B863=0,1,(1+$B865))-SUM($F872:AY872)*IF($B863=0,1,(1+$B865))))))</f>
        <v>15000</v>
      </c>
      <c r="BA877" s="185">
        <f ca="1">IF(SUM($G867:BA867)&gt;0.01,0,IF($B861=0,0,MIN((SUM($G872:BA872)-IF(BA$2&gt;$B861*12/Prj_Step,SUM($G872:OFFSET(BA872,0,-$B861*12/Prj_Step)),0))*IF($B863=0,1,(1+$B865))/$B861/12*Параметры!BA$31,IF(BA$2=1,BA872,AZ878+SUM($F872:BA872)*IF($B863=0,1,(1+$B865))-SUM($F872:AZ872)*IF($B863=0,1,(1+$B865))))))</f>
        <v>15000</v>
      </c>
      <c r="BB877" s="185">
        <f ca="1">IF(SUM($G867:BB867)&gt;0.01,0,IF($B861=0,0,MIN((SUM($G872:BB872)-IF(BB$2&gt;$B861*12/Prj_Step,SUM($G872:OFFSET(BB872,0,-$B861*12/Prj_Step)),0))*IF($B863=0,1,(1+$B865))/$B861/12*Параметры!BB$31,IF(BB$2=1,BB872,BA878+SUM($F872:BB872)*IF($B863=0,1,(1+$B865))-SUM($F872:BA872)*IF($B863=0,1,(1+$B865))))))</f>
        <v>15000</v>
      </c>
      <c r="BC877" s="185"/>
      <c r="BD877" s="193">
        <f ca="1">SUM(G877:BC877)</f>
        <v>630000</v>
      </c>
    </row>
    <row r="878" spans="1:56" hidden="1" outlineLevel="1" x14ac:dyDescent="0.3">
      <c r="A878" s="184" t="str">
        <f ca="1">Language!A$916</f>
        <v>балансовая стоимость (бухгалтерская)</v>
      </c>
      <c r="B878" s="170"/>
      <c r="C878" s="163" t="str">
        <f t="shared" ca="1" si="3429"/>
        <v>руб.</v>
      </c>
      <c r="D878" s="174">
        <v>1</v>
      </c>
      <c r="E878" s="170" t="s">
        <v>757</v>
      </c>
      <c r="F878" s="170" t="s">
        <v>741</v>
      </c>
      <c r="G878" s="185">
        <f ca="1">IF(SUM($G867:G867)&gt;0.01,0,SUM($G872:G872)*IF($B863=0,1,(1+$B865))-SUM($G877:G877))</f>
        <v>0</v>
      </c>
      <c r="H878" s="185">
        <f ca="1">IF(SUM($G867:H867)&gt;0.01,0,SUM($G872:H872)*IF($B863=0,1,(1+$B865))-SUM($G877:H877))</f>
        <v>0</v>
      </c>
      <c r="I878" s="185">
        <f ca="1">IF(SUM($G867:I867)&gt;0.01,0,SUM($G872:I872)*IF($B863=0,1,(1+$B865))-SUM($G877:I877))</f>
        <v>0</v>
      </c>
      <c r="J878" s="185">
        <f ca="1">IF(SUM($G867:J867)&gt;0.01,0,SUM($G872:J872)*IF($B863=0,1,(1+$B865))-SUM($G877:J877))</f>
        <v>0</v>
      </c>
      <c r="K878" s="185">
        <f ca="1">IF(SUM($G867:K867)&gt;0.01,0,SUM($G872:K872)*IF($B863=0,1,(1+$B865))-SUM($G877:K877))</f>
        <v>0</v>
      </c>
      <c r="L878" s="185">
        <f ca="1">IF(SUM($G867:L867)&gt;0.01,0,SUM($G872:L872)*IF($B863=0,1,(1+$B865))-SUM($G877:L877))</f>
        <v>0</v>
      </c>
      <c r="M878" s="185">
        <f ca="1">IF(SUM($G867:M867)&gt;0.01,0,SUM($G872:M872)*IF($B863=0,1,(1+$B865))-SUM($G877:M877))</f>
        <v>1785000</v>
      </c>
      <c r="N878" s="185">
        <f ca="1">IF(SUM($G867:N867)&gt;0.01,0,SUM($G872:N872)*IF($B863=0,1,(1+$B865))-SUM($G877:N877))</f>
        <v>1770000</v>
      </c>
      <c r="O878" s="185">
        <f ca="1">IF(SUM($G867:O867)&gt;0.01,0,SUM($G872:O872)*IF($B863=0,1,(1+$B865))-SUM($G877:O877))</f>
        <v>1755000</v>
      </c>
      <c r="P878" s="185">
        <f ca="1">IF(SUM($G867:P867)&gt;0.01,0,SUM($G872:P872)*IF($B863=0,1,(1+$B865))-SUM($G877:P877))</f>
        <v>1740000</v>
      </c>
      <c r="Q878" s="185">
        <f ca="1">IF(SUM($G867:Q867)&gt;0.01,0,SUM($G872:Q872)*IF($B863=0,1,(1+$B865))-SUM($G877:Q877))</f>
        <v>1725000</v>
      </c>
      <c r="R878" s="185">
        <f ca="1">IF(SUM($G867:R867)&gt;0.01,0,SUM($G872:R872)*IF($B863=0,1,(1+$B865))-SUM($G877:R877))</f>
        <v>1710000</v>
      </c>
      <c r="S878" s="185">
        <f ca="1">IF(SUM($G867:S867)&gt;0.01,0,SUM($G872:S872)*IF($B863=0,1,(1+$B865))-SUM($G877:S877))</f>
        <v>1695000</v>
      </c>
      <c r="T878" s="185">
        <f ca="1">IF(SUM($G867:T867)&gt;0.01,0,SUM($G872:T872)*IF($B863=0,1,(1+$B865))-SUM($G877:T877))</f>
        <v>1680000</v>
      </c>
      <c r="U878" s="185">
        <f ca="1">IF(SUM($G867:U867)&gt;0.01,0,SUM($G872:U872)*IF($B863=0,1,(1+$B865))-SUM($G877:U877))</f>
        <v>1665000</v>
      </c>
      <c r="V878" s="185">
        <f ca="1">IF(SUM($G867:V867)&gt;0.01,0,SUM($G872:V872)*IF($B863=0,1,(1+$B865))-SUM($G877:V877))</f>
        <v>1650000</v>
      </c>
      <c r="W878" s="185">
        <f ca="1">IF(SUM($G867:W867)&gt;0.01,0,SUM($G872:W872)*IF($B863=0,1,(1+$B865))-SUM($G877:W877))</f>
        <v>1635000</v>
      </c>
      <c r="X878" s="185">
        <f ca="1">IF(SUM($G867:X867)&gt;0.01,0,SUM($G872:X872)*IF($B863=0,1,(1+$B865))-SUM($G877:X877))</f>
        <v>1620000</v>
      </c>
      <c r="Y878" s="185">
        <f ca="1">IF(SUM($G867:Y867)&gt;0.01,0,SUM($G872:Y872)*IF($B863=0,1,(1+$B865))-SUM($G877:Y877))</f>
        <v>1605000</v>
      </c>
      <c r="Z878" s="185">
        <f ca="1">IF(SUM($G867:Z867)&gt;0.01,0,SUM($G872:Z872)*IF($B863=0,1,(1+$B865))-SUM($G877:Z877))</f>
        <v>1590000</v>
      </c>
      <c r="AA878" s="185">
        <f ca="1">IF(SUM($G867:AA867)&gt;0.01,0,SUM($G872:AA872)*IF($B863=0,1,(1+$B865))-SUM($G877:AA877))</f>
        <v>1575000</v>
      </c>
      <c r="AB878" s="185">
        <f ca="1">IF(SUM($G867:AB867)&gt;0.01,0,SUM($G872:AB872)*IF($B863=0,1,(1+$B865))-SUM($G877:AB877))</f>
        <v>1560000</v>
      </c>
      <c r="AC878" s="185">
        <f ca="1">IF(SUM($G867:AC867)&gt;0.01,0,SUM($G872:AC872)*IF($B863=0,1,(1+$B865))-SUM($G877:AC877))</f>
        <v>1545000</v>
      </c>
      <c r="AD878" s="185">
        <f ca="1">IF(SUM($G867:AD867)&gt;0.01,0,SUM($G872:AD872)*IF($B863=0,1,(1+$B865))-SUM($G877:AD877))</f>
        <v>1530000</v>
      </c>
      <c r="AE878" s="185">
        <f ca="1">IF(SUM($G867:AE867)&gt;0.01,0,SUM($G872:AE872)*IF($B863=0,1,(1+$B865))-SUM($G877:AE877))</f>
        <v>1515000</v>
      </c>
      <c r="AF878" s="185">
        <f ca="1">IF(SUM($G867:AF867)&gt;0.01,0,SUM($G872:AF872)*IF($B863=0,1,(1+$B865))-SUM($G877:AF877))</f>
        <v>1500000</v>
      </c>
      <c r="AG878" s="185">
        <f ca="1">IF(SUM($G867:AG867)&gt;0.01,0,SUM($G872:AG872)*IF($B863=0,1,(1+$B865))-SUM($G877:AG877))</f>
        <v>1485000</v>
      </c>
      <c r="AH878" s="185">
        <f ca="1">IF(SUM($G867:AH867)&gt;0.01,0,SUM($G872:AH872)*IF($B863=0,1,(1+$B865))-SUM($G877:AH877))</f>
        <v>1470000</v>
      </c>
      <c r="AI878" s="185">
        <f ca="1">IF(SUM($G867:AI867)&gt;0.01,0,SUM($G872:AI872)*IF($B863=0,1,(1+$B865))-SUM($G877:AI877))</f>
        <v>1455000</v>
      </c>
      <c r="AJ878" s="185">
        <f ca="1">IF(SUM($G867:AJ867)&gt;0.01,0,SUM($G872:AJ872)*IF($B863=0,1,(1+$B865))-SUM($G877:AJ877))</f>
        <v>1440000</v>
      </c>
      <c r="AK878" s="185">
        <f ca="1">IF(SUM($G867:AK867)&gt;0.01,0,SUM($G872:AK872)*IF($B863=0,1,(1+$B865))-SUM($G877:AK877))</f>
        <v>1425000</v>
      </c>
      <c r="AL878" s="185">
        <f ca="1">IF(SUM($G867:AL867)&gt;0.01,0,SUM($G872:AL872)*IF($B863=0,1,(1+$B865))-SUM($G877:AL877))</f>
        <v>1410000</v>
      </c>
      <c r="AM878" s="185">
        <f ca="1">IF(SUM($G867:AM867)&gt;0.01,0,SUM($G872:AM872)*IF($B863=0,1,(1+$B865))-SUM($G877:AM877))</f>
        <v>1395000</v>
      </c>
      <c r="AN878" s="185">
        <f ca="1">IF(SUM($G867:AN867)&gt;0.01,0,SUM($G872:AN872)*IF($B863=0,1,(1+$B865))-SUM($G877:AN877))</f>
        <v>1380000</v>
      </c>
      <c r="AO878" s="185">
        <f ca="1">IF(SUM($G867:AO867)&gt;0.01,0,SUM($G872:AO872)*IF($B863=0,1,(1+$B865))-SUM($G877:AO877))</f>
        <v>1365000</v>
      </c>
      <c r="AP878" s="185">
        <f ca="1">IF(SUM($G867:AP867)&gt;0.01,0,SUM($G872:AP872)*IF($B863=0,1,(1+$B865))-SUM($G877:AP877))</f>
        <v>1350000</v>
      </c>
      <c r="AQ878" s="185">
        <f ca="1">IF(SUM($G867:AQ867)&gt;0.01,0,SUM($G872:AQ872)*IF($B863=0,1,(1+$B865))-SUM($G877:AQ877))</f>
        <v>1335000</v>
      </c>
      <c r="AR878" s="185">
        <f ca="1">IF(SUM($G867:AR867)&gt;0.01,0,SUM($G872:AR872)*IF($B863=0,1,(1+$B865))-SUM($G877:AR877))</f>
        <v>1320000</v>
      </c>
      <c r="AS878" s="185">
        <f ca="1">IF(SUM($G867:AS867)&gt;0.01,0,SUM($G872:AS872)*IF($B863=0,1,(1+$B865))-SUM($G877:AS877))</f>
        <v>1305000</v>
      </c>
      <c r="AT878" s="185">
        <f ca="1">IF(SUM($G867:AT867)&gt;0.01,0,SUM($G872:AT872)*IF($B863=0,1,(1+$B865))-SUM($G877:AT877))</f>
        <v>1290000</v>
      </c>
      <c r="AU878" s="185">
        <f ca="1">IF(SUM($G867:AU867)&gt;0.01,0,SUM($G872:AU872)*IF($B863=0,1,(1+$B865))-SUM($G877:AU877))</f>
        <v>1275000</v>
      </c>
      <c r="AV878" s="185">
        <f ca="1">IF(SUM($G867:AV867)&gt;0.01,0,SUM($G872:AV872)*IF($B863=0,1,(1+$B865))-SUM($G877:AV877))</f>
        <v>1260000</v>
      </c>
      <c r="AW878" s="185">
        <f ca="1">IF(SUM($G867:AW867)&gt;0.01,0,SUM($G872:AW872)*IF($B863=0,1,(1+$B865))-SUM($G877:AW877))</f>
        <v>1245000</v>
      </c>
      <c r="AX878" s="185">
        <f ca="1">IF(SUM($G867:AX867)&gt;0.01,0,SUM($G872:AX872)*IF($B863=0,1,(1+$B865))-SUM($G877:AX877))</f>
        <v>1230000</v>
      </c>
      <c r="AY878" s="185">
        <f ca="1">IF(SUM($G867:AY867)&gt;0.01,0,SUM($G872:AY872)*IF($B863=0,1,(1+$B865))-SUM($G877:AY877))</f>
        <v>1215000</v>
      </c>
      <c r="AZ878" s="185">
        <f ca="1">IF(SUM($G867:AZ867)&gt;0.01,0,SUM($G872:AZ872)*IF($B863=0,1,(1+$B865))-SUM($G877:AZ877))</f>
        <v>1200000</v>
      </c>
      <c r="BA878" s="185">
        <f ca="1">IF(SUM($G867:BA867)&gt;0.01,0,SUM($G872:BA872)*IF($B863=0,1,(1+$B865))-SUM($G877:BA877))</f>
        <v>1185000</v>
      </c>
      <c r="BB878" s="185">
        <f ca="1">IF(SUM($G867:BB867)&gt;0.01,0,SUM($G872:BB872)*IF($B863=0,1,(1+$B865))-SUM($G877:BB877))</f>
        <v>1170000</v>
      </c>
      <c r="BC878" s="185"/>
      <c r="BD878" s="186"/>
    </row>
    <row r="879" spans="1:56" hidden="1" outlineLevel="1" x14ac:dyDescent="0.3">
      <c r="A879" s="184" t="str">
        <f ca="1">Language!A$917</f>
        <v>выплаченный НДС</v>
      </c>
      <c r="B879" s="216"/>
      <c r="C879" s="163" t="str">
        <f t="shared" ca="1" si="3429"/>
        <v>руб.</v>
      </c>
      <c r="D879" s="174">
        <v>1</v>
      </c>
      <c r="E879" s="170" t="s">
        <v>758</v>
      </c>
      <c r="F879" s="170" t="s">
        <v>740</v>
      </c>
      <c r="G879" s="185">
        <f t="shared" ref="G879:BB879" si="3431">IF($B863=0,G868*G866,IF(G$2=$B864,(MAX($BD868,$BD872)+$B870+$BD873)*G866,0))</f>
        <v>0</v>
      </c>
      <c r="H879" s="185">
        <f t="shared" si="3431"/>
        <v>0</v>
      </c>
      <c r="I879" s="185">
        <f t="shared" si="3431"/>
        <v>0</v>
      </c>
      <c r="J879" s="185">
        <f t="shared" si="3431"/>
        <v>0</v>
      </c>
      <c r="K879" s="185">
        <f t="shared" si="3431"/>
        <v>0</v>
      </c>
      <c r="L879" s="185">
        <f t="shared" si="3431"/>
        <v>0</v>
      </c>
      <c r="M879" s="185">
        <f t="shared" si="3431"/>
        <v>0</v>
      </c>
      <c r="N879" s="185">
        <f t="shared" si="3431"/>
        <v>0</v>
      </c>
      <c r="O879" s="185">
        <f t="shared" si="3431"/>
        <v>0</v>
      </c>
      <c r="P879" s="185">
        <f t="shared" si="3431"/>
        <v>0</v>
      </c>
      <c r="Q879" s="185">
        <f t="shared" si="3431"/>
        <v>0</v>
      </c>
      <c r="R879" s="185">
        <f t="shared" si="3431"/>
        <v>0</v>
      </c>
      <c r="S879" s="185">
        <f t="shared" si="3431"/>
        <v>0</v>
      </c>
      <c r="T879" s="185">
        <f t="shared" si="3431"/>
        <v>0</v>
      </c>
      <c r="U879" s="185">
        <f t="shared" si="3431"/>
        <v>0</v>
      </c>
      <c r="V879" s="185">
        <f t="shared" si="3431"/>
        <v>0</v>
      </c>
      <c r="W879" s="185">
        <f t="shared" si="3431"/>
        <v>0</v>
      </c>
      <c r="X879" s="185">
        <f t="shared" si="3431"/>
        <v>0</v>
      </c>
      <c r="Y879" s="185">
        <f t="shared" si="3431"/>
        <v>0</v>
      </c>
      <c r="Z879" s="185">
        <f t="shared" si="3431"/>
        <v>0</v>
      </c>
      <c r="AA879" s="185">
        <f t="shared" si="3431"/>
        <v>0</v>
      </c>
      <c r="AB879" s="185">
        <f t="shared" si="3431"/>
        <v>0</v>
      </c>
      <c r="AC879" s="185">
        <f t="shared" si="3431"/>
        <v>0</v>
      </c>
      <c r="AD879" s="185">
        <f t="shared" si="3431"/>
        <v>0</v>
      </c>
      <c r="AE879" s="185">
        <f t="shared" si="3431"/>
        <v>0</v>
      </c>
      <c r="AF879" s="185">
        <f t="shared" si="3431"/>
        <v>0</v>
      </c>
      <c r="AG879" s="185">
        <f t="shared" si="3431"/>
        <v>0</v>
      </c>
      <c r="AH879" s="185">
        <f t="shared" si="3431"/>
        <v>0</v>
      </c>
      <c r="AI879" s="185">
        <f t="shared" si="3431"/>
        <v>0</v>
      </c>
      <c r="AJ879" s="185">
        <f t="shared" si="3431"/>
        <v>0</v>
      </c>
      <c r="AK879" s="185">
        <f t="shared" si="3431"/>
        <v>0</v>
      </c>
      <c r="AL879" s="185">
        <f t="shared" si="3431"/>
        <v>0</v>
      </c>
      <c r="AM879" s="185">
        <f t="shared" si="3431"/>
        <v>0</v>
      </c>
      <c r="AN879" s="185">
        <f t="shared" si="3431"/>
        <v>0</v>
      </c>
      <c r="AO879" s="185">
        <f t="shared" si="3431"/>
        <v>0</v>
      </c>
      <c r="AP879" s="185">
        <f t="shared" si="3431"/>
        <v>0</v>
      </c>
      <c r="AQ879" s="185">
        <f t="shared" si="3431"/>
        <v>0</v>
      </c>
      <c r="AR879" s="185">
        <f t="shared" si="3431"/>
        <v>0</v>
      </c>
      <c r="AS879" s="185">
        <f t="shared" si="3431"/>
        <v>0</v>
      </c>
      <c r="AT879" s="185">
        <f t="shared" si="3431"/>
        <v>0</v>
      </c>
      <c r="AU879" s="185">
        <f t="shared" si="3431"/>
        <v>0</v>
      </c>
      <c r="AV879" s="185">
        <f t="shared" si="3431"/>
        <v>0</v>
      </c>
      <c r="AW879" s="185">
        <f t="shared" si="3431"/>
        <v>0</v>
      </c>
      <c r="AX879" s="185">
        <f t="shared" si="3431"/>
        <v>0</v>
      </c>
      <c r="AY879" s="185">
        <f t="shared" si="3431"/>
        <v>0</v>
      </c>
      <c r="AZ879" s="185">
        <f t="shared" si="3431"/>
        <v>0</v>
      </c>
      <c r="BA879" s="185">
        <f t="shared" si="3431"/>
        <v>0</v>
      </c>
      <c r="BB879" s="185">
        <f t="shared" si="3431"/>
        <v>0</v>
      </c>
      <c r="BC879" s="185"/>
      <c r="BD879" s="193">
        <f>SUM(G879:BC879)</f>
        <v>0</v>
      </c>
    </row>
    <row r="880" spans="1:56" hidden="1" outlineLevel="1" x14ac:dyDescent="0.3">
      <c r="A880" s="184" t="str">
        <f ca="1">Language!A$918</f>
        <v>зачтенный НДС</v>
      </c>
      <c r="B880" s="216"/>
      <c r="C880" s="163" t="str">
        <f t="shared" ca="1" si="3429"/>
        <v>руб.</v>
      </c>
      <c r="D880" s="174">
        <v>1</v>
      </c>
      <c r="E880" s="170" t="s">
        <v>759</v>
      </c>
      <c r="F880" s="170" t="s">
        <v>740</v>
      </c>
      <c r="G880" s="185">
        <f t="shared" ref="G880:BB880" si="3432">IF($B863=0,G872*G866,IF($BD860=0,0,$BD879*G860/$BD860))</f>
        <v>0</v>
      </c>
      <c r="H880" s="185">
        <f t="shared" si="3432"/>
        <v>0</v>
      </c>
      <c r="I880" s="185">
        <f t="shared" si="3432"/>
        <v>0</v>
      </c>
      <c r="J880" s="185">
        <f t="shared" si="3432"/>
        <v>0</v>
      </c>
      <c r="K880" s="185">
        <f t="shared" si="3432"/>
        <v>0</v>
      </c>
      <c r="L880" s="185">
        <f t="shared" si="3432"/>
        <v>0</v>
      </c>
      <c r="M880" s="185">
        <f t="shared" si="3432"/>
        <v>0</v>
      </c>
      <c r="N880" s="185">
        <f t="shared" si="3432"/>
        <v>0</v>
      </c>
      <c r="O880" s="185">
        <f t="shared" si="3432"/>
        <v>0</v>
      </c>
      <c r="P880" s="185">
        <f t="shared" si="3432"/>
        <v>0</v>
      </c>
      <c r="Q880" s="185">
        <f t="shared" si="3432"/>
        <v>0</v>
      </c>
      <c r="R880" s="185">
        <f t="shared" si="3432"/>
        <v>0</v>
      </c>
      <c r="S880" s="185">
        <f t="shared" si="3432"/>
        <v>0</v>
      </c>
      <c r="T880" s="185">
        <f t="shared" si="3432"/>
        <v>0</v>
      </c>
      <c r="U880" s="185">
        <f t="shared" si="3432"/>
        <v>0</v>
      </c>
      <c r="V880" s="185">
        <f t="shared" si="3432"/>
        <v>0</v>
      </c>
      <c r="W880" s="185">
        <f t="shared" si="3432"/>
        <v>0</v>
      </c>
      <c r="X880" s="185">
        <f t="shared" si="3432"/>
        <v>0</v>
      </c>
      <c r="Y880" s="185">
        <f t="shared" si="3432"/>
        <v>0</v>
      </c>
      <c r="Z880" s="185">
        <f t="shared" si="3432"/>
        <v>0</v>
      </c>
      <c r="AA880" s="185">
        <f t="shared" si="3432"/>
        <v>0</v>
      </c>
      <c r="AB880" s="185">
        <f t="shared" si="3432"/>
        <v>0</v>
      </c>
      <c r="AC880" s="185">
        <f t="shared" si="3432"/>
        <v>0</v>
      </c>
      <c r="AD880" s="185">
        <f t="shared" si="3432"/>
        <v>0</v>
      </c>
      <c r="AE880" s="185">
        <f t="shared" si="3432"/>
        <v>0</v>
      </c>
      <c r="AF880" s="185">
        <f t="shared" si="3432"/>
        <v>0</v>
      </c>
      <c r="AG880" s="185">
        <f t="shared" si="3432"/>
        <v>0</v>
      </c>
      <c r="AH880" s="185">
        <f t="shared" si="3432"/>
        <v>0</v>
      </c>
      <c r="AI880" s="185">
        <f t="shared" si="3432"/>
        <v>0</v>
      </c>
      <c r="AJ880" s="185">
        <f t="shared" si="3432"/>
        <v>0</v>
      </c>
      <c r="AK880" s="185">
        <f t="shared" si="3432"/>
        <v>0</v>
      </c>
      <c r="AL880" s="185">
        <f t="shared" si="3432"/>
        <v>0</v>
      </c>
      <c r="AM880" s="185">
        <f t="shared" si="3432"/>
        <v>0</v>
      </c>
      <c r="AN880" s="185">
        <f t="shared" si="3432"/>
        <v>0</v>
      </c>
      <c r="AO880" s="185">
        <f t="shared" si="3432"/>
        <v>0</v>
      </c>
      <c r="AP880" s="185">
        <f t="shared" si="3432"/>
        <v>0</v>
      </c>
      <c r="AQ880" s="185">
        <f t="shared" si="3432"/>
        <v>0</v>
      </c>
      <c r="AR880" s="185">
        <f t="shared" si="3432"/>
        <v>0</v>
      </c>
      <c r="AS880" s="185">
        <f t="shared" si="3432"/>
        <v>0</v>
      </c>
      <c r="AT880" s="185">
        <f t="shared" si="3432"/>
        <v>0</v>
      </c>
      <c r="AU880" s="185">
        <f t="shared" si="3432"/>
        <v>0</v>
      </c>
      <c r="AV880" s="185">
        <f t="shared" si="3432"/>
        <v>0</v>
      </c>
      <c r="AW880" s="185">
        <f t="shared" si="3432"/>
        <v>0</v>
      </c>
      <c r="AX880" s="185">
        <f t="shared" si="3432"/>
        <v>0</v>
      </c>
      <c r="AY880" s="185">
        <f t="shared" si="3432"/>
        <v>0</v>
      </c>
      <c r="AZ880" s="185">
        <f t="shared" si="3432"/>
        <v>0</v>
      </c>
      <c r="BA880" s="185">
        <f t="shared" si="3432"/>
        <v>0</v>
      </c>
      <c r="BB880" s="185">
        <f t="shared" si="3432"/>
        <v>0</v>
      </c>
      <c r="BC880" s="185"/>
      <c r="BD880" s="193">
        <f>SUM(G880:BC880)</f>
        <v>0</v>
      </c>
    </row>
    <row r="881" spans="1:56" hidden="1" outlineLevel="1" x14ac:dyDescent="0.3">
      <c r="A881" s="184" t="str">
        <f ca="1">Language!A$919</f>
        <v>амортизация (налоговая)</v>
      </c>
      <c r="B881" s="216"/>
      <c r="C881" s="163" t="str">
        <f t="shared" ca="1" si="3429"/>
        <v>руб.</v>
      </c>
      <c r="D881" s="174">
        <v>1</v>
      </c>
      <c r="E881" s="170" t="s">
        <v>760</v>
      </c>
      <c r="F881" s="170" t="s">
        <v>740</v>
      </c>
      <c r="G881" s="185">
        <f ca="1">IF(SUM($G867:G867)&gt;0.01,0,$B862*G872*IF($B863=0,1,(1+$B865))+IF($B861=0,0,MIN((SUM($G872:G872)-IF(G$2&gt;$B861*12/Prj_Step,SUM($G872:OFFSET(G872,0,-$B861*12/Prj_Step)),0))*IF($B863=0,1,(1+$B865))*(1-$B862)/$B861/12*Параметры!G$31,IF(G$2=1,G872*IF($B863=0,1,(1+$B865)),F882+SUM($F872:G872)*(1-$B862)*IF($B863=0,1,(1+$B865))-SUM($F872:F872)*(1-$B862)*IF($B863=0,1,(1+$B865))))))</f>
        <v>0</v>
      </c>
      <c r="H881" s="185">
        <f ca="1">IF(SUM($G867:H867)&gt;0.01,0,$B862*H872*IF($B863=0,1,(1+$B865))+IF($B861=0,0,MIN((SUM($G872:H872)-IF(H$2&gt;$B861*12/Prj_Step,SUM($G872:OFFSET(H872,0,-$B861*12/Prj_Step)),0))*IF($B863=0,1,(1+$B865))*(1-$B862)/$B861/12*Параметры!H$31,IF(H$2=1,H872*IF($B863=0,1,(1+$B865)),G882+SUM($F872:H872)*(1-$B862)*IF($B863=0,1,(1+$B865))-SUM($F872:G872)*(1-$B862)*IF($B863=0,1,(1+$B865))))))</f>
        <v>0</v>
      </c>
      <c r="I881" s="185">
        <f ca="1">IF(SUM($G867:I867)&gt;0.01,0,$B862*I872*IF($B863=0,1,(1+$B865))+IF($B861=0,0,MIN((SUM($G872:I872)-IF(I$2&gt;$B861*12/Prj_Step,SUM($G872:OFFSET(I872,0,-$B861*12/Prj_Step)),0))*IF($B863=0,1,(1+$B865))*(1-$B862)/$B861/12*Параметры!I$31,IF(I$2=1,I872*IF($B863=0,1,(1+$B865)),H882+SUM($F872:I872)*(1-$B862)*IF($B863=0,1,(1+$B865))-SUM($F872:H872)*(1-$B862)*IF($B863=0,1,(1+$B865))))))</f>
        <v>0</v>
      </c>
      <c r="J881" s="185">
        <f ca="1">IF(SUM($G867:J867)&gt;0.01,0,$B862*J872*IF($B863=0,1,(1+$B865))+IF($B861=0,0,MIN((SUM($G872:J872)-IF(J$2&gt;$B861*12/Prj_Step,SUM($G872:OFFSET(J872,0,-$B861*12/Prj_Step)),0))*IF($B863=0,1,(1+$B865))*(1-$B862)/$B861/12*Параметры!J$31,IF(J$2=1,J872*IF($B863=0,1,(1+$B865)),I882+SUM($F872:J872)*(1-$B862)*IF($B863=0,1,(1+$B865))-SUM($F872:I872)*(1-$B862)*IF($B863=0,1,(1+$B865))))))</f>
        <v>0</v>
      </c>
      <c r="K881" s="185">
        <f ca="1">IF(SUM($G867:K867)&gt;0.01,0,$B862*K872*IF($B863=0,1,(1+$B865))+IF($B861=0,0,MIN((SUM($G872:K872)-IF(K$2&gt;$B861*12/Prj_Step,SUM($G872:OFFSET(K872,0,-$B861*12/Prj_Step)),0))*IF($B863=0,1,(1+$B865))*(1-$B862)/$B861/12*Параметры!K$31,IF(K$2=1,K872*IF($B863=0,1,(1+$B865)),J882+SUM($F872:K872)*(1-$B862)*IF($B863=0,1,(1+$B865))-SUM($F872:J872)*(1-$B862)*IF($B863=0,1,(1+$B865))))))</f>
        <v>0</v>
      </c>
      <c r="L881" s="185">
        <f ca="1">IF(SUM($G867:L867)&gt;0.01,0,$B862*L872*IF($B863=0,1,(1+$B865))+IF($B861=0,0,MIN((SUM($G872:L872)-IF(L$2&gt;$B861*12/Prj_Step,SUM($G872:OFFSET(L872,0,-$B861*12/Prj_Step)),0))*IF($B863=0,1,(1+$B865))*(1-$B862)/$B861/12*Параметры!L$31,IF(L$2=1,L872*IF($B863=0,1,(1+$B865)),K882+SUM($F872:L872)*(1-$B862)*IF($B863=0,1,(1+$B865))-SUM($F872:K872)*(1-$B862)*IF($B863=0,1,(1+$B865))))))</f>
        <v>0</v>
      </c>
      <c r="M881" s="185">
        <f ca="1">IF(SUM($G867:M867)&gt;0.01,0,$B862*M872*IF($B863=0,1,(1+$B865))+IF($B861=0,0,MIN((SUM($G872:M872)-IF(M$2&gt;$B861*12/Prj_Step,SUM($G872:OFFSET(M872,0,-$B861*12/Prj_Step)),0))*IF($B863=0,1,(1+$B865))*(1-$B862)/$B861/12*Параметры!M$31,IF(M$2=1,M872*IF($B863=0,1,(1+$B865)),L882+SUM($F872:M872)*(1-$B862)*IF($B863=0,1,(1+$B865))-SUM($F872:L872)*(1-$B862)*IF($B863=0,1,(1+$B865))))))</f>
        <v>15000</v>
      </c>
      <c r="N881" s="185">
        <f ca="1">IF(SUM($G867:N867)&gt;0.01,0,$B862*N872*IF($B863=0,1,(1+$B865))+IF($B861=0,0,MIN((SUM($G872:N872)-IF(N$2&gt;$B861*12/Prj_Step,SUM($G872:OFFSET(N872,0,-$B861*12/Prj_Step)),0))*IF($B863=0,1,(1+$B865))*(1-$B862)/$B861/12*Параметры!N$31,IF(N$2=1,N872*IF($B863=0,1,(1+$B865)),M882+SUM($F872:N872)*(1-$B862)*IF($B863=0,1,(1+$B865))-SUM($F872:M872)*(1-$B862)*IF($B863=0,1,(1+$B865))))))</f>
        <v>15000</v>
      </c>
      <c r="O881" s="185">
        <f ca="1">IF(SUM($G867:O867)&gt;0.01,0,$B862*O872*IF($B863=0,1,(1+$B865))+IF($B861=0,0,MIN((SUM($G872:O872)-IF(O$2&gt;$B861*12/Prj_Step,SUM($G872:OFFSET(O872,0,-$B861*12/Prj_Step)),0))*IF($B863=0,1,(1+$B865))*(1-$B862)/$B861/12*Параметры!O$31,IF(O$2=1,O872*IF($B863=0,1,(1+$B865)),N882+SUM($F872:O872)*(1-$B862)*IF($B863=0,1,(1+$B865))-SUM($F872:N872)*(1-$B862)*IF($B863=0,1,(1+$B865))))))</f>
        <v>15000</v>
      </c>
      <c r="P881" s="185">
        <f ca="1">IF(SUM($G867:P867)&gt;0.01,0,$B862*P872*IF($B863=0,1,(1+$B865))+IF($B861=0,0,MIN((SUM($G872:P872)-IF(P$2&gt;$B861*12/Prj_Step,SUM($G872:OFFSET(P872,0,-$B861*12/Prj_Step)),0))*IF($B863=0,1,(1+$B865))*(1-$B862)/$B861/12*Параметры!P$31,IF(P$2=1,P872*IF($B863=0,1,(1+$B865)),O882+SUM($F872:P872)*(1-$B862)*IF($B863=0,1,(1+$B865))-SUM($F872:O872)*(1-$B862)*IF($B863=0,1,(1+$B865))))))</f>
        <v>15000</v>
      </c>
      <c r="Q881" s="185">
        <f ca="1">IF(SUM($G867:Q867)&gt;0.01,0,$B862*Q872*IF($B863=0,1,(1+$B865))+IF($B861=0,0,MIN((SUM($G872:Q872)-IF(Q$2&gt;$B861*12/Prj_Step,SUM($G872:OFFSET(Q872,0,-$B861*12/Prj_Step)),0))*IF($B863=0,1,(1+$B865))*(1-$B862)/$B861/12*Параметры!Q$31,IF(Q$2=1,Q872*IF($B863=0,1,(1+$B865)),P882+SUM($F872:Q872)*(1-$B862)*IF($B863=0,1,(1+$B865))-SUM($F872:P872)*(1-$B862)*IF($B863=0,1,(1+$B865))))))</f>
        <v>15000</v>
      </c>
      <c r="R881" s="185">
        <f ca="1">IF(SUM($G867:R867)&gt;0.01,0,$B862*R872*IF($B863=0,1,(1+$B865))+IF($B861=0,0,MIN((SUM($G872:R872)-IF(R$2&gt;$B861*12/Prj_Step,SUM($G872:OFFSET(R872,0,-$B861*12/Prj_Step)),0))*IF($B863=0,1,(1+$B865))*(1-$B862)/$B861/12*Параметры!R$31,IF(R$2=1,R872*IF($B863=0,1,(1+$B865)),Q882+SUM($F872:R872)*(1-$B862)*IF($B863=0,1,(1+$B865))-SUM($F872:Q872)*(1-$B862)*IF($B863=0,1,(1+$B865))))))</f>
        <v>15000</v>
      </c>
      <c r="S881" s="185">
        <f ca="1">IF(SUM($G867:S867)&gt;0.01,0,$B862*S872*IF($B863=0,1,(1+$B865))+IF($B861=0,0,MIN((SUM($G872:S872)-IF(S$2&gt;$B861*12/Prj_Step,SUM($G872:OFFSET(S872,0,-$B861*12/Prj_Step)),0))*IF($B863=0,1,(1+$B865))*(1-$B862)/$B861/12*Параметры!S$31,IF(S$2=1,S872*IF($B863=0,1,(1+$B865)),R882+SUM($F872:S872)*(1-$B862)*IF($B863=0,1,(1+$B865))-SUM($F872:R872)*(1-$B862)*IF($B863=0,1,(1+$B865))))))</f>
        <v>15000</v>
      </c>
      <c r="T881" s="185">
        <f ca="1">IF(SUM($G867:T867)&gt;0.01,0,$B862*T872*IF($B863=0,1,(1+$B865))+IF($B861=0,0,MIN((SUM($G872:T872)-IF(T$2&gt;$B861*12/Prj_Step,SUM($G872:OFFSET(T872,0,-$B861*12/Prj_Step)),0))*IF($B863=0,1,(1+$B865))*(1-$B862)/$B861/12*Параметры!T$31,IF(T$2=1,T872*IF($B863=0,1,(1+$B865)),S882+SUM($F872:T872)*(1-$B862)*IF($B863=0,1,(1+$B865))-SUM($F872:S872)*(1-$B862)*IF($B863=0,1,(1+$B865))))))</f>
        <v>15000</v>
      </c>
      <c r="U881" s="185">
        <f ca="1">IF(SUM($G867:U867)&gt;0.01,0,$B862*U872*IF($B863=0,1,(1+$B865))+IF($B861=0,0,MIN((SUM($G872:U872)-IF(U$2&gt;$B861*12/Prj_Step,SUM($G872:OFFSET(U872,0,-$B861*12/Prj_Step)),0))*IF($B863=0,1,(1+$B865))*(1-$B862)/$B861/12*Параметры!U$31,IF(U$2=1,U872*IF($B863=0,1,(1+$B865)),T882+SUM($F872:U872)*(1-$B862)*IF($B863=0,1,(1+$B865))-SUM($F872:T872)*(1-$B862)*IF($B863=0,1,(1+$B865))))))</f>
        <v>15000</v>
      </c>
      <c r="V881" s="185">
        <f ca="1">IF(SUM($G867:V867)&gt;0.01,0,$B862*V872*IF($B863=0,1,(1+$B865))+IF($B861=0,0,MIN((SUM($G872:V872)-IF(V$2&gt;$B861*12/Prj_Step,SUM($G872:OFFSET(V872,0,-$B861*12/Prj_Step)),0))*IF($B863=0,1,(1+$B865))*(1-$B862)/$B861/12*Параметры!V$31,IF(V$2=1,V872*IF($B863=0,1,(1+$B865)),U882+SUM($F872:V872)*(1-$B862)*IF($B863=0,1,(1+$B865))-SUM($F872:U872)*(1-$B862)*IF($B863=0,1,(1+$B865))))))</f>
        <v>15000</v>
      </c>
      <c r="W881" s="185">
        <f ca="1">IF(SUM($G867:W867)&gt;0.01,0,$B862*W872*IF($B863=0,1,(1+$B865))+IF($B861=0,0,MIN((SUM($G872:W872)-IF(W$2&gt;$B861*12/Prj_Step,SUM($G872:OFFSET(W872,0,-$B861*12/Prj_Step)),0))*IF($B863=0,1,(1+$B865))*(1-$B862)/$B861/12*Параметры!W$31,IF(W$2=1,W872*IF($B863=0,1,(1+$B865)),V882+SUM($F872:W872)*(1-$B862)*IF($B863=0,1,(1+$B865))-SUM($F872:V872)*(1-$B862)*IF($B863=0,1,(1+$B865))))))</f>
        <v>15000</v>
      </c>
      <c r="X881" s="185">
        <f ca="1">IF(SUM($G867:X867)&gt;0.01,0,$B862*X872*IF($B863=0,1,(1+$B865))+IF($B861=0,0,MIN((SUM($G872:X872)-IF(X$2&gt;$B861*12/Prj_Step,SUM($G872:OFFSET(X872,0,-$B861*12/Prj_Step)),0))*IF($B863=0,1,(1+$B865))*(1-$B862)/$B861/12*Параметры!X$31,IF(X$2=1,X872*IF($B863=0,1,(1+$B865)),W882+SUM($F872:X872)*(1-$B862)*IF($B863=0,1,(1+$B865))-SUM($F872:W872)*(1-$B862)*IF($B863=0,1,(1+$B865))))))</f>
        <v>15000</v>
      </c>
      <c r="Y881" s="185">
        <f ca="1">IF(SUM($G867:Y867)&gt;0.01,0,$B862*Y872*IF($B863=0,1,(1+$B865))+IF($B861=0,0,MIN((SUM($G872:Y872)-IF(Y$2&gt;$B861*12/Prj_Step,SUM($G872:OFFSET(Y872,0,-$B861*12/Prj_Step)),0))*IF($B863=0,1,(1+$B865))*(1-$B862)/$B861/12*Параметры!Y$31,IF(Y$2=1,Y872*IF($B863=0,1,(1+$B865)),X882+SUM($F872:Y872)*(1-$B862)*IF($B863=0,1,(1+$B865))-SUM($F872:X872)*(1-$B862)*IF($B863=0,1,(1+$B865))))))</f>
        <v>15000</v>
      </c>
      <c r="Z881" s="185">
        <f ca="1">IF(SUM($G867:Z867)&gt;0.01,0,$B862*Z872*IF($B863=0,1,(1+$B865))+IF($B861=0,0,MIN((SUM($G872:Z872)-IF(Z$2&gt;$B861*12/Prj_Step,SUM($G872:OFFSET(Z872,0,-$B861*12/Prj_Step)),0))*IF($B863=0,1,(1+$B865))*(1-$B862)/$B861/12*Параметры!Z$31,IF(Z$2=1,Z872*IF($B863=0,1,(1+$B865)),Y882+SUM($F872:Z872)*(1-$B862)*IF($B863=0,1,(1+$B865))-SUM($F872:Y872)*(1-$B862)*IF($B863=0,1,(1+$B865))))))</f>
        <v>15000</v>
      </c>
      <c r="AA881" s="185">
        <f ca="1">IF(SUM($G867:AA867)&gt;0.01,0,$B862*AA872*IF($B863=0,1,(1+$B865))+IF($B861=0,0,MIN((SUM($G872:AA872)-IF(AA$2&gt;$B861*12/Prj_Step,SUM($G872:OFFSET(AA872,0,-$B861*12/Prj_Step)),0))*IF($B863=0,1,(1+$B865))*(1-$B862)/$B861/12*Параметры!AA$31,IF(AA$2=1,AA872*IF($B863=0,1,(1+$B865)),Z882+SUM($F872:AA872)*(1-$B862)*IF($B863=0,1,(1+$B865))-SUM($F872:Z872)*(1-$B862)*IF($B863=0,1,(1+$B865))))))</f>
        <v>15000</v>
      </c>
      <c r="AB881" s="185">
        <f ca="1">IF(SUM($G867:AB867)&gt;0.01,0,$B862*AB872*IF($B863=0,1,(1+$B865))+IF($B861=0,0,MIN((SUM($G872:AB872)-IF(AB$2&gt;$B861*12/Prj_Step,SUM($G872:OFFSET(AB872,0,-$B861*12/Prj_Step)),0))*IF($B863=0,1,(1+$B865))*(1-$B862)/$B861/12*Параметры!AB$31,IF(AB$2=1,AB872*IF($B863=0,1,(1+$B865)),AA882+SUM($F872:AB872)*(1-$B862)*IF($B863=0,1,(1+$B865))-SUM($F872:AA872)*(1-$B862)*IF($B863=0,1,(1+$B865))))))</f>
        <v>15000</v>
      </c>
      <c r="AC881" s="185">
        <f ca="1">IF(SUM($G867:AC867)&gt;0.01,0,$B862*AC872*IF($B863=0,1,(1+$B865))+IF($B861=0,0,MIN((SUM($G872:AC872)-IF(AC$2&gt;$B861*12/Prj_Step,SUM($G872:OFFSET(AC872,0,-$B861*12/Prj_Step)),0))*IF($B863=0,1,(1+$B865))*(1-$B862)/$B861/12*Параметры!AC$31,IF(AC$2=1,AC872*IF($B863=0,1,(1+$B865)),AB882+SUM($F872:AC872)*(1-$B862)*IF($B863=0,1,(1+$B865))-SUM($F872:AB872)*(1-$B862)*IF($B863=0,1,(1+$B865))))))</f>
        <v>15000</v>
      </c>
      <c r="AD881" s="185">
        <f ca="1">IF(SUM($G867:AD867)&gt;0.01,0,$B862*AD872*IF($B863=0,1,(1+$B865))+IF($B861=0,0,MIN((SUM($G872:AD872)-IF(AD$2&gt;$B861*12/Prj_Step,SUM($G872:OFFSET(AD872,0,-$B861*12/Prj_Step)),0))*IF($B863=0,1,(1+$B865))*(1-$B862)/$B861/12*Параметры!AD$31,IF(AD$2=1,AD872*IF($B863=0,1,(1+$B865)),AC882+SUM($F872:AD872)*(1-$B862)*IF($B863=0,1,(1+$B865))-SUM($F872:AC872)*(1-$B862)*IF($B863=0,1,(1+$B865))))))</f>
        <v>15000</v>
      </c>
      <c r="AE881" s="185">
        <f ca="1">IF(SUM($G867:AE867)&gt;0.01,0,$B862*AE872*IF($B863=0,1,(1+$B865))+IF($B861=0,0,MIN((SUM($G872:AE872)-IF(AE$2&gt;$B861*12/Prj_Step,SUM($G872:OFFSET(AE872,0,-$B861*12/Prj_Step)),0))*IF($B863=0,1,(1+$B865))*(1-$B862)/$B861/12*Параметры!AE$31,IF(AE$2=1,AE872*IF($B863=0,1,(1+$B865)),AD882+SUM($F872:AE872)*(1-$B862)*IF($B863=0,1,(1+$B865))-SUM($F872:AD872)*(1-$B862)*IF($B863=0,1,(1+$B865))))))</f>
        <v>15000</v>
      </c>
      <c r="AF881" s="185">
        <f ca="1">IF(SUM($G867:AF867)&gt;0.01,0,$B862*AF872*IF($B863=0,1,(1+$B865))+IF($B861=0,0,MIN((SUM($G872:AF872)-IF(AF$2&gt;$B861*12/Prj_Step,SUM($G872:OFFSET(AF872,0,-$B861*12/Prj_Step)),0))*IF($B863=0,1,(1+$B865))*(1-$B862)/$B861/12*Параметры!AF$31,IF(AF$2=1,AF872*IF($B863=0,1,(1+$B865)),AE882+SUM($F872:AF872)*(1-$B862)*IF($B863=0,1,(1+$B865))-SUM($F872:AE872)*(1-$B862)*IF($B863=0,1,(1+$B865))))))</f>
        <v>15000</v>
      </c>
      <c r="AG881" s="185">
        <f ca="1">IF(SUM($G867:AG867)&gt;0.01,0,$B862*AG872*IF($B863=0,1,(1+$B865))+IF($B861=0,0,MIN((SUM($G872:AG872)-IF(AG$2&gt;$B861*12/Prj_Step,SUM($G872:OFFSET(AG872,0,-$B861*12/Prj_Step)),0))*IF($B863=0,1,(1+$B865))*(1-$B862)/$B861/12*Параметры!AG$31,IF(AG$2=1,AG872*IF($B863=0,1,(1+$B865)),AF882+SUM($F872:AG872)*(1-$B862)*IF($B863=0,1,(1+$B865))-SUM($F872:AF872)*(1-$B862)*IF($B863=0,1,(1+$B865))))))</f>
        <v>15000</v>
      </c>
      <c r="AH881" s="185">
        <f ca="1">IF(SUM($G867:AH867)&gt;0.01,0,$B862*AH872*IF($B863=0,1,(1+$B865))+IF($B861=0,0,MIN((SUM($G872:AH872)-IF(AH$2&gt;$B861*12/Prj_Step,SUM($G872:OFFSET(AH872,0,-$B861*12/Prj_Step)),0))*IF($B863=0,1,(1+$B865))*(1-$B862)/$B861/12*Параметры!AH$31,IF(AH$2=1,AH872*IF($B863=0,1,(1+$B865)),AG882+SUM($F872:AH872)*(1-$B862)*IF($B863=0,1,(1+$B865))-SUM($F872:AG872)*(1-$B862)*IF($B863=0,1,(1+$B865))))))</f>
        <v>15000</v>
      </c>
      <c r="AI881" s="185">
        <f ca="1">IF(SUM($G867:AI867)&gt;0.01,0,$B862*AI872*IF($B863=0,1,(1+$B865))+IF($B861=0,0,MIN((SUM($G872:AI872)-IF(AI$2&gt;$B861*12/Prj_Step,SUM($G872:OFFSET(AI872,0,-$B861*12/Prj_Step)),0))*IF($B863=0,1,(1+$B865))*(1-$B862)/$B861/12*Параметры!AI$31,IF(AI$2=1,AI872*IF($B863=0,1,(1+$B865)),AH882+SUM($F872:AI872)*(1-$B862)*IF($B863=0,1,(1+$B865))-SUM($F872:AH872)*(1-$B862)*IF($B863=0,1,(1+$B865))))))</f>
        <v>15000</v>
      </c>
      <c r="AJ881" s="185">
        <f ca="1">IF(SUM($G867:AJ867)&gt;0.01,0,$B862*AJ872*IF($B863=0,1,(1+$B865))+IF($B861=0,0,MIN((SUM($G872:AJ872)-IF(AJ$2&gt;$B861*12/Prj_Step,SUM($G872:OFFSET(AJ872,0,-$B861*12/Prj_Step)),0))*IF($B863=0,1,(1+$B865))*(1-$B862)/$B861/12*Параметры!AJ$31,IF(AJ$2=1,AJ872*IF($B863=0,1,(1+$B865)),AI882+SUM($F872:AJ872)*(1-$B862)*IF($B863=0,1,(1+$B865))-SUM($F872:AI872)*(1-$B862)*IF($B863=0,1,(1+$B865))))))</f>
        <v>15000</v>
      </c>
      <c r="AK881" s="185">
        <f ca="1">IF(SUM($G867:AK867)&gt;0.01,0,$B862*AK872*IF($B863=0,1,(1+$B865))+IF($B861=0,0,MIN((SUM($G872:AK872)-IF(AK$2&gt;$B861*12/Prj_Step,SUM($G872:OFFSET(AK872,0,-$B861*12/Prj_Step)),0))*IF($B863=0,1,(1+$B865))*(1-$B862)/$B861/12*Параметры!AK$31,IF(AK$2=1,AK872*IF($B863=0,1,(1+$B865)),AJ882+SUM($F872:AK872)*(1-$B862)*IF($B863=0,1,(1+$B865))-SUM($F872:AJ872)*(1-$B862)*IF($B863=0,1,(1+$B865))))))</f>
        <v>15000</v>
      </c>
      <c r="AL881" s="185">
        <f ca="1">IF(SUM($G867:AL867)&gt;0.01,0,$B862*AL872*IF($B863=0,1,(1+$B865))+IF($B861=0,0,MIN((SUM($G872:AL872)-IF(AL$2&gt;$B861*12/Prj_Step,SUM($G872:OFFSET(AL872,0,-$B861*12/Prj_Step)),0))*IF($B863=0,1,(1+$B865))*(1-$B862)/$B861/12*Параметры!AL$31,IF(AL$2=1,AL872*IF($B863=0,1,(1+$B865)),AK882+SUM($F872:AL872)*(1-$B862)*IF($B863=0,1,(1+$B865))-SUM($F872:AK872)*(1-$B862)*IF($B863=0,1,(1+$B865))))))</f>
        <v>15000</v>
      </c>
      <c r="AM881" s="185">
        <f ca="1">IF(SUM($G867:AM867)&gt;0.01,0,$B862*AM872*IF($B863=0,1,(1+$B865))+IF($B861=0,0,MIN((SUM($G872:AM872)-IF(AM$2&gt;$B861*12/Prj_Step,SUM($G872:OFFSET(AM872,0,-$B861*12/Prj_Step)),0))*IF($B863=0,1,(1+$B865))*(1-$B862)/$B861/12*Параметры!AM$31,IF(AM$2=1,AM872*IF($B863=0,1,(1+$B865)),AL882+SUM($F872:AM872)*(1-$B862)*IF($B863=0,1,(1+$B865))-SUM($F872:AL872)*(1-$B862)*IF($B863=0,1,(1+$B865))))))</f>
        <v>15000</v>
      </c>
      <c r="AN881" s="185">
        <f ca="1">IF(SUM($G867:AN867)&gt;0.01,0,$B862*AN872*IF($B863=0,1,(1+$B865))+IF($B861=0,0,MIN((SUM($G872:AN872)-IF(AN$2&gt;$B861*12/Prj_Step,SUM($G872:OFFSET(AN872,0,-$B861*12/Prj_Step)),0))*IF($B863=0,1,(1+$B865))*(1-$B862)/$B861/12*Параметры!AN$31,IF(AN$2=1,AN872*IF($B863=0,1,(1+$B865)),AM882+SUM($F872:AN872)*(1-$B862)*IF($B863=0,1,(1+$B865))-SUM($F872:AM872)*(1-$B862)*IF($B863=0,1,(1+$B865))))))</f>
        <v>15000</v>
      </c>
      <c r="AO881" s="185">
        <f ca="1">IF(SUM($G867:AO867)&gt;0.01,0,$B862*AO872*IF($B863=0,1,(1+$B865))+IF($B861=0,0,MIN((SUM($G872:AO872)-IF(AO$2&gt;$B861*12/Prj_Step,SUM($G872:OFFSET(AO872,0,-$B861*12/Prj_Step)),0))*IF($B863=0,1,(1+$B865))*(1-$B862)/$B861/12*Параметры!AO$31,IF(AO$2=1,AO872*IF($B863=0,1,(1+$B865)),AN882+SUM($F872:AO872)*(1-$B862)*IF($B863=0,1,(1+$B865))-SUM($F872:AN872)*(1-$B862)*IF($B863=0,1,(1+$B865))))))</f>
        <v>15000</v>
      </c>
      <c r="AP881" s="185">
        <f ca="1">IF(SUM($G867:AP867)&gt;0.01,0,$B862*AP872*IF($B863=0,1,(1+$B865))+IF($B861=0,0,MIN((SUM($G872:AP872)-IF(AP$2&gt;$B861*12/Prj_Step,SUM($G872:OFFSET(AP872,0,-$B861*12/Prj_Step)),0))*IF($B863=0,1,(1+$B865))*(1-$B862)/$B861/12*Параметры!AP$31,IF(AP$2=1,AP872*IF($B863=0,1,(1+$B865)),AO882+SUM($F872:AP872)*(1-$B862)*IF($B863=0,1,(1+$B865))-SUM($F872:AO872)*(1-$B862)*IF($B863=0,1,(1+$B865))))))</f>
        <v>15000</v>
      </c>
      <c r="AQ881" s="185">
        <f ca="1">IF(SUM($G867:AQ867)&gt;0.01,0,$B862*AQ872*IF($B863=0,1,(1+$B865))+IF($B861=0,0,MIN((SUM($G872:AQ872)-IF(AQ$2&gt;$B861*12/Prj_Step,SUM($G872:OFFSET(AQ872,0,-$B861*12/Prj_Step)),0))*IF($B863=0,1,(1+$B865))*(1-$B862)/$B861/12*Параметры!AQ$31,IF(AQ$2=1,AQ872*IF($B863=0,1,(1+$B865)),AP882+SUM($F872:AQ872)*(1-$B862)*IF($B863=0,1,(1+$B865))-SUM($F872:AP872)*(1-$B862)*IF($B863=0,1,(1+$B865))))))</f>
        <v>15000</v>
      </c>
      <c r="AR881" s="185">
        <f ca="1">IF(SUM($G867:AR867)&gt;0.01,0,$B862*AR872*IF($B863=0,1,(1+$B865))+IF($B861=0,0,MIN((SUM($G872:AR872)-IF(AR$2&gt;$B861*12/Prj_Step,SUM($G872:OFFSET(AR872,0,-$B861*12/Prj_Step)),0))*IF($B863=0,1,(1+$B865))*(1-$B862)/$B861/12*Параметры!AR$31,IF(AR$2=1,AR872*IF($B863=0,1,(1+$B865)),AQ882+SUM($F872:AR872)*(1-$B862)*IF($B863=0,1,(1+$B865))-SUM($F872:AQ872)*(1-$B862)*IF($B863=0,1,(1+$B865))))))</f>
        <v>15000</v>
      </c>
      <c r="AS881" s="185">
        <f ca="1">IF(SUM($G867:AS867)&gt;0.01,0,$B862*AS872*IF($B863=0,1,(1+$B865))+IF($B861=0,0,MIN((SUM($G872:AS872)-IF(AS$2&gt;$B861*12/Prj_Step,SUM($G872:OFFSET(AS872,0,-$B861*12/Prj_Step)),0))*IF($B863=0,1,(1+$B865))*(1-$B862)/$B861/12*Параметры!AS$31,IF(AS$2=1,AS872*IF($B863=0,1,(1+$B865)),AR882+SUM($F872:AS872)*(1-$B862)*IF($B863=0,1,(1+$B865))-SUM($F872:AR872)*(1-$B862)*IF($B863=0,1,(1+$B865))))))</f>
        <v>15000</v>
      </c>
      <c r="AT881" s="185">
        <f ca="1">IF(SUM($G867:AT867)&gt;0.01,0,$B862*AT872*IF($B863=0,1,(1+$B865))+IF($B861=0,0,MIN((SUM($G872:AT872)-IF(AT$2&gt;$B861*12/Prj_Step,SUM($G872:OFFSET(AT872,0,-$B861*12/Prj_Step)),0))*IF($B863=0,1,(1+$B865))*(1-$B862)/$B861/12*Параметры!AT$31,IF(AT$2=1,AT872*IF($B863=0,1,(1+$B865)),AS882+SUM($F872:AT872)*(1-$B862)*IF($B863=0,1,(1+$B865))-SUM($F872:AS872)*(1-$B862)*IF($B863=0,1,(1+$B865))))))</f>
        <v>15000</v>
      </c>
      <c r="AU881" s="185">
        <f ca="1">IF(SUM($G867:AU867)&gt;0.01,0,$B862*AU872*IF($B863=0,1,(1+$B865))+IF($B861=0,0,MIN((SUM($G872:AU872)-IF(AU$2&gt;$B861*12/Prj_Step,SUM($G872:OFFSET(AU872,0,-$B861*12/Prj_Step)),0))*IF($B863=0,1,(1+$B865))*(1-$B862)/$B861/12*Параметры!AU$31,IF(AU$2=1,AU872*IF($B863=0,1,(1+$B865)),AT882+SUM($F872:AU872)*(1-$B862)*IF($B863=0,1,(1+$B865))-SUM($F872:AT872)*(1-$B862)*IF($B863=0,1,(1+$B865))))))</f>
        <v>15000</v>
      </c>
      <c r="AV881" s="185">
        <f ca="1">IF(SUM($G867:AV867)&gt;0.01,0,$B862*AV872*IF($B863=0,1,(1+$B865))+IF($B861=0,0,MIN((SUM($G872:AV872)-IF(AV$2&gt;$B861*12/Prj_Step,SUM($G872:OFFSET(AV872,0,-$B861*12/Prj_Step)),0))*IF($B863=0,1,(1+$B865))*(1-$B862)/$B861/12*Параметры!AV$31,IF(AV$2=1,AV872*IF($B863=0,1,(1+$B865)),AU882+SUM($F872:AV872)*(1-$B862)*IF($B863=0,1,(1+$B865))-SUM($F872:AU872)*(1-$B862)*IF($B863=0,1,(1+$B865))))))</f>
        <v>15000</v>
      </c>
      <c r="AW881" s="185">
        <f ca="1">IF(SUM($G867:AW867)&gt;0.01,0,$B862*AW872*IF($B863=0,1,(1+$B865))+IF($B861=0,0,MIN((SUM($G872:AW872)-IF(AW$2&gt;$B861*12/Prj_Step,SUM($G872:OFFSET(AW872,0,-$B861*12/Prj_Step)),0))*IF($B863=0,1,(1+$B865))*(1-$B862)/$B861/12*Параметры!AW$31,IF(AW$2=1,AW872*IF($B863=0,1,(1+$B865)),AV882+SUM($F872:AW872)*(1-$B862)*IF($B863=0,1,(1+$B865))-SUM($F872:AV872)*(1-$B862)*IF($B863=0,1,(1+$B865))))))</f>
        <v>15000</v>
      </c>
      <c r="AX881" s="185">
        <f ca="1">IF(SUM($G867:AX867)&gt;0.01,0,$B862*AX872*IF($B863=0,1,(1+$B865))+IF($B861=0,0,MIN((SUM($G872:AX872)-IF(AX$2&gt;$B861*12/Prj_Step,SUM($G872:OFFSET(AX872,0,-$B861*12/Prj_Step)),0))*IF($B863=0,1,(1+$B865))*(1-$B862)/$B861/12*Параметры!AX$31,IF(AX$2=1,AX872*IF($B863=0,1,(1+$B865)),AW882+SUM($F872:AX872)*(1-$B862)*IF($B863=0,1,(1+$B865))-SUM($F872:AW872)*(1-$B862)*IF($B863=0,1,(1+$B865))))))</f>
        <v>15000</v>
      </c>
      <c r="AY881" s="185">
        <f ca="1">IF(SUM($G867:AY867)&gt;0.01,0,$B862*AY872*IF($B863=0,1,(1+$B865))+IF($B861=0,0,MIN((SUM($G872:AY872)-IF(AY$2&gt;$B861*12/Prj_Step,SUM($G872:OFFSET(AY872,0,-$B861*12/Prj_Step)),0))*IF($B863=0,1,(1+$B865))*(1-$B862)/$B861/12*Параметры!AY$31,IF(AY$2=1,AY872*IF($B863=0,1,(1+$B865)),AX882+SUM($F872:AY872)*(1-$B862)*IF($B863=0,1,(1+$B865))-SUM($F872:AX872)*(1-$B862)*IF($B863=0,1,(1+$B865))))))</f>
        <v>15000</v>
      </c>
      <c r="AZ881" s="185">
        <f ca="1">IF(SUM($G867:AZ867)&gt;0.01,0,$B862*AZ872*IF($B863=0,1,(1+$B865))+IF($B861=0,0,MIN((SUM($G872:AZ872)-IF(AZ$2&gt;$B861*12/Prj_Step,SUM($G872:OFFSET(AZ872,0,-$B861*12/Prj_Step)),0))*IF($B863=0,1,(1+$B865))*(1-$B862)/$B861/12*Параметры!AZ$31,IF(AZ$2=1,AZ872*IF($B863=0,1,(1+$B865)),AY882+SUM($F872:AZ872)*(1-$B862)*IF($B863=0,1,(1+$B865))-SUM($F872:AY872)*(1-$B862)*IF($B863=0,1,(1+$B865))))))</f>
        <v>15000</v>
      </c>
      <c r="BA881" s="185">
        <f ca="1">IF(SUM($G867:BA867)&gt;0.01,0,$B862*BA872*IF($B863=0,1,(1+$B865))+IF($B861=0,0,MIN((SUM($G872:BA872)-IF(BA$2&gt;$B861*12/Prj_Step,SUM($G872:OFFSET(BA872,0,-$B861*12/Prj_Step)),0))*IF($B863=0,1,(1+$B865))*(1-$B862)/$B861/12*Параметры!BA$31,IF(BA$2=1,BA872*IF($B863=0,1,(1+$B865)),AZ882+SUM($F872:BA872)*(1-$B862)*IF($B863=0,1,(1+$B865))-SUM($F872:AZ872)*(1-$B862)*IF($B863=0,1,(1+$B865))))))</f>
        <v>15000</v>
      </c>
      <c r="BB881" s="185">
        <f ca="1">IF(SUM($G867:BB867)&gt;0.01,0,$B862*BB872*IF($B863=0,1,(1+$B865))+IF($B861=0,0,MIN((SUM($G872:BB872)-IF(BB$2&gt;$B861*12/Prj_Step,SUM($G872:OFFSET(BB872,0,-$B861*12/Prj_Step)),0))*IF($B863=0,1,(1+$B865))*(1-$B862)/$B861/12*Параметры!BB$31,IF(BB$2=1,BB872*IF($B863=0,1,(1+$B865)),BA882+SUM($F872:BB872)*(1-$B862)*IF($B863=0,1,(1+$B865))-SUM($F872:BA872)*(1-$B862)*IF($B863=0,1,(1+$B865))))))</f>
        <v>15000</v>
      </c>
      <c r="BC881" s="185"/>
      <c r="BD881" s="193">
        <f ca="1">SUM(G881:BC881)</f>
        <v>630000</v>
      </c>
    </row>
    <row r="882" spans="1:56" hidden="1" outlineLevel="1" x14ac:dyDescent="0.3">
      <c r="A882" s="184" t="str">
        <f ca="1">Language!A$920</f>
        <v>балансовая стоимость (налоговая)</v>
      </c>
      <c r="B882" s="216"/>
      <c r="C882" s="163" t="str">
        <f t="shared" ca="1" si="3429"/>
        <v>руб.</v>
      </c>
      <c r="D882" s="174">
        <v>1</v>
      </c>
      <c r="E882" s="170" t="s">
        <v>761</v>
      </c>
      <c r="F882" s="170" t="s">
        <v>741</v>
      </c>
      <c r="G882" s="185">
        <f ca="1">IF(SUM($G867:G867)&gt;0.01,0,SUM($G872:G872)*IF($B863=0,1,(1+$B865))-SUM($G881:G881))</f>
        <v>0</v>
      </c>
      <c r="H882" s="185">
        <f ca="1">IF(SUM($G867:H867)&gt;0.01,0,SUM($G872:H872)*IF($B863=0,1,(1+$B865))-SUM($G881:H881))</f>
        <v>0</v>
      </c>
      <c r="I882" s="185">
        <f ca="1">IF(SUM($G867:I867)&gt;0.01,0,SUM($G872:I872)*IF($B863=0,1,(1+$B865))-SUM($G881:I881))</f>
        <v>0</v>
      </c>
      <c r="J882" s="185">
        <f ca="1">IF(SUM($G867:J867)&gt;0.01,0,SUM($G872:J872)*IF($B863=0,1,(1+$B865))-SUM($G881:J881))</f>
        <v>0</v>
      </c>
      <c r="K882" s="185">
        <f ca="1">IF(SUM($G867:K867)&gt;0.01,0,SUM($G872:K872)*IF($B863=0,1,(1+$B865))-SUM($G881:K881))</f>
        <v>0</v>
      </c>
      <c r="L882" s="185">
        <f ca="1">IF(SUM($G867:L867)&gt;0.01,0,SUM($G872:L872)*IF($B863=0,1,(1+$B865))-SUM($G881:L881))</f>
        <v>0</v>
      </c>
      <c r="M882" s="185">
        <f ca="1">IF(SUM($G867:M867)&gt;0.01,0,SUM($G872:M872)*IF($B863=0,1,(1+$B865))-SUM($G881:M881))</f>
        <v>1785000</v>
      </c>
      <c r="N882" s="185">
        <f ca="1">IF(SUM($G867:N867)&gt;0.01,0,SUM($G872:N872)*IF($B863=0,1,(1+$B865))-SUM($G881:N881))</f>
        <v>1770000</v>
      </c>
      <c r="O882" s="185">
        <f ca="1">IF(SUM($G867:O867)&gt;0.01,0,SUM($G872:O872)*IF($B863=0,1,(1+$B865))-SUM($G881:O881))</f>
        <v>1755000</v>
      </c>
      <c r="P882" s="185">
        <f ca="1">IF(SUM($G867:P867)&gt;0.01,0,SUM($G872:P872)*IF($B863=0,1,(1+$B865))-SUM($G881:P881))</f>
        <v>1740000</v>
      </c>
      <c r="Q882" s="185">
        <f ca="1">IF(SUM($G867:Q867)&gt;0.01,0,SUM($G872:Q872)*IF($B863=0,1,(1+$B865))-SUM($G881:Q881))</f>
        <v>1725000</v>
      </c>
      <c r="R882" s="185">
        <f ca="1">IF(SUM($G867:R867)&gt;0.01,0,SUM($G872:R872)*IF($B863=0,1,(1+$B865))-SUM($G881:R881))</f>
        <v>1710000</v>
      </c>
      <c r="S882" s="185">
        <f ca="1">IF(SUM($G867:S867)&gt;0.01,0,SUM($G872:S872)*IF($B863=0,1,(1+$B865))-SUM($G881:S881))</f>
        <v>1695000</v>
      </c>
      <c r="T882" s="185">
        <f ca="1">IF(SUM($G867:T867)&gt;0.01,0,SUM($G872:T872)*IF($B863=0,1,(1+$B865))-SUM($G881:T881))</f>
        <v>1680000</v>
      </c>
      <c r="U882" s="185">
        <f ca="1">IF(SUM($G867:U867)&gt;0.01,0,SUM($G872:U872)*IF($B863=0,1,(1+$B865))-SUM($G881:U881))</f>
        <v>1665000</v>
      </c>
      <c r="V882" s="185">
        <f ca="1">IF(SUM($G867:V867)&gt;0.01,0,SUM($G872:V872)*IF($B863=0,1,(1+$B865))-SUM($G881:V881))</f>
        <v>1650000</v>
      </c>
      <c r="W882" s="185">
        <f ca="1">IF(SUM($G867:W867)&gt;0.01,0,SUM($G872:W872)*IF($B863=0,1,(1+$B865))-SUM($G881:W881))</f>
        <v>1635000</v>
      </c>
      <c r="X882" s="185">
        <f ca="1">IF(SUM($G867:X867)&gt;0.01,0,SUM($G872:X872)*IF($B863=0,1,(1+$B865))-SUM($G881:X881))</f>
        <v>1620000</v>
      </c>
      <c r="Y882" s="185">
        <f ca="1">IF(SUM($G867:Y867)&gt;0.01,0,SUM($G872:Y872)*IF($B863=0,1,(1+$B865))-SUM($G881:Y881))</f>
        <v>1605000</v>
      </c>
      <c r="Z882" s="185">
        <f ca="1">IF(SUM($G867:Z867)&gt;0.01,0,SUM($G872:Z872)*IF($B863=0,1,(1+$B865))-SUM($G881:Z881))</f>
        <v>1590000</v>
      </c>
      <c r="AA882" s="185">
        <f ca="1">IF(SUM($G867:AA867)&gt;0.01,0,SUM($G872:AA872)*IF($B863=0,1,(1+$B865))-SUM($G881:AA881))</f>
        <v>1575000</v>
      </c>
      <c r="AB882" s="185">
        <f ca="1">IF(SUM($G867:AB867)&gt;0.01,0,SUM($G872:AB872)*IF($B863=0,1,(1+$B865))-SUM($G881:AB881))</f>
        <v>1560000</v>
      </c>
      <c r="AC882" s="185">
        <f ca="1">IF(SUM($G867:AC867)&gt;0.01,0,SUM($G872:AC872)*IF($B863=0,1,(1+$B865))-SUM($G881:AC881))</f>
        <v>1545000</v>
      </c>
      <c r="AD882" s="185">
        <f ca="1">IF(SUM($G867:AD867)&gt;0.01,0,SUM($G872:AD872)*IF($B863=0,1,(1+$B865))-SUM($G881:AD881))</f>
        <v>1530000</v>
      </c>
      <c r="AE882" s="185">
        <f ca="1">IF(SUM($G867:AE867)&gt;0.01,0,SUM($G872:AE872)*IF($B863=0,1,(1+$B865))-SUM($G881:AE881))</f>
        <v>1515000</v>
      </c>
      <c r="AF882" s="185">
        <f ca="1">IF(SUM($G867:AF867)&gt;0.01,0,SUM($G872:AF872)*IF($B863=0,1,(1+$B865))-SUM($G881:AF881))</f>
        <v>1500000</v>
      </c>
      <c r="AG882" s="185">
        <f ca="1">IF(SUM($G867:AG867)&gt;0.01,0,SUM($G872:AG872)*IF($B863=0,1,(1+$B865))-SUM($G881:AG881))</f>
        <v>1485000</v>
      </c>
      <c r="AH882" s="185">
        <f ca="1">IF(SUM($G867:AH867)&gt;0.01,0,SUM($G872:AH872)*IF($B863=0,1,(1+$B865))-SUM($G881:AH881))</f>
        <v>1470000</v>
      </c>
      <c r="AI882" s="185">
        <f ca="1">IF(SUM($G867:AI867)&gt;0.01,0,SUM($G872:AI872)*IF($B863=0,1,(1+$B865))-SUM($G881:AI881))</f>
        <v>1455000</v>
      </c>
      <c r="AJ882" s="185">
        <f ca="1">IF(SUM($G867:AJ867)&gt;0.01,0,SUM($G872:AJ872)*IF($B863=0,1,(1+$B865))-SUM($G881:AJ881))</f>
        <v>1440000</v>
      </c>
      <c r="AK882" s="185">
        <f ca="1">IF(SUM($G867:AK867)&gt;0.01,0,SUM($G872:AK872)*IF($B863=0,1,(1+$B865))-SUM($G881:AK881))</f>
        <v>1425000</v>
      </c>
      <c r="AL882" s="185">
        <f ca="1">IF(SUM($G867:AL867)&gt;0.01,0,SUM($G872:AL872)*IF($B863=0,1,(1+$B865))-SUM($G881:AL881))</f>
        <v>1410000</v>
      </c>
      <c r="AM882" s="185">
        <f ca="1">IF(SUM($G867:AM867)&gt;0.01,0,SUM($G872:AM872)*IF($B863=0,1,(1+$B865))-SUM($G881:AM881))</f>
        <v>1395000</v>
      </c>
      <c r="AN882" s="185">
        <f ca="1">IF(SUM($G867:AN867)&gt;0.01,0,SUM($G872:AN872)*IF($B863=0,1,(1+$B865))-SUM($G881:AN881))</f>
        <v>1380000</v>
      </c>
      <c r="AO882" s="185">
        <f ca="1">IF(SUM($G867:AO867)&gt;0.01,0,SUM($G872:AO872)*IF($B863=0,1,(1+$B865))-SUM($G881:AO881))</f>
        <v>1365000</v>
      </c>
      <c r="AP882" s="185">
        <f ca="1">IF(SUM($G867:AP867)&gt;0.01,0,SUM($G872:AP872)*IF($B863=0,1,(1+$B865))-SUM($G881:AP881))</f>
        <v>1350000</v>
      </c>
      <c r="AQ882" s="185">
        <f ca="1">IF(SUM($G867:AQ867)&gt;0.01,0,SUM($G872:AQ872)*IF($B863=0,1,(1+$B865))-SUM($G881:AQ881))</f>
        <v>1335000</v>
      </c>
      <c r="AR882" s="185">
        <f ca="1">IF(SUM($G867:AR867)&gt;0.01,0,SUM($G872:AR872)*IF($B863=0,1,(1+$B865))-SUM($G881:AR881))</f>
        <v>1320000</v>
      </c>
      <c r="AS882" s="185">
        <f ca="1">IF(SUM($G867:AS867)&gt;0.01,0,SUM($G872:AS872)*IF($B863=0,1,(1+$B865))-SUM($G881:AS881))</f>
        <v>1305000</v>
      </c>
      <c r="AT882" s="185">
        <f ca="1">IF(SUM($G867:AT867)&gt;0.01,0,SUM($G872:AT872)*IF($B863=0,1,(1+$B865))-SUM($G881:AT881))</f>
        <v>1290000</v>
      </c>
      <c r="AU882" s="185">
        <f ca="1">IF(SUM($G867:AU867)&gt;0.01,0,SUM($G872:AU872)*IF($B863=0,1,(1+$B865))-SUM($G881:AU881))</f>
        <v>1275000</v>
      </c>
      <c r="AV882" s="185">
        <f ca="1">IF(SUM($G867:AV867)&gt;0.01,0,SUM($G872:AV872)*IF($B863=0,1,(1+$B865))-SUM($G881:AV881))</f>
        <v>1260000</v>
      </c>
      <c r="AW882" s="185">
        <f ca="1">IF(SUM($G867:AW867)&gt;0.01,0,SUM($G872:AW872)*IF($B863=0,1,(1+$B865))-SUM($G881:AW881))</f>
        <v>1245000</v>
      </c>
      <c r="AX882" s="185">
        <f ca="1">IF(SUM($G867:AX867)&gt;0.01,0,SUM($G872:AX872)*IF($B863=0,1,(1+$B865))-SUM($G881:AX881))</f>
        <v>1230000</v>
      </c>
      <c r="AY882" s="185">
        <f ca="1">IF(SUM($G867:AY867)&gt;0.01,0,SUM($G872:AY872)*IF($B863=0,1,(1+$B865))-SUM($G881:AY881))</f>
        <v>1215000</v>
      </c>
      <c r="AZ882" s="185">
        <f ca="1">IF(SUM($G867:AZ867)&gt;0.01,0,SUM($G872:AZ872)*IF($B863=0,1,(1+$B865))-SUM($G881:AZ881))</f>
        <v>1200000</v>
      </c>
      <c r="BA882" s="185">
        <f ca="1">IF(SUM($G867:BA867)&gt;0.01,0,SUM($G872:BA872)*IF($B863=0,1,(1+$B865))-SUM($G881:BA881))</f>
        <v>1185000</v>
      </c>
      <c r="BB882" s="185">
        <f ca="1">IF(SUM($G867:BB867)&gt;0.01,0,SUM($G872:BB872)*IF($B863=0,1,(1+$B865))-SUM($G881:BB881))</f>
        <v>1170000</v>
      </c>
      <c r="BC882" s="185"/>
      <c r="BD882" s="193"/>
    </row>
    <row r="883" spans="1:56" hidden="1" outlineLevel="1" x14ac:dyDescent="0.3">
      <c r="A883" s="184" t="str">
        <f ca="1">Language!A$921</f>
        <v>прибыль/убыток от продажи актива (бухгалтерская)</v>
      </c>
      <c r="B883" s="216"/>
      <c r="C883" s="163" t="str">
        <f t="shared" ca="1" si="3429"/>
        <v>руб.</v>
      </c>
      <c r="D883" s="174">
        <v>1</v>
      </c>
      <c r="E883" s="170" t="s">
        <v>762</v>
      </c>
      <c r="F883" s="170" t="s">
        <v>740</v>
      </c>
      <c r="G883" s="185">
        <f t="shared" ref="G883" si="3433">IF(G867=0,0,G867-IF(G$2=1,G868,F874+F878))</f>
        <v>0</v>
      </c>
      <c r="H883" s="185">
        <f t="shared" ref="H883" si="3434">IF(H867=0,0,H867-IF(H$2=1,H868,G874+G878))</f>
        <v>0</v>
      </c>
      <c r="I883" s="185">
        <f t="shared" ref="I883" si="3435">IF(I867=0,0,I867-IF(I$2=1,I868,H874+H878))</f>
        <v>0</v>
      </c>
      <c r="J883" s="185">
        <f t="shared" ref="J883" si="3436">IF(J867=0,0,J867-IF(J$2=1,J868,I874+I878))</f>
        <v>0</v>
      </c>
      <c r="K883" s="185">
        <f t="shared" ref="K883" si="3437">IF(K867=0,0,K867-IF(K$2=1,K868,J874+J878))</f>
        <v>0</v>
      </c>
      <c r="L883" s="185">
        <f t="shared" ref="L883" si="3438">IF(L867=0,0,L867-IF(L$2=1,L868,K874+K878))</f>
        <v>0</v>
      </c>
      <c r="M883" s="185">
        <f t="shared" ref="M883" si="3439">IF(M867=0,0,M867-IF(M$2=1,M868,L874+L878))</f>
        <v>0</v>
      </c>
      <c r="N883" s="185">
        <f t="shared" ref="N883" si="3440">IF(N867=0,0,N867-IF(N$2=1,N868,M874+M878))</f>
        <v>0</v>
      </c>
      <c r="O883" s="185">
        <f t="shared" ref="O883" si="3441">IF(O867=0,0,O867-IF(O$2=1,O868,N874+N878))</f>
        <v>0</v>
      </c>
      <c r="P883" s="185">
        <f t="shared" ref="P883" si="3442">IF(P867=0,0,P867-IF(P$2=1,P868,O874+O878))</f>
        <v>0</v>
      </c>
      <c r="Q883" s="185">
        <f t="shared" ref="Q883" si="3443">IF(Q867=0,0,Q867-IF(Q$2=1,Q868,P874+P878))</f>
        <v>0</v>
      </c>
      <c r="R883" s="185">
        <f t="shared" ref="R883" si="3444">IF(R867=0,0,R867-IF(R$2=1,R868,Q874+Q878))</f>
        <v>0</v>
      </c>
      <c r="S883" s="185">
        <f t="shared" ref="S883" si="3445">IF(S867=0,0,S867-IF(S$2=1,S868,R874+R878))</f>
        <v>0</v>
      </c>
      <c r="T883" s="185">
        <f t="shared" ref="T883" si="3446">IF(T867=0,0,T867-IF(T$2=1,T868,S874+S878))</f>
        <v>0</v>
      </c>
      <c r="U883" s="185">
        <f t="shared" ref="U883" si="3447">IF(U867=0,0,U867-IF(U$2=1,U868,T874+T878))</f>
        <v>0</v>
      </c>
      <c r="V883" s="185">
        <f t="shared" ref="V883" si="3448">IF(V867=0,0,V867-IF(V$2=1,V868,U874+U878))</f>
        <v>0</v>
      </c>
      <c r="W883" s="185">
        <f t="shared" ref="W883" si="3449">IF(W867=0,0,W867-IF(W$2=1,W868,V874+V878))</f>
        <v>0</v>
      </c>
      <c r="X883" s="185">
        <f t="shared" ref="X883" si="3450">IF(X867=0,0,X867-IF(X$2=1,X868,W874+W878))</f>
        <v>0</v>
      </c>
      <c r="Y883" s="185">
        <f t="shared" ref="Y883" si="3451">IF(Y867=0,0,Y867-IF(Y$2=1,Y868,X874+X878))</f>
        <v>0</v>
      </c>
      <c r="Z883" s="185">
        <f t="shared" ref="Z883" si="3452">IF(Z867=0,0,Z867-IF(Z$2=1,Z868,Y874+Y878))</f>
        <v>0</v>
      </c>
      <c r="AA883" s="185">
        <f t="shared" ref="AA883" si="3453">IF(AA867=0,0,AA867-IF(AA$2=1,AA868,Z874+Z878))</f>
        <v>0</v>
      </c>
      <c r="AB883" s="185">
        <f t="shared" ref="AB883" si="3454">IF(AB867=0,0,AB867-IF(AB$2=1,AB868,AA874+AA878))</f>
        <v>0</v>
      </c>
      <c r="AC883" s="185">
        <f t="shared" ref="AC883" si="3455">IF(AC867=0,0,AC867-IF(AC$2=1,AC868,AB874+AB878))</f>
        <v>0</v>
      </c>
      <c r="AD883" s="185">
        <f t="shared" ref="AD883" si="3456">IF(AD867=0,0,AD867-IF(AD$2=1,AD868,AC874+AC878))</f>
        <v>0</v>
      </c>
      <c r="AE883" s="185">
        <f t="shared" ref="AE883" si="3457">IF(AE867=0,0,AE867-IF(AE$2=1,AE868,AD874+AD878))</f>
        <v>0</v>
      </c>
      <c r="AF883" s="185">
        <f t="shared" ref="AF883" si="3458">IF(AF867=0,0,AF867-IF(AF$2=1,AF868,AE874+AE878))</f>
        <v>0</v>
      </c>
      <c r="AG883" s="185">
        <f t="shared" ref="AG883" si="3459">IF(AG867=0,0,AG867-IF(AG$2=1,AG868,AF874+AF878))</f>
        <v>0</v>
      </c>
      <c r="AH883" s="185">
        <f t="shared" ref="AH883" si="3460">IF(AH867=0,0,AH867-IF(AH$2=1,AH868,AG874+AG878))</f>
        <v>0</v>
      </c>
      <c r="AI883" s="185">
        <f t="shared" ref="AI883" si="3461">IF(AI867=0,0,AI867-IF(AI$2=1,AI868,AH874+AH878))</f>
        <v>0</v>
      </c>
      <c r="AJ883" s="185">
        <f t="shared" ref="AJ883" si="3462">IF(AJ867=0,0,AJ867-IF(AJ$2=1,AJ868,AI874+AI878))</f>
        <v>0</v>
      </c>
      <c r="AK883" s="185">
        <f t="shared" ref="AK883" si="3463">IF(AK867=0,0,AK867-IF(AK$2=1,AK868,AJ874+AJ878))</f>
        <v>0</v>
      </c>
      <c r="AL883" s="185">
        <f t="shared" ref="AL883" si="3464">IF(AL867=0,0,AL867-IF(AL$2=1,AL868,AK874+AK878))</f>
        <v>0</v>
      </c>
      <c r="AM883" s="185">
        <f t="shared" ref="AM883" si="3465">IF(AM867=0,0,AM867-IF(AM$2=1,AM868,AL874+AL878))</f>
        <v>0</v>
      </c>
      <c r="AN883" s="185">
        <f t="shared" ref="AN883" si="3466">IF(AN867=0,0,AN867-IF(AN$2=1,AN868,AM874+AM878))</f>
        <v>0</v>
      </c>
      <c r="AO883" s="185">
        <f t="shared" ref="AO883" si="3467">IF(AO867=0,0,AO867-IF(AO$2=1,AO868,AN874+AN878))</f>
        <v>0</v>
      </c>
      <c r="AP883" s="185">
        <f t="shared" ref="AP883" si="3468">IF(AP867=0,0,AP867-IF(AP$2=1,AP868,AO874+AO878))</f>
        <v>0</v>
      </c>
      <c r="AQ883" s="185">
        <f t="shared" ref="AQ883" si="3469">IF(AQ867=0,0,AQ867-IF(AQ$2=1,AQ868,AP874+AP878))</f>
        <v>0</v>
      </c>
      <c r="AR883" s="185">
        <f t="shared" ref="AR883" si="3470">IF(AR867=0,0,AR867-IF(AR$2=1,AR868,AQ874+AQ878))</f>
        <v>0</v>
      </c>
      <c r="AS883" s="185">
        <f t="shared" ref="AS883" si="3471">IF(AS867=0,0,AS867-IF(AS$2=1,AS868,AR874+AR878))</f>
        <v>0</v>
      </c>
      <c r="AT883" s="185">
        <f t="shared" ref="AT883" si="3472">IF(AT867=0,0,AT867-IF(AT$2=1,AT868,AS874+AS878))</f>
        <v>0</v>
      </c>
      <c r="AU883" s="185">
        <f t="shared" ref="AU883" si="3473">IF(AU867=0,0,AU867-IF(AU$2=1,AU868,AT874+AT878))</f>
        <v>0</v>
      </c>
      <c r="AV883" s="185">
        <f t="shared" ref="AV883" si="3474">IF(AV867=0,0,AV867-IF(AV$2=1,AV868,AU874+AU878))</f>
        <v>0</v>
      </c>
      <c r="AW883" s="185">
        <f t="shared" ref="AW883" si="3475">IF(AW867=0,0,AW867-IF(AW$2=1,AW868,AV874+AV878))</f>
        <v>0</v>
      </c>
      <c r="AX883" s="185">
        <f t="shared" ref="AX883" si="3476">IF(AX867=0,0,AX867-IF(AX$2=1,AX868,AW874+AW878))</f>
        <v>0</v>
      </c>
      <c r="AY883" s="185">
        <f t="shared" ref="AY883" si="3477">IF(AY867=0,0,AY867-IF(AY$2=1,AY868,AX874+AX878))</f>
        <v>0</v>
      </c>
      <c r="AZ883" s="185">
        <f t="shared" ref="AZ883" si="3478">IF(AZ867=0,0,AZ867-IF(AZ$2=1,AZ868,AY874+AY878))</f>
        <v>0</v>
      </c>
      <c r="BA883" s="185">
        <f t="shared" ref="BA883" si="3479">IF(BA867=0,0,BA867-IF(BA$2=1,BA868,AZ874+AZ878))</f>
        <v>0</v>
      </c>
      <c r="BB883" s="185">
        <f t="shared" ref="BB883" si="3480">IF(BB867=0,0,BB867-IF(BB$2=1,BB868,BA874+BA878))</f>
        <v>0</v>
      </c>
      <c r="BC883" s="185"/>
      <c r="BD883" s="193">
        <f>SUM(G883:BC883)</f>
        <v>0</v>
      </c>
    </row>
    <row r="884" spans="1:56" hidden="1" outlineLevel="1" x14ac:dyDescent="0.3">
      <c r="A884" s="184" t="str">
        <f ca="1">Language!A$922</f>
        <v>прибыль/убыток от продажи актива (налоговая)</v>
      </c>
      <c r="B884" s="216"/>
      <c r="C884" s="163" t="str">
        <f t="shared" ca="1" si="3429"/>
        <v>руб.</v>
      </c>
      <c r="D884" s="174">
        <v>1</v>
      </c>
      <c r="E884" s="170" t="s">
        <v>763</v>
      </c>
      <c r="F884" s="170" t="s">
        <v>740</v>
      </c>
      <c r="G884" s="185">
        <f t="shared" ref="G884" si="3481">IF(G867=0,0,G867-IF(G$2=1,G868,F874+F882))</f>
        <v>0</v>
      </c>
      <c r="H884" s="185">
        <f t="shared" ref="H884" si="3482">IF(H867=0,0,H867-IF(H$2=1,H868,G874+G882))</f>
        <v>0</v>
      </c>
      <c r="I884" s="185">
        <f t="shared" ref="I884" si="3483">IF(I867=0,0,I867-IF(I$2=1,I868,H874+H882))</f>
        <v>0</v>
      </c>
      <c r="J884" s="185">
        <f t="shared" ref="J884" si="3484">IF(J867=0,0,J867-IF(J$2=1,J868,I874+I882))</f>
        <v>0</v>
      </c>
      <c r="K884" s="185">
        <f t="shared" ref="K884" si="3485">IF(K867=0,0,K867-IF(K$2=1,K868,J874+J882))</f>
        <v>0</v>
      </c>
      <c r="L884" s="185">
        <f t="shared" ref="L884" si="3486">IF(L867=0,0,L867-IF(L$2=1,L868,K874+K882))</f>
        <v>0</v>
      </c>
      <c r="M884" s="185">
        <f t="shared" ref="M884" si="3487">IF(M867=0,0,M867-IF(M$2=1,M868,L874+L882))</f>
        <v>0</v>
      </c>
      <c r="N884" s="185">
        <f t="shared" ref="N884" si="3488">IF(N867=0,0,N867-IF(N$2=1,N868,M874+M882))</f>
        <v>0</v>
      </c>
      <c r="O884" s="185">
        <f t="shared" ref="O884" si="3489">IF(O867=0,0,O867-IF(O$2=1,O868,N874+N882))</f>
        <v>0</v>
      </c>
      <c r="P884" s="185">
        <f t="shared" ref="P884" si="3490">IF(P867=0,0,P867-IF(P$2=1,P868,O874+O882))</f>
        <v>0</v>
      </c>
      <c r="Q884" s="185">
        <f t="shared" ref="Q884" si="3491">IF(Q867=0,0,Q867-IF(Q$2=1,Q868,P874+P882))</f>
        <v>0</v>
      </c>
      <c r="R884" s="185">
        <f t="shared" ref="R884" si="3492">IF(R867=0,0,R867-IF(R$2=1,R868,Q874+Q882))</f>
        <v>0</v>
      </c>
      <c r="S884" s="185">
        <f t="shared" ref="S884" si="3493">IF(S867=0,0,S867-IF(S$2=1,S868,R874+R882))</f>
        <v>0</v>
      </c>
      <c r="T884" s="185">
        <f t="shared" ref="T884" si="3494">IF(T867=0,0,T867-IF(T$2=1,T868,S874+S882))</f>
        <v>0</v>
      </c>
      <c r="U884" s="185">
        <f t="shared" ref="U884" si="3495">IF(U867=0,0,U867-IF(U$2=1,U868,T874+T882))</f>
        <v>0</v>
      </c>
      <c r="V884" s="185">
        <f t="shared" ref="V884" si="3496">IF(V867=0,0,V867-IF(V$2=1,V868,U874+U882))</f>
        <v>0</v>
      </c>
      <c r="W884" s="185">
        <f t="shared" ref="W884" si="3497">IF(W867=0,0,W867-IF(W$2=1,W868,V874+V882))</f>
        <v>0</v>
      </c>
      <c r="X884" s="185">
        <f t="shared" ref="X884" si="3498">IF(X867=0,0,X867-IF(X$2=1,X868,W874+W882))</f>
        <v>0</v>
      </c>
      <c r="Y884" s="185">
        <f t="shared" ref="Y884" si="3499">IF(Y867=0,0,Y867-IF(Y$2=1,Y868,X874+X882))</f>
        <v>0</v>
      </c>
      <c r="Z884" s="185">
        <f t="shared" ref="Z884" si="3500">IF(Z867=0,0,Z867-IF(Z$2=1,Z868,Y874+Y882))</f>
        <v>0</v>
      </c>
      <c r="AA884" s="185">
        <f t="shared" ref="AA884" si="3501">IF(AA867=0,0,AA867-IF(AA$2=1,AA868,Z874+Z882))</f>
        <v>0</v>
      </c>
      <c r="AB884" s="185">
        <f t="shared" ref="AB884" si="3502">IF(AB867=0,0,AB867-IF(AB$2=1,AB868,AA874+AA882))</f>
        <v>0</v>
      </c>
      <c r="AC884" s="185">
        <f t="shared" ref="AC884" si="3503">IF(AC867=0,0,AC867-IF(AC$2=1,AC868,AB874+AB882))</f>
        <v>0</v>
      </c>
      <c r="AD884" s="185">
        <f t="shared" ref="AD884" si="3504">IF(AD867=0,0,AD867-IF(AD$2=1,AD868,AC874+AC882))</f>
        <v>0</v>
      </c>
      <c r="AE884" s="185">
        <f t="shared" ref="AE884" si="3505">IF(AE867=0,0,AE867-IF(AE$2=1,AE868,AD874+AD882))</f>
        <v>0</v>
      </c>
      <c r="AF884" s="185">
        <f t="shared" ref="AF884" si="3506">IF(AF867=0,0,AF867-IF(AF$2=1,AF868,AE874+AE882))</f>
        <v>0</v>
      </c>
      <c r="AG884" s="185">
        <f t="shared" ref="AG884" si="3507">IF(AG867=0,0,AG867-IF(AG$2=1,AG868,AF874+AF882))</f>
        <v>0</v>
      </c>
      <c r="AH884" s="185">
        <f t="shared" ref="AH884" si="3508">IF(AH867=0,0,AH867-IF(AH$2=1,AH868,AG874+AG882))</f>
        <v>0</v>
      </c>
      <c r="AI884" s="185">
        <f t="shared" ref="AI884" si="3509">IF(AI867=0,0,AI867-IF(AI$2=1,AI868,AH874+AH882))</f>
        <v>0</v>
      </c>
      <c r="AJ884" s="185">
        <f t="shared" ref="AJ884" si="3510">IF(AJ867=0,0,AJ867-IF(AJ$2=1,AJ868,AI874+AI882))</f>
        <v>0</v>
      </c>
      <c r="AK884" s="185">
        <f t="shared" ref="AK884" si="3511">IF(AK867=0,0,AK867-IF(AK$2=1,AK868,AJ874+AJ882))</f>
        <v>0</v>
      </c>
      <c r="AL884" s="185">
        <f t="shared" ref="AL884" si="3512">IF(AL867=0,0,AL867-IF(AL$2=1,AL868,AK874+AK882))</f>
        <v>0</v>
      </c>
      <c r="AM884" s="185">
        <f t="shared" ref="AM884" si="3513">IF(AM867=0,0,AM867-IF(AM$2=1,AM868,AL874+AL882))</f>
        <v>0</v>
      </c>
      <c r="AN884" s="185">
        <f t="shared" ref="AN884" si="3514">IF(AN867=0,0,AN867-IF(AN$2=1,AN868,AM874+AM882))</f>
        <v>0</v>
      </c>
      <c r="AO884" s="185">
        <f t="shared" ref="AO884" si="3515">IF(AO867=0,0,AO867-IF(AO$2=1,AO868,AN874+AN882))</f>
        <v>0</v>
      </c>
      <c r="AP884" s="185">
        <f t="shared" ref="AP884" si="3516">IF(AP867=0,0,AP867-IF(AP$2=1,AP868,AO874+AO882))</f>
        <v>0</v>
      </c>
      <c r="AQ884" s="185">
        <f t="shared" ref="AQ884" si="3517">IF(AQ867=0,0,AQ867-IF(AQ$2=1,AQ868,AP874+AP882))</f>
        <v>0</v>
      </c>
      <c r="AR884" s="185">
        <f t="shared" ref="AR884" si="3518">IF(AR867=0,0,AR867-IF(AR$2=1,AR868,AQ874+AQ882))</f>
        <v>0</v>
      </c>
      <c r="AS884" s="185">
        <f t="shared" ref="AS884" si="3519">IF(AS867=0,0,AS867-IF(AS$2=1,AS868,AR874+AR882))</f>
        <v>0</v>
      </c>
      <c r="AT884" s="185">
        <f t="shared" ref="AT884" si="3520">IF(AT867=0,0,AT867-IF(AT$2=1,AT868,AS874+AS882))</f>
        <v>0</v>
      </c>
      <c r="AU884" s="185">
        <f t="shared" ref="AU884" si="3521">IF(AU867=0,0,AU867-IF(AU$2=1,AU868,AT874+AT882))</f>
        <v>0</v>
      </c>
      <c r="AV884" s="185">
        <f t="shared" ref="AV884" si="3522">IF(AV867=0,0,AV867-IF(AV$2=1,AV868,AU874+AU882))</f>
        <v>0</v>
      </c>
      <c r="AW884" s="185">
        <f t="shared" ref="AW884" si="3523">IF(AW867=0,0,AW867-IF(AW$2=1,AW868,AV874+AV882))</f>
        <v>0</v>
      </c>
      <c r="AX884" s="185">
        <f t="shared" ref="AX884" si="3524">IF(AX867=0,0,AX867-IF(AX$2=1,AX868,AW874+AW882))</f>
        <v>0</v>
      </c>
      <c r="AY884" s="185">
        <f t="shared" ref="AY884" si="3525">IF(AY867=0,0,AY867-IF(AY$2=1,AY868,AX874+AX882))</f>
        <v>0</v>
      </c>
      <c r="AZ884" s="185">
        <f t="shared" ref="AZ884" si="3526">IF(AZ867=0,0,AZ867-IF(AZ$2=1,AZ868,AY874+AY882))</f>
        <v>0</v>
      </c>
      <c r="BA884" s="185">
        <f t="shared" ref="BA884" si="3527">IF(BA867=0,0,BA867-IF(BA$2=1,BA868,AZ874+AZ882))</f>
        <v>0</v>
      </c>
      <c r="BB884" s="185">
        <f t="shared" ref="BB884" si="3528">IF(BB867=0,0,BB867-IF(BB$2=1,BB868,BA874+BA882))</f>
        <v>0</v>
      </c>
      <c r="BC884" s="185"/>
      <c r="BD884" s="193">
        <f>SUM(G884:BC884)</f>
        <v>0</v>
      </c>
    </row>
    <row r="885" spans="1:56" hidden="1" outlineLevel="1" x14ac:dyDescent="0.3">
      <c r="A885" s="184" t="str">
        <f ca="1">Language!A$923</f>
        <v>НДС к выручке от продажи актива</v>
      </c>
      <c r="B885" s="216"/>
      <c r="C885" s="163" t="str">
        <f t="shared" ca="1" si="3429"/>
        <v>руб.</v>
      </c>
      <c r="D885" s="174">
        <v>1</v>
      </c>
      <c r="E885" s="170" t="s">
        <v>764</v>
      </c>
      <c r="F885" s="170" t="s">
        <v>740</v>
      </c>
      <c r="G885" s="185">
        <f t="shared" ref="G885:BB885" si="3529">G867*G866</f>
        <v>0</v>
      </c>
      <c r="H885" s="185">
        <f t="shared" si="3529"/>
        <v>0</v>
      </c>
      <c r="I885" s="185">
        <f t="shared" si="3529"/>
        <v>0</v>
      </c>
      <c r="J885" s="185">
        <f t="shared" si="3529"/>
        <v>0</v>
      </c>
      <c r="K885" s="185">
        <f t="shared" si="3529"/>
        <v>0</v>
      </c>
      <c r="L885" s="185">
        <f t="shared" si="3529"/>
        <v>0</v>
      </c>
      <c r="M885" s="185">
        <f t="shared" si="3529"/>
        <v>0</v>
      </c>
      <c r="N885" s="185">
        <f t="shared" si="3529"/>
        <v>0</v>
      </c>
      <c r="O885" s="185">
        <f t="shared" si="3529"/>
        <v>0</v>
      </c>
      <c r="P885" s="185">
        <f t="shared" si="3529"/>
        <v>0</v>
      </c>
      <c r="Q885" s="185">
        <f t="shared" si="3529"/>
        <v>0</v>
      </c>
      <c r="R885" s="185">
        <f t="shared" si="3529"/>
        <v>0</v>
      </c>
      <c r="S885" s="185">
        <f t="shared" si="3529"/>
        <v>0</v>
      </c>
      <c r="T885" s="185">
        <f t="shared" si="3529"/>
        <v>0</v>
      </c>
      <c r="U885" s="185">
        <f t="shared" si="3529"/>
        <v>0</v>
      </c>
      <c r="V885" s="185">
        <f t="shared" si="3529"/>
        <v>0</v>
      </c>
      <c r="W885" s="185">
        <f t="shared" si="3529"/>
        <v>0</v>
      </c>
      <c r="X885" s="185">
        <f t="shared" si="3529"/>
        <v>0</v>
      </c>
      <c r="Y885" s="185">
        <f t="shared" si="3529"/>
        <v>0</v>
      </c>
      <c r="Z885" s="185">
        <f t="shared" si="3529"/>
        <v>0</v>
      </c>
      <c r="AA885" s="185">
        <f t="shared" si="3529"/>
        <v>0</v>
      </c>
      <c r="AB885" s="185">
        <f t="shared" si="3529"/>
        <v>0</v>
      </c>
      <c r="AC885" s="185">
        <f t="shared" si="3529"/>
        <v>0</v>
      </c>
      <c r="AD885" s="185">
        <f t="shared" si="3529"/>
        <v>0</v>
      </c>
      <c r="AE885" s="185">
        <f t="shared" si="3529"/>
        <v>0</v>
      </c>
      <c r="AF885" s="185">
        <f t="shared" si="3529"/>
        <v>0</v>
      </c>
      <c r="AG885" s="185">
        <f t="shared" si="3529"/>
        <v>0</v>
      </c>
      <c r="AH885" s="185">
        <f t="shared" si="3529"/>
        <v>0</v>
      </c>
      <c r="AI885" s="185">
        <f t="shared" si="3529"/>
        <v>0</v>
      </c>
      <c r="AJ885" s="185">
        <f t="shared" si="3529"/>
        <v>0</v>
      </c>
      <c r="AK885" s="185">
        <f t="shared" si="3529"/>
        <v>0</v>
      </c>
      <c r="AL885" s="185">
        <f t="shared" si="3529"/>
        <v>0</v>
      </c>
      <c r="AM885" s="185">
        <f t="shared" si="3529"/>
        <v>0</v>
      </c>
      <c r="AN885" s="185">
        <f t="shared" si="3529"/>
        <v>0</v>
      </c>
      <c r="AO885" s="185">
        <f t="shared" si="3529"/>
        <v>0</v>
      </c>
      <c r="AP885" s="185">
        <f t="shared" si="3529"/>
        <v>0</v>
      </c>
      <c r="AQ885" s="185">
        <f t="shared" si="3529"/>
        <v>0</v>
      </c>
      <c r="AR885" s="185">
        <f t="shared" si="3529"/>
        <v>0</v>
      </c>
      <c r="AS885" s="185">
        <f t="shared" si="3529"/>
        <v>0</v>
      </c>
      <c r="AT885" s="185">
        <f t="shared" si="3529"/>
        <v>0</v>
      </c>
      <c r="AU885" s="185">
        <f t="shared" si="3529"/>
        <v>0</v>
      </c>
      <c r="AV885" s="185">
        <f t="shared" si="3529"/>
        <v>0</v>
      </c>
      <c r="AW885" s="185">
        <f t="shared" si="3529"/>
        <v>0</v>
      </c>
      <c r="AX885" s="185">
        <f t="shared" si="3529"/>
        <v>0</v>
      </c>
      <c r="AY885" s="185">
        <f t="shared" si="3529"/>
        <v>0</v>
      </c>
      <c r="AZ885" s="185">
        <f t="shared" si="3529"/>
        <v>0</v>
      </c>
      <c r="BA885" s="185">
        <f t="shared" si="3529"/>
        <v>0</v>
      </c>
      <c r="BB885" s="185">
        <f t="shared" si="3529"/>
        <v>0</v>
      </c>
      <c r="BC885" s="185"/>
      <c r="BD885" s="193">
        <f>SUM(G885:BC885)</f>
        <v>0</v>
      </c>
    </row>
    <row r="886" spans="1:56" hidden="1" outlineLevel="1" x14ac:dyDescent="0.3">
      <c r="A886" s="184" t="str">
        <f ca="1">Language!A$924</f>
        <v>курсовые разницы</v>
      </c>
      <c r="B886" s="216"/>
      <c r="C886" s="163" t="str">
        <f t="shared" ca="1" si="3429"/>
        <v>руб.</v>
      </c>
      <c r="D886" s="174">
        <v>1</v>
      </c>
      <c r="E886" s="170" t="s">
        <v>1278</v>
      </c>
      <c r="F886" s="170" t="s">
        <v>740</v>
      </c>
      <c r="G886" s="185">
        <f>-(SUM($G868:G868)+$B870+SUM($G873:G873)-G874+G875-IF($B863=0,G876,0)-SUM($G872:G872)*IF($B863=0,1,1+$B865)-IF($B863=0,0,MAX(SUM($G880:G880)-SUM($G879:G879),0))+IF(G$2=1,0,SUM($F886:F886)))</f>
        <v>0</v>
      </c>
      <c r="H886" s="185">
        <f>-(SUM($G868:H868)+$B870+SUM($G873:H873)-H874+H875-IF($B863=0,H876,0)-SUM($G872:H872)*IF($B863=0,1,1+$B865)-IF($B863=0,0,MAX(SUM($G880:H880)-SUM($G879:H879),0))+IF(H$2=1,0,SUM($F886:G886)))</f>
        <v>0</v>
      </c>
      <c r="I886" s="185">
        <f>-(SUM($G868:I868)+$B870+SUM($G873:I873)-I874+I875-IF($B863=0,I876,0)-SUM($G872:I872)*IF($B863=0,1,1+$B865)-IF($B863=0,0,MAX(SUM($G880:I880)-SUM($G879:I879),0))+IF(I$2=1,0,SUM($F886:H886)))</f>
        <v>0</v>
      </c>
      <c r="J886" s="185">
        <f>-(SUM($G868:J868)+$B870+SUM($G873:J873)-J874+J875-IF($B863=0,J876,0)-SUM($G872:J872)*IF($B863=0,1,1+$B865)-IF($B863=0,0,MAX(SUM($G880:J880)-SUM($G879:J879),0))+IF(J$2=1,0,SUM($F886:I886)))</f>
        <v>0</v>
      </c>
      <c r="K886" s="185">
        <f>-(SUM($G868:K868)+$B870+SUM($G873:K873)-K874+K875-IF($B863=0,K876,0)-SUM($G872:K872)*IF($B863=0,1,1+$B865)-IF($B863=0,0,MAX(SUM($G880:K880)-SUM($G879:K879),0))+IF(K$2=1,0,SUM($F886:J886)))</f>
        <v>0</v>
      </c>
      <c r="L886" s="185">
        <f>-(SUM($G868:L868)+$B870+SUM($G873:L873)-L874+L875-IF($B863=0,L876,0)-SUM($G872:L872)*IF($B863=0,1,1+$B865)-IF($B863=0,0,MAX(SUM($G880:L880)-SUM($G879:L879),0))+IF(L$2=1,0,SUM($F886:K886)))</f>
        <v>0</v>
      </c>
      <c r="M886" s="185">
        <f>-(SUM($G868:M868)+$B870+SUM($G873:M873)-M874+M875-IF($B863=0,M876,0)-SUM($G872:M872)*IF($B863=0,1,1+$B865)-IF($B863=0,0,MAX(SUM($G880:M880)-SUM($G879:M879),0))+IF(M$2=1,0,SUM($F886:L886)))</f>
        <v>0</v>
      </c>
      <c r="N886" s="185">
        <f>-(SUM($G868:N868)+$B870+SUM($G873:N873)-N874+N875-IF($B863=0,N876,0)-SUM($G872:N872)*IF($B863=0,1,1+$B865)-IF($B863=0,0,MAX(SUM($G880:N880)-SUM($G879:N879),0))+IF(N$2=1,0,SUM($F886:M886)))</f>
        <v>0</v>
      </c>
      <c r="O886" s="185">
        <f>-(SUM($G868:O868)+$B870+SUM($G873:O873)-O874+O875-IF($B863=0,O876,0)-SUM($G872:O872)*IF($B863=0,1,1+$B865)-IF($B863=0,0,MAX(SUM($G880:O880)-SUM($G879:O879),0))+IF(O$2=1,0,SUM($F886:N886)))</f>
        <v>0</v>
      </c>
      <c r="P886" s="185">
        <f>-(SUM($G868:P868)+$B870+SUM($G873:P873)-P874+P875-IF($B863=0,P876,0)-SUM($G872:P872)*IF($B863=0,1,1+$B865)-IF($B863=0,0,MAX(SUM($G880:P880)-SUM($G879:P879),0))+IF(P$2=1,0,SUM($F886:O886)))</f>
        <v>0</v>
      </c>
      <c r="Q886" s="185">
        <f>-(SUM($G868:Q868)+$B870+SUM($G873:Q873)-Q874+Q875-IF($B863=0,Q876,0)-SUM($G872:Q872)*IF($B863=0,1,1+$B865)-IF($B863=0,0,MAX(SUM($G880:Q880)-SUM($G879:Q879),0))+IF(Q$2=1,0,SUM($F886:P886)))</f>
        <v>0</v>
      </c>
      <c r="R886" s="185">
        <f>-(SUM($G868:R868)+$B870+SUM($G873:R873)-R874+R875-IF($B863=0,R876,0)-SUM($G872:R872)*IF($B863=0,1,1+$B865)-IF($B863=0,0,MAX(SUM($G880:R880)-SUM($G879:R879),0))+IF(R$2=1,0,SUM($F886:Q886)))</f>
        <v>0</v>
      </c>
      <c r="S886" s="185">
        <f>-(SUM($G868:S868)+$B870+SUM($G873:S873)-S874+S875-IF($B863=0,S876,0)-SUM($G872:S872)*IF($B863=0,1,1+$B865)-IF($B863=0,0,MAX(SUM($G880:S880)-SUM($G879:S879),0))+IF(S$2=1,0,SUM($F886:R886)))</f>
        <v>0</v>
      </c>
      <c r="T886" s="185">
        <f>-(SUM($G868:T868)+$B870+SUM($G873:T873)-T874+T875-IF($B863=0,T876,0)-SUM($G872:T872)*IF($B863=0,1,1+$B865)-IF($B863=0,0,MAX(SUM($G880:T880)-SUM($G879:T879),0))+IF(T$2=1,0,SUM($F886:S886)))</f>
        <v>0</v>
      </c>
      <c r="U886" s="185">
        <f>-(SUM($G868:U868)+$B870+SUM($G873:U873)-U874+U875-IF($B863=0,U876,0)-SUM($G872:U872)*IF($B863=0,1,1+$B865)-IF($B863=0,0,MAX(SUM($G880:U880)-SUM($G879:U879),0))+IF(U$2=1,0,SUM($F886:T886)))</f>
        <v>0</v>
      </c>
      <c r="V886" s="185">
        <f>-(SUM($G868:V868)+$B870+SUM($G873:V873)-V874+V875-IF($B863=0,V876,0)-SUM($G872:V872)*IF($B863=0,1,1+$B865)-IF($B863=0,0,MAX(SUM($G880:V880)-SUM($G879:V879),0))+IF(V$2=1,0,SUM($F886:U886)))</f>
        <v>0</v>
      </c>
      <c r="W886" s="185">
        <f>-(SUM($G868:W868)+$B870+SUM($G873:W873)-W874+W875-IF($B863=0,W876,0)-SUM($G872:W872)*IF($B863=0,1,1+$B865)-IF($B863=0,0,MAX(SUM($G880:W880)-SUM($G879:W879),0))+IF(W$2=1,0,SUM($F886:V886)))</f>
        <v>0</v>
      </c>
      <c r="X886" s="185">
        <f>-(SUM($G868:X868)+$B870+SUM($G873:X873)-X874+X875-IF($B863=0,X876,0)-SUM($G872:X872)*IF($B863=0,1,1+$B865)-IF($B863=0,0,MAX(SUM($G880:X880)-SUM($G879:X879),0))+IF(X$2=1,0,SUM($F886:W886)))</f>
        <v>0</v>
      </c>
      <c r="Y886" s="185">
        <f>-(SUM($G868:Y868)+$B870+SUM($G873:Y873)-Y874+Y875-IF($B863=0,Y876,0)-SUM($G872:Y872)*IF($B863=0,1,1+$B865)-IF($B863=0,0,MAX(SUM($G880:Y880)-SUM($G879:Y879),0))+IF(Y$2=1,0,SUM($F886:X886)))</f>
        <v>0</v>
      </c>
      <c r="Z886" s="185">
        <f>-(SUM($G868:Z868)+$B870+SUM($G873:Z873)-Z874+Z875-IF($B863=0,Z876,0)-SUM($G872:Z872)*IF($B863=0,1,1+$B865)-IF($B863=0,0,MAX(SUM($G880:Z880)-SUM($G879:Z879),0))+IF(Z$2=1,0,SUM($F886:Y886)))</f>
        <v>0</v>
      </c>
      <c r="AA886" s="185">
        <f>-(SUM($G868:AA868)+$B870+SUM($G873:AA873)-AA874+AA875-IF($B863=0,AA876,0)-SUM($G872:AA872)*IF($B863=0,1,1+$B865)-IF($B863=0,0,MAX(SUM($G880:AA880)-SUM($G879:AA879),0))+IF(AA$2=1,0,SUM($F886:Z886)))</f>
        <v>0</v>
      </c>
      <c r="AB886" s="185">
        <f>-(SUM($G868:AB868)+$B870+SUM($G873:AB873)-AB874+AB875-IF($B863=0,AB876,0)-SUM($G872:AB872)*IF($B863=0,1,1+$B865)-IF($B863=0,0,MAX(SUM($G880:AB880)-SUM($G879:AB879),0))+IF(AB$2=1,0,SUM($F886:AA886)))</f>
        <v>0</v>
      </c>
      <c r="AC886" s="185">
        <f>-(SUM($G868:AC868)+$B870+SUM($G873:AC873)-AC874+AC875-IF($B863=0,AC876,0)-SUM($G872:AC872)*IF($B863=0,1,1+$B865)-IF($B863=0,0,MAX(SUM($G880:AC880)-SUM($G879:AC879),0))+IF(AC$2=1,0,SUM($F886:AB886)))</f>
        <v>0</v>
      </c>
      <c r="AD886" s="185">
        <f>-(SUM($G868:AD868)+$B870+SUM($G873:AD873)-AD874+AD875-IF($B863=0,AD876,0)-SUM($G872:AD872)*IF($B863=0,1,1+$B865)-IF($B863=0,0,MAX(SUM($G880:AD880)-SUM($G879:AD879),0))+IF(AD$2=1,0,SUM($F886:AC886)))</f>
        <v>0</v>
      </c>
      <c r="AE886" s="185">
        <f>-(SUM($G868:AE868)+$B870+SUM($G873:AE873)-AE874+AE875-IF($B863=0,AE876,0)-SUM($G872:AE872)*IF($B863=0,1,1+$B865)-IF($B863=0,0,MAX(SUM($G880:AE880)-SUM($G879:AE879),0))+IF(AE$2=1,0,SUM($F886:AD886)))</f>
        <v>0</v>
      </c>
      <c r="AF886" s="185">
        <f>-(SUM($G868:AF868)+$B870+SUM($G873:AF873)-AF874+AF875-IF($B863=0,AF876,0)-SUM($G872:AF872)*IF($B863=0,1,1+$B865)-IF($B863=0,0,MAX(SUM($G880:AF880)-SUM($G879:AF879),0))+IF(AF$2=1,0,SUM($F886:AE886)))</f>
        <v>0</v>
      </c>
      <c r="AG886" s="185">
        <f>-(SUM($G868:AG868)+$B870+SUM($G873:AG873)-AG874+AG875-IF($B863=0,AG876,0)-SUM($G872:AG872)*IF($B863=0,1,1+$B865)-IF($B863=0,0,MAX(SUM($G880:AG880)-SUM($G879:AG879),0))+IF(AG$2=1,0,SUM($F886:AF886)))</f>
        <v>0</v>
      </c>
      <c r="AH886" s="185">
        <f>-(SUM($G868:AH868)+$B870+SUM($G873:AH873)-AH874+AH875-IF($B863=0,AH876,0)-SUM($G872:AH872)*IF($B863=0,1,1+$B865)-IF($B863=0,0,MAX(SUM($G880:AH880)-SUM($G879:AH879),0))+IF(AH$2=1,0,SUM($F886:AG886)))</f>
        <v>0</v>
      </c>
      <c r="AI886" s="185">
        <f>-(SUM($G868:AI868)+$B870+SUM($G873:AI873)-AI874+AI875-IF($B863=0,AI876,0)-SUM($G872:AI872)*IF($B863=0,1,1+$B865)-IF($B863=0,0,MAX(SUM($G880:AI880)-SUM($G879:AI879),0))+IF(AI$2=1,0,SUM($F886:AH886)))</f>
        <v>0</v>
      </c>
      <c r="AJ886" s="185">
        <f>-(SUM($G868:AJ868)+$B870+SUM($G873:AJ873)-AJ874+AJ875-IF($B863=0,AJ876,0)-SUM($G872:AJ872)*IF($B863=0,1,1+$B865)-IF($B863=0,0,MAX(SUM($G880:AJ880)-SUM($G879:AJ879),0))+IF(AJ$2=1,0,SUM($F886:AI886)))</f>
        <v>0</v>
      </c>
      <c r="AK886" s="185">
        <f>-(SUM($G868:AK868)+$B870+SUM($G873:AK873)-AK874+AK875-IF($B863=0,AK876,0)-SUM($G872:AK872)*IF($B863=0,1,1+$B865)-IF($B863=0,0,MAX(SUM($G880:AK880)-SUM($G879:AK879),0))+IF(AK$2=1,0,SUM($F886:AJ886)))</f>
        <v>0</v>
      </c>
      <c r="AL886" s="185">
        <f>-(SUM($G868:AL868)+$B870+SUM($G873:AL873)-AL874+AL875-IF($B863=0,AL876,0)-SUM($G872:AL872)*IF($B863=0,1,1+$B865)-IF($B863=0,0,MAX(SUM($G880:AL880)-SUM($G879:AL879),0))+IF(AL$2=1,0,SUM($F886:AK886)))</f>
        <v>0</v>
      </c>
      <c r="AM886" s="185">
        <f>-(SUM($G868:AM868)+$B870+SUM($G873:AM873)-AM874+AM875-IF($B863=0,AM876,0)-SUM($G872:AM872)*IF($B863=0,1,1+$B865)-IF($B863=0,0,MAX(SUM($G880:AM880)-SUM($G879:AM879),0))+IF(AM$2=1,0,SUM($F886:AL886)))</f>
        <v>0</v>
      </c>
      <c r="AN886" s="185">
        <f>-(SUM($G868:AN868)+$B870+SUM($G873:AN873)-AN874+AN875-IF($B863=0,AN876,0)-SUM($G872:AN872)*IF($B863=0,1,1+$B865)-IF($B863=0,0,MAX(SUM($G880:AN880)-SUM($G879:AN879),0))+IF(AN$2=1,0,SUM($F886:AM886)))</f>
        <v>0</v>
      </c>
      <c r="AO886" s="185">
        <f>-(SUM($G868:AO868)+$B870+SUM($G873:AO873)-AO874+AO875-IF($B863=0,AO876,0)-SUM($G872:AO872)*IF($B863=0,1,1+$B865)-IF($B863=0,0,MAX(SUM($G880:AO880)-SUM($G879:AO879),0))+IF(AO$2=1,0,SUM($F886:AN886)))</f>
        <v>0</v>
      </c>
      <c r="AP886" s="185">
        <f>-(SUM($G868:AP868)+$B870+SUM($G873:AP873)-AP874+AP875-IF($B863=0,AP876,0)-SUM($G872:AP872)*IF($B863=0,1,1+$B865)-IF($B863=0,0,MAX(SUM($G880:AP880)-SUM($G879:AP879),0))+IF(AP$2=1,0,SUM($F886:AO886)))</f>
        <v>0</v>
      </c>
      <c r="AQ886" s="185">
        <f>-(SUM($G868:AQ868)+$B870+SUM($G873:AQ873)-AQ874+AQ875-IF($B863=0,AQ876,0)-SUM($G872:AQ872)*IF($B863=0,1,1+$B865)-IF($B863=0,0,MAX(SUM($G880:AQ880)-SUM($G879:AQ879),0))+IF(AQ$2=1,0,SUM($F886:AP886)))</f>
        <v>0</v>
      </c>
      <c r="AR886" s="185">
        <f>-(SUM($G868:AR868)+$B870+SUM($G873:AR873)-AR874+AR875-IF($B863=0,AR876,0)-SUM($G872:AR872)*IF($B863=0,1,1+$B865)-IF($B863=0,0,MAX(SUM($G880:AR880)-SUM($G879:AR879),0))+IF(AR$2=1,0,SUM($F886:AQ886)))</f>
        <v>0</v>
      </c>
      <c r="AS886" s="185">
        <f>-(SUM($G868:AS868)+$B870+SUM($G873:AS873)-AS874+AS875-IF($B863=0,AS876,0)-SUM($G872:AS872)*IF($B863=0,1,1+$B865)-IF($B863=0,0,MAX(SUM($G880:AS880)-SUM($G879:AS879),0))+IF(AS$2=1,0,SUM($F886:AR886)))</f>
        <v>0</v>
      </c>
      <c r="AT886" s="185">
        <f>-(SUM($G868:AT868)+$B870+SUM($G873:AT873)-AT874+AT875-IF($B863=0,AT876,0)-SUM($G872:AT872)*IF($B863=0,1,1+$B865)-IF($B863=0,0,MAX(SUM($G880:AT880)-SUM($G879:AT879),0))+IF(AT$2=1,0,SUM($F886:AS886)))</f>
        <v>0</v>
      </c>
      <c r="AU886" s="185">
        <f>-(SUM($G868:AU868)+$B870+SUM($G873:AU873)-AU874+AU875-IF($B863=0,AU876,0)-SUM($G872:AU872)*IF($B863=0,1,1+$B865)-IF($B863=0,0,MAX(SUM($G880:AU880)-SUM($G879:AU879),0))+IF(AU$2=1,0,SUM($F886:AT886)))</f>
        <v>0</v>
      </c>
      <c r="AV886" s="185">
        <f>-(SUM($G868:AV868)+$B870+SUM($G873:AV873)-AV874+AV875-IF($B863=0,AV876,0)-SUM($G872:AV872)*IF($B863=0,1,1+$B865)-IF($B863=0,0,MAX(SUM($G880:AV880)-SUM($G879:AV879),0))+IF(AV$2=1,0,SUM($F886:AU886)))</f>
        <v>0</v>
      </c>
      <c r="AW886" s="185">
        <f>-(SUM($G868:AW868)+$B870+SUM($G873:AW873)-AW874+AW875-IF($B863=0,AW876,0)-SUM($G872:AW872)*IF($B863=0,1,1+$B865)-IF($B863=0,0,MAX(SUM($G880:AW880)-SUM($G879:AW879),0))+IF(AW$2=1,0,SUM($F886:AV886)))</f>
        <v>0</v>
      </c>
      <c r="AX886" s="185">
        <f>-(SUM($G868:AX868)+$B870+SUM($G873:AX873)-AX874+AX875-IF($B863=0,AX876,0)-SUM($G872:AX872)*IF($B863=0,1,1+$B865)-IF($B863=0,0,MAX(SUM($G880:AX880)-SUM($G879:AX879),0))+IF(AX$2=1,0,SUM($F886:AW886)))</f>
        <v>0</v>
      </c>
      <c r="AY886" s="185">
        <f>-(SUM($G868:AY868)+$B870+SUM($G873:AY873)-AY874+AY875-IF($B863=0,AY876,0)-SUM($G872:AY872)*IF($B863=0,1,1+$B865)-IF($B863=0,0,MAX(SUM($G880:AY880)-SUM($G879:AY879),0))+IF(AY$2=1,0,SUM($F886:AX886)))</f>
        <v>0</v>
      </c>
      <c r="AZ886" s="185">
        <f>-(SUM($G868:AZ868)+$B870+SUM($G873:AZ873)-AZ874+AZ875-IF($B863=0,AZ876,0)-SUM($G872:AZ872)*IF($B863=0,1,1+$B865)-IF($B863=0,0,MAX(SUM($G880:AZ880)-SUM($G879:AZ879),0))+IF(AZ$2=1,0,SUM($F886:AY886)))</f>
        <v>0</v>
      </c>
      <c r="BA886" s="185">
        <f>-(SUM($G868:BA868)+$B870+SUM($G873:BA873)-BA874+BA875-IF($B863=0,BA876,0)-SUM($G872:BA872)*IF($B863=0,1,1+$B865)-IF($B863=0,0,MAX(SUM($G880:BA880)-SUM($G879:BA879),0))+IF(BA$2=1,0,SUM($F886:AZ886)))</f>
        <v>0</v>
      </c>
      <c r="BB886" s="185">
        <f>-(SUM($G868:BB868)+$B870+SUM($G873:BB873)-BB874+BB875-IF($B863=0,BB876,0)-SUM($G872:BB872)*IF($B863=0,1,1+$B865)-IF($B863=0,0,MAX(SUM($G880:BB880)-SUM($G879:BB879),0))+IF(BB$2=1,0,SUM($F886:BA886)))</f>
        <v>0</v>
      </c>
      <c r="BC886" s="185"/>
      <c r="BD886" s="193">
        <f>SUM(G886:BC886)</f>
        <v>0</v>
      </c>
    </row>
    <row r="887" spans="1:56" x14ac:dyDescent="0.3">
      <c r="A887" s="283" t="s">
        <v>3476</v>
      </c>
      <c r="C887" s="176"/>
      <c r="D887" s="174">
        <v>1</v>
      </c>
      <c r="F887" s="170" t="s">
        <v>3477</v>
      </c>
      <c r="G887" s="177"/>
      <c r="H887" s="177"/>
      <c r="I887" s="177"/>
      <c r="J887" s="177"/>
      <c r="K887" s="177"/>
      <c r="L887" s="177"/>
      <c r="M887" s="177"/>
      <c r="N887" s="177"/>
      <c r="O887" s="177"/>
      <c r="P887" s="177"/>
      <c r="Q887" s="177"/>
      <c r="R887" s="177"/>
      <c r="S887" s="177"/>
      <c r="T887" s="177"/>
      <c r="U887" s="177"/>
      <c r="V887" s="177"/>
      <c r="W887" s="177"/>
      <c r="X887" s="177"/>
      <c r="Y887" s="177"/>
      <c r="Z887" s="177"/>
      <c r="AA887" s="177"/>
      <c r="AB887" s="177"/>
      <c r="AC887" s="177"/>
      <c r="AD887" s="177"/>
      <c r="AE887" s="177"/>
      <c r="AF887" s="177"/>
      <c r="AG887" s="177"/>
      <c r="AH887" s="177"/>
      <c r="AI887" s="177"/>
      <c r="AJ887" s="177"/>
      <c r="AK887" s="177"/>
      <c r="AL887" s="177"/>
      <c r="AM887" s="177"/>
      <c r="AN887" s="177"/>
      <c r="AO887" s="177"/>
      <c r="AP887" s="177"/>
      <c r="AQ887" s="177"/>
      <c r="AR887" s="177"/>
      <c r="AS887" s="177"/>
      <c r="AT887" s="177"/>
      <c r="AU887" s="177"/>
      <c r="AV887" s="177"/>
      <c r="AW887" s="177"/>
      <c r="AX887" s="177"/>
      <c r="AY887" s="177"/>
      <c r="AZ887" s="177"/>
      <c r="BA887" s="177"/>
      <c r="BB887" s="177"/>
      <c r="BC887" s="177"/>
      <c r="BD887" s="178"/>
    </row>
    <row r="888" spans="1:56" collapsed="1" x14ac:dyDescent="0.3">
      <c r="A888" s="175" t="str">
        <f ca="1">Language!A$898</f>
        <v>график оплаты, без НДС</v>
      </c>
      <c r="B888" s="199">
        <f>BD888</f>
        <v>4100000</v>
      </c>
      <c r="C888" s="176" t="str">
        <f t="shared" ref="C888:C889" ca="1" si="3530">CHOOSE(D888,CurName1,CurName2,CurName3)</f>
        <v>руб.</v>
      </c>
      <c r="D888" s="174">
        <f>D887</f>
        <v>1</v>
      </c>
      <c r="F888" s="170" t="s">
        <v>740</v>
      </c>
      <c r="G888" s="297"/>
      <c r="H888" s="297">
        <v>1366666.6666666667</v>
      </c>
      <c r="I888" s="297">
        <v>1366666.6666666667</v>
      </c>
      <c r="J888" s="297">
        <v>1366666.6666666667</v>
      </c>
      <c r="K888" s="297">
        <v>0</v>
      </c>
      <c r="L888" s="297">
        <v>0</v>
      </c>
      <c r="M888" s="297">
        <v>0</v>
      </c>
      <c r="N888" s="297">
        <v>0</v>
      </c>
      <c r="O888" s="297">
        <v>0</v>
      </c>
      <c r="P888" s="297">
        <v>0</v>
      </c>
      <c r="Q888" s="297">
        <v>0</v>
      </c>
      <c r="R888" s="297">
        <v>0</v>
      </c>
      <c r="S888" s="297">
        <v>0</v>
      </c>
      <c r="T888" s="297">
        <v>0</v>
      </c>
      <c r="U888" s="297">
        <v>0</v>
      </c>
      <c r="V888" s="297">
        <v>0</v>
      </c>
      <c r="W888" s="297">
        <v>0</v>
      </c>
      <c r="X888" s="297">
        <v>0</v>
      </c>
      <c r="Y888" s="297">
        <v>0</v>
      </c>
      <c r="Z888" s="297">
        <v>0</v>
      </c>
      <c r="AA888" s="297">
        <v>0</v>
      </c>
      <c r="AB888" s="297">
        <v>0</v>
      </c>
      <c r="AC888" s="297">
        <v>0</v>
      </c>
      <c r="AD888" s="297">
        <v>0</v>
      </c>
      <c r="AE888" s="297">
        <v>0</v>
      </c>
      <c r="AF888" s="297">
        <v>0</v>
      </c>
      <c r="AG888" s="297">
        <v>0</v>
      </c>
      <c r="AH888" s="297">
        <v>0</v>
      </c>
      <c r="AI888" s="297">
        <v>0</v>
      </c>
      <c r="AJ888" s="297">
        <v>0</v>
      </c>
      <c r="AK888" s="297">
        <v>0</v>
      </c>
      <c r="AL888" s="297">
        <v>0</v>
      </c>
      <c r="AM888" s="297">
        <v>0</v>
      </c>
      <c r="AN888" s="297">
        <v>0</v>
      </c>
      <c r="AO888" s="297">
        <v>0</v>
      </c>
      <c r="AP888" s="297">
        <v>0</v>
      </c>
      <c r="AQ888" s="297">
        <v>0</v>
      </c>
      <c r="AR888" s="297">
        <v>0</v>
      </c>
      <c r="AS888" s="297">
        <v>0</v>
      </c>
      <c r="AT888" s="297">
        <v>0</v>
      </c>
      <c r="AU888" s="297">
        <v>0</v>
      </c>
      <c r="AV888" s="297">
        <v>0</v>
      </c>
      <c r="AW888" s="297">
        <v>0</v>
      </c>
      <c r="AX888" s="297">
        <v>0</v>
      </c>
      <c r="AY888" s="297">
        <v>0</v>
      </c>
      <c r="AZ888" s="297">
        <v>0</v>
      </c>
      <c r="BA888" s="297">
        <v>0</v>
      </c>
      <c r="BB888" s="297">
        <v>0</v>
      </c>
      <c r="BC888" s="177"/>
      <c r="BD888" s="178">
        <f>SUM(G888:BC888)</f>
        <v>4100000</v>
      </c>
    </row>
    <row r="889" spans="1:56" hidden="1" outlineLevel="1" x14ac:dyDescent="0.3">
      <c r="A889" s="175" t="str">
        <f ca="1">Language!A$899</f>
        <v>ранее осуществленные инвестиции, без НДС</v>
      </c>
      <c r="B889" s="295">
        <v>0</v>
      </c>
      <c r="C889" s="176" t="str">
        <f t="shared" ca="1" si="3530"/>
        <v>руб.</v>
      </c>
      <c r="D889" s="174">
        <f>D887</f>
        <v>1</v>
      </c>
    </row>
    <row r="890" spans="1:56" hidden="1" outlineLevel="1" x14ac:dyDescent="0.3">
      <c r="A890" s="175" t="str">
        <f ca="1">Language!A$900</f>
        <v>график ввода в эксплуатацию, без НДС</v>
      </c>
      <c r="B890" s="176"/>
      <c r="C890" s="176" t="str">
        <f ca="1">CHOOSE(D890,CurName1,CurName2,CurName3)</f>
        <v>руб.</v>
      </c>
      <c r="D890" s="174">
        <f>D887</f>
        <v>1</v>
      </c>
      <c r="F890" s="170" t="s">
        <v>740</v>
      </c>
      <c r="G890" s="297">
        <f>IF(G$2&gt;=ROUNDUP(Параметры!$B$18,0)+1,MAX(0,$BD888+$B889-SUM($F890:F890)),0)</f>
        <v>0</v>
      </c>
      <c r="H890" s="297">
        <f>IF(H$2&gt;=ROUNDUP(Параметры!$B$18,0)+1,MAX(0,$BD888+$B889-SUM($F890:G890)),0)</f>
        <v>0</v>
      </c>
      <c r="I890" s="297">
        <f>IF(I$2&gt;=ROUNDUP(Параметры!$B$18,0)+1,MAX(0,$BD888+$B889-SUM($F890:H890)),0)</f>
        <v>0</v>
      </c>
      <c r="J890" s="297">
        <f>IF(J$2&gt;=ROUNDUP(Параметры!$B$18,0)+1,MAX(0,$BD888+$B889-SUM($F890:I890)),0)</f>
        <v>0</v>
      </c>
      <c r="K890" s="297">
        <f>IF(K$2&gt;=ROUNDUP(Параметры!$B$18,0)+1,MAX(0,$BD888+$B889-SUM($F890:J890)),0)</f>
        <v>0</v>
      </c>
      <c r="L890" s="297">
        <f>IF(L$2&gt;=ROUNDUP(Параметры!$B$18,0)+1,MAX(0,$BD888+$B889-SUM($F890:K890)),0)</f>
        <v>0</v>
      </c>
      <c r="M890" s="297">
        <f>IF(M$2&gt;=ROUNDUP(Параметры!$B$18,0)+1,MAX(0,$BD888+$B889-SUM($F890:L890)),0)</f>
        <v>4100000</v>
      </c>
      <c r="N890" s="297">
        <f>IF(N$2&gt;=ROUNDUP(Параметры!$B$18,0)+1,MAX(0,$BD888+$B889-SUM($F890:M890)),0)</f>
        <v>0</v>
      </c>
      <c r="O890" s="297">
        <f>IF(O$2&gt;=ROUNDUP(Параметры!$B$18,0)+1,MAX(0,$BD888+$B889-SUM($F890:N890)),0)</f>
        <v>0</v>
      </c>
      <c r="P890" s="297">
        <f>IF(P$2&gt;=ROUNDUP(Параметры!$B$18,0)+1,MAX(0,$BD888+$B889-SUM($F890:O890)),0)</f>
        <v>0</v>
      </c>
      <c r="Q890" s="297">
        <f>IF(Q$2&gt;=ROUNDUP(Параметры!$B$18,0)+1,MAX(0,$BD888+$B889-SUM($F890:P890)),0)</f>
        <v>0</v>
      </c>
      <c r="R890" s="297">
        <f>IF(R$2&gt;=ROUNDUP(Параметры!$B$18,0)+1,MAX(0,$BD888+$B889-SUM($F890:Q890)),0)</f>
        <v>0</v>
      </c>
      <c r="S890" s="297">
        <f>IF(S$2&gt;=ROUNDUP(Параметры!$B$18,0)+1,MAX(0,$BD888+$B889-SUM($F890:R890)),0)</f>
        <v>0</v>
      </c>
      <c r="T890" s="297">
        <f>IF(T$2&gt;=ROUNDUP(Параметры!$B$18,0)+1,MAX(0,$BD888+$B889-SUM($F890:S890)),0)</f>
        <v>0</v>
      </c>
      <c r="U890" s="297">
        <f>IF(U$2&gt;=ROUNDUP(Параметры!$B$18,0)+1,MAX(0,$BD888+$B889-SUM($F890:T890)),0)</f>
        <v>0</v>
      </c>
      <c r="V890" s="297">
        <f>IF(V$2&gt;=ROUNDUP(Параметры!$B$18,0)+1,MAX(0,$BD888+$B889-SUM($F890:U890)),0)</f>
        <v>0</v>
      </c>
      <c r="W890" s="297">
        <f>IF(W$2&gt;=ROUNDUP(Параметры!$B$18,0)+1,MAX(0,$BD888+$B889-SUM($F890:V890)),0)</f>
        <v>0</v>
      </c>
      <c r="X890" s="297">
        <f>IF(X$2&gt;=ROUNDUP(Параметры!$B$18,0)+1,MAX(0,$BD888+$B889-SUM($F890:W890)),0)</f>
        <v>0</v>
      </c>
      <c r="Y890" s="297">
        <f>IF(Y$2&gt;=ROUNDUP(Параметры!$B$18,0)+1,MAX(0,$BD888+$B889-SUM($F890:X890)),0)</f>
        <v>0</v>
      </c>
      <c r="Z890" s="297">
        <f>IF(Z$2&gt;=ROUNDUP(Параметры!$B$18,0)+1,MAX(0,$BD888+$B889-SUM($F890:Y890)),0)</f>
        <v>0</v>
      </c>
      <c r="AA890" s="297">
        <f>IF(AA$2&gt;=ROUNDUP(Параметры!$B$18,0)+1,MAX(0,$BD888+$B889-SUM($F890:Z890)),0)</f>
        <v>0</v>
      </c>
      <c r="AB890" s="297">
        <f>IF(AB$2&gt;=ROUNDUP(Параметры!$B$18,0)+1,MAX(0,$BD888+$B889-SUM($F890:AA890)),0)</f>
        <v>0</v>
      </c>
      <c r="AC890" s="297">
        <f>IF(AC$2&gt;=ROUNDUP(Параметры!$B$18,0)+1,MAX(0,$BD888+$B889-SUM($F890:AB890)),0)</f>
        <v>0</v>
      </c>
      <c r="AD890" s="297">
        <f>IF(AD$2&gt;=ROUNDUP(Параметры!$B$18,0)+1,MAX(0,$BD888+$B889-SUM($F890:AC890)),0)</f>
        <v>0</v>
      </c>
      <c r="AE890" s="297">
        <f>IF(AE$2&gt;=ROUNDUP(Параметры!$B$18,0)+1,MAX(0,$BD888+$B889-SUM($F890:AD890)),0)</f>
        <v>0</v>
      </c>
      <c r="AF890" s="297">
        <f>IF(AF$2&gt;=ROUNDUP(Параметры!$B$18,0)+1,MAX(0,$BD888+$B889-SUM($F890:AE890)),0)</f>
        <v>0</v>
      </c>
      <c r="AG890" s="297">
        <f>IF(AG$2&gt;=ROUNDUP(Параметры!$B$18,0)+1,MAX(0,$BD888+$B889-SUM($F890:AF890)),0)</f>
        <v>0</v>
      </c>
      <c r="AH890" s="297">
        <f>IF(AH$2&gt;=ROUNDUP(Параметры!$B$18,0)+1,MAX(0,$BD888+$B889-SUM($F890:AG890)),0)</f>
        <v>0</v>
      </c>
      <c r="AI890" s="297">
        <f>IF(AI$2&gt;=ROUNDUP(Параметры!$B$18,0)+1,MAX(0,$BD888+$B889-SUM($F890:AH890)),0)</f>
        <v>0</v>
      </c>
      <c r="AJ890" s="297">
        <f>IF(AJ$2&gt;=ROUNDUP(Параметры!$B$18,0)+1,MAX(0,$BD888+$B889-SUM($F890:AI890)),0)</f>
        <v>0</v>
      </c>
      <c r="AK890" s="297">
        <f>IF(AK$2&gt;=ROUNDUP(Параметры!$B$18,0)+1,MAX(0,$BD888+$B889-SUM($F890:AJ890)),0)</f>
        <v>0</v>
      </c>
      <c r="AL890" s="297">
        <f>IF(AL$2&gt;=ROUNDUP(Параметры!$B$18,0)+1,MAX(0,$BD888+$B889-SUM($F890:AK890)),0)</f>
        <v>0</v>
      </c>
      <c r="AM890" s="297">
        <f>IF(AM$2&gt;=ROUNDUP(Параметры!$B$18,0)+1,MAX(0,$BD888+$B889-SUM($F890:AL890)),0)</f>
        <v>0</v>
      </c>
      <c r="AN890" s="297">
        <f>IF(AN$2&gt;=ROUNDUP(Параметры!$B$18,0)+1,MAX(0,$BD888+$B889-SUM($F890:AM890)),0)</f>
        <v>0</v>
      </c>
      <c r="AO890" s="297">
        <f>IF(AO$2&gt;=ROUNDUP(Параметры!$B$18,0)+1,MAX(0,$BD888+$B889-SUM($F890:AN890)),0)</f>
        <v>0</v>
      </c>
      <c r="AP890" s="297">
        <f>IF(AP$2&gt;=ROUNDUP(Параметры!$B$18,0)+1,MAX(0,$BD888+$B889-SUM($F890:AO890)),0)</f>
        <v>0</v>
      </c>
      <c r="AQ890" s="297">
        <f>IF(AQ$2&gt;=ROUNDUP(Параметры!$B$18,0)+1,MAX(0,$BD888+$B889-SUM($F890:AP890)),0)</f>
        <v>0</v>
      </c>
      <c r="AR890" s="297">
        <f>IF(AR$2&gt;=ROUNDUP(Параметры!$B$18,0)+1,MAX(0,$BD888+$B889-SUM($F890:AQ890)),0)</f>
        <v>0</v>
      </c>
      <c r="AS890" s="297">
        <f>IF(AS$2&gt;=ROUNDUP(Параметры!$B$18,0)+1,MAX(0,$BD888+$B889-SUM($F890:AR890)),0)</f>
        <v>0</v>
      </c>
      <c r="AT890" s="297">
        <f>IF(AT$2&gt;=ROUNDUP(Параметры!$B$18,0)+1,MAX(0,$BD888+$B889-SUM($F890:AS890)),0)</f>
        <v>0</v>
      </c>
      <c r="AU890" s="297">
        <f>IF(AU$2&gt;=ROUNDUP(Параметры!$B$18,0)+1,MAX(0,$BD888+$B889-SUM($F890:AT890)),0)</f>
        <v>0</v>
      </c>
      <c r="AV890" s="297">
        <f>IF(AV$2&gt;=ROUNDUP(Параметры!$B$18,0)+1,MAX(0,$BD888+$B889-SUM($F890:AU890)),0)</f>
        <v>0</v>
      </c>
      <c r="AW890" s="297">
        <f>IF(AW$2&gt;=ROUNDUP(Параметры!$B$18,0)+1,MAX(0,$BD888+$B889-SUM($F890:AV890)),0)</f>
        <v>0</v>
      </c>
      <c r="AX890" s="297">
        <f>IF(AX$2&gt;=ROUNDUP(Параметры!$B$18,0)+1,MAX(0,$BD888+$B889-SUM($F890:AW890)),0)</f>
        <v>0</v>
      </c>
      <c r="AY890" s="297">
        <f>IF(AY$2&gt;=ROUNDUP(Параметры!$B$18,0)+1,MAX(0,$BD888+$B889-SUM($F890:AX890)),0)</f>
        <v>0</v>
      </c>
      <c r="AZ890" s="297">
        <f>IF(AZ$2&gt;=ROUNDUP(Параметры!$B$18,0)+1,MAX(0,$BD888+$B889-SUM($F890:AY890)),0)</f>
        <v>0</v>
      </c>
      <c r="BA890" s="297">
        <f>IF(BA$2&gt;=ROUNDUP(Параметры!$B$18,0)+1,MAX(0,$BD888+$B889-SUM($F890:AZ890)),0)</f>
        <v>0</v>
      </c>
      <c r="BB890" s="297">
        <f>IF(BB$2&gt;=ROUNDUP(Параметры!$B$18,0)+1,MAX(0,$BD888+$B889-SUM($F890:BA890)),0)</f>
        <v>0</v>
      </c>
      <c r="BC890" s="177"/>
      <c r="BD890" s="178">
        <f>SUM(G890:BC890)</f>
        <v>4100000</v>
      </c>
    </row>
    <row r="891" spans="1:56" hidden="1" outlineLevel="1" x14ac:dyDescent="0.3">
      <c r="A891" s="175" t="str">
        <f ca="1">Language!A$901</f>
        <v xml:space="preserve">срок полезного использования </v>
      </c>
      <c r="B891" s="295">
        <v>10</v>
      </c>
      <c r="C891" s="176" t="str">
        <f ca="1">Language!A$48</f>
        <v>лет</v>
      </c>
      <c r="D891" s="174">
        <v>1</v>
      </c>
      <c r="G891" s="177"/>
      <c r="H891" s="177"/>
      <c r="I891" s="177"/>
      <c r="J891" s="177"/>
      <c r="K891" s="177"/>
      <c r="L891" s="177"/>
      <c r="M891" s="177"/>
      <c r="N891" s="177"/>
      <c r="O891" s="177"/>
      <c r="P891" s="177"/>
      <c r="Q891" s="177"/>
      <c r="R891" s="177"/>
      <c r="S891" s="177"/>
      <c r="T891" s="177"/>
      <c r="U891" s="177"/>
      <c r="V891" s="177"/>
      <c r="W891" s="177"/>
      <c r="X891" s="177"/>
      <c r="Y891" s="177"/>
      <c r="Z891" s="177"/>
      <c r="AA891" s="177"/>
      <c r="AB891" s="177"/>
      <c r="AC891" s="177"/>
      <c r="AD891" s="177"/>
      <c r="AE891" s="177"/>
      <c r="AF891" s="177"/>
      <c r="AG891" s="177"/>
      <c r="AH891" s="177"/>
      <c r="AI891" s="177"/>
      <c r="AJ891" s="177"/>
      <c r="AK891" s="177"/>
      <c r="AL891" s="177"/>
      <c r="AM891" s="177"/>
      <c r="AN891" s="177"/>
      <c r="AO891" s="177"/>
      <c r="AP891" s="177"/>
      <c r="AQ891" s="177"/>
      <c r="AR891" s="177"/>
      <c r="AS891" s="177"/>
      <c r="AT891" s="177"/>
      <c r="AU891" s="177"/>
      <c r="AV891" s="177"/>
      <c r="AW891" s="177"/>
      <c r="AX891" s="177"/>
      <c r="AY891" s="177"/>
      <c r="AZ891" s="177"/>
      <c r="BA891" s="177"/>
      <c r="BB891" s="177"/>
      <c r="BC891" s="177"/>
      <c r="BD891" s="178"/>
    </row>
    <row r="892" spans="1:56" s="170" customFormat="1" hidden="1" outlineLevel="1" x14ac:dyDescent="0.3">
      <c r="A892" s="184" t="str">
        <f ca="1">Language!A$902</f>
        <v>амортизационная премия для налоговой амортизации</v>
      </c>
      <c r="B892" s="298">
        <v>0</v>
      </c>
      <c r="C892" s="163" t="s">
        <v>1</v>
      </c>
      <c r="D892" s="174">
        <v>1</v>
      </c>
      <c r="F892" s="170" t="s">
        <v>2347</v>
      </c>
      <c r="G892" s="185"/>
      <c r="H892" s="185"/>
      <c r="I892" s="185"/>
      <c r="J892" s="185"/>
      <c r="K892" s="185"/>
      <c r="L892" s="185"/>
      <c r="M892" s="185"/>
      <c r="N892" s="185"/>
      <c r="O892" s="185"/>
      <c r="P892" s="185"/>
      <c r="Q892" s="185"/>
      <c r="R892" s="185"/>
      <c r="S892" s="185"/>
      <c r="T892" s="185"/>
      <c r="U892" s="185"/>
      <c r="V892" s="185"/>
      <c r="W892" s="185"/>
      <c r="X892" s="185"/>
      <c r="Y892" s="185"/>
      <c r="Z892" s="185"/>
      <c r="AA892" s="185"/>
      <c r="AB892" s="185"/>
      <c r="AC892" s="185"/>
      <c r="AD892" s="185"/>
      <c r="AE892" s="185"/>
      <c r="AF892" s="185"/>
      <c r="AG892" s="185"/>
      <c r="AH892" s="185"/>
      <c r="AI892" s="185"/>
      <c r="AJ892" s="185"/>
      <c r="AK892" s="185"/>
      <c r="AL892" s="185"/>
      <c r="AM892" s="185"/>
      <c r="AN892" s="185"/>
      <c r="AO892" s="185"/>
      <c r="AP892" s="185"/>
      <c r="AQ892" s="185"/>
      <c r="AR892" s="185"/>
      <c r="AS892" s="185"/>
      <c r="AT892" s="185"/>
      <c r="AU892" s="185"/>
      <c r="AV892" s="185"/>
      <c r="AW892" s="185"/>
      <c r="AX892" s="185"/>
      <c r="AY892" s="185"/>
      <c r="AZ892" s="185"/>
      <c r="BA892" s="185"/>
      <c r="BB892" s="185"/>
      <c r="BC892" s="185"/>
      <c r="BD892" s="193"/>
    </row>
    <row r="893" spans="1:56" hidden="1" outlineLevel="1" x14ac:dyDescent="0.3">
      <c r="A893" s="175" t="str">
        <f ca="1">Language!A$903</f>
        <v>импорт оборудования</v>
      </c>
      <c r="B893" s="295">
        <v>0</v>
      </c>
      <c r="C893" s="176" t="str">
        <f ca="1">IF(B893=0,Language!$A$1482,Language!$A$1481)</f>
        <v>Не импорт</v>
      </c>
      <c r="D893" s="174"/>
      <c r="G893" s="177"/>
      <c r="H893" s="177"/>
      <c r="I893" s="177"/>
      <c r="J893" s="177"/>
      <c r="K893" s="177"/>
      <c r="L893" s="177"/>
      <c r="M893" s="177"/>
      <c r="N893" s="177"/>
      <c r="O893" s="177"/>
      <c r="P893" s="177"/>
      <c r="Q893" s="177"/>
      <c r="R893" s="177"/>
      <c r="S893" s="177"/>
      <c r="T893" s="177"/>
      <c r="U893" s="177"/>
      <c r="V893" s="177"/>
      <c r="W893" s="177"/>
      <c r="X893" s="177"/>
      <c r="Y893" s="177"/>
      <c r="Z893" s="177"/>
      <c r="AA893" s="177"/>
      <c r="AB893" s="177"/>
      <c r="AC893" s="177"/>
      <c r="AD893" s="177"/>
      <c r="AE893" s="177"/>
      <c r="AF893" s="177"/>
      <c r="AG893" s="177"/>
      <c r="AH893" s="177"/>
      <c r="AI893" s="177"/>
      <c r="AJ893" s="177"/>
      <c r="AK893" s="177"/>
      <c r="AL893" s="177"/>
      <c r="AM893" s="177"/>
      <c r="AN893" s="177"/>
      <c r="AO893" s="177"/>
      <c r="AP893" s="177"/>
      <c r="AQ893" s="177"/>
      <c r="AR893" s="177"/>
      <c r="AS893" s="177"/>
      <c r="AT893" s="177"/>
      <c r="AU893" s="177"/>
      <c r="AV893" s="177"/>
      <c r="AW893" s="177"/>
      <c r="AX893" s="177"/>
      <c r="AY893" s="177"/>
      <c r="AZ893" s="177"/>
      <c r="BA893" s="177"/>
      <c r="BB893" s="177"/>
      <c r="BC893" s="177"/>
      <c r="BD893" s="178"/>
    </row>
    <row r="894" spans="1:56" hidden="1" outlineLevel="1" x14ac:dyDescent="0.3">
      <c r="A894" s="175" t="str">
        <f ca="1">Language!A$904</f>
        <v>пересечение границы при импорте</v>
      </c>
      <c r="B894" s="295">
        <v>1</v>
      </c>
      <c r="C894" s="176" t="str">
        <f ca="1">Language!$A$1480</f>
        <v>период</v>
      </c>
      <c r="D894" s="174"/>
    </row>
    <row r="895" spans="1:56" hidden="1" outlineLevel="1" x14ac:dyDescent="0.3">
      <c r="A895" s="175" t="str">
        <f ca="1">Language!A$905</f>
        <v>импортная пошлина</v>
      </c>
      <c r="B895" s="299">
        <f>IF(B893="Нет",0,10%)</f>
        <v>0.1</v>
      </c>
      <c r="C895" s="176" t="str">
        <f ca="1">CHOOSE(D895,CurName1,CurName2,CurName3)</f>
        <v>руб.</v>
      </c>
      <c r="D895" s="174">
        <f>D887</f>
        <v>1</v>
      </c>
      <c r="F895" s="170" t="s">
        <v>740</v>
      </c>
      <c r="G895" s="177">
        <f t="shared" ref="G895:BB895" si="3531">IF($B893=0,0,IF(G$2=$B894,(MAX($BD888,$BD890)+$B889)*$B895,0))</f>
        <v>0</v>
      </c>
      <c r="H895" s="177">
        <f t="shared" si="3531"/>
        <v>0</v>
      </c>
      <c r="I895" s="177">
        <f t="shared" si="3531"/>
        <v>0</v>
      </c>
      <c r="J895" s="177">
        <f t="shared" si="3531"/>
        <v>0</v>
      </c>
      <c r="K895" s="177">
        <f t="shared" si="3531"/>
        <v>0</v>
      </c>
      <c r="L895" s="177">
        <f t="shared" si="3531"/>
        <v>0</v>
      </c>
      <c r="M895" s="177">
        <f t="shared" si="3531"/>
        <v>0</v>
      </c>
      <c r="N895" s="177">
        <f t="shared" si="3531"/>
        <v>0</v>
      </c>
      <c r="O895" s="177">
        <f t="shared" si="3531"/>
        <v>0</v>
      </c>
      <c r="P895" s="177">
        <f t="shared" si="3531"/>
        <v>0</v>
      </c>
      <c r="Q895" s="177">
        <f t="shared" si="3531"/>
        <v>0</v>
      </c>
      <c r="R895" s="177">
        <f t="shared" si="3531"/>
        <v>0</v>
      </c>
      <c r="S895" s="177">
        <f t="shared" si="3531"/>
        <v>0</v>
      </c>
      <c r="T895" s="177">
        <f t="shared" si="3531"/>
        <v>0</v>
      </c>
      <c r="U895" s="177">
        <f t="shared" si="3531"/>
        <v>0</v>
      </c>
      <c r="V895" s="177">
        <f t="shared" si="3531"/>
        <v>0</v>
      </c>
      <c r="W895" s="177">
        <f t="shared" si="3531"/>
        <v>0</v>
      </c>
      <c r="X895" s="177">
        <f t="shared" si="3531"/>
        <v>0</v>
      </c>
      <c r="Y895" s="177">
        <f t="shared" si="3531"/>
        <v>0</v>
      </c>
      <c r="Z895" s="177">
        <f t="shared" si="3531"/>
        <v>0</v>
      </c>
      <c r="AA895" s="177">
        <f t="shared" si="3531"/>
        <v>0</v>
      </c>
      <c r="AB895" s="177">
        <f t="shared" si="3531"/>
        <v>0</v>
      </c>
      <c r="AC895" s="177">
        <f t="shared" si="3531"/>
        <v>0</v>
      </c>
      <c r="AD895" s="177">
        <f t="shared" si="3531"/>
        <v>0</v>
      </c>
      <c r="AE895" s="177">
        <f t="shared" si="3531"/>
        <v>0</v>
      </c>
      <c r="AF895" s="177">
        <f t="shared" si="3531"/>
        <v>0</v>
      </c>
      <c r="AG895" s="177">
        <f t="shared" si="3531"/>
        <v>0</v>
      </c>
      <c r="AH895" s="177">
        <f t="shared" si="3531"/>
        <v>0</v>
      </c>
      <c r="AI895" s="177">
        <f t="shared" si="3531"/>
        <v>0</v>
      </c>
      <c r="AJ895" s="177">
        <f t="shared" si="3531"/>
        <v>0</v>
      </c>
      <c r="AK895" s="177">
        <f t="shared" si="3531"/>
        <v>0</v>
      </c>
      <c r="AL895" s="177">
        <f t="shared" si="3531"/>
        <v>0</v>
      </c>
      <c r="AM895" s="177">
        <f t="shared" si="3531"/>
        <v>0</v>
      </c>
      <c r="AN895" s="177">
        <f t="shared" si="3531"/>
        <v>0</v>
      </c>
      <c r="AO895" s="177">
        <f t="shared" si="3531"/>
        <v>0</v>
      </c>
      <c r="AP895" s="177">
        <f t="shared" si="3531"/>
        <v>0</v>
      </c>
      <c r="AQ895" s="177">
        <f t="shared" si="3531"/>
        <v>0</v>
      </c>
      <c r="AR895" s="177">
        <f t="shared" si="3531"/>
        <v>0</v>
      </c>
      <c r="AS895" s="177">
        <f t="shared" si="3531"/>
        <v>0</v>
      </c>
      <c r="AT895" s="177">
        <f t="shared" si="3531"/>
        <v>0</v>
      </c>
      <c r="AU895" s="177">
        <f t="shared" si="3531"/>
        <v>0</v>
      </c>
      <c r="AV895" s="177">
        <f t="shared" si="3531"/>
        <v>0</v>
      </c>
      <c r="AW895" s="177">
        <f t="shared" si="3531"/>
        <v>0</v>
      </c>
      <c r="AX895" s="177">
        <f t="shared" si="3531"/>
        <v>0</v>
      </c>
      <c r="AY895" s="177">
        <f t="shared" si="3531"/>
        <v>0</v>
      </c>
      <c r="AZ895" s="177">
        <f t="shared" si="3531"/>
        <v>0</v>
      </c>
      <c r="BA895" s="177">
        <f t="shared" si="3531"/>
        <v>0</v>
      </c>
      <c r="BB895" s="177">
        <f t="shared" si="3531"/>
        <v>0</v>
      </c>
      <c r="BC895" s="177"/>
      <c r="BD895" s="178">
        <f>SUM(G895:BC895)</f>
        <v>0</v>
      </c>
    </row>
    <row r="896" spans="1:56" s="170" customFormat="1" hidden="1" outlineLevel="1" x14ac:dyDescent="0.3">
      <c r="A896" s="184" t="str">
        <f ca="1">Language!A$906</f>
        <v>ставка НДС</v>
      </c>
      <c r="B896" s="189"/>
      <c r="C896" s="163" t="s">
        <v>1</v>
      </c>
      <c r="D896" s="174">
        <v>1</v>
      </c>
      <c r="F896" s="170" t="s">
        <v>2346</v>
      </c>
      <c r="G896" s="290">
        <f>IF(G$2=1,Параметры!G$72,IF(F896=Параметры!F$72,Параметры!F$72,F896))</f>
        <v>0</v>
      </c>
      <c r="H896" s="290">
        <f>IF(H$2=1,Параметры!H$72,IF(G896=Параметры!G$72,Параметры!G$72,G896))</f>
        <v>0</v>
      </c>
      <c r="I896" s="290">
        <f>IF(I$2=1,Параметры!I$72,IF(H896=Параметры!H$72,Параметры!H$72,H896))</f>
        <v>0</v>
      </c>
      <c r="J896" s="290">
        <f>IF(J$2=1,Параметры!J$72,IF(I896=Параметры!I$72,Параметры!I$72,I896))</f>
        <v>0</v>
      </c>
      <c r="K896" s="290">
        <f>IF(K$2=1,Параметры!K$72,IF(J896=Параметры!J$72,Параметры!J$72,J896))</f>
        <v>0</v>
      </c>
      <c r="L896" s="290">
        <f>IF(L$2=1,Параметры!L$72,IF(K896=Параметры!K$72,Параметры!K$72,K896))</f>
        <v>0</v>
      </c>
      <c r="M896" s="290">
        <f>IF(M$2=1,Параметры!M$72,IF(L896=Параметры!L$72,Параметры!L$72,L896))</f>
        <v>0</v>
      </c>
      <c r="N896" s="290">
        <f>IF(N$2=1,Параметры!N$72,IF(M896=Параметры!M$72,Параметры!M$72,M896))</f>
        <v>0</v>
      </c>
      <c r="O896" s="290">
        <f>IF(O$2=1,Параметры!O$72,IF(N896=Параметры!N$72,Параметры!N$72,N896))</f>
        <v>0</v>
      </c>
      <c r="P896" s="290">
        <f>IF(P$2=1,Параметры!P$72,IF(O896=Параметры!O$72,Параметры!O$72,O896))</f>
        <v>0</v>
      </c>
      <c r="Q896" s="290">
        <f>IF(Q$2=1,Параметры!Q$72,IF(P896=Параметры!P$72,Параметры!P$72,P896))</f>
        <v>0</v>
      </c>
      <c r="R896" s="290">
        <f>IF(R$2=1,Параметры!R$72,IF(Q896=Параметры!Q$72,Параметры!Q$72,Q896))</f>
        <v>0</v>
      </c>
      <c r="S896" s="290">
        <f>IF(S$2=1,Параметры!S$72,IF(R896=Параметры!R$72,Параметры!R$72,R896))</f>
        <v>0</v>
      </c>
      <c r="T896" s="290">
        <f>IF(T$2=1,Параметры!T$72,IF(S896=Параметры!S$72,Параметры!S$72,S896))</f>
        <v>0</v>
      </c>
      <c r="U896" s="290">
        <f>IF(U$2=1,Параметры!U$72,IF(T896=Параметры!T$72,Параметры!T$72,T896))</f>
        <v>0</v>
      </c>
      <c r="V896" s="290">
        <f>IF(V$2=1,Параметры!V$72,IF(U896=Параметры!U$72,Параметры!U$72,U896))</f>
        <v>0</v>
      </c>
      <c r="W896" s="290">
        <f>IF(W$2=1,Параметры!W$72,IF(V896=Параметры!V$72,Параметры!V$72,V896))</f>
        <v>0</v>
      </c>
      <c r="X896" s="290">
        <f>IF(X$2=1,Параметры!X$72,IF(W896=Параметры!W$72,Параметры!W$72,W896))</f>
        <v>0</v>
      </c>
      <c r="Y896" s="290">
        <f>IF(Y$2=1,Параметры!Y$72,IF(X896=Параметры!X$72,Параметры!X$72,X896))</f>
        <v>0</v>
      </c>
      <c r="Z896" s="290">
        <f>IF(Z$2=1,Параметры!Z$72,IF(Y896=Параметры!Y$72,Параметры!Y$72,Y896))</f>
        <v>0</v>
      </c>
      <c r="AA896" s="290">
        <f>IF(AA$2=1,Параметры!AA$72,IF(Z896=Параметры!Z$72,Параметры!Z$72,Z896))</f>
        <v>0</v>
      </c>
      <c r="AB896" s="290">
        <f>IF(AB$2=1,Параметры!AB$72,IF(AA896=Параметры!AA$72,Параметры!AA$72,AA896))</f>
        <v>0</v>
      </c>
      <c r="AC896" s="290">
        <f>IF(AC$2=1,Параметры!AC$72,IF(AB896=Параметры!AB$72,Параметры!AB$72,AB896))</f>
        <v>0</v>
      </c>
      <c r="AD896" s="290">
        <f>IF(AD$2=1,Параметры!AD$72,IF(AC896=Параметры!AC$72,Параметры!AC$72,AC896))</f>
        <v>0</v>
      </c>
      <c r="AE896" s="290">
        <f>IF(AE$2=1,Параметры!AE$72,IF(AD896=Параметры!AD$72,Параметры!AD$72,AD896))</f>
        <v>0</v>
      </c>
      <c r="AF896" s="290">
        <f>IF(AF$2=1,Параметры!AF$72,IF(AE896=Параметры!AE$72,Параметры!AE$72,AE896))</f>
        <v>0</v>
      </c>
      <c r="AG896" s="290">
        <f>IF(AG$2=1,Параметры!AG$72,IF(AF896=Параметры!AF$72,Параметры!AF$72,AF896))</f>
        <v>0</v>
      </c>
      <c r="AH896" s="290">
        <f>IF(AH$2=1,Параметры!AH$72,IF(AG896=Параметры!AG$72,Параметры!AG$72,AG896))</f>
        <v>0</v>
      </c>
      <c r="AI896" s="290">
        <f>IF(AI$2=1,Параметры!AI$72,IF(AH896=Параметры!AH$72,Параметры!AH$72,AH896))</f>
        <v>0</v>
      </c>
      <c r="AJ896" s="290">
        <f>IF(AJ$2=1,Параметры!AJ$72,IF(AI896=Параметры!AI$72,Параметры!AI$72,AI896))</f>
        <v>0</v>
      </c>
      <c r="AK896" s="290">
        <f>IF(AK$2=1,Параметры!AK$72,IF(AJ896=Параметры!AJ$72,Параметры!AJ$72,AJ896))</f>
        <v>0</v>
      </c>
      <c r="AL896" s="290">
        <f>IF(AL$2=1,Параметры!AL$72,IF(AK896=Параметры!AK$72,Параметры!AK$72,AK896))</f>
        <v>0</v>
      </c>
      <c r="AM896" s="290">
        <f>IF(AM$2=1,Параметры!AM$72,IF(AL896=Параметры!AL$72,Параметры!AL$72,AL896))</f>
        <v>0</v>
      </c>
      <c r="AN896" s="290">
        <f>IF(AN$2=1,Параметры!AN$72,IF(AM896=Параметры!AM$72,Параметры!AM$72,AM896))</f>
        <v>0</v>
      </c>
      <c r="AO896" s="290">
        <f>IF(AO$2=1,Параметры!AO$72,IF(AN896=Параметры!AN$72,Параметры!AN$72,AN896))</f>
        <v>0</v>
      </c>
      <c r="AP896" s="290">
        <f>IF(AP$2=1,Параметры!AP$72,IF(AO896=Параметры!AO$72,Параметры!AO$72,AO896))</f>
        <v>0</v>
      </c>
      <c r="AQ896" s="290">
        <f>IF(AQ$2=1,Параметры!AQ$72,IF(AP896=Параметры!AP$72,Параметры!AP$72,AP896))</f>
        <v>0</v>
      </c>
      <c r="AR896" s="290">
        <f>IF(AR$2=1,Параметры!AR$72,IF(AQ896=Параметры!AQ$72,Параметры!AQ$72,AQ896))</f>
        <v>0</v>
      </c>
      <c r="AS896" s="290">
        <f>IF(AS$2=1,Параметры!AS$72,IF(AR896=Параметры!AR$72,Параметры!AR$72,AR896))</f>
        <v>0</v>
      </c>
      <c r="AT896" s="290">
        <f>IF(AT$2=1,Параметры!AT$72,IF(AS896=Параметры!AS$72,Параметры!AS$72,AS896))</f>
        <v>0</v>
      </c>
      <c r="AU896" s="290">
        <f>IF(AU$2=1,Параметры!AU$72,IF(AT896=Параметры!AT$72,Параметры!AT$72,AT896))</f>
        <v>0</v>
      </c>
      <c r="AV896" s="290">
        <f>IF(AV$2=1,Параметры!AV$72,IF(AU896=Параметры!AU$72,Параметры!AU$72,AU896))</f>
        <v>0</v>
      </c>
      <c r="AW896" s="290">
        <f>IF(AW$2=1,Параметры!AW$72,IF(AV896=Параметры!AV$72,Параметры!AV$72,AV896))</f>
        <v>0</v>
      </c>
      <c r="AX896" s="290">
        <f>IF(AX$2=1,Параметры!AX$72,IF(AW896=Параметры!AW$72,Параметры!AW$72,AW896))</f>
        <v>0</v>
      </c>
      <c r="AY896" s="290">
        <f>IF(AY$2=1,Параметры!AY$72,IF(AX896=Параметры!AX$72,Параметры!AX$72,AX896))</f>
        <v>0</v>
      </c>
      <c r="AZ896" s="290">
        <f>IF(AZ$2=1,Параметры!AZ$72,IF(AY896=Параметры!AY$72,Параметры!AY$72,AY896))</f>
        <v>0</v>
      </c>
      <c r="BA896" s="290">
        <f>IF(BA$2=1,Параметры!BA$72,IF(AZ896=Параметры!AZ$72,Параметры!AZ$72,AZ896))</f>
        <v>0</v>
      </c>
      <c r="BB896" s="290">
        <f>IF(BB$2=1,Параметры!BB$72,IF(BA896=Параметры!BA$72,Параметры!BA$72,BA896))</f>
        <v>0</v>
      </c>
      <c r="BC896" s="190"/>
      <c r="BD896" s="186"/>
    </row>
    <row r="897" spans="1:56" s="170" customFormat="1" hidden="1" outlineLevel="1" x14ac:dyDescent="0.3">
      <c r="A897" s="184" t="str">
        <f ca="1">Language!A$907</f>
        <v>выручка от продажи актива, без НДС</v>
      </c>
      <c r="B897" s="216"/>
      <c r="C897" s="163" t="str">
        <f ca="1">CHOOSE(D897,CurName1,CurName2,CurName3)</f>
        <v>руб.</v>
      </c>
      <c r="D897" s="174">
        <v>1</v>
      </c>
      <c r="E897" s="170" t="s">
        <v>755</v>
      </c>
      <c r="F897" s="170" t="s">
        <v>2353</v>
      </c>
      <c r="G897" s="287">
        <v>0</v>
      </c>
      <c r="H897" s="287">
        <v>0</v>
      </c>
      <c r="I897" s="287">
        <v>0</v>
      </c>
      <c r="J897" s="287">
        <v>0</v>
      </c>
      <c r="K897" s="287">
        <v>0</v>
      </c>
      <c r="L897" s="287">
        <v>0</v>
      </c>
      <c r="M897" s="287">
        <v>0</v>
      </c>
      <c r="N897" s="287">
        <v>0</v>
      </c>
      <c r="O897" s="287">
        <v>0</v>
      </c>
      <c r="P897" s="287">
        <v>0</v>
      </c>
      <c r="Q897" s="287">
        <v>0</v>
      </c>
      <c r="R897" s="287">
        <v>0</v>
      </c>
      <c r="S897" s="287">
        <v>0</v>
      </c>
      <c r="T897" s="287">
        <v>0</v>
      </c>
      <c r="U897" s="287">
        <v>0</v>
      </c>
      <c r="V897" s="287">
        <v>0</v>
      </c>
      <c r="W897" s="287">
        <v>0</v>
      </c>
      <c r="X897" s="287">
        <v>0</v>
      </c>
      <c r="Y897" s="287">
        <v>0</v>
      </c>
      <c r="Z897" s="287">
        <v>0</v>
      </c>
      <c r="AA897" s="287">
        <v>0</v>
      </c>
      <c r="AB897" s="287">
        <v>0</v>
      </c>
      <c r="AC897" s="287">
        <v>0</v>
      </c>
      <c r="AD897" s="287">
        <v>0</v>
      </c>
      <c r="AE897" s="287">
        <v>0</v>
      </c>
      <c r="AF897" s="287">
        <v>0</v>
      </c>
      <c r="AG897" s="287">
        <v>0</v>
      </c>
      <c r="AH897" s="287">
        <v>0</v>
      </c>
      <c r="AI897" s="287">
        <v>0</v>
      </c>
      <c r="AJ897" s="287">
        <v>0</v>
      </c>
      <c r="AK897" s="287">
        <v>0</v>
      </c>
      <c r="AL897" s="287">
        <v>0</v>
      </c>
      <c r="AM897" s="287">
        <v>0</v>
      </c>
      <c r="AN897" s="287">
        <v>0</v>
      </c>
      <c r="AO897" s="287">
        <v>0</v>
      </c>
      <c r="AP897" s="287">
        <v>0</v>
      </c>
      <c r="AQ897" s="287">
        <v>0</v>
      </c>
      <c r="AR897" s="287">
        <v>0</v>
      </c>
      <c r="AS897" s="287">
        <v>0</v>
      </c>
      <c r="AT897" s="287">
        <v>0</v>
      </c>
      <c r="AU897" s="287">
        <v>0</v>
      </c>
      <c r="AV897" s="287">
        <v>0</v>
      </c>
      <c r="AW897" s="287">
        <v>0</v>
      </c>
      <c r="AX897" s="287">
        <v>0</v>
      </c>
      <c r="AY897" s="287">
        <v>0</v>
      </c>
      <c r="AZ897" s="287">
        <v>0</v>
      </c>
      <c r="BA897" s="287">
        <v>0</v>
      </c>
      <c r="BB897" s="287">
        <v>0</v>
      </c>
      <c r="BC897" s="185"/>
      <c r="BD897" s="193">
        <f>SUM(G897:BC897)</f>
        <v>0</v>
      </c>
    </row>
    <row r="898" spans="1:56" hidden="1" outlineLevel="1" x14ac:dyDescent="0.3">
      <c r="A898" s="184" t="str">
        <f ca="1">Language!A$908</f>
        <v>суммы в осн. валюте: график оплаты, без НДС</v>
      </c>
      <c r="B898" s="203"/>
      <c r="C898" s="163" t="str">
        <f t="shared" ref="C898:C916" ca="1" si="3532">CHOOSE(D898,CurName1,CurName2,CurName3)</f>
        <v>руб.</v>
      </c>
      <c r="D898" s="174">
        <v>1</v>
      </c>
      <c r="E898" s="170" t="s">
        <v>751</v>
      </c>
      <c r="F898" s="170" t="s">
        <v>740</v>
      </c>
      <c r="G898" s="185">
        <f>G888*CHOOSE($D888,1,Параметры!G$53,Параметры!G$59)</f>
        <v>0</v>
      </c>
      <c r="H898" s="185">
        <f>H888*CHOOSE($D888,1,Параметры!H$53,Параметры!H$59)</f>
        <v>1366666.6666666667</v>
      </c>
      <c r="I898" s="185">
        <f>I888*CHOOSE($D888,1,Параметры!I$53,Параметры!I$59)</f>
        <v>1366666.6666666667</v>
      </c>
      <c r="J898" s="185">
        <f>J888*CHOOSE($D888,1,Параметры!J$53,Параметры!J$59)</f>
        <v>1366666.6666666667</v>
      </c>
      <c r="K898" s="185">
        <f>K888*CHOOSE($D888,1,Параметры!K$53,Параметры!K$59)</f>
        <v>0</v>
      </c>
      <c r="L898" s="185">
        <f>L888*CHOOSE($D888,1,Параметры!L$53,Параметры!L$59)</f>
        <v>0</v>
      </c>
      <c r="M898" s="185">
        <f>M888*CHOOSE($D888,1,Параметры!M$53,Параметры!M$59)</f>
        <v>0</v>
      </c>
      <c r="N898" s="185">
        <f>N888*CHOOSE($D888,1,Параметры!N$53,Параметры!N$59)</f>
        <v>0</v>
      </c>
      <c r="O898" s="185">
        <f>O888*CHOOSE($D888,1,Параметры!O$53,Параметры!O$59)</f>
        <v>0</v>
      </c>
      <c r="P898" s="185">
        <f>P888*CHOOSE($D888,1,Параметры!P$53,Параметры!P$59)</f>
        <v>0</v>
      </c>
      <c r="Q898" s="185">
        <f>Q888*CHOOSE($D888,1,Параметры!Q$53,Параметры!Q$59)</f>
        <v>0</v>
      </c>
      <c r="R898" s="185">
        <f>R888*CHOOSE($D888,1,Параметры!R$53,Параметры!R$59)</f>
        <v>0</v>
      </c>
      <c r="S898" s="185">
        <f>S888*CHOOSE($D888,1,Параметры!S$53,Параметры!S$59)</f>
        <v>0</v>
      </c>
      <c r="T898" s="185">
        <f>T888*CHOOSE($D888,1,Параметры!T$53,Параметры!T$59)</f>
        <v>0</v>
      </c>
      <c r="U898" s="185">
        <f>U888*CHOOSE($D888,1,Параметры!U$53,Параметры!U$59)</f>
        <v>0</v>
      </c>
      <c r="V898" s="185">
        <f>V888*CHOOSE($D888,1,Параметры!V$53,Параметры!V$59)</f>
        <v>0</v>
      </c>
      <c r="W898" s="185">
        <f>W888*CHOOSE($D888,1,Параметры!W$53,Параметры!W$59)</f>
        <v>0</v>
      </c>
      <c r="X898" s="185">
        <f>X888*CHOOSE($D888,1,Параметры!X$53,Параметры!X$59)</f>
        <v>0</v>
      </c>
      <c r="Y898" s="185">
        <f>Y888*CHOOSE($D888,1,Параметры!Y$53,Параметры!Y$59)</f>
        <v>0</v>
      </c>
      <c r="Z898" s="185">
        <f>Z888*CHOOSE($D888,1,Параметры!Z$53,Параметры!Z$59)</f>
        <v>0</v>
      </c>
      <c r="AA898" s="185">
        <f>AA888*CHOOSE($D888,1,Параметры!AA$53,Параметры!AA$59)</f>
        <v>0</v>
      </c>
      <c r="AB898" s="185">
        <f>AB888*CHOOSE($D888,1,Параметры!AB$53,Параметры!AB$59)</f>
        <v>0</v>
      </c>
      <c r="AC898" s="185">
        <f>AC888*CHOOSE($D888,1,Параметры!AC$53,Параметры!AC$59)</f>
        <v>0</v>
      </c>
      <c r="AD898" s="185">
        <f>AD888*CHOOSE($D888,1,Параметры!AD$53,Параметры!AD$59)</f>
        <v>0</v>
      </c>
      <c r="AE898" s="185">
        <f>AE888*CHOOSE($D888,1,Параметры!AE$53,Параметры!AE$59)</f>
        <v>0</v>
      </c>
      <c r="AF898" s="185">
        <f>AF888*CHOOSE($D888,1,Параметры!AF$53,Параметры!AF$59)</f>
        <v>0</v>
      </c>
      <c r="AG898" s="185">
        <f>AG888*CHOOSE($D888,1,Параметры!AG$53,Параметры!AG$59)</f>
        <v>0</v>
      </c>
      <c r="AH898" s="185">
        <f>AH888*CHOOSE($D888,1,Параметры!AH$53,Параметры!AH$59)</f>
        <v>0</v>
      </c>
      <c r="AI898" s="185">
        <f>AI888*CHOOSE($D888,1,Параметры!AI$53,Параметры!AI$59)</f>
        <v>0</v>
      </c>
      <c r="AJ898" s="185">
        <f>AJ888*CHOOSE($D888,1,Параметры!AJ$53,Параметры!AJ$59)</f>
        <v>0</v>
      </c>
      <c r="AK898" s="185">
        <f>AK888*CHOOSE($D888,1,Параметры!AK$53,Параметры!AK$59)</f>
        <v>0</v>
      </c>
      <c r="AL898" s="185">
        <f>AL888*CHOOSE($D888,1,Параметры!AL$53,Параметры!AL$59)</f>
        <v>0</v>
      </c>
      <c r="AM898" s="185">
        <f>AM888*CHOOSE($D888,1,Параметры!AM$53,Параметры!AM$59)</f>
        <v>0</v>
      </c>
      <c r="AN898" s="185">
        <f>AN888*CHOOSE($D888,1,Параметры!AN$53,Параметры!AN$59)</f>
        <v>0</v>
      </c>
      <c r="AO898" s="185">
        <f>AO888*CHOOSE($D888,1,Параметры!AO$53,Параметры!AO$59)</f>
        <v>0</v>
      </c>
      <c r="AP898" s="185">
        <f>AP888*CHOOSE($D888,1,Параметры!AP$53,Параметры!AP$59)</f>
        <v>0</v>
      </c>
      <c r="AQ898" s="185">
        <f>AQ888*CHOOSE($D888,1,Параметры!AQ$53,Параметры!AQ$59)</f>
        <v>0</v>
      </c>
      <c r="AR898" s="185">
        <f>AR888*CHOOSE($D888,1,Параметры!AR$53,Параметры!AR$59)</f>
        <v>0</v>
      </c>
      <c r="AS898" s="185">
        <f>AS888*CHOOSE($D888,1,Параметры!AS$53,Параметры!AS$59)</f>
        <v>0</v>
      </c>
      <c r="AT898" s="185">
        <f>AT888*CHOOSE($D888,1,Параметры!AT$53,Параметры!AT$59)</f>
        <v>0</v>
      </c>
      <c r="AU898" s="185">
        <f>AU888*CHOOSE($D888,1,Параметры!AU$53,Параметры!AU$59)</f>
        <v>0</v>
      </c>
      <c r="AV898" s="185">
        <f>AV888*CHOOSE($D888,1,Параметры!AV$53,Параметры!AV$59)</f>
        <v>0</v>
      </c>
      <c r="AW898" s="185">
        <f>AW888*CHOOSE($D888,1,Параметры!AW$53,Параметры!AW$59)</f>
        <v>0</v>
      </c>
      <c r="AX898" s="185">
        <f>AX888*CHOOSE($D888,1,Параметры!AX$53,Параметры!AX$59)</f>
        <v>0</v>
      </c>
      <c r="AY898" s="185">
        <f>AY888*CHOOSE($D888,1,Параметры!AY$53,Параметры!AY$59)</f>
        <v>0</v>
      </c>
      <c r="AZ898" s="185">
        <f>AZ888*CHOOSE($D888,1,Параметры!AZ$53,Параметры!AZ$59)</f>
        <v>0</v>
      </c>
      <c r="BA898" s="185">
        <f>BA888*CHOOSE($D888,1,Параметры!BA$53,Параметры!BA$59)</f>
        <v>0</v>
      </c>
      <c r="BB898" s="185">
        <f>BB888*CHOOSE($D888,1,Параметры!BB$53,Параметры!BB$59)</f>
        <v>0</v>
      </c>
      <c r="BC898" s="185"/>
      <c r="BD898" s="193">
        <f>SUM(G898:BC898)</f>
        <v>4100000</v>
      </c>
    </row>
    <row r="899" spans="1:56" hidden="1" outlineLevel="1" x14ac:dyDescent="0.3">
      <c r="A899" s="187" t="str">
        <f ca="1">Language!A$1509</f>
        <v>график оплаты, c НДС</v>
      </c>
      <c r="B899" s="163"/>
      <c r="C899" s="163" t="str">
        <f t="shared" ca="1" si="3532"/>
        <v>руб.</v>
      </c>
      <c r="D899" s="174">
        <v>1</v>
      </c>
      <c r="E899" s="170" t="s">
        <v>993</v>
      </c>
      <c r="F899" s="170" t="s">
        <v>740</v>
      </c>
      <c r="G899" s="185">
        <f>G898+G903+G909</f>
        <v>0</v>
      </c>
      <c r="H899" s="185">
        <f t="shared" ref="H899:BB899" si="3533">H898+H903+H909</f>
        <v>1366666.6666666667</v>
      </c>
      <c r="I899" s="185">
        <f t="shared" si="3533"/>
        <v>1366666.6666666667</v>
      </c>
      <c r="J899" s="185">
        <f t="shared" si="3533"/>
        <v>1366666.6666666667</v>
      </c>
      <c r="K899" s="185">
        <f t="shared" si="3533"/>
        <v>0</v>
      </c>
      <c r="L899" s="185">
        <f t="shared" si="3533"/>
        <v>0</v>
      </c>
      <c r="M899" s="185">
        <f t="shared" si="3533"/>
        <v>0</v>
      </c>
      <c r="N899" s="185">
        <f t="shared" si="3533"/>
        <v>0</v>
      </c>
      <c r="O899" s="185">
        <f t="shared" si="3533"/>
        <v>0</v>
      </c>
      <c r="P899" s="185">
        <f t="shared" si="3533"/>
        <v>0</v>
      </c>
      <c r="Q899" s="185">
        <f t="shared" si="3533"/>
        <v>0</v>
      </c>
      <c r="R899" s="185">
        <f t="shared" si="3533"/>
        <v>0</v>
      </c>
      <c r="S899" s="185">
        <f t="shared" si="3533"/>
        <v>0</v>
      </c>
      <c r="T899" s="185">
        <f t="shared" si="3533"/>
        <v>0</v>
      </c>
      <c r="U899" s="185">
        <f t="shared" si="3533"/>
        <v>0</v>
      </c>
      <c r="V899" s="185">
        <f t="shared" si="3533"/>
        <v>0</v>
      </c>
      <c r="W899" s="185">
        <f t="shared" si="3533"/>
        <v>0</v>
      </c>
      <c r="X899" s="185">
        <f t="shared" si="3533"/>
        <v>0</v>
      </c>
      <c r="Y899" s="185">
        <f t="shared" si="3533"/>
        <v>0</v>
      </c>
      <c r="Z899" s="185">
        <f t="shared" si="3533"/>
        <v>0</v>
      </c>
      <c r="AA899" s="185">
        <f t="shared" si="3533"/>
        <v>0</v>
      </c>
      <c r="AB899" s="185">
        <f t="shared" si="3533"/>
        <v>0</v>
      </c>
      <c r="AC899" s="185">
        <f t="shared" si="3533"/>
        <v>0</v>
      </c>
      <c r="AD899" s="185">
        <f t="shared" si="3533"/>
        <v>0</v>
      </c>
      <c r="AE899" s="185">
        <f t="shared" si="3533"/>
        <v>0</v>
      </c>
      <c r="AF899" s="185">
        <f t="shared" si="3533"/>
        <v>0</v>
      </c>
      <c r="AG899" s="185">
        <f t="shared" si="3533"/>
        <v>0</v>
      </c>
      <c r="AH899" s="185">
        <f t="shared" si="3533"/>
        <v>0</v>
      </c>
      <c r="AI899" s="185">
        <f t="shared" si="3533"/>
        <v>0</v>
      </c>
      <c r="AJ899" s="185">
        <f t="shared" si="3533"/>
        <v>0</v>
      </c>
      <c r="AK899" s="185">
        <f t="shared" si="3533"/>
        <v>0</v>
      </c>
      <c r="AL899" s="185">
        <f t="shared" si="3533"/>
        <v>0</v>
      </c>
      <c r="AM899" s="185">
        <f t="shared" si="3533"/>
        <v>0</v>
      </c>
      <c r="AN899" s="185">
        <f t="shared" si="3533"/>
        <v>0</v>
      </c>
      <c r="AO899" s="185">
        <f t="shared" si="3533"/>
        <v>0</v>
      </c>
      <c r="AP899" s="185">
        <f t="shared" si="3533"/>
        <v>0</v>
      </c>
      <c r="AQ899" s="185">
        <f t="shared" si="3533"/>
        <v>0</v>
      </c>
      <c r="AR899" s="185">
        <f t="shared" si="3533"/>
        <v>0</v>
      </c>
      <c r="AS899" s="185">
        <f t="shared" si="3533"/>
        <v>0</v>
      </c>
      <c r="AT899" s="185">
        <f t="shared" si="3533"/>
        <v>0</v>
      </c>
      <c r="AU899" s="185">
        <f t="shared" si="3533"/>
        <v>0</v>
      </c>
      <c r="AV899" s="185">
        <f t="shared" si="3533"/>
        <v>0</v>
      </c>
      <c r="AW899" s="185">
        <f t="shared" si="3533"/>
        <v>0</v>
      </c>
      <c r="AX899" s="185">
        <f t="shared" si="3533"/>
        <v>0</v>
      </c>
      <c r="AY899" s="185">
        <f t="shared" si="3533"/>
        <v>0</v>
      </c>
      <c r="AZ899" s="185">
        <f t="shared" si="3533"/>
        <v>0</v>
      </c>
      <c r="BA899" s="185">
        <f t="shared" si="3533"/>
        <v>0</v>
      </c>
      <c r="BB899" s="185">
        <f t="shared" si="3533"/>
        <v>0</v>
      </c>
      <c r="BC899" s="185"/>
      <c r="BD899" s="193">
        <f>SUM(G899:BC899)</f>
        <v>4100000</v>
      </c>
    </row>
    <row r="900" spans="1:56" hidden="1" outlineLevel="1" x14ac:dyDescent="0.3">
      <c r="A900" s="187" t="str">
        <f ca="1">Language!A$909</f>
        <v>ранее осуществленные инвестиции, без НДС</v>
      </c>
      <c r="B900" s="212">
        <f>B889*CHOOSE(D889,1,Параметры!G$53,Параметры!G$59)</f>
        <v>0</v>
      </c>
      <c r="C900" s="163" t="str">
        <f t="shared" ca="1" si="3532"/>
        <v>руб.</v>
      </c>
      <c r="D900" s="174">
        <v>1</v>
      </c>
      <c r="E900" s="170" t="s">
        <v>1269</v>
      </c>
      <c r="G900" s="170">
        <f>B900</f>
        <v>0</v>
      </c>
      <c r="H900" s="170"/>
      <c r="I900" s="170"/>
      <c r="J900" s="170"/>
      <c r="K900" s="170"/>
      <c r="L900" s="170"/>
      <c r="M900" s="170"/>
      <c r="N900" s="170"/>
      <c r="O900" s="170"/>
      <c r="P900" s="170"/>
      <c r="Q900" s="170"/>
      <c r="R900" s="170"/>
      <c r="S900" s="170"/>
      <c r="T900" s="170"/>
      <c r="U900" s="170"/>
      <c r="V900" s="170"/>
      <c r="W900" s="170"/>
      <c r="X900" s="170"/>
      <c r="Y900" s="170"/>
      <c r="Z900" s="170"/>
      <c r="AA900" s="170"/>
      <c r="AB900" s="170"/>
      <c r="AC900" s="170"/>
      <c r="AD900" s="170"/>
      <c r="AE900" s="170"/>
      <c r="AF900" s="170"/>
      <c r="AG900" s="170"/>
      <c r="AH900" s="170"/>
      <c r="AI900" s="170"/>
      <c r="AJ900" s="170"/>
      <c r="AK900" s="170"/>
      <c r="AL900" s="170"/>
      <c r="AM900" s="170"/>
      <c r="AN900" s="170"/>
      <c r="AO900" s="170"/>
      <c r="AP900" s="170"/>
      <c r="AQ900" s="170"/>
      <c r="AR900" s="170"/>
      <c r="AS900" s="170"/>
      <c r="AT900" s="170"/>
      <c r="AU900" s="170"/>
      <c r="AV900" s="170"/>
      <c r="AW900" s="170"/>
      <c r="AX900" s="170"/>
      <c r="AY900" s="170"/>
      <c r="AZ900" s="170"/>
      <c r="BA900" s="170"/>
      <c r="BB900" s="170"/>
      <c r="BC900" s="170"/>
      <c r="BD900" s="193"/>
    </row>
    <row r="901" spans="1:56" hidden="1" outlineLevel="1" x14ac:dyDescent="0.3">
      <c r="A901" s="187" t="str">
        <f ca="1">Language!A$910</f>
        <v>НДС к ранее осуществленным инвестициям</v>
      </c>
      <c r="B901" s="212">
        <f>B900*G896</f>
        <v>0</v>
      </c>
      <c r="C901" s="163" t="str">
        <f t="shared" ca="1" si="3532"/>
        <v>руб.</v>
      </c>
      <c r="D901" s="174">
        <v>1</v>
      </c>
      <c r="E901" s="170" t="s">
        <v>1273</v>
      </c>
      <c r="G901" s="185">
        <f>B901</f>
        <v>0</v>
      </c>
      <c r="H901" s="185"/>
      <c r="I901" s="185"/>
      <c r="J901" s="185"/>
      <c r="K901" s="185"/>
      <c r="L901" s="185"/>
      <c r="M901" s="185"/>
      <c r="N901" s="185"/>
      <c r="O901" s="185"/>
      <c r="P901" s="185"/>
      <c r="Q901" s="185"/>
      <c r="R901" s="185"/>
      <c r="S901" s="185"/>
      <c r="T901" s="185"/>
      <c r="U901" s="185"/>
      <c r="V901" s="185"/>
      <c r="W901" s="185"/>
      <c r="X901" s="185"/>
      <c r="Y901" s="185"/>
      <c r="Z901" s="185"/>
      <c r="AA901" s="185"/>
      <c r="AB901" s="185"/>
      <c r="AC901" s="185"/>
      <c r="AD901" s="185"/>
      <c r="AE901" s="185"/>
      <c r="AF901" s="185"/>
      <c r="AG901" s="185"/>
      <c r="AH901" s="185"/>
      <c r="AI901" s="185"/>
      <c r="AJ901" s="185"/>
      <c r="AK901" s="185"/>
      <c r="AL901" s="185"/>
      <c r="AM901" s="185"/>
      <c r="AN901" s="185"/>
      <c r="AO901" s="185"/>
      <c r="AP901" s="185"/>
      <c r="AQ901" s="185"/>
      <c r="AR901" s="185"/>
      <c r="AS901" s="185"/>
      <c r="AT901" s="185"/>
      <c r="AU901" s="185"/>
      <c r="AV901" s="185"/>
      <c r="AW901" s="185"/>
      <c r="AX901" s="185"/>
      <c r="AY901" s="185"/>
      <c r="AZ901" s="185"/>
      <c r="BA901" s="185"/>
      <c r="BB901" s="185"/>
      <c r="BC901" s="185"/>
      <c r="BD901" s="193"/>
    </row>
    <row r="902" spans="1:56" hidden="1" outlineLevel="1" x14ac:dyDescent="0.3">
      <c r="A902" s="187" t="str">
        <f ca="1">Language!A$911</f>
        <v>график ввода в эксплуатацию, без НДС</v>
      </c>
      <c r="B902" s="203"/>
      <c r="C902" s="163" t="str">
        <f t="shared" ca="1" si="3532"/>
        <v>руб.</v>
      </c>
      <c r="D902" s="174">
        <v>1</v>
      </c>
      <c r="F902" s="170" t="s">
        <v>740</v>
      </c>
      <c r="G902" s="185">
        <f>G890*CHOOSE($D890,1,Параметры!G$53,Параметры!G$59)</f>
        <v>0</v>
      </c>
      <c r="H902" s="185">
        <f>H890*CHOOSE($D890,1,Параметры!H$53,Параметры!H$59)</f>
        <v>0</v>
      </c>
      <c r="I902" s="185">
        <f>I890*CHOOSE($D890,1,Параметры!I$53,Параметры!I$59)</f>
        <v>0</v>
      </c>
      <c r="J902" s="185">
        <f>J890*CHOOSE($D890,1,Параметры!J$53,Параметры!J$59)</f>
        <v>0</v>
      </c>
      <c r="K902" s="185">
        <f>K890*CHOOSE($D890,1,Параметры!K$53,Параметры!K$59)</f>
        <v>0</v>
      </c>
      <c r="L902" s="185">
        <f>L890*CHOOSE($D890,1,Параметры!L$53,Параметры!L$59)</f>
        <v>0</v>
      </c>
      <c r="M902" s="185">
        <f>M890*CHOOSE($D890,1,Параметры!M$53,Параметры!M$59)</f>
        <v>4100000</v>
      </c>
      <c r="N902" s="185">
        <f>N890*CHOOSE($D890,1,Параметры!N$53,Параметры!N$59)</f>
        <v>0</v>
      </c>
      <c r="O902" s="185">
        <f>O890*CHOOSE($D890,1,Параметры!O$53,Параметры!O$59)</f>
        <v>0</v>
      </c>
      <c r="P902" s="185">
        <f>P890*CHOOSE($D890,1,Параметры!P$53,Параметры!P$59)</f>
        <v>0</v>
      </c>
      <c r="Q902" s="185">
        <f>Q890*CHOOSE($D890,1,Параметры!Q$53,Параметры!Q$59)</f>
        <v>0</v>
      </c>
      <c r="R902" s="185">
        <f>R890*CHOOSE($D890,1,Параметры!R$53,Параметры!R$59)</f>
        <v>0</v>
      </c>
      <c r="S902" s="185">
        <f>S890*CHOOSE($D890,1,Параметры!S$53,Параметры!S$59)</f>
        <v>0</v>
      </c>
      <c r="T902" s="185">
        <f>T890*CHOOSE($D890,1,Параметры!T$53,Параметры!T$59)</f>
        <v>0</v>
      </c>
      <c r="U902" s="185">
        <f>U890*CHOOSE($D890,1,Параметры!U$53,Параметры!U$59)</f>
        <v>0</v>
      </c>
      <c r="V902" s="185">
        <f>V890*CHOOSE($D890,1,Параметры!V$53,Параметры!V$59)</f>
        <v>0</v>
      </c>
      <c r="W902" s="185">
        <f>W890*CHOOSE($D890,1,Параметры!W$53,Параметры!W$59)</f>
        <v>0</v>
      </c>
      <c r="X902" s="185">
        <f>X890*CHOOSE($D890,1,Параметры!X$53,Параметры!X$59)</f>
        <v>0</v>
      </c>
      <c r="Y902" s="185">
        <f>Y890*CHOOSE($D890,1,Параметры!Y$53,Параметры!Y$59)</f>
        <v>0</v>
      </c>
      <c r="Z902" s="185">
        <f>Z890*CHOOSE($D890,1,Параметры!Z$53,Параметры!Z$59)</f>
        <v>0</v>
      </c>
      <c r="AA902" s="185">
        <f>AA890*CHOOSE($D890,1,Параметры!AA$53,Параметры!AA$59)</f>
        <v>0</v>
      </c>
      <c r="AB902" s="185">
        <f>AB890*CHOOSE($D890,1,Параметры!AB$53,Параметры!AB$59)</f>
        <v>0</v>
      </c>
      <c r="AC902" s="185">
        <f>AC890*CHOOSE($D890,1,Параметры!AC$53,Параметры!AC$59)</f>
        <v>0</v>
      </c>
      <c r="AD902" s="185">
        <f>AD890*CHOOSE($D890,1,Параметры!AD$53,Параметры!AD$59)</f>
        <v>0</v>
      </c>
      <c r="AE902" s="185">
        <f>AE890*CHOOSE($D890,1,Параметры!AE$53,Параметры!AE$59)</f>
        <v>0</v>
      </c>
      <c r="AF902" s="185">
        <f>AF890*CHOOSE($D890,1,Параметры!AF$53,Параметры!AF$59)</f>
        <v>0</v>
      </c>
      <c r="AG902" s="185">
        <f>AG890*CHOOSE($D890,1,Параметры!AG$53,Параметры!AG$59)</f>
        <v>0</v>
      </c>
      <c r="AH902" s="185">
        <f>AH890*CHOOSE($D890,1,Параметры!AH$53,Параметры!AH$59)</f>
        <v>0</v>
      </c>
      <c r="AI902" s="185">
        <f>AI890*CHOOSE($D890,1,Параметры!AI$53,Параметры!AI$59)</f>
        <v>0</v>
      </c>
      <c r="AJ902" s="185">
        <f>AJ890*CHOOSE($D890,1,Параметры!AJ$53,Параметры!AJ$59)</f>
        <v>0</v>
      </c>
      <c r="AK902" s="185">
        <f>AK890*CHOOSE($D890,1,Параметры!AK$53,Параметры!AK$59)</f>
        <v>0</v>
      </c>
      <c r="AL902" s="185">
        <f>AL890*CHOOSE($D890,1,Параметры!AL$53,Параметры!AL$59)</f>
        <v>0</v>
      </c>
      <c r="AM902" s="185">
        <f>AM890*CHOOSE($D890,1,Параметры!AM$53,Параметры!AM$59)</f>
        <v>0</v>
      </c>
      <c r="AN902" s="185">
        <f>AN890*CHOOSE($D890,1,Параметры!AN$53,Параметры!AN$59)</f>
        <v>0</v>
      </c>
      <c r="AO902" s="185">
        <f>AO890*CHOOSE($D890,1,Параметры!AO$53,Параметры!AO$59)</f>
        <v>0</v>
      </c>
      <c r="AP902" s="185">
        <f>AP890*CHOOSE($D890,1,Параметры!AP$53,Параметры!AP$59)</f>
        <v>0</v>
      </c>
      <c r="AQ902" s="185">
        <f>AQ890*CHOOSE($D890,1,Параметры!AQ$53,Параметры!AQ$59)</f>
        <v>0</v>
      </c>
      <c r="AR902" s="185">
        <f>AR890*CHOOSE($D890,1,Параметры!AR$53,Параметры!AR$59)</f>
        <v>0</v>
      </c>
      <c r="AS902" s="185">
        <f>AS890*CHOOSE($D890,1,Параметры!AS$53,Параметры!AS$59)</f>
        <v>0</v>
      </c>
      <c r="AT902" s="185">
        <f>AT890*CHOOSE($D890,1,Параметры!AT$53,Параметры!AT$59)</f>
        <v>0</v>
      </c>
      <c r="AU902" s="185">
        <f>AU890*CHOOSE($D890,1,Параметры!AU$53,Параметры!AU$59)</f>
        <v>0</v>
      </c>
      <c r="AV902" s="185">
        <f>AV890*CHOOSE($D890,1,Параметры!AV$53,Параметры!AV$59)</f>
        <v>0</v>
      </c>
      <c r="AW902" s="185">
        <f>AW890*CHOOSE($D890,1,Параметры!AW$53,Параметры!AW$59)</f>
        <v>0</v>
      </c>
      <c r="AX902" s="185">
        <f>AX890*CHOOSE($D890,1,Параметры!AX$53,Параметры!AX$59)</f>
        <v>0</v>
      </c>
      <c r="AY902" s="185">
        <f>AY890*CHOOSE($D890,1,Параметры!AY$53,Параметры!AY$59)</f>
        <v>0</v>
      </c>
      <c r="AZ902" s="185">
        <f>AZ890*CHOOSE($D890,1,Параметры!AZ$53,Параметры!AZ$59)</f>
        <v>0</v>
      </c>
      <c r="BA902" s="185">
        <f>BA890*CHOOSE($D890,1,Параметры!BA$53,Параметры!BA$59)</f>
        <v>0</v>
      </c>
      <c r="BB902" s="185">
        <f>BB890*CHOOSE($D890,1,Параметры!BB$53,Параметры!BB$59)</f>
        <v>0</v>
      </c>
      <c r="BC902" s="185"/>
      <c r="BD902" s="193">
        <f>SUM(G902:BC902)</f>
        <v>4100000</v>
      </c>
    </row>
    <row r="903" spans="1:56" hidden="1" outlineLevel="1" x14ac:dyDescent="0.3">
      <c r="A903" s="187" t="str">
        <f ca="1">Language!A$912</f>
        <v>импортная пошлина</v>
      </c>
      <c r="B903" s="203"/>
      <c r="C903" s="163" t="str">
        <f t="shared" ca="1" si="3532"/>
        <v>руб.</v>
      </c>
      <c r="D903" s="174">
        <v>1</v>
      </c>
      <c r="E903" s="170" t="s">
        <v>765</v>
      </c>
      <c r="F903" s="170" t="s">
        <v>740</v>
      </c>
      <c r="G903" s="185">
        <f>G895*CHOOSE($D895,1,Параметры!G$53,Параметры!G$59)</f>
        <v>0</v>
      </c>
      <c r="H903" s="185">
        <f>H895*CHOOSE($D895,1,Параметры!H$53,Параметры!H$59)</f>
        <v>0</v>
      </c>
      <c r="I903" s="185">
        <f>I895*CHOOSE($D895,1,Параметры!I$53,Параметры!I$59)</f>
        <v>0</v>
      </c>
      <c r="J903" s="185">
        <f>J895*CHOOSE($D895,1,Параметры!J$53,Параметры!J$59)</f>
        <v>0</v>
      </c>
      <c r="K903" s="185">
        <f>K895*CHOOSE($D895,1,Параметры!K$53,Параметры!K$59)</f>
        <v>0</v>
      </c>
      <c r="L903" s="185">
        <f>L895*CHOOSE($D895,1,Параметры!L$53,Параметры!L$59)</f>
        <v>0</v>
      </c>
      <c r="M903" s="185">
        <f>M895*CHOOSE($D895,1,Параметры!M$53,Параметры!M$59)</f>
        <v>0</v>
      </c>
      <c r="N903" s="185">
        <f>N895*CHOOSE($D895,1,Параметры!N$53,Параметры!N$59)</f>
        <v>0</v>
      </c>
      <c r="O903" s="185">
        <f>O895*CHOOSE($D895,1,Параметры!O$53,Параметры!O$59)</f>
        <v>0</v>
      </c>
      <c r="P903" s="185">
        <f>P895*CHOOSE($D895,1,Параметры!P$53,Параметры!P$59)</f>
        <v>0</v>
      </c>
      <c r="Q903" s="185">
        <f>Q895*CHOOSE($D895,1,Параметры!Q$53,Параметры!Q$59)</f>
        <v>0</v>
      </c>
      <c r="R903" s="185">
        <f>R895*CHOOSE($D895,1,Параметры!R$53,Параметры!R$59)</f>
        <v>0</v>
      </c>
      <c r="S903" s="185">
        <f>S895*CHOOSE($D895,1,Параметры!S$53,Параметры!S$59)</f>
        <v>0</v>
      </c>
      <c r="T903" s="185">
        <f>T895*CHOOSE($D895,1,Параметры!T$53,Параметры!T$59)</f>
        <v>0</v>
      </c>
      <c r="U903" s="185">
        <f>U895*CHOOSE($D895,1,Параметры!U$53,Параметры!U$59)</f>
        <v>0</v>
      </c>
      <c r="V903" s="185">
        <f>V895*CHOOSE($D895,1,Параметры!V$53,Параметры!V$59)</f>
        <v>0</v>
      </c>
      <c r="W903" s="185">
        <f>W895*CHOOSE($D895,1,Параметры!W$53,Параметры!W$59)</f>
        <v>0</v>
      </c>
      <c r="X903" s="185">
        <f>X895*CHOOSE($D895,1,Параметры!X$53,Параметры!X$59)</f>
        <v>0</v>
      </c>
      <c r="Y903" s="185">
        <f>Y895*CHOOSE($D895,1,Параметры!Y$53,Параметры!Y$59)</f>
        <v>0</v>
      </c>
      <c r="Z903" s="185">
        <f>Z895*CHOOSE($D895,1,Параметры!Z$53,Параметры!Z$59)</f>
        <v>0</v>
      </c>
      <c r="AA903" s="185">
        <f>AA895*CHOOSE($D895,1,Параметры!AA$53,Параметры!AA$59)</f>
        <v>0</v>
      </c>
      <c r="AB903" s="185">
        <f>AB895*CHOOSE($D895,1,Параметры!AB$53,Параметры!AB$59)</f>
        <v>0</v>
      </c>
      <c r="AC903" s="185">
        <f>AC895*CHOOSE($D895,1,Параметры!AC$53,Параметры!AC$59)</f>
        <v>0</v>
      </c>
      <c r="AD903" s="185">
        <f>AD895*CHOOSE($D895,1,Параметры!AD$53,Параметры!AD$59)</f>
        <v>0</v>
      </c>
      <c r="AE903" s="185">
        <f>AE895*CHOOSE($D895,1,Параметры!AE$53,Параметры!AE$59)</f>
        <v>0</v>
      </c>
      <c r="AF903" s="185">
        <f>AF895*CHOOSE($D895,1,Параметры!AF$53,Параметры!AF$59)</f>
        <v>0</v>
      </c>
      <c r="AG903" s="185">
        <f>AG895*CHOOSE($D895,1,Параметры!AG$53,Параметры!AG$59)</f>
        <v>0</v>
      </c>
      <c r="AH903" s="185">
        <f>AH895*CHOOSE($D895,1,Параметры!AH$53,Параметры!AH$59)</f>
        <v>0</v>
      </c>
      <c r="AI903" s="185">
        <f>AI895*CHOOSE($D895,1,Параметры!AI$53,Параметры!AI$59)</f>
        <v>0</v>
      </c>
      <c r="AJ903" s="185">
        <f>AJ895*CHOOSE($D895,1,Параметры!AJ$53,Параметры!AJ$59)</f>
        <v>0</v>
      </c>
      <c r="AK903" s="185">
        <f>AK895*CHOOSE($D895,1,Параметры!AK$53,Параметры!AK$59)</f>
        <v>0</v>
      </c>
      <c r="AL903" s="185">
        <f>AL895*CHOOSE($D895,1,Параметры!AL$53,Параметры!AL$59)</f>
        <v>0</v>
      </c>
      <c r="AM903" s="185">
        <f>AM895*CHOOSE($D895,1,Параметры!AM$53,Параметры!AM$59)</f>
        <v>0</v>
      </c>
      <c r="AN903" s="185">
        <f>AN895*CHOOSE($D895,1,Параметры!AN$53,Параметры!AN$59)</f>
        <v>0</v>
      </c>
      <c r="AO903" s="185">
        <f>AO895*CHOOSE($D895,1,Параметры!AO$53,Параметры!AO$59)</f>
        <v>0</v>
      </c>
      <c r="AP903" s="185">
        <f>AP895*CHOOSE($D895,1,Параметры!AP$53,Параметры!AP$59)</f>
        <v>0</v>
      </c>
      <c r="AQ903" s="185">
        <f>AQ895*CHOOSE($D895,1,Параметры!AQ$53,Параметры!AQ$59)</f>
        <v>0</v>
      </c>
      <c r="AR903" s="185">
        <f>AR895*CHOOSE($D895,1,Параметры!AR$53,Параметры!AR$59)</f>
        <v>0</v>
      </c>
      <c r="AS903" s="185">
        <f>AS895*CHOOSE($D895,1,Параметры!AS$53,Параметры!AS$59)</f>
        <v>0</v>
      </c>
      <c r="AT903" s="185">
        <f>AT895*CHOOSE($D895,1,Параметры!AT$53,Параметры!AT$59)</f>
        <v>0</v>
      </c>
      <c r="AU903" s="185">
        <f>AU895*CHOOSE($D895,1,Параметры!AU$53,Параметры!AU$59)</f>
        <v>0</v>
      </c>
      <c r="AV903" s="185">
        <f>AV895*CHOOSE($D895,1,Параметры!AV$53,Параметры!AV$59)</f>
        <v>0</v>
      </c>
      <c r="AW903" s="185">
        <f>AW895*CHOOSE($D895,1,Параметры!AW$53,Параметры!AW$59)</f>
        <v>0</v>
      </c>
      <c r="AX903" s="185">
        <f>AX895*CHOOSE($D895,1,Параметры!AX$53,Параметры!AX$59)</f>
        <v>0</v>
      </c>
      <c r="AY903" s="185">
        <f>AY895*CHOOSE($D895,1,Параметры!AY$53,Параметры!AY$59)</f>
        <v>0</v>
      </c>
      <c r="AZ903" s="185">
        <f>AZ895*CHOOSE($D895,1,Параметры!AZ$53,Параметры!AZ$59)</f>
        <v>0</v>
      </c>
      <c r="BA903" s="185">
        <f>BA895*CHOOSE($D895,1,Параметры!BA$53,Параметры!BA$59)</f>
        <v>0</v>
      </c>
      <c r="BB903" s="185">
        <f>BB895*CHOOSE($D895,1,Параметры!BB$53,Параметры!BB$59)</f>
        <v>0</v>
      </c>
      <c r="BC903" s="185"/>
      <c r="BD903" s="193">
        <f>SUM(G903:BC903)</f>
        <v>0</v>
      </c>
    </row>
    <row r="904" spans="1:56" hidden="1" outlineLevel="1" x14ac:dyDescent="0.3">
      <c r="A904" s="184" t="str">
        <f ca="1">Language!A$913</f>
        <v>незавершенные инвестиции</v>
      </c>
      <c r="B904" s="170"/>
      <c r="C904" s="163" t="str">
        <f t="shared" ca="1" si="3532"/>
        <v>руб.</v>
      </c>
      <c r="D904" s="174">
        <v>1</v>
      </c>
      <c r="E904" s="170" t="s">
        <v>754</v>
      </c>
      <c r="F904" s="170" t="s">
        <v>741</v>
      </c>
      <c r="G904" s="185">
        <f>IF(SUM($G897:G897)&gt;0.01,0,MAX(SUM($G888:G888)+$B889-SUM($G890:G890),0)+IF($B893=0,0,MAX(SUM($G895:G895)-SUM($G890:G890)*$B895,0)))*CHOOSE($D888,1,Параметры!G$53,Параметры!G$59)</f>
        <v>0</v>
      </c>
      <c r="H904" s="185">
        <f>IF(SUM($G897:H897)&gt;0.01,0,MAX(SUM($G888:H888)+$B889-SUM($G890:H890),0)+IF($B893=0,0,MAX(SUM($G895:H895)-SUM($G890:H890)*$B895,0)))*CHOOSE($D888,1,Параметры!H$53,Параметры!H$59)</f>
        <v>1366666.6666666667</v>
      </c>
      <c r="I904" s="185">
        <f>IF(SUM($G897:I897)&gt;0.01,0,MAX(SUM($G888:I888)+$B889-SUM($G890:I890),0)+IF($B893=0,0,MAX(SUM($G895:I895)-SUM($G890:I890)*$B895,0)))*CHOOSE($D888,1,Параметры!I$53,Параметры!I$59)</f>
        <v>2733333.3333333335</v>
      </c>
      <c r="J904" s="185">
        <f>IF(SUM($G897:J897)&gt;0.01,0,MAX(SUM($G888:J888)+$B889-SUM($G890:J890),0)+IF($B893=0,0,MAX(SUM($G895:J895)-SUM($G890:J890)*$B895,0)))*CHOOSE($D888,1,Параметры!J$53,Параметры!J$59)</f>
        <v>4100000</v>
      </c>
      <c r="K904" s="185">
        <f>IF(SUM($G897:K897)&gt;0.01,0,MAX(SUM($G888:K888)+$B889-SUM($G890:K890),0)+IF($B893=0,0,MAX(SUM($G895:K895)-SUM($G890:K890)*$B895,0)))*CHOOSE($D888,1,Параметры!K$53,Параметры!K$59)</f>
        <v>4100000</v>
      </c>
      <c r="L904" s="185">
        <f>IF(SUM($G897:L897)&gt;0.01,0,MAX(SUM($G888:L888)+$B889-SUM($G890:L890),0)+IF($B893=0,0,MAX(SUM($G895:L895)-SUM($G890:L890)*$B895,0)))*CHOOSE($D888,1,Параметры!L$53,Параметры!L$59)</f>
        <v>4100000</v>
      </c>
      <c r="M904" s="185">
        <f>IF(SUM($G897:M897)&gt;0.01,0,MAX(SUM($G888:M888)+$B889-SUM($G890:M890),0)+IF($B893=0,0,MAX(SUM($G895:M895)-SUM($G890:M890)*$B895,0)))*CHOOSE($D888,1,Параметры!M$53,Параметры!M$59)</f>
        <v>0</v>
      </c>
      <c r="N904" s="185">
        <f>IF(SUM($G897:N897)&gt;0.01,0,MAX(SUM($G888:N888)+$B889-SUM($G890:N890),0)+IF($B893=0,0,MAX(SUM($G895:N895)-SUM($G890:N890)*$B895,0)))*CHOOSE($D888,1,Параметры!N$53,Параметры!N$59)</f>
        <v>0</v>
      </c>
      <c r="O904" s="185">
        <f>IF(SUM($G897:O897)&gt;0.01,0,MAX(SUM($G888:O888)+$B889-SUM($G890:O890),0)+IF($B893=0,0,MAX(SUM($G895:O895)-SUM($G890:O890)*$B895,0)))*CHOOSE($D888,1,Параметры!O$53,Параметры!O$59)</f>
        <v>0</v>
      </c>
      <c r="P904" s="185">
        <f>IF(SUM($G897:P897)&gt;0.01,0,MAX(SUM($G888:P888)+$B889-SUM($G890:P890),0)+IF($B893=0,0,MAX(SUM($G895:P895)-SUM($G890:P890)*$B895,0)))*CHOOSE($D888,1,Параметры!P$53,Параметры!P$59)</f>
        <v>0</v>
      </c>
      <c r="Q904" s="185">
        <f>IF(SUM($G897:Q897)&gt;0.01,0,MAX(SUM($G888:Q888)+$B889-SUM($G890:Q890),0)+IF($B893=0,0,MAX(SUM($G895:Q895)-SUM($G890:Q890)*$B895,0)))*CHOOSE($D888,1,Параметры!Q$53,Параметры!Q$59)</f>
        <v>0</v>
      </c>
      <c r="R904" s="185">
        <f>IF(SUM($G897:R897)&gt;0.01,0,MAX(SUM($G888:R888)+$B889-SUM($G890:R890),0)+IF($B893=0,0,MAX(SUM($G895:R895)-SUM($G890:R890)*$B895,0)))*CHOOSE($D888,1,Параметры!R$53,Параметры!R$59)</f>
        <v>0</v>
      </c>
      <c r="S904" s="185">
        <f>IF(SUM($G897:S897)&gt;0.01,0,MAX(SUM($G888:S888)+$B889-SUM($G890:S890),0)+IF($B893=0,0,MAX(SUM($G895:S895)-SUM($G890:S890)*$B895,0)))*CHOOSE($D888,1,Параметры!S$53,Параметры!S$59)</f>
        <v>0</v>
      </c>
      <c r="T904" s="185">
        <f>IF(SUM($G897:T897)&gt;0.01,0,MAX(SUM($G888:T888)+$B889-SUM($G890:T890),0)+IF($B893=0,0,MAX(SUM($G895:T895)-SUM($G890:T890)*$B895,0)))*CHOOSE($D888,1,Параметры!T$53,Параметры!T$59)</f>
        <v>0</v>
      </c>
      <c r="U904" s="185">
        <f>IF(SUM($G897:U897)&gt;0.01,0,MAX(SUM($G888:U888)+$B889-SUM($G890:U890),0)+IF($B893=0,0,MAX(SUM($G895:U895)-SUM($G890:U890)*$B895,0)))*CHOOSE($D888,1,Параметры!U$53,Параметры!U$59)</f>
        <v>0</v>
      </c>
      <c r="V904" s="185">
        <f>IF(SUM($G897:V897)&gt;0.01,0,MAX(SUM($G888:V888)+$B889-SUM($G890:V890),0)+IF($B893=0,0,MAX(SUM($G895:V895)-SUM($G890:V890)*$B895,0)))*CHOOSE($D888,1,Параметры!V$53,Параметры!V$59)</f>
        <v>0</v>
      </c>
      <c r="W904" s="185">
        <f>IF(SUM($G897:W897)&gt;0.01,0,MAX(SUM($G888:W888)+$B889-SUM($G890:W890),0)+IF($B893=0,0,MAX(SUM($G895:W895)-SUM($G890:W890)*$B895,0)))*CHOOSE($D888,1,Параметры!W$53,Параметры!W$59)</f>
        <v>0</v>
      </c>
      <c r="X904" s="185">
        <f>IF(SUM($G897:X897)&gt;0.01,0,MAX(SUM($G888:X888)+$B889-SUM($G890:X890),0)+IF($B893=0,0,MAX(SUM($G895:X895)-SUM($G890:X890)*$B895,0)))*CHOOSE($D888,1,Параметры!X$53,Параметры!X$59)</f>
        <v>0</v>
      </c>
      <c r="Y904" s="185">
        <f>IF(SUM($G897:Y897)&gt;0.01,0,MAX(SUM($G888:Y888)+$B889-SUM($G890:Y890),0)+IF($B893=0,0,MAX(SUM($G895:Y895)-SUM($G890:Y890)*$B895,0)))*CHOOSE($D888,1,Параметры!Y$53,Параметры!Y$59)</f>
        <v>0</v>
      </c>
      <c r="Z904" s="185">
        <f>IF(SUM($G897:Z897)&gt;0.01,0,MAX(SUM($G888:Z888)+$B889-SUM($G890:Z890),0)+IF($B893=0,0,MAX(SUM($G895:Z895)-SUM($G890:Z890)*$B895,0)))*CHOOSE($D888,1,Параметры!Z$53,Параметры!Z$59)</f>
        <v>0</v>
      </c>
      <c r="AA904" s="185">
        <f>IF(SUM($G897:AA897)&gt;0.01,0,MAX(SUM($G888:AA888)+$B889-SUM($G890:AA890),0)+IF($B893=0,0,MAX(SUM($G895:AA895)-SUM($G890:AA890)*$B895,0)))*CHOOSE($D888,1,Параметры!AA$53,Параметры!AA$59)</f>
        <v>0</v>
      </c>
      <c r="AB904" s="185">
        <f>IF(SUM($G897:AB897)&gt;0.01,0,MAX(SUM($G888:AB888)+$B889-SUM($G890:AB890),0)+IF($B893=0,0,MAX(SUM($G895:AB895)-SUM($G890:AB890)*$B895,0)))*CHOOSE($D888,1,Параметры!AB$53,Параметры!AB$59)</f>
        <v>0</v>
      </c>
      <c r="AC904" s="185">
        <f>IF(SUM($G897:AC897)&gt;0.01,0,MAX(SUM($G888:AC888)+$B889-SUM($G890:AC890),0)+IF($B893=0,0,MAX(SUM($G895:AC895)-SUM($G890:AC890)*$B895,0)))*CHOOSE($D888,1,Параметры!AC$53,Параметры!AC$59)</f>
        <v>0</v>
      </c>
      <c r="AD904" s="185">
        <f>IF(SUM($G897:AD897)&gt;0.01,0,MAX(SUM($G888:AD888)+$B889-SUM($G890:AD890),0)+IF($B893=0,0,MAX(SUM($G895:AD895)-SUM($G890:AD890)*$B895,0)))*CHOOSE($D888,1,Параметры!AD$53,Параметры!AD$59)</f>
        <v>0</v>
      </c>
      <c r="AE904" s="185">
        <f>IF(SUM($G897:AE897)&gt;0.01,0,MAX(SUM($G888:AE888)+$B889-SUM($G890:AE890),0)+IF($B893=0,0,MAX(SUM($G895:AE895)-SUM($G890:AE890)*$B895,0)))*CHOOSE($D888,1,Параметры!AE$53,Параметры!AE$59)</f>
        <v>0</v>
      </c>
      <c r="AF904" s="185">
        <f>IF(SUM($G897:AF897)&gt;0.01,0,MAX(SUM($G888:AF888)+$B889-SUM($G890:AF890),0)+IF($B893=0,0,MAX(SUM($G895:AF895)-SUM($G890:AF890)*$B895,0)))*CHOOSE($D888,1,Параметры!AF$53,Параметры!AF$59)</f>
        <v>0</v>
      </c>
      <c r="AG904" s="185">
        <f>IF(SUM($G897:AG897)&gt;0.01,0,MAX(SUM($G888:AG888)+$B889-SUM($G890:AG890),0)+IF($B893=0,0,MAX(SUM($G895:AG895)-SUM($G890:AG890)*$B895,0)))*CHOOSE($D888,1,Параметры!AG$53,Параметры!AG$59)</f>
        <v>0</v>
      </c>
      <c r="AH904" s="185">
        <f>IF(SUM($G897:AH897)&gt;0.01,0,MAX(SUM($G888:AH888)+$B889-SUM($G890:AH890),0)+IF($B893=0,0,MAX(SUM($G895:AH895)-SUM($G890:AH890)*$B895,0)))*CHOOSE($D888,1,Параметры!AH$53,Параметры!AH$59)</f>
        <v>0</v>
      </c>
      <c r="AI904" s="185">
        <f>IF(SUM($G897:AI897)&gt;0.01,0,MAX(SUM($G888:AI888)+$B889-SUM($G890:AI890),0)+IF($B893=0,0,MAX(SUM($G895:AI895)-SUM($G890:AI890)*$B895,0)))*CHOOSE($D888,1,Параметры!AI$53,Параметры!AI$59)</f>
        <v>0</v>
      </c>
      <c r="AJ904" s="185">
        <f>IF(SUM($G897:AJ897)&gt;0.01,0,MAX(SUM($G888:AJ888)+$B889-SUM($G890:AJ890),0)+IF($B893=0,0,MAX(SUM($G895:AJ895)-SUM($G890:AJ890)*$B895,0)))*CHOOSE($D888,1,Параметры!AJ$53,Параметры!AJ$59)</f>
        <v>0</v>
      </c>
      <c r="AK904" s="185">
        <f>IF(SUM($G897:AK897)&gt;0.01,0,MAX(SUM($G888:AK888)+$B889-SUM($G890:AK890),0)+IF($B893=0,0,MAX(SUM($G895:AK895)-SUM($G890:AK890)*$B895,0)))*CHOOSE($D888,1,Параметры!AK$53,Параметры!AK$59)</f>
        <v>0</v>
      </c>
      <c r="AL904" s="185">
        <f>IF(SUM($G897:AL897)&gt;0.01,0,MAX(SUM($G888:AL888)+$B889-SUM($G890:AL890),0)+IF($B893=0,0,MAX(SUM($G895:AL895)-SUM($G890:AL890)*$B895,0)))*CHOOSE($D888,1,Параметры!AL$53,Параметры!AL$59)</f>
        <v>0</v>
      </c>
      <c r="AM904" s="185">
        <f>IF(SUM($G897:AM897)&gt;0.01,0,MAX(SUM($G888:AM888)+$B889-SUM($G890:AM890),0)+IF($B893=0,0,MAX(SUM($G895:AM895)-SUM($G890:AM890)*$B895,0)))*CHOOSE($D888,1,Параметры!AM$53,Параметры!AM$59)</f>
        <v>0</v>
      </c>
      <c r="AN904" s="185">
        <f>IF(SUM($G897:AN897)&gt;0.01,0,MAX(SUM($G888:AN888)+$B889-SUM($G890:AN890),0)+IF($B893=0,0,MAX(SUM($G895:AN895)-SUM($G890:AN890)*$B895,0)))*CHOOSE($D888,1,Параметры!AN$53,Параметры!AN$59)</f>
        <v>0</v>
      </c>
      <c r="AO904" s="185">
        <f>IF(SUM($G897:AO897)&gt;0.01,0,MAX(SUM($G888:AO888)+$B889-SUM($G890:AO890),0)+IF($B893=0,0,MAX(SUM($G895:AO895)-SUM($G890:AO890)*$B895,0)))*CHOOSE($D888,1,Параметры!AO$53,Параметры!AO$59)</f>
        <v>0</v>
      </c>
      <c r="AP904" s="185">
        <f>IF(SUM($G897:AP897)&gt;0.01,0,MAX(SUM($G888:AP888)+$B889-SUM($G890:AP890),0)+IF($B893=0,0,MAX(SUM($G895:AP895)-SUM($G890:AP890)*$B895,0)))*CHOOSE($D888,1,Параметры!AP$53,Параметры!AP$59)</f>
        <v>0</v>
      </c>
      <c r="AQ904" s="185">
        <f>IF(SUM($G897:AQ897)&gt;0.01,0,MAX(SUM($G888:AQ888)+$B889-SUM($G890:AQ890),0)+IF($B893=0,0,MAX(SUM($G895:AQ895)-SUM($G890:AQ890)*$B895,0)))*CHOOSE($D888,1,Параметры!AQ$53,Параметры!AQ$59)</f>
        <v>0</v>
      </c>
      <c r="AR904" s="185">
        <f>IF(SUM($G897:AR897)&gt;0.01,0,MAX(SUM($G888:AR888)+$B889-SUM($G890:AR890),0)+IF($B893=0,0,MAX(SUM($G895:AR895)-SUM($G890:AR890)*$B895,0)))*CHOOSE($D888,1,Параметры!AR$53,Параметры!AR$59)</f>
        <v>0</v>
      </c>
      <c r="AS904" s="185">
        <f>IF(SUM($G897:AS897)&gt;0.01,0,MAX(SUM($G888:AS888)+$B889-SUM($G890:AS890),0)+IF($B893=0,0,MAX(SUM($G895:AS895)-SUM($G890:AS890)*$B895,0)))*CHOOSE($D888,1,Параметры!AS$53,Параметры!AS$59)</f>
        <v>0</v>
      </c>
      <c r="AT904" s="185">
        <f>IF(SUM($G897:AT897)&gt;0.01,0,MAX(SUM($G888:AT888)+$B889-SUM($G890:AT890),0)+IF($B893=0,0,MAX(SUM($G895:AT895)-SUM($G890:AT890)*$B895,0)))*CHOOSE($D888,1,Параметры!AT$53,Параметры!AT$59)</f>
        <v>0</v>
      </c>
      <c r="AU904" s="185">
        <f>IF(SUM($G897:AU897)&gt;0.01,0,MAX(SUM($G888:AU888)+$B889-SUM($G890:AU890),0)+IF($B893=0,0,MAX(SUM($G895:AU895)-SUM($G890:AU890)*$B895,0)))*CHOOSE($D888,1,Параметры!AU$53,Параметры!AU$59)</f>
        <v>0</v>
      </c>
      <c r="AV904" s="185">
        <f>IF(SUM($G897:AV897)&gt;0.01,0,MAX(SUM($G888:AV888)+$B889-SUM($G890:AV890),0)+IF($B893=0,0,MAX(SUM($G895:AV895)-SUM($G890:AV890)*$B895,0)))*CHOOSE($D888,1,Параметры!AV$53,Параметры!AV$59)</f>
        <v>0</v>
      </c>
      <c r="AW904" s="185">
        <f>IF(SUM($G897:AW897)&gt;0.01,0,MAX(SUM($G888:AW888)+$B889-SUM($G890:AW890),0)+IF($B893=0,0,MAX(SUM($G895:AW895)-SUM($G890:AW890)*$B895,0)))*CHOOSE($D888,1,Параметры!AW$53,Параметры!AW$59)</f>
        <v>0</v>
      </c>
      <c r="AX904" s="185">
        <f>IF(SUM($G897:AX897)&gt;0.01,0,MAX(SUM($G888:AX888)+$B889-SUM($G890:AX890),0)+IF($B893=0,0,MAX(SUM($G895:AX895)-SUM($G890:AX890)*$B895,0)))*CHOOSE($D888,1,Параметры!AX$53,Параметры!AX$59)</f>
        <v>0</v>
      </c>
      <c r="AY904" s="185">
        <f>IF(SUM($G897:AY897)&gt;0.01,0,MAX(SUM($G888:AY888)+$B889-SUM($G890:AY890),0)+IF($B893=0,0,MAX(SUM($G895:AY895)-SUM($G890:AY890)*$B895,0)))*CHOOSE($D888,1,Параметры!AY$53,Параметры!AY$59)</f>
        <v>0</v>
      </c>
      <c r="AZ904" s="185">
        <f>IF(SUM($G897:AZ897)&gt;0.01,0,MAX(SUM($G888:AZ888)+$B889-SUM($G890:AZ890),0)+IF($B893=0,0,MAX(SUM($G895:AZ895)-SUM($G890:AZ890)*$B895,0)))*CHOOSE($D888,1,Параметры!AZ$53,Параметры!AZ$59)</f>
        <v>0</v>
      </c>
      <c r="BA904" s="185">
        <f>IF(SUM($G897:BA897)&gt;0.01,0,MAX(SUM($G888:BA888)+$B889-SUM($G890:BA890),0)+IF($B893=0,0,MAX(SUM($G895:BA895)-SUM($G890:BA890)*$B895,0)))*CHOOSE($D888,1,Параметры!BA$53,Параметры!BA$59)</f>
        <v>0</v>
      </c>
      <c r="BB904" s="185">
        <f>IF(SUM($G897:BB897)&gt;0.01,0,MAX(SUM($G888:BB888)+$B889-SUM($G890:BB890),0)+IF($B893=0,0,MAX(SUM($G895:BB895)-SUM($G890:BB890)*$B895,0)))*CHOOSE($D888,1,Параметры!BB$53,Параметры!BB$59)</f>
        <v>0</v>
      </c>
      <c r="BC904" s="185"/>
      <c r="BD904" s="186"/>
    </row>
    <row r="905" spans="1:56" hidden="1" outlineLevel="1" x14ac:dyDescent="0.3">
      <c r="A905" s="184" t="str">
        <f ca="1">Language!A$914</f>
        <v>кредиторская задолженность</v>
      </c>
      <c r="B905" s="170"/>
      <c r="C905" s="163" t="str">
        <f t="shared" ca="1" si="3532"/>
        <v>руб.</v>
      </c>
      <c r="D905" s="174">
        <v>1</v>
      </c>
      <c r="E905" s="170" t="s">
        <v>752</v>
      </c>
      <c r="F905" s="170" t="s">
        <v>741</v>
      </c>
      <c r="G905" s="185">
        <f>IF(SUM($G897:G897)&gt;0.01,0,MAX(SUM($G890:G890)-SUM($G888:G888)-$B889,0)*CHOOSE($D888,1,Параметры!G$53,Параметры!G$59)+IF($B893=0,0,MAX(SUM($G890:G890)*$B895-SUM($G895:G895),0)*CHOOSE($D888,1,Параметры!G$53,Параметры!G$59)+MAX(SUM($G910:G910)-SUM($G909:G909),0)))*IF($B893=0,1+G896,1)</f>
        <v>0</v>
      </c>
      <c r="H905" s="185">
        <f>IF(SUM($G897:H897)&gt;0.01,0,MAX(SUM($G890:H890)-SUM($G888:H888)-$B889,0)*CHOOSE($D888,1,Параметры!H$53,Параметры!H$59)+IF($B893=0,0,MAX(SUM($G890:H890)*$B895-SUM($G895:H895),0)*CHOOSE($D888,1,Параметры!H$53,Параметры!H$59)+MAX(SUM($G910:H910)-SUM($G909:H909),0)))*IF($B893=0,1+H896,1)</f>
        <v>0</v>
      </c>
      <c r="I905" s="185">
        <f>IF(SUM($G897:I897)&gt;0.01,0,MAX(SUM($G890:I890)-SUM($G888:I888)-$B889,0)*CHOOSE($D888,1,Параметры!I$53,Параметры!I$59)+IF($B893=0,0,MAX(SUM($G890:I890)*$B895-SUM($G895:I895),0)*CHOOSE($D888,1,Параметры!I$53,Параметры!I$59)+MAX(SUM($G910:I910)-SUM($G909:I909),0)))*IF($B893=0,1+I896,1)</f>
        <v>0</v>
      </c>
      <c r="J905" s="185">
        <f>IF(SUM($G897:J897)&gt;0.01,0,MAX(SUM($G890:J890)-SUM($G888:J888)-$B889,0)*CHOOSE($D888,1,Параметры!J$53,Параметры!J$59)+IF($B893=0,0,MAX(SUM($G890:J890)*$B895-SUM($G895:J895),0)*CHOOSE($D888,1,Параметры!J$53,Параметры!J$59)+MAX(SUM($G910:J910)-SUM($G909:J909),0)))*IF($B893=0,1+J896,1)</f>
        <v>0</v>
      </c>
      <c r="K905" s="185">
        <f>IF(SUM($G897:K897)&gt;0.01,0,MAX(SUM($G890:K890)-SUM($G888:K888)-$B889,0)*CHOOSE($D888,1,Параметры!K$53,Параметры!K$59)+IF($B893=0,0,MAX(SUM($G890:K890)*$B895-SUM($G895:K895),0)*CHOOSE($D888,1,Параметры!K$53,Параметры!K$59)+MAX(SUM($G910:K910)-SUM($G909:K909),0)))*IF($B893=0,1+K896,1)</f>
        <v>0</v>
      </c>
      <c r="L905" s="185">
        <f>IF(SUM($G897:L897)&gt;0.01,0,MAX(SUM($G890:L890)-SUM($G888:L888)-$B889,0)*CHOOSE($D888,1,Параметры!L$53,Параметры!L$59)+IF($B893=0,0,MAX(SUM($G890:L890)*$B895-SUM($G895:L895),0)*CHOOSE($D888,1,Параметры!L$53,Параметры!L$59)+MAX(SUM($G910:L910)-SUM($G909:L909),0)))*IF($B893=0,1+L896,1)</f>
        <v>0</v>
      </c>
      <c r="M905" s="185">
        <f>IF(SUM($G897:M897)&gt;0.01,0,MAX(SUM($G890:M890)-SUM($G888:M888)-$B889,0)*CHOOSE($D888,1,Параметры!M$53,Параметры!M$59)+IF($B893=0,0,MAX(SUM($G890:M890)*$B895-SUM($G895:M895),0)*CHOOSE($D888,1,Параметры!M$53,Параметры!M$59)+MAX(SUM($G910:M910)-SUM($G909:M909),0)))*IF($B893=0,1+M896,1)</f>
        <v>0</v>
      </c>
      <c r="N905" s="185">
        <f>IF(SUM($G897:N897)&gt;0.01,0,MAX(SUM($G890:N890)-SUM($G888:N888)-$B889,0)*CHOOSE($D888,1,Параметры!N$53,Параметры!N$59)+IF($B893=0,0,MAX(SUM($G890:N890)*$B895-SUM($G895:N895),0)*CHOOSE($D888,1,Параметры!N$53,Параметры!N$59)+MAX(SUM($G910:N910)-SUM($G909:N909),0)))*IF($B893=0,1+N896,1)</f>
        <v>0</v>
      </c>
      <c r="O905" s="185">
        <f>IF(SUM($G897:O897)&gt;0.01,0,MAX(SUM($G890:O890)-SUM($G888:O888)-$B889,0)*CHOOSE($D888,1,Параметры!O$53,Параметры!O$59)+IF($B893=0,0,MAX(SUM($G890:O890)*$B895-SUM($G895:O895),0)*CHOOSE($D888,1,Параметры!O$53,Параметры!O$59)+MAX(SUM($G910:O910)-SUM($G909:O909),0)))*IF($B893=0,1+O896,1)</f>
        <v>0</v>
      </c>
      <c r="P905" s="185">
        <f>IF(SUM($G897:P897)&gt;0.01,0,MAX(SUM($G890:P890)-SUM($G888:P888)-$B889,0)*CHOOSE($D888,1,Параметры!P$53,Параметры!P$59)+IF($B893=0,0,MAX(SUM($G890:P890)*$B895-SUM($G895:P895),0)*CHOOSE($D888,1,Параметры!P$53,Параметры!P$59)+MAX(SUM($G910:P910)-SUM($G909:P909),0)))*IF($B893=0,1+P896,1)</f>
        <v>0</v>
      </c>
      <c r="Q905" s="185">
        <f>IF(SUM($G897:Q897)&gt;0.01,0,MAX(SUM($G890:Q890)-SUM($G888:Q888)-$B889,0)*CHOOSE($D888,1,Параметры!Q$53,Параметры!Q$59)+IF($B893=0,0,MAX(SUM($G890:Q890)*$B895-SUM($G895:Q895),0)*CHOOSE($D888,1,Параметры!Q$53,Параметры!Q$59)+MAX(SUM($G910:Q910)-SUM($G909:Q909),0)))*IF($B893=0,1+Q896,1)</f>
        <v>0</v>
      </c>
      <c r="R905" s="185">
        <f>IF(SUM($G897:R897)&gt;0.01,0,MAX(SUM($G890:R890)-SUM($G888:R888)-$B889,0)*CHOOSE($D888,1,Параметры!R$53,Параметры!R$59)+IF($B893=0,0,MAX(SUM($G890:R890)*$B895-SUM($G895:R895),0)*CHOOSE($D888,1,Параметры!R$53,Параметры!R$59)+MAX(SUM($G910:R910)-SUM($G909:R909),0)))*IF($B893=0,1+R896,1)</f>
        <v>0</v>
      </c>
      <c r="S905" s="185">
        <f>IF(SUM($G897:S897)&gt;0.01,0,MAX(SUM($G890:S890)-SUM($G888:S888)-$B889,0)*CHOOSE($D888,1,Параметры!S$53,Параметры!S$59)+IF($B893=0,0,MAX(SUM($G890:S890)*$B895-SUM($G895:S895),0)*CHOOSE($D888,1,Параметры!S$53,Параметры!S$59)+MAX(SUM($G910:S910)-SUM($G909:S909),0)))*IF($B893=0,1+S896,1)</f>
        <v>0</v>
      </c>
      <c r="T905" s="185">
        <f>IF(SUM($G897:T897)&gt;0.01,0,MAX(SUM($G890:T890)-SUM($G888:T888)-$B889,0)*CHOOSE($D888,1,Параметры!T$53,Параметры!T$59)+IF($B893=0,0,MAX(SUM($G890:T890)*$B895-SUM($G895:T895),0)*CHOOSE($D888,1,Параметры!T$53,Параметры!T$59)+MAX(SUM($G910:T910)-SUM($G909:T909),0)))*IF($B893=0,1+T896,1)</f>
        <v>0</v>
      </c>
      <c r="U905" s="185">
        <f>IF(SUM($G897:U897)&gt;0.01,0,MAX(SUM($G890:U890)-SUM($G888:U888)-$B889,0)*CHOOSE($D888,1,Параметры!U$53,Параметры!U$59)+IF($B893=0,0,MAX(SUM($G890:U890)*$B895-SUM($G895:U895),0)*CHOOSE($D888,1,Параметры!U$53,Параметры!U$59)+MAX(SUM($G910:U910)-SUM($G909:U909),0)))*IF($B893=0,1+U896,1)</f>
        <v>0</v>
      </c>
      <c r="V905" s="185">
        <f>IF(SUM($G897:V897)&gt;0.01,0,MAX(SUM($G890:V890)-SUM($G888:V888)-$B889,0)*CHOOSE($D888,1,Параметры!V$53,Параметры!V$59)+IF($B893=0,0,MAX(SUM($G890:V890)*$B895-SUM($G895:V895),0)*CHOOSE($D888,1,Параметры!V$53,Параметры!V$59)+MAX(SUM($G910:V910)-SUM($G909:V909),0)))*IF($B893=0,1+V896,1)</f>
        <v>0</v>
      </c>
      <c r="W905" s="185">
        <f>IF(SUM($G897:W897)&gt;0.01,0,MAX(SUM($G890:W890)-SUM($G888:W888)-$B889,0)*CHOOSE($D888,1,Параметры!W$53,Параметры!W$59)+IF($B893=0,0,MAX(SUM($G890:W890)*$B895-SUM($G895:W895),0)*CHOOSE($D888,1,Параметры!W$53,Параметры!W$59)+MAX(SUM($G910:W910)-SUM($G909:W909),0)))*IF($B893=0,1+W896,1)</f>
        <v>0</v>
      </c>
      <c r="X905" s="185">
        <f>IF(SUM($G897:X897)&gt;0.01,0,MAX(SUM($G890:X890)-SUM($G888:X888)-$B889,0)*CHOOSE($D888,1,Параметры!X$53,Параметры!X$59)+IF($B893=0,0,MAX(SUM($G890:X890)*$B895-SUM($G895:X895),0)*CHOOSE($D888,1,Параметры!X$53,Параметры!X$59)+MAX(SUM($G910:X910)-SUM($G909:X909),0)))*IF($B893=0,1+X896,1)</f>
        <v>0</v>
      </c>
      <c r="Y905" s="185">
        <f>IF(SUM($G897:Y897)&gt;0.01,0,MAX(SUM($G890:Y890)-SUM($G888:Y888)-$B889,0)*CHOOSE($D888,1,Параметры!Y$53,Параметры!Y$59)+IF($B893=0,0,MAX(SUM($G890:Y890)*$B895-SUM($G895:Y895),0)*CHOOSE($D888,1,Параметры!Y$53,Параметры!Y$59)+MAX(SUM($G910:Y910)-SUM($G909:Y909),0)))*IF($B893=0,1+Y896,1)</f>
        <v>0</v>
      </c>
      <c r="Z905" s="185">
        <f>IF(SUM($G897:Z897)&gt;0.01,0,MAX(SUM($G890:Z890)-SUM($G888:Z888)-$B889,0)*CHOOSE($D888,1,Параметры!Z$53,Параметры!Z$59)+IF($B893=0,0,MAX(SUM($G890:Z890)*$B895-SUM($G895:Z895),0)*CHOOSE($D888,1,Параметры!Z$53,Параметры!Z$59)+MAX(SUM($G910:Z910)-SUM($G909:Z909),0)))*IF($B893=0,1+Z896,1)</f>
        <v>0</v>
      </c>
      <c r="AA905" s="185">
        <f>IF(SUM($G897:AA897)&gt;0.01,0,MAX(SUM($G890:AA890)-SUM($G888:AA888)-$B889,0)*CHOOSE($D888,1,Параметры!AA$53,Параметры!AA$59)+IF($B893=0,0,MAX(SUM($G890:AA890)*$B895-SUM($G895:AA895),0)*CHOOSE($D888,1,Параметры!AA$53,Параметры!AA$59)+MAX(SUM($G910:AA910)-SUM($G909:AA909),0)))*IF($B893=0,1+AA896,1)</f>
        <v>0</v>
      </c>
      <c r="AB905" s="185">
        <f>IF(SUM($G897:AB897)&gt;0.01,0,MAX(SUM($G890:AB890)-SUM($G888:AB888)-$B889,0)*CHOOSE($D888,1,Параметры!AB$53,Параметры!AB$59)+IF($B893=0,0,MAX(SUM($G890:AB890)*$B895-SUM($G895:AB895),0)*CHOOSE($D888,1,Параметры!AB$53,Параметры!AB$59)+MAX(SUM($G910:AB910)-SUM($G909:AB909),0)))*IF($B893=0,1+AB896,1)</f>
        <v>0</v>
      </c>
      <c r="AC905" s="185">
        <f>IF(SUM($G897:AC897)&gt;0.01,0,MAX(SUM($G890:AC890)-SUM($G888:AC888)-$B889,0)*CHOOSE($D888,1,Параметры!AC$53,Параметры!AC$59)+IF($B893=0,0,MAX(SUM($G890:AC890)*$B895-SUM($G895:AC895),0)*CHOOSE($D888,1,Параметры!AC$53,Параметры!AC$59)+MAX(SUM($G910:AC910)-SUM($G909:AC909),0)))*IF($B893=0,1+AC896,1)</f>
        <v>0</v>
      </c>
      <c r="AD905" s="185">
        <f>IF(SUM($G897:AD897)&gt;0.01,0,MAX(SUM($G890:AD890)-SUM($G888:AD888)-$B889,0)*CHOOSE($D888,1,Параметры!AD$53,Параметры!AD$59)+IF($B893=0,0,MAX(SUM($G890:AD890)*$B895-SUM($G895:AD895),0)*CHOOSE($D888,1,Параметры!AD$53,Параметры!AD$59)+MAX(SUM($G910:AD910)-SUM($G909:AD909),0)))*IF($B893=0,1+AD896,1)</f>
        <v>0</v>
      </c>
      <c r="AE905" s="185">
        <f>IF(SUM($G897:AE897)&gt;0.01,0,MAX(SUM($G890:AE890)-SUM($G888:AE888)-$B889,0)*CHOOSE($D888,1,Параметры!AE$53,Параметры!AE$59)+IF($B893=0,0,MAX(SUM($G890:AE890)*$B895-SUM($G895:AE895),0)*CHOOSE($D888,1,Параметры!AE$53,Параметры!AE$59)+MAX(SUM($G910:AE910)-SUM($G909:AE909),0)))*IF($B893=0,1+AE896,1)</f>
        <v>0</v>
      </c>
      <c r="AF905" s="185">
        <f>IF(SUM($G897:AF897)&gt;0.01,0,MAX(SUM($G890:AF890)-SUM($G888:AF888)-$B889,0)*CHOOSE($D888,1,Параметры!AF$53,Параметры!AF$59)+IF($B893=0,0,MAX(SUM($G890:AF890)*$B895-SUM($G895:AF895),0)*CHOOSE($D888,1,Параметры!AF$53,Параметры!AF$59)+MAX(SUM($G910:AF910)-SUM($G909:AF909),0)))*IF($B893=0,1+AF896,1)</f>
        <v>0</v>
      </c>
      <c r="AG905" s="185">
        <f>IF(SUM($G897:AG897)&gt;0.01,0,MAX(SUM($G890:AG890)-SUM($G888:AG888)-$B889,0)*CHOOSE($D888,1,Параметры!AG$53,Параметры!AG$59)+IF($B893=0,0,MAX(SUM($G890:AG890)*$B895-SUM($G895:AG895),0)*CHOOSE($D888,1,Параметры!AG$53,Параметры!AG$59)+MAX(SUM($G910:AG910)-SUM($G909:AG909),0)))*IF($B893=0,1+AG896,1)</f>
        <v>0</v>
      </c>
      <c r="AH905" s="185">
        <f>IF(SUM($G897:AH897)&gt;0.01,0,MAX(SUM($G890:AH890)-SUM($G888:AH888)-$B889,0)*CHOOSE($D888,1,Параметры!AH$53,Параметры!AH$59)+IF($B893=0,0,MAX(SUM($G890:AH890)*$B895-SUM($G895:AH895),0)*CHOOSE($D888,1,Параметры!AH$53,Параметры!AH$59)+MAX(SUM($G910:AH910)-SUM($G909:AH909),0)))*IF($B893=0,1+AH896,1)</f>
        <v>0</v>
      </c>
      <c r="AI905" s="185">
        <f>IF(SUM($G897:AI897)&gt;0.01,0,MAX(SUM($G890:AI890)-SUM($G888:AI888)-$B889,0)*CHOOSE($D888,1,Параметры!AI$53,Параметры!AI$59)+IF($B893=0,0,MAX(SUM($G890:AI890)*$B895-SUM($G895:AI895),0)*CHOOSE($D888,1,Параметры!AI$53,Параметры!AI$59)+MAX(SUM($G910:AI910)-SUM($G909:AI909),0)))*IF($B893=0,1+AI896,1)</f>
        <v>0</v>
      </c>
      <c r="AJ905" s="185">
        <f>IF(SUM($G897:AJ897)&gt;0.01,0,MAX(SUM($G890:AJ890)-SUM($G888:AJ888)-$B889,0)*CHOOSE($D888,1,Параметры!AJ$53,Параметры!AJ$59)+IF($B893=0,0,MAX(SUM($G890:AJ890)*$B895-SUM($G895:AJ895),0)*CHOOSE($D888,1,Параметры!AJ$53,Параметры!AJ$59)+MAX(SUM($G910:AJ910)-SUM($G909:AJ909),0)))*IF($B893=0,1+AJ896,1)</f>
        <v>0</v>
      </c>
      <c r="AK905" s="185">
        <f>IF(SUM($G897:AK897)&gt;0.01,0,MAX(SUM($G890:AK890)-SUM($G888:AK888)-$B889,0)*CHOOSE($D888,1,Параметры!AK$53,Параметры!AK$59)+IF($B893=0,0,MAX(SUM($G890:AK890)*$B895-SUM($G895:AK895),0)*CHOOSE($D888,1,Параметры!AK$53,Параметры!AK$59)+MAX(SUM($G910:AK910)-SUM($G909:AK909),0)))*IF($B893=0,1+AK896,1)</f>
        <v>0</v>
      </c>
      <c r="AL905" s="185">
        <f>IF(SUM($G897:AL897)&gt;0.01,0,MAX(SUM($G890:AL890)-SUM($G888:AL888)-$B889,0)*CHOOSE($D888,1,Параметры!AL$53,Параметры!AL$59)+IF($B893=0,0,MAX(SUM($G890:AL890)*$B895-SUM($G895:AL895),0)*CHOOSE($D888,1,Параметры!AL$53,Параметры!AL$59)+MAX(SUM($G910:AL910)-SUM($G909:AL909),0)))*IF($B893=0,1+AL896,1)</f>
        <v>0</v>
      </c>
      <c r="AM905" s="185">
        <f>IF(SUM($G897:AM897)&gt;0.01,0,MAX(SUM($G890:AM890)-SUM($G888:AM888)-$B889,0)*CHOOSE($D888,1,Параметры!AM$53,Параметры!AM$59)+IF($B893=0,0,MAX(SUM($G890:AM890)*$B895-SUM($G895:AM895),0)*CHOOSE($D888,1,Параметры!AM$53,Параметры!AM$59)+MAX(SUM($G910:AM910)-SUM($G909:AM909),0)))*IF($B893=0,1+AM896,1)</f>
        <v>0</v>
      </c>
      <c r="AN905" s="185">
        <f>IF(SUM($G897:AN897)&gt;0.01,0,MAX(SUM($G890:AN890)-SUM($G888:AN888)-$B889,0)*CHOOSE($D888,1,Параметры!AN$53,Параметры!AN$59)+IF($B893=0,0,MAX(SUM($G890:AN890)*$B895-SUM($G895:AN895),0)*CHOOSE($D888,1,Параметры!AN$53,Параметры!AN$59)+MAX(SUM($G910:AN910)-SUM($G909:AN909),0)))*IF($B893=0,1+AN896,1)</f>
        <v>0</v>
      </c>
      <c r="AO905" s="185">
        <f>IF(SUM($G897:AO897)&gt;0.01,0,MAX(SUM($G890:AO890)-SUM($G888:AO888)-$B889,0)*CHOOSE($D888,1,Параметры!AO$53,Параметры!AO$59)+IF($B893=0,0,MAX(SUM($G890:AO890)*$B895-SUM($G895:AO895),0)*CHOOSE($D888,1,Параметры!AO$53,Параметры!AO$59)+MAX(SUM($G910:AO910)-SUM($G909:AO909),0)))*IF($B893=0,1+AO896,1)</f>
        <v>0</v>
      </c>
      <c r="AP905" s="185">
        <f>IF(SUM($G897:AP897)&gt;0.01,0,MAX(SUM($G890:AP890)-SUM($G888:AP888)-$B889,0)*CHOOSE($D888,1,Параметры!AP$53,Параметры!AP$59)+IF($B893=0,0,MAX(SUM($G890:AP890)*$B895-SUM($G895:AP895),0)*CHOOSE($D888,1,Параметры!AP$53,Параметры!AP$59)+MAX(SUM($G910:AP910)-SUM($G909:AP909),0)))*IF($B893=0,1+AP896,1)</f>
        <v>0</v>
      </c>
      <c r="AQ905" s="185">
        <f>IF(SUM($G897:AQ897)&gt;0.01,0,MAX(SUM($G890:AQ890)-SUM($G888:AQ888)-$B889,0)*CHOOSE($D888,1,Параметры!AQ$53,Параметры!AQ$59)+IF($B893=0,0,MAX(SUM($G890:AQ890)*$B895-SUM($G895:AQ895),0)*CHOOSE($D888,1,Параметры!AQ$53,Параметры!AQ$59)+MAX(SUM($G910:AQ910)-SUM($G909:AQ909),0)))*IF($B893=0,1+AQ896,1)</f>
        <v>0</v>
      </c>
      <c r="AR905" s="185">
        <f>IF(SUM($G897:AR897)&gt;0.01,0,MAX(SUM($G890:AR890)-SUM($G888:AR888)-$B889,0)*CHOOSE($D888,1,Параметры!AR$53,Параметры!AR$59)+IF($B893=0,0,MAX(SUM($G890:AR890)*$B895-SUM($G895:AR895),0)*CHOOSE($D888,1,Параметры!AR$53,Параметры!AR$59)+MAX(SUM($G910:AR910)-SUM($G909:AR909),0)))*IF($B893=0,1+AR896,1)</f>
        <v>0</v>
      </c>
      <c r="AS905" s="185">
        <f>IF(SUM($G897:AS897)&gt;0.01,0,MAX(SUM($G890:AS890)-SUM($G888:AS888)-$B889,0)*CHOOSE($D888,1,Параметры!AS$53,Параметры!AS$59)+IF($B893=0,0,MAX(SUM($G890:AS890)*$B895-SUM($G895:AS895),0)*CHOOSE($D888,1,Параметры!AS$53,Параметры!AS$59)+MAX(SUM($G910:AS910)-SUM($G909:AS909),0)))*IF($B893=0,1+AS896,1)</f>
        <v>0</v>
      </c>
      <c r="AT905" s="185">
        <f>IF(SUM($G897:AT897)&gt;0.01,0,MAX(SUM($G890:AT890)-SUM($G888:AT888)-$B889,0)*CHOOSE($D888,1,Параметры!AT$53,Параметры!AT$59)+IF($B893=0,0,MAX(SUM($G890:AT890)*$B895-SUM($G895:AT895),0)*CHOOSE($D888,1,Параметры!AT$53,Параметры!AT$59)+MAX(SUM($G910:AT910)-SUM($G909:AT909),0)))*IF($B893=0,1+AT896,1)</f>
        <v>0</v>
      </c>
      <c r="AU905" s="185">
        <f>IF(SUM($G897:AU897)&gt;0.01,0,MAX(SUM($G890:AU890)-SUM($G888:AU888)-$B889,0)*CHOOSE($D888,1,Параметры!AU$53,Параметры!AU$59)+IF($B893=0,0,MAX(SUM($G890:AU890)*$B895-SUM($G895:AU895),0)*CHOOSE($D888,1,Параметры!AU$53,Параметры!AU$59)+MAX(SUM($G910:AU910)-SUM($G909:AU909),0)))*IF($B893=0,1+AU896,1)</f>
        <v>0</v>
      </c>
      <c r="AV905" s="185">
        <f>IF(SUM($G897:AV897)&gt;0.01,0,MAX(SUM($G890:AV890)-SUM($G888:AV888)-$B889,0)*CHOOSE($D888,1,Параметры!AV$53,Параметры!AV$59)+IF($B893=0,0,MAX(SUM($G890:AV890)*$B895-SUM($G895:AV895),0)*CHOOSE($D888,1,Параметры!AV$53,Параметры!AV$59)+MAX(SUM($G910:AV910)-SUM($G909:AV909),0)))*IF($B893=0,1+AV896,1)</f>
        <v>0</v>
      </c>
      <c r="AW905" s="185">
        <f>IF(SUM($G897:AW897)&gt;0.01,0,MAX(SUM($G890:AW890)-SUM($G888:AW888)-$B889,0)*CHOOSE($D888,1,Параметры!AW$53,Параметры!AW$59)+IF($B893=0,0,MAX(SUM($G890:AW890)*$B895-SUM($G895:AW895),0)*CHOOSE($D888,1,Параметры!AW$53,Параметры!AW$59)+MAX(SUM($G910:AW910)-SUM($G909:AW909),0)))*IF($B893=0,1+AW896,1)</f>
        <v>0</v>
      </c>
      <c r="AX905" s="185">
        <f>IF(SUM($G897:AX897)&gt;0.01,0,MAX(SUM($G890:AX890)-SUM($G888:AX888)-$B889,0)*CHOOSE($D888,1,Параметры!AX$53,Параметры!AX$59)+IF($B893=0,0,MAX(SUM($G890:AX890)*$B895-SUM($G895:AX895),0)*CHOOSE($D888,1,Параметры!AX$53,Параметры!AX$59)+MAX(SUM($G910:AX910)-SUM($G909:AX909),0)))*IF($B893=0,1+AX896,1)</f>
        <v>0</v>
      </c>
      <c r="AY905" s="185">
        <f>IF(SUM($G897:AY897)&gt;0.01,0,MAX(SUM($G890:AY890)-SUM($G888:AY888)-$B889,0)*CHOOSE($D888,1,Параметры!AY$53,Параметры!AY$59)+IF($B893=0,0,MAX(SUM($G890:AY890)*$B895-SUM($G895:AY895),0)*CHOOSE($D888,1,Параметры!AY$53,Параметры!AY$59)+MAX(SUM($G910:AY910)-SUM($G909:AY909),0)))*IF($B893=0,1+AY896,1)</f>
        <v>0</v>
      </c>
      <c r="AZ905" s="185">
        <f>IF(SUM($G897:AZ897)&gt;0.01,0,MAX(SUM($G890:AZ890)-SUM($G888:AZ888)-$B889,0)*CHOOSE($D888,1,Параметры!AZ$53,Параметры!AZ$59)+IF($B893=0,0,MAX(SUM($G890:AZ890)*$B895-SUM($G895:AZ895),0)*CHOOSE($D888,1,Параметры!AZ$53,Параметры!AZ$59)+MAX(SUM($G910:AZ910)-SUM($G909:AZ909),0)))*IF($B893=0,1+AZ896,1)</f>
        <v>0</v>
      </c>
      <c r="BA905" s="185">
        <f>IF(SUM($G897:BA897)&gt;0.01,0,MAX(SUM($G890:BA890)-SUM($G888:BA888)-$B889,0)*CHOOSE($D888,1,Параметры!BA$53,Параметры!BA$59)+IF($B893=0,0,MAX(SUM($G890:BA890)*$B895-SUM($G895:BA895),0)*CHOOSE($D888,1,Параметры!BA$53,Параметры!BA$59)+MAX(SUM($G910:BA910)-SUM($G909:BA909),0)))*IF($B893=0,1+BA896,1)</f>
        <v>0</v>
      </c>
      <c r="BB905" s="185">
        <f>IF(SUM($G897:BB897)&gt;0.01,0,MAX(SUM($G890:BB890)-SUM($G888:BB888)-$B889,0)*CHOOSE($D888,1,Параметры!BB$53,Параметры!BB$59)+IF($B893=0,0,MAX(SUM($G890:BB890)*$B895-SUM($G895:BB895),0)*CHOOSE($D888,1,Параметры!BB$53,Параметры!BB$59)+MAX(SUM($G910:BB910)-SUM($G909:BB909),0)))*IF($B893=0,1+BB896,1)</f>
        <v>0</v>
      </c>
      <c r="BC905" s="185"/>
      <c r="BD905" s="186"/>
    </row>
    <row r="906" spans="1:56" hidden="1" outlineLevel="1" x14ac:dyDescent="0.3">
      <c r="A906" s="184" t="str">
        <f ca="1">Language!A$1511</f>
        <v>НДС к кредиторской задолженности</v>
      </c>
      <c r="B906" s="170"/>
      <c r="C906" s="163" t="str">
        <f t="shared" ca="1" si="3532"/>
        <v>руб.</v>
      </c>
      <c r="D906" s="174">
        <v>1</v>
      </c>
      <c r="E906" s="170" t="s">
        <v>2294</v>
      </c>
      <c r="F906" s="170" t="s">
        <v>741</v>
      </c>
      <c r="G906" s="185">
        <f>MAX(SUM($G910:G910)-SUM($G909:G909)-IF($B893=0,SUM($G901:G901),0),0)</f>
        <v>0</v>
      </c>
      <c r="H906" s="185">
        <f>MAX(SUM($G910:H910)-SUM($G909:H909)-IF($B893=0,SUM($G901:H901),0),0)</f>
        <v>0</v>
      </c>
      <c r="I906" s="185">
        <f>MAX(SUM($G910:I910)-SUM($G909:I909)-IF($B893=0,SUM($G901:I901),0),0)</f>
        <v>0</v>
      </c>
      <c r="J906" s="185">
        <f>MAX(SUM($G910:J910)-SUM($G909:J909)-IF($B893=0,SUM($G901:J901),0),0)</f>
        <v>0</v>
      </c>
      <c r="K906" s="185">
        <f>MAX(SUM($G910:K910)-SUM($G909:K909)-IF($B893=0,SUM($G901:K901),0),0)</f>
        <v>0</v>
      </c>
      <c r="L906" s="185">
        <f>MAX(SUM($G910:L910)-SUM($G909:L909)-IF($B893=0,SUM($G901:L901),0),0)</f>
        <v>0</v>
      </c>
      <c r="M906" s="185">
        <f>MAX(SUM($G910:M910)-SUM($G909:M909)-IF($B893=0,SUM($G901:M901),0),0)</f>
        <v>0</v>
      </c>
      <c r="N906" s="185">
        <f>MAX(SUM($G910:N910)-SUM($G909:N909)-IF($B893=0,SUM($G901:N901),0),0)</f>
        <v>0</v>
      </c>
      <c r="O906" s="185">
        <f>MAX(SUM($G910:O910)-SUM($G909:O909)-IF($B893=0,SUM($G901:O901),0),0)</f>
        <v>0</v>
      </c>
      <c r="P906" s="185">
        <f>MAX(SUM($G910:P910)-SUM($G909:P909)-IF($B893=0,SUM($G901:P901),0),0)</f>
        <v>0</v>
      </c>
      <c r="Q906" s="185">
        <f>MAX(SUM($G910:Q910)-SUM($G909:Q909)-IF($B893=0,SUM($G901:Q901),0),0)</f>
        <v>0</v>
      </c>
      <c r="R906" s="185">
        <f>MAX(SUM($G910:R910)-SUM($G909:R909)-IF($B893=0,SUM($G901:R901),0),0)</f>
        <v>0</v>
      </c>
      <c r="S906" s="185">
        <f>MAX(SUM($G910:S910)-SUM($G909:S909)-IF($B893=0,SUM($G901:S901),0),0)</f>
        <v>0</v>
      </c>
      <c r="T906" s="185">
        <f>MAX(SUM($G910:T910)-SUM($G909:T909)-IF($B893=0,SUM($G901:T901),0),0)</f>
        <v>0</v>
      </c>
      <c r="U906" s="185">
        <f>MAX(SUM($G910:U910)-SUM($G909:U909)-IF($B893=0,SUM($G901:U901),0),0)</f>
        <v>0</v>
      </c>
      <c r="V906" s="185">
        <f>MAX(SUM($G910:V910)-SUM($G909:V909)-IF($B893=0,SUM($G901:V901),0),0)</f>
        <v>0</v>
      </c>
      <c r="W906" s="185">
        <f>MAX(SUM($G910:W910)-SUM($G909:W909)-IF($B893=0,SUM($G901:W901),0),0)</f>
        <v>0</v>
      </c>
      <c r="X906" s="185">
        <f>MAX(SUM($G910:X910)-SUM($G909:X909)-IF($B893=0,SUM($G901:X901),0),0)</f>
        <v>0</v>
      </c>
      <c r="Y906" s="185">
        <f>MAX(SUM($G910:Y910)-SUM($G909:Y909)-IF($B893=0,SUM($G901:Y901),0),0)</f>
        <v>0</v>
      </c>
      <c r="Z906" s="185">
        <f>MAX(SUM($G910:Z910)-SUM($G909:Z909)-IF($B893=0,SUM($G901:Z901),0),0)</f>
        <v>0</v>
      </c>
      <c r="AA906" s="185">
        <f>MAX(SUM($G910:AA910)-SUM($G909:AA909)-IF($B893=0,SUM($G901:AA901),0),0)</f>
        <v>0</v>
      </c>
      <c r="AB906" s="185">
        <f>MAX(SUM($G910:AB910)-SUM($G909:AB909)-IF($B893=0,SUM($G901:AB901),0),0)</f>
        <v>0</v>
      </c>
      <c r="AC906" s="185">
        <f>MAX(SUM($G910:AC910)-SUM($G909:AC909)-IF($B893=0,SUM($G901:AC901),0),0)</f>
        <v>0</v>
      </c>
      <c r="AD906" s="185">
        <f>MAX(SUM($G910:AD910)-SUM($G909:AD909)-IF($B893=0,SUM($G901:AD901),0),0)</f>
        <v>0</v>
      </c>
      <c r="AE906" s="185">
        <f>MAX(SUM($G910:AE910)-SUM($G909:AE909)-IF($B893=0,SUM($G901:AE901),0),0)</f>
        <v>0</v>
      </c>
      <c r="AF906" s="185">
        <f>MAX(SUM($G910:AF910)-SUM($G909:AF909)-IF($B893=0,SUM($G901:AF901),0),0)</f>
        <v>0</v>
      </c>
      <c r="AG906" s="185">
        <f>MAX(SUM($G910:AG910)-SUM($G909:AG909)-IF($B893=0,SUM($G901:AG901),0),0)</f>
        <v>0</v>
      </c>
      <c r="AH906" s="185">
        <f>MAX(SUM($G910:AH910)-SUM($G909:AH909)-IF($B893=0,SUM($G901:AH901),0),0)</f>
        <v>0</v>
      </c>
      <c r="AI906" s="185">
        <f>MAX(SUM($G910:AI910)-SUM($G909:AI909)-IF($B893=0,SUM($G901:AI901),0),0)</f>
        <v>0</v>
      </c>
      <c r="AJ906" s="185">
        <f>MAX(SUM($G910:AJ910)-SUM($G909:AJ909)-IF($B893=0,SUM($G901:AJ901),0),0)</f>
        <v>0</v>
      </c>
      <c r="AK906" s="185">
        <f>MAX(SUM($G910:AK910)-SUM($G909:AK909)-IF($B893=0,SUM($G901:AK901),0),0)</f>
        <v>0</v>
      </c>
      <c r="AL906" s="185">
        <f>MAX(SUM($G910:AL910)-SUM($G909:AL909)-IF($B893=0,SUM($G901:AL901),0),0)</f>
        <v>0</v>
      </c>
      <c r="AM906" s="185">
        <f>MAX(SUM($G910:AM910)-SUM($G909:AM909)-IF($B893=0,SUM($G901:AM901),0),0)</f>
        <v>0</v>
      </c>
      <c r="AN906" s="185">
        <f>MAX(SUM($G910:AN910)-SUM($G909:AN909)-IF($B893=0,SUM($G901:AN901),0),0)</f>
        <v>0</v>
      </c>
      <c r="AO906" s="185">
        <f>MAX(SUM($G910:AO910)-SUM($G909:AO909)-IF($B893=0,SUM($G901:AO901),0),0)</f>
        <v>0</v>
      </c>
      <c r="AP906" s="185">
        <f>MAX(SUM($G910:AP910)-SUM($G909:AP909)-IF($B893=0,SUM($G901:AP901),0),0)</f>
        <v>0</v>
      </c>
      <c r="AQ906" s="185">
        <f>MAX(SUM($G910:AQ910)-SUM($G909:AQ909)-IF($B893=0,SUM($G901:AQ901),0),0)</f>
        <v>0</v>
      </c>
      <c r="AR906" s="185">
        <f>MAX(SUM($G910:AR910)-SUM($G909:AR909)-IF($B893=0,SUM($G901:AR901),0),0)</f>
        <v>0</v>
      </c>
      <c r="AS906" s="185">
        <f>MAX(SUM($G910:AS910)-SUM($G909:AS909)-IF($B893=0,SUM($G901:AS901),0),0)</f>
        <v>0</v>
      </c>
      <c r="AT906" s="185">
        <f>MAX(SUM($G910:AT910)-SUM($G909:AT909)-IF($B893=0,SUM($G901:AT901),0),0)</f>
        <v>0</v>
      </c>
      <c r="AU906" s="185">
        <f>MAX(SUM($G910:AU910)-SUM($G909:AU909)-IF($B893=0,SUM($G901:AU901),0),0)</f>
        <v>0</v>
      </c>
      <c r="AV906" s="185">
        <f>MAX(SUM($G910:AV910)-SUM($G909:AV909)-IF($B893=0,SUM($G901:AV901),0),0)</f>
        <v>0</v>
      </c>
      <c r="AW906" s="185">
        <f>MAX(SUM($G910:AW910)-SUM($G909:AW909)-IF($B893=0,SUM($G901:AW901),0),0)</f>
        <v>0</v>
      </c>
      <c r="AX906" s="185">
        <f>MAX(SUM($G910:AX910)-SUM($G909:AX909)-IF($B893=0,SUM($G901:AX901),0),0)</f>
        <v>0</v>
      </c>
      <c r="AY906" s="185">
        <f>MAX(SUM($G910:AY910)-SUM($G909:AY909)-IF($B893=0,SUM($G901:AY901),0),0)</f>
        <v>0</v>
      </c>
      <c r="AZ906" s="185">
        <f>MAX(SUM($G910:AZ910)-SUM($G909:AZ909)-IF($B893=0,SUM($G901:AZ901),0),0)</f>
        <v>0</v>
      </c>
      <c r="BA906" s="185">
        <f>MAX(SUM($G910:BA910)-SUM($G909:BA909)-IF($B893=0,SUM($G901:BA901),0),0)</f>
        <v>0</v>
      </c>
      <c r="BB906" s="185">
        <f>MAX(SUM($G910:BB910)-SUM($G909:BB909)-IF($B893=0,SUM($G901:BB901),0),0)</f>
        <v>0</v>
      </c>
      <c r="BC906" s="185"/>
      <c r="BD906" s="186"/>
    </row>
    <row r="907" spans="1:56" hidden="1" outlineLevel="1" x14ac:dyDescent="0.3">
      <c r="A907" s="184" t="str">
        <f ca="1">Language!A$915</f>
        <v>амортизация (бухгалтерская)</v>
      </c>
      <c r="B907" s="216"/>
      <c r="C907" s="163" t="str">
        <f t="shared" ca="1" si="3532"/>
        <v>руб.</v>
      </c>
      <c r="D907" s="174">
        <v>1</v>
      </c>
      <c r="E907" s="170" t="s">
        <v>756</v>
      </c>
      <c r="F907" s="170" t="s">
        <v>740</v>
      </c>
      <c r="G907" s="185">
        <f ca="1">IF(SUM($G897:G897)&gt;0.01,0,IF($B891=0,0,MIN((SUM($G902:G902)-IF(G$2&gt;$B891*12/Prj_Step,SUM($G902:OFFSET(G902,0,-$B891*12/Prj_Step)),0))*IF($B893=0,1,(1+$B895))/$B891/12*Параметры!G$31,IF(G$2=1,G902,F908+SUM($F902:G902)*IF($B893=0,1,(1+$B895))-SUM($F902:F902)*IF($B893=0,1,(1+$B895))))))</f>
        <v>0</v>
      </c>
      <c r="H907" s="185">
        <f ca="1">IF(SUM($G897:H897)&gt;0.01,0,IF($B891=0,0,MIN((SUM($G902:H902)-IF(H$2&gt;$B891*12/Prj_Step,SUM($G902:OFFSET(H902,0,-$B891*12/Prj_Step)),0))*IF($B893=0,1,(1+$B895))/$B891/12*Параметры!H$31,IF(H$2=1,H902,G908+SUM($F902:H902)*IF($B893=0,1,(1+$B895))-SUM($F902:G902)*IF($B893=0,1,(1+$B895))))))</f>
        <v>0</v>
      </c>
      <c r="I907" s="185">
        <f ca="1">IF(SUM($G897:I897)&gt;0.01,0,IF($B891=0,0,MIN((SUM($G902:I902)-IF(I$2&gt;$B891*12/Prj_Step,SUM($G902:OFFSET(I902,0,-$B891*12/Prj_Step)),0))*IF($B893=0,1,(1+$B895))/$B891/12*Параметры!I$31,IF(I$2=1,I902,H908+SUM($F902:I902)*IF($B893=0,1,(1+$B895))-SUM($F902:H902)*IF($B893=0,1,(1+$B895))))))</f>
        <v>0</v>
      </c>
      <c r="J907" s="185">
        <f ca="1">IF(SUM($G897:J897)&gt;0.01,0,IF($B891=0,0,MIN((SUM($G902:J902)-IF(J$2&gt;$B891*12/Prj_Step,SUM($G902:OFFSET(J902,0,-$B891*12/Prj_Step)),0))*IF($B893=0,1,(1+$B895))/$B891/12*Параметры!J$31,IF(J$2=1,J902,I908+SUM($F902:J902)*IF($B893=0,1,(1+$B895))-SUM($F902:I902)*IF($B893=0,1,(1+$B895))))))</f>
        <v>0</v>
      </c>
      <c r="K907" s="185">
        <f ca="1">IF(SUM($G897:K897)&gt;0.01,0,IF($B891=0,0,MIN((SUM($G902:K902)-IF(K$2&gt;$B891*12/Prj_Step,SUM($G902:OFFSET(K902,0,-$B891*12/Prj_Step)),0))*IF($B893=0,1,(1+$B895))/$B891/12*Параметры!K$31,IF(K$2=1,K902,J908+SUM($F902:K902)*IF($B893=0,1,(1+$B895))-SUM($F902:J902)*IF($B893=0,1,(1+$B895))))))</f>
        <v>0</v>
      </c>
      <c r="L907" s="185">
        <f ca="1">IF(SUM($G897:L897)&gt;0.01,0,IF($B891=0,0,MIN((SUM($G902:L902)-IF(L$2&gt;$B891*12/Prj_Step,SUM($G902:OFFSET(L902,0,-$B891*12/Prj_Step)),0))*IF($B893=0,1,(1+$B895))/$B891/12*Параметры!L$31,IF(L$2=1,L902,K908+SUM($F902:L902)*IF($B893=0,1,(1+$B895))-SUM($F902:K902)*IF($B893=0,1,(1+$B895))))))</f>
        <v>0</v>
      </c>
      <c r="M907" s="185">
        <f ca="1">IF(SUM($G897:M897)&gt;0.01,0,IF($B891=0,0,MIN((SUM($G902:M902)-IF(M$2&gt;$B891*12/Prj_Step,SUM($G902:OFFSET(M902,0,-$B891*12/Prj_Step)),0))*IF($B893=0,1,(1+$B895))/$B891/12*Параметры!M$31,IF(M$2=1,M902,L908+SUM($F902:M902)*IF($B893=0,1,(1+$B895))-SUM($F902:L902)*IF($B893=0,1,(1+$B895))))))</f>
        <v>34166.666666666664</v>
      </c>
      <c r="N907" s="185">
        <f ca="1">IF(SUM($G897:N897)&gt;0.01,0,IF($B891=0,0,MIN((SUM($G902:N902)-IF(N$2&gt;$B891*12/Prj_Step,SUM($G902:OFFSET(N902,0,-$B891*12/Prj_Step)),0))*IF($B893=0,1,(1+$B895))/$B891/12*Параметры!N$31,IF(N$2=1,N902,M908+SUM($F902:N902)*IF($B893=0,1,(1+$B895))-SUM($F902:M902)*IF($B893=0,1,(1+$B895))))))</f>
        <v>34166.666666666664</v>
      </c>
      <c r="O907" s="185">
        <f ca="1">IF(SUM($G897:O897)&gt;0.01,0,IF($B891=0,0,MIN((SUM($G902:O902)-IF(O$2&gt;$B891*12/Prj_Step,SUM($G902:OFFSET(O902,0,-$B891*12/Prj_Step)),0))*IF($B893=0,1,(1+$B895))/$B891/12*Параметры!O$31,IF(O$2=1,O902,N908+SUM($F902:O902)*IF($B893=0,1,(1+$B895))-SUM($F902:N902)*IF($B893=0,1,(1+$B895))))))</f>
        <v>34166.666666666664</v>
      </c>
      <c r="P907" s="185">
        <f ca="1">IF(SUM($G897:P897)&gt;0.01,0,IF($B891=0,0,MIN((SUM($G902:P902)-IF(P$2&gt;$B891*12/Prj_Step,SUM($G902:OFFSET(P902,0,-$B891*12/Prj_Step)),0))*IF($B893=0,1,(1+$B895))/$B891/12*Параметры!P$31,IF(P$2=1,P902,O908+SUM($F902:P902)*IF($B893=0,1,(1+$B895))-SUM($F902:O902)*IF($B893=0,1,(1+$B895))))))</f>
        <v>34166.666666666664</v>
      </c>
      <c r="Q907" s="185">
        <f ca="1">IF(SUM($G897:Q897)&gt;0.01,0,IF($B891=0,0,MIN((SUM($G902:Q902)-IF(Q$2&gt;$B891*12/Prj_Step,SUM($G902:OFFSET(Q902,0,-$B891*12/Prj_Step)),0))*IF($B893=0,1,(1+$B895))/$B891/12*Параметры!Q$31,IF(Q$2=1,Q902,P908+SUM($F902:Q902)*IF($B893=0,1,(1+$B895))-SUM($F902:P902)*IF($B893=0,1,(1+$B895))))))</f>
        <v>34166.666666666664</v>
      </c>
      <c r="R907" s="185">
        <f ca="1">IF(SUM($G897:R897)&gt;0.01,0,IF($B891=0,0,MIN((SUM($G902:R902)-IF(R$2&gt;$B891*12/Prj_Step,SUM($G902:OFFSET(R902,0,-$B891*12/Prj_Step)),0))*IF($B893=0,1,(1+$B895))/$B891/12*Параметры!R$31,IF(R$2=1,R902,Q908+SUM($F902:R902)*IF($B893=0,1,(1+$B895))-SUM($F902:Q902)*IF($B893=0,1,(1+$B895))))))</f>
        <v>34166.666666666664</v>
      </c>
      <c r="S907" s="185">
        <f ca="1">IF(SUM($G897:S897)&gt;0.01,0,IF($B891=0,0,MIN((SUM($G902:S902)-IF(S$2&gt;$B891*12/Prj_Step,SUM($G902:OFFSET(S902,0,-$B891*12/Prj_Step)),0))*IF($B893=0,1,(1+$B895))/$B891/12*Параметры!S$31,IF(S$2=1,S902,R908+SUM($F902:S902)*IF($B893=0,1,(1+$B895))-SUM($F902:R902)*IF($B893=0,1,(1+$B895))))))</f>
        <v>34166.666666666664</v>
      </c>
      <c r="T907" s="185">
        <f ca="1">IF(SUM($G897:T897)&gt;0.01,0,IF($B891=0,0,MIN((SUM($G902:T902)-IF(T$2&gt;$B891*12/Prj_Step,SUM($G902:OFFSET(T902,0,-$B891*12/Prj_Step)),0))*IF($B893=0,1,(1+$B895))/$B891/12*Параметры!T$31,IF(T$2=1,T902,S908+SUM($F902:T902)*IF($B893=0,1,(1+$B895))-SUM($F902:S902)*IF($B893=0,1,(1+$B895))))))</f>
        <v>34166.666666666664</v>
      </c>
      <c r="U907" s="185">
        <f ca="1">IF(SUM($G897:U897)&gt;0.01,0,IF($B891=0,0,MIN((SUM($G902:U902)-IF(U$2&gt;$B891*12/Prj_Step,SUM($G902:OFFSET(U902,0,-$B891*12/Prj_Step)),0))*IF($B893=0,1,(1+$B895))/$B891/12*Параметры!U$31,IF(U$2=1,U902,T908+SUM($F902:U902)*IF($B893=0,1,(1+$B895))-SUM($F902:T902)*IF($B893=0,1,(1+$B895))))))</f>
        <v>34166.666666666664</v>
      </c>
      <c r="V907" s="185">
        <f ca="1">IF(SUM($G897:V897)&gt;0.01,0,IF($B891=0,0,MIN((SUM($G902:V902)-IF(V$2&gt;$B891*12/Prj_Step,SUM($G902:OFFSET(V902,0,-$B891*12/Prj_Step)),0))*IF($B893=0,1,(1+$B895))/$B891/12*Параметры!V$31,IF(V$2=1,V902,U908+SUM($F902:V902)*IF($B893=0,1,(1+$B895))-SUM($F902:U902)*IF($B893=0,1,(1+$B895))))))</f>
        <v>34166.666666666664</v>
      </c>
      <c r="W907" s="185">
        <f ca="1">IF(SUM($G897:W897)&gt;0.01,0,IF($B891=0,0,MIN((SUM($G902:W902)-IF(W$2&gt;$B891*12/Prj_Step,SUM($G902:OFFSET(W902,0,-$B891*12/Prj_Step)),0))*IF($B893=0,1,(1+$B895))/$B891/12*Параметры!W$31,IF(W$2=1,W902,V908+SUM($F902:W902)*IF($B893=0,1,(1+$B895))-SUM($F902:V902)*IF($B893=0,1,(1+$B895))))))</f>
        <v>34166.666666666664</v>
      </c>
      <c r="X907" s="185">
        <f ca="1">IF(SUM($G897:X897)&gt;0.01,0,IF($B891=0,0,MIN((SUM($G902:X902)-IF(X$2&gt;$B891*12/Prj_Step,SUM($G902:OFFSET(X902,0,-$B891*12/Prj_Step)),0))*IF($B893=0,1,(1+$B895))/$B891/12*Параметры!X$31,IF(X$2=1,X902,W908+SUM($F902:X902)*IF($B893=0,1,(1+$B895))-SUM($F902:W902)*IF($B893=0,1,(1+$B895))))))</f>
        <v>34166.666666666664</v>
      </c>
      <c r="Y907" s="185">
        <f ca="1">IF(SUM($G897:Y897)&gt;0.01,0,IF($B891=0,0,MIN((SUM($G902:Y902)-IF(Y$2&gt;$B891*12/Prj_Step,SUM($G902:OFFSET(Y902,0,-$B891*12/Prj_Step)),0))*IF($B893=0,1,(1+$B895))/$B891/12*Параметры!Y$31,IF(Y$2=1,Y902,X908+SUM($F902:Y902)*IF($B893=0,1,(1+$B895))-SUM($F902:X902)*IF($B893=0,1,(1+$B895))))))</f>
        <v>34166.666666666664</v>
      </c>
      <c r="Z907" s="185">
        <f ca="1">IF(SUM($G897:Z897)&gt;0.01,0,IF($B891=0,0,MIN((SUM($G902:Z902)-IF(Z$2&gt;$B891*12/Prj_Step,SUM($G902:OFFSET(Z902,0,-$B891*12/Prj_Step)),0))*IF($B893=0,1,(1+$B895))/$B891/12*Параметры!Z$31,IF(Z$2=1,Z902,Y908+SUM($F902:Z902)*IF($B893=0,1,(1+$B895))-SUM($F902:Y902)*IF($B893=0,1,(1+$B895))))))</f>
        <v>34166.666666666664</v>
      </c>
      <c r="AA907" s="185">
        <f ca="1">IF(SUM($G897:AA897)&gt;0.01,0,IF($B891=0,0,MIN((SUM($G902:AA902)-IF(AA$2&gt;$B891*12/Prj_Step,SUM($G902:OFFSET(AA902,0,-$B891*12/Prj_Step)),0))*IF($B893=0,1,(1+$B895))/$B891/12*Параметры!AA$31,IF(AA$2=1,AA902,Z908+SUM($F902:AA902)*IF($B893=0,1,(1+$B895))-SUM($F902:Z902)*IF($B893=0,1,(1+$B895))))))</f>
        <v>34166.666666666664</v>
      </c>
      <c r="AB907" s="185">
        <f ca="1">IF(SUM($G897:AB897)&gt;0.01,0,IF($B891=0,0,MIN((SUM($G902:AB902)-IF(AB$2&gt;$B891*12/Prj_Step,SUM($G902:OFFSET(AB902,0,-$B891*12/Prj_Step)),0))*IF($B893=0,1,(1+$B895))/$B891/12*Параметры!AB$31,IF(AB$2=1,AB902,AA908+SUM($F902:AB902)*IF($B893=0,1,(1+$B895))-SUM($F902:AA902)*IF($B893=0,1,(1+$B895))))))</f>
        <v>34166.666666666664</v>
      </c>
      <c r="AC907" s="185">
        <f ca="1">IF(SUM($G897:AC897)&gt;0.01,0,IF($B891=0,0,MIN((SUM($G902:AC902)-IF(AC$2&gt;$B891*12/Prj_Step,SUM($G902:OFFSET(AC902,0,-$B891*12/Prj_Step)),0))*IF($B893=0,1,(1+$B895))/$B891/12*Параметры!AC$31,IF(AC$2=1,AC902,AB908+SUM($F902:AC902)*IF($B893=0,1,(1+$B895))-SUM($F902:AB902)*IF($B893=0,1,(1+$B895))))))</f>
        <v>34166.666666666664</v>
      </c>
      <c r="AD907" s="185">
        <f ca="1">IF(SUM($G897:AD897)&gt;0.01,0,IF($B891=0,0,MIN((SUM($G902:AD902)-IF(AD$2&gt;$B891*12/Prj_Step,SUM($G902:OFFSET(AD902,0,-$B891*12/Prj_Step)),0))*IF($B893=0,1,(1+$B895))/$B891/12*Параметры!AD$31,IF(AD$2=1,AD902,AC908+SUM($F902:AD902)*IF($B893=0,1,(1+$B895))-SUM($F902:AC902)*IF($B893=0,1,(1+$B895))))))</f>
        <v>34166.666666666664</v>
      </c>
      <c r="AE907" s="185">
        <f ca="1">IF(SUM($G897:AE897)&gt;0.01,0,IF($B891=0,0,MIN((SUM($G902:AE902)-IF(AE$2&gt;$B891*12/Prj_Step,SUM($G902:OFFSET(AE902,0,-$B891*12/Prj_Step)),0))*IF($B893=0,1,(1+$B895))/$B891/12*Параметры!AE$31,IF(AE$2=1,AE902,AD908+SUM($F902:AE902)*IF($B893=0,1,(1+$B895))-SUM($F902:AD902)*IF($B893=0,1,(1+$B895))))))</f>
        <v>34166.666666666664</v>
      </c>
      <c r="AF907" s="185">
        <f ca="1">IF(SUM($G897:AF897)&gt;0.01,0,IF($B891=0,0,MIN((SUM($G902:AF902)-IF(AF$2&gt;$B891*12/Prj_Step,SUM($G902:OFFSET(AF902,0,-$B891*12/Prj_Step)),0))*IF($B893=0,1,(1+$B895))/$B891/12*Параметры!AF$31,IF(AF$2=1,AF902,AE908+SUM($F902:AF902)*IF($B893=0,1,(1+$B895))-SUM($F902:AE902)*IF($B893=0,1,(1+$B895))))))</f>
        <v>34166.666666666664</v>
      </c>
      <c r="AG907" s="185">
        <f ca="1">IF(SUM($G897:AG897)&gt;0.01,0,IF($B891=0,0,MIN((SUM($G902:AG902)-IF(AG$2&gt;$B891*12/Prj_Step,SUM($G902:OFFSET(AG902,0,-$B891*12/Prj_Step)),0))*IF($B893=0,1,(1+$B895))/$B891/12*Параметры!AG$31,IF(AG$2=1,AG902,AF908+SUM($F902:AG902)*IF($B893=0,1,(1+$B895))-SUM($F902:AF902)*IF($B893=0,1,(1+$B895))))))</f>
        <v>34166.666666666664</v>
      </c>
      <c r="AH907" s="185">
        <f ca="1">IF(SUM($G897:AH897)&gt;0.01,0,IF($B891=0,0,MIN((SUM($G902:AH902)-IF(AH$2&gt;$B891*12/Prj_Step,SUM($G902:OFFSET(AH902,0,-$B891*12/Prj_Step)),0))*IF($B893=0,1,(1+$B895))/$B891/12*Параметры!AH$31,IF(AH$2=1,AH902,AG908+SUM($F902:AH902)*IF($B893=0,1,(1+$B895))-SUM($F902:AG902)*IF($B893=0,1,(1+$B895))))))</f>
        <v>34166.666666666664</v>
      </c>
      <c r="AI907" s="185">
        <f ca="1">IF(SUM($G897:AI897)&gt;0.01,0,IF($B891=0,0,MIN((SUM($G902:AI902)-IF(AI$2&gt;$B891*12/Prj_Step,SUM($G902:OFFSET(AI902,0,-$B891*12/Prj_Step)),0))*IF($B893=0,1,(1+$B895))/$B891/12*Параметры!AI$31,IF(AI$2=1,AI902,AH908+SUM($F902:AI902)*IF($B893=0,1,(1+$B895))-SUM($F902:AH902)*IF($B893=0,1,(1+$B895))))))</f>
        <v>34166.666666666664</v>
      </c>
      <c r="AJ907" s="185">
        <f ca="1">IF(SUM($G897:AJ897)&gt;0.01,0,IF($B891=0,0,MIN((SUM($G902:AJ902)-IF(AJ$2&gt;$B891*12/Prj_Step,SUM($G902:OFFSET(AJ902,0,-$B891*12/Prj_Step)),0))*IF($B893=0,1,(1+$B895))/$B891/12*Параметры!AJ$31,IF(AJ$2=1,AJ902,AI908+SUM($F902:AJ902)*IF($B893=0,1,(1+$B895))-SUM($F902:AI902)*IF($B893=0,1,(1+$B895))))))</f>
        <v>34166.666666666664</v>
      </c>
      <c r="AK907" s="185">
        <f ca="1">IF(SUM($G897:AK897)&gt;0.01,0,IF($B891=0,0,MIN((SUM($G902:AK902)-IF(AK$2&gt;$B891*12/Prj_Step,SUM($G902:OFFSET(AK902,0,-$B891*12/Prj_Step)),0))*IF($B893=0,1,(1+$B895))/$B891/12*Параметры!AK$31,IF(AK$2=1,AK902,AJ908+SUM($F902:AK902)*IF($B893=0,1,(1+$B895))-SUM($F902:AJ902)*IF($B893=0,1,(1+$B895))))))</f>
        <v>34166.666666666664</v>
      </c>
      <c r="AL907" s="185">
        <f ca="1">IF(SUM($G897:AL897)&gt;0.01,0,IF($B891=0,0,MIN((SUM($G902:AL902)-IF(AL$2&gt;$B891*12/Prj_Step,SUM($G902:OFFSET(AL902,0,-$B891*12/Prj_Step)),0))*IF($B893=0,1,(1+$B895))/$B891/12*Параметры!AL$31,IF(AL$2=1,AL902,AK908+SUM($F902:AL902)*IF($B893=0,1,(1+$B895))-SUM($F902:AK902)*IF($B893=0,1,(1+$B895))))))</f>
        <v>34166.666666666664</v>
      </c>
      <c r="AM907" s="185">
        <f ca="1">IF(SUM($G897:AM897)&gt;0.01,0,IF($B891=0,0,MIN((SUM($G902:AM902)-IF(AM$2&gt;$B891*12/Prj_Step,SUM($G902:OFFSET(AM902,0,-$B891*12/Prj_Step)),0))*IF($B893=0,1,(1+$B895))/$B891/12*Параметры!AM$31,IF(AM$2=1,AM902,AL908+SUM($F902:AM902)*IF($B893=0,1,(1+$B895))-SUM($F902:AL902)*IF($B893=0,1,(1+$B895))))))</f>
        <v>34166.666666666664</v>
      </c>
      <c r="AN907" s="185">
        <f ca="1">IF(SUM($G897:AN897)&gt;0.01,0,IF($B891=0,0,MIN((SUM($G902:AN902)-IF(AN$2&gt;$B891*12/Prj_Step,SUM($G902:OFFSET(AN902,0,-$B891*12/Prj_Step)),0))*IF($B893=0,1,(1+$B895))/$B891/12*Параметры!AN$31,IF(AN$2=1,AN902,AM908+SUM($F902:AN902)*IF($B893=0,1,(1+$B895))-SUM($F902:AM902)*IF($B893=0,1,(1+$B895))))))</f>
        <v>34166.666666666664</v>
      </c>
      <c r="AO907" s="185">
        <f ca="1">IF(SUM($G897:AO897)&gt;0.01,0,IF($B891=0,0,MIN((SUM($G902:AO902)-IF(AO$2&gt;$B891*12/Prj_Step,SUM($G902:OFFSET(AO902,0,-$B891*12/Prj_Step)),0))*IF($B893=0,1,(1+$B895))/$B891/12*Параметры!AO$31,IF(AO$2=1,AO902,AN908+SUM($F902:AO902)*IF($B893=0,1,(1+$B895))-SUM($F902:AN902)*IF($B893=0,1,(1+$B895))))))</f>
        <v>34166.666666666664</v>
      </c>
      <c r="AP907" s="185">
        <f ca="1">IF(SUM($G897:AP897)&gt;0.01,0,IF($B891=0,0,MIN((SUM($G902:AP902)-IF(AP$2&gt;$B891*12/Prj_Step,SUM($G902:OFFSET(AP902,0,-$B891*12/Prj_Step)),0))*IF($B893=0,1,(1+$B895))/$B891/12*Параметры!AP$31,IF(AP$2=1,AP902,AO908+SUM($F902:AP902)*IF($B893=0,1,(1+$B895))-SUM($F902:AO902)*IF($B893=0,1,(1+$B895))))))</f>
        <v>34166.666666666664</v>
      </c>
      <c r="AQ907" s="185">
        <f ca="1">IF(SUM($G897:AQ897)&gt;0.01,0,IF($B891=0,0,MIN((SUM($G902:AQ902)-IF(AQ$2&gt;$B891*12/Prj_Step,SUM($G902:OFFSET(AQ902,0,-$B891*12/Prj_Step)),0))*IF($B893=0,1,(1+$B895))/$B891/12*Параметры!AQ$31,IF(AQ$2=1,AQ902,AP908+SUM($F902:AQ902)*IF($B893=0,1,(1+$B895))-SUM($F902:AP902)*IF($B893=0,1,(1+$B895))))))</f>
        <v>34166.666666666664</v>
      </c>
      <c r="AR907" s="185">
        <f ca="1">IF(SUM($G897:AR897)&gt;0.01,0,IF($B891=0,0,MIN((SUM($G902:AR902)-IF(AR$2&gt;$B891*12/Prj_Step,SUM($G902:OFFSET(AR902,0,-$B891*12/Prj_Step)),0))*IF($B893=0,1,(1+$B895))/$B891/12*Параметры!AR$31,IF(AR$2=1,AR902,AQ908+SUM($F902:AR902)*IF($B893=0,1,(1+$B895))-SUM($F902:AQ902)*IF($B893=0,1,(1+$B895))))))</f>
        <v>34166.666666666664</v>
      </c>
      <c r="AS907" s="185">
        <f ca="1">IF(SUM($G897:AS897)&gt;0.01,0,IF($B891=0,0,MIN((SUM($G902:AS902)-IF(AS$2&gt;$B891*12/Prj_Step,SUM($G902:OFFSET(AS902,0,-$B891*12/Prj_Step)),0))*IF($B893=0,1,(1+$B895))/$B891/12*Параметры!AS$31,IF(AS$2=1,AS902,AR908+SUM($F902:AS902)*IF($B893=0,1,(1+$B895))-SUM($F902:AR902)*IF($B893=0,1,(1+$B895))))))</f>
        <v>34166.666666666664</v>
      </c>
      <c r="AT907" s="185">
        <f ca="1">IF(SUM($G897:AT897)&gt;0.01,0,IF($B891=0,0,MIN((SUM($G902:AT902)-IF(AT$2&gt;$B891*12/Prj_Step,SUM($G902:OFFSET(AT902,0,-$B891*12/Prj_Step)),0))*IF($B893=0,1,(1+$B895))/$B891/12*Параметры!AT$31,IF(AT$2=1,AT902,AS908+SUM($F902:AT902)*IF($B893=0,1,(1+$B895))-SUM($F902:AS902)*IF($B893=0,1,(1+$B895))))))</f>
        <v>34166.666666666664</v>
      </c>
      <c r="AU907" s="185">
        <f ca="1">IF(SUM($G897:AU897)&gt;0.01,0,IF($B891=0,0,MIN((SUM($G902:AU902)-IF(AU$2&gt;$B891*12/Prj_Step,SUM($G902:OFFSET(AU902,0,-$B891*12/Prj_Step)),0))*IF($B893=0,1,(1+$B895))/$B891/12*Параметры!AU$31,IF(AU$2=1,AU902,AT908+SUM($F902:AU902)*IF($B893=0,1,(1+$B895))-SUM($F902:AT902)*IF($B893=0,1,(1+$B895))))))</f>
        <v>34166.666666666664</v>
      </c>
      <c r="AV907" s="185">
        <f ca="1">IF(SUM($G897:AV897)&gt;0.01,0,IF($B891=0,0,MIN((SUM($G902:AV902)-IF(AV$2&gt;$B891*12/Prj_Step,SUM($G902:OFFSET(AV902,0,-$B891*12/Prj_Step)),0))*IF($B893=0,1,(1+$B895))/$B891/12*Параметры!AV$31,IF(AV$2=1,AV902,AU908+SUM($F902:AV902)*IF($B893=0,1,(1+$B895))-SUM($F902:AU902)*IF($B893=0,1,(1+$B895))))))</f>
        <v>34166.666666666664</v>
      </c>
      <c r="AW907" s="185">
        <f ca="1">IF(SUM($G897:AW897)&gt;0.01,0,IF($B891=0,0,MIN((SUM($G902:AW902)-IF(AW$2&gt;$B891*12/Prj_Step,SUM($G902:OFFSET(AW902,0,-$B891*12/Prj_Step)),0))*IF($B893=0,1,(1+$B895))/$B891/12*Параметры!AW$31,IF(AW$2=1,AW902,AV908+SUM($F902:AW902)*IF($B893=0,1,(1+$B895))-SUM($F902:AV902)*IF($B893=0,1,(1+$B895))))))</f>
        <v>34166.666666666664</v>
      </c>
      <c r="AX907" s="185">
        <f ca="1">IF(SUM($G897:AX897)&gt;0.01,0,IF($B891=0,0,MIN((SUM($G902:AX902)-IF(AX$2&gt;$B891*12/Prj_Step,SUM($G902:OFFSET(AX902,0,-$B891*12/Prj_Step)),0))*IF($B893=0,1,(1+$B895))/$B891/12*Параметры!AX$31,IF(AX$2=1,AX902,AW908+SUM($F902:AX902)*IF($B893=0,1,(1+$B895))-SUM($F902:AW902)*IF($B893=0,1,(1+$B895))))))</f>
        <v>34166.666666666664</v>
      </c>
      <c r="AY907" s="185">
        <f ca="1">IF(SUM($G897:AY897)&gt;0.01,0,IF($B891=0,0,MIN((SUM($G902:AY902)-IF(AY$2&gt;$B891*12/Prj_Step,SUM($G902:OFFSET(AY902,0,-$B891*12/Prj_Step)),0))*IF($B893=0,1,(1+$B895))/$B891/12*Параметры!AY$31,IF(AY$2=1,AY902,AX908+SUM($F902:AY902)*IF($B893=0,1,(1+$B895))-SUM($F902:AX902)*IF($B893=0,1,(1+$B895))))))</f>
        <v>34166.666666666664</v>
      </c>
      <c r="AZ907" s="185">
        <f ca="1">IF(SUM($G897:AZ897)&gt;0.01,0,IF($B891=0,0,MIN((SUM($G902:AZ902)-IF(AZ$2&gt;$B891*12/Prj_Step,SUM($G902:OFFSET(AZ902,0,-$B891*12/Prj_Step)),0))*IF($B893=0,1,(1+$B895))/$B891/12*Параметры!AZ$31,IF(AZ$2=1,AZ902,AY908+SUM($F902:AZ902)*IF($B893=0,1,(1+$B895))-SUM($F902:AY902)*IF($B893=0,1,(1+$B895))))))</f>
        <v>34166.666666666664</v>
      </c>
      <c r="BA907" s="185">
        <f ca="1">IF(SUM($G897:BA897)&gt;0.01,0,IF($B891=0,0,MIN((SUM($G902:BA902)-IF(BA$2&gt;$B891*12/Prj_Step,SUM($G902:OFFSET(BA902,0,-$B891*12/Prj_Step)),0))*IF($B893=0,1,(1+$B895))/$B891/12*Параметры!BA$31,IF(BA$2=1,BA902,AZ908+SUM($F902:BA902)*IF($B893=0,1,(1+$B895))-SUM($F902:AZ902)*IF($B893=0,1,(1+$B895))))))</f>
        <v>34166.666666666664</v>
      </c>
      <c r="BB907" s="185">
        <f ca="1">IF(SUM($G897:BB897)&gt;0.01,0,IF($B891=0,0,MIN((SUM($G902:BB902)-IF(BB$2&gt;$B891*12/Prj_Step,SUM($G902:OFFSET(BB902,0,-$B891*12/Prj_Step)),0))*IF($B893=0,1,(1+$B895))/$B891/12*Параметры!BB$31,IF(BB$2=1,BB902,BA908+SUM($F902:BB902)*IF($B893=0,1,(1+$B895))-SUM($F902:BA902)*IF($B893=0,1,(1+$B895))))))</f>
        <v>34166.666666666664</v>
      </c>
      <c r="BC907" s="185"/>
      <c r="BD907" s="193">
        <f ca="1">SUM(G907:BC907)</f>
        <v>1435000.0000000005</v>
      </c>
    </row>
    <row r="908" spans="1:56" hidden="1" outlineLevel="1" x14ac:dyDescent="0.3">
      <c r="A908" s="184" t="str">
        <f ca="1">Language!A$916</f>
        <v>балансовая стоимость (бухгалтерская)</v>
      </c>
      <c r="B908" s="170"/>
      <c r="C908" s="163" t="str">
        <f t="shared" ca="1" si="3532"/>
        <v>руб.</v>
      </c>
      <c r="D908" s="174">
        <v>1</v>
      </c>
      <c r="E908" s="170" t="s">
        <v>757</v>
      </c>
      <c r="F908" s="170" t="s">
        <v>741</v>
      </c>
      <c r="G908" s="185">
        <f ca="1">IF(SUM($G897:G897)&gt;0.01,0,SUM($G902:G902)*IF($B893=0,1,(1+$B895))-SUM($G907:G907))</f>
        <v>0</v>
      </c>
      <c r="H908" s="185">
        <f ca="1">IF(SUM($G897:H897)&gt;0.01,0,SUM($G902:H902)*IF($B893=0,1,(1+$B895))-SUM($G907:H907))</f>
        <v>0</v>
      </c>
      <c r="I908" s="185">
        <f ca="1">IF(SUM($G897:I897)&gt;0.01,0,SUM($G902:I902)*IF($B893=0,1,(1+$B895))-SUM($G907:I907))</f>
        <v>0</v>
      </c>
      <c r="J908" s="185">
        <f ca="1">IF(SUM($G897:J897)&gt;0.01,0,SUM($G902:J902)*IF($B893=0,1,(1+$B895))-SUM($G907:J907))</f>
        <v>0</v>
      </c>
      <c r="K908" s="185">
        <f ca="1">IF(SUM($G897:K897)&gt;0.01,0,SUM($G902:K902)*IF($B893=0,1,(1+$B895))-SUM($G907:K907))</f>
        <v>0</v>
      </c>
      <c r="L908" s="185">
        <f ca="1">IF(SUM($G897:L897)&gt;0.01,0,SUM($G902:L902)*IF($B893=0,1,(1+$B895))-SUM($G907:L907))</f>
        <v>0</v>
      </c>
      <c r="M908" s="185">
        <f ca="1">IF(SUM($G897:M897)&gt;0.01,0,SUM($G902:M902)*IF($B893=0,1,(1+$B895))-SUM($G907:M907))</f>
        <v>4065833.3333333335</v>
      </c>
      <c r="N908" s="185">
        <f ca="1">IF(SUM($G897:N897)&gt;0.01,0,SUM($G902:N902)*IF($B893=0,1,(1+$B895))-SUM($G907:N907))</f>
        <v>4031666.6666666665</v>
      </c>
      <c r="O908" s="185">
        <f ca="1">IF(SUM($G897:O897)&gt;0.01,0,SUM($G902:O902)*IF($B893=0,1,(1+$B895))-SUM($G907:O907))</f>
        <v>3997500</v>
      </c>
      <c r="P908" s="185">
        <f ca="1">IF(SUM($G897:P897)&gt;0.01,0,SUM($G902:P902)*IF($B893=0,1,(1+$B895))-SUM($G907:P907))</f>
        <v>3963333.3333333335</v>
      </c>
      <c r="Q908" s="185">
        <f ca="1">IF(SUM($G897:Q897)&gt;0.01,0,SUM($G902:Q902)*IF($B893=0,1,(1+$B895))-SUM($G907:Q907))</f>
        <v>3929166.6666666665</v>
      </c>
      <c r="R908" s="185">
        <f ca="1">IF(SUM($G897:R897)&gt;0.01,0,SUM($G902:R902)*IF($B893=0,1,(1+$B895))-SUM($G907:R907))</f>
        <v>3895000</v>
      </c>
      <c r="S908" s="185">
        <f ca="1">IF(SUM($G897:S897)&gt;0.01,0,SUM($G902:S902)*IF($B893=0,1,(1+$B895))-SUM($G907:S907))</f>
        <v>3860833.3333333335</v>
      </c>
      <c r="T908" s="185">
        <f ca="1">IF(SUM($G897:T897)&gt;0.01,0,SUM($G902:T902)*IF($B893=0,1,(1+$B895))-SUM($G907:T907))</f>
        <v>3826666.6666666665</v>
      </c>
      <c r="U908" s="185">
        <f ca="1">IF(SUM($G897:U897)&gt;0.01,0,SUM($G902:U902)*IF($B893=0,1,(1+$B895))-SUM($G907:U907))</f>
        <v>3792500</v>
      </c>
      <c r="V908" s="185">
        <f ca="1">IF(SUM($G897:V897)&gt;0.01,0,SUM($G902:V902)*IF($B893=0,1,(1+$B895))-SUM($G907:V907))</f>
        <v>3758333.3333333335</v>
      </c>
      <c r="W908" s="185">
        <f ca="1">IF(SUM($G897:W897)&gt;0.01,0,SUM($G902:W902)*IF($B893=0,1,(1+$B895))-SUM($G907:W907))</f>
        <v>3724166.6666666665</v>
      </c>
      <c r="X908" s="185">
        <f ca="1">IF(SUM($G897:X897)&gt;0.01,0,SUM($G902:X902)*IF($B893=0,1,(1+$B895))-SUM($G907:X907))</f>
        <v>3690000</v>
      </c>
      <c r="Y908" s="185">
        <f ca="1">IF(SUM($G897:Y897)&gt;0.01,0,SUM($G902:Y902)*IF($B893=0,1,(1+$B895))-SUM($G907:Y907))</f>
        <v>3655833.333333333</v>
      </c>
      <c r="Z908" s="185">
        <f ca="1">IF(SUM($G897:Z897)&gt;0.01,0,SUM($G902:Z902)*IF($B893=0,1,(1+$B895))-SUM($G907:Z907))</f>
        <v>3621666.6666666665</v>
      </c>
      <c r="AA908" s="185">
        <f ca="1">IF(SUM($G897:AA897)&gt;0.01,0,SUM($G902:AA902)*IF($B893=0,1,(1+$B895))-SUM($G907:AA907))</f>
        <v>3587500</v>
      </c>
      <c r="AB908" s="185">
        <f ca="1">IF(SUM($G897:AB897)&gt;0.01,0,SUM($G902:AB902)*IF($B893=0,1,(1+$B895))-SUM($G907:AB907))</f>
        <v>3553333.333333333</v>
      </c>
      <c r="AC908" s="185">
        <f ca="1">IF(SUM($G897:AC897)&gt;0.01,0,SUM($G902:AC902)*IF($B893=0,1,(1+$B895))-SUM($G907:AC907))</f>
        <v>3519166.6666666665</v>
      </c>
      <c r="AD908" s="185">
        <f ca="1">IF(SUM($G897:AD897)&gt;0.01,0,SUM($G902:AD902)*IF($B893=0,1,(1+$B895))-SUM($G907:AD907))</f>
        <v>3485000</v>
      </c>
      <c r="AE908" s="185">
        <f ca="1">IF(SUM($G897:AE897)&gt;0.01,0,SUM($G902:AE902)*IF($B893=0,1,(1+$B895))-SUM($G907:AE907))</f>
        <v>3450833.3333333335</v>
      </c>
      <c r="AF908" s="185">
        <f ca="1">IF(SUM($G897:AF897)&gt;0.01,0,SUM($G902:AF902)*IF($B893=0,1,(1+$B895))-SUM($G907:AF907))</f>
        <v>3416666.666666667</v>
      </c>
      <c r="AG908" s="185">
        <f ca="1">IF(SUM($G897:AG897)&gt;0.01,0,SUM($G902:AG902)*IF($B893=0,1,(1+$B895))-SUM($G907:AG907))</f>
        <v>3382500</v>
      </c>
      <c r="AH908" s="185">
        <f ca="1">IF(SUM($G897:AH897)&gt;0.01,0,SUM($G902:AH902)*IF($B893=0,1,(1+$B895))-SUM($G907:AH907))</f>
        <v>3348333.3333333335</v>
      </c>
      <c r="AI908" s="185">
        <f ca="1">IF(SUM($G897:AI897)&gt;0.01,0,SUM($G902:AI902)*IF($B893=0,1,(1+$B895))-SUM($G907:AI907))</f>
        <v>3314166.666666667</v>
      </c>
      <c r="AJ908" s="185">
        <f ca="1">IF(SUM($G897:AJ897)&gt;0.01,0,SUM($G902:AJ902)*IF($B893=0,1,(1+$B895))-SUM($G907:AJ907))</f>
        <v>3280000</v>
      </c>
      <c r="AK908" s="185">
        <f ca="1">IF(SUM($G897:AK897)&gt;0.01,0,SUM($G902:AK902)*IF($B893=0,1,(1+$B895))-SUM($G907:AK907))</f>
        <v>3245833.3333333335</v>
      </c>
      <c r="AL908" s="185">
        <f ca="1">IF(SUM($G897:AL897)&gt;0.01,0,SUM($G902:AL902)*IF($B893=0,1,(1+$B895))-SUM($G907:AL907))</f>
        <v>3211666.666666667</v>
      </c>
      <c r="AM908" s="185">
        <f ca="1">IF(SUM($G897:AM897)&gt;0.01,0,SUM($G902:AM902)*IF($B893=0,1,(1+$B895))-SUM($G907:AM907))</f>
        <v>3177500.0000000005</v>
      </c>
      <c r="AN908" s="185">
        <f ca="1">IF(SUM($G897:AN897)&gt;0.01,0,SUM($G902:AN902)*IF($B893=0,1,(1+$B895))-SUM($G907:AN907))</f>
        <v>3143333.333333334</v>
      </c>
      <c r="AO908" s="185">
        <f ca="1">IF(SUM($G897:AO897)&gt;0.01,0,SUM($G902:AO902)*IF($B893=0,1,(1+$B895))-SUM($G907:AO907))</f>
        <v>3109166.666666667</v>
      </c>
      <c r="AP908" s="185">
        <f ca="1">IF(SUM($G897:AP897)&gt;0.01,0,SUM($G902:AP902)*IF($B893=0,1,(1+$B895))-SUM($G907:AP907))</f>
        <v>3075000.0000000005</v>
      </c>
      <c r="AQ908" s="185">
        <f ca="1">IF(SUM($G897:AQ897)&gt;0.01,0,SUM($G902:AQ902)*IF($B893=0,1,(1+$B895))-SUM($G907:AQ907))</f>
        <v>3040833.333333334</v>
      </c>
      <c r="AR908" s="185">
        <f ca="1">IF(SUM($G897:AR897)&gt;0.01,0,SUM($G902:AR902)*IF($B893=0,1,(1+$B895))-SUM($G907:AR907))</f>
        <v>3006666.666666667</v>
      </c>
      <c r="AS908" s="185">
        <f ca="1">IF(SUM($G897:AS897)&gt;0.01,0,SUM($G902:AS902)*IF($B893=0,1,(1+$B895))-SUM($G907:AS907))</f>
        <v>2972500</v>
      </c>
      <c r="AT908" s="185">
        <f ca="1">IF(SUM($G897:AT897)&gt;0.01,0,SUM($G902:AT902)*IF($B893=0,1,(1+$B895))-SUM($G907:AT907))</f>
        <v>2938333.3333333335</v>
      </c>
      <c r="AU908" s="185">
        <f ca="1">IF(SUM($G897:AU897)&gt;0.01,0,SUM($G902:AU902)*IF($B893=0,1,(1+$B895))-SUM($G907:AU907))</f>
        <v>2904166.666666667</v>
      </c>
      <c r="AV908" s="185">
        <f ca="1">IF(SUM($G897:AV897)&gt;0.01,0,SUM($G902:AV902)*IF($B893=0,1,(1+$B895))-SUM($G907:AV907))</f>
        <v>2870000</v>
      </c>
      <c r="AW908" s="185">
        <f ca="1">IF(SUM($G897:AW897)&gt;0.01,0,SUM($G902:AW902)*IF($B893=0,1,(1+$B895))-SUM($G907:AW907))</f>
        <v>2835833.333333333</v>
      </c>
      <c r="AX908" s="185">
        <f ca="1">IF(SUM($G897:AX897)&gt;0.01,0,SUM($G902:AX902)*IF($B893=0,1,(1+$B895))-SUM($G907:AX907))</f>
        <v>2801666.6666666665</v>
      </c>
      <c r="AY908" s="185">
        <f ca="1">IF(SUM($G897:AY897)&gt;0.01,0,SUM($G902:AY902)*IF($B893=0,1,(1+$B895))-SUM($G907:AY907))</f>
        <v>2767500</v>
      </c>
      <c r="AZ908" s="185">
        <f ca="1">IF(SUM($G897:AZ897)&gt;0.01,0,SUM($G902:AZ902)*IF($B893=0,1,(1+$B895))-SUM($G907:AZ907))</f>
        <v>2733333.333333333</v>
      </c>
      <c r="BA908" s="185">
        <f ca="1">IF(SUM($G897:BA897)&gt;0.01,0,SUM($G902:BA902)*IF($B893=0,1,(1+$B895))-SUM($G907:BA907))</f>
        <v>2699166.666666666</v>
      </c>
      <c r="BB908" s="185">
        <f ca="1">IF(SUM($G897:BB897)&gt;0.01,0,SUM($G902:BB902)*IF($B893=0,1,(1+$B895))-SUM($G907:BB907))</f>
        <v>2664999.9999999995</v>
      </c>
      <c r="BC908" s="185"/>
      <c r="BD908" s="186"/>
    </row>
    <row r="909" spans="1:56" hidden="1" outlineLevel="1" x14ac:dyDescent="0.3">
      <c r="A909" s="184" t="str">
        <f ca="1">Language!A$917</f>
        <v>выплаченный НДС</v>
      </c>
      <c r="B909" s="216"/>
      <c r="C909" s="163" t="str">
        <f t="shared" ca="1" si="3532"/>
        <v>руб.</v>
      </c>
      <c r="D909" s="174">
        <v>1</v>
      </c>
      <c r="E909" s="170" t="s">
        <v>758</v>
      </c>
      <c r="F909" s="170" t="s">
        <v>740</v>
      </c>
      <c r="G909" s="185">
        <f t="shared" ref="G909:BB909" si="3534">IF($B893=0,G898*G896,IF(G$2=$B894,(MAX($BD898,$BD902)+$B900+$BD903)*G896,0))</f>
        <v>0</v>
      </c>
      <c r="H909" s="185">
        <f t="shared" si="3534"/>
        <v>0</v>
      </c>
      <c r="I909" s="185">
        <f t="shared" si="3534"/>
        <v>0</v>
      </c>
      <c r="J909" s="185">
        <f t="shared" si="3534"/>
        <v>0</v>
      </c>
      <c r="K909" s="185">
        <f t="shared" si="3534"/>
        <v>0</v>
      </c>
      <c r="L909" s="185">
        <f t="shared" si="3534"/>
        <v>0</v>
      </c>
      <c r="M909" s="185">
        <f t="shared" si="3534"/>
        <v>0</v>
      </c>
      <c r="N909" s="185">
        <f t="shared" si="3534"/>
        <v>0</v>
      </c>
      <c r="O909" s="185">
        <f t="shared" si="3534"/>
        <v>0</v>
      </c>
      <c r="P909" s="185">
        <f t="shared" si="3534"/>
        <v>0</v>
      </c>
      <c r="Q909" s="185">
        <f t="shared" si="3534"/>
        <v>0</v>
      </c>
      <c r="R909" s="185">
        <f t="shared" si="3534"/>
        <v>0</v>
      </c>
      <c r="S909" s="185">
        <f t="shared" si="3534"/>
        <v>0</v>
      </c>
      <c r="T909" s="185">
        <f t="shared" si="3534"/>
        <v>0</v>
      </c>
      <c r="U909" s="185">
        <f t="shared" si="3534"/>
        <v>0</v>
      </c>
      <c r="V909" s="185">
        <f t="shared" si="3534"/>
        <v>0</v>
      </c>
      <c r="W909" s="185">
        <f t="shared" si="3534"/>
        <v>0</v>
      </c>
      <c r="X909" s="185">
        <f t="shared" si="3534"/>
        <v>0</v>
      </c>
      <c r="Y909" s="185">
        <f t="shared" si="3534"/>
        <v>0</v>
      </c>
      <c r="Z909" s="185">
        <f t="shared" si="3534"/>
        <v>0</v>
      </c>
      <c r="AA909" s="185">
        <f t="shared" si="3534"/>
        <v>0</v>
      </c>
      <c r="AB909" s="185">
        <f t="shared" si="3534"/>
        <v>0</v>
      </c>
      <c r="AC909" s="185">
        <f t="shared" si="3534"/>
        <v>0</v>
      </c>
      <c r="AD909" s="185">
        <f t="shared" si="3534"/>
        <v>0</v>
      </c>
      <c r="AE909" s="185">
        <f t="shared" si="3534"/>
        <v>0</v>
      </c>
      <c r="AF909" s="185">
        <f t="shared" si="3534"/>
        <v>0</v>
      </c>
      <c r="AG909" s="185">
        <f t="shared" si="3534"/>
        <v>0</v>
      </c>
      <c r="AH909" s="185">
        <f t="shared" si="3534"/>
        <v>0</v>
      </c>
      <c r="AI909" s="185">
        <f t="shared" si="3534"/>
        <v>0</v>
      </c>
      <c r="AJ909" s="185">
        <f t="shared" si="3534"/>
        <v>0</v>
      </c>
      <c r="AK909" s="185">
        <f t="shared" si="3534"/>
        <v>0</v>
      </c>
      <c r="AL909" s="185">
        <f t="shared" si="3534"/>
        <v>0</v>
      </c>
      <c r="AM909" s="185">
        <f t="shared" si="3534"/>
        <v>0</v>
      </c>
      <c r="AN909" s="185">
        <f t="shared" si="3534"/>
        <v>0</v>
      </c>
      <c r="AO909" s="185">
        <f t="shared" si="3534"/>
        <v>0</v>
      </c>
      <c r="AP909" s="185">
        <f t="shared" si="3534"/>
        <v>0</v>
      </c>
      <c r="AQ909" s="185">
        <f t="shared" si="3534"/>
        <v>0</v>
      </c>
      <c r="AR909" s="185">
        <f t="shared" si="3534"/>
        <v>0</v>
      </c>
      <c r="AS909" s="185">
        <f t="shared" si="3534"/>
        <v>0</v>
      </c>
      <c r="AT909" s="185">
        <f t="shared" si="3534"/>
        <v>0</v>
      </c>
      <c r="AU909" s="185">
        <f t="shared" si="3534"/>
        <v>0</v>
      </c>
      <c r="AV909" s="185">
        <f t="shared" si="3534"/>
        <v>0</v>
      </c>
      <c r="AW909" s="185">
        <f t="shared" si="3534"/>
        <v>0</v>
      </c>
      <c r="AX909" s="185">
        <f t="shared" si="3534"/>
        <v>0</v>
      </c>
      <c r="AY909" s="185">
        <f t="shared" si="3534"/>
        <v>0</v>
      </c>
      <c r="AZ909" s="185">
        <f t="shared" si="3534"/>
        <v>0</v>
      </c>
      <c r="BA909" s="185">
        <f t="shared" si="3534"/>
        <v>0</v>
      </c>
      <c r="BB909" s="185">
        <f t="shared" si="3534"/>
        <v>0</v>
      </c>
      <c r="BC909" s="185"/>
      <c r="BD909" s="193">
        <f>SUM(G909:BC909)</f>
        <v>0</v>
      </c>
    </row>
    <row r="910" spans="1:56" hidden="1" outlineLevel="1" x14ac:dyDescent="0.3">
      <c r="A910" s="184" t="str">
        <f ca="1">Language!A$918</f>
        <v>зачтенный НДС</v>
      </c>
      <c r="B910" s="216"/>
      <c r="C910" s="163" t="str">
        <f t="shared" ca="1" si="3532"/>
        <v>руб.</v>
      </c>
      <c r="D910" s="174">
        <v>1</v>
      </c>
      <c r="E910" s="170" t="s">
        <v>759</v>
      </c>
      <c r="F910" s="170" t="s">
        <v>740</v>
      </c>
      <c r="G910" s="185">
        <f t="shared" ref="G910:BB910" si="3535">IF($B893=0,G902*G896,IF($BD890=0,0,$BD909*G890/$BD890))</f>
        <v>0</v>
      </c>
      <c r="H910" s="185">
        <f t="shared" si="3535"/>
        <v>0</v>
      </c>
      <c r="I910" s="185">
        <f t="shared" si="3535"/>
        <v>0</v>
      </c>
      <c r="J910" s="185">
        <f t="shared" si="3535"/>
        <v>0</v>
      </c>
      <c r="K910" s="185">
        <f t="shared" si="3535"/>
        <v>0</v>
      </c>
      <c r="L910" s="185">
        <f t="shared" si="3535"/>
        <v>0</v>
      </c>
      <c r="M910" s="185">
        <f t="shared" si="3535"/>
        <v>0</v>
      </c>
      <c r="N910" s="185">
        <f t="shared" si="3535"/>
        <v>0</v>
      </c>
      <c r="O910" s="185">
        <f t="shared" si="3535"/>
        <v>0</v>
      </c>
      <c r="P910" s="185">
        <f t="shared" si="3535"/>
        <v>0</v>
      </c>
      <c r="Q910" s="185">
        <f t="shared" si="3535"/>
        <v>0</v>
      </c>
      <c r="R910" s="185">
        <f t="shared" si="3535"/>
        <v>0</v>
      </c>
      <c r="S910" s="185">
        <f t="shared" si="3535"/>
        <v>0</v>
      </c>
      <c r="T910" s="185">
        <f t="shared" si="3535"/>
        <v>0</v>
      </c>
      <c r="U910" s="185">
        <f t="shared" si="3535"/>
        <v>0</v>
      </c>
      <c r="V910" s="185">
        <f t="shared" si="3535"/>
        <v>0</v>
      </c>
      <c r="W910" s="185">
        <f t="shared" si="3535"/>
        <v>0</v>
      </c>
      <c r="X910" s="185">
        <f t="shared" si="3535"/>
        <v>0</v>
      </c>
      <c r="Y910" s="185">
        <f t="shared" si="3535"/>
        <v>0</v>
      </c>
      <c r="Z910" s="185">
        <f t="shared" si="3535"/>
        <v>0</v>
      </c>
      <c r="AA910" s="185">
        <f t="shared" si="3535"/>
        <v>0</v>
      </c>
      <c r="AB910" s="185">
        <f t="shared" si="3535"/>
        <v>0</v>
      </c>
      <c r="AC910" s="185">
        <f t="shared" si="3535"/>
        <v>0</v>
      </c>
      <c r="AD910" s="185">
        <f t="shared" si="3535"/>
        <v>0</v>
      </c>
      <c r="AE910" s="185">
        <f t="shared" si="3535"/>
        <v>0</v>
      </c>
      <c r="AF910" s="185">
        <f t="shared" si="3535"/>
        <v>0</v>
      </c>
      <c r="AG910" s="185">
        <f t="shared" si="3535"/>
        <v>0</v>
      </c>
      <c r="AH910" s="185">
        <f t="shared" si="3535"/>
        <v>0</v>
      </c>
      <c r="AI910" s="185">
        <f t="shared" si="3535"/>
        <v>0</v>
      </c>
      <c r="AJ910" s="185">
        <f t="shared" si="3535"/>
        <v>0</v>
      </c>
      <c r="AK910" s="185">
        <f t="shared" si="3535"/>
        <v>0</v>
      </c>
      <c r="AL910" s="185">
        <f t="shared" si="3535"/>
        <v>0</v>
      </c>
      <c r="AM910" s="185">
        <f t="shared" si="3535"/>
        <v>0</v>
      </c>
      <c r="AN910" s="185">
        <f t="shared" si="3535"/>
        <v>0</v>
      </c>
      <c r="AO910" s="185">
        <f t="shared" si="3535"/>
        <v>0</v>
      </c>
      <c r="AP910" s="185">
        <f t="shared" si="3535"/>
        <v>0</v>
      </c>
      <c r="AQ910" s="185">
        <f t="shared" si="3535"/>
        <v>0</v>
      </c>
      <c r="AR910" s="185">
        <f t="shared" si="3535"/>
        <v>0</v>
      </c>
      <c r="AS910" s="185">
        <f t="shared" si="3535"/>
        <v>0</v>
      </c>
      <c r="AT910" s="185">
        <f t="shared" si="3535"/>
        <v>0</v>
      </c>
      <c r="AU910" s="185">
        <f t="shared" si="3535"/>
        <v>0</v>
      </c>
      <c r="AV910" s="185">
        <f t="shared" si="3535"/>
        <v>0</v>
      </c>
      <c r="AW910" s="185">
        <f t="shared" si="3535"/>
        <v>0</v>
      </c>
      <c r="AX910" s="185">
        <f t="shared" si="3535"/>
        <v>0</v>
      </c>
      <c r="AY910" s="185">
        <f t="shared" si="3535"/>
        <v>0</v>
      </c>
      <c r="AZ910" s="185">
        <f t="shared" si="3535"/>
        <v>0</v>
      </c>
      <c r="BA910" s="185">
        <f t="shared" si="3535"/>
        <v>0</v>
      </c>
      <c r="BB910" s="185">
        <f t="shared" si="3535"/>
        <v>0</v>
      </c>
      <c r="BC910" s="185"/>
      <c r="BD910" s="193">
        <f>SUM(G910:BC910)</f>
        <v>0</v>
      </c>
    </row>
    <row r="911" spans="1:56" hidden="1" outlineLevel="1" x14ac:dyDescent="0.3">
      <c r="A911" s="184" t="str">
        <f ca="1">Language!A$919</f>
        <v>амортизация (налоговая)</v>
      </c>
      <c r="B911" s="216"/>
      <c r="C911" s="163" t="str">
        <f t="shared" ca="1" si="3532"/>
        <v>руб.</v>
      </c>
      <c r="D911" s="174">
        <v>1</v>
      </c>
      <c r="E911" s="170" t="s">
        <v>760</v>
      </c>
      <c r="F911" s="170" t="s">
        <v>740</v>
      </c>
      <c r="G911" s="185">
        <f ca="1">IF(SUM($G897:G897)&gt;0.01,0,$B892*G902*IF($B893=0,1,(1+$B895))+IF($B891=0,0,MIN((SUM($G902:G902)-IF(G$2&gt;$B891*12/Prj_Step,SUM($G902:OFFSET(G902,0,-$B891*12/Prj_Step)),0))*IF($B893=0,1,(1+$B895))*(1-$B892)/$B891/12*Параметры!G$31,IF(G$2=1,G902*IF($B893=0,1,(1+$B895)),F912+SUM($F902:G902)*(1-$B892)*IF($B893=0,1,(1+$B895))-SUM($F902:F902)*(1-$B892)*IF($B893=0,1,(1+$B895))))))</f>
        <v>0</v>
      </c>
      <c r="H911" s="185">
        <f ca="1">IF(SUM($G897:H897)&gt;0.01,0,$B892*H902*IF($B893=0,1,(1+$B895))+IF($B891=0,0,MIN((SUM($G902:H902)-IF(H$2&gt;$B891*12/Prj_Step,SUM($G902:OFFSET(H902,0,-$B891*12/Prj_Step)),0))*IF($B893=0,1,(1+$B895))*(1-$B892)/$B891/12*Параметры!H$31,IF(H$2=1,H902*IF($B893=0,1,(1+$B895)),G912+SUM($F902:H902)*(1-$B892)*IF($B893=0,1,(1+$B895))-SUM($F902:G902)*(1-$B892)*IF($B893=0,1,(1+$B895))))))</f>
        <v>0</v>
      </c>
      <c r="I911" s="185">
        <f ca="1">IF(SUM($G897:I897)&gt;0.01,0,$B892*I902*IF($B893=0,1,(1+$B895))+IF($B891=0,0,MIN((SUM($G902:I902)-IF(I$2&gt;$B891*12/Prj_Step,SUM($G902:OFFSET(I902,0,-$B891*12/Prj_Step)),0))*IF($B893=0,1,(1+$B895))*(1-$B892)/$B891/12*Параметры!I$31,IF(I$2=1,I902*IF($B893=0,1,(1+$B895)),H912+SUM($F902:I902)*(1-$B892)*IF($B893=0,1,(1+$B895))-SUM($F902:H902)*(1-$B892)*IF($B893=0,1,(1+$B895))))))</f>
        <v>0</v>
      </c>
      <c r="J911" s="185">
        <f ca="1">IF(SUM($G897:J897)&gt;0.01,0,$B892*J902*IF($B893=0,1,(1+$B895))+IF($B891=0,0,MIN((SUM($G902:J902)-IF(J$2&gt;$B891*12/Prj_Step,SUM($G902:OFFSET(J902,0,-$B891*12/Prj_Step)),0))*IF($B893=0,1,(1+$B895))*(1-$B892)/$B891/12*Параметры!J$31,IF(J$2=1,J902*IF($B893=0,1,(1+$B895)),I912+SUM($F902:J902)*(1-$B892)*IF($B893=0,1,(1+$B895))-SUM($F902:I902)*(1-$B892)*IF($B893=0,1,(1+$B895))))))</f>
        <v>0</v>
      </c>
      <c r="K911" s="185">
        <f ca="1">IF(SUM($G897:K897)&gt;0.01,0,$B892*K902*IF($B893=0,1,(1+$B895))+IF($B891=0,0,MIN((SUM($G902:K902)-IF(K$2&gt;$B891*12/Prj_Step,SUM($G902:OFFSET(K902,0,-$B891*12/Prj_Step)),0))*IF($B893=0,1,(1+$B895))*(1-$B892)/$B891/12*Параметры!K$31,IF(K$2=1,K902*IF($B893=0,1,(1+$B895)),J912+SUM($F902:K902)*(1-$B892)*IF($B893=0,1,(1+$B895))-SUM($F902:J902)*(1-$B892)*IF($B893=0,1,(1+$B895))))))</f>
        <v>0</v>
      </c>
      <c r="L911" s="185">
        <f ca="1">IF(SUM($G897:L897)&gt;0.01,0,$B892*L902*IF($B893=0,1,(1+$B895))+IF($B891=0,0,MIN((SUM($G902:L902)-IF(L$2&gt;$B891*12/Prj_Step,SUM($G902:OFFSET(L902,0,-$B891*12/Prj_Step)),0))*IF($B893=0,1,(1+$B895))*(1-$B892)/$B891/12*Параметры!L$31,IF(L$2=1,L902*IF($B893=0,1,(1+$B895)),K912+SUM($F902:L902)*(1-$B892)*IF($B893=0,1,(1+$B895))-SUM($F902:K902)*(1-$B892)*IF($B893=0,1,(1+$B895))))))</f>
        <v>0</v>
      </c>
      <c r="M911" s="185">
        <f ca="1">IF(SUM($G897:M897)&gt;0.01,0,$B892*M902*IF($B893=0,1,(1+$B895))+IF($B891=0,0,MIN((SUM($G902:M902)-IF(M$2&gt;$B891*12/Prj_Step,SUM($G902:OFFSET(M902,0,-$B891*12/Prj_Step)),0))*IF($B893=0,1,(1+$B895))*(1-$B892)/$B891/12*Параметры!M$31,IF(M$2=1,M902*IF($B893=0,1,(1+$B895)),L912+SUM($F902:M902)*(1-$B892)*IF($B893=0,1,(1+$B895))-SUM($F902:L902)*(1-$B892)*IF($B893=0,1,(1+$B895))))))</f>
        <v>34166.666666666664</v>
      </c>
      <c r="N911" s="185">
        <f ca="1">IF(SUM($G897:N897)&gt;0.01,0,$B892*N902*IF($B893=0,1,(1+$B895))+IF($B891=0,0,MIN((SUM($G902:N902)-IF(N$2&gt;$B891*12/Prj_Step,SUM($G902:OFFSET(N902,0,-$B891*12/Prj_Step)),0))*IF($B893=0,1,(1+$B895))*(1-$B892)/$B891/12*Параметры!N$31,IF(N$2=1,N902*IF($B893=0,1,(1+$B895)),M912+SUM($F902:N902)*(1-$B892)*IF($B893=0,1,(1+$B895))-SUM($F902:M902)*(1-$B892)*IF($B893=0,1,(1+$B895))))))</f>
        <v>34166.666666666664</v>
      </c>
      <c r="O911" s="185">
        <f ca="1">IF(SUM($G897:O897)&gt;0.01,0,$B892*O902*IF($B893=0,1,(1+$B895))+IF($B891=0,0,MIN((SUM($G902:O902)-IF(O$2&gt;$B891*12/Prj_Step,SUM($G902:OFFSET(O902,0,-$B891*12/Prj_Step)),0))*IF($B893=0,1,(1+$B895))*(1-$B892)/$B891/12*Параметры!O$31,IF(O$2=1,O902*IF($B893=0,1,(1+$B895)),N912+SUM($F902:O902)*(1-$B892)*IF($B893=0,1,(1+$B895))-SUM($F902:N902)*(1-$B892)*IF($B893=0,1,(1+$B895))))))</f>
        <v>34166.666666666664</v>
      </c>
      <c r="P911" s="185">
        <f ca="1">IF(SUM($G897:P897)&gt;0.01,0,$B892*P902*IF($B893=0,1,(1+$B895))+IF($B891=0,0,MIN((SUM($G902:P902)-IF(P$2&gt;$B891*12/Prj_Step,SUM($G902:OFFSET(P902,0,-$B891*12/Prj_Step)),0))*IF($B893=0,1,(1+$B895))*(1-$B892)/$B891/12*Параметры!P$31,IF(P$2=1,P902*IF($B893=0,1,(1+$B895)),O912+SUM($F902:P902)*(1-$B892)*IF($B893=0,1,(1+$B895))-SUM($F902:O902)*(1-$B892)*IF($B893=0,1,(1+$B895))))))</f>
        <v>34166.666666666664</v>
      </c>
      <c r="Q911" s="185">
        <f ca="1">IF(SUM($G897:Q897)&gt;0.01,0,$B892*Q902*IF($B893=0,1,(1+$B895))+IF($B891=0,0,MIN((SUM($G902:Q902)-IF(Q$2&gt;$B891*12/Prj_Step,SUM($G902:OFFSET(Q902,0,-$B891*12/Prj_Step)),0))*IF($B893=0,1,(1+$B895))*(1-$B892)/$B891/12*Параметры!Q$31,IF(Q$2=1,Q902*IF($B893=0,1,(1+$B895)),P912+SUM($F902:Q902)*(1-$B892)*IF($B893=0,1,(1+$B895))-SUM($F902:P902)*(1-$B892)*IF($B893=0,1,(1+$B895))))))</f>
        <v>34166.666666666664</v>
      </c>
      <c r="R911" s="185">
        <f ca="1">IF(SUM($G897:R897)&gt;0.01,0,$B892*R902*IF($B893=0,1,(1+$B895))+IF($B891=0,0,MIN((SUM($G902:R902)-IF(R$2&gt;$B891*12/Prj_Step,SUM($G902:OFFSET(R902,0,-$B891*12/Prj_Step)),0))*IF($B893=0,1,(1+$B895))*(1-$B892)/$B891/12*Параметры!R$31,IF(R$2=1,R902*IF($B893=0,1,(1+$B895)),Q912+SUM($F902:R902)*(1-$B892)*IF($B893=0,1,(1+$B895))-SUM($F902:Q902)*(1-$B892)*IF($B893=0,1,(1+$B895))))))</f>
        <v>34166.666666666664</v>
      </c>
      <c r="S911" s="185">
        <f ca="1">IF(SUM($G897:S897)&gt;0.01,0,$B892*S902*IF($B893=0,1,(1+$B895))+IF($B891=0,0,MIN((SUM($G902:S902)-IF(S$2&gt;$B891*12/Prj_Step,SUM($G902:OFFSET(S902,0,-$B891*12/Prj_Step)),0))*IF($B893=0,1,(1+$B895))*(1-$B892)/$B891/12*Параметры!S$31,IF(S$2=1,S902*IF($B893=0,1,(1+$B895)),R912+SUM($F902:S902)*(1-$B892)*IF($B893=0,1,(1+$B895))-SUM($F902:R902)*(1-$B892)*IF($B893=0,1,(1+$B895))))))</f>
        <v>34166.666666666664</v>
      </c>
      <c r="T911" s="185">
        <f ca="1">IF(SUM($G897:T897)&gt;0.01,0,$B892*T902*IF($B893=0,1,(1+$B895))+IF($B891=0,0,MIN((SUM($G902:T902)-IF(T$2&gt;$B891*12/Prj_Step,SUM($G902:OFFSET(T902,0,-$B891*12/Prj_Step)),0))*IF($B893=0,1,(1+$B895))*(1-$B892)/$B891/12*Параметры!T$31,IF(T$2=1,T902*IF($B893=0,1,(1+$B895)),S912+SUM($F902:T902)*(1-$B892)*IF($B893=0,1,(1+$B895))-SUM($F902:S902)*(1-$B892)*IF($B893=0,1,(1+$B895))))))</f>
        <v>34166.666666666664</v>
      </c>
      <c r="U911" s="185">
        <f ca="1">IF(SUM($G897:U897)&gt;0.01,0,$B892*U902*IF($B893=0,1,(1+$B895))+IF($B891=0,0,MIN((SUM($G902:U902)-IF(U$2&gt;$B891*12/Prj_Step,SUM($G902:OFFSET(U902,0,-$B891*12/Prj_Step)),0))*IF($B893=0,1,(1+$B895))*(1-$B892)/$B891/12*Параметры!U$31,IF(U$2=1,U902*IF($B893=0,1,(1+$B895)),T912+SUM($F902:U902)*(1-$B892)*IF($B893=0,1,(1+$B895))-SUM($F902:T902)*(1-$B892)*IF($B893=0,1,(1+$B895))))))</f>
        <v>34166.666666666664</v>
      </c>
      <c r="V911" s="185">
        <f ca="1">IF(SUM($G897:V897)&gt;0.01,0,$B892*V902*IF($B893=0,1,(1+$B895))+IF($B891=0,0,MIN((SUM($G902:V902)-IF(V$2&gt;$B891*12/Prj_Step,SUM($G902:OFFSET(V902,0,-$B891*12/Prj_Step)),0))*IF($B893=0,1,(1+$B895))*(1-$B892)/$B891/12*Параметры!V$31,IF(V$2=1,V902*IF($B893=0,1,(1+$B895)),U912+SUM($F902:V902)*(1-$B892)*IF($B893=0,1,(1+$B895))-SUM($F902:U902)*(1-$B892)*IF($B893=0,1,(1+$B895))))))</f>
        <v>34166.666666666664</v>
      </c>
      <c r="W911" s="185">
        <f ca="1">IF(SUM($G897:W897)&gt;0.01,0,$B892*W902*IF($B893=0,1,(1+$B895))+IF($B891=0,0,MIN((SUM($G902:W902)-IF(W$2&gt;$B891*12/Prj_Step,SUM($G902:OFFSET(W902,0,-$B891*12/Prj_Step)),0))*IF($B893=0,1,(1+$B895))*(1-$B892)/$B891/12*Параметры!W$31,IF(W$2=1,W902*IF($B893=0,1,(1+$B895)),V912+SUM($F902:W902)*(1-$B892)*IF($B893=0,1,(1+$B895))-SUM($F902:V902)*(1-$B892)*IF($B893=0,1,(1+$B895))))))</f>
        <v>34166.666666666664</v>
      </c>
      <c r="X911" s="185">
        <f ca="1">IF(SUM($G897:X897)&gt;0.01,0,$B892*X902*IF($B893=0,1,(1+$B895))+IF($B891=0,0,MIN((SUM($G902:X902)-IF(X$2&gt;$B891*12/Prj_Step,SUM($G902:OFFSET(X902,0,-$B891*12/Prj_Step)),0))*IF($B893=0,1,(1+$B895))*(1-$B892)/$B891/12*Параметры!X$31,IF(X$2=1,X902*IF($B893=0,1,(1+$B895)),W912+SUM($F902:X902)*(1-$B892)*IF($B893=0,1,(1+$B895))-SUM($F902:W902)*(1-$B892)*IF($B893=0,1,(1+$B895))))))</f>
        <v>34166.666666666664</v>
      </c>
      <c r="Y911" s="185">
        <f ca="1">IF(SUM($G897:Y897)&gt;0.01,0,$B892*Y902*IF($B893=0,1,(1+$B895))+IF($B891=0,0,MIN((SUM($G902:Y902)-IF(Y$2&gt;$B891*12/Prj_Step,SUM($G902:OFFSET(Y902,0,-$B891*12/Prj_Step)),0))*IF($B893=0,1,(1+$B895))*(1-$B892)/$B891/12*Параметры!Y$31,IF(Y$2=1,Y902*IF($B893=0,1,(1+$B895)),X912+SUM($F902:Y902)*(1-$B892)*IF($B893=0,1,(1+$B895))-SUM($F902:X902)*(1-$B892)*IF($B893=0,1,(1+$B895))))))</f>
        <v>34166.666666666664</v>
      </c>
      <c r="Z911" s="185">
        <f ca="1">IF(SUM($G897:Z897)&gt;0.01,0,$B892*Z902*IF($B893=0,1,(1+$B895))+IF($B891=0,0,MIN((SUM($G902:Z902)-IF(Z$2&gt;$B891*12/Prj_Step,SUM($G902:OFFSET(Z902,0,-$B891*12/Prj_Step)),0))*IF($B893=0,1,(1+$B895))*(1-$B892)/$B891/12*Параметры!Z$31,IF(Z$2=1,Z902*IF($B893=0,1,(1+$B895)),Y912+SUM($F902:Z902)*(1-$B892)*IF($B893=0,1,(1+$B895))-SUM($F902:Y902)*(1-$B892)*IF($B893=0,1,(1+$B895))))))</f>
        <v>34166.666666666664</v>
      </c>
      <c r="AA911" s="185">
        <f ca="1">IF(SUM($G897:AA897)&gt;0.01,0,$B892*AA902*IF($B893=0,1,(1+$B895))+IF($B891=0,0,MIN((SUM($G902:AA902)-IF(AA$2&gt;$B891*12/Prj_Step,SUM($G902:OFFSET(AA902,0,-$B891*12/Prj_Step)),0))*IF($B893=0,1,(1+$B895))*(1-$B892)/$B891/12*Параметры!AA$31,IF(AA$2=1,AA902*IF($B893=0,1,(1+$B895)),Z912+SUM($F902:AA902)*(1-$B892)*IF($B893=0,1,(1+$B895))-SUM($F902:Z902)*(1-$B892)*IF($B893=0,1,(1+$B895))))))</f>
        <v>34166.666666666664</v>
      </c>
      <c r="AB911" s="185">
        <f ca="1">IF(SUM($G897:AB897)&gt;0.01,0,$B892*AB902*IF($B893=0,1,(1+$B895))+IF($B891=0,0,MIN((SUM($G902:AB902)-IF(AB$2&gt;$B891*12/Prj_Step,SUM($G902:OFFSET(AB902,0,-$B891*12/Prj_Step)),0))*IF($B893=0,1,(1+$B895))*(1-$B892)/$B891/12*Параметры!AB$31,IF(AB$2=1,AB902*IF($B893=0,1,(1+$B895)),AA912+SUM($F902:AB902)*(1-$B892)*IF($B893=0,1,(1+$B895))-SUM($F902:AA902)*(1-$B892)*IF($B893=0,1,(1+$B895))))))</f>
        <v>34166.666666666664</v>
      </c>
      <c r="AC911" s="185">
        <f ca="1">IF(SUM($G897:AC897)&gt;0.01,0,$B892*AC902*IF($B893=0,1,(1+$B895))+IF($B891=0,0,MIN((SUM($G902:AC902)-IF(AC$2&gt;$B891*12/Prj_Step,SUM($G902:OFFSET(AC902,0,-$B891*12/Prj_Step)),0))*IF($B893=0,1,(1+$B895))*(1-$B892)/$B891/12*Параметры!AC$31,IF(AC$2=1,AC902*IF($B893=0,1,(1+$B895)),AB912+SUM($F902:AC902)*(1-$B892)*IF($B893=0,1,(1+$B895))-SUM($F902:AB902)*(1-$B892)*IF($B893=0,1,(1+$B895))))))</f>
        <v>34166.666666666664</v>
      </c>
      <c r="AD911" s="185">
        <f ca="1">IF(SUM($G897:AD897)&gt;0.01,0,$B892*AD902*IF($B893=0,1,(1+$B895))+IF($B891=0,0,MIN((SUM($G902:AD902)-IF(AD$2&gt;$B891*12/Prj_Step,SUM($G902:OFFSET(AD902,0,-$B891*12/Prj_Step)),0))*IF($B893=0,1,(1+$B895))*(1-$B892)/$B891/12*Параметры!AD$31,IF(AD$2=1,AD902*IF($B893=0,1,(1+$B895)),AC912+SUM($F902:AD902)*(1-$B892)*IF($B893=0,1,(1+$B895))-SUM($F902:AC902)*(1-$B892)*IF($B893=0,1,(1+$B895))))))</f>
        <v>34166.666666666664</v>
      </c>
      <c r="AE911" s="185">
        <f ca="1">IF(SUM($G897:AE897)&gt;0.01,0,$B892*AE902*IF($B893=0,1,(1+$B895))+IF($B891=0,0,MIN((SUM($G902:AE902)-IF(AE$2&gt;$B891*12/Prj_Step,SUM($G902:OFFSET(AE902,0,-$B891*12/Prj_Step)),0))*IF($B893=0,1,(1+$B895))*(1-$B892)/$B891/12*Параметры!AE$31,IF(AE$2=1,AE902*IF($B893=0,1,(1+$B895)),AD912+SUM($F902:AE902)*(1-$B892)*IF($B893=0,1,(1+$B895))-SUM($F902:AD902)*(1-$B892)*IF($B893=0,1,(1+$B895))))))</f>
        <v>34166.666666666664</v>
      </c>
      <c r="AF911" s="185">
        <f ca="1">IF(SUM($G897:AF897)&gt;0.01,0,$B892*AF902*IF($B893=0,1,(1+$B895))+IF($B891=0,0,MIN((SUM($G902:AF902)-IF(AF$2&gt;$B891*12/Prj_Step,SUM($G902:OFFSET(AF902,0,-$B891*12/Prj_Step)),0))*IF($B893=0,1,(1+$B895))*(1-$B892)/$B891/12*Параметры!AF$31,IF(AF$2=1,AF902*IF($B893=0,1,(1+$B895)),AE912+SUM($F902:AF902)*(1-$B892)*IF($B893=0,1,(1+$B895))-SUM($F902:AE902)*(1-$B892)*IF($B893=0,1,(1+$B895))))))</f>
        <v>34166.666666666664</v>
      </c>
      <c r="AG911" s="185">
        <f ca="1">IF(SUM($G897:AG897)&gt;0.01,0,$B892*AG902*IF($B893=0,1,(1+$B895))+IF($B891=0,0,MIN((SUM($G902:AG902)-IF(AG$2&gt;$B891*12/Prj_Step,SUM($G902:OFFSET(AG902,0,-$B891*12/Prj_Step)),0))*IF($B893=0,1,(1+$B895))*(1-$B892)/$B891/12*Параметры!AG$31,IF(AG$2=1,AG902*IF($B893=0,1,(1+$B895)),AF912+SUM($F902:AG902)*(1-$B892)*IF($B893=0,1,(1+$B895))-SUM($F902:AF902)*(1-$B892)*IF($B893=0,1,(1+$B895))))))</f>
        <v>34166.666666666664</v>
      </c>
      <c r="AH911" s="185">
        <f ca="1">IF(SUM($G897:AH897)&gt;0.01,0,$B892*AH902*IF($B893=0,1,(1+$B895))+IF($B891=0,0,MIN((SUM($G902:AH902)-IF(AH$2&gt;$B891*12/Prj_Step,SUM($G902:OFFSET(AH902,0,-$B891*12/Prj_Step)),0))*IF($B893=0,1,(1+$B895))*(1-$B892)/$B891/12*Параметры!AH$31,IF(AH$2=1,AH902*IF($B893=0,1,(1+$B895)),AG912+SUM($F902:AH902)*(1-$B892)*IF($B893=0,1,(1+$B895))-SUM($F902:AG902)*(1-$B892)*IF($B893=0,1,(1+$B895))))))</f>
        <v>34166.666666666664</v>
      </c>
      <c r="AI911" s="185">
        <f ca="1">IF(SUM($G897:AI897)&gt;0.01,0,$B892*AI902*IF($B893=0,1,(1+$B895))+IF($B891=0,0,MIN((SUM($G902:AI902)-IF(AI$2&gt;$B891*12/Prj_Step,SUM($G902:OFFSET(AI902,0,-$B891*12/Prj_Step)),0))*IF($B893=0,1,(1+$B895))*(1-$B892)/$B891/12*Параметры!AI$31,IF(AI$2=1,AI902*IF($B893=0,1,(1+$B895)),AH912+SUM($F902:AI902)*(1-$B892)*IF($B893=0,1,(1+$B895))-SUM($F902:AH902)*(1-$B892)*IF($B893=0,1,(1+$B895))))))</f>
        <v>34166.666666666664</v>
      </c>
      <c r="AJ911" s="185">
        <f ca="1">IF(SUM($G897:AJ897)&gt;0.01,0,$B892*AJ902*IF($B893=0,1,(1+$B895))+IF($B891=0,0,MIN((SUM($G902:AJ902)-IF(AJ$2&gt;$B891*12/Prj_Step,SUM($G902:OFFSET(AJ902,0,-$B891*12/Prj_Step)),0))*IF($B893=0,1,(1+$B895))*(1-$B892)/$B891/12*Параметры!AJ$31,IF(AJ$2=1,AJ902*IF($B893=0,1,(1+$B895)),AI912+SUM($F902:AJ902)*(1-$B892)*IF($B893=0,1,(1+$B895))-SUM($F902:AI902)*(1-$B892)*IF($B893=0,1,(1+$B895))))))</f>
        <v>34166.666666666664</v>
      </c>
      <c r="AK911" s="185">
        <f ca="1">IF(SUM($G897:AK897)&gt;0.01,0,$B892*AK902*IF($B893=0,1,(1+$B895))+IF($B891=0,0,MIN((SUM($G902:AK902)-IF(AK$2&gt;$B891*12/Prj_Step,SUM($G902:OFFSET(AK902,0,-$B891*12/Prj_Step)),0))*IF($B893=0,1,(1+$B895))*(1-$B892)/$B891/12*Параметры!AK$31,IF(AK$2=1,AK902*IF($B893=0,1,(1+$B895)),AJ912+SUM($F902:AK902)*(1-$B892)*IF($B893=0,1,(1+$B895))-SUM($F902:AJ902)*(1-$B892)*IF($B893=0,1,(1+$B895))))))</f>
        <v>34166.666666666664</v>
      </c>
      <c r="AL911" s="185">
        <f ca="1">IF(SUM($G897:AL897)&gt;0.01,0,$B892*AL902*IF($B893=0,1,(1+$B895))+IF($B891=0,0,MIN((SUM($G902:AL902)-IF(AL$2&gt;$B891*12/Prj_Step,SUM($G902:OFFSET(AL902,0,-$B891*12/Prj_Step)),0))*IF($B893=0,1,(1+$B895))*(1-$B892)/$B891/12*Параметры!AL$31,IF(AL$2=1,AL902*IF($B893=0,1,(1+$B895)),AK912+SUM($F902:AL902)*(1-$B892)*IF($B893=0,1,(1+$B895))-SUM($F902:AK902)*(1-$B892)*IF($B893=0,1,(1+$B895))))))</f>
        <v>34166.666666666664</v>
      </c>
      <c r="AM911" s="185">
        <f ca="1">IF(SUM($G897:AM897)&gt;0.01,0,$B892*AM902*IF($B893=0,1,(1+$B895))+IF($B891=0,0,MIN((SUM($G902:AM902)-IF(AM$2&gt;$B891*12/Prj_Step,SUM($G902:OFFSET(AM902,0,-$B891*12/Prj_Step)),0))*IF($B893=0,1,(1+$B895))*(1-$B892)/$B891/12*Параметры!AM$31,IF(AM$2=1,AM902*IF($B893=0,1,(1+$B895)),AL912+SUM($F902:AM902)*(1-$B892)*IF($B893=0,1,(1+$B895))-SUM($F902:AL902)*(1-$B892)*IF($B893=0,1,(1+$B895))))))</f>
        <v>34166.666666666664</v>
      </c>
      <c r="AN911" s="185">
        <f ca="1">IF(SUM($G897:AN897)&gt;0.01,0,$B892*AN902*IF($B893=0,1,(1+$B895))+IF($B891=0,0,MIN((SUM($G902:AN902)-IF(AN$2&gt;$B891*12/Prj_Step,SUM($G902:OFFSET(AN902,0,-$B891*12/Prj_Step)),0))*IF($B893=0,1,(1+$B895))*(1-$B892)/$B891/12*Параметры!AN$31,IF(AN$2=1,AN902*IF($B893=0,1,(1+$B895)),AM912+SUM($F902:AN902)*(1-$B892)*IF($B893=0,1,(1+$B895))-SUM($F902:AM902)*(1-$B892)*IF($B893=0,1,(1+$B895))))))</f>
        <v>34166.666666666664</v>
      </c>
      <c r="AO911" s="185">
        <f ca="1">IF(SUM($G897:AO897)&gt;0.01,0,$B892*AO902*IF($B893=0,1,(1+$B895))+IF($B891=0,0,MIN((SUM($G902:AO902)-IF(AO$2&gt;$B891*12/Prj_Step,SUM($G902:OFFSET(AO902,0,-$B891*12/Prj_Step)),0))*IF($B893=0,1,(1+$B895))*(1-$B892)/$B891/12*Параметры!AO$31,IF(AO$2=1,AO902*IF($B893=0,1,(1+$B895)),AN912+SUM($F902:AO902)*(1-$B892)*IF($B893=0,1,(1+$B895))-SUM($F902:AN902)*(1-$B892)*IF($B893=0,1,(1+$B895))))))</f>
        <v>34166.666666666664</v>
      </c>
      <c r="AP911" s="185">
        <f ca="1">IF(SUM($G897:AP897)&gt;0.01,0,$B892*AP902*IF($B893=0,1,(1+$B895))+IF($B891=0,0,MIN((SUM($G902:AP902)-IF(AP$2&gt;$B891*12/Prj_Step,SUM($G902:OFFSET(AP902,0,-$B891*12/Prj_Step)),0))*IF($B893=0,1,(1+$B895))*(1-$B892)/$B891/12*Параметры!AP$31,IF(AP$2=1,AP902*IF($B893=0,1,(1+$B895)),AO912+SUM($F902:AP902)*(1-$B892)*IF($B893=0,1,(1+$B895))-SUM($F902:AO902)*(1-$B892)*IF($B893=0,1,(1+$B895))))))</f>
        <v>34166.666666666664</v>
      </c>
      <c r="AQ911" s="185">
        <f ca="1">IF(SUM($G897:AQ897)&gt;0.01,0,$B892*AQ902*IF($B893=0,1,(1+$B895))+IF($B891=0,0,MIN((SUM($G902:AQ902)-IF(AQ$2&gt;$B891*12/Prj_Step,SUM($G902:OFFSET(AQ902,0,-$B891*12/Prj_Step)),0))*IF($B893=0,1,(1+$B895))*(1-$B892)/$B891/12*Параметры!AQ$31,IF(AQ$2=1,AQ902*IF($B893=0,1,(1+$B895)),AP912+SUM($F902:AQ902)*(1-$B892)*IF($B893=0,1,(1+$B895))-SUM($F902:AP902)*(1-$B892)*IF($B893=0,1,(1+$B895))))))</f>
        <v>34166.666666666664</v>
      </c>
      <c r="AR911" s="185">
        <f ca="1">IF(SUM($G897:AR897)&gt;0.01,0,$B892*AR902*IF($B893=0,1,(1+$B895))+IF($B891=0,0,MIN((SUM($G902:AR902)-IF(AR$2&gt;$B891*12/Prj_Step,SUM($G902:OFFSET(AR902,0,-$B891*12/Prj_Step)),0))*IF($B893=0,1,(1+$B895))*(1-$B892)/$B891/12*Параметры!AR$31,IF(AR$2=1,AR902*IF($B893=0,1,(1+$B895)),AQ912+SUM($F902:AR902)*(1-$B892)*IF($B893=0,1,(1+$B895))-SUM($F902:AQ902)*(1-$B892)*IF($B893=0,1,(1+$B895))))))</f>
        <v>34166.666666666664</v>
      </c>
      <c r="AS911" s="185">
        <f ca="1">IF(SUM($G897:AS897)&gt;0.01,0,$B892*AS902*IF($B893=0,1,(1+$B895))+IF($B891=0,0,MIN((SUM($G902:AS902)-IF(AS$2&gt;$B891*12/Prj_Step,SUM($G902:OFFSET(AS902,0,-$B891*12/Prj_Step)),0))*IF($B893=0,1,(1+$B895))*(1-$B892)/$B891/12*Параметры!AS$31,IF(AS$2=1,AS902*IF($B893=0,1,(1+$B895)),AR912+SUM($F902:AS902)*(1-$B892)*IF($B893=0,1,(1+$B895))-SUM($F902:AR902)*(1-$B892)*IF($B893=0,1,(1+$B895))))))</f>
        <v>34166.666666666664</v>
      </c>
      <c r="AT911" s="185">
        <f ca="1">IF(SUM($G897:AT897)&gt;0.01,0,$B892*AT902*IF($B893=0,1,(1+$B895))+IF($B891=0,0,MIN((SUM($G902:AT902)-IF(AT$2&gt;$B891*12/Prj_Step,SUM($G902:OFFSET(AT902,0,-$B891*12/Prj_Step)),0))*IF($B893=0,1,(1+$B895))*(1-$B892)/$B891/12*Параметры!AT$31,IF(AT$2=1,AT902*IF($B893=0,1,(1+$B895)),AS912+SUM($F902:AT902)*(1-$B892)*IF($B893=0,1,(1+$B895))-SUM($F902:AS902)*(1-$B892)*IF($B893=0,1,(1+$B895))))))</f>
        <v>34166.666666666664</v>
      </c>
      <c r="AU911" s="185">
        <f ca="1">IF(SUM($G897:AU897)&gt;0.01,0,$B892*AU902*IF($B893=0,1,(1+$B895))+IF($B891=0,0,MIN((SUM($G902:AU902)-IF(AU$2&gt;$B891*12/Prj_Step,SUM($G902:OFFSET(AU902,0,-$B891*12/Prj_Step)),0))*IF($B893=0,1,(1+$B895))*(1-$B892)/$B891/12*Параметры!AU$31,IF(AU$2=1,AU902*IF($B893=0,1,(1+$B895)),AT912+SUM($F902:AU902)*(1-$B892)*IF($B893=0,1,(1+$B895))-SUM($F902:AT902)*(1-$B892)*IF($B893=0,1,(1+$B895))))))</f>
        <v>34166.666666666664</v>
      </c>
      <c r="AV911" s="185">
        <f ca="1">IF(SUM($G897:AV897)&gt;0.01,0,$B892*AV902*IF($B893=0,1,(1+$B895))+IF($B891=0,0,MIN((SUM($G902:AV902)-IF(AV$2&gt;$B891*12/Prj_Step,SUM($G902:OFFSET(AV902,0,-$B891*12/Prj_Step)),0))*IF($B893=0,1,(1+$B895))*(1-$B892)/$B891/12*Параметры!AV$31,IF(AV$2=1,AV902*IF($B893=0,1,(1+$B895)),AU912+SUM($F902:AV902)*(1-$B892)*IF($B893=0,1,(1+$B895))-SUM($F902:AU902)*(1-$B892)*IF($B893=0,1,(1+$B895))))))</f>
        <v>34166.666666666664</v>
      </c>
      <c r="AW911" s="185">
        <f ca="1">IF(SUM($G897:AW897)&gt;0.01,0,$B892*AW902*IF($B893=0,1,(1+$B895))+IF($B891=0,0,MIN((SUM($G902:AW902)-IF(AW$2&gt;$B891*12/Prj_Step,SUM($G902:OFFSET(AW902,0,-$B891*12/Prj_Step)),0))*IF($B893=0,1,(1+$B895))*(1-$B892)/$B891/12*Параметры!AW$31,IF(AW$2=1,AW902*IF($B893=0,1,(1+$B895)),AV912+SUM($F902:AW902)*(1-$B892)*IF($B893=0,1,(1+$B895))-SUM($F902:AV902)*(1-$B892)*IF($B893=0,1,(1+$B895))))))</f>
        <v>34166.666666666664</v>
      </c>
      <c r="AX911" s="185">
        <f ca="1">IF(SUM($G897:AX897)&gt;0.01,0,$B892*AX902*IF($B893=0,1,(1+$B895))+IF($B891=0,0,MIN((SUM($G902:AX902)-IF(AX$2&gt;$B891*12/Prj_Step,SUM($G902:OFFSET(AX902,0,-$B891*12/Prj_Step)),0))*IF($B893=0,1,(1+$B895))*(1-$B892)/$B891/12*Параметры!AX$31,IF(AX$2=1,AX902*IF($B893=0,1,(1+$B895)),AW912+SUM($F902:AX902)*(1-$B892)*IF($B893=0,1,(1+$B895))-SUM($F902:AW902)*(1-$B892)*IF($B893=0,1,(1+$B895))))))</f>
        <v>34166.666666666664</v>
      </c>
      <c r="AY911" s="185">
        <f ca="1">IF(SUM($G897:AY897)&gt;0.01,0,$B892*AY902*IF($B893=0,1,(1+$B895))+IF($B891=0,0,MIN((SUM($G902:AY902)-IF(AY$2&gt;$B891*12/Prj_Step,SUM($G902:OFFSET(AY902,0,-$B891*12/Prj_Step)),0))*IF($B893=0,1,(1+$B895))*(1-$B892)/$B891/12*Параметры!AY$31,IF(AY$2=1,AY902*IF($B893=0,1,(1+$B895)),AX912+SUM($F902:AY902)*(1-$B892)*IF($B893=0,1,(1+$B895))-SUM($F902:AX902)*(1-$B892)*IF($B893=0,1,(1+$B895))))))</f>
        <v>34166.666666666664</v>
      </c>
      <c r="AZ911" s="185">
        <f ca="1">IF(SUM($G897:AZ897)&gt;0.01,0,$B892*AZ902*IF($B893=0,1,(1+$B895))+IF($B891=0,0,MIN((SUM($G902:AZ902)-IF(AZ$2&gt;$B891*12/Prj_Step,SUM($G902:OFFSET(AZ902,0,-$B891*12/Prj_Step)),0))*IF($B893=0,1,(1+$B895))*(1-$B892)/$B891/12*Параметры!AZ$31,IF(AZ$2=1,AZ902*IF($B893=0,1,(1+$B895)),AY912+SUM($F902:AZ902)*(1-$B892)*IF($B893=0,1,(1+$B895))-SUM($F902:AY902)*(1-$B892)*IF($B893=0,1,(1+$B895))))))</f>
        <v>34166.666666666664</v>
      </c>
      <c r="BA911" s="185">
        <f ca="1">IF(SUM($G897:BA897)&gt;0.01,0,$B892*BA902*IF($B893=0,1,(1+$B895))+IF($B891=0,0,MIN((SUM($G902:BA902)-IF(BA$2&gt;$B891*12/Prj_Step,SUM($G902:OFFSET(BA902,0,-$B891*12/Prj_Step)),0))*IF($B893=0,1,(1+$B895))*(1-$B892)/$B891/12*Параметры!BA$31,IF(BA$2=1,BA902*IF($B893=0,1,(1+$B895)),AZ912+SUM($F902:BA902)*(1-$B892)*IF($B893=0,1,(1+$B895))-SUM($F902:AZ902)*(1-$B892)*IF($B893=0,1,(1+$B895))))))</f>
        <v>34166.666666666664</v>
      </c>
      <c r="BB911" s="185">
        <f ca="1">IF(SUM($G897:BB897)&gt;0.01,0,$B892*BB902*IF($B893=0,1,(1+$B895))+IF($B891=0,0,MIN((SUM($G902:BB902)-IF(BB$2&gt;$B891*12/Prj_Step,SUM($G902:OFFSET(BB902,0,-$B891*12/Prj_Step)),0))*IF($B893=0,1,(1+$B895))*(1-$B892)/$B891/12*Параметры!BB$31,IF(BB$2=1,BB902*IF($B893=0,1,(1+$B895)),BA912+SUM($F902:BB902)*(1-$B892)*IF($B893=0,1,(1+$B895))-SUM($F902:BA902)*(1-$B892)*IF($B893=0,1,(1+$B895))))))</f>
        <v>34166.666666666664</v>
      </c>
      <c r="BC911" s="185"/>
      <c r="BD911" s="193">
        <f ca="1">SUM(G911:BC911)</f>
        <v>1435000.0000000005</v>
      </c>
    </row>
    <row r="912" spans="1:56" hidden="1" outlineLevel="1" x14ac:dyDescent="0.3">
      <c r="A912" s="184" t="str">
        <f ca="1">Language!A$920</f>
        <v>балансовая стоимость (налоговая)</v>
      </c>
      <c r="B912" s="216"/>
      <c r="C912" s="163" t="str">
        <f t="shared" ca="1" si="3532"/>
        <v>руб.</v>
      </c>
      <c r="D912" s="174">
        <v>1</v>
      </c>
      <c r="E912" s="170" t="s">
        <v>761</v>
      </c>
      <c r="F912" s="170" t="s">
        <v>741</v>
      </c>
      <c r="G912" s="185">
        <f ca="1">IF(SUM($G897:G897)&gt;0.01,0,SUM($G902:G902)*IF($B893=0,1,(1+$B895))-SUM($G911:G911))</f>
        <v>0</v>
      </c>
      <c r="H912" s="185">
        <f ca="1">IF(SUM($G897:H897)&gt;0.01,0,SUM($G902:H902)*IF($B893=0,1,(1+$B895))-SUM($G911:H911))</f>
        <v>0</v>
      </c>
      <c r="I912" s="185">
        <f ca="1">IF(SUM($G897:I897)&gt;0.01,0,SUM($G902:I902)*IF($B893=0,1,(1+$B895))-SUM($G911:I911))</f>
        <v>0</v>
      </c>
      <c r="J912" s="185">
        <f ca="1">IF(SUM($G897:J897)&gt;0.01,0,SUM($G902:J902)*IF($B893=0,1,(1+$B895))-SUM($G911:J911))</f>
        <v>0</v>
      </c>
      <c r="K912" s="185">
        <f ca="1">IF(SUM($G897:K897)&gt;0.01,0,SUM($G902:K902)*IF($B893=0,1,(1+$B895))-SUM($G911:K911))</f>
        <v>0</v>
      </c>
      <c r="L912" s="185">
        <f ca="1">IF(SUM($G897:L897)&gt;0.01,0,SUM($G902:L902)*IF($B893=0,1,(1+$B895))-SUM($G911:L911))</f>
        <v>0</v>
      </c>
      <c r="M912" s="185">
        <f ca="1">IF(SUM($G897:M897)&gt;0.01,0,SUM($G902:M902)*IF($B893=0,1,(1+$B895))-SUM($G911:M911))</f>
        <v>4065833.3333333335</v>
      </c>
      <c r="N912" s="185">
        <f ca="1">IF(SUM($G897:N897)&gt;0.01,0,SUM($G902:N902)*IF($B893=0,1,(1+$B895))-SUM($G911:N911))</f>
        <v>4031666.6666666665</v>
      </c>
      <c r="O912" s="185">
        <f ca="1">IF(SUM($G897:O897)&gt;0.01,0,SUM($G902:O902)*IF($B893=0,1,(1+$B895))-SUM($G911:O911))</f>
        <v>3997500</v>
      </c>
      <c r="P912" s="185">
        <f ca="1">IF(SUM($G897:P897)&gt;0.01,0,SUM($G902:P902)*IF($B893=0,1,(1+$B895))-SUM($G911:P911))</f>
        <v>3963333.3333333335</v>
      </c>
      <c r="Q912" s="185">
        <f ca="1">IF(SUM($G897:Q897)&gt;0.01,0,SUM($G902:Q902)*IF($B893=0,1,(1+$B895))-SUM($G911:Q911))</f>
        <v>3929166.6666666665</v>
      </c>
      <c r="R912" s="185">
        <f ca="1">IF(SUM($G897:R897)&gt;0.01,0,SUM($G902:R902)*IF($B893=0,1,(1+$B895))-SUM($G911:R911))</f>
        <v>3895000</v>
      </c>
      <c r="S912" s="185">
        <f ca="1">IF(SUM($G897:S897)&gt;0.01,0,SUM($G902:S902)*IF($B893=0,1,(1+$B895))-SUM($G911:S911))</f>
        <v>3860833.3333333335</v>
      </c>
      <c r="T912" s="185">
        <f ca="1">IF(SUM($G897:T897)&gt;0.01,0,SUM($G902:T902)*IF($B893=0,1,(1+$B895))-SUM($G911:T911))</f>
        <v>3826666.6666666665</v>
      </c>
      <c r="U912" s="185">
        <f ca="1">IF(SUM($G897:U897)&gt;0.01,0,SUM($G902:U902)*IF($B893=0,1,(1+$B895))-SUM($G911:U911))</f>
        <v>3792500</v>
      </c>
      <c r="V912" s="185">
        <f ca="1">IF(SUM($G897:V897)&gt;0.01,0,SUM($G902:V902)*IF($B893=0,1,(1+$B895))-SUM($G911:V911))</f>
        <v>3758333.3333333335</v>
      </c>
      <c r="W912" s="185">
        <f ca="1">IF(SUM($G897:W897)&gt;0.01,0,SUM($G902:W902)*IF($B893=0,1,(1+$B895))-SUM($G911:W911))</f>
        <v>3724166.6666666665</v>
      </c>
      <c r="X912" s="185">
        <f ca="1">IF(SUM($G897:X897)&gt;0.01,0,SUM($G902:X902)*IF($B893=0,1,(1+$B895))-SUM($G911:X911))</f>
        <v>3690000</v>
      </c>
      <c r="Y912" s="185">
        <f ca="1">IF(SUM($G897:Y897)&gt;0.01,0,SUM($G902:Y902)*IF($B893=0,1,(1+$B895))-SUM($G911:Y911))</f>
        <v>3655833.333333333</v>
      </c>
      <c r="Z912" s="185">
        <f ca="1">IF(SUM($G897:Z897)&gt;0.01,0,SUM($G902:Z902)*IF($B893=0,1,(1+$B895))-SUM($G911:Z911))</f>
        <v>3621666.6666666665</v>
      </c>
      <c r="AA912" s="185">
        <f ca="1">IF(SUM($G897:AA897)&gt;0.01,0,SUM($G902:AA902)*IF($B893=0,1,(1+$B895))-SUM($G911:AA911))</f>
        <v>3587500</v>
      </c>
      <c r="AB912" s="185">
        <f ca="1">IF(SUM($G897:AB897)&gt;0.01,0,SUM($G902:AB902)*IF($B893=0,1,(1+$B895))-SUM($G911:AB911))</f>
        <v>3553333.333333333</v>
      </c>
      <c r="AC912" s="185">
        <f ca="1">IF(SUM($G897:AC897)&gt;0.01,0,SUM($G902:AC902)*IF($B893=0,1,(1+$B895))-SUM($G911:AC911))</f>
        <v>3519166.6666666665</v>
      </c>
      <c r="AD912" s="185">
        <f ca="1">IF(SUM($G897:AD897)&gt;0.01,0,SUM($G902:AD902)*IF($B893=0,1,(1+$B895))-SUM($G911:AD911))</f>
        <v>3485000</v>
      </c>
      <c r="AE912" s="185">
        <f ca="1">IF(SUM($G897:AE897)&gt;0.01,0,SUM($G902:AE902)*IF($B893=0,1,(1+$B895))-SUM($G911:AE911))</f>
        <v>3450833.3333333335</v>
      </c>
      <c r="AF912" s="185">
        <f ca="1">IF(SUM($G897:AF897)&gt;0.01,0,SUM($G902:AF902)*IF($B893=0,1,(1+$B895))-SUM($G911:AF911))</f>
        <v>3416666.666666667</v>
      </c>
      <c r="AG912" s="185">
        <f ca="1">IF(SUM($G897:AG897)&gt;0.01,0,SUM($G902:AG902)*IF($B893=0,1,(1+$B895))-SUM($G911:AG911))</f>
        <v>3382500</v>
      </c>
      <c r="AH912" s="185">
        <f ca="1">IF(SUM($G897:AH897)&gt;0.01,0,SUM($G902:AH902)*IF($B893=0,1,(1+$B895))-SUM($G911:AH911))</f>
        <v>3348333.3333333335</v>
      </c>
      <c r="AI912" s="185">
        <f ca="1">IF(SUM($G897:AI897)&gt;0.01,0,SUM($G902:AI902)*IF($B893=0,1,(1+$B895))-SUM($G911:AI911))</f>
        <v>3314166.666666667</v>
      </c>
      <c r="AJ912" s="185">
        <f ca="1">IF(SUM($G897:AJ897)&gt;0.01,0,SUM($G902:AJ902)*IF($B893=0,1,(1+$B895))-SUM($G911:AJ911))</f>
        <v>3280000</v>
      </c>
      <c r="AK912" s="185">
        <f ca="1">IF(SUM($G897:AK897)&gt;0.01,0,SUM($G902:AK902)*IF($B893=0,1,(1+$B895))-SUM($G911:AK911))</f>
        <v>3245833.3333333335</v>
      </c>
      <c r="AL912" s="185">
        <f ca="1">IF(SUM($G897:AL897)&gt;0.01,0,SUM($G902:AL902)*IF($B893=0,1,(1+$B895))-SUM($G911:AL911))</f>
        <v>3211666.666666667</v>
      </c>
      <c r="AM912" s="185">
        <f ca="1">IF(SUM($G897:AM897)&gt;0.01,0,SUM($G902:AM902)*IF($B893=0,1,(1+$B895))-SUM($G911:AM911))</f>
        <v>3177500.0000000005</v>
      </c>
      <c r="AN912" s="185">
        <f ca="1">IF(SUM($G897:AN897)&gt;0.01,0,SUM($G902:AN902)*IF($B893=0,1,(1+$B895))-SUM($G911:AN911))</f>
        <v>3143333.333333334</v>
      </c>
      <c r="AO912" s="185">
        <f ca="1">IF(SUM($G897:AO897)&gt;0.01,0,SUM($G902:AO902)*IF($B893=0,1,(1+$B895))-SUM($G911:AO911))</f>
        <v>3109166.666666667</v>
      </c>
      <c r="AP912" s="185">
        <f ca="1">IF(SUM($G897:AP897)&gt;0.01,0,SUM($G902:AP902)*IF($B893=0,1,(1+$B895))-SUM($G911:AP911))</f>
        <v>3075000.0000000005</v>
      </c>
      <c r="AQ912" s="185">
        <f ca="1">IF(SUM($G897:AQ897)&gt;0.01,0,SUM($G902:AQ902)*IF($B893=0,1,(1+$B895))-SUM($G911:AQ911))</f>
        <v>3040833.333333334</v>
      </c>
      <c r="AR912" s="185">
        <f ca="1">IF(SUM($G897:AR897)&gt;0.01,0,SUM($G902:AR902)*IF($B893=0,1,(1+$B895))-SUM($G911:AR911))</f>
        <v>3006666.666666667</v>
      </c>
      <c r="AS912" s="185">
        <f ca="1">IF(SUM($G897:AS897)&gt;0.01,0,SUM($G902:AS902)*IF($B893=0,1,(1+$B895))-SUM($G911:AS911))</f>
        <v>2972500</v>
      </c>
      <c r="AT912" s="185">
        <f ca="1">IF(SUM($G897:AT897)&gt;0.01,0,SUM($G902:AT902)*IF($B893=0,1,(1+$B895))-SUM($G911:AT911))</f>
        <v>2938333.3333333335</v>
      </c>
      <c r="AU912" s="185">
        <f ca="1">IF(SUM($G897:AU897)&gt;0.01,0,SUM($G902:AU902)*IF($B893=0,1,(1+$B895))-SUM($G911:AU911))</f>
        <v>2904166.666666667</v>
      </c>
      <c r="AV912" s="185">
        <f ca="1">IF(SUM($G897:AV897)&gt;0.01,0,SUM($G902:AV902)*IF($B893=0,1,(1+$B895))-SUM($G911:AV911))</f>
        <v>2870000</v>
      </c>
      <c r="AW912" s="185">
        <f ca="1">IF(SUM($G897:AW897)&gt;0.01,0,SUM($G902:AW902)*IF($B893=0,1,(1+$B895))-SUM($G911:AW911))</f>
        <v>2835833.333333333</v>
      </c>
      <c r="AX912" s="185">
        <f ca="1">IF(SUM($G897:AX897)&gt;0.01,0,SUM($G902:AX902)*IF($B893=0,1,(1+$B895))-SUM($G911:AX911))</f>
        <v>2801666.6666666665</v>
      </c>
      <c r="AY912" s="185">
        <f ca="1">IF(SUM($G897:AY897)&gt;0.01,0,SUM($G902:AY902)*IF($B893=0,1,(1+$B895))-SUM($G911:AY911))</f>
        <v>2767500</v>
      </c>
      <c r="AZ912" s="185">
        <f ca="1">IF(SUM($G897:AZ897)&gt;0.01,0,SUM($G902:AZ902)*IF($B893=0,1,(1+$B895))-SUM($G911:AZ911))</f>
        <v>2733333.333333333</v>
      </c>
      <c r="BA912" s="185">
        <f ca="1">IF(SUM($G897:BA897)&gt;0.01,0,SUM($G902:BA902)*IF($B893=0,1,(1+$B895))-SUM($G911:BA911))</f>
        <v>2699166.666666666</v>
      </c>
      <c r="BB912" s="185">
        <f ca="1">IF(SUM($G897:BB897)&gt;0.01,0,SUM($G902:BB902)*IF($B893=0,1,(1+$B895))-SUM($G911:BB911))</f>
        <v>2664999.9999999995</v>
      </c>
      <c r="BC912" s="185"/>
      <c r="BD912" s="193"/>
    </row>
    <row r="913" spans="1:56" hidden="1" outlineLevel="1" x14ac:dyDescent="0.3">
      <c r="A913" s="184" t="str">
        <f ca="1">Language!A$921</f>
        <v>прибыль/убыток от продажи актива (бухгалтерская)</v>
      </c>
      <c r="B913" s="216"/>
      <c r="C913" s="163" t="str">
        <f t="shared" ca="1" si="3532"/>
        <v>руб.</v>
      </c>
      <c r="D913" s="174">
        <v>1</v>
      </c>
      <c r="E913" s="170" t="s">
        <v>762</v>
      </c>
      <c r="F913" s="170" t="s">
        <v>740</v>
      </c>
      <c r="G913" s="185">
        <f t="shared" ref="G913" si="3536">IF(G897=0,0,G897-IF(G$2=1,G898,F904+F908))</f>
        <v>0</v>
      </c>
      <c r="H913" s="185">
        <f t="shared" ref="H913" si="3537">IF(H897=0,0,H897-IF(H$2=1,H898,G904+G908))</f>
        <v>0</v>
      </c>
      <c r="I913" s="185">
        <f t="shared" ref="I913" si="3538">IF(I897=0,0,I897-IF(I$2=1,I898,H904+H908))</f>
        <v>0</v>
      </c>
      <c r="J913" s="185">
        <f t="shared" ref="J913" si="3539">IF(J897=0,0,J897-IF(J$2=1,J898,I904+I908))</f>
        <v>0</v>
      </c>
      <c r="K913" s="185">
        <f t="shared" ref="K913" si="3540">IF(K897=0,0,K897-IF(K$2=1,K898,J904+J908))</f>
        <v>0</v>
      </c>
      <c r="L913" s="185">
        <f t="shared" ref="L913" si="3541">IF(L897=0,0,L897-IF(L$2=1,L898,K904+K908))</f>
        <v>0</v>
      </c>
      <c r="M913" s="185">
        <f t="shared" ref="M913" si="3542">IF(M897=0,0,M897-IF(M$2=1,M898,L904+L908))</f>
        <v>0</v>
      </c>
      <c r="N913" s="185">
        <f t="shared" ref="N913" si="3543">IF(N897=0,0,N897-IF(N$2=1,N898,M904+M908))</f>
        <v>0</v>
      </c>
      <c r="O913" s="185">
        <f t="shared" ref="O913" si="3544">IF(O897=0,0,O897-IF(O$2=1,O898,N904+N908))</f>
        <v>0</v>
      </c>
      <c r="P913" s="185">
        <f t="shared" ref="P913" si="3545">IF(P897=0,0,P897-IF(P$2=1,P898,O904+O908))</f>
        <v>0</v>
      </c>
      <c r="Q913" s="185">
        <f t="shared" ref="Q913" si="3546">IF(Q897=0,0,Q897-IF(Q$2=1,Q898,P904+P908))</f>
        <v>0</v>
      </c>
      <c r="R913" s="185">
        <f t="shared" ref="R913" si="3547">IF(R897=0,0,R897-IF(R$2=1,R898,Q904+Q908))</f>
        <v>0</v>
      </c>
      <c r="S913" s="185">
        <f t="shared" ref="S913" si="3548">IF(S897=0,0,S897-IF(S$2=1,S898,R904+R908))</f>
        <v>0</v>
      </c>
      <c r="T913" s="185">
        <f t="shared" ref="T913" si="3549">IF(T897=0,0,T897-IF(T$2=1,T898,S904+S908))</f>
        <v>0</v>
      </c>
      <c r="U913" s="185">
        <f t="shared" ref="U913" si="3550">IF(U897=0,0,U897-IF(U$2=1,U898,T904+T908))</f>
        <v>0</v>
      </c>
      <c r="V913" s="185">
        <f t="shared" ref="V913" si="3551">IF(V897=0,0,V897-IF(V$2=1,V898,U904+U908))</f>
        <v>0</v>
      </c>
      <c r="W913" s="185">
        <f t="shared" ref="W913" si="3552">IF(W897=0,0,W897-IF(W$2=1,W898,V904+V908))</f>
        <v>0</v>
      </c>
      <c r="X913" s="185">
        <f t="shared" ref="X913" si="3553">IF(X897=0,0,X897-IF(X$2=1,X898,W904+W908))</f>
        <v>0</v>
      </c>
      <c r="Y913" s="185">
        <f t="shared" ref="Y913" si="3554">IF(Y897=0,0,Y897-IF(Y$2=1,Y898,X904+X908))</f>
        <v>0</v>
      </c>
      <c r="Z913" s="185">
        <f t="shared" ref="Z913" si="3555">IF(Z897=0,0,Z897-IF(Z$2=1,Z898,Y904+Y908))</f>
        <v>0</v>
      </c>
      <c r="AA913" s="185">
        <f t="shared" ref="AA913" si="3556">IF(AA897=0,0,AA897-IF(AA$2=1,AA898,Z904+Z908))</f>
        <v>0</v>
      </c>
      <c r="AB913" s="185">
        <f t="shared" ref="AB913" si="3557">IF(AB897=0,0,AB897-IF(AB$2=1,AB898,AA904+AA908))</f>
        <v>0</v>
      </c>
      <c r="AC913" s="185">
        <f t="shared" ref="AC913" si="3558">IF(AC897=0,0,AC897-IF(AC$2=1,AC898,AB904+AB908))</f>
        <v>0</v>
      </c>
      <c r="AD913" s="185">
        <f t="shared" ref="AD913" si="3559">IF(AD897=0,0,AD897-IF(AD$2=1,AD898,AC904+AC908))</f>
        <v>0</v>
      </c>
      <c r="AE913" s="185">
        <f t="shared" ref="AE913" si="3560">IF(AE897=0,0,AE897-IF(AE$2=1,AE898,AD904+AD908))</f>
        <v>0</v>
      </c>
      <c r="AF913" s="185">
        <f t="shared" ref="AF913" si="3561">IF(AF897=0,0,AF897-IF(AF$2=1,AF898,AE904+AE908))</f>
        <v>0</v>
      </c>
      <c r="AG913" s="185">
        <f t="shared" ref="AG913" si="3562">IF(AG897=0,0,AG897-IF(AG$2=1,AG898,AF904+AF908))</f>
        <v>0</v>
      </c>
      <c r="AH913" s="185">
        <f t="shared" ref="AH913" si="3563">IF(AH897=0,0,AH897-IF(AH$2=1,AH898,AG904+AG908))</f>
        <v>0</v>
      </c>
      <c r="AI913" s="185">
        <f t="shared" ref="AI913" si="3564">IF(AI897=0,0,AI897-IF(AI$2=1,AI898,AH904+AH908))</f>
        <v>0</v>
      </c>
      <c r="AJ913" s="185">
        <f t="shared" ref="AJ913" si="3565">IF(AJ897=0,0,AJ897-IF(AJ$2=1,AJ898,AI904+AI908))</f>
        <v>0</v>
      </c>
      <c r="AK913" s="185">
        <f t="shared" ref="AK913" si="3566">IF(AK897=0,0,AK897-IF(AK$2=1,AK898,AJ904+AJ908))</f>
        <v>0</v>
      </c>
      <c r="AL913" s="185">
        <f t="shared" ref="AL913" si="3567">IF(AL897=0,0,AL897-IF(AL$2=1,AL898,AK904+AK908))</f>
        <v>0</v>
      </c>
      <c r="AM913" s="185">
        <f t="shared" ref="AM913" si="3568">IF(AM897=0,0,AM897-IF(AM$2=1,AM898,AL904+AL908))</f>
        <v>0</v>
      </c>
      <c r="AN913" s="185">
        <f t="shared" ref="AN913" si="3569">IF(AN897=0,0,AN897-IF(AN$2=1,AN898,AM904+AM908))</f>
        <v>0</v>
      </c>
      <c r="AO913" s="185">
        <f t="shared" ref="AO913" si="3570">IF(AO897=0,0,AO897-IF(AO$2=1,AO898,AN904+AN908))</f>
        <v>0</v>
      </c>
      <c r="AP913" s="185">
        <f t="shared" ref="AP913" si="3571">IF(AP897=0,0,AP897-IF(AP$2=1,AP898,AO904+AO908))</f>
        <v>0</v>
      </c>
      <c r="AQ913" s="185">
        <f t="shared" ref="AQ913" si="3572">IF(AQ897=0,0,AQ897-IF(AQ$2=1,AQ898,AP904+AP908))</f>
        <v>0</v>
      </c>
      <c r="AR913" s="185">
        <f t="shared" ref="AR913" si="3573">IF(AR897=0,0,AR897-IF(AR$2=1,AR898,AQ904+AQ908))</f>
        <v>0</v>
      </c>
      <c r="AS913" s="185">
        <f t="shared" ref="AS913" si="3574">IF(AS897=0,0,AS897-IF(AS$2=1,AS898,AR904+AR908))</f>
        <v>0</v>
      </c>
      <c r="AT913" s="185">
        <f t="shared" ref="AT913" si="3575">IF(AT897=0,0,AT897-IF(AT$2=1,AT898,AS904+AS908))</f>
        <v>0</v>
      </c>
      <c r="AU913" s="185">
        <f t="shared" ref="AU913" si="3576">IF(AU897=0,0,AU897-IF(AU$2=1,AU898,AT904+AT908))</f>
        <v>0</v>
      </c>
      <c r="AV913" s="185">
        <f t="shared" ref="AV913" si="3577">IF(AV897=0,0,AV897-IF(AV$2=1,AV898,AU904+AU908))</f>
        <v>0</v>
      </c>
      <c r="AW913" s="185">
        <f t="shared" ref="AW913" si="3578">IF(AW897=0,0,AW897-IF(AW$2=1,AW898,AV904+AV908))</f>
        <v>0</v>
      </c>
      <c r="AX913" s="185">
        <f t="shared" ref="AX913" si="3579">IF(AX897=0,0,AX897-IF(AX$2=1,AX898,AW904+AW908))</f>
        <v>0</v>
      </c>
      <c r="AY913" s="185">
        <f t="shared" ref="AY913" si="3580">IF(AY897=0,0,AY897-IF(AY$2=1,AY898,AX904+AX908))</f>
        <v>0</v>
      </c>
      <c r="AZ913" s="185">
        <f t="shared" ref="AZ913" si="3581">IF(AZ897=0,0,AZ897-IF(AZ$2=1,AZ898,AY904+AY908))</f>
        <v>0</v>
      </c>
      <c r="BA913" s="185">
        <f t="shared" ref="BA913" si="3582">IF(BA897=0,0,BA897-IF(BA$2=1,BA898,AZ904+AZ908))</f>
        <v>0</v>
      </c>
      <c r="BB913" s="185">
        <f t="shared" ref="BB913" si="3583">IF(BB897=0,0,BB897-IF(BB$2=1,BB898,BA904+BA908))</f>
        <v>0</v>
      </c>
      <c r="BC913" s="185"/>
      <c r="BD913" s="193">
        <f>SUM(G913:BC913)</f>
        <v>0</v>
      </c>
    </row>
    <row r="914" spans="1:56" hidden="1" outlineLevel="1" x14ac:dyDescent="0.3">
      <c r="A914" s="184" t="str">
        <f ca="1">Language!A$922</f>
        <v>прибыль/убыток от продажи актива (налоговая)</v>
      </c>
      <c r="B914" s="216"/>
      <c r="C914" s="163" t="str">
        <f t="shared" ca="1" si="3532"/>
        <v>руб.</v>
      </c>
      <c r="D914" s="174">
        <v>1</v>
      </c>
      <c r="E914" s="170" t="s">
        <v>763</v>
      </c>
      <c r="F914" s="170" t="s">
        <v>740</v>
      </c>
      <c r="G914" s="185">
        <f t="shared" ref="G914" si="3584">IF(G897=0,0,G897-IF(G$2=1,G898,F904+F912))</f>
        <v>0</v>
      </c>
      <c r="H914" s="185">
        <f t="shared" ref="H914" si="3585">IF(H897=0,0,H897-IF(H$2=1,H898,G904+G912))</f>
        <v>0</v>
      </c>
      <c r="I914" s="185">
        <f t="shared" ref="I914" si="3586">IF(I897=0,0,I897-IF(I$2=1,I898,H904+H912))</f>
        <v>0</v>
      </c>
      <c r="J914" s="185">
        <f t="shared" ref="J914" si="3587">IF(J897=0,0,J897-IF(J$2=1,J898,I904+I912))</f>
        <v>0</v>
      </c>
      <c r="K914" s="185">
        <f t="shared" ref="K914" si="3588">IF(K897=0,0,K897-IF(K$2=1,K898,J904+J912))</f>
        <v>0</v>
      </c>
      <c r="L914" s="185">
        <f t="shared" ref="L914" si="3589">IF(L897=0,0,L897-IF(L$2=1,L898,K904+K912))</f>
        <v>0</v>
      </c>
      <c r="M914" s="185">
        <f t="shared" ref="M914" si="3590">IF(M897=0,0,M897-IF(M$2=1,M898,L904+L912))</f>
        <v>0</v>
      </c>
      <c r="N914" s="185">
        <f t="shared" ref="N914" si="3591">IF(N897=0,0,N897-IF(N$2=1,N898,M904+M912))</f>
        <v>0</v>
      </c>
      <c r="O914" s="185">
        <f t="shared" ref="O914" si="3592">IF(O897=0,0,O897-IF(O$2=1,O898,N904+N912))</f>
        <v>0</v>
      </c>
      <c r="P914" s="185">
        <f t="shared" ref="P914" si="3593">IF(P897=0,0,P897-IF(P$2=1,P898,O904+O912))</f>
        <v>0</v>
      </c>
      <c r="Q914" s="185">
        <f t="shared" ref="Q914" si="3594">IF(Q897=0,0,Q897-IF(Q$2=1,Q898,P904+P912))</f>
        <v>0</v>
      </c>
      <c r="R914" s="185">
        <f t="shared" ref="R914" si="3595">IF(R897=0,0,R897-IF(R$2=1,R898,Q904+Q912))</f>
        <v>0</v>
      </c>
      <c r="S914" s="185">
        <f t="shared" ref="S914" si="3596">IF(S897=0,0,S897-IF(S$2=1,S898,R904+R912))</f>
        <v>0</v>
      </c>
      <c r="T914" s="185">
        <f t="shared" ref="T914" si="3597">IF(T897=0,0,T897-IF(T$2=1,T898,S904+S912))</f>
        <v>0</v>
      </c>
      <c r="U914" s="185">
        <f t="shared" ref="U914" si="3598">IF(U897=0,0,U897-IF(U$2=1,U898,T904+T912))</f>
        <v>0</v>
      </c>
      <c r="V914" s="185">
        <f t="shared" ref="V914" si="3599">IF(V897=0,0,V897-IF(V$2=1,V898,U904+U912))</f>
        <v>0</v>
      </c>
      <c r="W914" s="185">
        <f t="shared" ref="W914" si="3600">IF(W897=0,0,W897-IF(W$2=1,W898,V904+V912))</f>
        <v>0</v>
      </c>
      <c r="X914" s="185">
        <f t="shared" ref="X914" si="3601">IF(X897=0,0,X897-IF(X$2=1,X898,W904+W912))</f>
        <v>0</v>
      </c>
      <c r="Y914" s="185">
        <f t="shared" ref="Y914" si="3602">IF(Y897=0,0,Y897-IF(Y$2=1,Y898,X904+X912))</f>
        <v>0</v>
      </c>
      <c r="Z914" s="185">
        <f t="shared" ref="Z914" si="3603">IF(Z897=0,0,Z897-IF(Z$2=1,Z898,Y904+Y912))</f>
        <v>0</v>
      </c>
      <c r="AA914" s="185">
        <f t="shared" ref="AA914" si="3604">IF(AA897=0,0,AA897-IF(AA$2=1,AA898,Z904+Z912))</f>
        <v>0</v>
      </c>
      <c r="AB914" s="185">
        <f t="shared" ref="AB914" si="3605">IF(AB897=0,0,AB897-IF(AB$2=1,AB898,AA904+AA912))</f>
        <v>0</v>
      </c>
      <c r="AC914" s="185">
        <f t="shared" ref="AC914" si="3606">IF(AC897=0,0,AC897-IF(AC$2=1,AC898,AB904+AB912))</f>
        <v>0</v>
      </c>
      <c r="AD914" s="185">
        <f t="shared" ref="AD914" si="3607">IF(AD897=0,0,AD897-IF(AD$2=1,AD898,AC904+AC912))</f>
        <v>0</v>
      </c>
      <c r="AE914" s="185">
        <f t="shared" ref="AE914" si="3608">IF(AE897=0,0,AE897-IF(AE$2=1,AE898,AD904+AD912))</f>
        <v>0</v>
      </c>
      <c r="AF914" s="185">
        <f t="shared" ref="AF914" si="3609">IF(AF897=0,0,AF897-IF(AF$2=1,AF898,AE904+AE912))</f>
        <v>0</v>
      </c>
      <c r="AG914" s="185">
        <f t="shared" ref="AG914" si="3610">IF(AG897=0,0,AG897-IF(AG$2=1,AG898,AF904+AF912))</f>
        <v>0</v>
      </c>
      <c r="AH914" s="185">
        <f t="shared" ref="AH914" si="3611">IF(AH897=0,0,AH897-IF(AH$2=1,AH898,AG904+AG912))</f>
        <v>0</v>
      </c>
      <c r="AI914" s="185">
        <f t="shared" ref="AI914" si="3612">IF(AI897=0,0,AI897-IF(AI$2=1,AI898,AH904+AH912))</f>
        <v>0</v>
      </c>
      <c r="AJ914" s="185">
        <f t="shared" ref="AJ914" si="3613">IF(AJ897=0,0,AJ897-IF(AJ$2=1,AJ898,AI904+AI912))</f>
        <v>0</v>
      </c>
      <c r="AK914" s="185">
        <f t="shared" ref="AK914" si="3614">IF(AK897=0,0,AK897-IF(AK$2=1,AK898,AJ904+AJ912))</f>
        <v>0</v>
      </c>
      <c r="AL914" s="185">
        <f t="shared" ref="AL914" si="3615">IF(AL897=0,0,AL897-IF(AL$2=1,AL898,AK904+AK912))</f>
        <v>0</v>
      </c>
      <c r="AM914" s="185">
        <f t="shared" ref="AM914" si="3616">IF(AM897=0,0,AM897-IF(AM$2=1,AM898,AL904+AL912))</f>
        <v>0</v>
      </c>
      <c r="AN914" s="185">
        <f t="shared" ref="AN914" si="3617">IF(AN897=0,0,AN897-IF(AN$2=1,AN898,AM904+AM912))</f>
        <v>0</v>
      </c>
      <c r="AO914" s="185">
        <f t="shared" ref="AO914" si="3618">IF(AO897=0,0,AO897-IF(AO$2=1,AO898,AN904+AN912))</f>
        <v>0</v>
      </c>
      <c r="AP914" s="185">
        <f t="shared" ref="AP914" si="3619">IF(AP897=0,0,AP897-IF(AP$2=1,AP898,AO904+AO912))</f>
        <v>0</v>
      </c>
      <c r="AQ914" s="185">
        <f t="shared" ref="AQ914" si="3620">IF(AQ897=0,0,AQ897-IF(AQ$2=1,AQ898,AP904+AP912))</f>
        <v>0</v>
      </c>
      <c r="AR914" s="185">
        <f t="shared" ref="AR914" si="3621">IF(AR897=0,0,AR897-IF(AR$2=1,AR898,AQ904+AQ912))</f>
        <v>0</v>
      </c>
      <c r="AS914" s="185">
        <f t="shared" ref="AS914" si="3622">IF(AS897=0,0,AS897-IF(AS$2=1,AS898,AR904+AR912))</f>
        <v>0</v>
      </c>
      <c r="AT914" s="185">
        <f t="shared" ref="AT914" si="3623">IF(AT897=0,0,AT897-IF(AT$2=1,AT898,AS904+AS912))</f>
        <v>0</v>
      </c>
      <c r="AU914" s="185">
        <f t="shared" ref="AU914" si="3624">IF(AU897=0,0,AU897-IF(AU$2=1,AU898,AT904+AT912))</f>
        <v>0</v>
      </c>
      <c r="AV914" s="185">
        <f t="shared" ref="AV914" si="3625">IF(AV897=0,0,AV897-IF(AV$2=1,AV898,AU904+AU912))</f>
        <v>0</v>
      </c>
      <c r="AW914" s="185">
        <f t="shared" ref="AW914" si="3626">IF(AW897=0,0,AW897-IF(AW$2=1,AW898,AV904+AV912))</f>
        <v>0</v>
      </c>
      <c r="AX914" s="185">
        <f t="shared" ref="AX914" si="3627">IF(AX897=0,0,AX897-IF(AX$2=1,AX898,AW904+AW912))</f>
        <v>0</v>
      </c>
      <c r="AY914" s="185">
        <f t="shared" ref="AY914" si="3628">IF(AY897=0,0,AY897-IF(AY$2=1,AY898,AX904+AX912))</f>
        <v>0</v>
      </c>
      <c r="AZ914" s="185">
        <f t="shared" ref="AZ914" si="3629">IF(AZ897=0,0,AZ897-IF(AZ$2=1,AZ898,AY904+AY912))</f>
        <v>0</v>
      </c>
      <c r="BA914" s="185">
        <f t="shared" ref="BA914" si="3630">IF(BA897=0,0,BA897-IF(BA$2=1,BA898,AZ904+AZ912))</f>
        <v>0</v>
      </c>
      <c r="BB914" s="185">
        <f t="shared" ref="BB914" si="3631">IF(BB897=0,0,BB897-IF(BB$2=1,BB898,BA904+BA912))</f>
        <v>0</v>
      </c>
      <c r="BC914" s="185"/>
      <c r="BD914" s="193">
        <f>SUM(G914:BC914)</f>
        <v>0</v>
      </c>
    </row>
    <row r="915" spans="1:56" hidden="1" outlineLevel="1" x14ac:dyDescent="0.3">
      <c r="A915" s="184" t="str">
        <f ca="1">Language!A$923</f>
        <v>НДС к выручке от продажи актива</v>
      </c>
      <c r="B915" s="216"/>
      <c r="C915" s="163" t="str">
        <f t="shared" ca="1" si="3532"/>
        <v>руб.</v>
      </c>
      <c r="D915" s="174">
        <v>1</v>
      </c>
      <c r="E915" s="170" t="s">
        <v>764</v>
      </c>
      <c r="F915" s="170" t="s">
        <v>740</v>
      </c>
      <c r="G915" s="185">
        <f t="shared" ref="G915:BB915" si="3632">G897*G896</f>
        <v>0</v>
      </c>
      <c r="H915" s="185">
        <f t="shared" si="3632"/>
        <v>0</v>
      </c>
      <c r="I915" s="185">
        <f t="shared" si="3632"/>
        <v>0</v>
      </c>
      <c r="J915" s="185">
        <f t="shared" si="3632"/>
        <v>0</v>
      </c>
      <c r="K915" s="185">
        <f t="shared" si="3632"/>
        <v>0</v>
      </c>
      <c r="L915" s="185">
        <f t="shared" si="3632"/>
        <v>0</v>
      </c>
      <c r="M915" s="185">
        <f t="shared" si="3632"/>
        <v>0</v>
      </c>
      <c r="N915" s="185">
        <f t="shared" si="3632"/>
        <v>0</v>
      </c>
      <c r="O915" s="185">
        <f t="shared" si="3632"/>
        <v>0</v>
      </c>
      <c r="P915" s="185">
        <f t="shared" si="3632"/>
        <v>0</v>
      </c>
      <c r="Q915" s="185">
        <f t="shared" si="3632"/>
        <v>0</v>
      </c>
      <c r="R915" s="185">
        <f t="shared" si="3632"/>
        <v>0</v>
      </c>
      <c r="S915" s="185">
        <f t="shared" si="3632"/>
        <v>0</v>
      </c>
      <c r="T915" s="185">
        <f t="shared" si="3632"/>
        <v>0</v>
      </c>
      <c r="U915" s="185">
        <f t="shared" si="3632"/>
        <v>0</v>
      </c>
      <c r="V915" s="185">
        <f t="shared" si="3632"/>
        <v>0</v>
      </c>
      <c r="W915" s="185">
        <f t="shared" si="3632"/>
        <v>0</v>
      </c>
      <c r="X915" s="185">
        <f t="shared" si="3632"/>
        <v>0</v>
      </c>
      <c r="Y915" s="185">
        <f t="shared" si="3632"/>
        <v>0</v>
      </c>
      <c r="Z915" s="185">
        <f t="shared" si="3632"/>
        <v>0</v>
      </c>
      <c r="AA915" s="185">
        <f t="shared" si="3632"/>
        <v>0</v>
      </c>
      <c r="AB915" s="185">
        <f t="shared" si="3632"/>
        <v>0</v>
      </c>
      <c r="AC915" s="185">
        <f t="shared" si="3632"/>
        <v>0</v>
      </c>
      <c r="AD915" s="185">
        <f t="shared" si="3632"/>
        <v>0</v>
      </c>
      <c r="AE915" s="185">
        <f t="shared" si="3632"/>
        <v>0</v>
      </c>
      <c r="AF915" s="185">
        <f t="shared" si="3632"/>
        <v>0</v>
      </c>
      <c r="AG915" s="185">
        <f t="shared" si="3632"/>
        <v>0</v>
      </c>
      <c r="AH915" s="185">
        <f t="shared" si="3632"/>
        <v>0</v>
      </c>
      <c r="AI915" s="185">
        <f t="shared" si="3632"/>
        <v>0</v>
      </c>
      <c r="AJ915" s="185">
        <f t="shared" si="3632"/>
        <v>0</v>
      </c>
      <c r="AK915" s="185">
        <f t="shared" si="3632"/>
        <v>0</v>
      </c>
      <c r="AL915" s="185">
        <f t="shared" si="3632"/>
        <v>0</v>
      </c>
      <c r="AM915" s="185">
        <f t="shared" si="3632"/>
        <v>0</v>
      </c>
      <c r="AN915" s="185">
        <f t="shared" si="3632"/>
        <v>0</v>
      </c>
      <c r="AO915" s="185">
        <f t="shared" si="3632"/>
        <v>0</v>
      </c>
      <c r="AP915" s="185">
        <f t="shared" si="3632"/>
        <v>0</v>
      </c>
      <c r="AQ915" s="185">
        <f t="shared" si="3632"/>
        <v>0</v>
      </c>
      <c r="AR915" s="185">
        <f t="shared" si="3632"/>
        <v>0</v>
      </c>
      <c r="AS915" s="185">
        <f t="shared" si="3632"/>
        <v>0</v>
      </c>
      <c r="AT915" s="185">
        <f t="shared" si="3632"/>
        <v>0</v>
      </c>
      <c r="AU915" s="185">
        <f t="shared" si="3632"/>
        <v>0</v>
      </c>
      <c r="AV915" s="185">
        <f t="shared" si="3632"/>
        <v>0</v>
      </c>
      <c r="AW915" s="185">
        <f t="shared" si="3632"/>
        <v>0</v>
      </c>
      <c r="AX915" s="185">
        <f t="shared" si="3632"/>
        <v>0</v>
      </c>
      <c r="AY915" s="185">
        <f t="shared" si="3632"/>
        <v>0</v>
      </c>
      <c r="AZ915" s="185">
        <f t="shared" si="3632"/>
        <v>0</v>
      </c>
      <c r="BA915" s="185">
        <f t="shared" si="3632"/>
        <v>0</v>
      </c>
      <c r="BB915" s="185">
        <f t="shared" si="3632"/>
        <v>0</v>
      </c>
      <c r="BC915" s="185"/>
      <c r="BD915" s="193">
        <f>SUM(G915:BC915)</f>
        <v>0</v>
      </c>
    </row>
    <row r="916" spans="1:56" hidden="1" outlineLevel="1" x14ac:dyDescent="0.3">
      <c r="A916" s="184" t="str">
        <f ca="1">Language!A$924</f>
        <v>курсовые разницы</v>
      </c>
      <c r="B916" s="216"/>
      <c r="C916" s="163" t="str">
        <f t="shared" ca="1" si="3532"/>
        <v>руб.</v>
      </c>
      <c r="D916" s="174">
        <v>1</v>
      </c>
      <c r="E916" s="170" t="s">
        <v>1278</v>
      </c>
      <c r="F916" s="170" t="s">
        <v>740</v>
      </c>
      <c r="G916" s="185">
        <f>-(SUM($G898:G898)+$B900+SUM($G903:G903)-G904+G905-IF($B893=0,G906,0)-SUM($G902:G902)*IF($B893=0,1,1+$B895)-IF($B893=0,0,MAX(SUM($G910:G910)-SUM($G909:G909),0))+IF(G$2=1,0,SUM($F916:F916)))</f>
        <v>0</v>
      </c>
      <c r="H916" s="185">
        <f>-(SUM($G898:H898)+$B900+SUM($G903:H903)-H904+H905-IF($B893=0,H906,0)-SUM($G902:H902)*IF($B893=0,1,1+$B895)-IF($B893=0,0,MAX(SUM($G910:H910)-SUM($G909:H909),0))+IF(H$2=1,0,SUM($F916:G916)))</f>
        <v>0</v>
      </c>
      <c r="I916" s="185">
        <f>-(SUM($G898:I898)+$B900+SUM($G903:I903)-I904+I905-IF($B893=0,I906,0)-SUM($G902:I902)*IF($B893=0,1,1+$B895)-IF($B893=0,0,MAX(SUM($G910:I910)-SUM($G909:I909),0))+IF(I$2=1,0,SUM($F916:H916)))</f>
        <v>0</v>
      </c>
      <c r="J916" s="185">
        <f>-(SUM($G898:J898)+$B900+SUM($G903:J903)-J904+J905-IF($B893=0,J906,0)-SUM($G902:J902)*IF($B893=0,1,1+$B895)-IF($B893=0,0,MAX(SUM($G910:J910)-SUM($G909:J909),0))+IF(J$2=1,0,SUM($F916:I916)))</f>
        <v>0</v>
      </c>
      <c r="K916" s="185">
        <f>-(SUM($G898:K898)+$B900+SUM($G903:K903)-K904+K905-IF($B893=0,K906,0)-SUM($G902:K902)*IF($B893=0,1,1+$B895)-IF($B893=0,0,MAX(SUM($G910:K910)-SUM($G909:K909),0))+IF(K$2=1,0,SUM($F916:J916)))</f>
        <v>0</v>
      </c>
      <c r="L916" s="185">
        <f>-(SUM($G898:L898)+$B900+SUM($G903:L903)-L904+L905-IF($B893=0,L906,0)-SUM($G902:L902)*IF($B893=0,1,1+$B895)-IF($B893=0,0,MAX(SUM($G910:L910)-SUM($G909:L909),0))+IF(L$2=1,0,SUM($F916:K916)))</f>
        <v>0</v>
      </c>
      <c r="M916" s="185">
        <f>-(SUM($G898:M898)+$B900+SUM($G903:M903)-M904+M905-IF($B893=0,M906,0)-SUM($G902:M902)*IF($B893=0,1,1+$B895)-IF($B893=0,0,MAX(SUM($G910:M910)-SUM($G909:M909),0))+IF(M$2=1,0,SUM($F916:L916)))</f>
        <v>0</v>
      </c>
      <c r="N916" s="185">
        <f>-(SUM($G898:N898)+$B900+SUM($G903:N903)-N904+N905-IF($B893=0,N906,0)-SUM($G902:N902)*IF($B893=0,1,1+$B895)-IF($B893=0,0,MAX(SUM($G910:N910)-SUM($G909:N909),0))+IF(N$2=1,0,SUM($F916:M916)))</f>
        <v>0</v>
      </c>
      <c r="O916" s="185">
        <f>-(SUM($G898:O898)+$B900+SUM($G903:O903)-O904+O905-IF($B893=0,O906,0)-SUM($G902:O902)*IF($B893=0,1,1+$B895)-IF($B893=0,0,MAX(SUM($G910:O910)-SUM($G909:O909),0))+IF(O$2=1,0,SUM($F916:N916)))</f>
        <v>0</v>
      </c>
      <c r="P916" s="185">
        <f>-(SUM($G898:P898)+$B900+SUM($G903:P903)-P904+P905-IF($B893=0,P906,0)-SUM($G902:P902)*IF($B893=0,1,1+$B895)-IF($B893=0,0,MAX(SUM($G910:P910)-SUM($G909:P909),0))+IF(P$2=1,0,SUM($F916:O916)))</f>
        <v>0</v>
      </c>
      <c r="Q916" s="185">
        <f>-(SUM($G898:Q898)+$B900+SUM($G903:Q903)-Q904+Q905-IF($B893=0,Q906,0)-SUM($G902:Q902)*IF($B893=0,1,1+$B895)-IF($B893=0,0,MAX(SUM($G910:Q910)-SUM($G909:Q909),0))+IF(Q$2=1,0,SUM($F916:P916)))</f>
        <v>0</v>
      </c>
      <c r="R916" s="185">
        <f>-(SUM($G898:R898)+$B900+SUM($G903:R903)-R904+R905-IF($B893=0,R906,0)-SUM($G902:R902)*IF($B893=0,1,1+$B895)-IF($B893=0,0,MAX(SUM($G910:R910)-SUM($G909:R909),0))+IF(R$2=1,0,SUM($F916:Q916)))</f>
        <v>0</v>
      </c>
      <c r="S916" s="185">
        <f>-(SUM($G898:S898)+$B900+SUM($G903:S903)-S904+S905-IF($B893=0,S906,0)-SUM($G902:S902)*IF($B893=0,1,1+$B895)-IF($B893=0,0,MAX(SUM($G910:S910)-SUM($G909:S909),0))+IF(S$2=1,0,SUM($F916:R916)))</f>
        <v>0</v>
      </c>
      <c r="T916" s="185">
        <f>-(SUM($G898:T898)+$B900+SUM($G903:T903)-T904+T905-IF($B893=0,T906,0)-SUM($G902:T902)*IF($B893=0,1,1+$B895)-IF($B893=0,0,MAX(SUM($G910:T910)-SUM($G909:T909),0))+IF(T$2=1,0,SUM($F916:S916)))</f>
        <v>0</v>
      </c>
      <c r="U916" s="185">
        <f>-(SUM($G898:U898)+$B900+SUM($G903:U903)-U904+U905-IF($B893=0,U906,0)-SUM($G902:U902)*IF($B893=0,1,1+$B895)-IF($B893=0,0,MAX(SUM($G910:U910)-SUM($G909:U909),0))+IF(U$2=1,0,SUM($F916:T916)))</f>
        <v>0</v>
      </c>
      <c r="V916" s="185">
        <f>-(SUM($G898:V898)+$B900+SUM($G903:V903)-V904+V905-IF($B893=0,V906,0)-SUM($G902:V902)*IF($B893=0,1,1+$B895)-IF($B893=0,0,MAX(SUM($G910:V910)-SUM($G909:V909),0))+IF(V$2=1,0,SUM($F916:U916)))</f>
        <v>0</v>
      </c>
      <c r="W916" s="185">
        <f>-(SUM($G898:W898)+$B900+SUM($G903:W903)-W904+W905-IF($B893=0,W906,0)-SUM($G902:W902)*IF($B893=0,1,1+$B895)-IF($B893=0,0,MAX(SUM($G910:W910)-SUM($G909:W909),0))+IF(W$2=1,0,SUM($F916:V916)))</f>
        <v>0</v>
      </c>
      <c r="X916" s="185">
        <f>-(SUM($G898:X898)+$B900+SUM($G903:X903)-X904+X905-IF($B893=0,X906,0)-SUM($G902:X902)*IF($B893=0,1,1+$B895)-IF($B893=0,0,MAX(SUM($G910:X910)-SUM($G909:X909),0))+IF(X$2=1,0,SUM($F916:W916)))</f>
        <v>0</v>
      </c>
      <c r="Y916" s="185">
        <f>-(SUM($G898:Y898)+$B900+SUM($G903:Y903)-Y904+Y905-IF($B893=0,Y906,0)-SUM($G902:Y902)*IF($B893=0,1,1+$B895)-IF($B893=0,0,MAX(SUM($G910:Y910)-SUM($G909:Y909),0))+IF(Y$2=1,0,SUM($F916:X916)))</f>
        <v>0</v>
      </c>
      <c r="Z916" s="185">
        <f>-(SUM($G898:Z898)+$B900+SUM($G903:Z903)-Z904+Z905-IF($B893=0,Z906,0)-SUM($G902:Z902)*IF($B893=0,1,1+$B895)-IF($B893=0,0,MAX(SUM($G910:Z910)-SUM($G909:Z909),0))+IF(Z$2=1,0,SUM($F916:Y916)))</f>
        <v>0</v>
      </c>
      <c r="AA916" s="185">
        <f>-(SUM($G898:AA898)+$B900+SUM($G903:AA903)-AA904+AA905-IF($B893=0,AA906,0)-SUM($G902:AA902)*IF($B893=0,1,1+$B895)-IF($B893=0,0,MAX(SUM($G910:AA910)-SUM($G909:AA909),0))+IF(AA$2=1,0,SUM($F916:Z916)))</f>
        <v>0</v>
      </c>
      <c r="AB916" s="185">
        <f>-(SUM($G898:AB898)+$B900+SUM($G903:AB903)-AB904+AB905-IF($B893=0,AB906,0)-SUM($G902:AB902)*IF($B893=0,1,1+$B895)-IF($B893=0,0,MAX(SUM($G910:AB910)-SUM($G909:AB909),0))+IF(AB$2=1,0,SUM($F916:AA916)))</f>
        <v>0</v>
      </c>
      <c r="AC916" s="185">
        <f>-(SUM($G898:AC898)+$B900+SUM($G903:AC903)-AC904+AC905-IF($B893=0,AC906,0)-SUM($G902:AC902)*IF($B893=0,1,1+$B895)-IF($B893=0,0,MAX(SUM($G910:AC910)-SUM($G909:AC909),0))+IF(AC$2=1,0,SUM($F916:AB916)))</f>
        <v>0</v>
      </c>
      <c r="AD916" s="185">
        <f>-(SUM($G898:AD898)+$B900+SUM($G903:AD903)-AD904+AD905-IF($B893=0,AD906,0)-SUM($G902:AD902)*IF($B893=0,1,1+$B895)-IF($B893=0,0,MAX(SUM($G910:AD910)-SUM($G909:AD909),0))+IF(AD$2=1,0,SUM($F916:AC916)))</f>
        <v>0</v>
      </c>
      <c r="AE916" s="185">
        <f>-(SUM($G898:AE898)+$B900+SUM($G903:AE903)-AE904+AE905-IF($B893=0,AE906,0)-SUM($G902:AE902)*IF($B893=0,1,1+$B895)-IF($B893=0,0,MAX(SUM($G910:AE910)-SUM($G909:AE909),0))+IF(AE$2=1,0,SUM($F916:AD916)))</f>
        <v>0</v>
      </c>
      <c r="AF916" s="185">
        <f>-(SUM($G898:AF898)+$B900+SUM($G903:AF903)-AF904+AF905-IF($B893=0,AF906,0)-SUM($G902:AF902)*IF($B893=0,1,1+$B895)-IF($B893=0,0,MAX(SUM($G910:AF910)-SUM($G909:AF909),0))+IF(AF$2=1,0,SUM($F916:AE916)))</f>
        <v>0</v>
      </c>
      <c r="AG916" s="185">
        <f>-(SUM($G898:AG898)+$B900+SUM($G903:AG903)-AG904+AG905-IF($B893=0,AG906,0)-SUM($G902:AG902)*IF($B893=0,1,1+$B895)-IF($B893=0,0,MAX(SUM($G910:AG910)-SUM($G909:AG909),0))+IF(AG$2=1,0,SUM($F916:AF916)))</f>
        <v>0</v>
      </c>
      <c r="AH916" s="185">
        <f>-(SUM($G898:AH898)+$B900+SUM($G903:AH903)-AH904+AH905-IF($B893=0,AH906,0)-SUM($G902:AH902)*IF($B893=0,1,1+$B895)-IF($B893=0,0,MAX(SUM($G910:AH910)-SUM($G909:AH909),0))+IF(AH$2=1,0,SUM($F916:AG916)))</f>
        <v>0</v>
      </c>
      <c r="AI916" s="185">
        <f>-(SUM($G898:AI898)+$B900+SUM($G903:AI903)-AI904+AI905-IF($B893=0,AI906,0)-SUM($G902:AI902)*IF($B893=0,1,1+$B895)-IF($B893=0,0,MAX(SUM($G910:AI910)-SUM($G909:AI909),0))+IF(AI$2=1,0,SUM($F916:AH916)))</f>
        <v>0</v>
      </c>
      <c r="AJ916" s="185">
        <f>-(SUM($G898:AJ898)+$B900+SUM($G903:AJ903)-AJ904+AJ905-IF($B893=0,AJ906,0)-SUM($G902:AJ902)*IF($B893=0,1,1+$B895)-IF($B893=0,0,MAX(SUM($G910:AJ910)-SUM($G909:AJ909),0))+IF(AJ$2=1,0,SUM($F916:AI916)))</f>
        <v>0</v>
      </c>
      <c r="AK916" s="185">
        <f>-(SUM($G898:AK898)+$B900+SUM($G903:AK903)-AK904+AK905-IF($B893=0,AK906,0)-SUM($G902:AK902)*IF($B893=0,1,1+$B895)-IF($B893=0,0,MAX(SUM($G910:AK910)-SUM($G909:AK909),0))+IF(AK$2=1,0,SUM($F916:AJ916)))</f>
        <v>0</v>
      </c>
      <c r="AL916" s="185">
        <f>-(SUM($G898:AL898)+$B900+SUM($G903:AL903)-AL904+AL905-IF($B893=0,AL906,0)-SUM($G902:AL902)*IF($B893=0,1,1+$B895)-IF($B893=0,0,MAX(SUM($G910:AL910)-SUM($G909:AL909),0))+IF(AL$2=1,0,SUM($F916:AK916)))</f>
        <v>0</v>
      </c>
      <c r="AM916" s="185">
        <f>-(SUM($G898:AM898)+$B900+SUM($G903:AM903)-AM904+AM905-IF($B893=0,AM906,0)-SUM($G902:AM902)*IF($B893=0,1,1+$B895)-IF($B893=0,0,MAX(SUM($G910:AM910)-SUM($G909:AM909),0))+IF(AM$2=1,0,SUM($F916:AL916)))</f>
        <v>0</v>
      </c>
      <c r="AN916" s="185">
        <f>-(SUM($G898:AN898)+$B900+SUM($G903:AN903)-AN904+AN905-IF($B893=0,AN906,0)-SUM($G902:AN902)*IF($B893=0,1,1+$B895)-IF($B893=0,0,MAX(SUM($G910:AN910)-SUM($G909:AN909),0))+IF(AN$2=1,0,SUM($F916:AM916)))</f>
        <v>0</v>
      </c>
      <c r="AO916" s="185">
        <f>-(SUM($G898:AO898)+$B900+SUM($G903:AO903)-AO904+AO905-IF($B893=0,AO906,0)-SUM($G902:AO902)*IF($B893=0,1,1+$B895)-IF($B893=0,0,MAX(SUM($G910:AO910)-SUM($G909:AO909),0))+IF(AO$2=1,0,SUM($F916:AN916)))</f>
        <v>0</v>
      </c>
      <c r="AP916" s="185">
        <f>-(SUM($G898:AP898)+$B900+SUM($G903:AP903)-AP904+AP905-IF($B893=0,AP906,0)-SUM($G902:AP902)*IF($B893=0,1,1+$B895)-IF($B893=0,0,MAX(SUM($G910:AP910)-SUM($G909:AP909),0))+IF(AP$2=1,0,SUM($F916:AO916)))</f>
        <v>0</v>
      </c>
      <c r="AQ916" s="185">
        <f>-(SUM($G898:AQ898)+$B900+SUM($G903:AQ903)-AQ904+AQ905-IF($B893=0,AQ906,0)-SUM($G902:AQ902)*IF($B893=0,1,1+$B895)-IF($B893=0,0,MAX(SUM($G910:AQ910)-SUM($G909:AQ909),0))+IF(AQ$2=1,0,SUM($F916:AP916)))</f>
        <v>0</v>
      </c>
      <c r="AR916" s="185">
        <f>-(SUM($G898:AR898)+$B900+SUM($G903:AR903)-AR904+AR905-IF($B893=0,AR906,0)-SUM($G902:AR902)*IF($B893=0,1,1+$B895)-IF($B893=0,0,MAX(SUM($G910:AR910)-SUM($G909:AR909),0))+IF(AR$2=1,0,SUM($F916:AQ916)))</f>
        <v>0</v>
      </c>
      <c r="AS916" s="185">
        <f>-(SUM($G898:AS898)+$B900+SUM($G903:AS903)-AS904+AS905-IF($B893=0,AS906,0)-SUM($G902:AS902)*IF($B893=0,1,1+$B895)-IF($B893=0,0,MAX(SUM($G910:AS910)-SUM($G909:AS909),0))+IF(AS$2=1,0,SUM($F916:AR916)))</f>
        <v>0</v>
      </c>
      <c r="AT916" s="185">
        <f>-(SUM($G898:AT898)+$B900+SUM($G903:AT903)-AT904+AT905-IF($B893=0,AT906,0)-SUM($G902:AT902)*IF($B893=0,1,1+$B895)-IF($B893=0,0,MAX(SUM($G910:AT910)-SUM($G909:AT909),0))+IF(AT$2=1,0,SUM($F916:AS916)))</f>
        <v>0</v>
      </c>
      <c r="AU916" s="185">
        <f>-(SUM($G898:AU898)+$B900+SUM($G903:AU903)-AU904+AU905-IF($B893=0,AU906,0)-SUM($G902:AU902)*IF($B893=0,1,1+$B895)-IF($B893=0,0,MAX(SUM($G910:AU910)-SUM($G909:AU909),0))+IF(AU$2=1,0,SUM($F916:AT916)))</f>
        <v>0</v>
      </c>
      <c r="AV916" s="185">
        <f>-(SUM($G898:AV898)+$B900+SUM($G903:AV903)-AV904+AV905-IF($B893=0,AV906,0)-SUM($G902:AV902)*IF($B893=0,1,1+$B895)-IF($B893=0,0,MAX(SUM($G910:AV910)-SUM($G909:AV909),0))+IF(AV$2=1,0,SUM($F916:AU916)))</f>
        <v>0</v>
      </c>
      <c r="AW916" s="185">
        <f>-(SUM($G898:AW898)+$B900+SUM($G903:AW903)-AW904+AW905-IF($B893=0,AW906,0)-SUM($G902:AW902)*IF($B893=0,1,1+$B895)-IF($B893=0,0,MAX(SUM($G910:AW910)-SUM($G909:AW909),0))+IF(AW$2=1,0,SUM($F916:AV916)))</f>
        <v>0</v>
      </c>
      <c r="AX916" s="185">
        <f>-(SUM($G898:AX898)+$B900+SUM($G903:AX903)-AX904+AX905-IF($B893=0,AX906,0)-SUM($G902:AX902)*IF($B893=0,1,1+$B895)-IF($B893=0,0,MAX(SUM($G910:AX910)-SUM($G909:AX909),0))+IF(AX$2=1,0,SUM($F916:AW916)))</f>
        <v>0</v>
      </c>
      <c r="AY916" s="185">
        <f>-(SUM($G898:AY898)+$B900+SUM($G903:AY903)-AY904+AY905-IF($B893=0,AY906,0)-SUM($G902:AY902)*IF($B893=0,1,1+$B895)-IF($B893=0,0,MAX(SUM($G910:AY910)-SUM($G909:AY909),0))+IF(AY$2=1,0,SUM($F916:AX916)))</f>
        <v>0</v>
      </c>
      <c r="AZ916" s="185">
        <f>-(SUM($G898:AZ898)+$B900+SUM($G903:AZ903)-AZ904+AZ905-IF($B893=0,AZ906,0)-SUM($G902:AZ902)*IF($B893=0,1,1+$B895)-IF($B893=0,0,MAX(SUM($G910:AZ910)-SUM($G909:AZ909),0))+IF(AZ$2=1,0,SUM($F916:AY916)))</f>
        <v>0</v>
      </c>
      <c r="BA916" s="185">
        <f>-(SUM($G898:BA898)+$B900+SUM($G903:BA903)-BA904+BA905-IF($B893=0,BA906,0)-SUM($G902:BA902)*IF($B893=0,1,1+$B895)-IF($B893=0,0,MAX(SUM($G910:BA910)-SUM($G909:BA909),0))+IF(BA$2=1,0,SUM($F916:AZ916)))</f>
        <v>0</v>
      </c>
      <c r="BB916" s="185">
        <f>-(SUM($G898:BB898)+$B900+SUM($G903:BB903)-BB904+BB905-IF($B893=0,BB906,0)-SUM($G902:BB902)*IF($B893=0,1,1+$B895)-IF($B893=0,0,MAX(SUM($G910:BB910)-SUM($G909:BB909),0))+IF(BB$2=1,0,SUM($F916:BA916)))</f>
        <v>0</v>
      </c>
      <c r="BC916" s="185"/>
      <c r="BD916" s="193">
        <f>SUM(G916:BC916)</f>
        <v>0</v>
      </c>
    </row>
    <row r="918" spans="1:56" x14ac:dyDescent="0.3">
      <c r="A918" s="207" t="str">
        <f ca="1">Language!A$948</f>
        <v>Нематериальные активы</v>
      </c>
      <c r="B918" s="196"/>
      <c r="C918" s="196"/>
      <c r="D918" s="197"/>
      <c r="E918" s="197" t="s">
        <v>731</v>
      </c>
      <c r="F918" s="197" t="s">
        <v>3415</v>
      </c>
      <c r="G918" s="196"/>
      <c r="H918" s="196"/>
      <c r="I918" s="196"/>
      <c r="J918" s="196"/>
      <c r="K918" s="196"/>
      <c r="L918" s="196"/>
      <c r="M918" s="196"/>
      <c r="N918" s="196"/>
      <c r="O918" s="196"/>
      <c r="P918" s="196"/>
      <c r="Q918" s="196"/>
      <c r="R918" s="196"/>
      <c r="S918" s="196"/>
      <c r="T918" s="196"/>
      <c r="U918" s="196"/>
      <c r="V918" s="196"/>
      <c r="W918" s="196"/>
      <c r="X918" s="196"/>
      <c r="Y918" s="196"/>
      <c r="Z918" s="196"/>
      <c r="AA918" s="196"/>
      <c r="AB918" s="196"/>
      <c r="AC918" s="196"/>
      <c r="AD918" s="196"/>
      <c r="AE918" s="196"/>
      <c r="AF918" s="196"/>
      <c r="AG918" s="196"/>
      <c r="AH918" s="196"/>
      <c r="AI918" s="196"/>
      <c r="AJ918" s="196"/>
      <c r="AK918" s="196"/>
      <c r="AL918" s="196"/>
      <c r="AM918" s="196"/>
      <c r="AN918" s="196"/>
      <c r="AO918" s="196"/>
      <c r="AP918" s="196"/>
      <c r="AQ918" s="196"/>
      <c r="AR918" s="196"/>
      <c r="AS918" s="196"/>
      <c r="AT918" s="196"/>
      <c r="AU918" s="196"/>
      <c r="AV918" s="196"/>
      <c r="AW918" s="196"/>
      <c r="AX918" s="196"/>
      <c r="AY918" s="196"/>
      <c r="AZ918" s="196"/>
      <c r="BA918" s="196"/>
      <c r="BB918" s="196"/>
      <c r="BC918" s="196"/>
      <c r="BD918" s="204"/>
    </row>
    <row r="920" spans="1:56" x14ac:dyDescent="0.3">
      <c r="A920" s="283" t="s">
        <v>3473</v>
      </c>
      <c r="C920" s="176"/>
      <c r="D920" s="174">
        <v>1</v>
      </c>
      <c r="F920" s="170" t="s">
        <v>3474</v>
      </c>
      <c r="G920" s="177"/>
      <c r="H920" s="177"/>
      <c r="I920" s="177"/>
      <c r="J920" s="177"/>
      <c r="K920" s="177"/>
      <c r="L920" s="177"/>
      <c r="M920" s="177"/>
      <c r="N920" s="177"/>
      <c r="O920" s="177"/>
      <c r="P920" s="177"/>
      <c r="Q920" s="177"/>
      <c r="R920" s="177"/>
      <c r="S920" s="177"/>
      <c r="T920" s="177"/>
      <c r="U920" s="177"/>
      <c r="V920" s="177"/>
      <c r="W920" s="177"/>
      <c r="X920" s="177"/>
      <c r="Y920" s="177"/>
      <c r="Z920" s="177"/>
      <c r="AA920" s="177"/>
      <c r="AB920" s="177"/>
      <c r="AC920" s="177"/>
      <c r="AD920" s="177"/>
      <c r="AE920" s="177"/>
      <c r="AF920" s="177"/>
      <c r="AG920" s="177"/>
      <c r="AH920" s="177"/>
      <c r="AI920" s="177"/>
      <c r="AJ920" s="177"/>
      <c r="AK920" s="177"/>
      <c r="AL920" s="177"/>
      <c r="AM920" s="177"/>
      <c r="AN920" s="177"/>
      <c r="AO920" s="177"/>
      <c r="AP920" s="177"/>
      <c r="AQ920" s="177"/>
      <c r="AR920" s="177"/>
      <c r="AS920" s="177"/>
      <c r="AT920" s="177"/>
      <c r="AU920" s="177"/>
      <c r="AV920" s="177"/>
      <c r="AW920" s="177"/>
      <c r="AX920" s="177"/>
      <c r="AY920" s="177"/>
      <c r="AZ920" s="177"/>
      <c r="BA920" s="177"/>
      <c r="BB920" s="177"/>
      <c r="BC920" s="177"/>
      <c r="BD920" s="178"/>
    </row>
    <row r="921" spans="1:56" collapsed="1" x14ac:dyDescent="0.3">
      <c r="A921" s="175" t="str">
        <f ca="1">Language!A$926</f>
        <v>график оплаты, без НДС</v>
      </c>
      <c r="B921" s="199">
        <f>BD921</f>
        <v>150000</v>
      </c>
      <c r="C921" s="176" t="str">
        <f t="shared" ref="C921:C923" ca="1" si="3633">CHOOSE(D921,CurName1,CurName2,CurName3)</f>
        <v>руб.</v>
      </c>
      <c r="D921" s="174">
        <f>D920</f>
        <v>1</v>
      </c>
      <c r="F921" s="170" t="s">
        <v>740</v>
      </c>
      <c r="G921" s="297">
        <v>25000</v>
      </c>
      <c r="H921" s="297">
        <v>25000</v>
      </c>
      <c r="I921" s="297">
        <v>25000</v>
      </c>
      <c r="J921" s="297">
        <v>25000</v>
      </c>
      <c r="K921" s="297">
        <v>25000</v>
      </c>
      <c r="L921" s="297">
        <v>25000</v>
      </c>
      <c r="M921" s="297">
        <v>0</v>
      </c>
      <c r="N921" s="297">
        <v>0</v>
      </c>
      <c r="O921" s="297">
        <v>0</v>
      </c>
      <c r="P921" s="297">
        <v>0</v>
      </c>
      <c r="Q921" s="297">
        <v>0</v>
      </c>
      <c r="R921" s="297">
        <v>0</v>
      </c>
      <c r="S921" s="297">
        <v>0</v>
      </c>
      <c r="T921" s="297">
        <v>0</v>
      </c>
      <c r="U921" s="297">
        <v>0</v>
      </c>
      <c r="V921" s="297">
        <v>0</v>
      </c>
      <c r="W921" s="297">
        <v>0</v>
      </c>
      <c r="X921" s="297">
        <v>0</v>
      </c>
      <c r="Y921" s="297">
        <v>0</v>
      </c>
      <c r="Z921" s="297">
        <v>0</v>
      </c>
      <c r="AA921" s="297">
        <v>0</v>
      </c>
      <c r="AB921" s="297">
        <v>0</v>
      </c>
      <c r="AC921" s="297">
        <v>0</v>
      </c>
      <c r="AD921" s="297">
        <v>0</v>
      </c>
      <c r="AE921" s="297">
        <v>0</v>
      </c>
      <c r="AF921" s="297">
        <v>0</v>
      </c>
      <c r="AG921" s="297">
        <v>0</v>
      </c>
      <c r="AH921" s="297">
        <v>0</v>
      </c>
      <c r="AI921" s="297">
        <v>0</v>
      </c>
      <c r="AJ921" s="297">
        <v>0</v>
      </c>
      <c r="AK921" s="297">
        <v>0</v>
      </c>
      <c r="AL921" s="297">
        <v>0</v>
      </c>
      <c r="AM921" s="297">
        <v>0</v>
      </c>
      <c r="AN921" s="297">
        <v>0</v>
      </c>
      <c r="AO921" s="297">
        <v>0</v>
      </c>
      <c r="AP921" s="297">
        <v>0</v>
      </c>
      <c r="AQ921" s="297">
        <v>0</v>
      </c>
      <c r="AR921" s="297">
        <v>0</v>
      </c>
      <c r="AS921" s="297">
        <v>0</v>
      </c>
      <c r="AT921" s="297">
        <v>0</v>
      </c>
      <c r="AU921" s="297">
        <v>0</v>
      </c>
      <c r="AV921" s="297">
        <v>0</v>
      </c>
      <c r="AW921" s="297">
        <v>0</v>
      </c>
      <c r="AX921" s="297">
        <v>0</v>
      </c>
      <c r="AY921" s="297">
        <v>0</v>
      </c>
      <c r="AZ921" s="297">
        <v>0</v>
      </c>
      <c r="BA921" s="297">
        <v>0</v>
      </c>
      <c r="BB921" s="297">
        <v>0</v>
      </c>
      <c r="BC921" s="177"/>
      <c r="BD921" s="178">
        <f>SUM(G921:BC921)</f>
        <v>150000</v>
      </c>
    </row>
    <row r="922" spans="1:56" hidden="1" outlineLevel="1" x14ac:dyDescent="0.3">
      <c r="A922" s="175" t="str">
        <f ca="1">Language!A$927</f>
        <v>ранее осуществленные инвестиции, без НДС</v>
      </c>
      <c r="B922" s="295">
        <v>0</v>
      </c>
      <c r="C922" s="176" t="str">
        <f t="shared" ca="1" si="3633"/>
        <v>руб.</v>
      </c>
      <c r="D922" s="174">
        <f>D920</f>
        <v>1</v>
      </c>
    </row>
    <row r="923" spans="1:56" hidden="1" outlineLevel="1" x14ac:dyDescent="0.3">
      <c r="A923" s="175" t="str">
        <f ca="1">Language!A$928</f>
        <v>график ввода в эксплуатацию, без НДС</v>
      </c>
      <c r="B923" s="176"/>
      <c r="C923" s="176" t="str">
        <f t="shared" ca="1" si="3633"/>
        <v>руб.</v>
      </c>
      <c r="D923" s="174">
        <f>D920</f>
        <v>1</v>
      </c>
      <c r="F923" s="170" t="s">
        <v>740</v>
      </c>
      <c r="G923" s="297">
        <f>IF(G$2&gt;=ROUNDUP(Параметры!$B$18,0)+1,MAX(0,$BD921+$B922-SUM($F923:F923)),0)</f>
        <v>0</v>
      </c>
      <c r="H923" s="297">
        <f>IF(H$2&gt;=ROUNDUP(Параметры!$B$18,0)+1,MAX(0,$BD921+$B922-SUM($F923:G923)),0)</f>
        <v>0</v>
      </c>
      <c r="I923" s="297">
        <f>IF(I$2&gt;=ROUNDUP(Параметры!$B$18,0)+1,MAX(0,$BD921+$B922-SUM($F923:H923)),0)</f>
        <v>0</v>
      </c>
      <c r="J923" s="297">
        <f>IF(J$2&gt;=ROUNDUP(Параметры!$B$18,0)+1,MAX(0,$BD921+$B922-SUM($F923:I923)),0)</f>
        <v>0</v>
      </c>
      <c r="K923" s="297">
        <f>IF(K$2&gt;=ROUNDUP(Параметры!$B$18,0)+1,MAX(0,$BD921+$B922-SUM($F923:J923)),0)</f>
        <v>0</v>
      </c>
      <c r="L923" s="297">
        <f>IF(L$2&gt;=ROUNDUP(Параметры!$B$18,0)+1,MAX(0,$BD921+$B922-SUM($F923:K923)),0)</f>
        <v>0</v>
      </c>
      <c r="M923" s="297">
        <f>IF(M$2&gt;=ROUNDUP(Параметры!$B$18,0)+1,MAX(0,$BD921+$B922-SUM($F923:L923)),0)</f>
        <v>150000</v>
      </c>
      <c r="N923" s="297">
        <f>IF(N$2&gt;=ROUNDUP(Параметры!$B$18,0)+1,MAX(0,$BD921+$B922-SUM($F923:M923)),0)</f>
        <v>0</v>
      </c>
      <c r="O923" s="297">
        <f>IF(O$2&gt;=ROUNDUP(Параметры!$B$18,0)+1,MAX(0,$BD921+$B922-SUM($F923:N923)),0)</f>
        <v>0</v>
      </c>
      <c r="P923" s="297">
        <f>IF(P$2&gt;=ROUNDUP(Параметры!$B$18,0)+1,MAX(0,$BD921+$B922-SUM($F923:O923)),0)</f>
        <v>0</v>
      </c>
      <c r="Q923" s="297">
        <f>IF(Q$2&gt;=ROUNDUP(Параметры!$B$18,0)+1,MAX(0,$BD921+$B922-SUM($F923:P923)),0)</f>
        <v>0</v>
      </c>
      <c r="R923" s="297">
        <f>IF(R$2&gt;=ROUNDUP(Параметры!$B$18,0)+1,MAX(0,$BD921+$B922-SUM($F923:Q923)),0)</f>
        <v>0</v>
      </c>
      <c r="S923" s="297">
        <f>IF(S$2&gt;=ROUNDUP(Параметры!$B$18,0)+1,MAX(0,$BD921+$B922-SUM($F923:R923)),0)</f>
        <v>0</v>
      </c>
      <c r="T923" s="297">
        <f>IF(T$2&gt;=ROUNDUP(Параметры!$B$18,0)+1,MAX(0,$BD921+$B922-SUM($F923:S923)),0)</f>
        <v>0</v>
      </c>
      <c r="U923" s="297">
        <f>IF(U$2&gt;=ROUNDUP(Параметры!$B$18,0)+1,MAX(0,$BD921+$B922-SUM($F923:T923)),0)</f>
        <v>0</v>
      </c>
      <c r="V923" s="297">
        <f>IF(V$2&gt;=ROUNDUP(Параметры!$B$18,0)+1,MAX(0,$BD921+$B922-SUM($F923:U923)),0)</f>
        <v>0</v>
      </c>
      <c r="W923" s="297">
        <f>IF(W$2&gt;=ROUNDUP(Параметры!$B$18,0)+1,MAX(0,$BD921+$B922-SUM($F923:V923)),0)</f>
        <v>0</v>
      </c>
      <c r="X923" s="297">
        <f>IF(X$2&gt;=ROUNDUP(Параметры!$B$18,0)+1,MAX(0,$BD921+$B922-SUM($F923:W923)),0)</f>
        <v>0</v>
      </c>
      <c r="Y923" s="297">
        <f>IF(Y$2&gt;=ROUNDUP(Параметры!$B$18,0)+1,MAX(0,$BD921+$B922-SUM($F923:X923)),0)</f>
        <v>0</v>
      </c>
      <c r="Z923" s="297">
        <f>IF(Z$2&gt;=ROUNDUP(Параметры!$B$18,0)+1,MAX(0,$BD921+$B922-SUM($F923:Y923)),0)</f>
        <v>0</v>
      </c>
      <c r="AA923" s="297">
        <f>IF(AA$2&gt;=ROUNDUP(Параметры!$B$18,0)+1,MAX(0,$BD921+$B922-SUM($F923:Z923)),0)</f>
        <v>0</v>
      </c>
      <c r="AB923" s="297">
        <f>IF(AB$2&gt;=ROUNDUP(Параметры!$B$18,0)+1,MAX(0,$BD921+$B922-SUM($F923:AA923)),0)</f>
        <v>0</v>
      </c>
      <c r="AC923" s="297">
        <f>IF(AC$2&gt;=ROUNDUP(Параметры!$B$18,0)+1,MAX(0,$BD921+$B922-SUM($F923:AB923)),0)</f>
        <v>0</v>
      </c>
      <c r="AD923" s="297">
        <f>IF(AD$2&gt;=ROUNDUP(Параметры!$B$18,0)+1,MAX(0,$BD921+$B922-SUM($F923:AC923)),0)</f>
        <v>0</v>
      </c>
      <c r="AE923" s="297">
        <f>IF(AE$2&gt;=ROUNDUP(Параметры!$B$18,0)+1,MAX(0,$BD921+$B922-SUM($F923:AD923)),0)</f>
        <v>0</v>
      </c>
      <c r="AF923" s="297">
        <f>IF(AF$2&gt;=ROUNDUP(Параметры!$B$18,0)+1,MAX(0,$BD921+$B922-SUM($F923:AE923)),0)</f>
        <v>0</v>
      </c>
      <c r="AG923" s="297">
        <f>IF(AG$2&gt;=ROUNDUP(Параметры!$B$18,0)+1,MAX(0,$BD921+$B922-SUM($F923:AF923)),0)</f>
        <v>0</v>
      </c>
      <c r="AH923" s="297">
        <f>IF(AH$2&gt;=ROUNDUP(Параметры!$B$18,0)+1,MAX(0,$BD921+$B922-SUM($F923:AG923)),0)</f>
        <v>0</v>
      </c>
      <c r="AI923" s="297">
        <f>IF(AI$2&gt;=ROUNDUP(Параметры!$B$18,0)+1,MAX(0,$BD921+$B922-SUM($F923:AH923)),0)</f>
        <v>0</v>
      </c>
      <c r="AJ923" s="297">
        <f>IF(AJ$2&gt;=ROUNDUP(Параметры!$B$18,0)+1,MAX(0,$BD921+$B922-SUM($F923:AI923)),0)</f>
        <v>0</v>
      </c>
      <c r="AK923" s="297">
        <f>IF(AK$2&gt;=ROUNDUP(Параметры!$B$18,0)+1,MAX(0,$BD921+$B922-SUM($F923:AJ923)),0)</f>
        <v>0</v>
      </c>
      <c r="AL923" s="297">
        <f>IF(AL$2&gt;=ROUNDUP(Параметры!$B$18,0)+1,MAX(0,$BD921+$B922-SUM($F923:AK923)),0)</f>
        <v>0</v>
      </c>
      <c r="AM923" s="297">
        <f>IF(AM$2&gt;=ROUNDUP(Параметры!$B$18,0)+1,MAX(0,$BD921+$B922-SUM($F923:AL923)),0)</f>
        <v>0</v>
      </c>
      <c r="AN923" s="297">
        <f>IF(AN$2&gt;=ROUNDUP(Параметры!$B$18,0)+1,MAX(0,$BD921+$B922-SUM($F923:AM923)),0)</f>
        <v>0</v>
      </c>
      <c r="AO923" s="297">
        <f>IF(AO$2&gt;=ROUNDUP(Параметры!$B$18,0)+1,MAX(0,$BD921+$B922-SUM($F923:AN923)),0)</f>
        <v>0</v>
      </c>
      <c r="AP923" s="297">
        <f>IF(AP$2&gt;=ROUNDUP(Параметры!$B$18,0)+1,MAX(0,$BD921+$B922-SUM($F923:AO923)),0)</f>
        <v>0</v>
      </c>
      <c r="AQ923" s="297">
        <f>IF(AQ$2&gt;=ROUNDUP(Параметры!$B$18,0)+1,MAX(0,$BD921+$B922-SUM($F923:AP923)),0)</f>
        <v>0</v>
      </c>
      <c r="AR923" s="297">
        <f>IF(AR$2&gt;=ROUNDUP(Параметры!$B$18,0)+1,MAX(0,$BD921+$B922-SUM($F923:AQ923)),0)</f>
        <v>0</v>
      </c>
      <c r="AS923" s="297">
        <f>IF(AS$2&gt;=ROUNDUP(Параметры!$B$18,0)+1,MAX(0,$BD921+$B922-SUM($F923:AR923)),0)</f>
        <v>0</v>
      </c>
      <c r="AT923" s="297">
        <f>IF(AT$2&gt;=ROUNDUP(Параметры!$B$18,0)+1,MAX(0,$BD921+$B922-SUM($F923:AS923)),0)</f>
        <v>0</v>
      </c>
      <c r="AU923" s="297">
        <f>IF(AU$2&gt;=ROUNDUP(Параметры!$B$18,0)+1,MAX(0,$BD921+$B922-SUM($F923:AT923)),0)</f>
        <v>0</v>
      </c>
      <c r="AV923" s="297">
        <f>IF(AV$2&gt;=ROUNDUP(Параметры!$B$18,0)+1,MAX(0,$BD921+$B922-SUM($F923:AU923)),0)</f>
        <v>0</v>
      </c>
      <c r="AW923" s="297">
        <f>IF(AW$2&gt;=ROUNDUP(Параметры!$B$18,0)+1,MAX(0,$BD921+$B922-SUM($F923:AV923)),0)</f>
        <v>0</v>
      </c>
      <c r="AX923" s="297">
        <f>IF(AX$2&gt;=ROUNDUP(Параметры!$B$18,0)+1,MAX(0,$BD921+$B922-SUM($F923:AW923)),0)</f>
        <v>0</v>
      </c>
      <c r="AY923" s="297">
        <f>IF(AY$2&gt;=ROUNDUP(Параметры!$B$18,0)+1,MAX(0,$BD921+$B922-SUM($F923:AX923)),0)</f>
        <v>0</v>
      </c>
      <c r="AZ923" s="297">
        <f>IF(AZ$2&gt;=ROUNDUP(Параметры!$B$18,0)+1,MAX(0,$BD921+$B922-SUM($F923:AY923)),0)</f>
        <v>0</v>
      </c>
      <c r="BA923" s="297">
        <f>IF(BA$2&gt;=ROUNDUP(Параметры!$B$18,0)+1,MAX(0,$BD921+$B922-SUM($F923:AZ923)),0)</f>
        <v>0</v>
      </c>
      <c r="BB923" s="297">
        <f>IF(BB$2&gt;=ROUNDUP(Параметры!$B$18,0)+1,MAX(0,$BD921+$B922-SUM($F923:BA923)),0)</f>
        <v>0</v>
      </c>
      <c r="BC923" s="177"/>
      <c r="BD923" s="178">
        <f>SUM(G923:BC923)</f>
        <v>150000</v>
      </c>
    </row>
    <row r="924" spans="1:56" hidden="1" outlineLevel="1" x14ac:dyDescent="0.3">
      <c r="A924" s="175" t="str">
        <f ca="1">Language!A$929</f>
        <v xml:space="preserve">срок полезного использования </v>
      </c>
      <c r="B924" s="295">
        <v>10</v>
      </c>
      <c r="C924" s="176" t="str">
        <f ca="1">Language!A$48</f>
        <v>лет</v>
      </c>
      <c r="D924" s="174">
        <v>1</v>
      </c>
      <c r="G924" s="177"/>
      <c r="H924" s="177"/>
      <c r="I924" s="177"/>
      <c r="J924" s="177"/>
      <c r="K924" s="177"/>
      <c r="L924" s="177"/>
      <c r="M924" s="177"/>
      <c r="N924" s="177"/>
      <c r="O924" s="177"/>
      <c r="P924" s="177"/>
      <c r="Q924" s="177"/>
      <c r="R924" s="177"/>
      <c r="S924" s="177"/>
      <c r="T924" s="177"/>
      <c r="U924" s="177"/>
      <c r="V924" s="177"/>
      <c r="W924" s="177"/>
      <c r="X924" s="177"/>
      <c r="Y924" s="177"/>
      <c r="Z924" s="177"/>
      <c r="AA924" s="177"/>
      <c r="AB924" s="177"/>
      <c r="AC924" s="177"/>
      <c r="AD924" s="177"/>
      <c r="AE924" s="177"/>
      <c r="AF924" s="177"/>
      <c r="AG924" s="177"/>
      <c r="AH924" s="177"/>
      <c r="AI924" s="177"/>
      <c r="AJ924" s="177"/>
      <c r="AK924" s="177"/>
      <c r="AL924" s="177"/>
      <c r="AM924" s="177"/>
      <c r="AN924" s="177"/>
      <c r="AO924" s="177"/>
      <c r="AP924" s="177"/>
      <c r="AQ924" s="177"/>
      <c r="AR924" s="177"/>
      <c r="AS924" s="177"/>
      <c r="AT924" s="177"/>
      <c r="AU924" s="177"/>
      <c r="AV924" s="177"/>
      <c r="AW924" s="177"/>
      <c r="AX924" s="177"/>
      <c r="AY924" s="177"/>
      <c r="AZ924" s="177"/>
      <c r="BA924" s="177"/>
      <c r="BB924" s="177"/>
      <c r="BC924" s="177"/>
      <c r="BD924" s="178"/>
    </row>
    <row r="925" spans="1:56" s="170" customFormat="1" hidden="1" outlineLevel="1" x14ac:dyDescent="0.3">
      <c r="A925" s="184" t="str">
        <f ca="1">Language!A$930</f>
        <v>ставка НДС</v>
      </c>
      <c r="B925" s="203">
        <f>AVERAGE(G925:H925)</f>
        <v>0</v>
      </c>
      <c r="C925" s="163" t="s">
        <v>1</v>
      </c>
      <c r="D925" s="174">
        <v>1</v>
      </c>
      <c r="F925" s="170" t="s">
        <v>2346</v>
      </c>
      <c r="G925" s="290">
        <f>IF(G$2=1,Параметры!G$72,IF(F925=Параметры!F$72,Параметры!F$72,F925))</f>
        <v>0</v>
      </c>
      <c r="H925" s="290">
        <f>IF(H$2=1,Параметры!H$72,IF(G925=Параметры!G$72,Параметры!G$72,G925))</f>
        <v>0</v>
      </c>
      <c r="I925" s="290">
        <f>IF(I$2=1,Параметры!I$72,IF(H925=Параметры!H$72,Параметры!H$72,H925))</f>
        <v>0</v>
      </c>
      <c r="J925" s="290">
        <f>IF(J$2=1,Параметры!J$72,IF(I925=Параметры!I$72,Параметры!I$72,I925))</f>
        <v>0</v>
      </c>
      <c r="K925" s="290">
        <f>IF(K$2=1,Параметры!K$72,IF(J925=Параметры!J$72,Параметры!J$72,J925))</f>
        <v>0</v>
      </c>
      <c r="L925" s="290">
        <f>IF(L$2=1,Параметры!L$72,IF(K925=Параметры!K$72,Параметры!K$72,K925))</f>
        <v>0</v>
      </c>
      <c r="M925" s="290">
        <f>IF(M$2=1,Параметры!M$72,IF(L925=Параметры!L$72,Параметры!L$72,L925))</f>
        <v>0</v>
      </c>
      <c r="N925" s="290">
        <f>IF(N$2=1,Параметры!N$72,IF(M925=Параметры!M$72,Параметры!M$72,M925))</f>
        <v>0</v>
      </c>
      <c r="O925" s="290">
        <f>IF(O$2=1,Параметры!O$72,IF(N925=Параметры!N$72,Параметры!N$72,N925))</f>
        <v>0</v>
      </c>
      <c r="P925" s="290">
        <f>IF(P$2=1,Параметры!P$72,IF(O925=Параметры!O$72,Параметры!O$72,O925))</f>
        <v>0</v>
      </c>
      <c r="Q925" s="290">
        <f>IF(Q$2=1,Параметры!Q$72,IF(P925=Параметры!P$72,Параметры!P$72,P925))</f>
        <v>0</v>
      </c>
      <c r="R925" s="290">
        <f>IF(R$2=1,Параметры!R$72,IF(Q925=Параметры!Q$72,Параметры!Q$72,Q925))</f>
        <v>0</v>
      </c>
      <c r="S925" s="290">
        <f>IF(S$2=1,Параметры!S$72,IF(R925=Параметры!R$72,Параметры!R$72,R925))</f>
        <v>0</v>
      </c>
      <c r="T925" s="290">
        <f>IF(T$2=1,Параметры!T$72,IF(S925=Параметры!S$72,Параметры!S$72,S925))</f>
        <v>0</v>
      </c>
      <c r="U925" s="290">
        <f>IF(U$2=1,Параметры!U$72,IF(T925=Параметры!T$72,Параметры!T$72,T925))</f>
        <v>0</v>
      </c>
      <c r="V925" s="290">
        <f>IF(V$2=1,Параметры!V$72,IF(U925=Параметры!U$72,Параметры!U$72,U925))</f>
        <v>0</v>
      </c>
      <c r="W925" s="290">
        <f>IF(W$2=1,Параметры!W$72,IF(V925=Параметры!V$72,Параметры!V$72,V925))</f>
        <v>0</v>
      </c>
      <c r="X925" s="290">
        <f>IF(X$2=1,Параметры!X$72,IF(W925=Параметры!W$72,Параметры!W$72,W925))</f>
        <v>0</v>
      </c>
      <c r="Y925" s="290">
        <f>IF(Y$2=1,Параметры!Y$72,IF(X925=Параметры!X$72,Параметры!X$72,X925))</f>
        <v>0</v>
      </c>
      <c r="Z925" s="290">
        <f>IF(Z$2=1,Параметры!Z$72,IF(Y925=Параметры!Y$72,Параметры!Y$72,Y925))</f>
        <v>0</v>
      </c>
      <c r="AA925" s="290">
        <f>IF(AA$2=1,Параметры!AA$72,IF(Z925=Параметры!Z$72,Параметры!Z$72,Z925))</f>
        <v>0</v>
      </c>
      <c r="AB925" s="290">
        <f>IF(AB$2=1,Параметры!AB$72,IF(AA925=Параметры!AA$72,Параметры!AA$72,AA925))</f>
        <v>0</v>
      </c>
      <c r="AC925" s="290">
        <f>IF(AC$2=1,Параметры!AC$72,IF(AB925=Параметры!AB$72,Параметры!AB$72,AB925))</f>
        <v>0</v>
      </c>
      <c r="AD925" s="290">
        <f>IF(AD$2=1,Параметры!AD$72,IF(AC925=Параметры!AC$72,Параметры!AC$72,AC925))</f>
        <v>0</v>
      </c>
      <c r="AE925" s="290">
        <f>IF(AE$2=1,Параметры!AE$72,IF(AD925=Параметры!AD$72,Параметры!AD$72,AD925))</f>
        <v>0</v>
      </c>
      <c r="AF925" s="290">
        <f>IF(AF$2=1,Параметры!AF$72,IF(AE925=Параметры!AE$72,Параметры!AE$72,AE925))</f>
        <v>0</v>
      </c>
      <c r="AG925" s="290">
        <f>IF(AG$2=1,Параметры!AG$72,IF(AF925=Параметры!AF$72,Параметры!AF$72,AF925))</f>
        <v>0</v>
      </c>
      <c r="AH925" s="290">
        <f>IF(AH$2=1,Параметры!AH$72,IF(AG925=Параметры!AG$72,Параметры!AG$72,AG925))</f>
        <v>0</v>
      </c>
      <c r="AI925" s="290">
        <f>IF(AI$2=1,Параметры!AI$72,IF(AH925=Параметры!AH$72,Параметры!AH$72,AH925))</f>
        <v>0</v>
      </c>
      <c r="AJ925" s="290">
        <f>IF(AJ$2=1,Параметры!AJ$72,IF(AI925=Параметры!AI$72,Параметры!AI$72,AI925))</f>
        <v>0</v>
      </c>
      <c r="AK925" s="290">
        <f>IF(AK$2=1,Параметры!AK$72,IF(AJ925=Параметры!AJ$72,Параметры!AJ$72,AJ925))</f>
        <v>0</v>
      </c>
      <c r="AL925" s="290">
        <f>IF(AL$2=1,Параметры!AL$72,IF(AK925=Параметры!AK$72,Параметры!AK$72,AK925))</f>
        <v>0</v>
      </c>
      <c r="AM925" s="290">
        <f>IF(AM$2=1,Параметры!AM$72,IF(AL925=Параметры!AL$72,Параметры!AL$72,AL925))</f>
        <v>0</v>
      </c>
      <c r="AN925" s="290">
        <f>IF(AN$2=1,Параметры!AN$72,IF(AM925=Параметры!AM$72,Параметры!AM$72,AM925))</f>
        <v>0</v>
      </c>
      <c r="AO925" s="290">
        <f>IF(AO$2=1,Параметры!AO$72,IF(AN925=Параметры!AN$72,Параметры!AN$72,AN925))</f>
        <v>0</v>
      </c>
      <c r="AP925" s="290">
        <f>IF(AP$2=1,Параметры!AP$72,IF(AO925=Параметры!AO$72,Параметры!AO$72,AO925))</f>
        <v>0</v>
      </c>
      <c r="AQ925" s="290">
        <f>IF(AQ$2=1,Параметры!AQ$72,IF(AP925=Параметры!AP$72,Параметры!AP$72,AP925))</f>
        <v>0</v>
      </c>
      <c r="AR925" s="290">
        <f>IF(AR$2=1,Параметры!AR$72,IF(AQ925=Параметры!AQ$72,Параметры!AQ$72,AQ925))</f>
        <v>0</v>
      </c>
      <c r="AS925" s="290">
        <f>IF(AS$2=1,Параметры!AS$72,IF(AR925=Параметры!AR$72,Параметры!AR$72,AR925))</f>
        <v>0</v>
      </c>
      <c r="AT925" s="290">
        <f>IF(AT$2=1,Параметры!AT$72,IF(AS925=Параметры!AS$72,Параметры!AS$72,AS925))</f>
        <v>0</v>
      </c>
      <c r="AU925" s="290">
        <f>IF(AU$2=1,Параметры!AU$72,IF(AT925=Параметры!AT$72,Параметры!AT$72,AT925))</f>
        <v>0</v>
      </c>
      <c r="AV925" s="290">
        <f>IF(AV$2=1,Параметры!AV$72,IF(AU925=Параметры!AU$72,Параметры!AU$72,AU925))</f>
        <v>0</v>
      </c>
      <c r="AW925" s="290">
        <f>IF(AW$2=1,Параметры!AW$72,IF(AV925=Параметры!AV$72,Параметры!AV$72,AV925))</f>
        <v>0</v>
      </c>
      <c r="AX925" s="290">
        <f>IF(AX$2=1,Параметры!AX$72,IF(AW925=Параметры!AW$72,Параметры!AW$72,AW925))</f>
        <v>0</v>
      </c>
      <c r="AY925" s="290">
        <f>IF(AY$2=1,Параметры!AY$72,IF(AX925=Параметры!AX$72,Параметры!AX$72,AX925))</f>
        <v>0</v>
      </c>
      <c r="AZ925" s="290">
        <f>IF(AZ$2=1,Параметры!AZ$72,IF(AY925=Параметры!AY$72,Параметры!AY$72,AY925))</f>
        <v>0</v>
      </c>
      <c r="BA925" s="290">
        <f>IF(BA$2=1,Параметры!BA$72,IF(AZ925=Параметры!AZ$72,Параметры!AZ$72,AZ925))</f>
        <v>0</v>
      </c>
      <c r="BB925" s="290">
        <f>IF(BB$2=1,Параметры!BB$72,IF(BA925=Параметры!BA$72,Параметры!BA$72,BA925))</f>
        <v>0</v>
      </c>
      <c r="BC925" s="190"/>
      <c r="BD925" s="186"/>
    </row>
    <row r="926" spans="1:56" s="170" customFormat="1" hidden="1" outlineLevel="1" x14ac:dyDescent="0.3">
      <c r="A926" s="184" t="str">
        <f ca="1">Language!A$931</f>
        <v>выручка от продажи актива (без НДС)</v>
      </c>
      <c r="B926" s="216"/>
      <c r="C926" s="163" t="str">
        <f ca="1">CHOOSE(D926,CurName1,CurName2,CurName3)</f>
        <v>руб.</v>
      </c>
      <c r="D926" s="174">
        <v>1</v>
      </c>
      <c r="E926" s="170" t="s">
        <v>755</v>
      </c>
      <c r="F926" s="170" t="s">
        <v>2353</v>
      </c>
      <c r="G926" s="287">
        <v>0</v>
      </c>
      <c r="H926" s="287">
        <v>0</v>
      </c>
      <c r="I926" s="287">
        <v>0</v>
      </c>
      <c r="J926" s="287">
        <v>0</v>
      </c>
      <c r="K926" s="287">
        <v>0</v>
      </c>
      <c r="L926" s="287">
        <v>0</v>
      </c>
      <c r="M926" s="287">
        <v>0</v>
      </c>
      <c r="N926" s="287">
        <v>0</v>
      </c>
      <c r="O926" s="287">
        <v>0</v>
      </c>
      <c r="P926" s="287">
        <v>0</v>
      </c>
      <c r="Q926" s="287">
        <v>0</v>
      </c>
      <c r="R926" s="287">
        <v>0</v>
      </c>
      <c r="S926" s="287">
        <v>0</v>
      </c>
      <c r="T926" s="287">
        <v>0</v>
      </c>
      <c r="U926" s="287">
        <v>0</v>
      </c>
      <c r="V926" s="287">
        <v>0</v>
      </c>
      <c r="W926" s="287">
        <v>0</v>
      </c>
      <c r="X926" s="287">
        <v>0</v>
      </c>
      <c r="Y926" s="287">
        <v>0</v>
      </c>
      <c r="Z926" s="287">
        <v>0</v>
      </c>
      <c r="AA926" s="287">
        <v>0</v>
      </c>
      <c r="AB926" s="287">
        <v>0</v>
      </c>
      <c r="AC926" s="287">
        <v>0</v>
      </c>
      <c r="AD926" s="287">
        <v>0</v>
      </c>
      <c r="AE926" s="287">
        <v>0</v>
      </c>
      <c r="AF926" s="287">
        <v>0</v>
      </c>
      <c r="AG926" s="287">
        <v>0</v>
      </c>
      <c r="AH926" s="287">
        <v>0</v>
      </c>
      <c r="AI926" s="287">
        <v>0</v>
      </c>
      <c r="AJ926" s="287">
        <v>0</v>
      </c>
      <c r="AK926" s="287">
        <v>0</v>
      </c>
      <c r="AL926" s="287">
        <v>0</v>
      </c>
      <c r="AM926" s="287">
        <v>0</v>
      </c>
      <c r="AN926" s="287">
        <v>0</v>
      </c>
      <c r="AO926" s="287">
        <v>0</v>
      </c>
      <c r="AP926" s="287">
        <v>0</v>
      </c>
      <c r="AQ926" s="287">
        <v>0</v>
      </c>
      <c r="AR926" s="287">
        <v>0</v>
      </c>
      <c r="AS926" s="287">
        <v>0</v>
      </c>
      <c r="AT926" s="287">
        <v>0</v>
      </c>
      <c r="AU926" s="287">
        <v>0</v>
      </c>
      <c r="AV926" s="287">
        <v>0</v>
      </c>
      <c r="AW926" s="287">
        <v>0</v>
      </c>
      <c r="AX926" s="287">
        <v>0</v>
      </c>
      <c r="AY926" s="287">
        <v>0</v>
      </c>
      <c r="AZ926" s="287">
        <v>0</v>
      </c>
      <c r="BA926" s="287">
        <v>0</v>
      </c>
      <c r="BB926" s="287">
        <v>0</v>
      </c>
      <c r="BC926" s="185"/>
      <c r="BD926" s="193">
        <f>SUM(G926:BC926)</f>
        <v>0</v>
      </c>
    </row>
    <row r="927" spans="1:56" hidden="1" outlineLevel="1" x14ac:dyDescent="0.3">
      <c r="A927" s="184" t="str">
        <f ca="1">Language!A$932</f>
        <v>суммы в осн. валюте: график оплаты, без НДС</v>
      </c>
      <c r="B927" s="163"/>
      <c r="C927" s="163" t="str">
        <f t="shared" ref="C927:C941" ca="1" si="3634">CHOOSE(D927,CurName1,CurName2,CurName3)</f>
        <v>руб.</v>
      </c>
      <c r="D927" s="174">
        <v>1</v>
      </c>
      <c r="E927" s="170" t="s">
        <v>751</v>
      </c>
      <c r="F927" s="170" t="s">
        <v>740</v>
      </c>
      <c r="G927" s="185">
        <f>G921*CHOOSE($D921,1,Параметры!G$53,Параметры!G$59)</f>
        <v>25000</v>
      </c>
      <c r="H927" s="185">
        <f>H921*CHOOSE($D921,1,Параметры!H$53,Параметры!H$59)</f>
        <v>25000</v>
      </c>
      <c r="I927" s="185">
        <f>I921*CHOOSE($D921,1,Параметры!I$53,Параметры!I$59)</f>
        <v>25000</v>
      </c>
      <c r="J927" s="185">
        <f>J921*CHOOSE($D921,1,Параметры!J$53,Параметры!J$59)</f>
        <v>25000</v>
      </c>
      <c r="K927" s="185">
        <f>K921*CHOOSE($D921,1,Параметры!K$53,Параметры!K$59)</f>
        <v>25000</v>
      </c>
      <c r="L927" s="185">
        <f>L921*CHOOSE($D921,1,Параметры!L$53,Параметры!L$59)</f>
        <v>25000</v>
      </c>
      <c r="M927" s="185">
        <f>M921*CHOOSE($D921,1,Параметры!M$53,Параметры!M$59)</f>
        <v>0</v>
      </c>
      <c r="N927" s="185">
        <f>N921*CHOOSE($D921,1,Параметры!N$53,Параметры!N$59)</f>
        <v>0</v>
      </c>
      <c r="O927" s="185">
        <f>O921*CHOOSE($D921,1,Параметры!O$53,Параметры!O$59)</f>
        <v>0</v>
      </c>
      <c r="P927" s="185">
        <f>P921*CHOOSE($D921,1,Параметры!P$53,Параметры!P$59)</f>
        <v>0</v>
      </c>
      <c r="Q927" s="185">
        <f>Q921*CHOOSE($D921,1,Параметры!Q$53,Параметры!Q$59)</f>
        <v>0</v>
      </c>
      <c r="R927" s="185">
        <f>R921*CHOOSE($D921,1,Параметры!R$53,Параметры!R$59)</f>
        <v>0</v>
      </c>
      <c r="S927" s="185">
        <f>S921*CHOOSE($D921,1,Параметры!S$53,Параметры!S$59)</f>
        <v>0</v>
      </c>
      <c r="T927" s="185">
        <f>T921*CHOOSE($D921,1,Параметры!T$53,Параметры!T$59)</f>
        <v>0</v>
      </c>
      <c r="U927" s="185">
        <f>U921*CHOOSE($D921,1,Параметры!U$53,Параметры!U$59)</f>
        <v>0</v>
      </c>
      <c r="V927" s="185">
        <f>V921*CHOOSE($D921,1,Параметры!V$53,Параметры!V$59)</f>
        <v>0</v>
      </c>
      <c r="W927" s="185">
        <f>W921*CHOOSE($D921,1,Параметры!W$53,Параметры!W$59)</f>
        <v>0</v>
      </c>
      <c r="X927" s="185">
        <f>X921*CHOOSE($D921,1,Параметры!X$53,Параметры!X$59)</f>
        <v>0</v>
      </c>
      <c r="Y927" s="185">
        <f>Y921*CHOOSE($D921,1,Параметры!Y$53,Параметры!Y$59)</f>
        <v>0</v>
      </c>
      <c r="Z927" s="185">
        <f>Z921*CHOOSE($D921,1,Параметры!Z$53,Параметры!Z$59)</f>
        <v>0</v>
      </c>
      <c r="AA927" s="185">
        <f>AA921*CHOOSE($D921,1,Параметры!AA$53,Параметры!AA$59)</f>
        <v>0</v>
      </c>
      <c r="AB927" s="185">
        <f>AB921*CHOOSE($D921,1,Параметры!AB$53,Параметры!AB$59)</f>
        <v>0</v>
      </c>
      <c r="AC927" s="185">
        <f>AC921*CHOOSE($D921,1,Параметры!AC$53,Параметры!AC$59)</f>
        <v>0</v>
      </c>
      <c r="AD927" s="185">
        <f>AD921*CHOOSE($D921,1,Параметры!AD$53,Параметры!AD$59)</f>
        <v>0</v>
      </c>
      <c r="AE927" s="185">
        <f>AE921*CHOOSE($D921,1,Параметры!AE$53,Параметры!AE$59)</f>
        <v>0</v>
      </c>
      <c r="AF927" s="185">
        <f>AF921*CHOOSE($D921,1,Параметры!AF$53,Параметры!AF$59)</f>
        <v>0</v>
      </c>
      <c r="AG927" s="185">
        <f>AG921*CHOOSE($D921,1,Параметры!AG$53,Параметры!AG$59)</f>
        <v>0</v>
      </c>
      <c r="AH927" s="185">
        <f>AH921*CHOOSE($D921,1,Параметры!AH$53,Параметры!AH$59)</f>
        <v>0</v>
      </c>
      <c r="AI927" s="185">
        <f>AI921*CHOOSE($D921,1,Параметры!AI$53,Параметры!AI$59)</f>
        <v>0</v>
      </c>
      <c r="AJ927" s="185">
        <f>AJ921*CHOOSE($D921,1,Параметры!AJ$53,Параметры!AJ$59)</f>
        <v>0</v>
      </c>
      <c r="AK927" s="185">
        <f>AK921*CHOOSE($D921,1,Параметры!AK$53,Параметры!AK$59)</f>
        <v>0</v>
      </c>
      <c r="AL927" s="185">
        <f>AL921*CHOOSE($D921,1,Параметры!AL$53,Параметры!AL$59)</f>
        <v>0</v>
      </c>
      <c r="AM927" s="185">
        <f>AM921*CHOOSE($D921,1,Параметры!AM$53,Параметры!AM$59)</f>
        <v>0</v>
      </c>
      <c r="AN927" s="185">
        <f>AN921*CHOOSE($D921,1,Параметры!AN$53,Параметры!AN$59)</f>
        <v>0</v>
      </c>
      <c r="AO927" s="185">
        <f>AO921*CHOOSE($D921,1,Параметры!AO$53,Параметры!AO$59)</f>
        <v>0</v>
      </c>
      <c r="AP927" s="185">
        <f>AP921*CHOOSE($D921,1,Параметры!AP$53,Параметры!AP$59)</f>
        <v>0</v>
      </c>
      <c r="AQ927" s="185">
        <f>AQ921*CHOOSE($D921,1,Параметры!AQ$53,Параметры!AQ$59)</f>
        <v>0</v>
      </c>
      <c r="AR927" s="185">
        <f>AR921*CHOOSE($D921,1,Параметры!AR$53,Параметры!AR$59)</f>
        <v>0</v>
      </c>
      <c r="AS927" s="185">
        <f>AS921*CHOOSE($D921,1,Параметры!AS$53,Параметры!AS$59)</f>
        <v>0</v>
      </c>
      <c r="AT927" s="185">
        <f>AT921*CHOOSE($D921,1,Параметры!AT$53,Параметры!AT$59)</f>
        <v>0</v>
      </c>
      <c r="AU927" s="185">
        <f>AU921*CHOOSE($D921,1,Параметры!AU$53,Параметры!AU$59)</f>
        <v>0</v>
      </c>
      <c r="AV927" s="185">
        <f>AV921*CHOOSE($D921,1,Параметры!AV$53,Параметры!AV$59)</f>
        <v>0</v>
      </c>
      <c r="AW927" s="185">
        <f>AW921*CHOOSE($D921,1,Параметры!AW$53,Параметры!AW$59)</f>
        <v>0</v>
      </c>
      <c r="AX927" s="185">
        <f>AX921*CHOOSE($D921,1,Параметры!AX$53,Параметры!AX$59)</f>
        <v>0</v>
      </c>
      <c r="AY927" s="185">
        <f>AY921*CHOOSE($D921,1,Параметры!AY$53,Параметры!AY$59)</f>
        <v>0</v>
      </c>
      <c r="AZ927" s="185">
        <f>AZ921*CHOOSE($D921,1,Параметры!AZ$53,Параметры!AZ$59)</f>
        <v>0</v>
      </c>
      <c r="BA927" s="185">
        <f>BA921*CHOOSE($D921,1,Параметры!BA$53,Параметры!BA$59)</f>
        <v>0</v>
      </c>
      <c r="BB927" s="185">
        <f>BB921*CHOOSE($D921,1,Параметры!BB$53,Параметры!BB$59)</f>
        <v>0</v>
      </c>
      <c r="BC927" s="185"/>
      <c r="BD927" s="193">
        <f>SUM(G927:BC927)</f>
        <v>150000</v>
      </c>
    </row>
    <row r="928" spans="1:56" hidden="1" outlineLevel="1" x14ac:dyDescent="0.3">
      <c r="A928" s="187" t="str">
        <f ca="1">Language!A$1509</f>
        <v>график оплаты, c НДС</v>
      </c>
      <c r="B928" s="163"/>
      <c r="C928" s="163" t="str">
        <f t="shared" ca="1" si="3634"/>
        <v>руб.</v>
      </c>
      <c r="D928" s="174">
        <v>1</v>
      </c>
      <c r="E928" s="170" t="s">
        <v>993</v>
      </c>
      <c r="F928" s="170" t="s">
        <v>740</v>
      </c>
      <c r="G928" s="185">
        <f>G927+G937</f>
        <v>25000</v>
      </c>
      <c r="H928" s="185">
        <f t="shared" ref="H928:BB928" si="3635">H927+H937</f>
        <v>25000</v>
      </c>
      <c r="I928" s="185">
        <f t="shared" si="3635"/>
        <v>25000</v>
      </c>
      <c r="J928" s="185">
        <f t="shared" si="3635"/>
        <v>25000</v>
      </c>
      <c r="K928" s="185">
        <f t="shared" si="3635"/>
        <v>25000</v>
      </c>
      <c r="L928" s="185">
        <f t="shared" si="3635"/>
        <v>25000</v>
      </c>
      <c r="M928" s="185">
        <f t="shared" si="3635"/>
        <v>0</v>
      </c>
      <c r="N928" s="185">
        <f t="shared" si="3635"/>
        <v>0</v>
      </c>
      <c r="O928" s="185">
        <f t="shared" si="3635"/>
        <v>0</v>
      </c>
      <c r="P928" s="185">
        <f t="shared" si="3635"/>
        <v>0</v>
      </c>
      <c r="Q928" s="185">
        <f t="shared" si="3635"/>
        <v>0</v>
      </c>
      <c r="R928" s="185">
        <f t="shared" si="3635"/>
        <v>0</v>
      </c>
      <c r="S928" s="185">
        <f t="shared" si="3635"/>
        <v>0</v>
      </c>
      <c r="T928" s="185">
        <f t="shared" si="3635"/>
        <v>0</v>
      </c>
      <c r="U928" s="185">
        <f t="shared" si="3635"/>
        <v>0</v>
      </c>
      <c r="V928" s="185">
        <f t="shared" si="3635"/>
        <v>0</v>
      </c>
      <c r="W928" s="185">
        <f t="shared" si="3635"/>
        <v>0</v>
      </c>
      <c r="X928" s="185">
        <f t="shared" si="3635"/>
        <v>0</v>
      </c>
      <c r="Y928" s="185">
        <f t="shared" si="3635"/>
        <v>0</v>
      </c>
      <c r="Z928" s="185">
        <f t="shared" si="3635"/>
        <v>0</v>
      </c>
      <c r="AA928" s="185">
        <f t="shared" si="3635"/>
        <v>0</v>
      </c>
      <c r="AB928" s="185">
        <f t="shared" si="3635"/>
        <v>0</v>
      </c>
      <c r="AC928" s="185">
        <f t="shared" si="3635"/>
        <v>0</v>
      </c>
      <c r="AD928" s="185">
        <f t="shared" si="3635"/>
        <v>0</v>
      </c>
      <c r="AE928" s="185">
        <f t="shared" si="3635"/>
        <v>0</v>
      </c>
      <c r="AF928" s="185">
        <f t="shared" si="3635"/>
        <v>0</v>
      </c>
      <c r="AG928" s="185">
        <f t="shared" si="3635"/>
        <v>0</v>
      </c>
      <c r="AH928" s="185">
        <f t="shared" si="3635"/>
        <v>0</v>
      </c>
      <c r="AI928" s="185">
        <f t="shared" si="3635"/>
        <v>0</v>
      </c>
      <c r="AJ928" s="185">
        <f t="shared" si="3635"/>
        <v>0</v>
      </c>
      <c r="AK928" s="185">
        <f t="shared" si="3635"/>
        <v>0</v>
      </c>
      <c r="AL928" s="185">
        <f t="shared" si="3635"/>
        <v>0</v>
      </c>
      <c r="AM928" s="185">
        <f t="shared" si="3635"/>
        <v>0</v>
      </c>
      <c r="AN928" s="185">
        <f t="shared" si="3635"/>
        <v>0</v>
      </c>
      <c r="AO928" s="185">
        <f t="shared" si="3635"/>
        <v>0</v>
      </c>
      <c r="AP928" s="185">
        <f t="shared" si="3635"/>
        <v>0</v>
      </c>
      <c r="AQ928" s="185">
        <f t="shared" si="3635"/>
        <v>0</v>
      </c>
      <c r="AR928" s="185">
        <f t="shared" si="3635"/>
        <v>0</v>
      </c>
      <c r="AS928" s="185">
        <f t="shared" si="3635"/>
        <v>0</v>
      </c>
      <c r="AT928" s="185">
        <f t="shared" si="3635"/>
        <v>0</v>
      </c>
      <c r="AU928" s="185">
        <f t="shared" si="3635"/>
        <v>0</v>
      </c>
      <c r="AV928" s="185">
        <f t="shared" si="3635"/>
        <v>0</v>
      </c>
      <c r="AW928" s="185">
        <f t="shared" si="3635"/>
        <v>0</v>
      </c>
      <c r="AX928" s="185">
        <f t="shared" si="3635"/>
        <v>0</v>
      </c>
      <c r="AY928" s="185">
        <f t="shared" si="3635"/>
        <v>0</v>
      </c>
      <c r="AZ928" s="185">
        <f t="shared" si="3635"/>
        <v>0</v>
      </c>
      <c r="BA928" s="185">
        <f t="shared" si="3635"/>
        <v>0</v>
      </c>
      <c r="BB928" s="185">
        <f t="shared" si="3635"/>
        <v>0</v>
      </c>
      <c r="BC928" s="185"/>
      <c r="BD928" s="193">
        <f>SUM(G928:BC928)</f>
        <v>150000</v>
      </c>
    </row>
    <row r="929" spans="1:56" hidden="1" outlineLevel="1" x14ac:dyDescent="0.3">
      <c r="A929" s="187" t="str">
        <f ca="1">Language!A$933</f>
        <v>ранее осуществленные инвестиции, без НДС</v>
      </c>
      <c r="B929" s="212">
        <f>B922*CHOOSE(D922,1,Параметры!G$53,Параметры!G$59)</f>
        <v>0</v>
      </c>
      <c r="C929" s="163" t="str">
        <f t="shared" ca="1" si="3634"/>
        <v>руб.</v>
      </c>
      <c r="D929" s="174">
        <v>1</v>
      </c>
      <c r="E929" s="170" t="s">
        <v>1269</v>
      </c>
      <c r="G929" s="185">
        <f>B929</f>
        <v>0</v>
      </c>
      <c r="H929" s="185"/>
      <c r="I929" s="185"/>
      <c r="J929" s="185"/>
      <c r="K929" s="185"/>
      <c r="L929" s="185"/>
      <c r="M929" s="185"/>
      <c r="N929" s="185"/>
      <c r="O929" s="185"/>
      <c r="P929" s="185"/>
      <c r="Q929" s="185"/>
      <c r="R929" s="185"/>
      <c r="S929" s="185"/>
      <c r="T929" s="185"/>
      <c r="U929" s="185"/>
      <c r="V929" s="185"/>
      <c r="W929" s="185"/>
      <c r="X929" s="185"/>
      <c r="Y929" s="185"/>
      <c r="Z929" s="185"/>
      <c r="AA929" s="185"/>
      <c r="AB929" s="185"/>
      <c r="AC929" s="185"/>
      <c r="AD929" s="185"/>
      <c r="AE929" s="185"/>
      <c r="AF929" s="185"/>
      <c r="AG929" s="185"/>
      <c r="AH929" s="185"/>
      <c r="AI929" s="185"/>
      <c r="AJ929" s="185"/>
      <c r="AK929" s="185"/>
      <c r="AL929" s="185"/>
      <c r="AM929" s="185"/>
      <c r="AN929" s="185"/>
      <c r="AO929" s="185"/>
      <c r="AP929" s="185"/>
      <c r="AQ929" s="185"/>
      <c r="AR929" s="185"/>
      <c r="AS929" s="185"/>
      <c r="AT929" s="185"/>
      <c r="AU929" s="185"/>
      <c r="AV929" s="185"/>
      <c r="AW929" s="185"/>
      <c r="AX929" s="185"/>
      <c r="AY929" s="185"/>
      <c r="AZ929" s="185"/>
      <c r="BA929" s="185"/>
      <c r="BB929" s="185"/>
      <c r="BC929" s="185"/>
      <c r="BD929" s="193"/>
    </row>
    <row r="930" spans="1:56" hidden="1" outlineLevel="1" x14ac:dyDescent="0.3">
      <c r="A930" s="187" t="str">
        <f ca="1">Language!A$934</f>
        <v>НДС к ранее осуществленным инвестициям</v>
      </c>
      <c r="B930" s="212">
        <f>B929*G925</f>
        <v>0</v>
      </c>
      <c r="C930" s="163" t="str">
        <f t="shared" ca="1" si="3634"/>
        <v>руб.</v>
      </c>
      <c r="D930" s="174">
        <v>1</v>
      </c>
      <c r="E930" s="170" t="s">
        <v>1273</v>
      </c>
      <c r="G930" s="185">
        <f>B930</f>
        <v>0</v>
      </c>
      <c r="H930" s="185"/>
      <c r="I930" s="185"/>
      <c r="J930" s="185"/>
      <c r="K930" s="185"/>
      <c r="L930" s="185"/>
      <c r="M930" s="185"/>
      <c r="N930" s="185"/>
      <c r="O930" s="185"/>
      <c r="P930" s="185"/>
      <c r="Q930" s="185"/>
      <c r="R930" s="185"/>
      <c r="S930" s="185"/>
      <c r="T930" s="185"/>
      <c r="U930" s="185"/>
      <c r="V930" s="185"/>
      <c r="W930" s="185"/>
      <c r="X930" s="185"/>
      <c r="Y930" s="185"/>
      <c r="Z930" s="185"/>
      <c r="AA930" s="185"/>
      <c r="AB930" s="185"/>
      <c r="AC930" s="185"/>
      <c r="AD930" s="185"/>
      <c r="AE930" s="185"/>
      <c r="AF930" s="185"/>
      <c r="AG930" s="185"/>
      <c r="AH930" s="185"/>
      <c r="AI930" s="185"/>
      <c r="AJ930" s="185"/>
      <c r="AK930" s="185"/>
      <c r="AL930" s="185"/>
      <c r="AM930" s="185"/>
      <c r="AN930" s="185"/>
      <c r="AO930" s="185"/>
      <c r="AP930" s="185"/>
      <c r="AQ930" s="185"/>
      <c r="AR930" s="185"/>
      <c r="AS930" s="185"/>
      <c r="AT930" s="185"/>
      <c r="AU930" s="185"/>
      <c r="AV930" s="185"/>
      <c r="AW930" s="185"/>
      <c r="AX930" s="185"/>
      <c r="AY930" s="185"/>
      <c r="AZ930" s="185"/>
      <c r="BA930" s="185"/>
      <c r="BB930" s="185"/>
      <c r="BC930" s="185"/>
      <c r="BD930" s="193"/>
    </row>
    <row r="931" spans="1:56" hidden="1" outlineLevel="1" x14ac:dyDescent="0.3">
      <c r="A931" s="187" t="str">
        <f ca="1">Language!A$935</f>
        <v>график ввода в эксплуатацию, без НДС</v>
      </c>
      <c r="B931" s="163"/>
      <c r="C931" s="163" t="str">
        <f t="shared" ca="1" si="3634"/>
        <v>руб.</v>
      </c>
      <c r="D931" s="174">
        <v>1</v>
      </c>
      <c r="F931" s="170" t="s">
        <v>740</v>
      </c>
      <c r="G931" s="185">
        <f>G923*CHOOSE($D923,1,Параметры!G$53,Параметры!G$59)</f>
        <v>0</v>
      </c>
      <c r="H931" s="185">
        <f>H923*CHOOSE($D923,1,Параметры!H$53,Параметры!H$59)</f>
        <v>0</v>
      </c>
      <c r="I931" s="185">
        <f>I923*CHOOSE($D923,1,Параметры!I$53,Параметры!I$59)</f>
        <v>0</v>
      </c>
      <c r="J931" s="185">
        <f>J923*CHOOSE($D923,1,Параметры!J$53,Параметры!J$59)</f>
        <v>0</v>
      </c>
      <c r="K931" s="185">
        <f>K923*CHOOSE($D923,1,Параметры!K$53,Параметры!K$59)</f>
        <v>0</v>
      </c>
      <c r="L931" s="185">
        <f>L923*CHOOSE($D923,1,Параметры!L$53,Параметры!L$59)</f>
        <v>0</v>
      </c>
      <c r="M931" s="185">
        <f>M923*CHOOSE($D923,1,Параметры!M$53,Параметры!M$59)</f>
        <v>150000</v>
      </c>
      <c r="N931" s="185">
        <f>N923*CHOOSE($D923,1,Параметры!N$53,Параметры!N$59)</f>
        <v>0</v>
      </c>
      <c r="O931" s="185">
        <f>O923*CHOOSE($D923,1,Параметры!O$53,Параметры!O$59)</f>
        <v>0</v>
      </c>
      <c r="P931" s="185">
        <f>P923*CHOOSE($D923,1,Параметры!P$53,Параметры!P$59)</f>
        <v>0</v>
      </c>
      <c r="Q931" s="185">
        <f>Q923*CHOOSE($D923,1,Параметры!Q$53,Параметры!Q$59)</f>
        <v>0</v>
      </c>
      <c r="R931" s="185">
        <f>R923*CHOOSE($D923,1,Параметры!R$53,Параметры!R$59)</f>
        <v>0</v>
      </c>
      <c r="S931" s="185">
        <f>S923*CHOOSE($D923,1,Параметры!S$53,Параметры!S$59)</f>
        <v>0</v>
      </c>
      <c r="T931" s="185">
        <f>T923*CHOOSE($D923,1,Параметры!T$53,Параметры!T$59)</f>
        <v>0</v>
      </c>
      <c r="U931" s="185">
        <f>U923*CHOOSE($D923,1,Параметры!U$53,Параметры!U$59)</f>
        <v>0</v>
      </c>
      <c r="V931" s="185">
        <f>V923*CHOOSE($D923,1,Параметры!V$53,Параметры!V$59)</f>
        <v>0</v>
      </c>
      <c r="W931" s="185">
        <f>W923*CHOOSE($D923,1,Параметры!W$53,Параметры!W$59)</f>
        <v>0</v>
      </c>
      <c r="X931" s="185">
        <f>X923*CHOOSE($D923,1,Параметры!X$53,Параметры!X$59)</f>
        <v>0</v>
      </c>
      <c r="Y931" s="185">
        <f>Y923*CHOOSE($D923,1,Параметры!Y$53,Параметры!Y$59)</f>
        <v>0</v>
      </c>
      <c r="Z931" s="185">
        <f>Z923*CHOOSE($D923,1,Параметры!Z$53,Параметры!Z$59)</f>
        <v>0</v>
      </c>
      <c r="AA931" s="185">
        <f>AA923*CHOOSE($D923,1,Параметры!AA$53,Параметры!AA$59)</f>
        <v>0</v>
      </c>
      <c r="AB931" s="185">
        <f>AB923*CHOOSE($D923,1,Параметры!AB$53,Параметры!AB$59)</f>
        <v>0</v>
      </c>
      <c r="AC931" s="185">
        <f>AC923*CHOOSE($D923,1,Параметры!AC$53,Параметры!AC$59)</f>
        <v>0</v>
      </c>
      <c r="AD931" s="185">
        <f>AD923*CHOOSE($D923,1,Параметры!AD$53,Параметры!AD$59)</f>
        <v>0</v>
      </c>
      <c r="AE931" s="185">
        <f>AE923*CHOOSE($D923,1,Параметры!AE$53,Параметры!AE$59)</f>
        <v>0</v>
      </c>
      <c r="AF931" s="185">
        <f>AF923*CHOOSE($D923,1,Параметры!AF$53,Параметры!AF$59)</f>
        <v>0</v>
      </c>
      <c r="AG931" s="185">
        <f>AG923*CHOOSE($D923,1,Параметры!AG$53,Параметры!AG$59)</f>
        <v>0</v>
      </c>
      <c r="AH931" s="185">
        <f>AH923*CHOOSE($D923,1,Параметры!AH$53,Параметры!AH$59)</f>
        <v>0</v>
      </c>
      <c r="AI931" s="185">
        <f>AI923*CHOOSE($D923,1,Параметры!AI$53,Параметры!AI$59)</f>
        <v>0</v>
      </c>
      <c r="AJ931" s="185">
        <f>AJ923*CHOOSE($D923,1,Параметры!AJ$53,Параметры!AJ$59)</f>
        <v>0</v>
      </c>
      <c r="AK931" s="185">
        <f>AK923*CHOOSE($D923,1,Параметры!AK$53,Параметры!AK$59)</f>
        <v>0</v>
      </c>
      <c r="AL931" s="185">
        <f>AL923*CHOOSE($D923,1,Параметры!AL$53,Параметры!AL$59)</f>
        <v>0</v>
      </c>
      <c r="AM931" s="185">
        <f>AM923*CHOOSE($D923,1,Параметры!AM$53,Параметры!AM$59)</f>
        <v>0</v>
      </c>
      <c r="AN931" s="185">
        <f>AN923*CHOOSE($D923,1,Параметры!AN$53,Параметры!AN$59)</f>
        <v>0</v>
      </c>
      <c r="AO931" s="185">
        <f>AO923*CHOOSE($D923,1,Параметры!AO$53,Параметры!AO$59)</f>
        <v>0</v>
      </c>
      <c r="AP931" s="185">
        <f>AP923*CHOOSE($D923,1,Параметры!AP$53,Параметры!AP$59)</f>
        <v>0</v>
      </c>
      <c r="AQ931" s="185">
        <f>AQ923*CHOOSE($D923,1,Параметры!AQ$53,Параметры!AQ$59)</f>
        <v>0</v>
      </c>
      <c r="AR931" s="185">
        <f>AR923*CHOOSE($D923,1,Параметры!AR$53,Параметры!AR$59)</f>
        <v>0</v>
      </c>
      <c r="AS931" s="185">
        <f>AS923*CHOOSE($D923,1,Параметры!AS$53,Параметры!AS$59)</f>
        <v>0</v>
      </c>
      <c r="AT931" s="185">
        <f>AT923*CHOOSE($D923,1,Параметры!AT$53,Параметры!AT$59)</f>
        <v>0</v>
      </c>
      <c r="AU931" s="185">
        <f>AU923*CHOOSE($D923,1,Параметры!AU$53,Параметры!AU$59)</f>
        <v>0</v>
      </c>
      <c r="AV931" s="185">
        <f>AV923*CHOOSE($D923,1,Параметры!AV$53,Параметры!AV$59)</f>
        <v>0</v>
      </c>
      <c r="AW931" s="185">
        <f>AW923*CHOOSE($D923,1,Параметры!AW$53,Параметры!AW$59)</f>
        <v>0</v>
      </c>
      <c r="AX931" s="185">
        <f>AX923*CHOOSE($D923,1,Параметры!AX$53,Параметры!AX$59)</f>
        <v>0</v>
      </c>
      <c r="AY931" s="185">
        <f>AY923*CHOOSE($D923,1,Параметры!AY$53,Параметры!AY$59)</f>
        <v>0</v>
      </c>
      <c r="AZ931" s="185">
        <f>AZ923*CHOOSE($D923,1,Параметры!AZ$53,Параметры!AZ$59)</f>
        <v>0</v>
      </c>
      <c r="BA931" s="185">
        <f>BA923*CHOOSE($D923,1,Параметры!BA$53,Параметры!BA$59)</f>
        <v>0</v>
      </c>
      <c r="BB931" s="185">
        <f>BB923*CHOOSE($D923,1,Параметры!BB$53,Параметры!BB$59)</f>
        <v>0</v>
      </c>
      <c r="BC931" s="185"/>
      <c r="BD931" s="193">
        <f>SUM(G931:BC931)</f>
        <v>150000</v>
      </c>
    </row>
    <row r="932" spans="1:56" hidden="1" outlineLevel="1" x14ac:dyDescent="0.3">
      <c r="A932" s="184" t="str">
        <f ca="1">Language!A$936</f>
        <v>незавершенные инвестиции</v>
      </c>
      <c r="B932" s="170"/>
      <c r="C932" s="163" t="str">
        <f t="shared" ca="1" si="3634"/>
        <v>руб.</v>
      </c>
      <c r="D932" s="174">
        <v>1</v>
      </c>
      <c r="E932" s="170" t="s">
        <v>754</v>
      </c>
      <c r="F932" s="170" t="s">
        <v>741</v>
      </c>
      <c r="G932" s="185">
        <f>IF(SUM($G926:G926)&gt;0.01,0,MAX(SUM($G921:G921)+$B922-SUM($G923:G923),0))*CHOOSE($D921,1,Параметры!G$53,Параметры!G$59)</f>
        <v>25000</v>
      </c>
      <c r="H932" s="185">
        <f>IF(SUM($G926:H926)&gt;0.01,0,MAX(SUM($G921:H921)+$B922-SUM($G923:H923),0))*CHOOSE($D921,1,Параметры!H$53,Параметры!H$59)</f>
        <v>50000</v>
      </c>
      <c r="I932" s="185">
        <f>IF(SUM($G926:I926)&gt;0.01,0,MAX(SUM($G921:I921)+$B922-SUM($G923:I923),0))*CHOOSE($D921,1,Параметры!I$53,Параметры!I$59)</f>
        <v>75000</v>
      </c>
      <c r="J932" s="185">
        <f>IF(SUM($G926:J926)&gt;0.01,0,MAX(SUM($G921:J921)+$B922-SUM($G923:J923),0))*CHOOSE($D921,1,Параметры!J$53,Параметры!J$59)</f>
        <v>100000</v>
      </c>
      <c r="K932" s="185">
        <f>IF(SUM($G926:K926)&gt;0.01,0,MAX(SUM($G921:K921)+$B922-SUM($G923:K923),0))*CHOOSE($D921,1,Параметры!K$53,Параметры!K$59)</f>
        <v>125000</v>
      </c>
      <c r="L932" s="185">
        <f>IF(SUM($G926:L926)&gt;0.01,0,MAX(SUM($G921:L921)+$B922-SUM($G923:L923),0))*CHOOSE($D921,1,Параметры!L$53,Параметры!L$59)</f>
        <v>150000</v>
      </c>
      <c r="M932" s="185">
        <f>IF(SUM($G926:M926)&gt;0.01,0,MAX(SUM($G921:M921)+$B922-SUM($G923:M923),0))*CHOOSE($D921,1,Параметры!M$53,Параметры!M$59)</f>
        <v>0</v>
      </c>
      <c r="N932" s="185">
        <f>IF(SUM($G926:N926)&gt;0.01,0,MAX(SUM($G921:N921)+$B922-SUM($G923:N923),0))*CHOOSE($D921,1,Параметры!N$53,Параметры!N$59)</f>
        <v>0</v>
      </c>
      <c r="O932" s="185">
        <f>IF(SUM($G926:O926)&gt;0.01,0,MAX(SUM($G921:O921)+$B922-SUM($G923:O923),0))*CHOOSE($D921,1,Параметры!O$53,Параметры!O$59)</f>
        <v>0</v>
      </c>
      <c r="P932" s="185">
        <f>IF(SUM($G926:P926)&gt;0.01,0,MAX(SUM($G921:P921)+$B922-SUM($G923:P923),0))*CHOOSE($D921,1,Параметры!P$53,Параметры!P$59)</f>
        <v>0</v>
      </c>
      <c r="Q932" s="185">
        <f>IF(SUM($G926:Q926)&gt;0.01,0,MAX(SUM($G921:Q921)+$B922-SUM($G923:Q923),0))*CHOOSE($D921,1,Параметры!Q$53,Параметры!Q$59)</f>
        <v>0</v>
      </c>
      <c r="R932" s="185">
        <f>IF(SUM($G926:R926)&gt;0.01,0,MAX(SUM($G921:R921)+$B922-SUM($G923:R923),0))*CHOOSE($D921,1,Параметры!R$53,Параметры!R$59)</f>
        <v>0</v>
      </c>
      <c r="S932" s="185">
        <f>IF(SUM($G926:S926)&gt;0.01,0,MAX(SUM($G921:S921)+$B922-SUM($G923:S923),0))*CHOOSE($D921,1,Параметры!S$53,Параметры!S$59)</f>
        <v>0</v>
      </c>
      <c r="T932" s="185">
        <f>IF(SUM($G926:T926)&gt;0.01,0,MAX(SUM($G921:T921)+$B922-SUM($G923:T923),0))*CHOOSE($D921,1,Параметры!T$53,Параметры!T$59)</f>
        <v>0</v>
      </c>
      <c r="U932" s="185">
        <f>IF(SUM($G926:U926)&gt;0.01,0,MAX(SUM($G921:U921)+$B922-SUM($G923:U923),0))*CHOOSE($D921,1,Параметры!U$53,Параметры!U$59)</f>
        <v>0</v>
      </c>
      <c r="V932" s="185">
        <f>IF(SUM($G926:V926)&gt;0.01,0,MAX(SUM($G921:V921)+$B922-SUM($G923:V923),0))*CHOOSE($D921,1,Параметры!V$53,Параметры!V$59)</f>
        <v>0</v>
      </c>
      <c r="W932" s="185">
        <f>IF(SUM($G926:W926)&gt;0.01,0,MAX(SUM($G921:W921)+$B922-SUM($G923:W923),0))*CHOOSE($D921,1,Параметры!W$53,Параметры!W$59)</f>
        <v>0</v>
      </c>
      <c r="X932" s="185">
        <f>IF(SUM($G926:X926)&gt;0.01,0,MAX(SUM($G921:X921)+$B922-SUM($G923:X923),0))*CHOOSE($D921,1,Параметры!X$53,Параметры!X$59)</f>
        <v>0</v>
      </c>
      <c r="Y932" s="185">
        <f>IF(SUM($G926:Y926)&gt;0.01,0,MAX(SUM($G921:Y921)+$B922-SUM($G923:Y923),0))*CHOOSE($D921,1,Параметры!Y$53,Параметры!Y$59)</f>
        <v>0</v>
      </c>
      <c r="Z932" s="185">
        <f>IF(SUM($G926:Z926)&gt;0.01,0,MAX(SUM($G921:Z921)+$B922-SUM($G923:Z923),0))*CHOOSE($D921,1,Параметры!Z$53,Параметры!Z$59)</f>
        <v>0</v>
      </c>
      <c r="AA932" s="185">
        <f>IF(SUM($G926:AA926)&gt;0.01,0,MAX(SUM($G921:AA921)+$B922-SUM($G923:AA923),0))*CHOOSE($D921,1,Параметры!AA$53,Параметры!AA$59)</f>
        <v>0</v>
      </c>
      <c r="AB932" s="185">
        <f>IF(SUM($G926:AB926)&gt;0.01,0,MAX(SUM($G921:AB921)+$B922-SUM($G923:AB923),0))*CHOOSE($D921,1,Параметры!AB$53,Параметры!AB$59)</f>
        <v>0</v>
      </c>
      <c r="AC932" s="185">
        <f>IF(SUM($G926:AC926)&gt;0.01,0,MAX(SUM($G921:AC921)+$B922-SUM($G923:AC923),0))*CHOOSE($D921,1,Параметры!AC$53,Параметры!AC$59)</f>
        <v>0</v>
      </c>
      <c r="AD932" s="185">
        <f>IF(SUM($G926:AD926)&gt;0.01,0,MAX(SUM($G921:AD921)+$B922-SUM($G923:AD923),0))*CHOOSE($D921,1,Параметры!AD$53,Параметры!AD$59)</f>
        <v>0</v>
      </c>
      <c r="AE932" s="185">
        <f>IF(SUM($G926:AE926)&gt;0.01,0,MAX(SUM($G921:AE921)+$B922-SUM($G923:AE923),0))*CHOOSE($D921,1,Параметры!AE$53,Параметры!AE$59)</f>
        <v>0</v>
      </c>
      <c r="AF932" s="185">
        <f>IF(SUM($G926:AF926)&gt;0.01,0,MAX(SUM($G921:AF921)+$B922-SUM($G923:AF923),0))*CHOOSE($D921,1,Параметры!AF$53,Параметры!AF$59)</f>
        <v>0</v>
      </c>
      <c r="AG932" s="185">
        <f>IF(SUM($G926:AG926)&gt;0.01,0,MAX(SUM($G921:AG921)+$B922-SUM($G923:AG923),0))*CHOOSE($D921,1,Параметры!AG$53,Параметры!AG$59)</f>
        <v>0</v>
      </c>
      <c r="AH932" s="185">
        <f>IF(SUM($G926:AH926)&gt;0.01,0,MAX(SUM($G921:AH921)+$B922-SUM($G923:AH923),0))*CHOOSE($D921,1,Параметры!AH$53,Параметры!AH$59)</f>
        <v>0</v>
      </c>
      <c r="AI932" s="185">
        <f>IF(SUM($G926:AI926)&gt;0.01,0,MAX(SUM($G921:AI921)+$B922-SUM($G923:AI923),0))*CHOOSE($D921,1,Параметры!AI$53,Параметры!AI$59)</f>
        <v>0</v>
      </c>
      <c r="AJ932" s="185">
        <f>IF(SUM($G926:AJ926)&gt;0.01,0,MAX(SUM($G921:AJ921)+$B922-SUM($G923:AJ923),0))*CHOOSE($D921,1,Параметры!AJ$53,Параметры!AJ$59)</f>
        <v>0</v>
      </c>
      <c r="AK932" s="185">
        <f>IF(SUM($G926:AK926)&gt;0.01,0,MAX(SUM($G921:AK921)+$B922-SUM($G923:AK923),0))*CHOOSE($D921,1,Параметры!AK$53,Параметры!AK$59)</f>
        <v>0</v>
      </c>
      <c r="AL932" s="185">
        <f>IF(SUM($G926:AL926)&gt;0.01,0,MAX(SUM($G921:AL921)+$B922-SUM($G923:AL923),0))*CHOOSE($D921,1,Параметры!AL$53,Параметры!AL$59)</f>
        <v>0</v>
      </c>
      <c r="AM932" s="185">
        <f>IF(SUM($G926:AM926)&gt;0.01,0,MAX(SUM($G921:AM921)+$B922-SUM($G923:AM923),0))*CHOOSE($D921,1,Параметры!AM$53,Параметры!AM$59)</f>
        <v>0</v>
      </c>
      <c r="AN932" s="185">
        <f>IF(SUM($G926:AN926)&gt;0.01,0,MAX(SUM($G921:AN921)+$B922-SUM($G923:AN923),0))*CHOOSE($D921,1,Параметры!AN$53,Параметры!AN$59)</f>
        <v>0</v>
      </c>
      <c r="AO932" s="185">
        <f>IF(SUM($G926:AO926)&gt;0.01,0,MAX(SUM($G921:AO921)+$B922-SUM($G923:AO923),0))*CHOOSE($D921,1,Параметры!AO$53,Параметры!AO$59)</f>
        <v>0</v>
      </c>
      <c r="AP932" s="185">
        <f>IF(SUM($G926:AP926)&gt;0.01,0,MAX(SUM($G921:AP921)+$B922-SUM($G923:AP923),0))*CHOOSE($D921,1,Параметры!AP$53,Параметры!AP$59)</f>
        <v>0</v>
      </c>
      <c r="AQ932" s="185">
        <f>IF(SUM($G926:AQ926)&gt;0.01,0,MAX(SUM($G921:AQ921)+$B922-SUM($G923:AQ923),0))*CHOOSE($D921,1,Параметры!AQ$53,Параметры!AQ$59)</f>
        <v>0</v>
      </c>
      <c r="AR932" s="185">
        <f>IF(SUM($G926:AR926)&gt;0.01,0,MAX(SUM($G921:AR921)+$B922-SUM($G923:AR923),0))*CHOOSE($D921,1,Параметры!AR$53,Параметры!AR$59)</f>
        <v>0</v>
      </c>
      <c r="AS932" s="185">
        <f>IF(SUM($G926:AS926)&gt;0.01,0,MAX(SUM($G921:AS921)+$B922-SUM($G923:AS923),0))*CHOOSE($D921,1,Параметры!AS$53,Параметры!AS$59)</f>
        <v>0</v>
      </c>
      <c r="AT932" s="185">
        <f>IF(SUM($G926:AT926)&gt;0.01,0,MAX(SUM($G921:AT921)+$B922-SUM($G923:AT923),0))*CHOOSE($D921,1,Параметры!AT$53,Параметры!AT$59)</f>
        <v>0</v>
      </c>
      <c r="AU932" s="185">
        <f>IF(SUM($G926:AU926)&gt;0.01,0,MAX(SUM($G921:AU921)+$B922-SUM($G923:AU923),0))*CHOOSE($D921,1,Параметры!AU$53,Параметры!AU$59)</f>
        <v>0</v>
      </c>
      <c r="AV932" s="185">
        <f>IF(SUM($G926:AV926)&gt;0.01,0,MAX(SUM($G921:AV921)+$B922-SUM($G923:AV923),0))*CHOOSE($D921,1,Параметры!AV$53,Параметры!AV$59)</f>
        <v>0</v>
      </c>
      <c r="AW932" s="185">
        <f>IF(SUM($G926:AW926)&gt;0.01,0,MAX(SUM($G921:AW921)+$B922-SUM($G923:AW923),0))*CHOOSE($D921,1,Параметры!AW$53,Параметры!AW$59)</f>
        <v>0</v>
      </c>
      <c r="AX932" s="185">
        <f>IF(SUM($G926:AX926)&gt;0.01,0,MAX(SUM($G921:AX921)+$B922-SUM($G923:AX923),0))*CHOOSE($D921,1,Параметры!AX$53,Параметры!AX$59)</f>
        <v>0</v>
      </c>
      <c r="AY932" s="185">
        <f>IF(SUM($G926:AY926)&gt;0.01,0,MAX(SUM($G921:AY921)+$B922-SUM($G923:AY923),0))*CHOOSE($D921,1,Параметры!AY$53,Параметры!AY$59)</f>
        <v>0</v>
      </c>
      <c r="AZ932" s="185">
        <f>IF(SUM($G926:AZ926)&gt;0.01,0,MAX(SUM($G921:AZ921)+$B922-SUM($G923:AZ923),0))*CHOOSE($D921,1,Параметры!AZ$53,Параметры!AZ$59)</f>
        <v>0</v>
      </c>
      <c r="BA932" s="185">
        <f>IF(SUM($G926:BA926)&gt;0.01,0,MAX(SUM($G921:BA921)+$B922-SUM($G923:BA923),0))*CHOOSE($D921,1,Параметры!BA$53,Параметры!BA$59)</f>
        <v>0</v>
      </c>
      <c r="BB932" s="185">
        <f>IF(SUM($G926:BB926)&gt;0.01,0,MAX(SUM($G921:BB921)+$B922-SUM($G923:BB923),0))*CHOOSE($D921,1,Параметры!BB$53,Параметры!BB$59)</f>
        <v>0</v>
      </c>
      <c r="BC932" s="185"/>
      <c r="BD932" s="186"/>
    </row>
    <row r="933" spans="1:56" hidden="1" outlineLevel="1" x14ac:dyDescent="0.3">
      <c r="A933" s="184" t="str">
        <f ca="1">Language!A$937</f>
        <v>кредиторская задолженность</v>
      </c>
      <c r="B933" s="170"/>
      <c r="C933" s="163" t="str">
        <f t="shared" ca="1" si="3634"/>
        <v>руб.</v>
      </c>
      <c r="D933" s="174">
        <v>1</v>
      </c>
      <c r="E933" s="170" t="s">
        <v>752</v>
      </c>
      <c r="F933" s="170" t="s">
        <v>741</v>
      </c>
      <c r="G933" s="185">
        <f>IF(SUM($G926:G926)&gt;0.01,0,MAX(SUM($G923:G923)-SUM($G921:G921)-$B922,0))*CHOOSE($D921,1,Параметры!G$53,Параметры!G$59)*(1+G925)</f>
        <v>0</v>
      </c>
      <c r="H933" s="185">
        <f>IF(SUM($G926:H926)&gt;0.01,0,MAX(SUM($G923:H923)-SUM($G921:H921)-$B922,0))*CHOOSE($D921,1,Параметры!H$53,Параметры!H$59)*(1+H925)</f>
        <v>0</v>
      </c>
      <c r="I933" s="185">
        <f>IF(SUM($G926:I926)&gt;0.01,0,MAX(SUM($G923:I923)-SUM($G921:I921)-$B922,0))*CHOOSE($D921,1,Параметры!I$53,Параметры!I$59)*(1+I925)</f>
        <v>0</v>
      </c>
      <c r="J933" s="185">
        <f>IF(SUM($G926:J926)&gt;0.01,0,MAX(SUM($G923:J923)-SUM($G921:J921)-$B922,0))*CHOOSE($D921,1,Параметры!J$53,Параметры!J$59)*(1+J925)</f>
        <v>0</v>
      </c>
      <c r="K933" s="185">
        <f>IF(SUM($G926:K926)&gt;0.01,0,MAX(SUM($G923:K923)-SUM($G921:K921)-$B922,0))*CHOOSE($D921,1,Параметры!K$53,Параметры!K$59)*(1+K925)</f>
        <v>0</v>
      </c>
      <c r="L933" s="185">
        <f>IF(SUM($G926:L926)&gt;0.01,0,MAX(SUM($G923:L923)-SUM($G921:L921)-$B922,0))*CHOOSE($D921,1,Параметры!L$53,Параметры!L$59)*(1+L925)</f>
        <v>0</v>
      </c>
      <c r="M933" s="185">
        <f>IF(SUM($G926:M926)&gt;0.01,0,MAX(SUM($G923:M923)-SUM($G921:M921)-$B922,0))*CHOOSE($D921,1,Параметры!M$53,Параметры!M$59)*(1+M925)</f>
        <v>0</v>
      </c>
      <c r="N933" s="185">
        <f>IF(SUM($G926:N926)&gt;0.01,0,MAX(SUM($G923:N923)-SUM($G921:N921)-$B922,0))*CHOOSE($D921,1,Параметры!N$53,Параметры!N$59)*(1+N925)</f>
        <v>0</v>
      </c>
      <c r="O933" s="185">
        <f>IF(SUM($G926:O926)&gt;0.01,0,MAX(SUM($G923:O923)-SUM($G921:O921)-$B922,0))*CHOOSE($D921,1,Параметры!O$53,Параметры!O$59)*(1+O925)</f>
        <v>0</v>
      </c>
      <c r="P933" s="185">
        <f>IF(SUM($G926:P926)&gt;0.01,0,MAX(SUM($G923:P923)-SUM($G921:P921)-$B922,0))*CHOOSE($D921,1,Параметры!P$53,Параметры!P$59)*(1+P925)</f>
        <v>0</v>
      </c>
      <c r="Q933" s="185">
        <f>IF(SUM($G926:Q926)&gt;0.01,0,MAX(SUM($G923:Q923)-SUM($G921:Q921)-$B922,0))*CHOOSE($D921,1,Параметры!Q$53,Параметры!Q$59)*(1+Q925)</f>
        <v>0</v>
      </c>
      <c r="R933" s="185">
        <f>IF(SUM($G926:R926)&gt;0.01,0,MAX(SUM($G923:R923)-SUM($G921:R921)-$B922,0))*CHOOSE($D921,1,Параметры!R$53,Параметры!R$59)*(1+R925)</f>
        <v>0</v>
      </c>
      <c r="S933" s="185">
        <f>IF(SUM($G926:S926)&gt;0.01,0,MAX(SUM($G923:S923)-SUM($G921:S921)-$B922,0))*CHOOSE($D921,1,Параметры!S$53,Параметры!S$59)*(1+S925)</f>
        <v>0</v>
      </c>
      <c r="T933" s="185">
        <f>IF(SUM($G926:T926)&gt;0.01,0,MAX(SUM($G923:T923)-SUM($G921:T921)-$B922,0))*CHOOSE($D921,1,Параметры!T$53,Параметры!T$59)*(1+T925)</f>
        <v>0</v>
      </c>
      <c r="U933" s="185">
        <f>IF(SUM($G926:U926)&gt;0.01,0,MAX(SUM($G923:U923)-SUM($G921:U921)-$B922,0))*CHOOSE($D921,1,Параметры!U$53,Параметры!U$59)*(1+U925)</f>
        <v>0</v>
      </c>
      <c r="V933" s="185">
        <f>IF(SUM($G926:V926)&gt;0.01,0,MAX(SUM($G923:V923)-SUM($G921:V921)-$B922,0))*CHOOSE($D921,1,Параметры!V$53,Параметры!V$59)*(1+V925)</f>
        <v>0</v>
      </c>
      <c r="W933" s="185">
        <f>IF(SUM($G926:W926)&gt;0.01,0,MAX(SUM($G923:W923)-SUM($G921:W921)-$B922,0))*CHOOSE($D921,1,Параметры!W$53,Параметры!W$59)*(1+W925)</f>
        <v>0</v>
      </c>
      <c r="X933" s="185">
        <f>IF(SUM($G926:X926)&gt;0.01,0,MAX(SUM($G923:X923)-SUM($G921:X921)-$B922,0))*CHOOSE($D921,1,Параметры!X$53,Параметры!X$59)*(1+X925)</f>
        <v>0</v>
      </c>
      <c r="Y933" s="185">
        <f>IF(SUM($G926:Y926)&gt;0.01,0,MAX(SUM($G923:Y923)-SUM($G921:Y921)-$B922,0))*CHOOSE($D921,1,Параметры!Y$53,Параметры!Y$59)*(1+Y925)</f>
        <v>0</v>
      </c>
      <c r="Z933" s="185">
        <f>IF(SUM($G926:Z926)&gt;0.01,0,MAX(SUM($G923:Z923)-SUM($G921:Z921)-$B922,0))*CHOOSE($D921,1,Параметры!Z$53,Параметры!Z$59)*(1+Z925)</f>
        <v>0</v>
      </c>
      <c r="AA933" s="185">
        <f>IF(SUM($G926:AA926)&gt;0.01,0,MAX(SUM($G923:AA923)-SUM($G921:AA921)-$B922,0))*CHOOSE($D921,1,Параметры!AA$53,Параметры!AA$59)*(1+AA925)</f>
        <v>0</v>
      </c>
      <c r="AB933" s="185">
        <f>IF(SUM($G926:AB926)&gt;0.01,0,MAX(SUM($G923:AB923)-SUM($G921:AB921)-$B922,0))*CHOOSE($D921,1,Параметры!AB$53,Параметры!AB$59)*(1+AB925)</f>
        <v>0</v>
      </c>
      <c r="AC933" s="185">
        <f>IF(SUM($G926:AC926)&gt;0.01,0,MAX(SUM($G923:AC923)-SUM($G921:AC921)-$B922,0))*CHOOSE($D921,1,Параметры!AC$53,Параметры!AC$59)*(1+AC925)</f>
        <v>0</v>
      </c>
      <c r="AD933" s="185">
        <f>IF(SUM($G926:AD926)&gt;0.01,0,MAX(SUM($G923:AD923)-SUM($G921:AD921)-$B922,0))*CHOOSE($D921,1,Параметры!AD$53,Параметры!AD$59)*(1+AD925)</f>
        <v>0</v>
      </c>
      <c r="AE933" s="185">
        <f>IF(SUM($G926:AE926)&gt;0.01,0,MAX(SUM($G923:AE923)-SUM($G921:AE921)-$B922,0))*CHOOSE($D921,1,Параметры!AE$53,Параметры!AE$59)*(1+AE925)</f>
        <v>0</v>
      </c>
      <c r="AF933" s="185">
        <f>IF(SUM($G926:AF926)&gt;0.01,0,MAX(SUM($G923:AF923)-SUM($G921:AF921)-$B922,0))*CHOOSE($D921,1,Параметры!AF$53,Параметры!AF$59)*(1+AF925)</f>
        <v>0</v>
      </c>
      <c r="AG933" s="185">
        <f>IF(SUM($G926:AG926)&gt;0.01,0,MAX(SUM($G923:AG923)-SUM($G921:AG921)-$B922,0))*CHOOSE($D921,1,Параметры!AG$53,Параметры!AG$59)*(1+AG925)</f>
        <v>0</v>
      </c>
      <c r="AH933" s="185">
        <f>IF(SUM($G926:AH926)&gt;0.01,0,MAX(SUM($G923:AH923)-SUM($G921:AH921)-$B922,0))*CHOOSE($D921,1,Параметры!AH$53,Параметры!AH$59)*(1+AH925)</f>
        <v>0</v>
      </c>
      <c r="AI933" s="185">
        <f>IF(SUM($G926:AI926)&gt;0.01,0,MAX(SUM($G923:AI923)-SUM($G921:AI921)-$B922,0))*CHOOSE($D921,1,Параметры!AI$53,Параметры!AI$59)*(1+AI925)</f>
        <v>0</v>
      </c>
      <c r="AJ933" s="185">
        <f>IF(SUM($G926:AJ926)&gt;0.01,0,MAX(SUM($G923:AJ923)-SUM($G921:AJ921)-$B922,0))*CHOOSE($D921,1,Параметры!AJ$53,Параметры!AJ$59)*(1+AJ925)</f>
        <v>0</v>
      </c>
      <c r="AK933" s="185">
        <f>IF(SUM($G926:AK926)&gt;0.01,0,MAX(SUM($G923:AK923)-SUM($G921:AK921)-$B922,0))*CHOOSE($D921,1,Параметры!AK$53,Параметры!AK$59)*(1+AK925)</f>
        <v>0</v>
      </c>
      <c r="AL933" s="185">
        <f>IF(SUM($G926:AL926)&gt;0.01,0,MAX(SUM($G923:AL923)-SUM($G921:AL921)-$B922,0))*CHOOSE($D921,1,Параметры!AL$53,Параметры!AL$59)*(1+AL925)</f>
        <v>0</v>
      </c>
      <c r="AM933" s="185">
        <f>IF(SUM($G926:AM926)&gt;0.01,0,MAX(SUM($G923:AM923)-SUM($G921:AM921)-$B922,0))*CHOOSE($D921,1,Параметры!AM$53,Параметры!AM$59)*(1+AM925)</f>
        <v>0</v>
      </c>
      <c r="AN933" s="185">
        <f>IF(SUM($G926:AN926)&gt;0.01,0,MAX(SUM($G923:AN923)-SUM($G921:AN921)-$B922,0))*CHOOSE($D921,1,Параметры!AN$53,Параметры!AN$59)*(1+AN925)</f>
        <v>0</v>
      </c>
      <c r="AO933" s="185">
        <f>IF(SUM($G926:AO926)&gt;0.01,0,MAX(SUM($G923:AO923)-SUM($G921:AO921)-$B922,0))*CHOOSE($D921,1,Параметры!AO$53,Параметры!AO$59)*(1+AO925)</f>
        <v>0</v>
      </c>
      <c r="AP933" s="185">
        <f>IF(SUM($G926:AP926)&gt;0.01,0,MAX(SUM($G923:AP923)-SUM($G921:AP921)-$B922,0))*CHOOSE($D921,1,Параметры!AP$53,Параметры!AP$59)*(1+AP925)</f>
        <v>0</v>
      </c>
      <c r="AQ933" s="185">
        <f>IF(SUM($G926:AQ926)&gt;0.01,0,MAX(SUM($G923:AQ923)-SUM($G921:AQ921)-$B922,0))*CHOOSE($D921,1,Параметры!AQ$53,Параметры!AQ$59)*(1+AQ925)</f>
        <v>0</v>
      </c>
      <c r="AR933" s="185">
        <f>IF(SUM($G926:AR926)&gt;0.01,0,MAX(SUM($G923:AR923)-SUM($G921:AR921)-$B922,0))*CHOOSE($D921,1,Параметры!AR$53,Параметры!AR$59)*(1+AR925)</f>
        <v>0</v>
      </c>
      <c r="AS933" s="185">
        <f>IF(SUM($G926:AS926)&gt;0.01,0,MAX(SUM($G923:AS923)-SUM($G921:AS921)-$B922,0))*CHOOSE($D921,1,Параметры!AS$53,Параметры!AS$59)*(1+AS925)</f>
        <v>0</v>
      </c>
      <c r="AT933" s="185">
        <f>IF(SUM($G926:AT926)&gt;0.01,0,MAX(SUM($G923:AT923)-SUM($G921:AT921)-$B922,0))*CHOOSE($D921,1,Параметры!AT$53,Параметры!AT$59)*(1+AT925)</f>
        <v>0</v>
      </c>
      <c r="AU933" s="185">
        <f>IF(SUM($G926:AU926)&gt;0.01,0,MAX(SUM($G923:AU923)-SUM($G921:AU921)-$B922,0))*CHOOSE($D921,1,Параметры!AU$53,Параметры!AU$59)*(1+AU925)</f>
        <v>0</v>
      </c>
      <c r="AV933" s="185">
        <f>IF(SUM($G926:AV926)&gt;0.01,0,MAX(SUM($G923:AV923)-SUM($G921:AV921)-$B922,0))*CHOOSE($D921,1,Параметры!AV$53,Параметры!AV$59)*(1+AV925)</f>
        <v>0</v>
      </c>
      <c r="AW933" s="185">
        <f>IF(SUM($G926:AW926)&gt;0.01,0,MAX(SUM($G923:AW923)-SUM($G921:AW921)-$B922,0))*CHOOSE($D921,1,Параметры!AW$53,Параметры!AW$59)*(1+AW925)</f>
        <v>0</v>
      </c>
      <c r="AX933" s="185">
        <f>IF(SUM($G926:AX926)&gt;0.01,0,MAX(SUM($G923:AX923)-SUM($G921:AX921)-$B922,0))*CHOOSE($D921,1,Параметры!AX$53,Параметры!AX$59)*(1+AX925)</f>
        <v>0</v>
      </c>
      <c r="AY933" s="185">
        <f>IF(SUM($G926:AY926)&gt;0.01,0,MAX(SUM($G923:AY923)-SUM($G921:AY921)-$B922,0))*CHOOSE($D921,1,Параметры!AY$53,Параметры!AY$59)*(1+AY925)</f>
        <v>0</v>
      </c>
      <c r="AZ933" s="185">
        <f>IF(SUM($G926:AZ926)&gt;0.01,0,MAX(SUM($G923:AZ923)-SUM($G921:AZ921)-$B922,0))*CHOOSE($D921,1,Параметры!AZ$53,Параметры!AZ$59)*(1+AZ925)</f>
        <v>0</v>
      </c>
      <c r="BA933" s="185">
        <f>IF(SUM($G926:BA926)&gt;0.01,0,MAX(SUM($G923:BA923)-SUM($G921:BA921)-$B922,0))*CHOOSE($D921,1,Параметры!BA$53,Параметры!BA$59)*(1+BA925)</f>
        <v>0</v>
      </c>
      <c r="BB933" s="185">
        <f>IF(SUM($G926:BB926)&gt;0.01,0,MAX(SUM($G923:BB923)-SUM($G921:BB921)-$B922,0))*CHOOSE($D921,1,Параметры!BB$53,Параметры!BB$59)*(1+BB925)</f>
        <v>0</v>
      </c>
      <c r="BC933" s="185"/>
      <c r="BD933" s="186"/>
    </row>
    <row r="934" spans="1:56" hidden="1" outlineLevel="1" x14ac:dyDescent="0.3">
      <c r="A934" s="184" t="str">
        <f ca="1">Language!A$1511</f>
        <v>НДС к кредиторской задолженности</v>
      </c>
      <c r="B934" s="170"/>
      <c r="C934" s="163" t="str">
        <f t="shared" ca="1" si="3634"/>
        <v>руб.</v>
      </c>
      <c r="D934" s="174">
        <v>1</v>
      </c>
      <c r="E934" s="170" t="s">
        <v>2294</v>
      </c>
      <c r="F934" s="170" t="s">
        <v>741</v>
      </c>
      <c r="G934" s="185">
        <f>MAX(SUM($G938:G938)-SUM($G937:G937)-SUM($G930:G930),0)</f>
        <v>0</v>
      </c>
      <c r="H934" s="185">
        <f>MAX(SUM($G938:H938)-SUM($G937:H937)-SUM($G930:H930),0)</f>
        <v>0</v>
      </c>
      <c r="I934" s="185">
        <f>MAX(SUM($G938:I938)-SUM($G937:I937)-SUM($G930:I930),0)</f>
        <v>0</v>
      </c>
      <c r="J934" s="185">
        <f>MAX(SUM($G938:J938)-SUM($G937:J937)-SUM($G930:J930),0)</f>
        <v>0</v>
      </c>
      <c r="K934" s="185">
        <f>MAX(SUM($G938:K938)-SUM($G937:K937)-SUM($G930:K930),0)</f>
        <v>0</v>
      </c>
      <c r="L934" s="185">
        <f>MAX(SUM($G938:L938)-SUM($G937:L937)-SUM($G930:L930),0)</f>
        <v>0</v>
      </c>
      <c r="M934" s="185">
        <f>MAX(SUM($G938:M938)-SUM($G937:M937)-SUM($G930:M930),0)</f>
        <v>0</v>
      </c>
      <c r="N934" s="185">
        <f>MAX(SUM($G938:N938)-SUM($G937:N937)-SUM($G930:N930),0)</f>
        <v>0</v>
      </c>
      <c r="O934" s="185">
        <f>MAX(SUM($G938:O938)-SUM($G937:O937)-SUM($G930:O930),0)</f>
        <v>0</v>
      </c>
      <c r="P934" s="185">
        <f>MAX(SUM($G938:P938)-SUM($G937:P937)-SUM($G930:P930),0)</f>
        <v>0</v>
      </c>
      <c r="Q934" s="185">
        <f>MAX(SUM($G938:Q938)-SUM($G937:Q937)-SUM($G930:Q930),0)</f>
        <v>0</v>
      </c>
      <c r="R934" s="185">
        <f>MAX(SUM($G938:R938)-SUM($G937:R937)-SUM($G930:R930),0)</f>
        <v>0</v>
      </c>
      <c r="S934" s="185">
        <f>MAX(SUM($G938:S938)-SUM($G937:S937)-SUM($G930:S930),0)</f>
        <v>0</v>
      </c>
      <c r="T934" s="185">
        <f>MAX(SUM($G938:T938)-SUM($G937:T937)-SUM($G930:T930),0)</f>
        <v>0</v>
      </c>
      <c r="U934" s="185">
        <f>MAX(SUM($G938:U938)-SUM($G937:U937)-SUM($G930:U930),0)</f>
        <v>0</v>
      </c>
      <c r="V934" s="185">
        <f>MAX(SUM($G938:V938)-SUM($G937:V937)-SUM($G930:V930),0)</f>
        <v>0</v>
      </c>
      <c r="W934" s="185">
        <f>MAX(SUM($G938:W938)-SUM($G937:W937)-SUM($G930:W930),0)</f>
        <v>0</v>
      </c>
      <c r="X934" s="185">
        <f>MAX(SUM($G938:X938)-SUM($G937:X937)-SUM($G930:X930),0)</f>
        <v>0</v>
      </c>
      <c r="Y934" s="185">
        <f>MAX(SUM($G938:Y938)-SUM($G937:Y937)-SUM($G930:Y930),0)</f>
        <v>0</v>
      </c>
      <c r="Z934" s="185">
        <f>MAX(SUM($G938:Z938)-SUM($G937:Z937)-SUM($G930:Z930),0)</f>
        <v>0</v>
      </c>
      <c r="AA934" s="185">
        <f>MAX(SUM($G938:AA938)-SUM($G937:AA937)-SUM($G930:AA930),0)</f>
        <v>0</v>
      </c>
      <c r="AB934" s="185">
        <f>MAX(SUM($G938:AB938)-SUM($G937:AB937)-SUM($G930:AB930),0)</f>
        <v>0</v>
      </c>
      <c r="AC934" s="185">
        <f>MAX(SUM($G938:AC938)-SUM($G937:AC937)-SUM($G930:AC930),0)</f>
        <v>0</v>
      </c>
      <c r="AD934" s="185">
        <f>MAX(SUM($G938:AD938)-SUM($G937:AD937)-SUM($G930:AD930),0)</f>
        <v>0</v>
      </c>
      <c r="AE934" s="185">
        <f>MAX(SUM($G938:AE938)-SUM($G937:AE937)-SUM($G930:AE930),0)</f>
        <v>0</v>
      </c>
      <c r="AF934" s="185">
        <f>MAX(SUM($G938:AF938)-SUM($G937:AF937)-SUM($G930:AF930),0)</f>
        <v>0</v>
      </c>
      <c r="AG934" s="185">
        <f>MAX(SUM($G938:AG938)-SUM($G937:AG937)-SUM($G930:AG930),0)</f>
        <v>0</v>
      </c>
      <c r="AH934" s="185">
        <f>MAX(SUM($G938:AH938)-SUM($G937:AH937)-SUM($G930:AH930),0)</f>
        <v>0</v>
      </c>
      <c r="AI934" s="185">
        <f>MAX(SUM($G938:AI938)-SUM($G937:AI937)-SUM($G930:AI930),0)</f>
        <v>0</v>
      </c>
      <c r="AJ934" s="185">
        <f>MAX(SUM($G938:AJ938)-SUM($G937:AJ937)-SUM($G930:AJ930),0)</f>
        <v>0</v>
      </c>
      <c r="AK934" s="185">
        <f>MAX(SUM($G938:AK938)-SUM($G937:AK937)-SUM($G930:AK930),0)</f>
        <v>0</v>
      </c>
      <c r="AL934" s="185">
        <f>MAX(SUM($G938:AL938)-SUM($G937:AL937)-SUM($G930:AL930),0)</f>
        <v>0</v>
      </c>
      <c r="AM934" s="185">
        <f>MAX(SUM($G938:AM938)-SUM($G937:AM937)-SUM($G930:AM930),0)</f>
        <v>0</v>
      </c>
      <c r="AN934" s="185">
        <f>MAX(SUM($G938:AN938)-SUM($G937:AN937)-SUM($G930:AN930),0)</f>
        <v>0</v>
      </c>
      <c r="AO934" s="185">
        <f>MAX(SUM($G938:AO938)-SUM($G937:AO937)-SUM($G930:AO930),0)</f>
        <v>0</v>
      </c>
      <c r="AP934" s="185">
        <f>MAX(SUM($G938:AP938)-SUM($G937:AP937)-SUM($G930:AP930),0)</f>
        <v>0</v>
      </c>
      <c r="AQ934" s="185">
        <f>MAX(SUM($G938:AQ938)-SUM($G937:AQ937)-SUM($G930:AQ930),0)</f>
        <v>0</v>
      </c>
      <c r="AR934" s="185">
        <f>MAX(SUM($G938:AR938)-SUM($G937:AR937)-SUM($G930:AR930),0)</f>
        <v>0</v>
      </c>
      <c r="AS934" s="185">
        <f>MAX(SUM($G938:AS938)-SUM($G937:AS937)-SUM($G930:AS930),0)</f>
        <v>0</v>
      </c>
      <c r="AT934" s="185">
        <f>MAX(SUM($G938:AT938)-SUM($G937:AT937)-SUM($G930:AT930),0)</f>
        <v>0</v>
      </c>
      <c r="AU934" s="185">
        <f>MAX(SUM($G938:AU938)-SUM($G937:AU937)-SUM($G930:AU930),0)</f>
        <v>0</v>
      </c>
      <c r="AV934" s="185">
        <f>MAX(SUM($G938:AV938)-SUM($G937:AV937)-SUM($G930:AV930),0)</f>
        <v>0</v>
      </c>
      <c r="AW934" s="185">
        <f>MAX(SUM($G938:AW938)-SUM($G937:AW937)-SUM($G930:AW930),0)</f>
        <v>0</v>
      </c>
      <c r="AX934" s="185">
        <f>MAX(SUM($G938:AX938)-SUM($G937:AX937)-SUM($G930:AX930),0)</f>
        <v>0</v>
      </c>
      <c r="AY934" s="185">
        <f>MAX(SUM($G938:AY938)-SUM($G937:AY937)-SUM($G930:AY930),0)</f>
        <v>0</v>
      </c>
      <c r="AZ934" s="185">
        <f>MAX(SUM($G938:AZ938)-SUM($G937:AZ937)-SUM($G930:AZ930),0)</f>
        <v>0</v>
      </c>
      <c r="BA934" s="185">
        <f>MAX(SUM($G938:BA938)-SUM($G937:BA937)-SUM($G930:BA930),0)</f>
        <v>0</v>
      </c>
      <c r="BB934" s="185">
        <f>MAX(SUM($G938:BB938)-SUM($G937:BB937)-SUM($G930:BB930),0)</f>
        <v>0</v>
      </c>
      <c r="BC934" s="185"/>
      <c r="BD934" s="186"/>
    </row>
    <row r="935" spans="1:56" hidden="1" outlineLevel="1" x14ac:dyDescent="0.3">
      <c r="A935" s="184" t="str">
        <f ca="1">Language!A$938</f>
        <v>амортизация (бухгалтерская)</v>
      </c>
      <c r="B935" s="170"/>
      <c r="C935" s="163" t="str">
        <f t="shared" ca="1" si="3634"/>
        <v>руб.</v>
      </c>
      <c r="D935" s="174">
        <v>1</v>
      </c>
      <c r="E935" s="170" t="s">
        <v>756</v>
      </c>
      <c r="F935" s="170" t="s">
        <v>740</v>
      </c>
      <c r="G935" s="185">
        <f ca="1">IF(SUM($G926:G926)&gt;0.01,0,IF($B924=0,0,MIN((SUM($G931:G931)-IF(G$2&gt;$B924*12/Prj_Step,SUM($G931:OFFSET(G931,0,-$B924*12/Prj_Step)),0))/$B924/12*Параметры!G$31,IF(G$2=1,G931,F936+SUM($F931:G931)-SUM($F931:F931)))))</f>
        <v>0</v>
      </c>
      <c r="H935" s="185">
        <f ca="1">IF(SUM($G926:H926)&gt;0.01,0,IF($B924=0,0,MIN((SUM($G931:H931)-IF(H$2&gt;$B924*12/Prj_Step,SUM($G931:OFFSET(H931,0,-$B924*12/Prj_Step)),0))/$B924/12*Параметры!H$31,IF(H$2=1,H931,G936+SUM($F931:H931)-SUM($F931:G931)))))</f>
        <v>0</v>
      </c>
      <c r="I935" s="185">
        <f ca="1">IF(SUM($G926:I926)&gt;0.01,0,IF($B924=0,0,MIN((SUM($G931:I931)-IF(I$2&gt;$B924*12/Prj_Step,SUM($G931:OFFSET(I931,0,-$B924*12/Prj_Step)),0))/$B924/12*Параметры!I$31,IF(I$2=1,I931,H936+SUM($F931:I931)-SUM($F931:H931)))))</f>
        <v>0</v>
      </c>
      <c r="J935" s="185">
        <f ca="1">IF(SUM($G926:J926)&gt;0.01,0,IF($B924=0,0,MIN((SUM($G931:J931)-IF(J$2&gt;$B924*12/Prj_Step,SUM($G931:OFFSET(J931,0,-$B924*12/Prj_Step)),0))/$B924/12*Параметры!J$31,IF(J$2=1,J931,I936+SUM($F931:J931)-SUM($F931:I931)))))</f>
        <v>0</v>
      </c>
      <c r="K935" s="185">
        <f ca="1">IF(SUM($G926:K926)&gt;0.01,0,IF($B924=0,0,MIN((SUM($G931:K931)-IF(K$2&gt;$B924*12/Prj_Step,SUM($G931:OFFSET(K931,0,-$B924*12/Prj_Step)),0))/$B924/12*Параметры!K$31,IF(K$2=1,K931,J936+SUM($F931:K931)-SUM($F931:J931)))))</f>
        <v>0</v>
      </c>
      <c r="L935" s="185">
        <f ca="1">IF(SUM($G926:L926)&gt;0.01,0,IF($B924=0,0,MIN((SUM($G931:L931)-IF(L$2&gt;$B924*12/Prj_Step,SUM($G931:OFFSET(L931,0,-$B924*12/Prj_Step)),0))/$B924/12*Параметры!L$31,IF(L$2=1,L931,K936+SUM($F931:L931)-SUM($F931:K931)))))</f>
        <v>0</v>
      </c>
      <c r="M935" s="185">
        <f ca="1">IF(SUM($G926:M926)&gt;0.01,0,IF($B924=0,0,MIN((SUM($G931:M931)-IF(M$2&gt;$B924*12/Prj_Step,SUM($G931:OFFSET(M931,0,-$B924*12/Prj_Step)),0))/$B924/12*Параметры!M$31,IF(M$2=1,M931,L936+SUM($F931:M931)-SUM($F931:L931)))))</f>
        <v>1250</v>
      </c>
      <c r="N935" s="185">
        <f ca="1">IF(SUM($G926:N926)&gt;0.01,0,IF($B924=0,0,MIN((SUM($G931:N931)-IF(N$2&gt;$B924*12/Prj_Step,SUM($G931:OFFSET(N931,0,-$B924*12/Prj_Step)),0))/$B924/12*Параметры!N$31,IF(N$2=1,N931,M936+SUM($F931:N931)-SUM($F931:M931)))))</f>
        <v>1250</v>
      </c>
      <c r="O935" s="185">
        <f ca="1">IF(SUM($G926:O926)&gt;0.01,0,IF($B924=0,0,MIN((SUM($G931:O931)-IF(O$2&gt;$B924*12/Prj_Step,SUM($G931:OFFSET(O931,0,-$B924*12/Prj_Step)),0))/$B924/12*Параметры!O$31,IF(O$2=1,O931,N936+SUM($F931:O931)-SUM($F931:N931)))))</f>
        <v>1250</v>
      </c>
      <c r="P935" s="185">
        <f ca="1">IF(SUM($G926:P926)&gt;0.01,0,IF($B924=0,0,MIN((SUM($G931:P931)-IF(P$2&gt;$B924*12/Prj_Step,SUM($G931:OFFSET(P931,0,-$B924*12/Prj_Step)),0))/$B924/12*Параметры!P$31,IF(P$2=1,P931,O936+SUM($F931:P931)-SUM($F931:O931)))))</f>
        <v>1250</v>
      </c>
      <c r="Q935" s="185">
        <f ca="1">IF(SUM($G926:Q926)&gt;0.01,0,IF($B924=0,0,MIN((SUM($G931:Q931)-IF(Q$2&gt;$B924*12/Prj_Step,SUM($G931:OFFSET(Q931,0,-$B924*12/Prj_Step)),0))/$B924/12*Параметры!Q$31,IF(Q$2=1,Q931,P936+SUM($F931:Q931)-SUM($F931:P931)))))</f>
        <v>1250</v>
      </c>
      <c r="R935" s="185">
        <f ca="1">IF(SUM($G926:R926)&gt;0.01,0,IF($B924=0,0,MIN((SUM($G931:R931)-IF(R$2&gt;$B924*12/Prj_Step,SUM($G931:OFFSET(R931,0,-$B924*12/Prj_Step)),0))/$B924/12*Параметры!R$31,IF(R$2=1,R931,Q936+SUM($F931:R931)-SUM($F931:Q931)))))</f>
        <v>1250</v>
      </c>
      <c r="S935" s="185">
        <f ca="1">IF(SUM($G926:S926)&gt;0.01,0,IF($B924=0,0,MIN((SUM($G931:S931)-IF(S$2&gt;$B924*12/Prj_Step,SUM($G931:OFFSET(S931,0,-$B924*12/Prj_Step)),0))/$B924/12*Параметры!S$31,IF(S$2=1,S931,R936+SUM($F931:S931)-SUM($F931:R931)))))</f>
        <v>1250</v>
      </c>
      <c r="T935" s="185">
        <f ca="1">IF(SUM($G926:T926)&gt;0.01,0,IF($B924=0,0,MIN((SUM($G931:T931)-IF(T$2&gt;$B924*12/Prj_Step,SUM($G931:OFFSET(T931,0,-$B924*12/Prj_Step)),0))/$B924/12*Параметры!T$31,IF(T$2=1,T931,S936+SUM($F931:T931)-SUM($F931:S931)))))</f>
        <v>1250</v>
      </c>
      <c r="U935" s="185">
        <f ca="1">IF(SUM($G926:U926)&gt;0.01,0,IF($B924=0,0,MIN((SUM($G931:U931)-IF(U$2&gt;$B924*12/Prj_Step,SUM($G931:OFFSET(U931,0,-$B924*12/Prj_Step)),0))/$B924/12*Параметры!U$31,IF(U$2=1,U931,T936+SUM($F931:U931)-SUM($F931:T931)))))</f>
        <v>1250</v>
      </c>
      <c r="V935" s="185">
        <f ca="1">IF(SUM($G926:V926)&gt;0.01,0,IF($B924=0,0,MIN((SUM($G931:V931)-IF(V$2&gt;$B924*12/Prj_Step,SUM($G931:OFFSET(V931,0,-$B924*12/Prj_Step)),0))/$B924/12*Параметры!V$31,IF(V$2=1,V931,U936+SUM($F931:V931)-SUM($F931:U931)))))</f>
        <v>1250</v>
      </c>
      <c r="W935" s="185">
        <f ca="1">IF(SUM($G926:W926)&gt;0.01,0,IF($B924=0,0,MIN((SUM($G931:W931)-IF(W$2&gt;$B924*12/Prj_Step,SUM($G931:OFFSET(W931,0,-$B924*12/Prj_Step)),0))/$B924/12*Параметры!W$31,IF(W$2=1,W931,V936+SUM($F931:W931)-SUM($F931:V931)))))</f>
        <v>1250</v>
      </c>
      <c r="X935" s="185">
        <f ca="1">IF(SUM($G926:X926)&gt;0.01,0,IF($B924=0,0,MIN((SUM($G931:X931)-IF(X$2&gt;$B924*12/Prj_Step,SUM($G931:OFFSET(X931,0,-$B924*12/Prj_Step)),0))/$B924/12*Параметры!X$31,IF(X$2=1,X931,W936+SUM($F931:X931)-SUM($F931:W931)))))</f>
        <v>1250</v>
      </c>
      <c r="Y935" s="185">
        <f ca="1">IF(SUM($G926:Y926)&gt;0.01,0,IF($B924=0,0,MIN((SUM($G931:Y931)-IF(Y$2&gt;$B924*12/Prj_Step,SUM($G931:OFFSET(Y931,0,-$B924*12/Prj_Step)),0))/$B924/12*Параметры!Y$31,IF(Y$2=1,Y931,X936+SUM($F931:Y931)-SUM($F931:X931)))))</f>
        <v>1250</v>
      </c>
      <c r="Z935" s="185">
        <f ca="1">IF(SUM($G926:Z926)&gt;0.01,0,IF($B924=0,0,MIN((SUM($G931:Z931)-IF(Z$2&gt;$B924*12/Prj_Step,SUM($G931:OFFSET(Z931,0,-$B924*12/Prj_Step)),0))/$B924/12*Параметры!Z$31,IF(Z$2=1,Z931,Y936+SUM($F931:Z931)-SUM($F931:Y931)))))</f>
        <v>1250</v>
      </c>
      <c r="AA935" s="185">
        <f ca="1">IF(SUM($G926:AA926)&gt;0.01,0,IF($B924=0,0,MIN((SUM($G931:AA931)-IF(AA$2&gt;$B924*12/Prj_Step,SUM($G931:OFFSET(AA931,0,-$B924*12/Prj_Step)),0))/$B924/12*Параметры!AA$31,IF(AA$2=1,AA931,Z936+SUM($F931:AA931)-SUM($F931:Z931)))))</f>
        <v>1250</v>
      </c>
      <c r="AB935" s="185">
        <f ca="1">IF(SUM($G926:AB926)&gt;0.01,0,IF($B924=0,0,MIN((SUM($G931:AB931)-IF(AB$2&gt;$B924*12/Prj_Step,SUM($G931:OFFSET(AB931,0,-$B924*12/Prj_Step)),0))/$B924/12*Параметры!AB$31,IF(AB$2=1,AB931,AA936+SUM($F931:AB931)-SUM($F931:AA931)))))</f>
        <v>1250</v>
      </c>
      <c r="AC935" s="185">
        <f ca="1">IF(SUM($G926:AC926)&gt;0.01,0,IF($B924=0,0,MIN((SUM($G931:AC931)-IF(AC$2&gt;$B924*12/Prj_Step,SUM($G931:OFFSET(AC931,0,-$B924*12/Prj_Step)),0))/$B924/12*Параметры!AC$31,IF(AC$2=1,AC931,AB936+SUM($F931:AC931)-SUM($F931:AB931)))))</f>
        <v>1250</v>
      </c>
      <c r="AD935" s="185">
        <f ca="1">IF(SUM($G926:AD926)&gt;0.01,0,IF($B924=0,0,MIN((SUM($G931:AD931)-IF(AD$2&gt;$B924*12/Prj_Step,SUM($G931:OFFSET(AD931,0,-$B924*12/Prj_Step)),0))/$B924/12*Параметры!AD$31,IF(AD$2=1,AD931,AC936+SUM($F931:AD931)-SUM($F931:AC931)))))</f>
        <v>1250</v>
      </c>
      <c r="AE935" s="185">
        <f ca="1">IF(SUM($G926:AE926)&gt;0.01,0,IF($B924=0,0,MIN((SUM($G931:AE931)-IF(AE$2&gt;$B924*12/Prj_Step,SUM($G931:OFFSET(AE931,0,-$B924*12/Prj_Step)),0))/$B924/12*Параметры!AE$31,IF(AE$2=1,AE931,AD936+SUM($F931:AE931)-SUM($F931:AD931)))))</f>
        <v>1250</v>
      </c>
      <c r="AF935" s="185">
        <f ca="1">IF(SUM($G926:AF926)&gt;0.01,0,IF($B924=0,0,MIN((SUM($G931:AF931)-IF(AF$2&gt;$B924*12/Prj_Step,SUM($G931:OFFSET(AF931,0,-$B924*12/Prj_Step)),0))/$B924/12*Параметры!AF$31,IF(AF$2=1,AF931,AE936+SUM($F931:AF931)-SUM($F931:AE931)))))</f>
        <v>1250</v>
      </c>
      <c r="AG935" s="185">
        <f ca="1">IF(SUM($G926:AG926)&gt;0.01,0,IF($B924=0,0,MIN((SUM($G931:AG931)-IF(AG$2&gt;$B924*12/Prj_Step,SUM($G931:OFFSET(AG931,0,-$B924*12/Prj_Step)),0))/$B924/12*Параметры!AG$31,IF(AG$2=1,AG931,AF936+SUM($F931:AG931)-SUM($F931:AF931)))))</f>
        <v>1250</v>
      </c>
      <c r="AH935" s="185">
        <f ca="1">IF(SUM($G926:AH926)&gt;0.01,0,IF($B924=0,0,MIN((SUM($G931:AH931)-IF(AH$2&gt;$B924*12/Prj_Step,SUM($G931:OFFSET(AH931,0,-$B924*12/Prj_Step)),0))/$B924/12*Параметры!AH$31,IF(AH$2=1,AH931,AG936+SUM($F931:AH931)-SUM($F931:AG931)))))</f>
        <v>1250</v>
      </c>
      <c r="AI935" s="185">
        <f ca="1">IF(SUM($G926:AI926)&gt;0.01,0,IF($B924=0,0,MIN((SUM($G931:AI931)-IF(AI$2&gt;$B924*12/Prj_Step,SUM($G931:OFFSET(AI931,0,-$B924*12/Prj_Step)),0))/$B924/12*Параметры!AI$31,IF(AI$2=1,AI931,AH936+SUM($F931:AI931)-SUM($F931:AH931)))))</f>
        <v>1250</v>
      </c>
      <c r="AJ935" s="185">
        <f ca="1">IF(SUM($G926:AJ926)&gt;0.01,0,IF($B924=0,0,MIN((SUM($G931:AJ931)-IF(AJ$2&gt;$B924*12/Prj_Step,SUM($G931:OFFSET(AJ931,0,-$B924*12/Prj_Step)),0))/$B924/12*Параметры!AJ$31,IF(AJ$2=1,AJ931,AI936+SUM($F931:AJ931)-SUM($F931:AI931)))))</f>
        <v>1250</v>
      </c>
      <c r="AK935" s="185">
        <f ca="1">IF(SUM($G926:AK926)&gt;0.01,0,IF($B924=0,0,MIN((SUM($G931:AK931)-IF(AK$2&gt;$B924*12/Prj_Step,SUM($G931:OFFSET(AK931,0,-$B924*12/Prj_Step)),0))/$B924/12*Параметры!AK$31,IF(AK$2=1,AK931,AJ936+SUM($F931:AK931)-SUM($F931:AJ931)))))</f>
        <v>1250</v>
      </c>
      <c r="AL935" s="185">
        <f ca="1">IF(SUM($G926:AL926)&gt;0.01,0,IF($B924=0,0,MIN((SUM($G931:AL931)-IF(AL$2&gt;$B924*12/Prj_Step,SUM($G931:OFFSET(AL931,0,-$B924*12/Prj_Step)),0))/$B924/12*Параметры!AL$31,IF(AL$2=1,AL931,AK936+SUM($F931:AL931)-SUM($F931:AK931)))))</f>
        <v>1250</v>
      </c>
      <c r="AM935" s="185">
        <f ca="1">IF(SUM($G926:AM926)&gt;0.01,0,IF($B924=0,0,MIN((SUM($G931:AM931)-IF(AM$2&gt;$B924*12/Prj_Step,SUM($G931:OFFSET(AM931,0,-$B924*12/Prj_Step)),0))/$B924/12*Параметры!AM$31,IF(AM$2=1,AM931,AL936+SUM($F931:AM931)-SUM($F931:AL931)))))</f>
        <v>1250</v>
      </c>
      <c r="AN935" s="185">
        <f ca="1">IF(SUM($G926:AN926)&gt;0.01,0,IF($B924=0,0,MIN((SUM($G931:AN931)-IF(AN$2&gt;$B924*12/Prj_Step,SUM($G931:OFFSET(AN931,0,-$B924*12/Prj_Step)),0))/$B924/12*Параметры!AN$31,IF(AN$2=1,AN931,AM936+SUM($F931:AN931)-SUM($F931:AM931)))))</f>
        <v>1250</v>
      </c>
      <c r="AO935" s="185">
        <f ca="1">IF(SUM($G926:AO926)&gt;0.01,0,IF($B924=0,0,MIN((SUM($G931:AO931)-IF(AO$2&gt;$B924*12/Prj_Step,SUM($G931:OFFSET(AO931,0,-$B924*12/Prj_Step)),0))/$B924/12*Параметры!AO$31,IF(AO$2=1,AO931,AN936+SUM($F931:AO931)-SUM($F931:AN931)))))</f>
        <v>1250</v>
      </c>
      <c r="AP935" s="185">
        <f ca="1">IF(SUM($G926:AP926)&gt;0.01,0,IF($B924=0,0,MIN((SUM($G931:AP931)-IF(AP$2&gt;$B924*12/Prj_Step,SUM($G931:OFFSET(AP931,0,-$B924*12/Prj_Step)),0))/$B924/12*Параметры!AP$31,IF(AP$2=1,AP931,AO936+SUM($F931:AP931)-SUM($F931:AO931)))))</f>
        <v>1250</v>
      </c>
      <c r="AQ935" s="185">
        <f ca="1">IF(SUM($G926:AQ926)&gt;0.01,0,IF($B924=0,0,MIN((SUM($G931:AQ931)-IF(AQ$2&gt;$B924*12/Prj_Step,SUM($G931:OFFSET(AQ931,0,-$B924*12/Prj_Step)),0))/$B924/12*Параметры!AQ$31,IF(AQ$2=1,AQ931,AP936+SUM($F931:AQ931)-SUM($F931:AP931)))))</f>
        <v>1250</v>
      </c>
      <c r="AR935" s="185">
        <f ca="1">IF(SUM($G926:AR926)&gt;0.01,0,IF($B924=0,0,MIN((SUM($G931:AR931)-IF(AR$2&gt;$B924*12/Prj_Step,SUM($G931:OFFSET(AR931,0,-$B924*12/Prj_Step)),0))/$B924/12*Параметры!AR$31,IF(AR$2=1,AR931,AQ936+SUM($F931:AR931)-SUM($F931:AQ931)))))</f>
        <v>1250</v>
      </c>
      <c r="AS935" s="185">
        <f ca="1">IF(SUM($G926:AS926)&gt;0.01,0,IF($B924=0,0,MIN((SUM($G931:AS931)-IF(AS$2&gt;$B924*12/Prj_Step,SUM($G931:OFFSET(AS931,0,-$B924*12/Prj_Step)),0))/$B924/12*Параметры!AS$31,IF(AS$2=1,AS931,AR936+SUM($F931:AS931)-SUM($F931:AR931)))))</f>
        <v>1250</v>
      </c>
      <c r="AT935" s="185">
        <f ca="1">IF(SUM($G926:AT926)&gt;0.01,0,IF($B924=0,0,MIN((SUM($G931:AT931)-IF(AT$2&gt;$B924*12/Prj_Step,SUM($G931:OFFSET(AT931,0,-$B924*12/Prj_Step)),0))/$B924/12*Параметры!AT$31,IF(AT$2=1,AT931,AS936+SUM($F931:AT931)-SUM($F931:AS931)))))</f>
        <v>1250</v>
      </c>
      <c r="AU935" s="185">
        <f ca="1">IF(SUM($G926:AU926)&gt;0.01,0,IF($B924=0,0,MIN((SUM($G931:AU931)-IF(AU$2&gt;$B924*12/Prj_Step,SUM($G931:OFFSET(AU931,0,-$B924*12/Prj_Step)),0))/$B924/12*Параметры!AU$31,IF(AU$2=1,AU931,AT936+SUM($F931:AU931)-SUM($F931:AT931)))))</f>
        <v>1250</v>
      </c>
      <c r="AV935" s="185">
        <f ca="1">IF(SUM($G926:AV926)&gt;0.01,0,IF($B924=0,0,MIN((SUM($G931:AV931)-IF(AV$2&gt;$B924*12/Prj_Step,SUM($G931:OFFSET(AV931,0,-$B924*12/Prj_Step)),0))/$B924/12*Параметры!AV$31,IF(AV$2=1,AV931,AU936+SUM($F931:AV931)-SUM($F931:AU931)))))</f>
        <v>1250</v>
      </c>
      <c r="AW935" s="185">
        <f ca="1">IF(SUM($G926:AW926)&gt;0.01,0,IF($B924=0,0,MIN((SUM($G931:AW931)-IF(AW$2&gt;$B924*12/Prj_Step,SUM($G931:OFFSET(AW931,0,-$B924*12/Prj_Step)),0))/$B924/12*Параметры!AW$31,IF(AW$2=1,AW931,AV936+SUM($F931:AW931)-SUM($F931:AV931)))))</f>
        <v>1250</v>
      </c>
      <c r="AX935" s="185">
        <f ca="1">IF(SUM($G926:AX926)&gt;0.01,0,IF($B924=0,0,MIN((SUM($G931:AX931)-IF(AX$2&gt;$B924*12/Prj_Step,SUM($G931:OFFSET(AX931,0,-$B924*12/Prj_Step)),0))/$B924/12*Параметры!AX$31,IF(AX$2=1,AX931,AW936+SUM($F931:AX931)-SUM($F931:AW931)))))</f>
        <v>1250</v>
      </c>
      <c r="AY935" s="185">
        <f ca="1">IF(SUM($G926:AY926)&gt;0.01,0,IF($B924=0,0,MIN((SUM($G931:AY931)-IF(AY$2&gt;$B924*12/Prj_Step,SUM($G931:OFFSET(AY931,0,-$B924*12/Prj_Step)),0))/$B924/12*Параметры!AY$31,IF(AY$2=1,AY931,AX936+SUM($F931:AY931)-SUM($F931:AX931)))))</f>
        <v>1250</v>
      </c>
      <c r="AZ935" s="185">
        <f ca="1">IF(SUM($G926:AZ926)&gt;0.01,0,IF($B924=0,0,MIN((SUM($G931:AZ931)-IF(AZ$2&gt;$B924*12/Prj_Step,SUM($G931:OFFSET(AZ931,0,-$B924*12/Prj_Step)),0))/$B924/12*Параметры!AZ$31,IF(AZ$2=1,AZ931,AY936+SUM($F931:AZ931)-SUM($F931:AY931)))))</f>
        <v>1250</v>
      </c>
      <c r="BA935" s="185">
        <f ca="1">IF(SUM($G926:BA926)&gt;0.01,0,IF($B924=0,0,MIN((SUM($G931:BA931)-IF(BA$2&gt;$B924*12/Prj_Step,SUM($G931:OFFSET(BA931,0,-$B924*12/Prj_Step)),0))/$B924/12*Параметры!BA$31,IF(BA$2=1,BA931,AZ936+SUM($F931:BA931)-SUM($F931:AZ931)))))</f>
        <v>1250</v>
      </c>
      <c r="BB935" s="185">
        <f ca="1">IF(SUM($G926:BB926)&gt;0.01,0,IF($B924=0,0,MIN((SUM($G931:BB931)-IF(BB$2&gt;$B924*12/Prj_Step,SUM($G931:OFFSET(BB931,0,-$B924*12/Prj_Step)),0))/$B924/12*Параметры!BB$31,IF(BB$2=1,BB931,BA936+SUM($F931:BB931)-SUM($F931:BA931)))))</f>
        <v>1250</v>
      </c>
      <c r="BC935" s="185"/>
      <c r="BD935" s="193">
        <f ca="1">SUM(G935:BC935)</f>
        <v>52500</v>
      </c>
    </row>
    <row r="936" spans="1:56" hidden="1" outlineLevel="1" x14ac:dyDescent="0.3">
      <c r="A936" s="184" t="str">
        <f ca="1">Language!A$939</f>
        <v>балансовая стоимость (бухгалтерская)</v>
      </c>
      <c r="B936" s="170"/>
      <c r="C936" s="163" t="str">
        <f t="shared" ca="1" si="3634"/>
        <v>руб.</v>
      </c>
      <c r="D936" s="174">
        <v>1</v>
      </c>
      <c r="E936" s="170" t="s">
        <v>757</v>
      </c>
      <c r="F936" s="170" t="s">
        <v>741</v>
      </c>
      <c r="G936" s="185">
        <f ca="1">IF(SUM($G926:G926)&gt;0.01,0,SUM($G931:G931)-SUM($G935:G935))</f>
        <v>0</v>
      </c>
      <c r="H936" s="185">
        <f ca="1">IF(SUM($G926:H926)&gt;0.01,0,SUM($G931:H931)-SUM($G935:H935))</f>
        <v>0</v>
      </c>
      <c r="I936" s="185">
        <f ca="1">IF(SUM($G926:I926)&gt;0.01,0,SUM($G931:I931)-SUM($G935:I935))</f>
        <v>0</v>
      </c>
      <c r="J936" s="185">
        <f ca="1">IF(SUM($G926:J926)&gt;0.01,0,SUM($G931:J931)-SUM($G935:J935))</f>
        <v>0</v>
      </c>
      <c r="K936" s="185">
        <f ca="1">IF(SUM($G926:K926)&gt;0.01,0,SUM($G931:K931)-SUM($G935:K935))</f>
        <v>0</v>
      </c>
      <c r="L936" s="185">
        <f ca="1">IF(SUM($G926:L926)&gt;0.01,0,SUM($G931:L931)-SUM($G935:L935))</f>
        <v>0</v>
      </c>
      <c r="M936" s="185">
        <f ca="1">IF(SUM($G926:M926)&gt;0.01,0,SUM($G931:M931)-SUM($G935:M935))</f>
        <v>148750</v>
      </c>
      <c r="N936" s="185">
        <f ca="1">IF(SUM($G926:N926)&gt;0.01,0,SUM($G931:N931)-SUM($G935:N935))</f>
        <v>147500</v>
      </c>
      <c r="O936" s="185">
        <f ca="1">IF(SUM($G926:O926)&gt;0.01,0,SUM($G931:O931)-SUM($G935:O935))</f>
        <v>146250</v>
      </c>
      <c r="P936" s="185">
        <f ca="1">IF(SUM($G926:P926)&gt;0.01,0,SUM($G931:P931)-SUM($G935:P935))</f>
        <v>145000</v>
      </c>
      <c r="Q936" s="185">
        <f ca="1">IF(SUM($G926:Q926)&gt;0.01,0,SUM($G931:Q931)-SUM($G935:Q935))</f>
        <v>143750</v>
      </c>
      <c r="R936" s="185">
        <f ca="1">IF(SUM($G926:R926)&gt;0.01,0,SUM($G931:R931)-SUM($G935:R935))</f>
        <v>142500</v>
      </c>
      <c r="S936" s="185">
        <f ca="1">IF(SUM($G926:S926)&gt;0.01,0,SUM($G931:S931)-SUM($G935:S935))</f>
        <v>141250</v>
      </c>
      <c r="T936" s="185">
        <f ca="1">IF(SUM($G926:T926)&gt;0.01,0,SUM($G931:T931)-SUM($G935:T935))</f>
        <v>140000</v>
      </c>
      <c r="U936" s="185">
        <f ca="1">IF(SUM($G926:U926)&gt;0.01,0,SUM($G931:U931)-SUM($G935:U935))</f>
        <v>138750</v>
      </c>
      <c r="V936" s="185">
        <f ca="1">IF(SUM($G926:V926)&gt;0.01,0,SUM($G931:V931)-SUM($G935:V935))</f>
        <v>137500</v>
      </c>
      <c r="W936" s="185">
        <f ca="1">IF(SUM($G926:W926)&gt;0.01,0,SUM($G931:W931)-SUM($G935:W935))</f>
        <v>136250</v>
      </c>
      <c r="X936" s="185">
        <f ca="1">IF(SUM($G926:X926)&gt;0.01,0,SUM($G931:X931)-SUM($G935:X935))</f>
        <v>135000</v>
      </c>
      <c r="Y936" s="185">
        <f ca="1">IF(SUM($G926:Y926)&gt;0.01,0,SUM($G931:Y931)-SUM($G935:Y935))</f>
        <v>133750</v>
      </c>
      <c r="Z936" s="185">
        <f ca="1">IF(SUM($G926:Z926)&gt;0.01,0,SUM($G931:Z931)-SUM($G935:Z935))</f>
        <v>132500</v>
      </c>
      <c r="AA936" s="185">
        <f ca="1">IF(SUM($G926:AA926)&gt;0.01,0,SUM($G931:AA931)-SUM($G935:AA935))</f>
        <v>131250</v>
      </c>
      <c r="AB936" s="185">
        <f ca="1">IF(SUM($G926:AB926)&gt;0.01,0,SUM($G931:AB931)-SUM($G935:AB935))</f>
        <v>130000</v>
      </c>
      <c r="AC936" s="185">
        <f ca="1">IF(SUM($G926:AC926)&gt;0.01,0,SUM($G931:AC931)-SUM($G935:AC935))</f>
        <v>128750</v>
      </c>
      <c r="AD936" s="185">
        <f ca="1">IF(SUM($G926:AD926)&gt;0.01,0,SUM($G931:AD931)-SUM($G935:AD935))</f>
        <v>127500</v>
      </c>
      <c r="AE936" s="185">
        <f ca="1">IF(SUM($G926:AE926)&gt;0.01,0,SUM($G931:AE931)-SUM($G935:AE935))</f>
        <v>126250</v>
      </c>
      <c r="AF936" s="185">
        <f ca="1">IF(SUM($G926:AF926)&gt;0.01,0,SUM($G931:AF931)-SUM($G935:AF935))</f>
        <v>125000</v>
      </c>
      <c r="AG936" s="185">
        <f ca="1">IF(SUM($G926:AG926)&gt;0.01,0,SUM($G931:AG931)-SUM($G935:AG935))</f>
        <v>123750</v>
      </c>
      <c r="AH936" s="185">
        <f ca="1">IF(SUM($G926:AH926)&gt;0.01,0,SUM($G931:AH931)-SUM($G935:AH935))</f>
        <v>122500</v>
      </c>
      <c r="AI936" s="185">
        <f ca="1">IF(SUM($G926:AI926)&gt;0.01,0,SUM($G931:AI931)-SUM($G935:AI935))</f>
        <v>121250</v>
      </c>
      <c r="AJ936" s="185">
        <f ca="1">IF(SUM($G926:AJ926)&gt;0.01,0,SUM($G931:AJ931)-SUM($G935:AJ935))</f>
        <v>120000</v>
      </c>
      <c r="AK936" s="185">
        <f ca="1">IF(SUM($G926:AK926)&gt;0.01,0,SUM($G931:AK931)-SUM($G935:AK935))</f>
        <v>118750</v>
      </c>
      <c r="AL936" s="185">
        <f ca="1">IF(SUM($G926:AL926)&gt;0.01,0,SUM($G931:AL931)-SUM($G935:AL935))</f>
        <v>117500</v>
      </c>
      <c r="AM936" s="185">
        <f ca="1">IF(SUM($G926:AM926)&gt;0.01,0,SUM($G931:AM931)-SUM($G935:AM935))</f>
        <v>116250</v>
      </c>
      <c r="AN936" s="185">
        <f ca="1">IF(SUM($G926:AN926)&gt;0.01,0,SUM($G931:AN931)-SUM($G935:AN935))</f>
        <v>115000</v>
      </c>
      <c r="AO936" s="185">
        <f ca="1">IF(SUM($G926:AO926)&gt;0.01,0,SUM($G931:AO931)-SUM($G935:AO935))</f>
        <v>113750</v>
      </c>
      <c r="AP936" s="185">
        <f ca="1">IF(SUM($G926:AP926)&gt;0.01,0,SUM($G931:AP931)-SUM($G935:AP935))</f>
        <v>112500</v>
      </c>
      <c r="AQ936" s="185">
        <f ca="1">IF(SUM($G926:AQ926)&gt;0.01,0,SUM($G931:AQ931)-SUM($G935:AQ935))</f>
        <v>111250</v>
      </c>
      <c r="AR936" s="185">
        <f ca="1">IF(SUM($G926:AR926)&gt;0.01,0,SUM($G931:AR931)-SUM($G935:AR935))</f>
        <v>110000</v>
      </c>
      <c r="AS936" s="185">
        <f ca="1">IF(SUM($G926:AS926)&gt;0.01,0,SUM($G931:AS931)-SUM($G935:AS935))</f>
        <v>108750</v>
      </c>
      <c r="AT936" s="185">
        <f ca="1">IF(SUM($G926:AT926)&gt;0.01,0,SUM($G931:AT931)-SUM($G935:AT935))</f>
        <v>107500</v>
      </c>
      <c r="AU936" s="185">
        <f ca="1">IF(SUM($G926:AU926)&gt;0.01,0,SUM($G931:AU931)-SUM($G935:AU935))</f>
        <v>106250</v>
      </c>
      <c r="AV936" s="185">
        <f ca="1">IF(SUM($G926:AV926)&gt;0.01,0,SUM($G931:AV931)-SUM($G935:AV935))</f>
        <v>105000</v>
      </c>
      <c r="AW936" s="185">
        <f ca="1">IF(SUM($G926:AW926)&gt;0.01,0,SUM($G931:AW931)-SUM($G935:AW935))</f>
        <v>103750</v>
      </c>
      <c r="AX936" s="185">
        <f ca="1">IF(SUM($G926:AX926)&gt;0.01,0,SUM($G931:AX931)-SUM($G935:AX935))</f>
        <v>102500</v>
      </c>
      <c r="AY936" s="185">
        <f ca="1">IF(SUM($G926:AY926)&gt;0.01,0,SUM($G931:AY931)-SUM($G935:AY935))</f>
        <v>101250</v>
      </c>
      <c r="AZ936" s="185">
        <f ca="1">IF(SUM($G926:AZ926)&gt;0.01,0,SUM($G931:AZ931)-SUM($G935:AZ935))</f>
        <v>100000</v>
      </c>
      <c r="BA936" s="185">
        <f ca="1">IF(SUM($G926:BA926)&gt;0.01,0,SUM($G931:BA931)-SUM($G935:BA935))</f>
        <v>98750</v>
      </c>
      <c r="BB936" s="185">
        <f ca="1">IF(SUM($G926:BB926)&gt;0.01,0,SUM($G931:BB931)-SUM($G935:BB935))</f>
        <v>97500</v>
      </c>
      <c r="BC936" s="185"/>
      <c r="BD936" s="186"/>
    </row>
    <row r="937" spans="1:56" hidden="1" outlineLevel="1" x14ac:dyDescent="0.3">
      <c r="A937" s="184" t="str">
        <f ca="1">Language!A$940</f>
        <v>выплаченный НДС</v>
      </c>
      <c r="B937" s="170"/>
      <c r="C937" s="163" t="str">
        <f t="shared" ca="1" si="3634"/>
        <v>руб.</v>
      </c>
      <c r="D937" s="174">
        <v>1</v>
      </c>
      <c r="E937" s="170" t="s">
        <v>758</v>
      </c>
      <c r="F937" s="170" t="s">
        <v>740</v>
      </c>
      <c r="G937" s="185">
        <f t="shared" ref="G937:BB937" si="3636">G927*G925</f>
        <v>0</v>
      </c>
      <c r="H937" s="185">
        <f t="shared" si="3636"/>
        <v>0</v>
      </c>
      <c r="I937" s="185">
        <f t="shared" si="3636"/>
        <v>0</v>
      </c>
      <c r="J937" s="185">
        <f t="shared" si="3636"/>
        <v>0</v>
      </c>
      <c r="K937" s="185">
        <f t="shared" si="3636"/>
        <v>0</v>
      </c>
      <c r="L937" s="185">
        <f t="shared" si="3636"/>
        <v>0</v>
      </c>
      <c r="M937" s="185">
        <f t="shared" si="3636"/>
        <v>0</v>
      </c>
      <c r="N937" s="185">
        <f t="shared" si="3636"/>
        <v>0</v>
      </c>
      <c r="O937" s="185">
        <f t="shared" si="3636"/>
        <v>0</v>
      </c>
      <c r="P937" s="185">
        <f t="shared" si="3636"/>
        <v>0</v>
      </c>
      <c r="Q937" s="185">
        <f t="shared" si="3636"/>
        <v>0</v>
      </c>
      <c r="R937" s="185">
        <f t="shared" si="3636"/>
        <v>0</v>
      </c>
      <c r="S937" s="185">
        <f t="shared" si="3636"/>
        <v>0</v>
      </c>
      <c r="T937" s="185">
        <f t="shared" si="3636"/>
        <v>0</v>
      </c>
      <c r="U937" s="185">
        <f t="shared" si="3636"/>
        <v>0</v>
      </c>
      <c r="V937" s="185">
        <f t="shared" si="3636"/>
        <v>0</v>
      </c>
      <c r="W937" s="185">
        <f t="shared" si="3636"/>
        <v>0</v>
      </c>
      <c r="X937" s="185">
        <f t="shared" si="3636"/>
        <v>0</v>
      </c>
      <c r="Y937" s="185">
        <f t="shared" si="3636"/>
        <v>0</v>
      </c>
      <c r="Z937" s="185">
        <f t="shared" si="3636"/>
        <v>0</v>
      </c>
      <c r="AA937" s="185">
        <f t="shared" si="3636"/>
        <v>0</v>
      </c>
      <c r="AB937" s="185">
        <f t="shared" si="3636"/>
        <v>0</v>
      </c>
      <c r="AC937" s="185">
        <f t="shared" si="3636"/>
        <v>0</v>
      </c>
      <c r="AD937" s="185">
        <f t="shared" si="3636"/>
        <v>0</v>
      </c>
      <c r="AE937" s="185">
        <f t="shared" si="3636"/>
        <v>0</v>
      </c>
      <c r="AF937" s="185">
        <f t="shared" si="3636"/>
        <v>0</v>
      </c>
      <c r="AG937" s="185">
        <f t="shared" si="3636"/>
        <v>0</v>
      </c>
      <c r="AH937" s="185">
        <f t="shared" si="3636"/>
        <v>0</v>
      </c>
      <c r="AI937" s="185">
        <f t="shared" si="3636"/>
        <v>0</v>
      </c>
      <c r="AJ937" s="185">
        <f t="shared" si="3636"/>
        <v>0</v>
      </c>
      <c r="AK937" s="185">
        <f t="shared" si="3636"/>
        <v>0</v>
      </c>
      <c r="AL937" s="185">
        <f t="shared" si="3636"/>
        <v>0</v>
      </c>
      <c r="AM937" s="185">
        <f t="shared" si="3636"/>
        <v>0</v>
      </c>
      <c r="AN937" s="185">
        <f t="shared" si="3636"/>
        <v>0</v>
      </c>
      <c r="AO937" s="185">
        <f t="shared" si="3636"/>
        <v>0</v>
      </c>
      <c r="AP937" s="185">
        <f t="shared" si="3636"/>
        <v>0</v>
      </c>
      <c r="AQ937" s="185">
        <f t="shared" si="3636"/>
        <v>0</v>
      </c>
      <c r="AR937" s="185">
        <f t="shared" si="3636"/>
        <v>0</v>
      </c>
      <c r="AS937" s="185">
        <f t="shared" si="3636"/>
        <v>0</v>
      </c>
      <c r="AT937" s="185">
        <f t="shared" si="3636"/>
        <v>0</v>
      </c>
      <c r="AU937" s="185">
        <f t="shared" si="3636"/>
        <v>0</v>
      </c>
      <c r="AV937" s="185">
        <f t="shared" si="3636"/>
        <v>0</v>
      </c>
      <c r="AW937" s="185">
        <f t="shared" si="3636"/>
        <v>0</v>
      </c>
      <c r="AX937" s="185">
        <f t="shared" si="3636"/>
        <v>0</v>
      </c>
      <c r="AY937" s="185">
        <f t="shared" si="3636"/>
        <v>0</v>
      </c>
      <c r="AZ937" s="185">
        <f t="shared" si="3636"/>
        <v>0</v>
      </c>
      <c r="BA937" s="185">
        <f t="shared" si="3636"/>
        <v>0</v>
      </c>
      <c r="BB937" s="185">
        <f t="shared" si="3636"/>
        <v>0</v>
      </c>
      <c r="BC937" s="185"/>
      <c r="BD937" s="193">
        <f>SUM(G937:BC937)</f>
        <v>0</v>
      </c>
    </row>
    <row r="938" spans="1:56" hidden="1" outlineLevel="1" x14ac:dyDescent="0.3">
      <c r="A938" s="184" t="str">
        <f ca="1">Language!A$941</f>
        <v>зачтенный НДС</v>
      </c>
      <c r="B938" s="170"/>
      <c r="C938" s="163" t="str">
        <f t="shared" ca="1" si="3634"/>
        <v>руб.</v>
      </c>
      <c r="D938" s="174">
        <v>1</v>
      </c>
      <c r="E938" s="170" t="s">
        <v>759</v>
      </c>
      <c r="F938" s="170" t="s">
        <v>740</v>
      </c>
      <c r="G938" s="185">
        <f t="shared" ref="G938:BB938" si="3637">G931*G925</f>
        <v>0</v>
      </c>
      <c r="H938" s="185">
        <f t="shared" si="3637"/>
        <v>0</v>
      </c>
      <c r="I938" s="185">
        <f t="shared" si="3637"/>
        <v>0</v>
      </c>
      <c r="J938" s="185">
        <f t="shared" si="3637"/>
        <v>0</v>
      </c>
      <c r="K938" s="185">
        <f t="shared" si="3637"/>
        <v>0</v>
      </c>
      <c r="L938" s="185">
        <f t="shared" si="3637"/>
        <v>0</v>
      </c>
      <c r="M938" s="185">
        <f t="shared" si="3637"/>
        <v>0</v>
      </c>
      <c r="N938" s="185">
        <f t="shared" si="3637"/>
        <v>0</v>
      </c>
      <c r="O938" s="185">
        <f t="shared" si="3637"/>
        <v>0</v>
      </c>
      <c r="P938" s="185">
        <f t="shared" si="3637"/>
        <v>0</v>
      </c>
      <c r="Q938" s="185">
        <f t="shared" si="3637"/>
        <v>0</v>
      </c>
      <c r="R938" s="185">
        <f t="shared" si="3637"/>
        <v>0</v>
      </c>
      <c r="S938" s="185">
        <f t="shared" si="3637"/>
        <v>0</v>
      </c>
      <c r="T938" s="185">
        <f t="shared" si="3637"/>
        <v>0</v>
      </c>
      <c r="U938" s="185">
        <f t="shared" si="3637"/>
        <v>0</v>
      </c>
      <c r="V938" s="185">
        <f t="shared" si="3637"/>
        <v>0</v>
      </c>
      <c r="W938" s="185">
        <f t="shared" si="3637"/>
        <v>0</v>
      </c>
      <c r="X938" s="185">
        <f t="shared" si="3637"/>
        <v>0</v>
      </c>
      <c r="Y938" s="185">
        <f t="shared" si="3637"/>
        <v>0</v>
      </c>
      <c r="Z938" s="185">
        <f t="shared" si="3637"/>
        <v>0</v>
      </c>
      <c r="AA938" s="185">
        <f t="shared" si="3637"/>
        <v>0</v>
      </c>
      <c r="AB938" s="185">
        <f t="shared" si="3637"/>
        <v>0</v>
      </c>
      <c r="AC938" s="185">
        <f t="shared" si="3637"/>
        <v>0</v>
      </c>
      <c r="AD938" s="185">
        <f t="shared" si="3637"/>
        <v>0</v>
      </c>
      <c r="AE938" s="185">
        <f t="shared" si="3637"/>
        <v>0</v>
      </c>
      <c r="AF938" s="185">
        <f t="shared" si="3637"/>
        <v>0</v>
      </c>
      <c r="AG938" s="185">
        <f t="shared" si="3637"/>
        <v>0</v>
      </c>
      <c r="AH938" s="185">
        <f t="shared" si="3637"/>
        <v>0</v>
      </c>
      <c r="AI938" s="185">
        <f t="shared" si="3637"/>
        <v>0</v>
      </c>
      <c r="AJ938" s="185">
        <f t="shared" si="3637"/>
        <v>0</v>
      </c>
      <c r="AK938" s="185">
        <f t="shared" si="3637"/>
        <v>0</v>
      </c>
      <c r="AL938" s="185">
        <f t="shared" si="3637"/>
        <v>0</v>
      </c>
      <c r="AM938" s="185">
        <f t="shared" si="3637"/>
        <v>0</v>
      </c>
      <c r="AN938" s="185">
        <f t="shared" si="3637"/>
        <v>0</v>
      </c>
      <c r="AO938" s="185">
        <f t="shared" si="3637"/>
        <v>0</v>
      </c>
      <c r="AP938" s="185">
        <f t="shared" si="3637"/>
        <v>0</v>
      </c>
      <c r="AQ938" s="185">
        <f t="shared" si="3637"/>
        <v>0</v>
      </c>
      <c r="AR938" s="185">
        <f t="shared" si="3637"/>
        <v>0</v>
      </c>
      <c r="AS938" s="185">
        <f t="shared" si="3637"/>
        <v>0</v>
      </c>
      <c r="AT938" s="185">
        <f t="shared" si="3637"/>
        <v>0</v>
      </c>
      <c r="AU938" s="185">
        <f t="shared" si="3637"/>
        <v>0</v>
      </c>
      <c r="AV938" s="185">
        <f t="shared" si="3637"/>
        <v>0</v>
      </c>
      <c r="AW938" s="185">
        <f t="shared" si="3637"/>
        <v>0</v>
      </c>
      <c r="AX938" s="185">
        <f t="shared" si="3637"/>
        <v>0</v>
      </c>
      <c r="AY938" s="185">
        <f t="shared" si="3637"/>
        <v>0</v>
      </c>
      <c r="AZ938" s="185">
        <f t="shared" si="3637"/>
        <v>0</v>
      </c>
      <c r="BA938" s="185">
        <f t="shared" si="3637"/>
        <v>0</v>
      </c>
      <c r="BB938" s="185">
        <f t="shared" si="3637"/>
        <v>0</v>
      </c>
      <c r="BC938" s="185"/>
      <c r="BD938" s="193">
        <f>SUM(G938:BC938)</f>
        <v>0</v>
      </c>
    </row>
    <row r="939" spans="1:56" hidden="1" outlineLevel="1" x14ac:dyDescent="0.3">
      <c r="A939" s="184" t="str">
        <f ca="1">Language!A$942</f>
        <v>прибыль/убыток от продажи актива (бухгалтерская)</v>
      </c>
      <c r="B939" s="216"/>
      <c r="C939" s="163" t="str">
        <f t="shared" ca="1" si="3634"/>
        <v>руб.</v>
      </c>
      <c r="D939" s="174">
        <v>1</v>
      </c>
      <c r="E939" s="170" t="s">
        <v>762</v>
      </c>
      <c r="F939" s="170" t="s">
        <v>740</v>
      </c>
      <c r="G939" s="185">
        <f t="shared" ref="G939" si="3638">IF(G926=0,0,G926-IF(G$2=1,G927,F932+F936))</f>
        <v>0</v>
      </c>
      <c r="H939" s="185">
        <f t="shared" ref="H939" si="3639">IF(H926=0,0,H926-IF(H$2=1,H927,G932+G936))</f>
        <v>0</v>
      </c>
      <c r="I939" s="185">
        <f t="shared" ref="I939" si="3640">IF(I926=0,0,I926-IF(I$2=1,I927,H932+H936))</f>
        <v>0</v>
      </c>
      <c r="J939" s="185">
        <f t="shared" ref="J939" si="3641">IF(J926=0,0,J926-IF(J$2=1,J927,I932+I936))</f>
        <v>0</v>
      </c>
      <c r="K939" s="185">
        <f t="shared" ref="K939" si="3642">IF(K926=0,0,K926-IF(K$2=1,K927,J932+J936))</f>
        <v>0</v>
      </c>
      <c r="L939" s="185">
        <f t="shared" ref="L939" si="3643">IF(L926=0,0,L926-IF(L$2=1,L927,K932+K936))</f>
        <v>0</v>
      </c>
      <c r="M939" s="185">
        <f t="shared" ref="M939" si="3644">IF(M926=0,0,M926-IF(M$2=1,M927,L932+L936))</f>
        <v>0</v>
      </c>
      <c r="N939" s="185">
        <f t="shared" ref="N939" si="3645">IF(N926=0,0,N926-IF(N$2=1,N927,M932+M936))</f>
        <v>0</v>
      </c>
      <c r="O939" s="185">
        <f t="shared" ref="O939" si="3646">IF(O926=0,0,O926-IF(O$2=1,O927,N932+N936))</f>
        <v>0</v>
      </c>
      <c r="P939" s="185">
        <f t="shared" ref="P939" si="3647">IF(P926=0,0,P926-IF(P$2=1,P927,O932+O936))</f>
        <v>0</v>
      </c>
      <c r="Q939" s="185">
        <f t="shared" ref="Q939" si="3648">IF(Q926=0,0,Q926-IF(Q$2=1,Q927,P932+P936))</f>
        <v>0</v>
      </c>
      <c r="R939" s="185">
        <f t="shared" ref="R939" si="3649">IF(R926=0,0,R926-IF(R$2=1,R927,Q932+Q936))</f>
        <v>0</v>
      </c>
      <c r="S939" s="185">
        <f t="shared" ref="S939" si="3650">IF(S926=0,0,S926-IF(S$2=1,S927,R932+R936))</f>
        <v>0</v>
      </c>
      <c r="T939" s="185">
        <f t="shared" ref="T939" si="3651">IF(T926=0,0,T926-IF(T$2=1,T927,S932+S936))</f>
        <v>0</v>
      </c>
      <c r="U939" s="185">
        <f t="shared" ref="U939" si="3652">IF(U926=0,0,U926-IF(U$2=1,U927,T932+T936))</f>
        <v>0</v>
      </c>
      <c r="V939" s="185">
        <f t="shared" ref="V939" si="3653">IF(V926=0,0,V926-IF(V$2=1,V927,U932+U936))</f>
        <v>0</v>
      </c>
      <c r="W939" s="185">
        <f t="shared" ref="W939" si="3654">IF(W926=0,0,W926-IF(W$2=1,W927,V932+V936))</f>
        <v>0</v>
      </c>
      <c r="X939" s="185">
        <f t="shared" ref="X939" si="3655">IF(X926=0,0,X926-IF(X$2=1,X927,W932+W936))</f>
        <v>0</v>
      </c>
      <c r="Y939" s="185">
        <f t="shared" ref="Y939" si="3656">IF(Y926=0,0,Y926-IF(Y$2=1,Y927,X932+X936))</f>
        <v>0</v>
      </c>
      <c r="Z939" s="185">
        <f t="shared" ref="Z939" si="3657">IF(Z926=0,0,Z926-IF(Z$2=1,Z927,Y932+Y936))</f>
        <v>0</v>
      </c>
      <c r="AA939" s="185">
        <f t="shared" ref="AA939" si="3658">IF(AA926=0,0,AA926-IF(AA$2=1,AA927,Z932+Z936))</f>
        <v>0</v>
      </c>
      <c r="AB939" s="185">
        <f t="shared" ref="AB939" si="3659">IF(AB926=0,0,AB926-IF(AB$2=1,AB927,AA932+AA936))</f>
        <v>0</v>
      </c>
      <c r="AC939" s="185">
        <f t="shared" ref="AC939" si="3660">IF(AC926=0,0,AC926-IF(AC$2=1,AC927,AB932+AB936))</f>
        <v>0</v>
      </c>
      <c r="AD939" s="185">
        <f t="shared" ref="AD939" si="3661">IF(AD926=0,0,AD926-IF(AD$2=1,AD927,AC932+AC936))</f>
        <v>0</v>
      </c>
      <c r="AE939" s="185">
        <f t="shared" ref="AE939" si="3662">IF(AE926=0,0,AE926-IF(AE$2=1,AE927,AD932+AD936))</f>
        <v>0</v>
      </c>
      <c r="AF939" s="185">
        <f t="shared" ref="AF939" si="3663">IF(AF926=0,0,AF926-IF(AF$2=1,AF927,AE932+AE936))</f>
        <v>0</v>
      </c>
      <c r="AG939" s="185">
        <f t="shared" ref="AG939" si="3664">IF(AG926=0,0,AG926-IF(AG$2=1,AG927,AF932+AF936))</f>
        <v>0</v>
      </c>
      <c r="AH939" s="185">
        <f t="shared" ref="AH939" si="3665">IF(AH926=0,0,AH926-IF(AH$2=1,AH927,AG932+AG936))</f>
        <v>0</v>
      </c>
      <c r="AI939" s="185">
        <f t="shared" ref="AI939" si="3666">IF(AI926=0,0,AI926-IF(AI$2=1,AI927,AH932+AH936))</f>
        <v>0</v>
      </c>
      <c r="AJ939" s="185">
        <f t="shared" ref="AJ939" si="3667">IF(AJ926=0,0,AJ926-IF(AJ$2=1,AJ927,AI932+AI936))</f>
        <v>0</v>
      </c>
      <c r="AK939" s="185">
        <f t="shared" ref="AK939" si="3668">IF(AK926=0,0,AK926-IF(AK$2=1,AK927,AJ932+AJ936))</f>
        <v>0</v>
      </c>
      <c r="AL939" s="185">
        <f t="shared" ref="AL939" si="3669">IF(AL926=0,0,AL926-IF(AL$2=1,AL927,AK932+AK936))</f>
        <v>0</v>
      </c>
      <c r="AM939" s="185">
        <f t="shared" ref="AM939" si="3670">IF(AM926=0,0,AM926-IF(AM$2=1,AM927,AL932+AL936))</f>
        <v>0</v>
      </c>
      <c r="AN939" s="185">
        <f t="shared" ref="AN939" si="3671">IF(AN926=0,0,AN926-IF(AN$2=1,AN927,AM932+AM936))</f>
        <v>0</v>
      </c>
      <c r="AO939" s="185">
        <f t="shared" ref="AO939" si="3672">IF(AO926=0,0,AO926-IF(AO$2=1,AO927,AN932+AN936))</f>
        <v>0</v>
      </c>
      <c r="AP939" s="185">
        <f t="shared" ref="AP939" si="3673">IF(AP926=0,0,AP926-IF(AP$2=1,AP927,AO932+AO936))</f>
        <v>0</v>
      </c>
      <c r="AQ939" s="185">
        <f t="shared" ref="AQ939" si="3674">IF(AQ926=0,0,AQ926-IF(AQ$2=1,AQ927,AP932+AP936))</f>
        <v>0</v>
      </c>
      <c r="AR939" s="185">
        <f t="shared" ref="AR939" si="3675">IF(AR926=0,0,AR926-IF(AR$2=1,AR927,AQ932+AQ936))</f>
        <v>0</v>
      </c>
      <c r="AS939" s="185">
        <f t="shared" ref="AS939" si="3676">IF(AS926=0,0,AS926-IF(AS$2=1,AS927,AR932+AR936))</f>
        <v>0</v>
      </c>
      <c r="AT939" s="185">
        <f t="shared" ref="AT939" si="3677">IF(AT926=0,0,AT926-IF(AT$2=1,AT927,AS932+AS936))</f>
        <v>0</v>
      </c>
      <c r="AU939" s="185">
        <f t="shared" ref="AU939" si="3678">IF(AU926=0,0,AU926-IF(AU$2=1,AU927,AT932+AT936))</f>
        <v>0</v>
      </c>
      <c r="AV939" s="185">
        <f t="shared" ref="AV939" si="3679">IF(AV926=0,0,AV926-IF(AV$2=1,AV927,AU932+AU936))</f>
        <v>0</v>
      </c>
      <c r="AW939" s="185">
        <f t="shared" ref="AW939" si="3680">IF(AW926=0,0,AW926-IF(AW$2=1,AW927,AV932+AV936))</f>
        <v>0</v>
      </c>
      <c r="AX939" s="185">
        <f t="shared" ref="AX939" si="3681">IF(AX926=0,0,AX926-IF(AX$2=1,AX927,AW932+AW936))</f>
        <v>0</v>
      </c>
      <c r="AY939" s="185">
        <f t="shared" ref="AY939" si="3682">IF(AY926=0,0,AY926-IF(AY$2=1,AY927,AX932+AX936))</f>
        <v>0</v>
      </c>
      <c r="AZ939" s="185">
        <f t="shared" ref="AZ939" si="3683">IF(AZ926=0,0,AZ926-IF(AZ$2=1,AZ927,AY932+AY936))</f>
        <v>0</v>
      </c>
      <c r="BA939" s="185">
        <f t="shared" ref="BA939" si="3684">IF(BA926=0,0,BA926-IF(BA$2=1,BA927,AZ932+AZ936))</f>
        <v>0</v>
      </c>
      <c r="BB939" s="185">
        <f t="shared" ref="BB939" si="3685">IF(BB926=0,0,BB926-IF(BB$2=1,BB927,BA932+BA936))</f>
        <v>0</v>
      </c>
      <c r="BC939" s="185"/>
      <c r="BD939" s="193">
        <f>SUM(G939:BC939)</f>
        <v>0</v>
      </c>
    </row>
    <row r="940" spans="1:56" hidden="1" outlineLevel="1" x14ac:dyDescent="0.3">
      <c r="A940" s="184" t="str">
        <f ca="1">Language!A$943</f>
        <v>НДС к выручке от продажи актива</v>
      </c>
      <c r="B940" s="216"/>
      <c r="C940" s="163" t="str">
        <f t="shared" ca="1" si="3634"/>
        <v>руб.</v>
      </c>
      <c r="D940" s="174">
        <v>1</v>
      </c>
      <c r="E940" s="170" t="s">
        <v>764</v>
      </c>
      <c r="F940" s="170" t="s">
        <v>740</v>
      </c>
      <c r="G940" s="185">
        <f t="shared" ref="G940:BB940" si="3686">G926*G925</f>
        <v>0</v>
      </c>
      <c r="H940" s="185">
        <f t="shared" si="3686"/>
        <v>0</v>
      </c>
      <c r="I940" s="185">
        <f t="shared" si="3686"/>
        <v>0</v>
      </c>
      <c r="J940" s="185">
        <f t="shared" si="3686"/>
        <v>0</v>
      </c>
      <c r="K940" s="185">
        <f t="shared" si="3686"/>
        <v>0</v>
      </c>
      <c r="L940" s="185">
        <f t="shared" si="3686"/>
        <v>0</v>
      </c>
      <c r="M940" s="185">
        <f t="shared" si="3686"/>
        <v>0</v>
      </c>
      <c r="N940" s="185">
        <f t="shared" si="3686"/>
        <v>0</v>
      </c>
      <c r="O940" s="185">
        <f t="shared" si="3686"/>
        <v>0</v>
      </c>
      <c r="P940" s="185">
        <f t="shared" si="3686"/>
        <v>0</v>
      </c>
      <c r="Q940" s="185">
        <f t="shared" si="3686"/>
        <v>0</v>
      </c>
      <c r="R940" s="185">
        <f t="shared" si="3686"/>
        <v>0</v>
      </c>
      <c r="S940" s="185">
        <f t="shared" si="3686"/>
        <v>0</v>
      </c>
      <c r="T940" s="185">
        <f t="shared" si="3686"/>
        <v>0</v>
      </c>
      <c r="U940" s="185">
        <f t="shared" si="3686"/>
        <v>0</v>
      </c>
      <c r="V940" s="185">
        <f t="shared" si="3686"/>
        <v>0</v>
      </c>
      <c r="W940" s="185">
        <f t="shared" si="3686"/>
        <v>0</v>
      </c>
      <c r="X940" s="185">
        <f t="shared" si="3686"/>
        <v>0</v>
      </c>
      <c r="Y940" s="185">
        <f t="shared" si="3686"/>
        <v>0</v>
      </c>
      <c r="Z940" s="185">
        <f t="shared" si="3686"/>
        <v>0</v>
      </c>
      <c r="AA940" s="185">
        <f t="shared" si="3686"/>
        <v>0</v>
      </c>
      <c r="AB940" s="185">
        <f t="shared" si="3686"/>
        <v>0</v>
      </c>
      <c r="AC940" s="185">
        <f t="shared" si="3686"/>
        <v>0</v>
      </c>
      <c r="AD940" s="185">
        <f t="shared" si="3686"/>
        <v>0</v>
      </c>
      <c r="AE940" s="185">
        <f t="shared" si="3686"/>
        <v>0</v>
      </c>
      <c r="AF940" s="185">
        <f t="shared" si="3686"/>
        <v>0</v>
      </c>
      <c r="AG940" s="185">
        <f t="shared" si="3686"/>
        <v>0</v>
      </c>
      <c r="AH940" s="185">
        <f t="shared" si="3686"/>
        <v>0</v>
      </c>
      <c r="AI940" s="185">
        <f t="shared" si="3686"/>
        <v>0</v>
      </c>
      <c r="AJ940" s="185">
        <f t="shared" si="3686"/>
        <v>0</v>
      </c>
      <c r="AK940" s="185">
        <f t="shared" si="3686"/>
        <v>0</v>
      </c>
      <c r="AL940" s="185">
        <f t="shared" si="3686"/>
        <v>0</v>
      </c>
      <c r="AM940" s="185">
        <f t="shared" si="3686"/>
        <v>0</v>
      </c>
      <c r="AN940" s="185">
        <f t="shared" si="3686"/>
        <v>0</v>
      </c>
      <c r="AO940" s="185">
        <f t="shared" si="3686"/>
        <v>0</v>
      </c>
      <c r="AP940" s="185">
        <f t="shared" si="3686"/>
        <v>0</v>
      </c>
      <c r="AQ940" s="185">
        <f t="shared" si="3686"/>
        <v>0</v>
      </c>
      <c r="AR940" s="185">
        <f t="shared" si="3686"/>
        <v>0</v>
      </c>
      <c r="AS940" s="185">
        <f t="shared" si="3686"/>
        <v>0</v>
      </c>
      <c r="AT940" s="185">
        <f t="shared" si="3686"/>
        <v>0</v>
      </c>
      <c r="AU940" s="185">
        <f t="shared" si="3686"/>
        <v>0</v>
      </c>
      <c r="AV940" s="185">
        <f t="shared" si="3686"/>
        <v>0</v>
      </c>
      <c r="AW940" s="185">
        <f t="shared" si="3686"/>
        <v>0</v>
      </c>
      <c r="AX940" s="185">
        <f t="shared" si="3686"/>
        <v>0</v>
      </c>
      <c r="AY940" s="185">
        <f t="shared" si="3686"/>
        <v>0</v>
      </c>
      <c r="AZ940" s="185">
        <f t="shared" si="3686"/>
        <v>0</v>
      </c>
      <c r="BA940" s="185">
        <f t="shared" si="3686"/>
        <v>0</v>
      </c>
      <c r="BB940" s="185">
        <f t="shared" si="3686"/>
        <v>0</v>
      </c>
      <c r="BC940" s="185"/>
      <c r="BD940" s="193">
        <f>SUM(G940:BC940)</f>
        <v>0</v>
      </c>
    </row>
    <row r="941" spans="1:56" hidden="1" outlineLevel="1" x14ac:dyDescent="0.3">
      <c r="A941" s="184" t="str">
        <f ca="1">Language!A$944</f>
        <v>курсовые разницы</v>
      </c>
      <c r="B941" s="216"/>
      <c r="C941" s="163" t="str">
        <f t="shared" ca="1" si="3634"/>
        <v>руб.</v>
      </c>
      <c r="D941" s="174">
        <v>1</v>
      </c>
      <c r="E941" s="170" t="s">
        <v>1278</v>
      </c>
      <c r="F941" s="170" t="s">
        <v>740</v>
      </c>
      <c r="G941" s="185">
        <f>-(SUM($G927:G927)+$B929-G932+G933-G934-SUM($G931:G931)+IF(G$2=1,0,SUM($F941:F941)))</f>
        <v>0</v>
      </c>
      <c r="H941" s="185">
        <f>-(SUM($G927:H927)+$B929-H932+H933-H934-SUM($G931:H931)+IF(H$2=1,0,SUM($F941:G941)))</f>
        <v>0</v>
      </c>
      <c r="I941" s="185">
        <f>-(SUM($G927:I927)+$B929-I932+I933-I934-SUM($G931:I931)+IF(I$2=1,0,SUM($F941:H941)))</f>
        <v>0</v>
      </c>
      <c r="J941" s="185">
        <f>-(SUM($G927:J927)+$B929-J932+J933-J934-SUM($G931:J931)+IF(J$2=1,0,SUM($F941:I941)))</f>
        <v>0</v>
      </c>
      <c r="K941" s="185">
        <f>-(SUM($G927:K927)+$B929-K932+K933-K934-SUM($G931:K931)+IF(K$2=1,0,SUM($F941:J941)))</f>
        <v>0</v>
      </c>
      <c r="L941" s="185">
        <f>-(SUM($G927:L927)+$B929-L932+L933-L934-SUM($G931:L931)+IF(L$2=1,0,SUM($F941:K941)))</f>
        <v>0</v>
      </c>
      <c r="M941" s="185">
        <f>-(SUM($G927:M927)+$B929-M932+M933-M934-SUM($G931:M931)+IF(M$2=1,0,SUM($F941:L941)))</f>
        <v>0</v>
      </c>
      <c r="N941" s="185">
        <f>-(SUM($G927:N927)+$B929-N932+N933-N934-SUM($G931:N931)+IF(N$2=1,0,SUM($F941:M941)))</f>
        <v>0</v>
      </c>
      <c r="O941" s="185">
        <f>-(SUM($G927:O927)+$B929-O932+O933-O934-SUM($G931:O931)+IF(O$2=1,0,SUM($F941:N941)))</f>
        <v>0</v>
      </c>
      <c r="P941" s="185">
        <f>-(SUM($G927:P927)+$B929-P932+P933-P934-SUM($G931:P931)+IF(P$2=1,0,SUM($F941:O941)))</f>
        <v>0</v>
      </c>
      <c r="Q941" s="185">
        <f>-(SUM($G927:Q927)+$B929-Q932+Q933-Q934-SUM($G931:Q931)+IF(Q$2=1,0,SUM($F941:P941)))</f>
        <v>0</v>
      </c>
      <c r="R941" s="185">
        <f>-(SUM($G927:R927)+$B929-R932+R933-R934-SUM($G931:R931)+IF(R$2=1,0,SUM($F941:Q941)))</f>
        <v>0</v>
      </c>
      <c r="S941" s="185">
        <f>-(SUM($G927:S927)+$B929-S932+S933-S934-SUM($G931:S931)+IF(S$2=1,0,SUM($F941:R941)))</f>
        <v>0</v>
      </c>
      <c r="T941" s="185">
        <f>-(SUM($G927:T927)+$B929-T932+T933-T934-SUM($G931:T931)+IF(T$2=1,0,SUM($F941:S941)))</f>
        <v>0</v>
      </c>
      <c r="U941" s="185">
        <f>-(SUM($G927:U927)+$B929-U932+U933-U934-SUM($G931:U931)+IF(U$2=1,0,SUM($F941:T941)))</f>
        <v>0</v>
      </c>
      <c r="V941" s="185">
        <f>-(SUM($G927:V927)+$B929-V932+V933-V934-SUM($G931:V931)+IF(V$2=1,0,SUM($F941:U941)))</f>
        <v>0</v>
      </c>
      <c r="W941" s="185">
        <f>-(SUM($G927:W927)+$B929-W932+W933-W934-SUM($G931:W931)+IF(W$2=1,0,SUM($F941:V941)))</f>
        <v>0</v>
      </c>
      <c r="X941" s="185">
        <f>-(SUM($G927:X927)+$B929-X932+X933-X934-SUM($G931:X931)+IF(X$2=1,0,SUM($F941:W941)))</f>
        <v>0</v>
      </c>
      <c r="Y941" s="185">
        <f>-(SUM($G927:Y927)+$B929-Y932+Y933-Y934-SUM($G931:Y931)+IF(Y$2=1,0,SUM($F941:X941)))</f>
        <v>0</v>
      </c>
      <c r="Z941" s="185">
        <f>-(SUM($G927:Z927)+$B929-Z932+Z933-Z934-SUM($G931:Z931)+IF(Z$2=1,0,SUM($F941:Y941)))</f>
        <v>0</v>
      </c>
      <c r="AA941" s="185">
        <f>-(SUM($G927:AA927)+$B929-AA932+AA933-AA934-SUM($G931:AA931)+IF(AA$2=1,0,SUM($F941:Z941)))</f>
        <v>0</v>
      </c>
      <c r="AB941" s="185">
        <f>-(SUM($G927:AB927)+$B929-AB932+AB933-AB934-SUM($G931:AB931)+IF(AB$2=1,0,SUM($F941:AA941)))</f>
        <v>0</v>
      </c>
      <c r="AC941" s="185">
        <f>-(SUM($G927:AC927)+$B929-AC932+AC933-AC934-SUM($G931:AC931)+IF(AC$2=1,0,SUM($F941:AB941)))</f>
        <v>0</v>
      </c>
      <c r="AD941" s="185">
        <f>-(SUM($G927:AD927)+$B929-AD932+AD933-AD934-SUM($G931:AD931)+IF(AD$2=1,0,SUM($F941:AC941)))</f>
        <v>0</v>
      </c>
      <c r="AE941" s="185">
        <f>-(SUM($G927:AE927)+$B929-AE932+AE933-AE934-SUM($G931:AE931)+IF(AE$2=1,0,SUM($F941:AD941)))</f>
        <v>0</v>
      </c>
      <c r="AF941" s="185">
        <f>-(SUM($G927:AF927)+$B929-AF932+AF933-AF934-SUM($G931:AF931)+IF(AF$2=1,0,SUM($F941:AE941)))</f>
        <v>0</v>
      </c>
      <c r="AG941" s="185">
        <f>-(SUM($G927:AG927)+$B929-AG932+AG933-AG934-SUM($G931:AG931)+IF(AG$2=1,0,SUM($F941:AF941)))</f>
        <v>0</v>
      </c>
      <c r="AH941" s="185">
        <f>-(SUM($G927:AH927)+$B929-AH932+AH933-AH934-SUM($G931:AH931)+IF(AH$2=1,0,SUM($F941:AG941)))</f>
        <v>0</v>
      </c>
      <c r="AI941" s="185">
        <f>-(SUM($G927:AI927)+$B929-AI932+AI933-AI934-SUM($G931:AI931)+IF(AI$2=1,0,SUM($F941:AH941)))</f>
        <v>0</v>
      </c>
      <c r="AJ941" s="185">
        <f>-(SUM($G927:AJ927)+$B929-AJ932+AJ933-AJ934-SUM($G931:AJ931)+IF(AJ$2=1,0,SUM($F941:AI941)))</f>
        <v>0</v>
      </c>
      <c r="AK941" s="185">
        <f>-(SUM($G927:AK927)+$B929-AK932+AK933-AK934-SUM($G931:AK931)+IF(AK$2=1,0,SUM($F941:AJ941)))</f>
        <v>0</v>
      </c>
      <c r="AL941" s="185">
        <f>-(SUM($G927:AL927)+$B929-AL932+AL933-AL934-SUM($G931:AL931)+IF(AL$2=1,0,SUM($F941:AK941)))</f>
        <v>0</v>
      </c>
      <c r="AM941" s="185">
        <f>-(SUM($G927:AM927)+$B929-AM932+AM933-AM934-SUM($G931:AM931)+IF(AM$2=1,0,SUM($F941:AL941)))</f>
        <v>0</v>
      </c>
      <c r="AN941" s="185">
        <f>-(SUM($G927:AN927)+$B929-AN932+AN933-AN934-SUM($G931:AN931)+IF(AN$2=1,0,SUM($F941:AM941)))</f>
        <v>0</v>
      </c>
      <c r="AO941" s="185">
        <f>-(SUM($G927:AO927)+$B929-AO932+AO933-AO934-SUM($G931:AO931)+IF(AO$2=1,0,SUM($F941:AN941)))</f>
        <v>0</v>
      </c>
      <c r="AP941" s="185">
        <f>-(SUM($G927:AP927)+$B929-AP932+AP933-AP934-SUM($G931:AP931)+IF(AP$2=1,0,SUM($F941:AO941)))</f>
        <v>0</v>
      </c>
      <c r="AQ941" s="185">
        <f>-(SUM($G927:AQ927)+$B929-AQ932+AQ933-AQ934-SUM($G931:AQ931)+IF(AQ$2=1,0,SUM($F941:AP941)))</f>
        <v>0</v>
      </c>
      <c r="AR941" s="185">
        <f>-(SUM($G927:AR927)+$B929-AR932+AR933-AR934-SUM($G931:AR931)+IF(AR$2=1,0,SUM($F941:AQ941)))</f>
        <v>0</v>
      </c>
      <c r="AS941" s="185">
        <f>-(SUM($G927:AS927)+$B929-AS932+AS933-AS934-SUM($G931:AS931)+IF(AS$2=1,0,SUM($F941:AR941)))</f>
        <v>0</v>
      </c>
      <c r="AT941" s="185">
        <f>-(SUM($G927:AT927)+$B929-AT932+AT933-AT934-SUM($G931:AT931)+IF(AT$2=1,0,SUM($F941:AS941)))</f>
        <v>0</v>
      </c>
      <c r="AU941" s="185">
        <f>-(SUM($G927:AU927)+$B929-AU932+AU933-AU934-SUM($G931:AU931)+IF(AU$2=1,0,SUM($F941:AT941)))</f>
        <v>0</v>
      </c>
      <c r="AV941" s="185">
        <f>-(SUM($G927:AV927)+$B929-AV932+AV933-AV934-SUM($G931:AV931)+IF(AV$2=1,0,SUM($F941:AU941)))</f>
        <v>0</v>
      </c>
      <c r="AW941" s="185">
        <f>-(SUM($G927:AW927)+$B929-AW932+AW933-AW934-SUM($G931:AW931)+IF(AW$2=1,0,SUM($F941:AV941)))</f>
        <v>0</v>
      </c>
      <c r="AX941" s="185">
        <f>-(SUM($G927:AX927)+$B929-AX932+AX933-AX934-SUM($G931:AX931)+IF(AX$2=1,0,SUM($F941:AW941)))</f>
        <v>0</v>
      </c>
      <c r="AY941" s="185">
        <f>-(SUM($G927:AY927)+$B929-AY932+AY933-AY934-SUM($G931:AY931)+IF(AY$2=1,0,SUM($F941:AX941)))</f>
        <v>0</v>
      </c>
      <c r="AZ941" s="185">
        <f>-(SUM($G927:AZ927)+$B929-AZ932+AZ933-AZ934-SUM($G931:AZ931)+IF(AZ$2=1,0,SUM($F941:AY941)))</f>
        <v>0</v>
      </c>
      <c r="BA941" s="185">
        <f>-(SUM($G927:BA927)+$B929-BA932+BA933-BA934-SUM($G931:BA931)+IF(BA$2=1,0,SUM($F941:AZ941)))</f>
        <v>0</v>
      </c>
      <c r="BB941" s="185">
        <f>-(SUM($G927:BB927)+$B929-BB932+BB933-BB934-SUM($G931:BB931)+IF(BB$2=1,0,SUM($F941:BA941)))</f>
        <v>0</v>
      </c>
      <c r="BC941" s="185"/>
      <c r="BD941" s="193">
        <f>SUM(G941:BC941)</f>
        <v>0</v>
      </c>
    </row>
    <row r="942" spans="1:56" x14ac:dyDescent="0.3">
      <c r="E942" s="170" t="s">
        <v>712</v>
      </c>
    </row>
    <row r="943" spans="1:56" collapsed="1" x14ac:dyDescent="0.3">
      <c r="A943" s="214" t="str">
        <f ca="1">Language!A$949</f>
        <v>Итого: Земля</v>
      </c>
      <c r="C943" s="194" t="str">
        <f t="shared" ref="C943:C988" ca="1" si="3687">CurName1</f>
        <v>руб.</v>
      </c>
      <c r="D943" s="174">
        <v>1</v>
      </c>
      <c r="F943" s="170" t="s">
        <v>1046</v>
      </c>
      <c r="G943" s="177">
        <f t="shared" ref="G943:AL943" si="3688">SUM(G$739)</f>
        <v>266667</v>
      </c>
      <c r="H943" s="177">
        <f t="shared" si="3688"/>
        <v>266667</v>
      </c>
      <c r="I943" s="177">
        <f t="shared" si="3688"/>
        <v>266666</v>
      </c>
      <c r="J943" s="177">
        <f t="shared" si="3688"/>
        <v>0</v>
      </c>
      <c r="K943" s="177">
        <f t="shared" si="3688"/>
        <v>0</v>
      </c>
      <c r="L943" s="177">
        <f t="shared" si="3688"/>
        <v>0</v>
      </c>
      <c r="M943" s="177">
        <f t="shared" si="3688"/>
        <v>0</v>
      </c>
      <c r="N943" s="177">
        <f t="shared" si="3688"/>
        <v>0</v>
      </c>
      <c r="O943" s="177">
        <f t="shared" si="3688"/>
        <v>0</v>
      </c>
      <c r="P943" s="177">
        <f t="shared" si="3688"/>
        <v>0</v>
      </c>
      <c r="Q943" s="177">
        <f t="shared" si="3688"/>
        <v>0</v>
      </c>
      <c r="R943" s="177">
        <f t="shared" si="3688"/>
        <v>0</v>
      </c>
      <c r="S943" s="177">
        <f t="shared" si="3688"/>
        <v>0</v>
      </c>
      <c r="T943" s="177">
        <f t="shared" si="3688"/>
        <v>0</v>
      </c>
      <c r="U943" s="177">
        <f t="shared" si="3688"/>
        <v>0</v>
      </c>
      <c r="V943" s="177">
        <f t="shared" si="3688"/>
        <v>0</v>
      </c>
      <c r="W943" s="177">
        <f t="shared" si="3688"/>
        <v>0</v>
      </c>
      <c r="X943" s="177">
        <f t="shared" si="3688"/>
        <v>0</v>
      </c>
      <c r="Y943" s="177">
        <f t="shared" si="3688"/>
        <v>0</v>
      </c>
      <c r="Z943" s="177">
        <f t="shared" si="3688"/>
        <v>0</v>
      </c>
      <c r="AA943" s="177">
        <f t="shared" si="3688"/>
        <v>0</v>
      </c>
      <c r="AB943" s="177">
        <f t="shared" si="3688"/>
        <v>0</v>
      </c>
      <c r="AC943" s="177">
        <f t="shared" si="3688"/>
        <v>0</v>
      </c>
      <c r="AD943" s="177">
        <f t="shared" si="3688"/>
        <v>0</v>
      </c>
      <c r="AE943" s="177">
        <f t="shared" si="3688"/>
        <v>0</v>
      </c>
      <c r="AF943" s="177">
        <f t="shared" si="3688"/>
        <v>0</v>
      </c>
      <c r="AG943" s="177">
        <f t="shared" si="3688"/>
        <v>0</v>
      </c>
      <c r="AH943" s="177">
        <f t="shared" si="3688"/>
        <v>0</v>
      </c>
      <c r="AI943" s="177">
        <f t="shared" si="3688"/>
        <v>0</v>
      </c>
      <c r="AJ943" s="177">
        <f t="shared" si="3688"/>
        <v>0</v>
      </c>
      <c r="AK943" s="177">
        <f t="shared" si="3688"/>
        <v>0</v>
      </c>
      <c r="AL943" s="177">
        <f t="shared" si="3688"/>
        <v>0</v>
      </c>
      <c r="AM943" s="177">
        <f t="shared" ref="AM943:BB943" si="3689">SUM(AM$739)</f>
        <v>0</v>
      </c>
      <c r="AN943" s="177">
        <f t="shared" si="3689"/>
        <v>0</v>
      </c>
      <c r="AO943" s="177">
        <f t="shared" si="3689"/>
        <v>0</v>
      </c>
      <c r="AP943" s="177">
        <f t="shared" si="3689"/>
        <v>0</v>
      </c>
      <c r="AQ943" s="177">
        <f t="shared" si="3689"/>
        <v>0</v>
      </c>
      <c r="AR943" s="177">
        <f t="shared" si="3689"/>
        <v>0</v>
      </c>
      <c r="AS943" s="177">
        <f t="shared" si="3689"/>
        <v>0</v>
      </c>
      <c r="AT943" s="177">
        <f t="shared" si="3689"/>
        <v>0</v>
      </c>
      <c r="AU943" s="177">
        <f t="shared" si="3689"/>
        <v>0</v>
      </c>
      <c r="AV943" s="177">
        <f t="shared" si="3689"/>
        <v>0</v>
      </c>
      <c r="AW943" s="177">
        <f t="shared" si="3689"/>
        <v>0</v>
      </c>
      <c r="AX943" s="177">
        <f t="shared" si="3689"/>
        <v>0</v>
      </c>
      <c r="AY943" s="177">
        <f t="shared" si="3689"/>
        <v>0</v>
      </c>
      <c r="AZ943" s="177">
        <f t="shared" si="3689"/>
        <v>0</v>
      </c>
      <c r="BA943" s="177">
        <f t="shared" si="3689"/>
        <v>0</v>
      </c>
      <c r="BB943" s="177">
        <f t="shared" si="3689"/>
        <v>0</v>
      </c>
      <c r="BC943" s="177"/>
      <c r="BD943" s="178">
        <f>SUM(G943:BC943)</f>
        <v>800000</v>
      </c>
    </row>
    <row r="944" spans="1:56" hidden="1" outlineLevel="1" x14ac:dyDescent="0.3">
      <c r="A944" s="175" t="str">
        <f ca="1">Language!A$950</f>
        <v>незавершенные инвестиции</v>
      </c>
      <c r="C944" s="194" t="str">
        <f t="shared" ca="1" si="3687"/>
        <v>руб.</v>
      </c>
      <c r="D944" s="174">
        <v>1</v>
      </c>
      <c r="F944" s="170" t="s">
        <v>1047</v>
      </c>
      <c r="G944" s="177">
        <f t="shared" ref="G944:AL944" si="3690">SUM(G$742)</f>
        <v>266667</v>
      </c>
      <c r="H944" s="177">
        <f t="shared" si="3690"/>
        <v>533334</v>
      </c>
      <c r="I944" s="177">
        <f t="shared" si="3690"/>
        <v>800000</v>
      </c>
      <c r="J944" s="177">
        <f t="shared" si="3690"/>
        <v>800000</v>
      </c>
      <c r="K944" s="177">
        <f t="shared" si="3690"/>
        <v>800000</v>
      </c>
      <c r="L944" s="177">
        <f t="shared" si="3690"/>
        <v>800000</v>
      </c>
      <c r="M944" s="177">
        <f t="shared" si="3690"/>
        <v>0</v>
      </c>
      <c r="N944" s="177">
        <f t="shared" si="3690"/>
        <v>0</v>
      </c>
      <c r="O944" s="177">
        <f t="shared" si="3690"/>
        <v>0</v>
      </c>
      <c r="P944" s="177">
        <f t="shared" si="3690"/>
        <v>0</v>
      </c>
      <c r="Q944" s="177">
        <f t="shared" si="3690"/>
        <v>0</v>
      </c>
      <c r="R944" s="177">
        <f t="shared" si="3690"/>
        <v>0</v>
      </c>
      <c r="S944" s="177">
        <f t="shared" si="3690"/>
        <v>0</v>
      </c>
      <c r="T944" s="177">
        <f t="shared" si="3690"/>
        <v>0</v>
      </c>
      <c r="U944" s="177">
        <f t="shared" si="3690"/>
        <v>0</v>
      </c>
      <c r="V944" s="177">
        <f t="shared" si="3690"/>
        <v>0</v>
      </c>
      <c r="W944" s="177">
        <f t="shared" si="3690"/>
        <v>0</v>
      </c>
      <c r="X944" s="177">
        <f t="shared" si="3690"/>
        <v>0</v>
      </c>
      <c r="Y944" s="177">
        <f t="shared" si="3690"/>
        <v>0</v>
      </c>
      <c r="Z944" s="177">
        <f t="shared" si="3690"/>
        <v>0</v>
      </c>
      <c r="AA944" s="177">
        <f t="shared" si="3690"/>
        <v>0</v>
      </c>
      <c r="AB944" s="177">
        <f t="shared" si="3690"/>
        <v>0</v>
      </c>
      <c r="AC944" s="177">
        <f t="shared" si="3690"/>
        <v>0</v>
      </c>
      <c r="AD944" s="177">
        <f t="shared" si="3690"/>
        <v>0</v>
      </c>
      <c r="AE944" s="177">
        <f t="shared" si="3690"/>
        <v>0</v>
      </c>
      <c r="AF944" s="177">
        <f t="shared" si="3690"/>
        <v>0</v>
      </c>
      <c r="AG944" s="177">
        <f t="shared" si="3690"/>
        <v>0</v>
      </c>
      <c r="AH944" s="177">
        <f t="shared" si="3690"/>
        <v>0</v>
      </c>
      <c r="AI944" s="177">
        <f t="shared" si="3690"/>
        <v>0</v>
      </c>
      <c r="AJ944" s="177">
        <f t="shared" si="3690"/>
        <v>0</v>
      </c>
      <c r="AK944" s="177">
        <f t="shared" si="3690"/>
        <v>0</v>
      </c>
      <c r="AL944" s="177">
        <f t="shared" si="3690"/>
        <v>0</v>
      </c>
      <c r="AM944" s="177">
        <f t="shared" ref="AM944:BB944" si="3691">SUM(AM$742)</f>
        <v>0</v>
      </c>
      <c r="AN944" s="177">
        <f t="shared" si="3691"/>
        <v>0</v>
      </c>
      <c r="AO944" s="177">
        <f t="shared" si="3691"/>
        <v>0</v>
      </c>
      <c r="AP944" s="177">
        <f t="shared" si="3691"/>
        <v>0</v>
      </c>
      <c r="AQ944" s="177">
        <f t="shared" si="3691"/>
        <v>0</v>
      </c>
      <c r="AR944" s="177">
        <f t="shared" si="3691"/>
        <v>0</v>
      </c>
      <c r="AS944" s="177">
        <f t="shared" si="3691"/>
        <v>0</v>
      </c>
      <c r="AT944" s="177">
        <f t="shared" si="3691"/>
        <v>0</v>
      </c>
      <c r="AU944" s="177">
        <f t="shared" si="3691"/>
        <v>0</v>
      </c>
      <c r="AV944" s="177">
        <f t="shared" si="3691"/>
        <v>0</v>
      </c>
      <c r="AW944" s="177">
        <f t="shared" si="3691"/>
        <v>0</v>
      </c>
      <c r="AX944" s="177">
        <f t="shared" si="3691"/>
        <v>0</v>
      </c>
      <c r="AY944" s="177">
        <f t="shared" si="3691"/>
        <v>0</v>
      </c>
      <c r="AZ944" s="177">
        <f t="shared" si="3691"/>
        <v>0</v>
      </c>
      <c r="BA944" s="177">
        <f t="shared" si="3691"/>
        <v>0</v>
      </c>
      <c r="BB944" s="177">
        <f t="shared" si="3691"/>
        <v>0</v>
      </c>
      <c r="BC944" s="177"/>
      <c r="BD944" s="178"/>
    </row>
    <row r="945" spans="1:56" hidden="1" outlineLevel="1" x14ac:dyDescent="0.3">
      <c r="A945" s="175" t="str">
        <f ca="1">Language!A$951</f>
        <v>кредиторская задолженность</v>
      </c>
      <c r="C945" s="194" t="str">
        <f t="shared" ca="1" si="3687"/>
        <v>руб.</v>
      </c>
      <c r="D945" s="174">
        <v>1</v>
      </c>
      <c r="F945" s="170" t="s">
        <v>1048</v>
      </c>
      <c r="G945" s="177">
        <f t="shared" ref="G945:AL945" si="3692">SUM(G$743)</f>
        <v>0</v>
      </c>
      <c r="H945" s="177">
        <f t="shared" si="3692"/>
        <v>0</v>
      </c>
      <c r="I945" s="177">
        <f t="shared" si="3692"/>
        <v>0</v>
      </c>
      <c r="J945" s="177">
        <f t="shared" si="3692"/>
        <v>0</v>
      </c>
      <c r="K945" s="177">
        <f t="shared" si="3692"/>
        <v>0</v>
      </c>
      <c r="L945" s="177">
        <f t="shared" si="3692"/>
        <v>0</v>
      </c>
      <c r="M945" s="177">
        <f t="shared" si="3692"/>
        <v>0</v>
      </c>
      <c r="N945" s="177">
        <f t="shared" si="3692"/>
        <v>0</v>
      </c>
      <c r="O945" s="177">
        <f t="shared" si="3692"/>
        <v>0</v>
      </c>
      <c r="P945" s="177">
        <f t="shared" si="3692"/>
        <v>0</v>
      </c>
      <c r="Q945" s="177">
        <f t="shared" si="3692"/>
        <v>0</v>
      </c>
      <c r="R945" s="177">
        <f t="shared" si="3692"/>
        <v>0</v>
      </c>
      <c r="S945" s="177">
        <f t="shared" si="3692"/>
        <v>0</v>
      </c>
      <c r="T945" s="177">
        <f t="shared" si="3692"/>
        <v>0</v>
      </c>
      <c r="U945" s="177">
        <f t="shared" si="3692"/>
        <v>0</v>
      </c>
      <c r="V945" s="177">
        <f t="shared" si="3692"/>
        <v>0</v>
      </c>
      <c r="W945" s="177">
        <f t="shared" si="3692"/>
        <v>0</v>
      </c>
      <c r="X945" s="177">
        <f t="shared" si="3692"/>
        <v>0</v>
      </c>
      <c r="Y945" s="177">
        <f t="shared" si="3692"/>
        <v>0</v>
      </c>
      <c r="Z945" s="177">
        <f t="shared" si="3692"/>
        <v>0</v>
      </c>
      <c r="AA945" s="177">
        <f t="shared" si="3692"/>
        <v>0</v>
      </c>
      <c r="AB945" s="177">
        <f t="shared" si="3692"/>
        <v>0</v>
      </c>
      <c r="AC945" s="177">
        <f t="shared" si="3692"/>
        <v>0</v>
      </c>
      <c r="AD945" s="177">
        <f t="shared" si="3692"/>
        <v>0</v>
      </c>
      <c r="AE945" s="177">
        <f t="shared" si="3692"/>
        <v>0</v>
      </c>
      <c r="AF945" s="177">
        <f t="shared" si="3692"/>
        <v>0</v>
      </c>
      <c r="AG945" s="177">
        <f t="shared" si="3692"/>
        <v>0</v>
      </c>
      <c r="AH945" s="177">
        <f t="shared" si="3692"/>
        <v>0</v>
      </c>
      <c r="AI945" s="177">
        <f t="shared" si="3692"/>
        <v>0</v>
      </c>
      <c r="AJ945" s="177">
        <f t="shared" si="3692"/>
        <v>0</v>
      </c>
      <c r="AK945" s="177">
        <f t="shared" si="3692"/>
        <v>0</v>
      </c>
      <c r="AL945" s="177">
        <f t="shared" si="3692"/>
        <v>0</v>
      </c>
      <c r="AM945" s="177">
        <f t="shared" ref="AM945:BB945" si="3693">SUM(AM$743)</f>
        <v>0</v>
      </c>
      <c r="AN945" s="177">
        <f t="shared" si="3693"/>
        <v>0</v>
      </c>
      <c r="AO945" s="177">
        <f t="shared" si="3693"/>
        <v>0</v>
      </c>
      <c r="AP945" s="177">
        <f t="shared" si="3693"/>
        <v>0</v>
      </c>
      <c r="AQ945" s="177">
        <f t="shared" si="3693"/>
        <v>0</v>
      </c>
      <c r="AR945" s="177">
        <f t="shared" si="3693"/>
        <v>0</v>
      </c>
      <c r="AS945" s="177">
        <f t="shared" si="3693"/>
        <v>0</v>
      </c>
      <c r="AT945" s="177">
        <f t="shared" si="3693"/>
        <v>0</v>
      </c>
      <c r="AU945" s="177">
        <f t="shared" si="3693"/>
        <v>0</v>
      </c>
      <c r="AV945" s="177">
        <f t="shared" si="3693"/>
        <v>0</v>
      </c>
      <c r="AW945" s="177">
        <f t="shared" si="3693"/>
        <v>0</v>
      </c>
      <c r="AX945" s="177">
        <f t="shared" si="3693"/>
        <v>0</v>
      </c>
      <c r="AY945" s="177">
        <f t="shared" si="3693"/>
        <v>0</v>
      </c>
      <c r="AZ945" s="177">
        <f t="shared" si="3693"/>
        <v>0</v>
      </c>
      <c r="BA945" s="177">
        <f t="shared" si="3693"/>
        <v>0</v>
      </c>
      <c r="BB945" s="177">
        <f t="shared" si="3693"/>
        <v>0</v>
      </c>
      <c r="BC945" s="177"/>
      <c r="BD945" s="178"/>
    </row>
    <row r="946" spans="1:56" hidden="1" outlineLevel="1" x14ac:dyDescent="0.3">
      <c r="A946" s="175" t="str">
        <f ca="1">Language!A$952</f>
        <v>балансовая стоимость</v>
      </c>
      <c r="C946" s="194" t="str">
        <f t="shared" ca="1" si="3687"/>
        <v>руб.</v>
      </c>
      <c r="D946" s="174">
        <v>1</v>
      </c>
      <c r="F946" s="170" t="s">
        <v>1049</v>
      </c>
      <c r="G946" s="177">
        <f t="shared" ref="G946:AL946" si="3694">SUM(G$744)</f>
        <v>0</v>
      </c>
      <c r="H946" s="177">
        <f t="shared" si="3694"/>
        <v>0</v>
      </c>
      <c r="I946" s="177">
        <f t="shared" si="3694"/>
        <v>0</v>
      </c>
      <c r="J946" s="177">
        <f t="shared" si="3694"/>
        <v>0</v>
      </c>
      <c r="K946" s="177">
        <f t="shared" si="3694"/>
        <v>0</v>
      </c>
      <c r="L946" s="177">
        <f t="shared" si="3694"/>
        <v>0</v>
      </c>
      <c r="M946" s="177">
        <f t="shared" si="3694"/>
        <v>800000</v>
      </c>
      <c r="N946" s="177">
        <f t="shared" si="3694"/>
        <v>800000</v>
      </c>
      <c r="O946" s="177">
        <f t="shared" si="3694"/>
        <v>800000</v>
      </c>
      <c r="P946" s="177">
        <f t="shared" si="3694"/>
        <v>800000</v>
      </c>
      <c r="Q946" s="177">
        <f t="shared" si="3694"/>
        <v>800000</v>
      </c>
      <c r="R946" s="177">
        <f t="shared" si="3694"/>
        <v>800000</v>
      </c>
      <c r="S946" s="177">
        <f t="shared" si="3694"/>
        <v>800000</v>
      </c>
      <c r="T946" s="177">
        <f t="shared" si="3694"/>
        <v>800000</v>
      </c>
      <c r="U946" s="177">
        <f t="shared" si="3694"/>
        <v>800000</v>
      </c>
      <c r="V946" s="177">
        <f t="shared" si="3694"/>
        <v>800000</v>
      </c>
      <c r="W946" s="177">
        <f t="shared" si="3694"/>
        <v>800000</v>
      </c>
      <c r="X946" s="177">
        <f t="shared" si="3694"/>
        <v>800000</v>
      </c>
      <c r="Y946" s="177">
        <f t="shared" si="3694"/>
        <v>800000</v>
      </c>
      <c r="Z946" s="177">
        <f t="shared" si="3694"/>
        <v>800000</v>
      </c>
      <c r="AA946" s="177">
        <f t="shared" si="3694"/>
        <v>800000</v>
      </c>
      <c r="AB946" s="177">
        <f t="shared" si="3694"/>
        <v>800000</v>
      </c>
      <c r="AC946" s="177">
        <f t="shared" si="3694"/>
        <v>800000</v>
      </c>
      <c r="AD946" s="177">
        <f t="shared" si="3694"/>
        <v>800000</v>
      </c>
      <c r="AE946" s="177">
        <f t="shared" si="3694"/>
        <v>800000</v>
      </c>
      <c r="AF946" s="177">
        <f t="shared" si="3694"/>
        <v>800000</v>
      </c>
      <c r="AG946" s="177">
        <f t="shared" si="3694"/>
        <v>800000</v>
      </c>
      <c r="AH946" s="177">
        <f t="shared" si="3694"/>
        <v>800000</v>
      </c>
      <c r="AI946" s="177">
        <f t="shared" si="3694"/>
        <v>800000</v>
      </c>
      <c r="AJ946" s="177">
        <f t="shared" si="3694"/>
        <v>800000</v>
      </c>
      <c r="AK946" s="177">
        <f t="shared" si="3694"/>
        <v>800000</v>
      </c>
      <c r="AL946" s="177">
        <f t="shared" si="3694"/>
        <v>800000</v>
      </c>
      <c r="AM946" s="177">
        <f t="shared" ref="AM946:BB946" si="3695">SUM(AM$744)</f>
        <v>800000</v>
      </c>
      <c r="AN946" s="177">
        <f t="shared" si="3695"/>
        <v>800000</v>
      </c>
      <c r="AO946" s="177">
        <f t="shared" si="3695"/>
        <v>800000</v>
      </c>
      <c r="AP946" s="177">
        <f t="shared" si="3695"/>
        <v>800000</v>
      </c>
      <c r="AQ946" s="177">
        <f t="shared" si="3695"/>
        <v>800000</v>
      </c>
      <c r="AR946" s="177">
        <f t="shared" si="3695"/>
        <v>800000</v>
      </c>
      <c r="AS946" s="177">
        <f t="shared" si="3695"/>
        <v>800000</v>
      </c>
      <c r="AT946" s="177">
        <f t="shared" si="3695"/>
        <v>800000</v>
      </c>
      <c r="AU946" s="177">
        <f t="shared" si="3695"/>
        <v>800000</v>
      </c>
      <c r="AV946" s="177">
        <f t="shared" si="3695"/>
        <v>800000</v>
      </c>
      <c r="AW946" s="177">
        <f t="shared" si="3695"/>
        <v>800000</v>
      </c>
      <c r="AX946" s="177">
        <f t="shared" si="3695"/>
        <v>800000</v>
      </c>
      <c r="AY946" s="177">
        <f t="shared" si="3695"/>
        <v>800000</v>
      </c>
      <c r="AZ946" s="177">
        <f t="shared" si="3695"/>
        <v>800000</v>
      </c>
      <c r="BA946" s="177">
        <f t="shared" si="3695"/>
        <v>800000</v>
      </c>
      <c r="BB946" s="177">
        <f t="shared" si="3695"/>
        <v>800000</v>
      </c>
      <c r="BC946" s="177"/>
      <c r="BD946" s="178"/>
    </row>
    <row r="947" spans="1:56" hidden="1" outlineLevel="1" x14ac:dyDescent="0.3">
      <c r="A947" s="175" t="str">
        <f ca="1">Language!A$953</f>
        <v>выручка от продажи актива</v>
      </c>
      <c r="C947" s="194" t="str">
        <f t="shared" ca="1" si="3687"/>
        <v>руб.</v>
      </c>
      <c r="D947" s="174">
        <v>1</v>
      </c>
      <c r="F947" s="170" t="s">
        <v>1050</v>
      </c>
      <c r="G947" s="177">
        <f t="shared" ref="G947:AL947" si="3696">SUM(G$738)</f>
        <v>0</v>
      </c>
      <c r="H947" s="177">
        <f t="shared" si="3696"/>
        <v>0</v>
      </c>
      <c r="I947" s="177">
        <f t="shared" si="3696"/>
        <v>0</v>
      </c>
      <c r="J947" s="177">
        <f t="shared" si="3696"/>
        <v>0</v>
      </c>
      <c r="K947" s="177">
        <f t="shared" si="3696"/>
        <v>0</v>
      </c>
      <c r="L947" s="177">
        <f t="shared" si="3696"/>
        <v>0</v>
      </c>
      <c r="M947" s="177">
        <f t="shared" si="3696"/>
        <v>0</v>
      </c>
      <c r="N947" s="177">
        <f t="shared" si="3696"/>
        <v>0</v>
      </c>
      <c r="O947" s="177">
        <f t="shared" si="3696"/>
        <v>0</v>
      </c>
      <c r="P947" s="177">
        <f t="shared" si="3696"/>
        <v>0</v>
      </c>
      <c r="Q947" s="177">
        <f t="shared" si="3696"/>
        <v>0</v>
      </c>
      <c r="R947" s="177">
        <f t="shared" si="3696"/>
        <v>0</v>
      </c>
      <c r="S947" s="177">
        <f t="shared" si="3696"/>
        <v>0</v>
      </c>
      <c r="T947" s="177">
        <f t="shared" si="3696"/>
        <v>0</v>
      </c>
      <c r="U947" s="177">
        <f t="shared" si="3696"/>
        <v>0</v>
      </c>
      <c r="V947" s="177">
        <f t="shared" si="3696"/>
        <v>0</v>
      </c>
      <c r="W947" s="177">
        <f t="shared" si="3696"/>
        <v>0</v>
      </c>
      <c r="X947" s="177">
        <f t="shared" si="3696"/>
        <v>0</v>
      </c>
      <c r="Y947" s="177">
        <f t="shared" si="3696"/>
        <v>0</v>
      </c>
      <c r="Z947" s="177">
        <f t="shared" si="3696"/>
        <v>0</v>
      </c>
      <c r="AA947" s="177">
        <f t="shared" si="3696"/>
        <v>0</v>
      </c>
      <c r="AB947" s="177">
        <f t="shared" si="3696"/>
        <v>0</v>
      </c>
      <c r="AC947" s="177">
        <f t="shared" si="3696"/>
        <v>0</v>
      </c>
      <c r="AD947" s="177">
        <f t="shared" si="3696"/>
        <v>0</v>
      </c>
      <c r="AE947" s="177">
        <f t="shared" si="3696"/>
        <v>0</v>
      </c>
      <c r="AF947" s="177">
        <f t="shared" si="3696"/>
        <v>0</v>
      </c>
      <c r="AG947" s="177">
        <f t="shared" si="3696"/>
        <v>0</v>
      </c>
      <c r="AH947" s="177">
        <f t="shared" si="3696"/>
        <v>0</v>
      </c>
      <c r="AI947" s="177">
        <f t="shared" si="3696"/>
        <v>0</v>
      </c>
      <c r="AJ947" s="177">
        <f t="shared" si="3696"/>
        <v>0</v>
      </c>
      <c r="AK947" s="177">
        <f t="shared" si="3696"/>
        <v>0</v>
      </c>
      <c r="AL947" s="177">
        <f t="shared" si="3696"/>
        <v>0</v>
      </c>
      <c r="AM947" s="177">
        <f t="shared" ref="AM947:BB947" si="3697">SUM(AM$738)</f>
        <v>0</v>
      </c>
      <c r="AN947" s="177">
        <f t="shared" si="3697"/>
        <v>0</v>
      </c>
      <c r="AO947" s="177">
        <f t="shared" si="3697"/>
        <v>0</v>
      </c>
      <c r="AP947" s="177">
        <f t="shared" si="3697"/>
        <v>0</v>
      </c>
      <c r="AQ947" s="177">
        <f t="shared" si="3697"/>
        <v>0</v>
      </c>
      <c r="AR947" s="177">
        <f t="shared" si="3697"/>
        <v>0</v>
      </c>
      <c r="AS947" s="177">
        <f t="shared" si="3697"/>
        <v>0</v>
      </c>
      <c r="AT947" s="177">
        <f t="shared" si="3697"/>
        <v>0</v>
      </c>
      <c r="AU947" s="177">
        <f t="shared" si="3697"/>
        <v>0</v>
      </c>
      <c r="AV947" s="177">
        <f t="shared" si="3697"/>
        <v>0</v>
      </c>
      <c r="AW947" s="177">
        <f t="shared" si="3697"/>
        <v>0</v>
      </c>
      <c r="AX947" s="177">
        <f t="shared" si="3697"/>
        <v>0</v>
      </c>
      <c r="AY947" s="177">
        <f t="shared" si="3697"/>
        <v>0</v>
      </c>
      <c r="AZ947" s="177">
        <f t="shared" si="3697"/>
        <v>0</v>
      </c>
      <c r="BA947" s="177">
        <f t="shared" si="3697"/>
        <v>0</v>
      </c>
      <c r="BB947" s="177">
        <f t="shared" si="3697"/>
        <v>0</v>
      </c>
      <c r="BC947" s="177"/>
      <c r="BD947" s="178">
        <f>SUM(G947:BC947)</f>
        <v>0</v>
      </c>
    </row>
    <row r="948" spans="1:56" hidden="1" outlineLevel="1" x14ac:dyDescent="0.3">
      <c r="A948" s="175" t="str">
        <f ca="1">Language!A$954</f>
        <v>прибыль/убыток от продажи актива</v>
      </c>
      <c r="C948" s="194" t="str">
        <f t="shared" ca="1" si="3687"/>
        <v>руб.</v>
      </c>
      <c r="D948" s="174">
        <v>1</v>
      </c>
      <c r="F948" s="170" t="s">
        <v>1051</v>
      </c>
      <c r="G948" s="177">
        <f t="shared" ref="G948:AL948" si="3698">SUM(G$745)</f>
        <v>0</v>
      </c>
      <c r="H948" s="177">
        <f t="shared" si="3698"/>
        <v>0</v>
      </c>
      <c r="I948" s="177">
        <f t="shared" si="3698"/>
        <v>0</v>
      </c>
      <c r="J948" s="177">
        <f t="shared" si="3698"/>
        <v>0</v>
      </c>
      <c r="K948" s="177">
        <f t="shared" si="3698"/>
        <v>0</v>
      </c>
      <c r="L948" s="177">
        <f t="shared" si="3698"/>
        <v>0</v>
      </c>
      <c r="M948" s="177">
        <f t="shared" si="3698"/>
        <v>0</v>
      </c>
      <c r="N948" s="177">
        <f t="shared" si="3698"/>
        <v>0</v>
      </c>
      <c r="O948" s="177">
        <f t="shared" si="3698"/>
        <v>0</v>
      </c>
      <c r="P948" s="177">
        <f t="shared" si="3698"/>
        <v>0</v>
      </c>
      <c r="Q948" s="177">
        <f t="shared" si="3698"/>
        <v>0</v>
      </c>
      <c r="R948" s="177">
        <f t="shared" si="3698"/>
        <v>0</v>
      </c>
      <c r="S948" s="177">
        <f t="shared" si="3698"/>
        <v>0</v>
      </c>
      <c r="T948" s="177">
        <f t="shared" si="3698"/>
        <v>0</v>
      </c>
      <c r="U948" s="177">
        <f t="shared" si="3698"/>
        <v>0</v>
      </c>
      <c r="V948" s="177">
        <f t="shared" si="3698"/>
        <v>0</v>
      </c>
      <c r="W948" s="177">
        <f t="shared" si="3698"/>
        <v>0</v>
      </c>
      <c r="X948" s="177">
        <f t="shared" si="3698"/>
        <v>0</v>
      </c>
      <c r="Y948" s="177">
        <f t="shared" si="3698"/>
        <v>0</v>
      </c>
      <c r="Z948" s="177">
        <f t="shared" si="3698"/>
        <v>0</v>
      </c>
      <c r="AA948" s="177">
        <f t="shared" si="3698"/>
        <v>0</v>
      </c>
      <c r="AB948" s="177">
        <f t="shared" si="3698"/>
        <v>0</v>
      </c>
      <c r="AC948" s="177">
        <f t="shared" si="3698"/>
        <v>0</v>
      </c>
      <c r="AD948" s="177">
        <f t="shared" si="3698"/>
        <v>0</v>
      </c>
      <c r="AE948" s="177">
        <f t="shared" si="3698"/>
        <v>0</v>
      </c>
      <c r="AF948" s="177">
        <f t="shared" si="3698"/>
        <v>0</v>
      </c>
      <c r="AG948" s="177">
        <f t="shared" si="3698"/>
        <v>0</v>
      </c>
      <c r="AH948" s="177">
        <f t="shared" si="3698"/>
        <v>0</v>
      </c>
      <c r="AI948" s="177">
        <f t="shared" si="3698"/>
        <v>0</v>
      </c>
      <c r="AJ948" s="177">
        <f t="shared" si="3698"/>
        <v>0</v>
      </c>
      <c r="AK948" s="177">
        <f t="shared" si="3698"/>
        <v>0</v>
      </c>
      <c r="AL948" s="177">
        <f t="shared" si="3698"/>
        <v>0</v>
      </c>
      <c r="AM948" s="177">
        <f t="shared" ref="AM948:BB948" si="3699">SUM(AM$745)</f>
        <v>0</v>
      </c>
      <c r="AN948" s="177">
        <f t="shared" si="3699"/>
        <v>0</v>
      </c>
      <c r="AO948" s="177">
        <f t="shared" si="3699"/>
        <v>0</v>
      </c>
      <c r="AP948" s="177">
        <f t="shared" si="3699"/>
        <v>0</v>
      </c>
      <c r="AQ948" s="177">
        <f t="shared" si="3699"/>
        <v>0</v>
      </c>
      <c r="AR948" s="177">
        <f t="shared" si="3699"/>
        <v>0</v>
      </c>
      <c r="AS948" s="177">
        <f t="shared" si="3699"/>
        <v>0</v>
      </c>
      <c r="AT948" s="177">
        <f t="shared" si="3699"/>
        <v>0</v>
      </c>
      <c r="AU948" s="177">
        <f t="shared" si="3699"/>
        <v>0</v>
      </c>
      <c r="AV948" s="177">
        <f t="shared" si="3699"/>
        <v>0</v>
      </c>
      <c r="AW948" s="177">
        <f t="shared" si="3699"/>
        <v>0</v>
      </c>
      <c r="AX948" s="177">
        <f t="shared" si="3699"/>
        <v>0</v>
      </c>
      <c r="AY948" s="177">
        <f t="shared" si="3699"/>
        <v>0</v>
      </c>
      <c r="AZ948" s="177">
        <f t="shared" si="3699"/>
        <v>0</v>
      </c>
      <c r="BA948" s="177">
        <f t="shared" si="3699"/>
        <v>0</v>
      </c>
      <c r="BB948" s="177">
        <f t="shared" si="3699"/>
        <v>0</v>
      </c>
      <c r="BC948" s="177"/>
      <c r="BD948" s="178">
        <f>SUM(G948:BC948)</f>
        <v>0</v>
      </c>
    </row>
    <row r="949" spans="1:56" collapsed="1" x14ac:dyDescent="0.3">
      <c r="A949" s="214" t="str">
        <f ca="1">Language!A$955</f>
        <v>Итого: Здания и сооружения, с НДС</v>
      </c>
      <c r="C949" s="194" t="str">
        <f t="shared" ca="1" si="3687"/>
        <v>руб.</v>
      </c>
      <c r="D949" s="174">
        <v>1</v>
      </c>
      <c r="F949" s="170" t="s">
        <v>740</v>
      </c>
      <c r="G949" s="177">
        <f t="shared" ref="G949:K949" si="3700">G950+G955</f>
        <v>0</v>
      </c>
      <c r="H949" s="177">
        <f t="shared" si="3700"/>
        <v>0</v>
      </c>
      <c r="I949" s="177">
        <f t="shared" si="3700"/>
        <v>135000000</v>
      </c>
      <c r="J949" s="177">
        <f t="shared" si="3700"/>
        <v>17000000</v>
      </c>
      <c r="K949" s="177">
        <f t="shared" si="3700"/>
        <v>17000000</v>
      </c>
      <c r="L949" s="177">
        <f t="shared" ref="L949:M949" si="3701">L950+L955</f>
        <v>16000000</v>
      </c>
      <c r="M949" s="177">
        <f t="shared" si="3701"/>
        <v>10000000</v>
      </c>
      <c r="N949" s="177">
        <f t="shared" ref="N949:O949" si="3702">N950+N955</f>
        <v>10000000</v>
      </c>
      <c r="O949" s="177">
        <f t="shared" si="3702"/>
        <v>0</v>
      </c>
      <c r="P949" s="177">
        <f t="shared" ref="P949:Q949" si="3703">P950+P955</f>
        <v>0</v>
      </c>
      <c r="Q949" s="177">
        <f t="shared" si="3703"/>
        <v>0</v>
      </c>
      <c r="R949" s="177">
        <f t="shared" ref="R949:S949" si="3704">R950+R955</f>
        <v>0</v>
      </c>
      <c r="S949" s="177">
        <f t="shared" si="3704"/>
        <v>0</v>
      </c>
      <c r="T949" s="177">
        <f t="shared" ref="T949:U949" si="3705">T950+T955</f>
        <v>0</v>
      </c>
      <c r="U949" s="177">
        <f t="shared" si="3705"/>
        <v>0</v>
      </c>
      <c r="V949" s="177">
        <f t="shared" ref="V949:W949" si="3706">V950+V955</f>
        <v>0</v>
      </c>
      <c r="W949" s="177">
        <f t="shared" si="3706"/>
        <v>0</v>
      </c>
      <c r="X949" s="177">
        <f t="shared" ref="X949:Y949" si="3707">X950+X955</f>
        <v>0</v>
      </c>
      <c r="Y949" s="177">
        <f t="shared" si="3707"/>
        <v>0</v>
      </c>
      <c r="Z949" s="177">
        <f t="shared" ref="Z949:AA949" si="3708">Z950+Z955</f>
        <v>0</v>
      </c>
      <c r="AA949" s="177">
        <f t="shared" si="3708"/>
        <v>0</v>
      </c>
      <c r="AB949" s="177">
        <f t="shared" ref="AB949:AC949" si="3709">AB950+AB955</f>
        <v>0</v>
      </c>
      <c r="AC949" s="177">
        <f t="shared" si="3709"/>
        <v>0</v>
      </c>
      <c r="AD949" s="177">
        <f t="shared" ref="AD949:AE949" si="3710">AD950+AD955</f>
        <v>0</v>
      </c>
      <c r="AE949" s="177">
        <f t="shared" si="3710"/>
        <v>0</v>
      </c>
      <c r="AF949" s="177">
        <f t="shared" ref="AF949:AG949" si="3711">AF950+AF955</f>
        <v>0</v>
      </c>
      <c r="AG949" s="177">
        <f t="shared" si="3711"/>
        <v>0</v>
      </c>
      <c r="AH949" s="177">
        <f t="shared" ref="AH949:AI949" si="3712">AH950+AH955</f>
        <v>0</v>
      </c>
      <c r="AI949" s="177">
        <f t="shared" si="3712"/>
        <v>0</v>
      </c>
      <c r="AJ949" s="177">
        <f t="shared" ref="AJ949:AK949" si="3713">AJ950+AJ955</f>
        <v>0</v>
      </c>
      <c r="AK949" s="177">
        <f t="shared" si="3713"/>
        <v>0</v>
      </c>
      <c r="AL949" s="177">
        <f t="shared" ref="AL949:AM949" si="3714">AL950+AL955</f>
        <v>0</v>
      </c>
      <c r="AM949" s="177">
        <f t="shared" si="3714"/>
        <v>0</v>
      </c>
      <c r="AN949" s="177">
        <f t="shared" ref="AN949:AO949" si="3715">AN950+AN955</f>
        <v>0</v>
      </c>
      <c r="AO949" s="177">
        <f t="shared" si="3715"/>
        <v>0</v>
      </c>
      <c r="AP949" s="177">
        <f t="shared" ref="AP949:AQ949" si="3716">AP950+AP955</f>
        <v>0</v>
      </c>
      <c r="AQ949" s="177">
        <f t="shared" si="3716"/>
        <v>0</v>
      </c>
      <c r="AR949" s="177">
        <f t="shared" ref="AR949:AS949" si="3717">AR950+AR955</f>
        <v>0</v>
      </c>
      <c r="AS949" s="177">
        <f t="shared" si="3717"/>
        <v>0</v>
      </c>
      <c r="AT949" s="177">
        <f t="shared" ref="AT949:AU949" si="3718">AT950+AT955</f>
        <v>0</v>
      </c>
      <c r="AU949" s="177">
        <f t="shared" si="3718"/>
        <v>0</v>
      </c>
      <c r="AV949" s="177">
        <f t="shared" ref="AV949:AW949" si="3719">AV950+AV955</f>
        <v>0</v>
      </c>
      <c r="AW949" s="177">
        <f t="shared" si="3719"/>
        <v>0</v>
      </c>
      <c r="AX949" s="177">
        <f t="shared" ref="AX949:AY949" si="3720">AX950+AX955</f>
        <v>0</v>
      </c>
      <c r="AY949" s="177">
        <f t="shared" si="3720"/>
        <v>0</v>
      </c>
      <c r="AZ949" s="177">
        <f t="shared" ref="AZ949:BA949" si="3721">AZ950+AZ955</f>
        <v>0</v>
      </c>
      <c r="BA949" s="177">
        <f t="shared" si="3721"/>
        <v>0</v>
      </c>
      <c r="BB949" s="177">
        <f t="shared" ref="BB949" si="3722">BB950+BB955</f>
        <v>0</v>
      </c>
      <c r="BC949" s="177"/>
      <c r="BD949" s="178">
        <f>SUM(G949:BC949)</f>
        <v>205000000</v>
      </c>
    </row>
    <row r="950" spans="1:56" hidden="1" outlineLevel="1" x14ac:dyDescent="0.3">
      <c r="A950" s="175" t="str">
        <f ca="1">Language!A$956</f>
        <v>график оплаты (без НДС)</v>
      </c>
      <c r="C950" s="194" t="str">
        <f t="shared" ca="1" si="3687"/>
        <v>руб.</v>
      </c>
      <c r="D950" s="174">
        <v>1</v>
      </c>
      <c r="F950" s="170" t="s">
        <v>1052</v>
      </c>
      <c r="G950" s="177">
        <f t="shared" ref="G950:AL950" si="3723">SUM(G$758,G$784,G$810,G$836)</f>
        <v>0</v>
      </c>
      <c r="H950" s="177">
        <f t="shared" si="3723"/>
        <v>0</v>
      </c>
      <c r="I950" s="177">
        <f t="shared" si="3723"/>
        <v>135000000</v>
      </c>
      <c r="J950" s="177">
        <f t="shared" si="3723"/>
        <v>17000000</v>
      </c>
      <c r="K950" s="177">
        <f t="shared" si="3723"/>
        <v>17000000</v>
      </c>
      <c r="L950" s="177">
        <f t="shared" si="3723"/>
        <v>16000000</v>
      </c>
      <c r="M950" s="177">
        <f t="shared" si="3723"/>
        <v>10000000</v>
      </c>
      <c r="N950" s="177">
        <f t="shared" si="3723"/>
        <v>10000000</v>
      </c>
      <c r="O950" s="177">
        <f t="shared" si="3723"/>
        <v>0</v>
      </c>
      <c r="P950" s="177">
        <f t="shared" si="3723"/>
        <v>0</v>
      </c>
      <c r="Q950" s="177">
        <f t="shared" si="3723"/>
        <v>0</v>
      </c>
      <c r="R950" s="177">
        <f t="shared" si="3723"/>
        <v>0</v>
      </c>
      <c r="S950" s="177">
        <f t="shared" si="3723"/>
        <v>0</v>
      </c>
      <c r="T950" s="177">
        <f t="shared" si="3723"/>
        <v>0</v>
      </c>
      <c r="U950" s="177">
        <f t="shared" si="3723"/>
        <v>0</v>
      </c>
      <c r="V950" s="177">
        <f t="shared" si="3723"/>
        <v>0</v>
      </c>
      <c r="W950" s="177">
        <f t="shared" si="3723"/>
        <v>0</v>
      </c>
      <c r="X950" s="177">
        <f t="shared" si="3723"/>
        <v>0</v>
      </c>
      <c r="Y950" s="177">
        <f t="shared" si="3723"/>
        <v>0</v>
      </c>
      <c r="Z950" s="177">
        <f t="shared" si="3723"/>
        <v>0</v>
      </c>
      <c r="AA950" s="177">
        <f t="shared" si="3723"/>
        <v>0</v>
      </c>
      <c r="AB950" s="177">
        <f t="shared" si="3723"/>
        <v>0</v>
      </c>
      <c r="AC950" s="177">
        <f t="shared" si="3723"/>
        <v>0</v>
      </c>
      <c r="AD950" s="177">
        <f t="shared" si="3723"/>
        <v>0</v>
      </c>
      <c r="AE950" s="177">
        <f t="shared" si="3723"/>
        <v>0</v>
      </c>
      <c r="AF950" s="177">
        <f t="shared" si="3723"/>
        <v>0</v>
      </c>
      <c r="AG950" s="177">
        <f t="shared" si="3723"/>
        <v>0</v>
      </c>
      <c r="AH950" s="177">
        <f t="shared" si="3723"/>
        <v>0</v>
      </c>
      <c r="AI950" s="177">
        <f t="shared" si="3723"/>
        <v>0</v>
      </c>
      <c r="AJ950" s="177">
        <f t="shared" si="3723"/>
        <v>0</v>
      </c>
      <c r="AK950" s="177">
        <f t="shared" si="3723"/>
        <v>0</v>
      </c>
      <c r="AL950" s="177">
        <f t="shared" si="3723"/>
        <v>0</v>
      </c>
      <c r="AM950" s="177">
        <f t="shared" ref="AM950:BB950" si="3724">SUM(AM$758,AM$784,AM$810,AM$836)</f>
        <v>0</v>
      </c>
      <c r="AN950" s="177">
        <f t="shared" si="3724"/>
        <v>0</v>
      </c>
      <c r="AO950" s="177">
        <f t="shared" si="3724"/>
        <v>0</v>
      </c>
      <c r="AP950" s="177">
        <f t="shared" si="3724"/>
        <v>0</v>
      </c>
      <c r="AQ950" s="177">
        <f t="shared" si="3724"/>
        <v>0</v>
      </c>
      <c r="AR950" s="177">
        <f t="shared" si="3724"/>
        <v>0</v>
      </c>
      <c r="AS950" s="177">
        <f t="shared" si="3724"/>
        <v>0</v>
      </c>
      <c r="AT950" s="177">
        <f t="shared" si="3724"/>
        <v>0</v>
      </c>
      <c r="AU950" s="177">
        <f t="shared" si="3724"/>
        <v>0</v>
      </c>
      <c r="AV950" s="177">
        <f t="shared" si="3724"/>
        <v>0</v>
      </c>
      <c r="AW950" s="177">
        <f t="shared" si="3724"/>
        <v>0</v>
      </c>
      <c r="AX950" s="177">
        <f t="shared" si="3724"/>
        <v>0</v>
      </c>
      <c r="AY950" s="177">
        <f t="shared" si="3724"/>
        <v>0</v>
      </c>
      <c r="AZ950" s="177">
        <f t="shared" si="3724"/>
        <v>0</v>
      </c>
      <c r="BA950" s="177">
        <f t="shared" si="3724"/>
        <v>0</v>
      </c>
      <c r="BB950" s="177">
        <f t="shared" si="3724"/>
        <v>0</v>
      </c>
      <c r="BC950" s="177"/>
      <c r="BD950" s="178">
        <f>SUM(G950:BC950)</f>
        <v>205000000</v>
      </c>
    </row>
    <row r="951" spans="1:56" hidden="1" outlineLevel="1" x14ac:dyDescent="0.3">
      <c r="A951" s="175" t="str">
        <f ca="1">Language!A$957</f>
        <v>незавершенные инвестиции</v>
      </c>
      <c r="C951" s="194" t="str">
        <f t="shared" ca="1" si="3687"/>
        <v>руб.</v>
      </c>
      <c r="D951" s="174">
        <v>1</v>
      </c>
      <c r="F951" s="170" t="s">
        <v>1053</v>
      </c>
      <c r="G951" s="177">
        <f t="shared" ref="G951:AL951" si="3725">SUM(G$763,G$789,G$815,G$841)</f>
        <v>0</v>
      </c>
      <c r="H951" s="177">
        <f t="shared" si="3725"/>
        <v>0</v>
      </c>
      <c r="I951" s="177">
        <f t="shared" si="3725"/>
        <v>135000000</v>
      </c>
      <c r="J951" s="177">
        <f t="shared" si="3725"/>
        <v>152000000</v>
      </c>
      <c r="K951" s="177">
        <f t="shared" si="3725"/>
        <v>169000000</v>
      </c>
      <c r="L951" s="177">
        <f t="shared" si="3725"/>
        <v>185000000</v>
      </c>
      <c r="M951" s="177">
        <f t="shared" si="3725"/>
        <v>0</v>
      </c>
      <c r="N951" s="177">
        <f t="shared" si="3725"/>
        <v>0</v>
      </c>
      <c r="O951" s="177">
        <f t="shared" si="3725"/>
        <v>0</v>
      </c>
      <c r="P951" s="177">
        <f t="shared" si="3725"/>
        <v>0</v>
      </c>
      <c r="Q951" s="177">
        <f t="shared" si="3725"/>
        <v>0</v>
      </c>
      <c r="R951" s="177">
        <f t="shared" si="3725"/>
        <v>0</v>
      </c>
      <c r="S951" s="177">
        <f t="shared" si="3725"/>
        <v>0</v>
      </c>
      <c r="T951" s="177">
        <f t="shared" si="3725"/>
        <v>0</v>
      </c>
      <c r="U951" s="177">
        <f t="shared" si="3725"/>
        <v>0</v>
      </c>
      <c r="V951" s="177">
        <f t="shared" si="3725"/>
        <v>0</v>
      </c>
      <c r="W951" s="177">
        <f t="shared" si="3725"/>
        <v>0</v>
      </c>
      <c r="X951" s="177">
        <f t="shared" si="3725"/>
        <v>0</v>
      </c>
      <c r="Y951" s="177">
        <f t="shared" si="3725"/>
        <v>0</v>
      </c>
      <c r="Z951" s="177">
        <f t="shared" si="3725"/>
        <v>0</v>
      </c>
      <c r="AA951" s="177">
        <f t="shared" si="3725"/>
        <v>0</v>
      </c>
      <c r="AB951" s="177">
        <f t="shared" si="3725"/>
        <v>0</v>
      </c>
      <c r="AC951" s="177">
        <f t="shared" si="3725"/>
        <v>0</v>
      </c>
      <c r="AD951" s="177">
        <f t="shared" si="3725"/>
        <v>0</v>
      </c>
      <c r="AE951" s="177">
        <f t="shared" si="3725"/>
        <v>0</v>
      </c>
      <c r="AF951" s="177">
        <f t="shared" si="3725"/>
        <v>0</v>
      </c>
      <c r="AG951" s="177">
        <f t="shared" si="3725"/>
        <v>0</v>
      </c>
      <c r="AH951" s="177">
        <f t="shared" si="3725"/>
        <v>0</v>
      </c>
      <c r="AI951" s="177">
        <f t="shared" si="3725"/>
        <v>0</v>
      </c>
      <c r="AJ951" s="177">
        <f t="shared" si="3725"/>
        <v>0</v>
      </c>
      <c r="AK951" s="177">
        <f t="shared" si="3725"/>
        <v>0</v>
      </c>
      <c r="AL951" s="177">
        <f t="shared" si="3725"/>
        <v>0</v>
      </c>
      <c r="AM951" s="177">
        <f t="shared" ref="AM951:BB951" si="3726">SUM(AM$763,AM$789,AM$815,AM$841)</f>
        <v>0</v>
      </c>
      <c r="AN951" s="177">
        <f t="shared" si="3726"/>
        <v>0</v>
      </c>
      <c r="AO951" s="177">
        <f t="shared" si="3726"/>
        <v>0</v>
      </c>
      <c r="AP951" s="177">
        <f t="shared" si="3726"/>
        <v>0</v>
      </c>
      <c r="AQ951" s="177">
        <f t="shared" si="3726"/>
        <v>0</v>
      </c>
      <c r="AR951" s="177">
        <f t="shared" si="3726"/>
        <v>0</v>
      </c>
      <c r="AS951" s="177">
        <f t="shared" si="3726"/>
        <v>0</v>
      </c>
      <c r="AT951" s="177">
        <f t="shared" si="3726"/>
        <v>0</v>
      </c>
      <c r="AU951" s="177">
        <f t="shared" si="3726"/>
        <v>0</v>
      </c>
      <c r="AV951" s="177">
        <f t="shared" si="3726"/>
        <v>0</v>
      </c>
      <c r="AW951" s="177">
        <f t="shared" si="3726"/>
        <v>0</v>
      </c>
      <c r="AX951" s="177">
        <f t="shared" si="3726"/>
        <v>0</v>
      </c>
      <c r="AY951" s="177">
        <f t="shared" si="3726"/>
        <v>0</v>
      </c>
      <c r="AZ951" s="177">
        <f t="shared" si="3726"/>
        <v>0</v>
      </c>
      <c r="BA951" s="177">
        <f t="shared" si="3726"/>
        <v>0</v>
      </c>
      <c r="BB951" s="177">
        <f t="shared" si="3726"/>
        <v>0</v>
      </c>
      <c r="BC951" s="177"/>
      <c r="BD951" s="178"/>
    </row>
    <row r="952" spans="1:56" hidden="1" outlineLevel="1" x14ac:dyDescent="0.3">
      <c r="A952" s="175" t="str">
        <f ca="1">Language!A$958</f>
        <v>кредиторская задолженность</v>
      </c>
      <c r="C952" s="194" t="str">
        <f t="shared" ca="1" si="3687"/>
        <v>руб.</v>
      </c>
      <c r="D952" s="174">
        <v>1</v>
      </c>
      <c r="F952" s="170" t="s">
        <v>1054</v>
      </c>
      <c r="G952" s="177">
        <f t="shared" ref="G952:AL952" si="3727">SUM(G$764,G$790,G$816,G$842)</f>
        <v>0</v>
      </c>
      <c r="H952" s="177">
        <f t="shared" si="3727"/>
        <v>0</v>
      </c>
      <c r="I952" s="177">
        <f t="shared" si="3727"/>
        <v>0</v>
      </c>
      <c r="J952" s="177">
        <f t="shared" si="3727"/>
        <v>0</v>
      </c>
      <c r="K952" s="177">
        <f t="shared" si="3727"/>
        <v>0</v>
      </c>
      <c r="L952" s="177">
        <f t="shared" si="3727"/>
        <v>0</v>
      </c>
      <c r="M952" s="177">
        <f t="shared" si="3727"/>
        <v>10000000</v>
      </c>
      <c r="N952" s="177">
        <f t="shared" si="3727"/>
        <v>0</v>
      </c>
      <c r="O952" s="177">
        <f t="shared" si="3727"/>
        <v>0</v>
      </c>
      <c r="P952" s="177">
        <f t="shared" si="3727"/>
        <v>0</v>
      </c>
      <c r="Q952" s="177">
        <f t="shared" si="3727"/>
        <v>0</v>
      </c>
      <c r="R952" s="177">
        <f t="shared" si="3727"/>
        <v>0</v>
      </c>
      <c r="S952" s="177">
        <f t="shared" si="3727"/>
        <v>0</v>
      </c>
      <c r="T952" s="177">
        <f t="shared" si="3727"/>
        <v>0</v>
      </c>
      <c r="U952" s="177">
        <f t="shared" si="3727"/>
        <v>0</v>
      </c>
      <c r="V952" s="177">
        <f t="shared" si="3727"/>
        <v>0</v>
      </c>
      <c r="W952" s="177">
        <f t="shared" si="3727"/>
        <v>0</v>
      </c>
      <c r="X952" s="177">
        <f t="shared" si="3727"/>
        <v>0</v>
      </c>
      <c r="Y952" s="177">
        <f t="shared" si="3727"/>
        <v>0</v>
      </c>
      <c r="Z952" s="177">
        <f t="shared" si="3727"/>
        <v>0</v>
      </c>
      <c r="AA952" s="177">
        <f t="shared" si="3727"/>
        <v>0</v>
      </c>
      <c r="AB952" s="177">
        <f t="shared" si="3727"/>
        <v>0</v>
      </c>
      <c r="AC952" s="177">
        <f t="shared" si="3727"/>
        <v>0</v>
      </c>
      <c r="AD952" s="177">
        <f t="shared" si="3727"/>
        <v>0</v>
      </c>
      <c r="AE952" s="177">
        <f t="shared" si="3727"/>
        <v>0</v>
      </c>
      <c r="AF952" s="177">
        <f t="shared" si="3727"/>
        <v>0</v>
      </c>
      <c r="AG952" s="177">
        <f t="shared" si="3727"/>
        <v>0</v>
      </c>
      <c r="AH952" s="177">
        <f t="shared" si="3727"/>
        <v>0</v>
      </c>
      <c r="AI952" s="177">
        <f t="shared" si="3727"/>
        <v>0</v>
      </c>
      <c r="AJ952" s="177">
        <f t="shared" si="3727"/>
        <v>0</v>
      </c>
      <c r="AK952" s="177">
        <f t="shared" si="3727"/>
        <v>0</v>
      </c>
      <c r="AL952" s="177">
        <f t="shared" si="3727"/>
        <v>0</v>
      </c>
      <c r="AM952" s="177">
        <f t="shared" ref="AM952:BB952" si="3728">SUM(AM$764,AM$790,AM$816,AM$842)</f>
        <v>0</v>
      </c>
      <c r="AN952" s="177">
        <f t="shared" si="3728"/>
        <v>0</v>
      </c>
      <c r="AO952" s="177">
        <f t="shared" si="3728"/>
        <v>0</v>
      </c>
      <c r="AP952" s="177">
        <f t="shared" si="3728"/>
        <v>0</v>
      </c>
      <c r="AQ952" s="177">
        <f t="shared" si="3728"/>
        <v>0</v>
      </c>
      <c r="AR952" s="177">
        <f t="shared" si="3728"/>
        <v>0</v>
      </c>
      <c r="AS952" s="177">
        <f t="shared" si="3728"/>
        <v>0</v>
      </c>
      <c r="AT952" s="177">
        <f t="shared" si="3728"/>
        <v>0</v>
      </c>
      <c r="AU952" s="177">
        <f t="shared" si="3728"/>
        <v>0</v>
      </c>
      <c r="AV952" s="177">
        <f t="shared" si="3728"/>
        <v>0</v>
      </c>
      <c r="AW952" s="177">
        <f t="shared" si="3728"/>
        <v>0</v>
      </c>
      <c r="AX952" s="177">
        <f t="shared" si="3728"/>
        <v>0</v>
      </c>
      <c r="AY952" s="177">
        <f t="shared" si="3728"/>
        <v>0</v>
      </c>
      <c r="AZ952" s="177">
        <f t="shared" si="3728"/>
        <v>0</v>
      </c>
      <c r="BA952" s="177">
        <f t="shared" si="3728"/>
        <v>0</v>
      </c>
      <c r="BB952" s="177">
        <f t="shared" si="3728"/>
        <v>0</v>
      </c>
      <c r="BC952" s="177"/>
      <c r="BD952" s="178"/>
    </row>
    <row r="953" spans="1:56" hidden="1" outlineLevel="1" x14ac:dyDescent="0.3">
      <c r="A953" s="175" t="str">
        <f ca="1">Language!A$959</f>
        <v>амортизация (бухгалтерская)</v>
      </c>
      <c r="C953" s="194" t="str">
        <f t="shared" ca="1" si="3687"/>
        <v>руб.</v>
      </c>
      <c r="D953" s="174">
        <v>1</v>
      </c>
      <c r="F953" s="170" t="s">
        <v>1055</v>
      </c>
      <c r="G953" s="177">
        <f t="shared" ref="G953:AL953" ca="1" si="3729">SUM(G$766,G$792,G$818,G$844)</f>
        <v>0</v>
      </c>
      <c r="H953" s="177">
        <f t="shared" ca="1" si="3729"/>
        <v>0</v>
      </c>
      <c r="I953" s="177">
        <f t="shared" ca="1" si="3729"/>
        <v>0</v>
      </c>
      <c r="J953" s="177">
        <f t="shared" ca="1" si="3729"/>
        <v>0</v>
      </c>
      <c r="K953" s="177">
        <f t="shared" ca="1" si="3729"/>
        <v>0</v>
      </c>
      <c r="L953" s="177">
        <f t="shared" ca="1" si="3729"/>
        <v>0</v>
      </c>
      <c r="M953" s="177">
        <f t="shared" ca="1" si="3729"/>
        <v>569444.44444444438</v>
      </c>
      <c r="N953" s="177">
        <f t="shared" ca="1" si="3729"/>
        <v>569444.44444444438</v>
      </c>
      <c r="O953" s="177">
        <f t="shared" ca="1" si="3729"/>
        <v>569444.44444444438</v>
      </c>
      <c r="P953" s="177">
        <f t="shared" ca="1" si="3729"/>
        <v>569444.44444444438</v>
      </c>
      <c r="Q953" s="177">
        <f t="shared" ca="1" si="3729"/>
        <v>569444.44444444438</v>
      </c>
      <c r="R953" s="177">
        <f t="shared" ca="1" si="3729"/>
        <v>569444.44444444438</v>
      </c>
      <c r="S953" s="177">
        <f t="shared" ca="1" si="3729"/>
        <v>569444.44444444438</v>
      </c>
      <c r="T953" s="177">
        <f t="shared" ca="1" si="3729"/>
        <v>569444.44444444438</v>
      </c>
      <c r="U953" s="177">
        <f t="shared" ca="1" si="3729"/>
        <v>569444.44444444438</v>
      </c>
      <c r="V953" s="177">
        <f t="shared" ca="1" si="3729"/>
        <v>569444.44444444438</v>
      </c>
      <c r="W953" s="177">
        <f t="shared" ca="1" si="3729"/>
        <v>569444.44444444438</v>
      </c>
      <c r="X953" s="177">
        <f t="shared" ca="1" si="3729"/>
        <v>569444.44444444438</v>
      </c>
      <c r="Y953" s="177">
        <f t="shared" ca="1" si="3729"/>
        <v>569444.44444444438</v>
      </c>
      <c r="Z953" s="177">
        <f t="shared" ca="1" si="3729"/>
        <v>569444.44444444438</v>
      </c>
      <c r="AA953" s="177">
        <f t="shared" ca="1" si="3729"/>
        <v>569444.44444444438</v>
      </c>
      <c r="AB953" s="177">
        <f t="shared" ca="1" si="3729"/>
        <v>569444.44444444438</v>
      </c>
      <c r="AC953" s="177">
        <f t="shared" ca="1" si="3729"/>
        <v>569444.44444444438</v>
      </c>
      <c r="AD953" s="177">
        <f t="shared" ca="1" si="3729"/>
        <v>569444.44444444438</v>
      </c>
      <c r="AE953" s="177">
        <f t="shared" ca="1" si="3729"/>
        <v>569444.44444444438</v>
      </c>
      <c r="AF953" s="177">
        <f t="shared" ca="1" si="3729"/>
        <v>569444.44444444438</v>
      </c>
      <c r="AG953" s="177">
        <f t="shared" ca="1" si="3729"/>
        <v>569444.44444444438</v>
      </c>
      <c r="AH953" s="177">
        <f t="shared" ca="1" si="3729"/>
        <v>569444.44444444438</v>
      </c>
      <c r="AI953" s="177">
        <f t="shared" ca="1" si="3729"/>
        <v>569444.44444444438</v>
      </c>
      <c r="AJ953" s="177">
        <f t="shared" ca="1" si="3729"/>
        <v>569444.44444444438</v>
      </c>
      <c r="AK953" s="177">
        <f t="shared" ca="1" si="3729"/>
        <v>569444.44444444438</v>
      </c>
      <c r="AL953" s="177">
        <f t="shared" ca="1" si="3729"/>
        <v>569444.44444444438</v>
      </c>
      <c r="AM953" s="177">
        <f t="shared" ref="AM953:BB953" ca="1" si="3730">SUM(AM$766,AM$792,AM$818,AM$844)</f>
        <v>569444.44444444438</v>
      </c>
      <c r="AN953" s="177">
        <f t="shared" ca="1" si="3730"/>
        <v>569444.44444444438</v>
      </c>
      <c r="AO953" s="177">
        <f t="shared" ca="1" si="3730"/>
        <v>569444.44444444438</v>
      </c>
      <c r="AP953" s="177">
        <f t="shared" ca="1" si="3730"/>
        <v>569444.44444444438</v>
      </c>
      <c r="AQ953" s="177">
        <f t="shared" ca="1" si="3730"/>
        <v>569444.44444444438</v>
      </c>
      <c r="AR953" s="177">
        <f t="shared" ca="1" si="3730"/>
        <v>569444.44444444438</v>
      </c>
      <c r="AS953" s="177">
        <f t="shared" ca="1" si="3730"/>
        <v>569444.44444444438</v>
      </c>
      <c r="AT953" s="177">
        <f t="shared" ca="1" si="3730"/>
        <v>569444.44444444438</v>
      </c>
      <c r="AU953" s="177">
        <f t="shared" ca="1" si="3730"/>
        <v>569444.44444444438</v>
      </c>
      <c r="AV953" s="177">
        <f t="shared" ca="1" si="3730"/>
        <v>569444.44444444438</v>
      </c>
      <c r="AW953" s="177">
        <f t="shared" ca="1" si="3730"/>
        <v>569444.44444444438</v>
      </c>
      <c r="AX953" s="177">
        <f t="shared" ca="1" si="3730"/>
        <v>569444.44444444438</v>
      </c>
      <c r="AY953" s="177">
        <f t="shared" ca="1" si="3730"/>
        <v>569444.44444444438</v>
      </c>
      <c r="AZ953" s="177">
        <f t="shared" ca="1" si="3730"/>
        <v>569444.44444444438</v>
      </c>
      <c r="BA953" s="177">
        <f t="shared" ca="1" si="3730"/>
        <v>569444.44444444438</v>
      </c>
      <c r="BB953" s="177">
        <f t="shared" ca="1" si="3730"/>
        <v>569444.44444444438</v>
      </c>
      <c r="BC953" s="177"/>
      <c r="BD953" s="178">
        <f ca="1">SUM(G953:BC953)</f>
        <v>23916666.666666653</v>
      </c>
    </row>
    <row r="954" spans="1:56" hidden="1" outlineLevel="1" x14ac:dyDescent="0.3">
      <c r="A954" s="175" t="str">
        <f ca="1">Language!A$960</f>
        <v>балансовая стоимость (бухгалтерская)</v>
      </c>
      <c r="C954" s="194" t="str">
        <f t="shared" ca="1" si="3687"/>
        <v>руб.</v>
      </c>
      <c r="D954" s="174">
        <v>1</v>
      </c>
      <c r="F954" s="170" t="s">
        <v>1056</v>
      </c>
      <c r="G954" s="177">
        <f t="shared" ref="G954:AL954" ca="1" si="3731">SUM(G$767,G$793,G$819,G$845)</f>
        <v>0</v>
      </c>
      <c r="H954" s="177">
        <f t="shared" ca="1" si="3731"/>
        <v>0</v>
      </c>
      <c r="I954" s="177">
        <f t="shared" ca="1" si="3731"/>
        <v>0</v>
      </c>
      <c r="J954" s="177">
        <f t="shared" ca="1" si="3731"/>
        <v>0</v>
      </c>
      <c r="K954" s="177">
        <f t="shared" ca="1" si="3731"/>
        <v>0</v>
      </c>
      <c r="L954" s="177">
        <f t="shared" ca="1" si="3731"/>
        <v>0</v>
      </c>
      <c r="M954" s="177">
        <f t="shared" ca="1" si="3731"/>
        <v>204430555.55555555</v>
      </c>
      <c r="N954" s="177">
        <f t="shared" ca="1" si="3731"/>
        <v>203861111.1111111</v>
      </c>
      <c r="O954" s="177">
        <f t="shared" ca="1" si="3731"/>
        <v>203291666.66666669</v>
      </c>
      <c r="P954" s="177">
        <f t="shared" ca="1" si="3731"/>
        <v>202722222.22222227</v>
      </c>
      <c r="Q954" s="177">
        <f t="shared" ca="1" si="3731"/>
        <v>202152777.77777773</v>
      </c>
      <c r="R954" s="177">
        <f t="shared" ca="1" si="3731"/>
        <v>201583333.33333331</v>
      </c>
      <c r="S954" s="177">
        <f t="shared" ca="1" si="3731"/>
        <v>201013888.8888889</v>
      </c>
      <c r="T954" s="177">
        <f t="shared" ca="1" si="3731"/>
        <v>200444444.44444445</v>
      </c>
      <c r="U954" s="177">
        <f t="shared" ca="1" si="3731"/>
        <v>199875000</v>
      </c>
      <c r="V954" s="177">
        <f t="shared" ca="1" si="3731"/>
        <v>199305555.55555555</v>
      </c>
      <c r="W954" s="177">
        <f t="shared" ca="1" si="3731"/>
        <v>198736111.1111111</v>
      </c>
      <c r="X954" s="177">
        <f t="shared" ca="1" si="3731"/>
        <v>198166666.66666669</v>
      </c>
      <c r="Y954" s="177">
        <f t="shared" ca="1" si="3731"/>
        <v>197597222.22222221</v>
      </c>
      <c r="Z954" s="177">
        <f t="shared" ca="1" si="3731"/>
        <v>197027777.77777773</v>
      </c>
      <c r="AA954" s="177">
        <f t="shared" ca="1" si="3731"/>
        <v>196458333.33333331</v>
      </c>
      <c r="AB954" s="177">
        <f t="shared" ca="1" si="3731"/>
        <v>195888888.8888889</v>
      </c>
      <c r="AC954" s="177">
        <f t="shared" ca="1" si="3731"/>
        <v>195319444.44444445</v>
      </c>
      <c r="AD954" s="177">
        <f t="shared" ca="1" si="3731"/>
        <v>194750000</v>
      </c>
      <c r="AE954" s="177">
        <f t="shared" ca="1" si="3731"/>
        <v>194180555.55555555</v>
      </c>
      <c r="AF954" s="177">
        <f t="shared" ca="1" si="3731"/>
        <v>193611111.1111111</v>
      </c>
      <c r="AG954" s="177">
        <f t="shared" ca="1" si="3731"/>
        <v>193041666.66666666</v>
      </c>
      <c r="AH954" s="177">
        <f t="shared" ca="1" si="3731"/>
        <v>192472222.22222224</v>
      </c>
      <c r="AI954" s="177">
        <f t="shared" ca="1" si="3731"/>
        <v>191902777.77777779</v>
      </c>
      <c r="AJ954" s="177">
        <f t="shared" ca="1" si="3731"/>
        <v>191333333.33333331</v>
      </c>
      <c r="AK954" s="177">
        <f t="shared" ca="1" si="3731"/>
        <v>190763888.8888889</v>
      </c>
      <c r="AL954" s="177">
        <f t="shared" ca="1" si="3731"/>
        <v>190194444.44444445</v>
      </c>
      <c r="AM954" s="177">
        <f t="shared" ref="AM954:BB954" ca="1" si="3732">SUM(AM$767,AM$793,AM$819,AM$845)</f>
        <v>189625000</v>
      </c>
      <c r="AN954" s="177">
        <f t="shared" ca="1" si="3732"/>
        <v>189055555.55555555</v>
      </c>
      <c r="AO954" s="177">
        <f t="shared" ca="1" si="3732"/>
        <v>188486111.1111111</v>
      </c>
      <c r="AP954" s="177">
        <f t="shared" ca="1" si="3732"/>
        <v>187916666.66666666</v>
      </c>
      <c r="AQ954" s="177">
        <f t="shared" ca="1" si="3732"/>
        <v>187347222.22222224</v>
      </c>
      <c r="AR954" s="177">
        <f t="shared" ca="1" si="3732"/>
        <v>186777777.77777779</v>
      </c>
      <c r="AS954" s="177">
        <f t="shared" ca="1" si="3732"/>
        <v>186208333.33333331</v>
      </c>
      <c r="AT954" s="177">
        <f t="shared" ca="1" si="3732"/>
        <v>185638888.8888889</v>
      </c>
      <c r="AU954" s="177">
        <f t="shared" ca="1" si="3732"/>
        <v>185069444.44444445</v>
      </c>
      <c r="AV954" s="177">
        <f t="shared" ca="1" si="3732"/>
        <v>184500000</v>
      </c>
      <c r="AW954" s="177">
        <f t="shared" ca="1" si="3732"/>
        <v>183930555.55555555</v>
      </c>
      <c r="AX954" s="177">
        <f t="shared" ca="1" si="3732"/>
        <v>183361111.1111111</v>
      </c>
      <c r="AY954" s="177">
        <f t="shared" ca="1" si="3732"/>
        <v>182791666.66666669</v>
      </c>
      <c r="AZ954" s="177">
        <f t="shared" ca="1" si="3732"/>
        <v>182222222.22222221</v>
      </c>
      <c r="BA954" s="177">
        <f t="shared" ca="1" si="3732"/>
        <v>181652777.77777779</v>
      </c>
      <c r="BB954" s="177">
        <f t="shared" ca="1" si="3732"/>
        <v>181083333.33333331</v>
      </c>
      <c r="BC954" s="177"/>
      <c r="BD954" s="178"/>
    </row>
    <row r="955" spans="1:56" hidden="1" outlineLevel="1" x14ac:dyDescent="0.3">
      <c r="A955" s="175" t="str">
        <f ca="1">Language!A$961</f>
        <v>выплаченный НДС</v>
      </c>
      <c r="C955" s="194" t="str">
        <f t="shared" ca="1" si="3687"/>
        <v>руб.</v>
      </c>
      <c r="D955" s="174">
        <v>1</v>
      </c>
      <c r="F955" s="170" t="s">
        <v>1057</v>
      </c>
      <c r="G955" s="177">
        <f t="shared" ref="G955:AL955" si="3733">SUM(G$768,G$794,G$820,G$846)</f>
        <v>0</v>
      </c>
      <c r="H955" s="177">
        <f t="shared" si="3733"/>
        <v>0</v>
      </c>
      <c r="I955" s="177">
        <f t="shared" si="3733"/>
        <v>0</v>
      </c>
      <c r="J955" s="177">
        <f t="shared" si="3733"/>
        <v>0</v>
      </c>
      <c r="K955" s="177">
        <f t="shared" si="3733"/>
        <v>0</v>
      </c>
      <c r="L955" s="177">
        <f t="shared" si="3733"/>
        <v>0</v>
      </c>
      <c r="M955" s="177">
        <f t="shared" si="3733"/>
        <v>0</v>
      </c>
      <c r="N955" s="177">
        <f t="shared" si="3733"/>
        <v>0</v>
      </c>
      <c r="O955" s="177">
        <f t="shared" si="3733"/>
        <v>0</v>
      </c>
      <c r="P955" s="177">
        <f t="shared" si="3733"/>
        <v>0</v>
      </c>
      <c r="Q955" s="177">
        <f t="shared" si="3733"/>
        <v>0</v>
      </c>
      <c r="R955" s="177">
        <f t="shared" si="3733"/>
        <v>0</v>
      </c>
      <c r="S955" s="177">
        <f t="shared" si="3733"/>
        <v>0</v>
      </c>
      <c r="T955" s="177">
        <f t="shared" si="3733"/>
        <v>0</v>
      </c>
      <c r="U955" s="177">
        <f t="shared" si="3733"/>
        <v>0</v>
      </c>
      <c r="V955" s="177">
        <f t="shared" si="3733"/>
        <v>0</v>
      </c>
      <c r="W955" s="177">
        <f t="shared" si="3733"/>
        <v>0</v>
      </c>
      <c r="X955" s="177">
        <f t="shared" si="3733"/>
        <v>0</v>
      </c>
      <c r="Y955" s="177">
        <f t="shared" si="3733"/>
        <v>0</v>
      </c>
      <c r="Z955" s="177">
        <f t="shared" si="3733"/>
        <v>0</v>
      </c>
      <c r="AA955" s="177">
        <f t="shared" si="3733"/>
        <v>0</v>
      </c>
      <c r="AB955" s="177">
        <f t="shared" si="3733"/>
        <v>0</v>
      </c>
      <c r="AC955" s="177">
        <f t="shared" si="3733"/>
        <v>0</v>
      </c>
      <c r="AD955" s="177">
        <f t="shared" si="3733"/>
        <v>0</v>
      </c>
      <c r="AE955" s="177">
        <f t="shared" si="3733"/>
        <v>0</v>
      </c>
      <c r="AF955" s="177">
        <f t="shared" si="3733"/>
        <v>0</v>
      </c>
      <c r="AG955" s="177">
        <f t="shared" si="3733"/>
        <v>0</v>
      </c>
      <c r="AH955" s="177">
        <f t="shared" si="3733"/>
        <v>0</v>
      </c>
      <c r="AI955" s="177">
        <f t="shared" si="3733"/>
        <v>0</v>
      </c>
      <c r="AJ955" s="177">
        <f t="shared" si="3733"/>
        <v>0</v>
      </c>
      <c r="AK955" s="177">
        <f t="shared" si="3733"/>
        <v>0</v>
      </c>
      <c r="AL955" s="177">
        <f t="shared" si="3733"/>
        <v>0</v>
      </c>
      <c r="AM955" s="177">
        <f t="shared" ref="AM955:BB955" si="3734">SUM(AM$768,AM$794,AM$820,AM$846)</f>
        <v>0</v>
      </c>
      <c r="AN955" s="177">
        <f t="shared" si="3734"/>
        <v>0</v>
      </c>
      <c r="AO955" s="177">
        <f t="shared" si="3734"/>
        <v>0</v>
      </c>
      <c r="AP955" s="177">
        <f t="shared" si="3734"/>
        <v>0</v>
      </c>
      <c r="AQ955" s="177">
        <f t="shared" si="3734"/>
        <v>0</v>
      </c>
      <c r="AR955" s="177">
        <f t="shared" si="3734"/>
        <v>0</v>
      </c>
      <c r="AS955" s="177">
        <f t="shared" si="3734"/>
        <v>0</v>
      </c>
      <c r="AT955" s="177">
        <f t="shared" si="3734"/>
        <v>0</v>
      </c>
      <c r="AU955" s="177">
        <f t="shared" si="3734"/>
        <v>0</v>
      </c>
      <c r="AV955" s="177">
        <f t="shared" si="3734"/>
        <v>0</v>
      </c>
      <c r="AW955" s="177">
        <f t="shared" si="3734"/>
        <v>0</v>
      </c>
      <c r="AX955" s="177">
        <f t="shared" si="3734"/>
        <v>0</v>
      </c>
      <c r="AY955" s="177">
        <f t="shared" si="3734"/>
        <v>0</v>
      </c>
      <c r="AZ955" s="177">
        <f t="shared" si="3734"/>
        <v>0</v>
      </c>
      <c r="BA955" s="177">
        <f t="shared" si="3734"/>
        <v>0</v>
      </c>
      <c r="BB955" s="177">
        <f t="shared" si="3734"/>
        <v>0</v>
      </c>
      <c r="BC955" s="177"/>
      <c r="BD955" s="178">
        <f>SUM(G955:BC955)</f>
        <v>0</v>
      </c>
    </row>
    <row r="956" spans="1:56" hidden="1" outlineLevel="1" x14ac:dyDescent="0.3">
      <c r="A956" s="175" t="str">
        <f ca="1">Language!A$962</f>
        <v>зачтенный НДС</v>
      </c>
      <c r="C956" s="194" t="str">
        <f t="shared" ca="1" si="3687"/>
        <v>руб.</v>
      </c>
      <c r="D956" s="174">
        <v>1</v>
      </c>
      <c r="F956" s="170" t="s">
        <v>1058</v>
      </c>
      <c r="G956" s="177">
        <f t="shared" ref="G956:AL956" si="3735">SUM(G$769,G$795,G$821,G$847)</f>
        <v>0</v>
      </c>
      <c r="H956" s="177">
        <f t="shared" si="3735"/>
        <v>0</v>
      </c>
      <c r="I956" s="177">
        <f t="shared" si="3735"/>
        <v>0</v>
      </c>
      <c r="J956" s="177">
        <f t="shared" si="3735"/>
        <v>0</v>
      </c>
      <c r="K956" s="177">
        <f t="shared" si="3735"/>
        <v>0</v>
      </c>
      <c r="L956" s="177">
        <f t="shared" si="3735"/>
        <v>0</v>
      </c>
      <c r="M956" s="177">
        <f t="shared" si="3735"/>
        <v>0</v>
      </c>
      <c r="N956" s="177">
        <f t="shared" si="3735"/>
        <v>0</v>
      </c>
      <c r="O956" s="177">
        <f t="shared" si="3735"/>
        <v>0</v>
      </c>
      <c r="P956" s="177">
        <f t="shared" si="3735"/>
        <v>0</v>
      </c>
      <c r="Q956" s="177">
        <f t="shared" si="3735"/>
        <v>0</v>
      </c>
      <c r="R956" s="177">
        <f t="shared" si="3735"/>
        <v>0</v>
      </c>
      <c r="S956" s="177">
        <f t="shared" si="3735"/>
        <v>0</v>
      </c>
      <c r="T956" s="177">
        <f t="shared" si="3735"/>
        <v>0</v>
      </c>
      <c r="U956" s="177">
        <f t="shared" si="3735"/>
        <v>0</v>
      </c>
      <c r="V956" s="177">
        <f t="shared" si="3735"/>
        <v>0</v>
      </c>
      <c r="W956" s="177">
        <f t="shared" si="3735"/>
        <v>0</v>
      </c>
      <c r="X956" s="177">
        <f t="shared" si="3735"/>
        <v>0</v>
      </c>
      <c r="Y956" s="177">
        <f t="shared" si="3735"/>
        <v>0</v>
      </c>
      <c r="Z956" s="177">
        <f t="shared" si="3735"/>
        <v>0</v>
      </c>
      <c r="AA956" s="177">
        <f t="shared" si="3735"/>
        <v>0</v>
      </c>
      <c r="AB956" s="177">
        <f t="shared" si="3735"/>
        <v>0</v>
      </c>
      <c r="AC956" s="177">
        <f t="shared" si="3735"/>
        <v>0</v>
      </c>
      <c r="AD956" s="177">
        <f t="shared" si="3735"/>
        <v>0</v>
      </c>
      <c r="AE956" s="177">
        <f t="shared" si="3735"/>
        <v>0</v>
      </c>
      <c r="AF956" s="177">
        <f t="shared" si="3735"/>
        <v>0</v>
      </c>
      <c r="AG956" s="177">
        <f t="shared" si="3735"/>
        <v>0</v>
      </c>
      <c r="AH956" s="177">
        <f t="shared" si="3735"/>
        <v>0</v>
      </c>
      <c r="AI956" s="177">
        <f t="shared" si="3735"/>
        <v>0</v>
      </c>
      <c r="AJ956" s="177">
        <f t="shared" si="3735"/>
        <v>0</v>
      </c>
      <c r="AK956" s="177">
        <f t="shared" si="3735"/>
        <v>0</v>
      </c>
      <c r="AL956" s="177">
        <f t="shared" si="3735"/>
        <v>0</v>
      </c>
      <c r="AM956" s="177">
        <f t="shared" ref="AM956:BB956" si="3736">SUM(AM$769,AM$795,AM$821,AM$847)</f>
        <v>0</v>
      </c>
      <c r="AN956" s="177">
        <f t="shared" si="3736"/>
        <v>0</v>
      </c>
      <c r="AO956" s="177">
        <f t="shared" si="3736"/>
        <v>0</v>
      </c>
      <c r="AP956" s="177">
        <f t="shared" si="3736"/>
        <v>0</v>
      </c>
      <c r="AQ956" s="177">
        <f t="shared" si="3736"/>
        <v>0</v>
      </c>
      <c r="AR956" s="177">
        <f t="shared" si="3736"/>
        <v>0</v>
      </c>
      <c r="AS956" s="177">
        <f t="shared" si="3736"/>
        <v>0</v>
      </c>
      <c r="AT956" s="177">
        <f t="shared" si="3736"/>
        <v>0</v>
      </c>
      <c r="AU956" s="177">
        <f t="shared" si="3736"/>
        <v>0</v>
      </c>
      <c r="AV956" s="177">
        <f t="shared" si="3736"/>
        <v>0</v>
      </c>
      <c r="AW956" s="177">
        <f t="shared" si="3736"/>
        <v>0</v>
      </c>
      <c r="AX956" s="177">
        <f t="shared" si="3736"/>
        <v>0</v>
      </c>
      <c r="AY956" s="177">
        <f t="shared" si="3736"/>
        <v>0</v>
      </c>
      <c r="AZ956" s="177">
        <f t="shared" si="3736"/>
        <v>0</v>
      </c>
      <c r="BA956" s="177">
        <f t="shared" si="3736"/>
        <v>0</v>
      </c>
      <c r="BB956" s="177">
        <f t="shared" si="3736"/>
        <v>0</v>
      </c>
      <c r="BC956" s="177"/>
      <c r="BD956" s="178">
        <f>SUM(G956:BC956)</f>
        <v>0</v>
      </c>
    </row>
    <row r="957" spans="1:56" hidden="1" outlineLevel="1" x14ac:dyDescent="0.3">
      <c r="A957" s="175" t="str">
        <f ca="1">Language!A$963</f>
        <v>амортизация (налоговая)</v>
      </c>
      <c r="C957" s="194" t="str">
        <f t="shared" ca="1" si="3687"/>
        <v>руб.</v>
      </c>
      <c r="D957" s="174">
        <v>1</v>
      </c>
      <c r="F957" s="170" t="s">
        <v>1059</v>
      </c>
      <c r="G957" s="177">
        <f t="shared" ref="G957:AL957" ca="1" si="3737">SUM(G$770,G$796,G$822,G$848)</f>
        <v>0</v>
      </c>
      <c r="H957" s="177">
        <f t="shared" ca="1" si="3737"/>
        <v>0</v>
      </c>
      <c r="I957" s="177">
        <f t="shared" ca="1" si="3737"/>
        <v>0</v>
      </c>
      <c r="J957" s="177">
        <f t="shared" ca="1" si="3737"/>
        <v>0</v>
      </c>
      <c r="K957" s="177">
        <f t="shared" ca="1" si="3737"/>
        <v>0</v>
      </c>
      <c r="L957" s="177">
        <f t="shared" ca="1" si="3737"/>
        <v>0</v>
      </c>
      <c r="M957" s="177">
        <f t="shared" ca="1" si="3737"/>
        <v>569444.44444444438</v>
      </c>
      <c r="N957" s="177">
        <f t="shared" ca="1" si="3737"/>
        <v>569444.44444444438</v>
      </c>
      <c r="O957" s="177">
        <f t="shared" ca="1" si="3737"/>
        <v>569444.44444444438</v>
      </c>
      <c r="P957" s="177">
        <f t="shared" ca="1" si="3737"/>
        <v>569444.44444444438</v>
      </c>
      <c r="Q957" s="177">
        <f t="shared" ca="1" si="3737"/>
        <v>569444.44444444438</v>
      </c>
      <c r="R957" s="177">
        <f t="shared" ca="1" si="3737"/>
        <v>569444.44444444438</v>
      </c>
      <c r="S957" s="177">
        <f t="shared" ca="1" si="3737"/>
        <v>569444.44444444438</v>
      </c>
      <c r="T957" s="177">
        <f t="shared" ca="1" si="3737"/>
        <v>569444.44444444438</v>
      </c>
      <c r="U957" s="177">
        <f t="shared" ca="1" si="3737"/>
        <v>569444.44444444438</v>
      </c>
      <c r="V957" s="177">
        <f t="shared" ca="1" si="3737"/>
        <v>569444.44444444438</v>
      </c>
      <c r="W957" s="177">
        <f t="shared" ca="1" si="3737"/>
        <v>569444.44444444438</v>
      </c>
      <c r="X957" s="177">
        <f t="shared" ca="1" si="3737"/>
        <v>569444.44444444438</v>
      </c>
      <c r="Y957" s="177">
        <f t="shared" ca="1" si="3737"/>
        <v>569444.44444444438</v>
      </c>
      <c r="Z957" s="177">
        <f t="shared" ca="1" si="3737"/>
        <v>569444.44444444438</v>
      </c>
      <c r="AA957" s="177">
        <f t="shared" ca="1" si="3737"/>
        <v>569444.44444444438</v>
      </c>
      <c r="AB957" s="177">
        <f t="shared" ca="1" si="3737"/>
        <v>569444.44444444438</v>
      </c>
      <c r="AC957" s="177">
        <f t="shared" ca="1" si="3737"/>
        <v>569444.44444444438</v>
      </c>
      <c r="AD957" s="177">
        <f t="shared" ca="1" si="3737"/>
        <v>569444.44444444438</v>
      </c>
      <c r="AE957" s="177">
        <f t="shared" ca="1" si="3737"/>
        <v>569444.44444444438</v>
      </c>
      <c r="AF957" s="177">
        <f t="shared" ca="1" si="3737"/>
        <v>569444.44444444438</v>
      </c>
      <c r="AG957" s="177">
        <f t="shared" ca="1" si="3737"/>
        <v>569444.44444444438</v>
      </c>
      <c r="AH957" s="177">
        <f t="shared" ca="1" si="3737"/>
        <v>569444.44444444438</v>
      </c>
      <c r="AI957" s="177">
        <f t="shared" ca="1" si="3737"/>
        <v>569444.44444444438</v>
      </c>
      <c r="AJ957" s="177">
        <f t="shared" ca="1" si="3737"/>
        <v>569444.44444444438</v>
      </c>
      <c r="AK957" s="177">
        <f t="shared" ca="1" si="3737"/>
        <v>569444.44444444438</v>
      </c>
      <c r="AL957" s="177">
        <f t="shared" ca="1" si="3737"/>
        <v>569444.44444444438</v>
      </c>
      <c r="AM957" s="177">
        <f t="shared" ref="AM957:BB957" ca="1" si="3738">SUM(AM$770,AM$796,AM$822,AM$848)</f>
        <v>569444.44444444438</v>
      </c>
      <c r="AN957" s="177">
        <f t="shared" ca="1" si="3738"/>
        <v>569444.44444444438</v>
      </c>
      <c r="AO957" s="177">
        <f t="shared" ca="1" si="3738"/>
        <v>569444.44444444438</v>
      </c>
      <c r="AP957" s="177">
        <f t="shared" ca="1" si="3738"/>
        <v>569444.44444444438</v>
      </c>
      <c r="AQ957" s="177">
        <f t="shared" ca="1" si="3738"/>
        <v>569444.44444444438</v>
      </c>
      <c r="AR957" s="177">
        <f t="shared" ca="1" si="3738"/>
        <v>569444.44444444438</v>
      </c>
      <c r="AS957" s="177">
        <f t="shared" ca="1" si="3738"/>
        <v>569444.44444444438</v>
      </c>
      <c r="AT957" s="177">
        <f t="shared" ca="1" si="3738"/>
        <v>569444.44444444438</v>
      </c>
      <c r="AU957" s="177">
        <f t="shared" ca="1" si="3738"/>
        <v>569444.44444444438</v>
      </c>
      <c r="AV957" s="177">
        <f t="shared" ca="1" si="3738"/>
        <v>569444.44444444438</v>
      </c>
      <c r="AW957" s="177">
        <f t="shared" ca="1" si="3738"/>
        <v>569444.44444444438</v>
      </c>
      <c r="AX957" s="177">
        <f t="shared" ca="1" si="3738"/>
        <v>569444.44444444438</v>
      </c>
      <c r="AY957" s="177">
        <f t="shared" ca="1" si="3738"/>
        <v>569444.44444444438</v>
      </c>
      <c r="AZ957" s="177">
        <f t="shared" ca="1" si="3738"/>
        <v>569444.44444444438</v>
      </c>
      <c r="BA957" s="177">
        <f t="shared" ca="1" si="3738"/>
        <v>569444.44444444438</v>
      </c>
      <c r="BB957" s="177">
        <f t="shared" ca="1" si="3738"/>
        <v>569444.44444444438</v>
      </c>
      <c r="BC957" s="177"/>
      <c r="BD957" s="178">
        <f ca="1">SUM(G957:BC957)</f>
        <v>23916666.666666653</v>
      </c>
    </row>
    <row r="958" spans="1:56" hidden="1" outlineLevel="1" x14ac:dyDescent="0.3">
      <c r="A958" s="175" t="str">
        <f ca="1">Language!A$964</f>
        <v>балансовая стоимость (налоговая)</v>
      </c>
      <c r="C958" s="194" t="str">
        <f t="shared" ca="1" si="3687"/>
        <v>руб.</v>
      </c>
      <c r="D958" s="174">
        <v>1</v>
      </c>
      <c r="F958" s="170" t="s">
        <v>1060</v>
      </c>
      <c r="G958" s="177">
        <f t="shared" ref="G958:AL958" ca="1" si="3739">SUM(G$771,G$797,G$823,G$849)</f>
        <v>0</v>
      </c>
      <c r="H958" s="177">
        <f t="shared" ca="1" si="3739"/>
        <v>0</v>
      </c>
      <c r="I958" s="177">
        <f t="shared" ca="1" si="3739"/>
        <v>0</v>
      </c>
      <c r="J958" s="177">
        <f t="shared" ca="1" si="3739"/>
        <v>0</v>
      </c>
      <c r="K958" s="177">
        <f t="shared" ca="1" si="3739"/>
        <v>0</v>
      </c>
      <c r="L958" s="177">
        <f t="shared" ca="1" si="3739"/>
        <v>0</v>
      </c>
      <c r="M958" s="177">
        <f t="shared" ca="1" si="3739"/>
        <v>204430555.55555555</v>
      </c>
      <c r="N958" s="177">
        <f t="shared" ca="1" si="3739"/>
        <v>203861111.1111111</v>
      </c>
      <c r="O958" s="177">
        <f t="shared" ca="1" si="3739"/>
        <v>203291666.66666669</v>
      </c>
      <c r="P958" s="177">
        <f t="shared" ca="1" si="3739"/>
        <v>202722222.22222227</v>
      </c>
      <c r="Q958" s="177">
        <f t="shared" ca="1" si="3739"/>
        <v>202152777.77777773</v>
      </c>
      <c r="R958" s="177">
        <f t="shared" ca="1" si="3739"/>
        <v>201583333.33333331</v>
      </c>
      <c r="S958" s="177">
        <f t="shared" ca="1" si="3739"/>
        <v>201013888.8888889</v>
      </c>
      <c r="T958" s="177">
        <f t="shared" ca="1" si="3739"/>
        <v>200444444.44444445</v>
      </c>
      <c r="U958" s="177">
        <f t="shared" ca="1" si="3739"/>
        <v>199875000</v>
      </c>
      <c r="V958" s="177">
        <f t="shared" ca="1" si="3739"/>
        <v>199305555.55555555</v>
      </c>
      <c r="W958" s="177">
        <f t="shared" ca="1" si="3739"/>
        <v>198736111.1111111</v>
      </c>
      <c r="X958" s="177">
        <f t="shared" ca="1" si="3739"/>
        <v>198166666.66666669</v>
      </c>
      <c r="Y958" s="177">
        <f t="shared" ca="1" si="3739"/>
        <v>197597222.22222221</v>
      </c>
      <c r="Z958" s="177">
        <f t="shared" ca="1" si="3739"/>
        <v>197027777.77777773</v>
      </c>
      <c r="AA958" s="177">
        <f t="shared" ca="1" si="3739"/>
        <v>196458333.33333331</v>
      </c>
      <c r="AB958" s="177">
        <f t="shared" ca="1" si="3739"/>
        <v>195888888.8888889</v>
      </c>
      <c r="AC958" s="177">
        <f t="shared" ca="1" si="3739"/>
        <v>195319444.44444445</v>
      </c>
      <c r="AD958" s="177">
        <f t="shared" ca="1" si="3739"/>
        <v>194750000</v>
      </c>
      <c r="AE958" s="177">
        <f t="shared" ca="1" si="3739"/>
        <v>194180555.55555555</v>
      </c>
      <c r="AF958" s="177">
        <f t="shared" ca="1" si="3739"/>
        <v>193611111.1111111</v>
      </c>
      <c r="AG958" s="177">
        <f t="shared" ca="1" si="3739"/>
        <v>193041666.66666666</v>
      </c>
      <c r="AH958" s="177">
        <f t="shared" ca="1" si="3739"/>
        <v>192472222.22222224</v>
      </c>
      <c r="AI958" s="177">
        <f t="shared" ca="1" si="3739"/>
        <v>191902777.77777779</v>
      </c>
      <c r="AJ958" s="177">
        <f t="shared" ca="1" si="3739"/>
        <v>191333333.33333331</v>
      </c>
      <c r="AK958" s="177">
        <f t="shared" ca="1" si="3739"/>
        <v>190763888.8888889</v>
      </c>
      <c r="AL958" s="177">
        <f t="shared" ca="1" si="3739"/>
        <v>190194444.44444445</v>
      </c>
      <c r="AM958" s="177">
        <f t="shared" ref="AM958:BB958" ca="1" si="3740">SUM(AM$771,AM$797,AM$823,AM$849)</f>
        <v>189625000</v>
      </c>
      <c r="AN958" s="177">
        <f t="shared" ca="1" si="3740"/>
        <v>189055555.55555555</v>
      </c>
      <c r="AO958" s="177">
        <f t="shared" ca="1" si="3740"/>
        <v>188486111.1111111</v>
      </c>
      <c r="AP958" s="177">
        <f t="shared" ca="1" si="3740"/>
        <v>187916666.66666666</v>
      </c>
      <c r="AQ958" s="177">
        <f t="shared" ca="1" si="3740"/>
        <v>187347222.22222224</v>
      </c>
      <c r="AR958" s="177">
        <f t="shared" ca="1" si="3740"/>
        <v>186777777.77777779</v>
      </c>
      <c r="AS958" s="177">
        <f t="shared" ca="1" si="3740"/>
        <v>186208333.33333331</v>
      </c>
      <c r="AT958" s="177">
        <f t="shared" ca="1" si="3740"/>
        <v>185638888.8888889</v>
      </c>
      <c r="AU958" s="177">
        <f t="shared" ca="1" si="3740"/>
        <v>185069444.44444445</v>
      </c>
      <c r="AV958" s="177">
        <f t="shared" ca="1" si="3740"/>
        <v>184500000</v>
      </c>
      <c r="AW958" s="177">
        <f t="shared" ca="1" si="3740"/>
        <v>183930555.55555555</v>
      </c>
      <c r="AX958" s="177">
        <f t="shared" ca="1" si="3740"/>
        <v>183361111.1111111</v>
      </c>
      <c r="AY958" s="177">
        <f t="shared" ca="1" si="3740"/>
        <v>182791666.66666669</v>
      </c>
      <c r="AZ958" s="177">
        <f t="shared" ca="1" si="3740"/>
        <v>182222222.22222221</v>
      </c>
      <c r="BA958" s="177">
        <f t="shared" ca="1" si="3740"/>
        <v>181652777.77777779</v>
      </c>
      <c r="BB958" s="177">
        <f t="shared" ca="1" si="3740"/>
        <v>181083333.33333331</v>
      </c>
      <c r="BC958" s="177"/>
      <c r="BD958" s="178"/>
    </row>
    <row r="959" spans="1:56" hidden="1" outlineLevel="1" x14ac:dyDescent="0.3">
      <c r="A959" s="175" t="str">
        <f ca="1">Language!A$965</f>
        <v>выручка от продажи актива</v>
      </c>
      <c r="C959" s="194" t="str">
        <f t="shared" ca="1" si="3687"/>
        <v>руб.</v>
      </c>
      <c r="D959" s="174">
        <v>1</v>
      </c>
      <c r="F959" s="170" t="s">
        <v>1061</v>
      </c>
      <c r="G959" s="177">
        <f t="shared" ref="G959:AL959" si="3741">SUM(G$757,G$783,G$809,G$835)</f>
        <v>0</v>
      </c>
      <c r="H959" s="177">
        <f t="shared" si="3741"/>
        <v>0</v>
      </c>
      <c r="I959" s="177">
        <f t="shared" si="3741"/>
        <v>0</v>
      </c>
      <c r="J959" s="177">
        <f t="shared" si="3741"/>
        <v>0</v>
      </c>
      <c r="K959" s="177">
        <f t="shared" si="3741"/>
        <v>0</v>
      </c>
      <c r="L959" s="177">
        <f t="shared" si="3741"/>
        <v>0</v>
      </c>
      <c r="M959" s="177">
        <f t="shared" si="3741"/>
        <v>0</v>
      </c>
      <c r="N959" s="177">
        <f t="shared" si="3741"/>
        <v>0</v>
      </c>
      <c r="O959" s="177">
        <f t="shared" si="3741"/>
        <v>0</v>
      </c>
      <c r="P959" s="177">
        <f t="shared" si="3741"/>
        <v>0</v>
      </c>
      <c r="Q959" s="177">
        <f t="shared" si="3741"/>
        <v>0</v>
      </c>
      <c r="R959" s="177">
        <f t="shared" si="3741"/>
        <v>0</v>
      </c>
      <c r="S959" s="177">
        <f t="shared" si="3741"/>
        <v>0</v>
      </c>
      <c r="T959" s="177">
        <f t="shared" si="3741"/>
        <v>0</v>
      </c>
      <c r="U959" s="177">
        <f t="shared" si="3741"/>
        <v>0</v>
      </c>
      <c r="V959" s="177">
        <f t="shared" si="3741"/>
        <v>0</v>
      </c>
      <c r="W959" s="177">
        <f t="shared" si="3741"/>
        <v>0</v>
      </c>
      <c r="X959" s="177">
        <f t="shared" si="3741"/>
        <v>0</v>
      </c>
      <c r="Y959" s="177">
        <f t="shared" si="3741"/>
        <v>0</v>
      </c>
      <c r="Z959" s="177">
        <f t="shared" si="3741"/>
        <v>0</v>
      </c>
      <c r="AA959" s="177">
        <f t="shared" si="3741"/>
        <v>0</v>
      </c>
      <c r="AB959" s="177">
        <f t="shared" si="3741"/>
        <v>0</v>
      </c>
      <c r="AC959" s="177">
        <f t="shared" si="3741"/>
        <v>0</v>
      </c>
      <c r="AD959" s="177">
        <f t="shared" si="3741"/>
        <v>0</v>
      </c>
      <c r="AE959" s="177">
        <f t="shared" si="3741"/>
        <v>0</v>
      </c>
      <c r="AF959" s="177">
        <f t="shared" si="3741"/>
        <v>0</v>
      </c>
      <c r="AG959" s="177">
        <f t="shared" si="3741"/>
        <v>0</v>
      </c>
      <c r="AH959" s="177">
        <f t="shared" si="3741"/>
        <v>0</v>
      </c>
      <c r="AI959" s="177">
        <f t="shared" si="3741"/>
        <v>0</v>
      </c>
      <c r="AJ959" s="177">
        <f t="shared" si="3741"/>
        <v>0</v>
      </c>
      <c r="AK959" s="177">
        <f t="shared" si="3741"/>
        <v>0</v>
      </c>
      <c r="AL959" s="177">
        <f t="shared" si="3741"/>
        <v>0</v>
      </c>
      <c r="AM959" s="177">
        <f t="shared" ref="AM959:BB959" si="3742">SUM(AM$757,AM$783,AM$809,AM$835)</f>
        <v>0</v>
      </c>
      <c r="AN959" s="177">
        <f t="shared" si="3742"/>
        <v>0</v>
      </c>
      <c r="AO959" s="177">
        <f t="shared" si="3742"/>
        <v>0</v>
      </c>
      <c r="AP959" s="177">
        <f t="shared" si="3742"/>
        <v>0</v>
      </c>
      <c r="AQ959" s="177">
        <f t="shared" si="3742"/>
        <v>0</v>
      </c>
      <c r="AR959" s="177">
        <f t="shared" si="3742"/>
        <v>0</v>
      </c>
      <c r="AS959" s="177">
        <f t="shared" si="3742"/>
        <v>0</v>
      </c>
      <c r="AT959" s="177">
        <f t="shared" si="3742"/>
        <v>0</v>
      </c>
      <c r="AU959" s="177">
        <f t="shared" si="3742"/>
        <v>0</v>
      </c>
      <c r="AV959" s="177">
        <f t="shared" si="3742"/>
        <v>0</v>
      </c>
      <c r="AW959" s="177">
        <f t="shared" si="3742"/>
        <v>0</v>
      </c>
      <c r="AX959" s="177">
        <f t="shared" si="3742"/>
        <v>0</v>
      </c>
      <c r="AY959" s="177">
        <f t="shared" si="3742"/>
        <v>0</v>
      </c>
      <c r="AZ959" s="177">
        <f t="shared" si="3742"/>
        <v>0</v>
      </c>
      <c r="BA959" s="177">
        <f t="shared" si="3742"/>
        <v>0</v>
      </c>
      <c r="BB959" s="177">
        <f t="shared" si="3742"/>
        <v>0</v>
      </c>
      <c r="BC959" s="177"/>
      <c r="BD959" s="178">
        <f t="shared" ref="BD959:BD965" si="3743">SUM(G959:BC959)</f>
        <v>0</v>
      </c>
    </row>
    <row r="960" spans="1:56" hidden="1" outlineLevel="1" x14ac:dyDescent="0.3">
      <c r="A960" s="175" t="str">
        <f ca="1">Language!A$966</f>
        <v>прибыль/убыток от продажи актива (бухгалтерская)</v>
      </c>
      <c r="C960" s="194" t="str">
        <f t="shared" ca="1" si="3687"/>
        <v>руб.</v>
      </c>
      <c r="D960" s="174">
        <v>1</v>
      </c>
      <c r="F960" s="170" t="s">
        <v>1062</v>
      </c>
      <c r="G960" s="177">
        <f t="shared" ref="G960:AL960" si="3744">SUM(G$772,G$798,G$824,G$850)</f>
        <v>0</v>
      </c>
      <c r="H960" s="177">
        <f t="shared" si="3744"/>
        <v>0</v>
      </c>
      <c r="I960" s="177">
        <f t="shared" si="3744"/>
        <v>0</v>
      </c>
      <c r="J960" s="177">
        <f t="shared" si="3744"/>
        <v>0</v>
      </c>
      <c r="K960" s="177">
        <f t="shared" si="3744"/>
        <v>0</v>
      </c>
      <c r="L960" s="177">
        <f t="shared" si="3744"/>
        <v>0</v>
      </c>
      <c r="M960" s="177">
        <f t="shared" si="3744"/>
        <v>0</v>
      </c>
      <c r="N960" s="177">
        <f t="shared" si="3744"/>
        <v>0</v>
      </c>
      <c r="O960" s="177">
        <f t="shared" si="3744"/>
        <v>0</v>
      </c>
      <c r="P960" s="177">
        <f t="shared" si="3744"/>
        <v>0</v>
      </c>
      <c r="Q960" s="177">
        <f t="shared" si="3744"/>
        <v>0</v>
      </c>
      <c r="R960" s="177">
        <f t="shared" si="3744"/>
        <v>0</v>
      </c>
      <c r="S960" s="177">
        <f t="shared" si="3744"/>
        <v>0</v>
      </c>
      <c r="T960" s="177">
        <f t="shared" si="3744"/>
        <v>0</v>
      </c>
      <c r="U960" s="177">
        <f t="shared" si="3744"/>
        <v>0</v>
      </c>
      <c r="V960" s="177">
        <f t="shared" si="3744"/>
        <v>0</v>
      </c>
      <c r="W960" s="177">
        <f t="shared" si="3744"/>
        <v>0</v>
      </c>
      <c r="X960" s="177">
        <f t="shared" si="3744"/>
        <v>0</v>
      </c>
      <c r="Y960" s="177">
        <f t="shared" si="3744"/>
        <v>0</v>
      </c>
      <c r="Z960" s="177">
        <f t="shared" si="3744"/>
        <v>0</v>
      </c>
      <c r="AA960" s="177">
        <f t="shared" si="3744"/>
        <v>0</v>
      </c>
      <c r="AB960" s="177">
        <f t="shared" si="3744"/>
        <v>0</v>
      </c>
      <c r="AC960" s="177">
        <f t="shared" si="3744"/>
        <v>0</v>
      </c>
      <c r="AD960" s="177">
        <f t="shared" si="3744"/>
        <v>0</v>
      </c>
      <c r="AE960" s="177">
        <f t="shared" si="3744"/>
        <v>0</v>
      </c>
      <c r="AF960" s="177">
        <f t="shared" si="3744"/>
        <v>0</v>
      </c>
      <c r="AG960" s="177">
        <f t="shared" si="3744"/>
        <v>0</v>
      </c>
      <c r="AH960" s="177">
        <f t="shared" si="3744"/>
        <v>0</v>
      </c>
      <c r="AI960" s="177">
        <f t="shared" si="3744"/>
        <v>0</v>
      </c>
      <c r="AJ960" s="177">
        <f t="shared" si="3744"/>
        <v>0</v>
      </c>
      <c r="AK960" s="177">
        <f t="shared" si="3744"/>
        <v>0</v>
      </c>
      <c r="AL960" s="177">
        <f t="shared" si="3744"/>
        <v>0</v>
      </c>
      <c r="AM960" s="177">
        <f t="shared" ref="AM960:BB960" si="3745">SUM(AM$772,AM$798,AM$824,AM$850)</f>
        <v>0</v>
      </c>
      <c r="AN960" s="177">
        <f t="shared" si="3745"/>
        <v>0</v>
      </c>
      <c r="AO960" s="177">
        <f t="shared" si="3745"/>
        <v>0</v>
      </c>
      <c r="AP960" s="177">
        <f t="shared" si="3745"/>
        <v>0</v>
      </c>
      <c r="AQ960" s="177">
        <f t="shared" si="3745"/>
        <v>0</v>
      </c>
      <c r="AR960" s="177">
        <f t="shared" si="3745"/>
        <v>0</v>
      </c>
      <c r="AS960" s="177">
        <f t="shared" si="3745"/>
        <v>0</v>
      </c>
      <c r="AT960" s="177">
        <f t="shared" si="3745"/>
        <v>0</v>
      </c>
      <c r="AU960" s="177">
        <f t="shared" si="3745"/>
        <v>0</v>
      </c>
      <c r="AV960" s="177">
        <f t="shared" si="3745"/>
        <v>0</v>
      </c>
      <c r="AW960" s="177">
        <f t="shared" si="3745"/>
        <v>0</v>
      </c>
      <c r="AX960" s="177">
        <f t="shared" si="3745"/>
        <v>0</v>
      </c>
      <c r="AY960" s="177">
        <f t="shared" si="3745"/>
        <v>0</v>
      </c>
      <c r="AZ960" s="177">
        <f t="shared" si="3745"/>
        <v>0</v>
      </c>
      <c r="BA960" s="177">
        <f t="shared" si="3745"/>
        <v>0</v>
      </c>
      <c r="BB960" s="177">
        <f t="shared" si="3745"/>
        <v>0</v>
      </c>
      <c r="BC960" s="177"/>
      <c r="BD960" s="178">
        <f t="shared" si="3743"/>
        <v>0</v>
      </c>
    </row>
    <row r="961" spans="1:56" hidden="1" outlineLevel="1" x14ac:dyDescent="0.3">
      <c r="A961" s="175" t="str">
        <f ca="1">Language!A$967</f>
        <v>прибыль/убыток от продажи актива (налоговая)</v>
      </c>
      <c r="C961" s="194" t="str">
        <f t="shared" ca="1" si="3687"/>
        <v>руб.</v>
      </c>
      <c r="D961" s="174">
        <v>1</v>
      </c>
      <c r="F961" s="170" t="s">
        <v>1063</v>
      </c>
      <c r="G961" s="177">
        <f t="shared" ref="G961:AL961" si="3746">SUM(G$773,G$799,G$825,G$851)</f>
        <v>0</v>
      </c>
      <c r="H961" s="177">
        <f t="shared" si="3746"/>
        <v>0</v>
      </c>
      <c r="I961" s="177">
        <f t="shared" si="3746"/>
        <v>0</v>
      </c>
      <c r="J961" s="177">
        <f t="shared" si="3746"/>
        <v>0</v>
      </c>
      <c r="K961" s="177">
        <f t="shared" si="3746"/>
        <v>0</v>
      </c>
      <c r="L961" s="177">
        <f t="shared" si="3746"/>
        <v>0</v>
      </c>
      <c r="M961" s="177">
        <f t="shared" si="3746"/>
        <v>0</v>
      </c>
      <c r="N961" s="177">
        <f t="shared" si="3746"/>
        <v>0</v>
      </c>
      <c r="O961" s="177">
        <f t="shared" si="3746"/>
        <v>0</v>
      </c>
      <c r="P961" s="177">
        <f t="shared" si="3746"/>
        <v>0</v>
      </c>
      <c r="Q961" s="177">
        <f t="shared" si="3746"/>
        <v>0</v>
      </c>
      <c r="R961" s="177">
        <f t="shared" si="3746"/>
        <v>0</v>
      </c>
      <c r="S961" s="177">
        <f t="shared" si="3746"/>
        <v>0</v>
      </c>
      <c r="T961" s="177">
        <f t="shared" si="3746"/>
        <v>0</v>
      </c>
      <c r="U961" s="177">
        <f t="shared" si="3746"/>
        <v>0</v>
      </c>
      <c r="V961" s="177">
        <f t="shared" si="3746"/>
        <v>0</v>
      </c>
      <c r="W961" s="177">
        <f t="shared" si="3746"/>
        <v>0</v>
      </c>
      <c r="X961" s="177">
        <f t="shared" si="3746"/>
        <v>0</v>
      </c>
      <c r="Y961" s="177">
        <f t="shared" si="3746"/>
        <v>0</v>
      </c>
      <c r="Z961" s="177">
        <f t="shared" si="3746"/>
        <v>0</v>
      </c>
      <c r="AA961" s="177">
        <f t="shared" si="3746"/>
        <v>0</v>
      </c>
      <c r="AB961" s="177">
        <f t="shared" si="3746"/>
        <v>0</v>
      </c>
      <c r="AC961" s="177">
        <f t="shared" si="3746"/>
        <v>0</v>
      </c>
      <c r="AD961" s="177">
        <f t="shared" si="3746"/>
        <v>0</v>
      </c>
      <c r="AE961" s="177">
        <f t="shared" si="3746"/>
        <v>0</v>
      </c>
      <c r="AF961" s="177">
        <f t="shared" si="3746"/>
        <v>0</v>
      </c>
      <c r="AG961" s="177">
        <f t="shared" si="3746"/>
        <v>0</v>
      </c>
      <c r="AH961" s="177">
        <f t="shared" si="3746"/>
        <v>0</v>
      </c>
      <c r="AI961" s="177">
        <f t="shared" si="3746"/>
        <v>0</v>
      </c>
      <c r="AJ961" s="177">
        <f t="shared" si="3746"/>
        <v>0</v>
      </c>
      <c r="AK961" s="177">
        <f t="shared" si="3746"/>
        <v>0</v>
      </c>
      <c r="AL961" s="177">
        <f t="shared" si="3746"/>
        <v>0</v>
      </c>
      <c r="AM961" s="177">
        <f t="shared" ref="AM961:BB961" si="3747">SUM(AM$773,AM$799,AM$825,AM$851)</f>
        <v>0</v>
      </c>
      <c r="AN961" s="177">
        <f t="shared" si="3747"/>
        <v>0</v>
      </c>
      <c r="AO961" s="177">
        <f t="shared" si="3747"/>
        <v>0</v>
      </c>
      <c r="AP961" s="177">
        <f t="shared" si="3747"/>
        <v>0</v>
      </c>
      <c r="AQ961" s="177">
        <f t="shared" si="3747"/>
        <v>0</v>
      </c>
      <c r="AR961" s="177">
        <f t="shared" si="3747"/>
        <v>0</v>
      </c>
      <c r="AS961" s="177">
        <f t="shared" si="3747"/>
        <v>0</v>
      </c>
      <c r="AT961" s="177">
        <f t="shared" si="3747"/>
        <v>0</v>
      </c>
      <c r="AU961" s="177">
        <f t="shared" si="3747"/>
        <v>0</v>
      </c>
      <c r="AV961" s="177">
        <f t="shared" si="3747"/>
        <v>0</v>
      </c>
      <c r="AW961" s="177">
        <f t="shared" si="3747"/>
        <v>0</v>
      </c>
      <c r="AX961" s="177">
        <f t="shared" si="3747"/>
        <v>0</v>
      </c>
      <c r="AY961" s="177">
        <f t="shared" si="3747"/>
        <v>0</v>
      </c>
      <c r="AZ961" s="177">
        <f t="shared" si="3747"/>
        <v>0</v>
      </c>
      <c r="BA961" s="177">
        <f t="shared" si="3747"/>
        <v>0</v>
      </c>
      <c r="BB961" s="177">
        <f t="shared" si="3747"/>
        <v>0</v>
      </c>
      <c r="BC961" s="177"/>
      <c r="BD961" s="178">
        <f t="shared" si="3743"/>
        <v>0</v>
      </c>
    </row>
    <row r="962" spans="1:56" hidden="1" outlineLevel="1" x14ac:dyDescent="0.3">
      <c r="A962" s="175" t="str">
        <f ca="1">Language!A$968</f>
        <v>НДС к выручке от продажи актива</v>
      </c>
      <c r="C962" s="194" t="str">
        <f t="shared" ca="1" si="3687"/>
        <v>руб.</v>
      </c>
      <c r="D962" s="174">
        <v>1</v>
      </c>
      <c r="F962" s="170" t="s">
        <v>1064</v>
      </c>
      <c r="G962" s="177">
        <f t="shared" ref="G962:AL962" si="3748">SUM(G$774,G$800,G$826,G$852)</f>
        <v>0</v>
      </c>
      <c r="H962" s="177">
        <f t="shared" si="3748"/>
        <v>0</v>
      </c>
      <c r="I962" s="177">
        <f t="shared" si="3748"/>
        <v>0</v>
      </c>
      <c r="J962" s="177">
        <f t="shared" si="3748"/>
        <v>0</v>
      </c>
      <c r="K962" s="177">
        <f t="shared" si="3748"/>
        <v>0</v>
      </c>
      <c r="L962" s="177">
        <f t="shared" si="3748"/>
        <v>0</v>
      </c>
      <c r="M962" s="177">
        <f t="shared" si="3748"/>
        <v>0</v>
      </c>
      <c r="N962" s="177">
        <f t="shared" si="3748"/>
        <v>0</v>
      </c>
      <c r="O962" s="177">
        <f t="shared" si="3748"/>
        <v>0</v>
      </c>
      <c r="P962" s="177">
        <f t="shared" si="3748"/>
        <v>0</v>
      </c>
      <c r="Q962" s="177">
        <f t="shared" si="3748"/>
        <v>0</v>
      </c>
      <c r="R962" s="177">
        <f t="shared" si="3748"/>
        <v>0</v>
      </c>
      <c r="S962" s="177">
        <f t="shared" si="3748"/>
        <v>0</v>
      </c>
      <c r="T962" s="177">
        <f t="shared" si="3748"/>
        <v>0</v>
      </c>
      <c r="U962" s="177">
        <f t="shared" si="3748"/>
        <v>0</v>
      </c>
      <c r="V962" s="177">
        <f t="shared" si="3748"/>
        <v>0</v>
      </c>
      <c r="W962" s="177">
        <f t="shared" si="3748"/>
        <v>0</v>
      </c>
      <c r="X962" s="177">
        <f t="shared" si="3748"/>
        <v>0</v>
      </c>
      <c r="Y962" s="177">
        <f t="shared" si="3748"/>
        <v>0</v>
      </c>
      <c r="Z962" s="177">
        <f t="shared" si="3748"/>
        <v>0</v>
      </c>
      <c r="AA962" s="177">
        <f t="shared" si="3748"/>
        <v>0</v>
      </c>
      <c r="AB962" s="177">
        <f t="shared" si="3748"/>
        <v>0</v>
      </c>
      <c r="AC962" s="177">
        <f t="shared" si="3748"/>
        <v>0</v>
      </c>
      <c r="AD962" s="177">
        <f t="shared" si="3748"/>
        <v>0</v>
      </c>
      <c r="AE962" s="177">
        <f t="shared" si="3748"/>
        <v>0</v>
      </c>
      <c r="AF962" s="177">
        <f t="shared" si="3748"/>
        <v>0</v>
      </c>
      <c r="AG962" s="177">
        <f t="shared" si="3748"/>
        <v>0</v>
      </c>
      <c r="AH962" s="177">
        <f t="shared" si="3748"/>
        <v>0</v>
      </c>
      <c r="AI962" s="177">
        <f t="shared" si="3748"/>
        <v>0</v>
      </c>
      <c r="AJ962" s="177">
        <f t="shared" si="3748"/>
        <v>0</v>
      </c>
      <c r="AK962" s="177">
        <f t="shared" si="3748"/>
        <v>0</v>
      </c>
      <c r="AL962" s="177">
        <f t="shared" si="3748"/>
        <v>0</v>
      </c>
      <c r="AM962" s="177">
        <f t="shared" ref="AM962:BB962" si="3749">SUM(AM$774,AM$800,AM$826,AM$852)</f>
        <v>0</v>
      </c>
      <c r="AN962" s="177">
        <f t="shared" si="3749"/>
        <v>0</v>
      </c>
      <c r="AO962" s="177">
        <f t="shared" si="3749"/>
        <v>0</v>
      </c>
      <c r="AP962" s="177">
        <f t="shared" si="3749"/>
        <v>0</v>
      </c>
      <c r="AQ962" s="177">
        <f t="shared" si="3749"/>
        <v>0</v>
      </c>
      <c r="AR962" s="177">
        <f t="shared" si="3749"/>
        <v>0</v>
      </c>
      <c r="AS962" s="177">
        <f t="shared" si="3749"/>
        <v>0</v>
      </c>
      <c r="AT962" s="177">
        <f t="shared" si="3749"/>
        <v>0</v>
      </c>
      <c r="AU962" s="177">
        <f t="shared" si="3749"/>
        <v>0</v>
      </c>
      <c r="AV962" s="177">
        <f t="shared" si="3749"/>
        <v>0</v>
      </c>
      <c r="AW962" s="177">
        <f t="shared" si="3749"/>
        <v>0</v>
      </c>
      <c r="AX962" s="177">
        <f t="shared" si="3749"/>
        <v>0</v>
      </c>
      <c r="AY962" s="177">
        <f t="shared" si="3749"/>
        <v>0</v>
      </c>
      <c r="AZ962" s="177">
        <f t="shared" si="3749"/>
        <v>0</v>
      </c>
      <c r="BA962" s="177">
        <f t="shared" si="3749"/>
        <v>0</v>
      </c>
      <c r="BB962" s="177">
        <f t="shared" si="3749"/>
        <v>0</v>
      </c>
      <c r="BC962" s="177"/>
      <c r="BD962" s="178">
        <f t="shared" si="3743"/>
        <v>0</v>
      </c>
    </row>
    <row r="963" spans="1:56" collapsed="1" x14ac:dyDescent="0.3">
      <c r="A963" s="214" t="str">
        <f ca="1">Language!A$969</f>
        <v>Итого: Оборудование, с НДС и пошлинами</v>
      </c>
      <c r="C963" s="194" t="str">
        <f t="shared" ca="1" si="3687"/>
        <v>руб.</v>
      </c>
      <c r="D963" s="174">
        <v>1</v>
      </c>
      <c r="F963" s="170" t="s">
        <v>740</v>
      </c>
      <c r="G963" s="177">
        <f t="shared" ref="G963:K963" si="3750">G964+G965+G970</f>
        <v>0</v>
      </c>
      <c r="H963" s="177">
        <f t="shared" si="3750"/>
        <v>1366666.6666666667</v>
      </c>
      <c r="I963" s="177">
        <f t="shared" si="3750"/>
        <v>1366666.6666666667</v>
      </c>
      <c r="J963" s="177">
        <f t="shared" si="3750"/>
        <v>1366666.6666666667</v>
      </c>
      <c r="K963" s="177">
        <f t="shared" si="3750"/>
        <v>0</v>
      </c>
      <c r="L963" s="177">
        <f t="shared" ref="L963:M963" si="3751">L964+L965+L970</f>
        <v>1800000</v>
      </c>
      <c r="M963" s="177">
        <f t="shared" si="3751"/>
        <v>0</v>
      </c>
      <c r="N963" s="177">
        <f t="shared" ref="N963:O963" si="3752">N964+N965+N970</f>
        <v>0</v>
      </c>
      <c r="O963" s="177">
        <f t="shared" si="3752"/>
        <v>0</v>
      </c>
      <c r="P963" s="177">
        <f t="shared" ref="P963:Q963" si="3753">P964+P965+P970</f>
        <v>0</v>
      </c>
      <c r="Q963" s="177">
        <f t="shared" si="3753"/>
        <v>0</v>
      </c>
      <c r="R963" s="177">
        <f t="shared" ref="R963:S963" si="3754">R964+R965+R970</f>
        <v>0</v>
      </c>
      <c r="S963" s="177">
        <f t="shared" si="3754"/>
        <v>0</v>
      </c>
      <c r="T963" s="177">
        <f t="shared" ref="T963:U963" si="3755">T964+T965+T970</f>
        <v>0</v>
      </c>
      <c r="U963" s="177">
        <f t="shared" si="3755"/>
        <v>0</v>
      </c>
      <c r="V963" s="177">
        <f t="shared" ref="V963:W963" si="3756">V964+V965+V970</f>
        <v>0</v>
      </c>
      <c r="W963" s="177">
        <f t="shared" si="3756"/>
        <v>0</v>
      </c>
      <c r="X963" s="177">
        <f t="shared" ref="X963:Y963" si="3757">X964+X965+X970</f>
        <v>0</v>
      </c>
      <c r="Y963" s="177">
        <f t="shared" si="3757"/>
        <v>0</v>
      </c>
      <c r="Z963" s="177">
        <f t="shared" ref="Z963:AA963" si="3758">Z964+Z965+Z970</f>
        <v>0</v>
      </c>
      <c r="AA963" s="177">
        <f t="shared" si="3758"/>
        <v>0</v>
      </c>
      <c r="AB963" s="177">
        <f t="shared" ref="AB963:AC963" si="3759">AB964+AB965+AB970</f>
        <v>0</v>
      </c>
      <c r="AC963" s="177">
        <f t="shared" si="3759"/>
        <v>0</v>
      </c>
      <c r="AD963" s="177">
        <f t="shared" ref="AD963:AE963" si="3760">AD964+AD965+AD970</f>
        <v>0</v>
      </c>
      <c r="AE963" s="177">
        <f t="shared" si="3760"/>
        <v>0</v>
      </c>
      <c r="AF963" s="177">
        <f t="shared" ref="AF963:AG963" si="3761">AF964+AF965+AF970</f>
        <v>0</v>
      </c>
      <c r="AG963" s="177">
        <f t="shared" si="3761"/>
        <v>0</v>
      </c>
      <c r="AH963" s="177">
        <f t="shared" ref="AH963:AI963" si="3762">AH964+AH965+AH970</f>
        <v>0</v>
      </c>
      <c r="AI963" s="177">
        <f t="shared" si="3762"/>
        <v>0</v>
      </c>
      <c r="AJ963" s="177">
        <f t="shared" ref="AJ963:AK963" si="3763">AJ964+AJ965+AJ970</f>
        <v>0</v>
      </c>
      <c r="AK963" s="177">
        <f t="shared" si="3763"/>
        <v>0</v>
      </c>
      <c r="AL963" s="177">
        <f t="shared" ref="AL963:AM963" si="3764">AL964+AL965+AL970</f>
        <v>0</v>
      </c>
      <c r="AM963" s="177">
        <f t="shared" si="3764"/>
        <v>0</v>
      </c>
      <c r="AN963" s="177">
        <f t="shared" ref="AN963:AO963" si="3765">AN964+AN965+AN970</f>
        <v>0</v>
      </c>
      <c r="AO963" s="177">
        <f t="shared" si="3765"/>
        <v>0</v>
      </c>
      <c r="AP963" s="177">
        <f t="shared" ref="AP963:AQ963" si="3766">AP964+AP965+AP970</f>
        <v>0</v>
      </c>
      <c r="AQ963" s="177">
        <f t="shared" si="3766"/>
        <v>0</v>
      </c>
      <c r="AR963" s="177">
        <f t="shared" ref="AR963:AS963" si="3767">AR964+AR965+AR970</f>
        <v>0</v>
      </c>
      <c r="AS963" s="177">
        <f t="shared" si="3767"/>
        <v>0</v>
      </c>
      <c r="AT963" s="177">
        <f t="shared" ref="AT963:AU963" si="3768">AT964+AT965+AT970</f>
        <v>0</v>
      </c>
      <c r="AU963" s="177">
        <f t="shared" si="3768"/>
        <v>0</v>
      </c>
      <c r="AV963" s="177">
        <f t="shared" ref="AV963:AW963" si="3769">AV964+AV965+AV970</f>
        <v>0</v>
      </c>
      <c r="AW963" s="177">
        <f t="shared" si="3769"/>
        <v>0</v>
      </c>
      <c r="AX963" s="177">
        <f t="shared" ref="AX963:AY963" si="3770">AX964+AX965+AX970</f>
        <v>0</v>
      </c>
      <c r="AY963" s="177">
        <f t="shared" si="3770"/>
        <v>0</v>
      </c>
      <c r="AZ963" s="177">
        <f t="shared" ref="AZ963:BA963" si="3771">AZ964+AZ965+AZ970</f>
        <v>0</v>
      </c>
      <c r="BA963" s="177">
        <f t="shared" si="3771"/>
        <v>0</v>
      </c>
      <c r="BB963" s="177">
        <f t="shared" ref="BB963" si="3772">BB964+BB965+BB970</f>
        <v>0</v>
      </c>
      <c r="BC963" s="177"/>
      <c r="BD963" s="178">
        <f t="shared" si="3743"/>
        <v>5900000</v>
      </c>
    </row>
    <row r="964" spans="1:56" hidden="1" outlineLevel="1" x14ac:dyDescent="0.3">
      <c r="A964" s="175" t="str">
        <f ca="1">Language!A$970</f>
        <v>график оплаты (без НДС)</v>
      </c>
      <c r="C964" s="194" t="str">
        <f t="shared" ca="1" si="3687"/>
        <v>руб.</v>
      </c>
      <c r="D964" s="174">
        <v>1</v>
      </c>
      <c r="F964" s="170" t="s">
        <v>1065</v>
      </c>
      <c r="G964" s="177">
        <f t="shared" ref="G964:BB964" si="3773">SUM(G$868,G$898)</f>
        <v>0</v>
      </c>
      <c r="H964" s="177">
        <f t="shared" si="3773"/>
        <v>1366666.6666666667</v>
      </c>
      <c r="I964" s="177">
        <f t="shared" si="3773"/>
        <v>1366666.6666666667</v>
      </c>
      <c r="J964" s="177">
        <f t="shared" si="3773"/>
        <v>1366666.6666666667</v>
      </c>
      <c r="K964" s="177">
        <f t="shared" si="3773"/>
        <v>0</v>
      </c>
      <c r="L964" s="177">
        <f t="shared" si="3773"/>
        <v>1800000</v>
      </c>
      <c r="M964" s="177">
        <f t="shared" si="3773"/>
        <v>0</v>
      </c>
      <c r="N964" s="177">
        <f t="shared" si="3773"/>
        <v>0</v>
      </c>
      <c r="O964" s="177">
        <f t="shared" si="3773"/>
        <v>0</v>
      </c>
      <c r="P964" s="177">
        <f t="shared" si="3773"/>
        <v>0</v>
      </c>
      <c r="Q964" s="177">
        <f t="shared" si="3773"/>
        <v>0</v>
      </c>
      <c r="R964" s="177">
        <f t="shared" si="3773"/>
        <v>0</v>
      </c>
      <c r="S964" s="177">
        <f t="shared" si="3773"/>
        <v>0</v>
      </c>
      <c r="T964" s="177">
        <f t="shared" si="3773"/>
        <v>0</v>
      </c>
      <c r="U964" s="177">
        <f t="shared" si="3773"/>
        <v>0</v>
      </c>
      <c r="V964" s="177">
        <f t="shared" si="3773"/>
        <v>0</v>
      </c>
      <c r="W964" s="177">
        <f t="shared" si="3773"/>
        <v>0</v>
      </c>
      <c r="X964" s="177">
        <f t="shared" si="3773"/>
        <v>0</v>
      </c>
      <c r="Y964" s="177">
        <f t="shared" si="3773"/>
        <v>0</v>
      </c>
      <c r="Z964" s="177">
        <f t="shared" si="3773"/>
        <v>0</v>
      </c>
      <c r="AA964" s="177">
        <f t="shared" si="3773"/>
        <v>0</v>
      </c>
      <c r="AB964" s="177">
        <f t="shared" si="3773"/>
        <v>0</v>
      </c>
      <c r="AC964" s="177">
        <f t="shared" si="3773"/>
        <v>0</v>
      </c>
      <c r="AD964" s="177">
        <f t="shared" si="3773"/>
        <v>0</v>
      </c>
      <c r="AE964" s="177">
        <f t="shared" si="3773"/>
        <v>0</v>
      </c>
      <c r="AF964" s="177">
        <f t="shared" si="3773"/>
        <v>0</v>
      </c>
      <c r="AG964" s="177">
        <f t="shared" si="3773"/>
        <v>0</v>
      </c>
      <c r="AH964" s="177">
        <f t="shared" si="3773"/>
        <v>0</v>
      </c>
      <c r="AI964" s="177">
        <f t="shared" si="3773"/>
        <v>0</v>
      </c>
      <c r="AJ964" s="177">
        <f t="shared" si="3773"/>
        <v>0</v>
      </c>
      <c r="AK964" s="177">
        <f t="shared" si="3773"/>
        <v>0</v>
      </c>
      <c r="AL964" s="177">
        <f t="shared" si="3773"/>
        <v>0</v>
      </c>
      <c r="AM964" s="177">
        <f t="shared" si="3773"/>
        <v>0</v>
      </c>
      <c r="AN964" s="177">
        <f t="shared" si="3773"/>
        <v>0</v>
      </c>
      <c r="AO964" s="177">
        <f t="shared" si="3773"/>
        <v>0</v>
      </c>
      <c r="AP964" s="177">
        <f t="shared" si="3773"/>
        <v>0</v>
      </c>
      <c r="AQ964" s="177">
        <f t="shared" si="3773"/>
        <v>0</v>
      </c>
      <c r="AR964" s="177">
        <f t="shared" si="3773"/>
        <v>0</v>
      </c>
      <c r="AS964" s="177">
        <f t="shared" si="3773"/>
        <v>0</v>
      </c>
      <c r="AT964" s="177">
        <f t="shared" si="3773"/>
        <v>0</v>
      </c>
      <c r="AU964" s="177">
        <f t="shared" si="3773"/>
        <v>0</v>
      </c>
      <c r="AV964" s="177">
        <f t="shared" si="3773"/>
        <v>0</v>
      </c>
      <c r="AW964" s="177">
        <f t="shared" si="3773"/>
        <v>0</v>
      </c>
      <c r="AX964" s="177">
        <f t="shared" si="3773"/>
        <v>0</v>
      </c>
      <c r="AY964" s="177">
        <f t="shared" si="3773"/>
        <v>0</v>
      </c>
      <c r="AZ964" s="177">
        <f t="shared" si="3773"/>
        <v>0</v>
      </c>
      <c r="BA964" s="177">
        <f t="shared" si="3773"/>
        <v>0</v>
      </c>
      <c r="BB964" s="177">
        <f t="shared" si="3773"/>
        <v>0</v>
      </c>
      <c r="BC964" s="177"/>
      <c r="BD964" s="178">
        <f t="shared" si="3743"/>
        <v>5900000</v>
      </c>
    </row>
    <row r="965" spans="1:56" hidden="1" outlineLevel="1" x14ac:dyDescent="0.3">
      <c r="A965" s="175" t="str">
        <f ca="1">Language!A$971</f>
        <v>импортная пошлина</v>
      </c>
      <c r="C965" s="194" t="str">
        <f t="shared" ca="1" si="3687"/>
        <v>руб.</v>
      </c>
      <c r="D965" s="174">
        <v>1</v>
      </c>
      <c r="F965" s="170" t="s">
        <v>1066</v>
      </c>
      <c r="G965" s="177">
        <f t="shared" ref="G965:BB965" si="3774">SUM(G$873,G$903)</f>
        <v>0</v>
      </c>
      <c r="H965" s="177">
        <f t="shared" si="3774"/>
        <v>0</v>
      </c>
      <c r="I965" s="177">
        <f t="shared" si="3774"/>
        <v>0</v>
      </c>
      <c r="J965" s="177">
        <f t="shared" si="3774"/>
        <v>0</v>
      </c>
      <c r="K965" s="177">
        <f t="shared" si="3774"/>
        <v>0</v>
      </c>
      <c r="L965" s="177">
        <f t="shared" si="3774"/>
        <v>0</v>
      </c>
      <c r="M965" s="177">
        <f t="shared" si="3774"/>
        <v>0</v>
      </c>
      <c r="N965" s="177">
        <f t="shared" si="3774"/>
        <v>0</v>
      </c>
      <c r="O965" s="177">
        <f t="shared" si="3774"/>
        <v>0</v>
      </c>
      <c r="P965" s="177">
        <f t="shared" si="3774"/>
        <v>0</v>
      </c>
      <c r="Q965" s="177">
        <f t="shared" si="3774"/>
        <v>0</v>
      </c>
      <c r="R965" s="177">
        <f t="shared" si="3774"/>
        <v>0</v>
      </c>
      <c r="S965" s="177">
        <f t="shared" si="3774"/>
        <v>0</v>
      </c>
      <c r="T965" s="177">
        <f t="shared" si="3774"/>
        <v>0</v>
      </c>
      <c r="U965" s="177">
        <f t="shared" si="3774"/>
        <v>0</v>
      </c>
      <c r="V965" s="177">
        <f t="shared" si="3774"/>
        <v>0</v>
      </c>
      <c r="W965" s="177">
        <f t="shared" si="3774"/>
        <v>0</v>
      </c>
      <c r="X965" s="177">
        <f t="shared" si="3774"/>
        <v>0</v>
      </c>
      <c r="Y965" s="177">
        <f t="shared" si="3774"/>
        <v>0</v>
      </c>
      <c r="Z965" s="177">
        <f t="shared" si="3774"/>
        <v>0</v>
      </c>
      <c r="AA965" s="177">
        <f t="shared" si="3774"/>
        <v>0</v>
      </c>
      <c r="AB965" s="177">
        <f t="shared" si="3774"/>
        <v>0</v>
      </c>
      <c r="AC965" s="177">
        <f t="shared" si="3774"/>
        <v>0</v>
      </c>
      <c r="AD965" s="177">
        <f t="shared" si="3774"/>
        <v>0</v>
      </c>
      <c r="AE965" s="177">
        <f t="shared" si="3774"/>
        <v>0</v>
      </c>
      <c r="AF965" s="177">
        <f t="shared" si="3774"/>
        <v>0</v>
      </c>
      <c r="AG965" s="177">
        <f t="shared" si="3774"/>
        <v>0</v>
      </c>
      <c r="AH965" s="177">
        <f t="shared" si="3774"/>
        <v>0</v>
      </c>
      <c r="AI965" s="177">
        <f t="shared" si="3774"/>
        <v>0</v>
      </c>
      <c r="AJ965" s="177">
        <f t="shared" si="3774"/>
        <v>0</v>
      </c>
      <c r="AK965" s="177">
        <f t="shared" si="3774"/>
        <v>0</v>
      </c>
      <c r="AL965" s="177">
        <f t="shared" si="3774"/>
        <v>0</v>
      </c>
      <c r="AM965" s="177">
        <f t="shared" si="3774"/>
        <v>0</v>
      </c>
      <c r="AN965" s="177">
        <f t="shared" si="3774"/>
        <v>0</v>
      </c>
      <c r="AO965" s="177">
        <f t="shared" si="3774"/>
        <v>0</v>
      </c>
      <c r="AP965" s="177">
        <f t="shared" si="3774"/>
        <v>0</v>
      </c>
      <c r="AQ965" s="177">
        <f t="shared" si="3774"/>
        <v>0</v>
      </c>
      <c r="AR965" s="177">
        <f t="shared" si="3774"/>
        <v>0</v>
      </c>
      <c r="AS965" s="177">
        <f t="shared" si="3774"/>
        <v>0</v>
      </c>
      <c r="AT965" s="177">
        <f t="shared" si="3774"/>
        <v>0</v>
      </c>
      <c r="AU965" s="177">
        <f t="shared" si="3774"/>
        <v>0</v>
      </c>
      <c r="AV965" s="177">
        <f t="shared" si="3774"/>
        <v>0</v>
      </c>
      <c r="AW965" s="177">
        <f t="shared" si="3774"/>
        <v>0</v>
      </c>
      <c r="AX965" s="177">
        <f t="shared" si="3774"/>
        <v>0</v>
      </c>
      <c r="AY965" s="177">
        <f t="shared" si="3774"/>
        <v>0</v>
      </c>
      <c r="AZ965" s="177">
        <f t="shared" si="3774"/>
        <v>0</v>
      </c>
      <c r="BA965" s="177">
        <f t="shared" si="3774"/>
        <v>0</v>
      </c>
      <c r="BB965" s="177">
        <f t="shared" si="3774"/>
        <v>0</v>
      </c>
      <c r="BC965" s="177"/>
      <c r="BD965" s="178">
        <f t="shared" si="3743"/>
        <v>0</v>
      </c>
    </row>
    <row r="966" spans="1:56" hidden="1" outlineLevel="1" x14ac:dyDescent="0.3">
      <c r="A966" s="175" t="str">
        <f ca="1">Language!A$972</f>
        <v>незавершенные инвестиции</v>
      </c>
      <c r="C966" s="194" t="str">
        <f t="shared" ca="1" si="3687"/>
        <v>руб.</v>
      </c>
      <c r="D966" s="174">
        <v>1</v>
      </c>
      <c r="F966" s="170" t="s">
        <v>1067</v>
      </c>
      <c r="G966" s="177">
        <f t="shared" ref="G966:BB966" si="3775">SUM(G$874,G$904)</f>
        <v>0</v>
      </c>
      <c r="H966" s="177">
        <f t="shared" si="3775"/>
        <v>1366666.6666666667</v>
      </c>
      <c r="I966" s="177">
        <f t="shared" si="3775"/>
        <v>2733333.3333333335</v>
      </c>
      <c r="J966" s="177">
        <f t="shared" si="3775"/>
        <v>4100000</v>
      </c>
      <c r="K966" s="177">
        <f t="shared" si="3775"/>
        <v>4100000</v>
      </c>
      <c r="L966" s="177">
        <f t="shared" si="3775"/>
        <v>5900000</v>
      </c>
      <c r="M966" s="177">
        <f t="shared" si="3775"/>
        <v>0</v>
      </c>
      <c r="N966" s="177">
        <f t="shared" si="3775"/>
        <v>0</v>
      </c>
      <c r="O966" s="177">
        <f t="shared" si="3775"/>
        <v>0</v>
      </c>
      <c r="P966" s="177">
        <f t="shared" si="3775"/>
        <v>0</v>
      </c>
      <c r="Q966" s="177">
        <f t="shared" si="3775"/>
        <v>0</v>
      </c>
      <c r="R966" s="177">
        <f t="shared" si="3775"/>
        <v>0</v>
      </c>
      <c r="S966" s="177">
        <f t="shared" si="3775"/>
        <v>0</v>
      </c>
      <c r="T966" s="177">
        <f t="shared" si="3775"/>
        <v>0</v>
      </c>
      <c r="U966" s="177">
        <f t="shared" si="3775"/>
        <v>0</v>
      </c>
      <c r="V966" s="177">
        <f t="shared" si="3775"/>
        <v>0</v>
      </c>
      <c r="W966" s="177">
        <f t="shared" si="3775"/>
        <v>0</v>
      </c>
      <c r="X966" s="177">
        <f t="shared" si="3775"/>
        <v>0</v>
      </c>
      <c r="Y966" s="177">
        <f t="shared" si="3775"/>
        <v>0</v>
      </c>
      <c r="Z966" s="177">
        <f t="shared" si="3775"/>
        <v>0</v>
      </c>
      <c r="AA966" s="177">
        <f t="shared" si="3775"/>
        <v>0</v>
      </c>
      <c r="AB966" s="177">
        <f t="shared" si="3775"/>
        <v>0</v>
      </c>
      <c r="AC966" s="177">
        <f t="shared" si="3775"/>
        <v>0</v>
      </c>
      <c r="AD966" s="177">
        <f t="shared" si="3775"/>
        <v>0</v>
      </c>
      <c r="AE966" s="177">
        <f t="shared" si="3775"/>
        <v>0</v>
      </c>
      <c r="AF966" s="177">
        <f t="shared" si="3775"/>
        <v>0</v>
      </c>
      <c r="AG966" s="177">
        <f t="shared" si="3775"/>
        <v>0</v>
      </c>
      <c r="AH966" s="177">
        <f t="shared" si="3775"/>
        <v>0</v>
      </c>
      <c r="AI966" s="177">
        <f t="shared" si="3775"/>
        <v>0</v>
      </c>
      <c r="AJ966" s="177">
        <f t="shared" si="3775"/>
        <v>0</v>
      </c>
      <c r="AK966" s="177">
        <f t="shared" si="3775"/>
        <v>0</v>
      </c>
      <c r="AL966" s="177">
        <f t="shared" si="3775"/>
        <v>0</v>
      </c>
      <c r="AM966" s="177">
        <f t="shared" si="3775"/>
        <v>0</v>
      </c>
      <c r="AN966" s="177">
        <f t="shared" si="3775"/>
        <v>0</v>
      </c>
      <c r="AO966" s="177">
        <f t="shared" si="3775"/>
        <v>0</v>
      </c>
      <c r="AP966" s="177">
        <f t="shared" si="3775"/>
        <v>0</v>
      </c>
      <c r="AQ966" s="177">
        <f t="shared" si="3775"/>
        <v>0</v>
      </c>
      <c r="AR966" s="177">
        <f t="shared" si="3775"/>
        <v>0</v>
      </c>
      <c r="AS966" s="177">
        <f t="shared" si="3775"/>
        <v>0</v>
      </c>
      <c r="AT966" s="177">
        <f t="shared" si="3775"/>
        <v>0</v>
      </c>
      <c r="AU966" s="177">
        <f t="shared" si="3775"/>
        <v>0</v>
      </c>
      <c r="AV966" s="177">
        <f t="shared" si="3775"/>
        <v>0</v>
      </c>
      <c r="AW966" s="177">
        <f t="shared" si="3775"/>
        <v>0</v>
      </c>
      <c r="AX966" s="177">
        <f t="shared" si="3775"/>
        <v>0</v>
      </c>
      <c r="AY966" s="177">
        <f t="shared" si="3775"/>
        <v>0</v>
      </c>
      <c r="AZ966" s="177">
        <f t="shared" si="3775"/>
        <v>0</v>
      </c>
      <c r="BA966" s="177">
        <f t="shared" si="3775"/>
        <v>0</v>
      </c>
      <c r="BB966" s="177">
        <f t="shared" si="3775"/>
        <v>0</v>
      </c>
      <c r="BC966" s="177"/>
      <c r="BD966" s="178"/>
    </row>
    <row r="967" spans="1:56" hidden="1" outlineLevel="1" x14ac:dyDescent="0.3">
      <c r="A967" s="175" t="str">
        <f ca="1">Language!A$973</f>
        <v>кредиторская задолженность</v>
      </c>
      <c r="C967" s="194" t="str">
        <f t="shared" ca="1" si="3687"/>
        <v>руб.</v>
      </c>
      <c r="D967" s="174">
        <v>1</v>
      </c>
      <c r="F967" s="170" t="s">
        <v>1068</v>
      </c>
      <c r="G967" s="177">
        <f t="shared" ref="G967:BB967" si="3776">SUM(G$875,G$905)</f>
        <v>0</v>
      </c>
      <c r="H967" s="177">
        <f t="shared" si="3776"/>
        <v>0</v>
      </c>
      <c r="I967" s="177">
        <f t="shared" si="3776"/>
        <v>0</v>
      </c>
      <c r="J967" s="177">
        <f t="shared" si="3776"/>
        <v>0</v>
      </c>
      <c r="K967" s="177">
        <f t="shared" si="3776"/>
        <v>0</v>
      </c>
      <c r="L967" s="177">
        <f t="shared" si="3776"/>
        <v>0</v>
      </c>
      <c r="M967" s="177">
        <f t="shared" si="3776"/>
        <v>0</v>
      </c>
      <c r="N967" s="177">
        <f t="shared" si="3776"/>
        <v>0</v>
      </c>
      <c r="O967" s="177">
        <f t="shared" si="3776"/>
        <v>0</v>
      </c>
      <c r="P967" s="177">
        <f t="shared" si="3776"/>
        <v>0</v>
      </c>
      <c r="Q967" s="177">
        <f t="shared" si="3776"/>
        <v>0</v>
      </c>
      <c r="R967" s="177">
        <f t="shared" si="3776"/>
        <v>0</v>
      </c>
      <c r="S967" s="177">
        <f t="shared" si="3776"/>
        <v>0</v>
      </c>
      <c r="T967" s="177">
        <f t="shared" si="3776"/>
        <v>0</v>
      </c>
      <c r="U967" s="177">
        <f t="shared" si="3776"/>
        <v>0</v>
      </c>
      <c r="V967" s="177">
        <f t="shared" si="3776"/>
        <v>0</v>
      </c>
      <c r="W967" s="177">
        <f t="shared" si="3776"/>
        <v>0</v>
      </c>
      <c r="X967" s="177">
        <f t="shared" si="3776"/>
        <v>0</v>
      </c>
      <c r="Y967" s="177">
        <f t="shared" si="3776"/>
        <v>0</v>
      </c>
      <c r="Z967" s="177">
        <f t="shared" si="3776"/>
        <v>0</v>
      </c>
      <c r="AA967" s="177">
        <f t="shared" si="3776"/>
        <v>0</v>
      </c>
      <c r="AB967" s="177">
        <f t="shared" si="3776"/>
        <v>0</v>
      </c>
      <c r="AC967" s="177">
        <f t="shared" si="3776"/>
        <v>0</v>
      </c>
      <c r="AD967" s="177">
        <f t="shared" si="3776"/>
        <v>0</v>
      </c>
      <c r="AE967" s="177">
        <f t="shared" si="3776"/>
        <v>0</v>
      </c>
      <c r="AF967" s="177">
        <f t="shared" si="3776"/>
        <v>0</v>
      </c>
      <c r="AG967" s="177">
        <f t="shared" si="3776"/>
        <v>0</v>
      </c>
      <c r="AH967" s="177">
        <f t="shared" si="3776"/>
        <v>0</v>
      </c>
      <c r="AI967" s="177">
        <f t="shared" si="3776"/>
        <v>0</v>
      </c>
      <c r="AJ967" s="177">
        <f t="shared" si="3776"/>
        <v>0</v>
      </c>
      <c r="AK967" s="177">
        <f t="shared" si="3776"/>
        <v>0</v>
      </c>
      <c r="AL967" s="177">
        <f t="shared" si="3776"/>
        <v>0</v>
      </c>
      <c r="AM967" s="177">
        <f t="shared" si="3776"/>
        <v>0</v>
      </c>
      <c r="AN967" s="177">
        <f t="shared" si="3776"/>
        <v>0</v>
      </c>
      <c r="AO967" s="177">
        <f t="shared" si="3776"/>
        <v>0</v>
      </c>
      <c r="AP967" s="177">
        <f t="shared" si="3776"/>
        <v>0</v>
      </c>
      <c r="AQ967" s="177">
        <f t="shared" si="3776"/>
        <v>0</v>
      </c>
      <c r="AR967" s="177">
        <f t="shared" si="3776"/>
        <v>0</v>
      </c>
      <c r="AS967" s="177">
        <f t="shared" si="3776"/>
        <v>0</v>
      </c>
      <c r="AT967" s="177">
        <f t="shared" si="3776"/>
        <v>0</v>
      </c>
      <c r="AU967" s="177">
        <f t="shared" si="3776"/>
        <v>0</v>
      </c>
      <c r="AV967" s="177">
        <f t="shared" si="3776"/>
        <v>0</v>
      </c>
      <c r="AW967" s="177">
        <f t="shared" si="3776"/>
        <v>0</v>
      </c>
      <c r="AX967" s="177">
        <f t="shared" si="3776"/>
        <v>0</v>
      </c>
      <c r="AY967" s="177">
        <f t="shared" si="3776"/>
        <v>0</v>
      </c>
      <c r="AZ967" s="177">
        <f t="shared" si="3776"/>
        <v>0</v>
      </c>
      <c r="BA967" s="177">
        <f t="shared" si="3776"/>
        <v>0</v>
      </c>
      <c r="BB967" s="177">
        <f t="shared" si="3776"/>
        <v>0</v>
      </c>
      <c r="BC967" s="177"/>
      <c r="BD967" s="178"/>
    </row>
    <row r="968" spans="1:56" hidden="1" outlineLevel="1" x14ac:dyDescent="0.3">
      <c r="A968" s="175" t="str">
        <f ca="1">Language!A$974</f>
        <v>амортизация (бухгалтерская)</v>
      </c>
      <c r="C968" s="194" t="str">
        <f t="shared" ca="1" si="3687"/>
        <v>руб.</v>
      </c>
      <c r="D968" s="174">
        <v>1</v>
      </c>
      <c r="F968" s="170" t="s">
        <v>1069</v>
      </c>
      <c r="G968" s="177">
        <f t="shared" ref="G968:BB968" ca="1" si="3777">SUM(G$877,G$907)</f>
        <v>0</v>
      </c>
      <c r="H968" s="177">
        <f t="shared" ca="1" si="3777"/>
        <v>0</v>
      </c>
      <c r="I968" s="177">
        <f t="shared" ca="1" si="3777"/>
        <v>0</v>
      </c>
      <c r="J968" s="177">
        <f t="shared" ca="1" si="3777"/>
        <v>0</v>
      </c>
      <c r="K968" s="177">
        <f t="shared" ca="1" si="3777"/>
        <v>0</v>
      </c>
      <c r="L968" s="177">
        <f t="shared" ca="1" si="3777"/>
        <v>0</v>
      </c>
      <c r="M968" s="177">
        <f t="shared" ca="1" si="3777"/>
        <v>49166.666666666664</v>
      </c>
      <c r="N968" s="177">
        <f t="shared" ca="1" si="3777"/>
        <v>49166.666666666664</v>
      </c>
      <c r="O968" s="177">
        <f t="shared" ca="1" si="3777"/>
        <v>49166.666666666664</v>
      </c>
      <c r="P968" s="177">
        <f t="shared" ca="1" si="3777"/>
        <v>49166.666666666664</v>
      </c>
      <c r="Q968" s="177">
        <f t="shared" ca="1" si="3777"/>
        <v>49166.666666666664</v>
      </c>
      <c r="R968" s="177">
        <f t="shared" ca="1" si="3777"/>
        <v>49166.666666666664</v>
      </c>
      <c r="S968" s="177">
        <f t="shared" ca="1" si="3777"/>
        <v>49166.666666666664</v>
      </c>
      <c r="T968" s="177">
        <f t="shared" ca="1" si="3777"/>
        <v>49166.666666666664</v>
      </c>
      <c r="U968" s="177">
        <f t="shared" ca="1" si="3777"/>
        <v>49166.666666666664</v>
      </c>
      <c r="V968" s="177">
        <f t="shared" ca="1" si="3777"/>
        <v>49166.666666666664</v>
      </c>
      <c r="W968" s="177">
        <f t="shared" ca="1" si="3777"/>
        <v>49166.666666666664</v>
      </c>
      <c r="X968" s="177">
        <f t="shared" ca="1" si="3777"/>
        <v>49166.666666666664</v>
      </c>
      <c r="Y968" s="177">
        <f t="shared" ca="1" si="3777"/>
        <v>49166.666666666664</v>
      </c>
      <c r="Z968" s="177">
        <f t="shared" ca="1" si="3777"/>
        <v>49166.666666666664</v>
      </c>
      <c r="AA968" s="177">
        <f t="shared" ca="1" si="3777"/>
        <v>49166.666666666664</v>
      </c>
      <c r="AB968" s="177">
        <f t="shared" ca="1" si="3777"/>
        <v>49166.666666666664</v>
      </c>
      <c r="AC968" s="177">
        <f t="shared" ca="1" si="3777"/>
        <v>49166.666666666664</v>
      </c>
      <c r="AD968" s="177">
        <f t="shared" ca="1" si="3777"/>
        <v>49166.666666666664</v>
      </c>
      <c r="AE968" s="177">
        <f t="shared" ca="1" si="3777"/>
        <v>49166.666666666664</v>
      </c>
      <c r="AF968" s="177">
        <f t="shared" ca="1" si="3777"/>
        <v>49166.666666666664</v>
      </c>
      <c r="AG968" s="177">
        <f t="shared" ca="1" si="3777"/>
        <v>49166.666666666664</v>
      </c>
      <c r="AH968" s="177">
        <f t="shared" ca="1" si="3777"/>
        <v>49166.666666666664</v>
      </c>
      <c r="AI968" s="177">
        <f t="shared" ca="1" si="3777"/>
        <v>49166.666666666664</v>
      </c>
      <c r="AJ968" s="177">
        <f t="shared" ca="1" si="3777"/>
        <v>49166.666666666664</v>
      </c>
      <c r="AK968" s="177">
        <f t="shared" ca="1" si="3777"/>
        <v>49166.666666666664</v>
      </c>
      <c r="AL968" s="177">
        <f t="shared" ca="1" si="3777"/>
        <v>49166.666666666664</v>
      </c>
      <c r="AM968" s="177">
        <f t="shared" ca="1" si="3777"/>
        <v>49166.666666666664</v>
      </c>
      <c r="AN968" s="177">
        <f t="shared" ca="1" si="3777"/>
        <v>49166.666666666664</v>
      </c>
      <c r="AO968" s="177">
        <f t="shared" ca="1" si="3777"/>
        <v>49166.666666666664</v>
      </c>
      <c r="AP968" s="177">
        <f t="shared" ca="1" si="3777"/>
        <v>49166.666666666664</v>
      </c>
      <c r="AQ968" s="177">
        <f t="shared" ca="1" si="3777"/>
        <v>49166.666666666664</v>
      </c>
      <c r="AR968" s="177">
        <f t="shared" ca="1" si="3777"/>
        <v>49166.666666666664</v>
      </c>
      <c r="AS968" s="177">
        <f t="shared" ca="1" si="3777"/>
        <v>49166.666666666664</v>
      </c>
      <c r="AT968" s="177">
        <f t="shared" ca="1" si="3777"/>
        <v>49166.666666666664</v>
      </c>
      <c r="AU968" s="177">
        <f t="shared" ca="1" si="3777"/>
        <v>49166.666666666664</v>
      </c>
      <c r="AV968" s="177">
        <f t="shared" ca="1" si="3777"/>
        <v>49166.666666666664</v>
      </c>
      <c r="AW968" s="177">
        <f t="shared" ca="1" si="3777"/>
        <v>49166.666666666664</v>
      </c>
      <c r="AX968" s="177">
        <f t="shared" ca="1" si="3777"/>
        <v>49166.666666666664</v>
      </c>
      <c r="AY968" s="177">
        <f t="shared" ca="1" si="3777"/>
        <v>49166.666666666664</v>
      </c>
      <c r="AZ968" s="177">
        <f t="shared" ca="1" si="3777"/>
        <v>49166.666666666664</v>
      </c>
      <c r="BA968" s="177">
        <f t="shared" ca="1" si="3777"/>
        <v>49166.666666666664</v>
      </c>
      <c r="BB968" s="177">
        <f t="shared" ca="1" si="3777"/>
        <v>49166.666666666664</v>
      </c>
      <c r="BC968" s="177"/>
      <c r="BD968" s="178">
        <f ca="1">SUM(G968:BC968)</f>
        <v>2065000.0000000012</v>
      </c>
    </row>
    <row r="969" spans="1:56" hidden="1" outlineLevel="1" x14ac:dyDescent="0.3">
      <c r="A969" s="175" t="str">
        <f ca="1">Language!A$975</f>
        <v>балансовая стоимость (бухгалтерская)</v>
      </c>
      <c r="C969" s="194" t="str">
        <f t="shared" ca="1" si="3687"/>
        <v>руб.</v>
      </c>
      <c r="D969" s="174">
        <v>1</v>
      </c>
      <c r="F969" s="170" t="s">
        <v>1070</v>
      </c>
      <c r="G969" s="177">
        <f t="shared" ref="G969:BB969" ca="1" si="3778">SUM(G$878,G$908)</f>
        <v>0</v>
      </c>
      <c r="H969" s="177">
        <f t="shared" ca="1" si="3778"/>
        <v>0</v>
      </c>
      <c r="I969" s="177">
        <f t="shared" ca="1" si="3778"/>
        <v>0</v>
      </c>
      <c r="J969" s="177">
        <f t="shared" ca="1" si="3778"/>
        <v>0</v>
      </c>
      <c r="K969" s="177">
        <f t="shared" ca="1" si="3778"/>
        <v>0</v>
      </c>
      <c r="L969" s="177">
        <f t="shared" ca="1" si="3778"/>
        <v>0</v>
      </c>
      <c r="M969" s="177">
        <f t="shared" ca="1" si="3778"/>
        <v>5850833.333333334</v>
      </c>
      <c r="N969" s="177">
        <f t="shared" ca="1" si="3778"/>
        <v>5801666.666666666</v>
      </c>
      <c r="O969" s="177">
        <f t="shared" ca="1" si="3778"/>
        <v>5752500</v>
      </c>
      <c r="P969" s="177">
        <f t="shared" ca="1" si="3778"/>
        <v>5703333.333333334</v>
      </c>
      <c r="Q969" s="177">
        <f t="shared" ca="1" si="3778"/>
        <v>5654166.666666666</v>
      </c>
      <c r="R969" s="177">
        <f t="shared" ca="1" si="3778"/>
        <v>5605000</v>
      </c>
      <c r="S969" s="177">
        <f t="shared" ca="1" si="3778"/>
        <v>5555833.333333334</v>
      </c>
      <c r="T969" s="177">
        <f t="shared" ca="1" si="3778"/>
        <v>5506666.666666666</v>
      </c>
      <c r="U969" s="177">
        <f t="shared" ca="1" si="3778"/>
        <v>5457500</v>
      </c>
      <c r="V969" s="177">
        <f t="shared" ca="1" si="3778"/>
        <v>5408333.333333334</v>
      </c>
      <c r="W969" s="177">
        <f t="shared" ca="1" si="3778"/>
        <v>5359166.666666666</v>
      </c>
      <c r="X969" s="177">
        <f t="shared" ca="1" si="3778"/>
        <v>5310000</v>
      </c>
      <c r="Y969" s="177">
        <f t="shared" ca="1" si="3778"/>
        <v>5260833.333333333</v>
      </c>
      <c r="Z969" s="177">
        <f t="shared" ca="1" si="3778"/>
        <v>5211666.666666666</v>
      </c>
      <c r="AA969" s="177">
        <f t="shared" ca="1" si="3778"/>
        <v>5162500</v>
      </c>
      <c r="AB969" s="177">
        <f t="shared" ca="1" si="3778"/>
        <v>5113333.333333333</v>
      </c>
      <c r="AC969" s="177">
        <f t="shared" ca="1" si="3778"/>
        <v>5064166.666666666</v>
      </c>
      <c r="AD969" s="177">
        <f t="shared" ca="1" si="3778"/>
        <v>5015000</v>
      </c>
      <c r="AE969" s="177">
        <f t="shared" ca="1" si="3778"/>
        <v>4965833.333333334</v>
      </c>
      <c r="AF969" s="177">
        <f t="shared" ca="1" si="3778"/>
        <v>4916666.666666667</v>
      </c>
      <c r="AG969" s="177">
        <f t="shared" ca="1" si="3778"/>
        <v>4867500</v>
      </c>
      <c r="AH969" s="177">
        <f t="shared" ca="1" si="3778"/>
        <v>4818333.333333334</v>
      </c>
      <c r="AI969" s="177">
        <f t="shared" ca="1" si="3778"/>
        <v>4769166.666666667</v>
      </c>
      <c r="AJ969" s="177">
        <f t="shared" ca="1" si="3778"/>
        <v>4720000</v>
      </c>
      <c r="AK969" s="177">
        <f t="shared" ca="1" si="3778"/>
        <v>4670833.333333334</v>
      </c>
      <c r="AL969" s="177">
        <f t="shared" ca="1" si="3778"/>
        <v>4621666.666666667</v>
      </c>
      <c r="AM969" s="177">
        <f t="shared" ca="1" si="3778"/>
        <v>4572500</v>
      </c>
      <c r="AN969" s="177">
        <f t="shared" ca="1" si="3778"/>
        <v>4523333.333333334</v>
      </c>
      <c r="AO969" s="177">
        <f t="shared" ca="1" si="3778"/>
        <v>4474166.666666667</v>
      </c>
      <c r="AP969" s="177">
        <f t="shared" ca="1" si="3778"/>
        <v>4425000</v>
      </c>
      <c r="AQ969" s="177">
        <f t="shared" ca="1" si="3778"/>
        <v>4375833.333333334</v>
      </c>
      <c r="AR969" s="177">
        <f t="shared" ca="1" si="3778"/>
        <v>4326666.666666667</v>
      </c>
      <c r="AS969" s="177">
        <f t="shared" ca="1" si="3778"/>
        <v>4277500</v>
      </c>
      <c r="AT969" s="177">
        <f t="shared" ca="1" si="3778"/>
        <v>4228333.333333334</v>
      </c>
      <c r="AU969" s="177">
        <f t="shared" ca="1" si="3778"/>
        <v>4179166.666666667</v>
      </c>
      <c r="AV969" s="177">
        <f t="shared" ca="1" si="3778"/>
        <v>4130000</v>
      </c>
      <c r="AW969" s="177">
        <f t="shared" ca="1" si="3778"/>
        <v>4080833.333333333</v>
      </c>
      <c r="AX969" s="177">
        <f t="shared" ca="1" si="3778"/>
        <v>4031666.6666666665</v>
      </c>
      <c r="AY969" s="177">
        <f t="shared" ca="1" si="3778"/>
        <v>3982500</v>
      </c>
      <c r="AZ969" s="177">
        <f t="shared" ca="1" si="3778"/>
        <v>3933333.333333333</v>
      </c>
      <c r="BA969" s="177">
        <f t="shared" ca="1" si="3778"/>
        <v>3884166.666666666</v>
      </c>
      <c r="BB969" s="177">
        <f t="shared" ca="1" si="3778"/>
        <v>3834999.9999999995</v>
      </c>
      <c r="BC969" s="177"/>
      <c r="BD969" s="178"/>
    </row>
    <row r="970" spans="1:56" hidden="1" outlineLevel="1" x14ac:dyDescent="0.3">
      <c r="A970" s="175" t="str">
        <f ca="1">Language!A$976</f>
        <v>выплаченный НДС</v>
      </c>
      <c r="C970" s="194" t="str">
        <f t="shared" ca="1" si="3687"/>
        <v>руб.</v>
      </c>
      <c r="D970" s="174">
        <v>1</v>
      </c>
      <c r="F970" s="170" t="s">
        <v>1071</v>
      </c>
      <c r="G970" s="177">
        <f t="shared" ref="G970:BB970" si="3779">SUM(G$879,G$909)</f>
        <v>0</v>
      </c>
      <c r="H970" s="177">
        <f t="shared" si="3779"/>
        <v>0</v>
      </c>
      <c r="I970" s="177">
        <f t="shared" si="3779"/>
        <v>0</v>
      </c>
      <c r="J970" s="177">
        <f t="shared" si="3779"/>
        <v>0</v>
      </c>
      <c r="K970" s="177">
        <f t="shared" si="3779"/>
        <v>0</v>
      </c>
      <c r="L970" s="177">
        <f t="shared" si="3779"/>
        <v>0</v>
      </c>
      <c r="M970" s="177">
        <f t="shared" si="3779"/>
        <v>0</v>
      </c>
      <c r="N970" s="177">
        <f t="shared" si="3779"/>
        <v>0</v>
      </c>
      <c r="O970" s="177">
        <f t="shared" si="3779"/>
        <v>0</v>
      </c>
      <c r="P970" s="177">
        <f t="shared" si="3779"/>
        <v>0</v>
      </c>
      <c r="Q970" s="177">
        <f t="shared" si="3779"/>
        <v>0</v>
      </c>
      <c r="R970" s="177">
        <f t="shared" si="3779"/>
        <v>0</v>
      </c>
      <c r="S970" s="177">
        <f t="shared" si="3779"/>
        <v>0</v>
      </c>
      <c r="T970" s="177">
        <f t="shared" si="3779"/>
        <v>0</v>
      </c>
      <c r="U970" s="177">
        <f t="shared" si="3779"/>
        <v>0</v>
      </c>
      <c r="V970" s="177">
        <f t="shared" si="3779"/>
        <v>0</v>
      </c>
      <c r="W970" s="177">
        <f t="shared" si="3779"/>
        <v>0</v>
      </c>
      <c r="X970" s="177">
        <f t="shared" si="3779"/>
        <v>0</v>
      </c>
      <c r="Y970" s="177">
        <f t="shared" si="3779"/>
        <v>0</v>
      </c>
      <c r="Z970" s="177">
        <f t="shared" si="3779"/>
        <v>0</v>
      </c>
      <c r="AA970" s="177">
        <f t="shared" si="3779"/>
        <v>0</v>
      </c>
      <c r="AB970" s="177">
        <f t="shared" si="3779"/>
        <v>0</v>
      </c>
      <c r="AC970" s="177">
        <f t="shared" si="3779"/>
        <v>0</v>
      </c>
      <c r="AD970" s="177">
        <f t="shared" si="3779"/>
        <v>0</v>
      </c>
      <c r="AE970" s="177">
        <f t="shared" si="3779"/>
        <v>0</v>
      </c>
      <c r="AF970" s="177">
        <f t="shared" si="3779"/>
        <v>0</v>
      </c>
      <c r="AG970" s="177">
        <f t="shared" si="3779"/>
        <v>0</v>
      </c>
      <c r="AH970" s="177">
        <f t="shared" si="3779"/>
        <v>0</v>
      </c>
      <c r="AI970" s="177">
        <f t="shared" si="3779"/>
        <v>0</v>
      </c>
      <c r="AJ970" s="177">
        <f t="shared" si="3779"/>
        <v>0</v>
      </c>
      <c r="AK970" s="177">
        <f t="shared" si="3779"/>
        <v>0</v>
      </c>
      <c r="AL970" s="177">
        <f t="shared" si="3779"/>
        <v>0</v>
      </c>
      <c r="AM970" s="177">
        <f t="shared" si="3779"/>
        <v>0</v>
      </c>
      <c r="AN970" s="177">
        <f t="shared" si="3779"/>
        <v>0</v>
      </c>
      <c r="AO970" s="177">
        <f t="shared" si="3779"/>
        <v>0</v>
      </c>
      <c r="AP970" s="177">
        <f t="shared" si="3779"/>
        <v>0</v>
      </c>
      <c r="AQ970" s="177">
        <f t="shared" si="3779"/>
        <v>0</v>
      </c>
      <c r="AR970" s="177">
        <f t="shared" si="3779"/>
        <v>0</v>
      </c>
      <c r="AS970" s="177">
        <f t="shared" si="3779"/>
        <v>0</v>
      </c>
      <c r="AT970" s="177">
        <f t="shared" si="3779"/>
        <v>0</v>
      </c>
      <c r="AU970" s="177">
        <f t="shared" si="3779"/>
        <v>0</v>
      </c>
      <c r="AV970" s="177">
        <f t="shared" si="3779"/>
        <v>0</v>
      </c>
      <c r="AW970" s="177">
        <f t="shared" si="3779"/>
        <v>0</v>
      </c>
      <c r="AX970" s="177">
        <f t="shared" si="3779"/>
        <v>0</v>
      </c>
      <c r="AY970" s="177">
        <f t="shared" si="3779"/>
        <v>0</v>
      </c>
      <c r="AZ970" s="177">
        <f t="shared" si="3779"/>
        <v>0</v>
      </c>
      <c r="BA970" s="177">
        <f t="shared" si="3779"/>
        <v>0</v>
      </c>
      <c r="BB970" s="177">
        <f t="shared" si="3779"/>
        <v>0</v>
      </c>
      <c r="BC970" s="177"/>
      <c r="BD970" s="178">
        <f>SUM(G970:BC970)</f>
        <v>0</v>
      </c>
    </row>
    <row r="971" spans="1:56" hidden="1" outlineLevel="1" x14ac:dyDescent="0.3">
      <c r="A971" s="175" t="str">
        <f ca="1">Language!A$977</f>
        <v>зачтенный НДС</v>
      </c>
      <c r="C971" s="194" t="str">
        <f t="shared" ca="1" si="3687"/>
        <v>руб.</v>
      </c>
      <c r="D971" s="174">
        <v>1</v>
      </c>
      <c r="F971" s="170" t="s">
        <v>1072</v>
      </c>
      <c r="G971" s="177">
        <f t="shared" ref="G971:BB971" si="3780">SUM(G$880,G$910)</f>
        <v>0</v>
      </c>
      <c r="H971" s="177">
        <f t="shared" si="3780"/>
        <v>0</v>
      </c>
      <c r="I971" s="177">
        <f t="shared" si="3780"/>
        <v>0</v>
      </c>
      <c r="J971" s="177">
        <f t="shared" si="3780"/>
        <v>0</v>
      </c>
      <c r="K971" s="177">
        <f t="shared" si="3780"/>
        <v>0</v>
      </c>
      <c r="L971" s="177">
        <f t="shared" si="3780"/>
        <v>0</v>
      </c>
      <c r="M971" s="177">
        <f t="shared" si="3780"/>
        <v>0</v>
      </c>
      <c r="N971" s="177">
        <f t="shared" si="3780"/>
        <v>0</v>
      </c>
      <c r="O971" s="177">
        <f t="shared" si="3780"/>
        <v>0</v>
      </c>
      <c r="P971" s="177">
        <f t="shared" si="3780"/>
        <v>0</v>
      </c>
      <c r="Q971" s="177">
        <f t="shared" si="3780"/>
        <v>0</v>
      </c>
      <c r="R971" s="177">
        <f t="shared" si="3780"/>
        <v>0</v>
      </c>
      <c r="S971" s="177">
        <f t="shared" si="3780"/>
        <v>0</v>
      </c>
      <c r="T971" s="177">
        <f t="shared" si="3780"/>
        <v>0</v>
      </c>
      <c r="U971" s="177">
        <f t="shared" si="3780"/>
        <v>0</v>
      </c>
      <c r="V971" s="177">
        <f t="shared" si="3780"/>
        <v>0</v>
      </c>
      <c r="W971" s="177">
        <f t="shared" si="3780"/>
        <v>0</v>
      </c>
      <c r="X971" s="177">
        <f t="shared" si="3780"/>
        <v>0</v>
      </c>
      <c r="Y971" s="177">
        <f t="shared" si="3780"/>
        <v>0</v>
      </c>
      <c r="Z971" s="177">
        <f t="shared" si="3780"/>
        <v>0</v>
      </c>
      <c r="AA971" s="177">
        <f t="shared" si="3780"/>
        <v>0</v>
      </c>
      <c r="AB971" s="177">
        <f t="shared" si="3780"/>
        <v>0</v>
      </c>
      <c r="AC971" s="177">
        <f t="shared" si="3780"/>
        <v>0</v>
      </c>
      <c r="AD971" s="177">
        <f t="shared" si="3780"/>
        <v>0</v>
      </c>
      <c r="AE971" s="177">
        <f t="shared" si="3780"/>
        <v>0</v>
      </c>
      <c r="AF971" s="177">
        <f t="shared" si="3780"/>
        <v>0</v>
      </c>
      <c r="AG971" s="177">
        <f t="shared" si="3780"/>
        <v>0</v>
      </c>
      <c r="AH971" s="177">
        <f t="shared" si="3780"/>
        <v>0</v>
      </c>
      <c r="AI971" s="177">
        <f t="shared" si="3780"/>
        <v>0</v>
      </c>
      <c r="AJ971" s="177">
        <f t="shared" si="3780"/>
        <v>0</v>
      </c>
      <c r="AK971" s="177">
        <f t="shared" si="3780"/>
        <v>0</v>
      </c>
      <c r="AL971" s="177">
        <f t="shared" si="3780"/>
        <v>0</v>
      </c>
      <c r="AM971" s="177">
        <f t="shared" si="3780"/>
        <v>0</v>
      </c>
      <c r="AN971" s="177">
        <f t="shared" si="3780"/>
        <v>0</v>
      </c>
      <c r="AO971" s="177">
        <f t="shared" si="3780"/>
        <v>0</v>
      </c>
      <c r="AP971" s="177">
        <f t="shared" si="3780"/>
        <v>0</v>
      </c>
      <c r="AQ971" s="177">
        <f t="shared" si="3780"/>
        <v>0</v>
      </c>
      <c r="AR971" s="177">
        <f t="shared" si="3780"/>
        <v>0</v>
      </c>
      <c r="AS971" s="177">
        <f t="shared" si="3780"/>
        <v>0</v>
      </c>
      <c r="AT971" s="177">
        <f t="shared" si="3780"/>
        <v>0</v>
      </c>
      <c r="AU971" s="177">
        <f t="shared" si="3780"/>
        <v>0</v>
      </c>
      <c r="AV971" s="177">
        <f t="shared" si="3780"/>
        <v>0</v>
      </c>
      <c r="AW971" s="177">
        <f t="shared" si="3780"/>
        <v>0</v>
      </c>
      <c r="AX971" s="177">
        <f t="shared" si="3780"/>
        <v>0</v>
      </c>
      <c r="AY971" s="177">
        <f t="shared" si="3780"/>
        <v>0</v>
      </c>
      <c r="AZ971" s="177">
        <f t="shared" si="3780"/>
        <v>0</v>
      </c>
      <c r="BA971" s="177">
        <f t="shared" si="3780"/>
        <v>0</v>
      </c>
      <c r="BB971" s="177">
        <f t="shared" si="3780"/>
        <v>0</v>
      </c>
      <c r="BC971" s="177"/>
      <c r="BD971" s="178">
        <f>SUM(G971:BC971)</f>
        <v>0</v>
      </c>
    </row>
    <row r="972" spans="1:56" hidden="1" outlineLevel="1" x14ac:dyDescent="0.3">
      <c r="A972" s="175" t="str">
        <f ca="1">Language!A$978</f>
        <v>амортизация (налоговая)</v>
      </c>
      <c r="C972" s="194" t="str">
        <f t="shared" ca="1" si="3687"/>
        <v>руб.</v>
      </c>
      <c r="D972" s="174">
        <v>1</v>
      </c>
      <c r="F972" s="170" t="s">
        <v>1073</v>
      </c>
      <c r="G972" s="177">
        <f t="shared" ref="G972:BB972" ca="1" si="3781">SUM(G$881,G$911)</f>
        <v>0</v>
      </c>
      <c r="H972" s="177">
        <f t="shared" ca="1" si="3781"/>
        <v>0</v>
      </c>
      <c r="I972" s="177">
        <f t="shared" ca="1" si="3781"/>
        <v>0</v>
      </c>
      <c r="J972" s="177">
        <f t="shared" ca="1" si="3781"/>
        <v>0</v>
      </c>
      <c r="K972" s="177">
        <f t="shared" ca="1" si="3781"/>
        <v>0</v>
      </c>
      <c r="L972" s="177">
        <f t="shared" ca="1" si="3781"/>
        <v>0</v>
      </c>
      <c r="M972" s="177">
        <f t="shared" ca="1" si="3781"/>
        <v>49166.666666666664</v>
      </c>
      <c r="N972" s="177">
        <f t="shared" ca="1" si="3781"/>
        <v>49166.666666666664</v>
      </c>
      <c r="O972" s="177">
        <f t="shared" ca="1" si="3781"/>
        <v>49166.666666666664</v>
      </c>
      <c r="P972" s="177">
        <f t="shared" ca="1" si="3781"/>
        <v>49166.666666666664</v>
      </c>
      <c r="Q972" s="177">
        <f t="shared" ca="1" si="3781"/>
        <v>49166.666666666664</v>
      </c>
      <c r="R972" s="177">
        <f t="shared" ca="1" si="3781"/>
        <v>49166.666666666664</v>
      </c>
      <c r="S972" s="177">
        <f t="shared" ca="1" si="3781"/>
        <v>49166.666666666664</v>
      </c>
      <c r="T972" s="177">
        <f t="shared" ca="1" si="3781"/>
        <v>49166.666666666664</v>
      </c>
      <c r="U972" s="177">
        <f t="shared" ca="1" si="3781"/>
        <v>49166.666666666664</v>
      </c>
      <c r="V972" s="177">
        <f t="shared" ca="1" si="3781"/>
        <v>49166.666666666664</v>
      </c>
      <c r="W972" s="177">
        <f t="shared" ca="1" si="3781"/>
        <v>49166.666666666664</v>
      </c>
      <c r="X972" s="177">
        <f t="shared" ca="1" si="3781"/>
        <v>49166.666666666664</v>
      </c>
      <c r="Y972" s="177">
        <f t="shared" ca="1" si="3781"/>
        <v>49166.666666666664</v>
      </c>
      <c r="Z972" s="177">
        <f t="shared" ca="1" si="3781"/>
        <v>49166.666666666664</v>
      </c>
      <c r="AA972" s="177">
        <f t="shared" ca="1" si="3781"/>
        <v>49166.666666666664</v>
      </c>
      <c r="AB972" s="177">
        <f t="shared" ca="1" si="3781"/>
        <v>49166.666666666664</v>
      </c>
      <c r="AC972" s="177">
        <f t="shared" ca="1" si="3781"/>
        <v>49166.666666666664</v>
      </c>
      <c r="AD972" s="177">
        <f t="shared" ca="1" si="3781"/>
        <v>49166.666666666664</v>
      </c>
      <c r="AE972" s="177">
        <f t="shared" ca="1" si="3781"/>
        <v>49166.666666666664</v>
      </c>
      <c r="AF972" s="177">
        <f t="shared" ca="1" si="3781"/>
        <v>49166.666666666664</v>
      </c>
      <c r="AG972" s="177">
        <f t="shared" ca="1" si="3781"/>
        <v>49166.666666666664</v>
      </c>
      <c r="AH972" s="177">
        <f t="shared" ca="1" si="3781"/>
        <v>49166.666666666664</v>
      </c>
      <c r="AI972" s="177">
        <f t="shared" ca="1" si="3781"/>
        <v>49166.666666666664</v>
      </c>
      <c r="AJ972" s="177">
        <f t="shared" ca="1" si="3781"/>
        <v>49166.666666666664</v>
      </c>
      <c r="AK972" s="177">
        <f t="shared" ca="1" si="3781"/>
        <v>49166.666666666664</v>
      </c>
      <c r="AL972" s="177">
        <f t="shared" ca="1" si="3781"/>
        <v>49166.666666666664</v>
      </c>
      <c r="AM972" s="177">
        <f t="shared" ca="1" si="3781"/>
        <v>49166.666666666664</v>
      </c>
      <c r="AN972" s="177">
        <f t="shared" ca="1" si="3781"/>
        <v>49166.666666666664</v>
      </c>
      <c r="AO972" s="177">
        <f t="shared" ca="1" si="3781"/>
        <v>49166.666666666664</v>
      </c>
      <c r="AP972" s="177">
        <f t="shared" ca="1" si="3781"/>
        <v>49166.666666666664</v>
      </c>
      <c r="AQ972" s="177">
        <f t="shared" ca="1" si="3781"/>
        <v>49166.666666666664</v>
      </c>
      <c r="AR972" s="177">
        <f t="shared" ca="1" si="3781"/>
        <v>49166.666666666664</v>
      </c>
      <c r="AS972" s="177">
        <f t="shared" ca="1" si="3781"/>
        <v>49166.666666666664</v>
      </c>
      <c r="AT972" s="177">
        <f t="shared" ca="1" si="3781"/>
        <v>49166.666666666664</v>
      </c>
      <c r="AU972" s="177">
        <f t="shared" ca="1" si="3781"/>
        <v>49166.666666666664</v>
      </c>
      <c r="AV972" s="177">
        <f t="shared" ca="1" si="3781"/>
        <v>49166.666666666664</v>
      </c>
      <c r="AW972" s="177">
        <f t="shared" ca="1" si="3781"/>
        <v>49166.666666666664</v>
      </c>
      <c r="AX972" s="177">
        <f t="shared" ca="1" si="3781"/>
        <v>49166.666666666664</v>
      </c>
      <c r="AY972" s="177">
        <f t="shared" ca="1" si="3781"/>
        <v>49166.666666666664</v>
      </c>
      <c r="AZ972" s="177">
        <f t="shared" ca="1" si="3781"/>
        <v>49166.666666666664</v>
      </c>
      <c r="BA972" s="177">
        <f t="shared" ca="1" si="3781"/>
        <v>49166.666666666664</v>
      </c>
      <c r="BB972" s="177">
        <f t="shared" ca="1" si="3781"/>
        <v>49166.666666666664</v>
      </c>
      <c r="BC972" s="177"/>
      <c r="BD972" s="178">
        <f ca="1">SUM(G972:BC972)</f>
        <v>2065000.0000000012</v>
      </c>
    </row>
    <row r="973" spans="1:56" hidden="1" outlineLevel="1" x14ac:dyDescent="0.3">
      <c r="A973" s="175" t="str">
        <f ca="1">Language!A$979</f>
        <v>балансовая стоимость (налоговая)</v>
      </c>
      <c r="C973" s="194" t="str">
        <f t="shared" ca="1" si="3687"/>
        <v>руб.</v>
      </c>
      <c r="D973" s="174">
        <v>1</v>
      </c>
      <c r="F973" s="170" t="s">
        <v>1074</v>
      </c>
      <c r="G973" s="177">
        <f t="shared" ref="G973:BB973" ca="1" si="3782">SUM(G$882,G$912)</f>
        <v>0</v>
      </c>
      <c r="H973" s="177">
        <f t="shared" ca="1" si="3782"/>
        <v>0</v>
      </c>
      <c r="I973" s="177">
        <f t="shared" ca="1" si="3782"/>
        <v>0</v>
      </c>
      <c r="J973" s="177">
        <f t="shared" ca="1" si="3782"/>
        <v>0</v>
      </c>
      <c r="K973" s="177">
        <f t="shared" ca="1" si="3782"/>
        <v>0</v>
      </c>
      <c r="L973" s="177">
        <f t="shared" ca="1" si="3782"/>
        <v>0</v>
      </c>
      <c r="M973" s="177">
        <f t="shared" ca="1" si="3782"/>
        <v>5850833.333333334</v>
      </c>
      <c r="N973" s="177">
        <f t="shared" ca="1" si="3782"/>
        <v>5801666.666666666</v>
      </c>
      <c r="O973" s="177">
        <f t="shared" ca="1" si="3782"/>
        <v>5752500</v>
      </c>
      <c r="P973" s="177">
        <f t="shared" ca="1" si="3782"/>
        <v>5703333.333333334</v>
      </c>
      <c r="Q973" s="177">
        <f t="shared" ca="1" si="3782"/>
        <v>5654166.666666666</v>
      </c>
      <c r="R973" s="177">
        <f t="shared" ca="1" si="3782"/>
        <v>5605000</v>
      </c>
      <c r="S973" s="177">
        <f t="shared" ca="1" si="3782"/>
        <v>5555833.333333334</v>
      </c>
      <c r="T973" s="177">
        <f t="shared" ca="1" si="3782"/>
        <v>5506666.666666666</v>
      </c>
      <c r="U973" s="177">
        <f t="shared" ca="1" si="3782"/>
        <v>5457500</v>
      </c>
      <c r="V973" s="177">
        <f t="shared" ca="1" si="3782"/>
        <v>5408333.333333334</v>
      </c>
      <c r="W973" s="177">
        <f t="shared" ca="1" si="3782"/>
        <v>5359166.666666666</v>
      </c>
      <c r="X973" s="177">
        <f t="shared" ca="1" si="3782"/>
        <v>5310000</v>
      </c>
      <c r="Y973" s="177">
        <f t="shared" ca="1" si="3782"/>
        <v>5260833.333333333</v>
      </c>
      <c r="Z973" s="177">
        <f t="shared" ca="1" si="3782"/>
        <v>5211666.666666666</v>
      </c>
      <c r="AA973" s="177">
        <f t="shared" ca="1" si="3782"/>
        <v>5162500</v>
      </c>
      <c r="AB973" s="177">
        <f t="shared" ca="1" si="3782"/>
        <v>5113333.333333333</v>
      </c>
      <c r="AC973" s="177">
        <f t="shared" ca="1" si="3782"/>
        <v>5064166.666666666</v>
      </c>
      <c r="AD973" s="177">
        <f t="shared" ca="1" si="3782"/>
        <v>5015000</v>
      </c>
      <c r="AE973" s="177">
        <f t="shared" ca="1" si="3782"/>
        <v>4965833.333333334</v>
      </c>
      <c r="AF973" s="177">
        <f t="shared" ca="1" si="3782"/>
        <v>4916666.666666667</v>
      </c>
      <c r="AG973" s="177">
        <f t="shared" ca="1" si="3782"/>
        <v>4867500</v>
      </c>
      <c r="AH973" s="177">
        <f t="shared" ca="1" si="3782"/>
        <v>4818333.333333334</v>
      </c>
      <c r="AI973" s="177">
        <f t="shared" ca="1" si="3782"/>
        <v>4769166.666666667</v>
      </c>
      <c r="AJ973" s="177">
        <f t="shared" ca="1" si="3782"/>
        <v>4720000</v>
      </c>
      <c r="AK973" s="177">
        <f t="shared" ca="1" si="3782"/>
        <v>4670833.333333334</v>
      </c>
      <c r="AL973" s="177">
        <f t="shared" ca="1" si="3782"/>
        <v>4621666.666666667</v>
      </c>
      <c r="AM973" s="177">
        <f t="shared" ca="1" si="3782"/>
        <v>4572500</v>
      </c>
      <c r="AN973" s="177">
        <f t="shared" ca="1" si="3782"/>
        <v>4523333.333333334</v>
      </c>
      <c r="AO973" s="177">
        <f t="shared" ca="1" si="3782"/>
        <v>4474166.666666667</v>
      </c>
      <c r="AP973" s="177">
        <f t="shared" ca="1" si="3782"/>
        <v>4425000</v>
      </c>
      <c r="AQ973" s="177">
        <f t="shared" ca="1" si="3782"/>
        <v>4375833.333333334</v>
      </c>
      <c r="AR973" s="177">
        <f t="shared" ca="1" si="3782"/>
        <v>4326666.666666667</v>
      </c>
      <c r="AS973" s="177">
        <f t="shared" ca="1" si="3782"/>
        <v>4277500</v>
      </c>
      <c r="AT973" s="177">
        <f t="shared" ca="1" si="3782"/>
        <v>4228333.333333334</v>
      </c>
      <c r="AU973" s="177">
        <f t="shared" ca="1" si="3782"/>
        <v>4179166.666666667</v>
      </c>
      <c r="AV973" s="177">
        <f t="shared" ca="1" si="3782"/>
        <v>4130000</v>
      </c>
      <c r="AW973" s="177">
        <f t="shared" ca="1" si="3782"/>
        <v>4080833.333333333</v>
      </c>
      <c r="AX973" s="177">
        <f t="shared" ca="1" si="3782"/>
        <v>4031666.6666666665</v>
      </c>
      <c r="AY973" s="177">
        <f t="shared" ca="1" si="3782"/>
        <v>3982500</v>
      </c>
      <c r="AZ973" s="177">
        <f t="shared" ca="1" si="3782"/>
        <v>3933333.333333333</v>
      </c>
      <c r="BA973" s="177">
        <f t="shared" ca="1" si="3782"/>
        <v>3884166.666666666</v>
      </c>
      <c r="BB973" s="177">
        <f t="shared" ca="1" si="3782"/>
        <v>3834999.9999999995</v>
      </c>
      <c r="BC973" s="177"/>
      <c r="BD973" s="178"/>
    </row>
    <row r="974" spans="1:56" hidden="1" outlineLevel="1" x14ac:dyDescent="0.3">
      <c r="A974" s="175" t="str">
        <f ca="1">Language!A$980</f>
        <v>выручка от продажи актива</v>
      </c>
      <c r="C974" s="194" t="str">
        <f t="shared" ca="1" si="3687"/>
        <v>руб.</v>
      </c>
      <c r="D974" s="174">
        <v>1</v>
      </c>
      <c r="F974" s="170" t="s">
        <v>1075</v>
      </c>
      <c r="G974" s="177">
        <f t="shared" ref="G974:BB974" si="3783">SUM(G$867,G$897)</f>
        <v>0</v>
      </c>
      <c r="H974" s="177">
        <f t="shared" si="3783"/>
        <v>0</v>
      </c>
      <c r="I974" s="177">
        <f t="shared" si="3783"/>
        <v>0</v>
      </c>
      <c r="J974" s="177">
        <f t="shared" si="3783"/>
        <v>0</v>
      </c>
      <c r="K974" s="177">
        <f t="shared" si="3783"/>
        <v>0</v>
      </c>
      <c r="L974" s="177">
        <f t="shared" si="3783"/>
        <v>0</v>
      </c>
      <c r="M974" s="177">
        <f t="shared" si="3783"/>
        <v>0</v>
      </c>
      <c r="N974" s="177">
        <f t="shared" si="3783"/>
        <v>0</v>
      </c>
      <c r="O974" s="177">
        <f t="shared" si="3783"/>
        <v>0</v>
      </c>
      <c r="P974" s="177">
        <f t="shared" si="3783"/>
        <v>0</v>
      </c>
      <c r="Q974" s="177">
        <f t="shared" si="3783"/>
        <v>0</v>
      </c>
      <c r="R974" s="177">
        <f t="shared" si="3783"/>
        <v>0</v>
      </c>
      <c r="S974" s="177">
        <f t="shared" si="3783"/>
        <v>0</v>
      </c>
      <c r="T974" s="177">
        <f t="shared" si="3783"/>
        <v>0</v>
      </c>
      <c r="U974" s="177">
        <f t="shared" si="3783"/>
        <v>0</v>
      </c>
      <c r="V974" s="177">
        <f t="shared" si="3783"/>
        <v>0</v>
      </c>
      <c r="W974" s="177">
        <f t="shared" si="3783"/>
        <v>0</v>
      </c>
      <c r="X974" s="177">
        <f t="shared" si="3783"/>
        <v>0</v>
      </c>
      <c r="Y974" s="177">
        <f t="shared" si="3783"/>
        <v>0</v>
      </c>
      <c r="Z974" s="177">
        <f t="shared" si="3783"/>
        <v>0</v>
      </c>
      <c r="AA974" s="177">
        <f t="shared" si="3783"/>
        <v>0</v>
      </c>
      <c r="AB974" s="177">
        <f t="shared" si="3783"/>
        <v>0</v>
      </c>
      <c r="AC974" s="177">
        <f t="shared" si="3783"/>
        <v>0</v>
      </c>
      <c r="AD974" s="177">
        <f t="shared" si="3783"/>
        <v>0</v>
      </c>
      <c r="AE974" s="177">
        <f t="shared" si="3783"/>
        <v>0</v>
      </c>
      <c r="AF974" s="177">
        <f t="shared" si="3783"/>
        <v>0</v>
      </c>
      <c r="AG974" s="177">
        <f t="shared" si="3783"/>
        <v>0</v>
      </c>
      <c r="AH974" s="177">
        <f t="shared" si="3783"/>
        <v>0</v>
      </c>
      <c r="AI974" s="177">
        <f t="shared" si="3783"/>
        <v>0</v>
      </c>
      <c r="AJ974" s="177">
        <f t="shared" si="3783"/>
        <v>0</v>
      </c>
      <c r="AK974" s="177">
        <f t="shared" si="3783"/>
        <v>0</v>
      </c>
      <c r="AL974" s="177">
        <f t="shared" si="3783"/>
        <v>0</v>
      </c>
      <c r="AM974" s="177">
        <f t="shared" si="3783"/>
        <v>0</v>
      </c>
      <c r="AN974" s="177">
        <f t="shared" si="3783"/>
        <v>0</v>
      </c>
      <c r="AO974" s="177">
        <f t="shared" si="3783"/>
        <v>0</v>
      </c>
      <c r="AP974" s="177">
        <f t="shared" si="3783"/>
        <v>0</v>
      </c>
      <c r="AQ974" s="177">
        <f t="shared" si="3783"/>
        <v>0</v>
      </c>
      <c r="AR974" s="177">
        <f t="shared" si="3783"/>
        <v>0</v>
      </c>
      <c r="AS974" s="177">
        <f t="shared" si="3783"/>
        <v>0</v>
      </c>
      <c r="AT974" s="177">
        <f t="shared" si="3783"/>
        <v>0</v>
      </c>
      <c r="AU974" s="177">
        <f t="shared" si="3783"/>
        <v>0</v>
      </c>
      <c r="AV974" s="177">
        <f t="shared" si="3783"/>
        <v>0</v>
      </c>
      <c r="AW974" s="177">
        <f t="shared" si="3783"/>
        <v>0</v>
      </c>
      <c r="AX974" s="177">
        <f t="shared" si="3783"/>
        <v>0</v>
      </c>
      <c r="AY974" s="177">
        <f t="shared" si="3783"/>
        <v>0</v>
      </c>
      <c r="AZ974" s="177">
        <f t="shared" si="3783"/>
        <v>0</v>
      </c>
      <c r="BA974" s="177">
        <f t="shared" si="3783"/>
        <v>0</v>
      </c>
      <c r="BB974" s="177">
        <f t="shared" si="3783"/>
        <v>0</v>
      </c>
      <c r="BC974" s="177"/>
      <c r="BD974" s="178">
        <f t="shared" ref="BD974:BD979" si="3784">SUM(G974:BC974)</f>
        <v>0</v>
      </c>
    </row>
    <row r="975" spans="1:56" hidden="1" outlineLevel="1" x14ac:dyDescent="0.3">
      <c r="A975" s="175" t="str">
        <f ca="1">Language!A$981</f>
        <v>прибыль/убыток от продажи актива (бухгалтерская)</v>
      </c>
      <c r="C975" s="194" t="str">
        <f t="shared" ca="1" si="3687"/>
        <v>руб.</v>
      </c>
      <c r="D975" s="174">
        <v>1</v>
      </c>
      <c r="F975" s="170" t="s">
        <v>1076</v>
      </c>
      <c r="G975" s="177">
        <f t="shared" ref="G975:BB975" si="3785">SUM(G$883,G$913)</f>
        <v>0</v>
      </c>
      <c r="H975" s="177">
        <f t="shared" si="3785"/>
        <v>0</v>
      </c>
      <c r="I975" s="177">
        <f t="shared" si="3785"/>
        <v>0</v>
      </c>
      <c r="J975" s="177">
        <f t="shared" si="3785"/>
        <v>0</v>
      </c>
      <c r="K975" s="177">
        <f t="shared" si="3785"/>
        <v>0</v>
      </c>
      <c r="L975" s="177">
        <f t="shared" si="3785"/>
        <v>0</v>
      </c>
      <c r="M975" s="177">
        <f t="shared" si="3785"/>
        <v>0</v>
      </c>
      <c r="N975" s="177">
        <f t="shared" si="3785"/>
        <v>0</v>
      </c>
      <c r="O975" s="177">
        <f t="shared" si="3785"/>
        <v>0</v>
      </c>
      <c r="P975" s="177">
        <f t="shared" si="3785"/>
        <v>0</v>
      </c>
      <c r="Q975" s="177">
        <f t="shared" si="3785"/>
        <v>0</v>
      </c>
      <c r="R975" s="177">
        <f t="shared" si="3785"/>
        <v>0</v>
      </c>
      <c r="S975" s="177">
        <f t="shared" si="3785"/>
        <v>0</v>
      </c>
      <c r="T975" s="177">
        <f t="shared" si="3785"/>
        <v>0</v>
      </c>
      <c r="U975" s="177">
        <f t="shared" si="3785"/>
        <v>0</v>
      </c>
      <c r="V975" s="177">
        <f t="shared" si="3785"/>
        <v>0</v>
      </c>
      <c r="W975" s="177">
        <f t="shared" si="3785"/>
        <v>0</v>
      </c>
      <c r="X975" s="177">
        <f t="shared" si="3785"/>
        <v>0</v>
      </c>
      <c r="Y975" s="177">
        <f t="shared" si="3785"/>
        <v>0</v>
      </c>
      <c r="Z975" s="177">
        <f t="shared" si="3785"/>
        <v>0</v>
      </c>
      <c r="AA975" s="177">
        <f t="shared" si="3785"/>
        <v>0</v>
      </c>
      <c r="AB975" s="177">
        <f t="shared" si="3785"/>
        <v>0</v>
      </c>
      <c r="AC975" s="177">
        <f t="shared" si="3785"/>
        <v>0</v>
      </c>
      <c r="AD975" s="177">
        <f t="shared" si="3785"/>
        <v>0</v>
      </c>
      <c r="AE975" s="177">
        <f t="shared" si="3785"/>
        <v>0</v>
      </c>
      <c r="AF975" s="177">
        <f t="shared" si="3785"/>
        <v>0</v>
      </c>
      <c r="AG975" s="177">
        <f t="shared" si="3785"/>
        <v>0</v>
      </c>
      <c r="AH975" s="177">
        <f t="shared" si="3785"/>
        <v>0</v>
      </c>
      <c r="AI975" s="177">
        <f t="shared" si="3785"/>
        <v>0</v>
      </c>
      <c r="AJ975" s="177">
        <f t="shared" si="3785"/>
        <v>0</v>
      </c>
      <c r="AK975" s="177">
        <f t="shared" si="3785"/>
        <v>0</v>
      </c>
      <c r="AL975" s="177">
        <f t="shared" si="3785"/>
        <v>0</v>
      </c>
      <c r="AM975" s="177">
        <f t="shared" si="3785"/>
        <v>0</v>
      </c>
      <c r="AN975" s="177">
        <f t="shared" si="3785"/>
        <v>0</v>
      </c>
      <c r="AO975" s="177">
        <f t="shared" si="3785"/>
        <v>0</v>
      </c>
      <c r="AP975" s="177">
        <f t="shared" si="3785"/>
        <v>0</v>
      </c>
      <c r="AQ975" s="177">
        <f t="shared" si="3785"/>
        <v>0</v>
      </c>
      <c r="AR975" s="177">
        <f t="shared" si="3785"/>
        <v>0</v>
      </c>
      <c r="AS975" s="177">
        <f t="shared" si="3785"/>
        <v>0</v>
      </c>
      <c r="AT975" s="177">
        <f t="shared" si="3785"/>
        <v>0</v>
      </c>
      <c r="AU975" s="177">
        <f t="shared" si="3785"/>
        <v>0</v>
      </c>
      <c r="AV975" s="177">
        <f t="shared" si="3785"/>
        <v>0</v>
      </c>
      <c r="AW975" s="177">
        <f t="shared" si="3785"/>
        <v>0</v>
      </c>
      <c r="AX975" s="177">
        <f t="shared" si="3785"/>
        <v>0</v>
      </c>
      <c r="AY975" s="177">
        <f t="shared" si="3785"/>
        <v>0</v>
      </c>
      <c r="AZ975" s="177">
        <f t="shared" si="3785"/>
        <v>0</v>
      </c>
      <c r="BA975" s="177">
        <f t="shared" si="3785"/>
        <v>0</v>
      </c>
      <c r="BB975" s="177">
        <f t="shared" si="3785"/>
        <v>0</v>
      </c>
      <c r="BC975" s="177"/>
      <c r="BD975" s="178">
        <f t="shared" si="3784"/>
        <v>0</v>
      </c>
    </row>
    <row r="976" spans="1:56" hidden="1" outlineLevel="1" x14ac:dyDescent="0.3">
      <c r="A976" s="175" t="str">
        <f ca="1">Language!A$982</f>
        <v>прибыль/убыток от продажи актива (налоговая)</v>
      </c>
      <c r="C976" s="194" t="str">
        <f t="shared" ca="1" si="3687"/>
        <v>руб.</v>
      </c>
      <c r="D976" s="174">
        <v>1</v>
      </c>
      <c r="F976" s="170" t="s">
        <v>1077</v>
      </c>
      <c r="G976" s="177">
        <f t="shared" ref="G976:BB976" si="3786">SUM(G$884,G$914)</f>
        <v>0</v>
      </c>
      <c r="H976" s="177">
        <f t="shared" si="3786"/>
        <v>0</v>
      </c>
      <c r="I976" s="177">
        <f t="shared" si="3786"/>
        <v>0</v>
      </c>
      <c r="J976" s="177">
        <f t="shared" si="3786"/>
        <v>0</v>
      </c>
      <c r="K976" s="177">
        <f t="shared" si="3786"/>
        <v>0</v>
      </c>
      <c r="L976" s="177">
        <f t="shared" si="3786"/>
        <v>0</v>
      </c>
      <c r="M976" s="177">
        <f t="shared" si="3786"/>
        <v>0</v>
      </c>
      <c r="N976" s="177">
        <f t="shared" si="3786"/>
        <v>0</v>
      </c>
      <c r="O976" s="177">
        <f t="shared" si="3786"/>
        <v>0</v>
      </c>
      <c r="P976" s="177">
        <f t="shared" si="3786"/>
        <v>0</v>
      </c>
      <c r="Q976" s="177">
        <f t="shared" si="3786"/>
        <v>0</v>
      </c>
      <c r="R976" s="177">
        <f t="shared" si="3786"/>
        <v>0</v>
      </c>
      <c r="S976" s="177">
        <f t="shared" si="3786"/>
        <v>0</v>
      </c>
      <c r="T976" s="177">
        <f t="shared" si="3786"/>
        <v>0</v>
      </c>
      <c r="U976" s="177">
        <f t="shared" si="3786"/>
        <v>0</v>
      </c>
      <c r="V976" s="177">
        <f t="shared" si="3786"/>
        <v>0</v>
      </c>
      <c r="W976" s="177">
        <f t="shared" si="3786"/>
        <v>0</v>
      </c>
      <c r="X976" s="177">
        <f t="shared" si="3786"/>
        <v>0</v>
      </c>
      <c r="Y976" s="177">
        <f t="shared" si="3786"/>
        <v>0</v>
      </c>
      <c r="Z976" s="177">
        <f t="shared" si="3786"/>
        <v>0</v>
      </c>
      <c r="AA976" s="177">
        <f t="shared" si="3786"/>
        <v>0</v>
      </c>
      <c r="AB976" s="177">
        <f t="shared" si="3786"/>
        <v>0</v>
      </c>
      <c r="AC976" s="177">
        <f t="shared" si="3786"/>
        <v>0</v>
      </c>
      <c r="AD976" s="177">
        <f t="shared" si="3786"/>
        <v>0</v>
      </c>
      <c r="AE976" s="177">
        <f t="shared" si="3786"/>
        <v>0</v>
      </c>
      <c r="AF976" s="177">
        <f t="shared" si="3786"/>
        <v>0</v>
      </c>
      <c r="AG976" s="177">
        <f t="shared" si="3786"/>
        <v>0</v>
      </c>
      <c r="AH976" s="177">
        <f t="shared" si="3786"/>
        <v>0</v>
      </c>
      <c r="AI976" s="177">
        <f t="shared" si="3786"/>
        <v>0</v>
      </c>
      <c r="AJ976" s="177">
        <f t="shared" si="3786"/>
        <v>0</v>
      </c>
      <c r="AK976" s="177">
        <f t="shared" si="3786"/>
        <v>0</v>
      </c>
      <c r="AL976" s="177">
        <f t="shared" si="3786"/>
        <v>0</v>
      </c>
      <c r="AM976" s="177">
        <f t="shared" si="3786"/>
        <v>0</v>
      </c>
      <c r="AN976" s="177">
        <f t="shared" si="3786"/>
        <v>0</v>
      </c>
      <c r="AO976" s="177">
        <f t="shared" si="3786"/>
        <v>0</v>
      </c>
      <c r="AP976" s="177">
        <f t="shared" si="3786"/>
        <v>0</v>
      </c>
      <c r="AQ976" s="177">
        <f t="shared" si="3786"/>
        <v>0</v>
      </c>
      <c r="AR976" s="177">
        <f t="shared" si="3786"/>
        <v>0</v>
      </c>
      <c r="AS976" s="177">
        <f t="shared" si="3786"/>
        <v>0</v>
      </c>
      <c r="AT976" s="177">
        <f t="shared" si="3786"/>
        <v>0</v>
      </c>
      <c r="AU976" s="177">
        <f t="shared" si="3786"/>
        <v>0</v>
      </c>
      <c r="AV976" s="177">
        <f t="shared" si="3786"/>
        <v>0</v>
      </c>
      <c r="AW976" s="177">
        <f t="shared" si="3786"/>
        <v>0</v>
      </c>
      <c r="AX976" s="177">
        <f t="shared" si="3786"/>
        <v>0</v>
      </c>
      <c r="AY976" s="177">
        <f t="shared" si="3786"/>
        <v>0</v>
      </c>
      <c r="AZ976" s="177">
        <f t="shared" si="3786"/>
        <v>0</v>
      </c>
      <c r="BA976" s="177">
        <f t="shared" si="3786"/>
        <v>0</v>
      </c>
      <c r="BB976" s="177">
        <f t="shared" si="3786"/>
        <v>0</v>
      </c>
      <c r="BC976" s="177"/>
      <c r="BD976" s="178">
        <f t="shared" si="3784"/>
        <v>0</v>
      </c>
    </row>
    <row r="977" spans="1:56" hidden="1" outlineLevel="1" x14ac:dyDescent="0.3">
      <c r="A977" s="175" t="str">
        <f ca="1">Language!A$983</f>
        <v>НДС к выручке от продажи актива</v>
      </c>
      <c r="C977" s="194" t="str">
        <f t="shared" ca="1" si="3687"/>
        <v>руб.</v>
      </c>
      <c r="D977" s="174">
        <v>1</v>
      </c>
      <c r="F977" s="170" t="s">
        <v>1078</v>
      </c>
      <c r="G977" s="177">
        <f t="shared" ref="G977:BB977" si="3787">SUM(G$885,G$915)</f>
        <v>0</v>
      </c>
      <c r="H977" s="177">
        <f t="shared" si="3787"/>
        <v>0</v>
      </c>
      <c r="I977" s="177">
        <f t="shared" si="3787"/>
        <v>0</v>
      </c>
      <c r="J977" s="177">
        <f t="shared" si="3787"/>
        <v>0</v>
      </c>
      <c r="K977" s="177">
        <f t="shared" si="3787"/>
        <v>0</v>
      </c>
      <c r="L977" s="177">
        <f t="shared" si="3787"/>
        <v>0</v>
      </c>
      <c r="M977" s="177">
        <f t="shared" si="3787"/>
        <v>0</v>
      </c>
      <c r="N977" s="177">
        <f t="shared" si="3787"/>
        <v>0</v>
      </c>
      <c r="O977" s="177">
        <f t="shared" si="3787"/>
        <v>0</v>
      </c>
      <c r="P977" s="177">
        <f t="shared" si="3787"/>
        <v>0</v>
      </c>
      <c r="Q977" s="177">
        <f t="shared" si="3787"/>
        <v>0</v>
      </c>
      <c r="R977" s="177">
        <f t="shared" si="3787"/>
        <v>0</v>
      </c>
      <c r="S977" s="177">
        <f t="shared" si="3787"/>
        <v>0</v>
      </c>
      <c r="T977" s="177">
        <f t="shared" si="3787"/>
        <v>0</v>
      </c>
      <c r="U977" s="177">
        <f t="shared" si="3787"/>
        <v>0</v>
      </c>
      <c r="V977" s="177">
        <f t="shared" si="3787"/>
        <v>0</v>
      </c>
      <c r="W977" s="177">
        <f t="shared" si="3787"/>
        <v>0</v>
      </c>
      <c r="X977" s="177">
        <f t="shared" si="3787"/>
        <v>0</v>
      </c>
      <c r="Y977" s="177">
        <f t="shared" si="3787"/>
        <v>0</v>
      </c>
      <c r="Z977" s="177">
        <f t="shared" si="3787"/>
        <v>0</v>
      </c>
      <c r="AA977" s="177">
        <f t="shared" si="3787"/>
        <v>0</v>
      </c>
      <c r="AB977" s="177">
        <f t="shared" si="3787"/>
        <v>0</v>
      </c>
      <c r="AC977" s="177">
        <f t="shared" si="3787"/>
        <v>0</v>
      </c>
      <c r="AD977" s="177">
        <f t="shared" si="3787"/>
        <v>0</v>
      </c>
      <c r="AE977" s="177">
        <f t="shared" si="3787"/>
        <v>0</v>
      </c>
      <c r="AF977" s="177">
        <f t="shared" si="3787"/>
        <v>0</v>
      </c>
      <c r="AG977" s="177">
        <f t="shared" si="3787"/>
        <v>0</v>
      </c>
      <c r="AH977" s="177">
        <f t="shared" si="3787"/>
        <v>0</v>
      </c>
      <c r="AI977" s="177">
        <f t="shared" si="3787"/>
        <v>0</v>
      </c>
      <c r="AJ977" s="177">
        <f t="shared" si="3787"/>
        <v>0</v>
      </c>
      <c r="AK977" s="177">
        <f t="shared" si="3787"/>
        <v>0</v>
      </c>
      <c r="AL977" s="177">
        <f t="shared" si="3787"/>
        <v>0</v>
      </c>
      <c r="AM977" s="177">
        <f t="shared" si="3787"/>
        <v>0</v>
      </c>
      <c r="AN977" s="177">
        <f t="shared" si="3787"/>
        <v>0</v>
      </c>
      <c r="AO977" s="177">
        <f t="shared" si="3787"/>
        <v>0</v>
      </c>
      <c r="AP977" s="177">
        <f t="shared" si="3787"/>
        <v>0</v>
      </c>
      <c r="AQ977" s="177">
        <f t="shared" si="3787"/>
        <v>0</v>
      </c>
      <c r="AR977" s="177">
        <f t="shared" si="3787"/>
        <v>0</v>
      </c>
      <c r="AS977" s="177">
        <f t="shared" si="3787"/>
        <v>0</v>
      </c>
      <c r="AT977" s="177">
        <f t="shared" si="3787"/>
        <v>0</v>
      </c>
      <c r="AU977" s="177">
        <f t="shared" si="3787"/>
        <v>0</v>
      </c>
      <c r="AV977" s="177">
        <f t="shared" si="3787"/>
        <v>0</v>
      </c>
      <c r="AW977" s="177">
        <f t="shared" si="3787"/>
        <v>0</v>
      </c>
      <c r="AX977" s="177">
        <f t="shared" si="3787"/>
        <v>0</v>
      </c>
      <c r="AY977" s="177">
        <f t="shared" si="3787"/>
        <v>0</v>
      </c>
      <c r="AZ977" s="177">
        <f t="shared" si="3787"/>
        <v>0</v>
      </c>
      <c r="BA977" s="177">
        <f t="shared" si="3787"/>
        <v>0</v>
      </c>
      <c r="BB977" s="177">
        <f t="shared" si="3787"/>
        <v>0</v>
      </c>
      <c r="BC977" s="177"/>
      <c r="BD977" s="178">
        <f t="shared" si="3784"/>
        <v>0</v>
      </c>
    </row>
    <row r="978" spans="1:56" collapsed="1" x14ac:dyDescent="0.3">
      <c r="A978" s="214" t="str">
        <f ca="1">Language!A$984</f>
        <v>Итого: Нематериальные активы, с НДС</v>
      </c>
      <c r="C978" s="194" t="str">
        <f t="shared" ca="1" si="3687"/>
        <v>руб.</v>
      </c>
      <c r="D978" s="174">
        <v>1</v>
      </c>
      <c r="F978" s="170" t="s">
        <v>740</v>
      </c>
      <c r="G978" s="177">
        <f t="shared" ref="G978:K978" si="3788">G979+G984</f>
        <v>25000</v>
      </c>
      <c r="H978" s="177">
        <f t="shared" si="3788"/>
        <v>25000</v>
      </c>
      <c r="I978" s="177">
        <f t="shared" si="3788"/>
        <v>25000</v>
      </c>
      <c r="J978" s="177">
        <f t="shared" si="3788"/>
        <v>25000</v>
      </c>
      <c r="K978" s="177">
        <f t="shared" si="3788"/>
        <v>25000</v>
      </c>
      <c r="L978" s="177">
        <f t="shared" ref="L978:M978" si="3789">L979+L984</f>
        <v>25000</v>
      </c>
      <c r="M978" s="177">
        <f t="shared" si="3789"/>
        <v>0</v>
      </c>
      <c r="N978" s="177">
        <f t="shared" ref="N978:O978" si="3790">N979+N984</f>
        <v>0</v>
      </c>
      <c r="O978" s="177">
        <f t="shared" si="3790"/>
        <v>0</v>
      </c>
      <c r="P978" s="177">
        <f t="shared" ref="P978:Q978" si="3791">P979+P984</f>
        <v>0</v>
      </c>
      <c r="Q978" s="177">
        <f t="shared" si="3791"/>
        <v>0</v>
      </c>
      <c r="R978" s="177">
        <f t="shared" ref="R978:S978" si="3792">R979+R984</f>
        <v>0</v>
      </c>
      <c r="S978" s="177">
        <f t="shared" si="3792"/>
        <v>0</v>
      </c>
      <c r="T978" s="177">
        <f t="shared" ref="T978:U978" si="3793">T979+T984</f>
        <v>0</v>
      </c>
      <c r="U978" s="177">
        <f t="shared" si="3793"/>
        <v>0</v>
      </c>
      <c r="V978" s="177">
        <f t="shared" ref="V978:W978" si="3794">V979+V984</f>
        <v>0</v>
      </c>
      <c r="W978" s="177">
        <f t="shared" si="3794"/>
        <v>0</v>
      </c>
      <c r="X978" s="177">
        <f t="shared" ref="X978:Y978" si="3795">X979+X984</f>
        <v>0</v>
      </c>
      <c r="Y978" s="177">
        <f t="shared" si="3795"/>
        <v>0</v>
      </c>
      <c r="Z978" s="177">
        <f t="shared" ref="Z978:AA978" si="3796">Z979+Z984</f>
        <v>0</v>
      </c>
      <c r="AA978" s="177">
        <f t="shared" si="3796"/>
        <v>0</v>
      </c>
      <c r="AB978" s="177">
        <f t="shared" ref="AB978:AC978" si="3797">AB979+AB984</f>
        <v>0</v>
      </c>
      <c r="AC978" s="177">
        <f t="shared" si="3797"/>
        <v>0</v>
      </c>
      <c r="AD978" s="177">
        <f t="shared" ref="AD978:AE978" si="3798">AD979+AD984</f>
        <v>0</v>
      </c>
      <c r="AE978" s="177">
        <f t="shared" si="3798"/>
        <v>0</v>
      </c>
      <c r="AF978" s="177">
        <f t="shared" ref="AF978:AG978" si="3799">AF979+AF984</f>
        <v>0</v>
      </c>
      <c r="AG978" s="177">
        <f t="shared" si="3799"/>
        <v>0</v>
      </c>
      <c r="AH978" s="177">
        <f t="shared" ref="AH978:AI978" si="3800">AH979+AH984</f>
        <v>0</v>
      </c>
      <c r="AI978" s="177">
        <f t="shared" si="3800"/>
        <v>0</v>
      </c>
      <c r="AJ978" s="177">
        <f t="shared" ref="AJ978:AK978" si="3801">AJ979+AJ984</f>
        <v>0</v>
      </c>
      <c r="AK978" s="177">
        <f t="shared" si="3801"/>
        <v>0</v>
      </c>
      <c r="AL978" s="177">
        <f t="shared" ref="AL978:AM978" si="3802">AL979+AL984</f>
        <v>0</v>
      </c>
      <c r="AM978" s="177">
        <f t="shared" si="3802"/>
        <v>0</v>
      </c>
      <c r="AN978" s="177">
        <f t="shared" ref="AN978:AO978" si="3803">AN979+AN984</f>
        <v>0</v>
      </c>
      <c r="AO978" s="177">
        <f t="shared" si="3803"/>
        <v>0</v>
      </c>
      <c r="AP978" s="177">
        <f t="shared" ref="AP978:AQ978" si="3804">AP979+AP984</f>
        <v>0</v>
      </c>
      <c r="AQ978" s="177">
        <f t="shared" si="3804"/>
        <v>0</v>
      </c>
      <c r="AR978" s="177">
        <f t="shared" ref="AR978:AS978" si="3805">AR979+AR984</f>
        <v>0</v>
      </c>
      <c r="AS978" s="177">
        <f t="shared" si="3805"/>
        <v>0</v>
      </c>
      <c r="AT978" s="177">
        <f t="shared" ref="AT978:AU978" si="3806">AT979+AT984</f>
        <v>0</v>
      </c>
      <c r="AU978" s="177">
        <f t="shared" si="3806"/>
        <v>0</v>
      </c>
      <c r="AV978" s="177">
        <f t="shared" ref="AV978:AW978" si="3807">AV979+AV984</f>
        <v>0</v>
      </c>
      <c r="AW978" s="177">
        <f t="shared" si="3807"/>
        <v>0</v>
      </c>
      <c r="AX978" s="177">
        <f t="shared" ref="AX978:AY978" si="3808">AX979+AX984</f>
        <v>0</v>
      </c>
      <c r="AY978" s="177">
        <f t="shared" si="3808"/>
        <v>0</v>
      </c>
      <c r="AZ978" s="177">
        <f t="shared" ref="AZ978:BA978" si="3809">AZ979+AZ984</f>
        <v>0</v>
      </c>
      <c r="BA978" s="177">
        <f t="shared" si="3809"/>
        <v>0</v>
      </c>
      <c r="BB978" s="177">
        <f t="shared" ref="BB978" si="3810">BB979+BB984</f>
        <v>0</v>
      </c>
      <c r="BC978" s="177"/>
      <c r="BD978" s="178">
        <f t="shared" si="3784"/>
        <v>150000</v>
      </c>
    </row>
    <row r="979" spans="1:56" hidden="1" outlineLevel="1" x14ac:dyDescent="0.3">
      <c r="A979" s="175" t="str">
        <f ca="1">Language!A$985</f>
        <v>график оплаты (без НДС)</v>
      </c>
      <c r="C979" s="194" t="str">
        <f t="shared" ca="1" si="3687"/>
        <v>руб.</v>
      </c>
      <c r="D979" s="174">
        <v>1</v>
      </c>
      <c r="F979" s="170" t="s">
        <v>1079</v>
      </c>
      <c r="G979" s="177">
        <f t="shared" ref="G979:AL979" si="3811">SUM(G$927)</f>
        <v>25000</v>
      </c>
      <c r="H979" s="177">
        <f t="shared" si="3811"/>
        <v>25000</v>
      </c>
      <c r="I979" s="177">
        <f t="shared" si="3811"/>
        <v>25000</v>
      </c>
      <c r="J979" s="177">
        <f t="shared" si="3811"/>
        <v>25000</v>
      </c>
      <c r="K979" s="177">
        <f t="shared" si="3811"/>
        <v>25000</v>
      </c>
      <c r="L979" s="177">
        <f t="shared" si="3811"/>
        <v>25000</v>
      </c>
      <c r="M979" s="177">
        <f t="shared" si="3811"/>
        <v>0</v>
      </c>
      <c r="N979" s="177">
        <f t="shared" si="3811"/>
        <v>0</v>
      </c>
      <c r="O979" s="177">
        <f t="shared" si="3811"/>
        <v>0</v>
      </c>
      <c r="P979" s="177">
        <f t="shared" si="3811"/>
        <v>0</v>
      </c>
      <c r="Q979" s="177">
        <f t="shared" si="3811"/>
        <v>0</v>
      </c>
      <c r="R979" s="177">
        <f t="shared" si="3811"/>
        <v>0</v>
      </c>
      <c r="S979" s="177">
        <f t="shared" si="3811"/>
        <v>0</v>
      </c>
      <c r="T979" s="177">
        <f t="shared" si="3811"/>
        <v>0</v>
      </c>
      <c r="U979" s="177">
        <f t="shared" si="3811"/>
        <v>0</v>
      </c>
      <c r="V979" s="177">
        <f t="shared" si="3811"/>
        <v>0</v>
      </c>
      <c r="W979" s="177">
        <f t="shared" si="3811"/>
        <v>0</v>
      </c>
      <c r="X979" s="177">
        <f t="shared" si="3811"/>
        <v>0</v>
      </c>
      <c r="Y979" s="177">
        <f t="shared" si="3811"/>
        <v>0</v>
      </c>
      <c r="Z979" s="177">
        <f t="shared" si="3811"/>
        <v>0</v>
      </c>
      <c r="AA979" s="177">
        <f t="shared" si="3811"/>
        <v>0</v>
      </c>
      <c r="AB979" s="177">
        <f t="shared" si="3811"/>
        <v>0</v>
      </c>
      <c r="AC979" s="177">
        <f t="shared" si="3811"/>
        <v>0</v>
      </c>
      <c r="AD979" s="177">
        <f t="shared" si="3811"/>
        <v>0</v>
      </c>
      <c r="AE979" s="177">
        <f t="shared" si="3811"/>
        <v>0</v>
      </c>
      <c r="AF979" s="177">
        <f t="shared" si="3811"/>
        <v>0</v>
      </c>
      <c r="AG979" s="177">
        <f t="shared" si="3811"/>
        <v>0</v>
      </c>
      <c r="AH979" s="177">
        <f t="shared" si="3811"/>
        <v>0</v>
      </c>
      <c r="AI979" s="177">
        <f t="shared" si="3811"/>
        <v>0</v>
      </c>
      <c r="AJ979" s="177">
        <f t="shared" si="3811"/>
        <v>0</v>
      </c>
      <c r="AK979" s="177">
        <f t="shared" si="3811"/>
        <v>0</v>
      </c>
      <c r="AL979" s="177">
        <f t="shared" si="3811"/>
        <v>0</v>
      </c>
      <c r="AM979" s="177">
        <f t="shared" ref="AM979:BB979" si="3812">SUM(AM$927)</f>
        <v>0</v>
      </c>
      <c r="AN979" s="177">
        <f t="shared" si="3812"/>
        <v>0</v>
      </c>
      <c r="AO979" s="177">
        <f t="shared" si="3812"/>
        <v>0</v>
      </c>
      <c r="AP979" s="177">
        <f t="shared" si="3812"/>
        <v>0</v>
      </c>
      <c r="AQ979" s="177">
        <f t="shared" si="3812"/>
        <v>0</v>
      </c>
      <c r="AR979" s="177">
        <f t="shared" si="3812"/>
        <v>0</v>
      </c>
      <c r="AS979" s="177">
        <f t="shared" si="3812"/>
        <v>0</v>
      </c>
      <c r="AT979" s="177">
        <f t="shared" si="3812"/>
        <v>0</v>
      </c>
      <c r="AU979" s="177">
        <f t="shared" si="3812"/>
        <v>0</v>
      </c>
      <c r="AV979" s="177">
        <f t="shared" si="3812"/>
        <v>0</v>
      </c>
      <c r="AW979" s="177">
        <f t="shared" si="3812"/>
        <v>0</v>
      </c>
      <c r="AX979" s="177">
        <f t="shared" si="3812"/>
        <v>0</v>
      </c>
      <c r="AY979" s="177">
        <f t="shared" si="3812"/>
        <v>0</v>
      </c>
      <c r="AZ979" s="177">
        <f t="shared" si="3812"/>
        <v>0</v>
      </c>
      <c r="BA979" s="177">
        <f t="shared" si="3812"/>
        <v>0</v>
      </c>
      <c r="BB979" s="177">
        <f t="shared" si="3812"/>
        <v>0</v>
      </c>
      <c r="BC979" s="177"/>
      <c r="BD979" s="178">
        <f t="shared" si="3784"/>
        <v>150000</v>
      </c>
    </row>
    <row r="980" spans="1:56" hidden="1" outlineLevel="1" x14ac:dyDescent="0.3">
      <c r="A980" s="175" t="str">
        <f ca="1">Language!A$986</f>
        <v>незавершенные инвестиции</v>
      </c>
      <c r="C980" s="194" t="str">
        <f t="shared" ca="1" si="3687"/>
        <v>руб.</v>
      </c>
      <c r="D980" s="174">
        <v>1</v>
      </c>
      <c r="F980" s="170" t="s">
        <v>1080</v>
      </c>
      <c r="G980" s="177">
        <f t="shared" ref="G980:AL980" si="3813">SUM(G$932)</f>
        <v>25000</v>
      </c>
      <c r="H980" s="177">
        <f t="shared" si="3813"/>
        <v>50000</v>
      </c>
      <c r="I980" s="177">
        <f t="shared" si="3813"/>
        <v>75000</v>
      </c>
      <c r="J980" s="177">
        <f t="shared" si="3813"/>
        <v>100000</v>
      </c>
      <c r="K980" s="177">
        <f t="shared" si="3813"/>
        <v>125000</v>
      </c>
      <c r="L980" s="177">
        <f t="shared" si="3813"/>
        <v>150000</v>
      </c>
      <c r="M980" s="177">
        <f t="shared" si="3813"/>
        <v>0</v>
      </c>
      <c r="N980" s="177">
        <f t="shared" si="3813"/>
        <v>0</v>
      </c>
      <c r="O980" s="177">
        <f t="shared" si="3813"/>
        <v>0</v>
      </c>
      <c r="P980" s="177">
        <f t="shared" si="3813"/>
        <v>0</v>
      </c>
      <c r="Q980" s="177">
        <f t="shared" si="3813"/>
        <v>0</v>
      </c>
      <c r="R980" s="177">
        <f t="shared" si="3813"/>
        <v>0</v>
      </c>
      <c r="S980" s="177">
        <f t="shared" si="3813"/>
        <v>0</v>
      </c>
      <c r="T980" s="177">
        <f t="shared" si="3813"/>
        <v>0</v>
      </c>
      <c r="U980" s="177">
        <f t="shared" si="3813"/>
        <v>0</v>
      </c>
      <c r="V980" s="177">
        <f t="shared" si="3813"/>
        <v>0</v>
      </c>
      <c r="W980" s="177">
        <f t="shared" si="3813"/>
        <v>0</v>
      </c>
      <c r="X980" s="177">
        <f t="shared" si="3813"/>
        <v>0</v>
      </c>
      <c r="Y980" s="177">
        <f t="shared" si="3813"/>
        <v>0</v>
      </c>
      <c r="Z980" s="177">
        <f t="shared" si="3813"/>
        <v>0</v>
      </c>
      <c r="AA980" s="177">
        <f t="shared" si="3813"/>
        <v>0</v>
      </c>
      <c r="AB980" s="177">
        <f t="shared" si="3813"/>
        <v>0</v>
      </c>
      <c r="AC980" s="177">
        <f t="shared" si="3813"/>
        <v>0</v>
      </c>
      <c r="AD980" s="177">
        <f t="shared" si="3813"/>
        <v>0</v>
      </c>
      <c r="AE980" s="177">
        <f t="shared" si="3813"/>
        <v>0</v>
      </c>
      <c r="AF980" s="177">
        <f t="shared" si="3813"/>
        <v>0</v>
      </c>
      <c r="AG980" s="177">
        <f t="shared" si="3813"/>
        <v>0</v>
      </c>
      <c r="AH980" s="177">
        <f t="shared" si="3813"/>
        <v>0</v>
      </c>
      <c r="AI980" s="177">
        <f t="shared" si="3813"/>
        <v>0</v>
      </c>
      <c r="AJ980" s="177">
        <f t="shared" si="3813"/>
        <v>0</v>
      </c>
      <c r="AK980" s="177">
        <f t="shared" si="3813"/>
        <v>0</v>
      </c>
      <c r="AL980" s="177">
        <f t="shared" si="3813"/>
        <v>0</v>
      </c>
      <c r="AM980" s="177">
        <f t="shared" ref="AM980:BB980" si="3814">SUM(AM$932)</f>
        <v>0</v>
      </c>
      <c r="AN980" s="177">
        <f t="shared" si="3814"/>
        <v>0</v>
      </c>
      <c r="AO980" s="177">
        <f t="shared" si="3814"/>
        <v>0</v>
      </c>
      <c r="AP980" s="177">
        <f t="shared" si="3814"/>
        <v>0</v>
      </c>
      <c r="AQ980" s="177">
        <f t="shared" si="3814"/>
        <v>0</v>
      </c>
      <c r="AR980" s="177">
        <f t="shared" si="3814"/>
        <v>0</v>
      </c>
      <c r="AS980" s="177">
        <f t="shared" si="3814"/>
        <v>0</v>
      </c>
      <c r="AT980" s="177">
        <f t="shared" si="3814"/>
        <v>0</v>
      </c>
      <c r="AU980" s="177">
        <f t="shared" si="3814"/>
        <v>0</v>
      </c>
      <c r="AV980" s="177">
        <f t="shared" si="3814"/>
        <v>0</v>
      </c>
      <c r="AW980" s="177">
        <f t="shared" si="3814"/>
        <v>0</v>
      </c>
      <c r="AX980" s="177">
        <f t="shared" si="3814"/>
        <v>0</v>
      </c>
      <c r="AY980" s="177">
        <f t="shared" si="3814"/>
        <v>0</v>
      </c>
      <c r="AZ980" s="177">
        <f t="shared" si="3814"/>
        <v>0</v>
      </c>
      <c r="BA980" s="177">
        <f t="shared" si="3814"/>
        <v>0</v>
      </c>
      <c r="BB980" s="177">
        <f t="shared" si="3814"/>
        <v>0</v>
      </c>
      <c r="BC980" s="177"/>
      <c r="BD980" s="178"/>
    </row>
    <row r="981" spans="1:56" hidden="1" outlineLevel="1" x14ac:dyDescent="0.3">
      <c r="A981" s="175" t="str">
        <f ca="1">Language!A$987</f>
        <v>кредиторская задолженность</v>
      </c>
      <c r="C981" s="194" t="str">
        <f t="shared" ca="1" si="3687"/>
        <v>руб.</v>
      </c>
      <c r="D981" s="174">
        <v>1</v>
      </c>
      <c r="F981" s="170" t="s">
        <v>1081</v>
      </c>
      <c r="G981" s="177">
        <f t="shared" ref="G981:AL981" si="3815">SUM(G$933)</f>
        <v>0</v>
      </c>
      <c r="H981" s="177">
        <f t="shared" si="3815"/>
        <v>0</v>
      </c>
      <c r="I981" s="177">
        <f t="shared" si="3815"/>
        <v>0</v>
      </c>
      <c r="J981" s="177">
        <f t="shared" si="3815"/>
        <v>0</v>
      </c>
      <c r="K981" s="177">
        <f t="shared" si="3815"/>
        <v>0</v>
      </c>
      <c r="L981" s="177">
        <f t="shared" si="3815"/>
        <v>0</v>
      </c>
      <c r="M981" s="177">
        <f t="shared" si="3815"/>
        <v>0</v>
      </c>
      <c r="N981" s="177">
        <f t="shared" si="3815"/>
        <v>0</v>
      </c>
      <c r="O981" s="177">
        <f t="shared" si="3815"/>
        <v>0</v>
      </c>
      <c r="P981" s="177">
        <f t="shared" si="3815"/>
        <v>0</v>
      </c>
      <c r="Q981" s="177">
        <f t="shared" si="3815"/>
        <v>0</v>
      </c>
      <c r="R981" s="177">
        <f t="shared" si="3815"/>
        <v>0</v>
      </c>
      <c r="S981" s="177">
        <f t="shared" si="3815"/>
        <v>0</v>
      </c>
      <c r="T981" s="177">
        <f t="shared" si="3815"/>
        <v>0</v>
      </c>
      <c r="U981" s="177">
        <f t="shared" si="3815"/>
        <v>0</v>
      </c>
      <c r="V981" s="177">
        <f t="shared" si="3815"/>
        <v>0</v>
      </c>
      <c r="W981" s="177">
        <f t="shared" si="3815"/>
        <v>0</v>
      </c>
      <c r="X981" s="177">
        <f t="shared" si="3815"/>
        <v>0</v>
      </c>
      <c r="Y981" s="177">
        <f t="shared" si="3815"/>
        <v>0</v>
      </c>
      <c r="Z981" s="177">
        <f t="shared" si="3815"/>
        <v>0</v>
      </c>
      <c r="AA981" s="177">
        <f t="shared" si="3815"/>
        <v>0</v>
      </c>
      <c r="AB981" s="177">
        <f t="shared" si="3815"/>
        <v>0</v>
      </c>
      <c r="AC981" s="177">
        <f t="shared" si="3815"/>
        <v>0</v>
      </c>
      <c r="AD981" s="177">
        <f t="shared" si="3815"/>
        <v>0</v>
      </c>
      <c r="AE981" s="177">
        <f t="shared" si="3815"/>
        <v>0</v>
      </c>
      <c r="AF981" s="177">
        <f t="shared" si="3815"/>
        <v>0</v>
      </c>
      <c r="AG981" s="177">
        <f t="shared" si="3815"/>
        <v>0</v>
      </c>
      <c r="AH981" s="177">
        <f t="shared" si="3815"/>
        <v>0</v>
      </c>
      <c r="AI981" s="177">
        <f t="shared" si="3815"/>
        <v>0</v>
      </c>
      <c r="AJ981" s="177">
        <f t="shared" si="3815"/>
        <v>0</v>
      </c>
      <c r="AK981" s="177">
        <f t="shared" si="3815"/>
        <v>0</v>
      </c>
      <c r="AL981" s="177">
        <f t="shared" si="3815"/>
        <v>0</v>
      </c>
      <c r="AM981" s="177">
        <f t="shared" ref="AM981:BB981" si="3816">SUM(AM$933)</f>
        <v>0</v>
      </c>
      <c r="AN981" s="177">
        <f t="shared" si="3816"/>
        <v>0</v>
      </c>
      <c r="AO981" s="177">
        <f t="shared" si="3816"/>
        <v>0</v>
      </c>
      <c r="AP981" s="177">
        <f t="shared" si="3816"/>
        <v>0</v>
      </c>
      <c r="AQ981" s="177">
        <f t="shared" si="3816"/>
        <v>0</v>
      </c>
      <c r="AR981" s="177">
        <f t="shared" si="3816"/>
        <v>0</v>
      </c>
      <c r="AS981" s="177">
        <f t="shared" si="3816"/>
        <v>0</v>
      </c>
      <c r="AT981" s="177">
        <f t="shared" si="3816"/>
        <v>0</v>
      </c>
      <c r="AU981" s="177">
        <f t="shared" si="3816"/>
        <v>0</v>
      </c>
      <c r="AV981" s="177">
        <f t="shared" si="3816"/>
        <v>0</v>
      </c>
      <c r="AW981" s="177">
        <f t="shared" si="3816"/>
        <v>0</v>
      </c>
      <c r="AX981" s="177">
        <f t="shared" si="3816"/>
        <v>0</v>
      </c>
      <c r="AY981" s="177">
        <f t="shared" si="3816"/>
        <v>0</v>
      </c>
      <c r="AZ981" s="177">
        <f t="shared" si="3816"/>
        <v>0</v>
      </c>
      <c r="BA981" s="177">
        <f t="shared" si="3816"/>
        <v>0</v>
      </c>
      <c r="BB981" s="177">
        <f t="shared" si="3816"/>
        <v>0</v>
      </c>
      <c r="BC981" s="177"/>
      <c r="BD981" s="178"/>
    </row>
    <row r="982" spans="1:56" hidden="1" outlineLevel="1" x14ac:dyDescent="0.3">
      <c r="A982" s="175" t="str">
        <f ca="1">Language!A$988</f>
        <v>амортизация (бухгалтерская)</v>
      </c>
      <c r="C982" s="194" t="str">
        <f t="shared" ca="1" si="3687"/>
        <v>руб.</v>
      </c>
      <c r="D982" s="174">
        <v>1</v>
      </c>
      <c r="F982" s="170" t="s">
        <v>1082</v>
      </c>
      <c r="G982" s="177">
        <f t="shared" ref="G982:AL982" ca="1" si="3817">SUM(G$935)</f>
        <v>0</v>
      </c>
      <c r="H982" s="177">
        <f t="shared" ca="1" si="3817"/>
        <v>0</v>
      </c>
      <c r="I982" s="177">
        <f t="shared" ca="1" si="3817"/>
        <v>0</v>
      </c>
      <c r="J982" s="177">
        <f t="shared" ca="1" si="3817"/>
        <v>0</v>
      </c>
      <c r="K982" s="177">
        <f t="shared" ca="1" si="3817"/>
        <v>0</v>
      </c>
      <c r="L982" s="177">
        <f t="shared" ca="1" si="3817"/>
        <v>0</v>
      </c>
      <c r="M982" s="177">
        <f t="shared" ca="1" si="3817"/>
        <v>1250</v>
      </c>
      <c r="N982" s="177">
        <f t="shared" ca="1" si="3817"/>
        <v>1250</v>
      </c>
      <c r="O982" s="177">
        <f t="shared" ca="1" si="3817"/>
        <v>1250</v>
      </c>
      <c r="P982" s="177">
        <f t="shared" ca="1" si="3817"/>
        <v>1250</v>
      </c>
      <c r="Q982" s="177">
        <f t="shared" ca="1" si="3817"/>
        <v>1250</v>
      </c>
      <c r="R982" s="177">
        <f t="shared" ca="1" si="3817"/>
        <v>1250</v>
      </c>
      <c r="S982" s="177">
        <f t="shared" ca="1" si="3817"/>
        <v>1250</v>
      </c>
      <c r="T982" s="177">
        <f t="shared" ca="1" si="3817"/>
        <v>1250</v>
      </c>
      <c r="U982" s="177">
        <f t="shared" ca="1" si="3817"/>
        <v>1250</v>
      </c>
      <c r="V982" s="177">
        <f t="shared" ca="1" si="3817"/>
        <v>1250</v>
      </c>
      <c r="W982" s="177">
        <f t="shared" ca="1" si="3817"/>
        <v>1250</v>
      </c>
      <c r="X982" s="177">
        <f t="shared" ca="1" si="3817"/>
        <v>1250</v>
      </c>
      <c r="Y982" s="177">
        <f t="shared" ca="1" si="3817"/>
        <v>1250</v>
      </c>
      <c r="Z982" s="177">
        <f t="shared" ca="1" si="3817"/>
        <v>1250</v>
      </c>
      <c r="AA982" s="177">
        <f t="shared" ca="1" si="3817"/>
        <v>1250</v>
      </c>
      <c r="AB982" s="177">
        <f t="shared" ca="1" si="3817"/>
        <v>1250</v>
      </c>
      <c r="AC982" s="177">
        <f t="shared" ca="1" si="3817"/>
        <v>1250</v>
      </c>
      <c r="AD982" s="177">
        <f t="shared" ca="1" si="3817"/>
        <v>1250</v>
      </c>
      <c r="AE982" s="177">
        <f t="shared" ca="1" si="3817"/>
        <v>1250</v>
      </c>
      <c r="AF982" s="177">
        <f t="shared" ca="1" si="3817"/>
        <v>1250</v>
      </c>
      <c r="AG982" s="177">
        <f t="shared" ca="1" si="3817"/>
        <v>1250</v>
      </c>
      <c r="AH982" s="177">
        <f t="shared" ca="1" si="3817"/>
        <v>1250</v>
      </c>
      <c r="AI982" s="177">
        <f t="shared" ca="1" si="3817"/>
        <v>1250</v>
      </c>
      <c r="AJ982" s="177">
        <f t="shared" ca="1" si="3817"/>
        <v>1250</v>
      </c>
      <c r="AK982" s="177">
        <f t="shared" ca="1" si="3817"/>
        <v>1250</v>
      </c>
      <c r="AL982" s="177">
        <f t="shared" ca="1" si="3817"/>
        <v>1250</v>
      </c>
      <c r="AM982" s="177">
        <f t="shared" ref="AM982:BB982" ca="1" si="3818">SUM(AM$935)</f>
        <v>1250</v>
      </c>
      <c r="AN982" s="177">
        <f t="shared" ca="1" si="3818"/>
        <v>1250</v>
      </c>
      <c r="AO982" s="177">
        <f t="shared" ca="1" si="3818"/>
        <v>1250</v>
      </c>
      <c r="AP982" s="177">
        <f t="shared" ca="1" si="3818"/>
        <v>1250</v>
      </c>
      <c r="AQ982" s="177">
        <f t="shared" ca="1" si="3818"/>
        <v>1250</v>
      </c>
      <c r="AR982" s="177">
        <f t="shared" ca="1" si="3818"/>
        <v>1250</v>
      </c>
      <c r="AS982" s="177">
        <f t="shared" ca="1" si="3818"/>
        <v>1250</v>
      </c>
      <c r="AT982" s="177">
        <f t="shared" ca="1" si="3818"/>
        <v>1250</v>
      </c>
      <c r="AU982" s="177">
        <f t="shared" ca="1" si="3818"/>
        <v>1250</v>
      </c>
      <c r="AV982" s="177">
        <f t="shared" ca="1" si="3818"/>
        <v>1250</v>
      </c>
      <c r="AW982" s="177">
        <f t="shared" ca="1" si="3818"/>
        <v>1250</v>
      </c>
      <c r="AX982" s="177">
        <f t="shared" ca="1" si="3818"/>
        <v>1250</v>
      </c>
      <c r="AY982" s="177">
        <f t="shared" ca="1" si="3818"/>
        <v>1250</v>
      </c>
      <c r="AZ982" s="177">
        <f t="shared" ca="1" si="3818"/>
        <v>1250</v>
      </c>
      <c r="BA982" s="177">
        <f t="shared" ca="1" si="3818"/>
        <v>1250</v>
      </c>
      <c r="BB982" s="177">
        <f t="shared" ca="1" si="3818"/>
        <v>1250</v>
      </c>
      <c r="BC982" s="177"/>
      <c r="BD982" s="178">
        <f ca="1">SUM(G982:BC982)</f>
        <v>52500</v>
      </c>
    </row>
    <row r="983" spans="1:56" hidden="1" outlineLevel="1" x14ac:dyDescent="0.3">
      <c r="A983" s="175" t="str">
        <f ca="1">Language!A$989</f>
        <v>балансовая стоимость (бухгалтерская)</v>
      </c>
      <c r="C983" s="194" t="str">
        <f t="shared" ca="1" si="3687"/>
        <v>руб.</v>
      </c>
      <c r="D983" s="174">
        <v>1</v>
      </c>
      <c r="F983" s="170" t="s">
        <v>1083</v>
      </c>
      <c r="G983" s="177">
        <f t="shared" ref="G983:AL983" ca="1" si="3819">SUM(G$936)</f>
        <v>0</v>
      </c>
      <c r="H983" s="177">
        <f t="shared" ca="1" si="3819"/>
        <v>0</v>
      </c>
      <c r="I983" s="177">
        <f t="shared" ca="1" si="3819"/>
        <v>0</v>
      </c>
      <c r="J983" s="177">
        <f t="shared" ca="1" si="3819"/>
        <v>0</v>
      </c>
      <c r="K983" s="177">
        <f t="shared" ca="1" si="3819"/>
        <v>0</v>
      </c>
      <c r="L983" s="177">
        <f t="shared" ca="1" si="3819"/>
        <v>0</v>
      </c>
      <c r="M983" s="177">
        <f t="shared" ca="1" si="3819"/>
        <v>148750</v>
      </c>
      <c r="N983" s="177">
        <f t="shared" ca="1" si="3819"/>
        <v>147500</v>
      </c>
      <c r="O983" s="177">
        <f t="shared" ca="1" si="3819"/>
        <v>146250</v>
      </c>
      <c r="P983" s="177">
        <f t="shared" ca="1" si="3819"/>
        <v>145000</v>
      </c>
      <c r="Q983" s="177">
        <f t="shared" ca="1" si="3819"/>
        <v>143750</v>
      </c>
      <c r="R983" s="177">
        <f t="shared" ca="1" si="3819"/>
        <v>142500</v>
      </c>
      <c r="S983" s="177">
        <f t="shared" ca="1" si="3819"/>
        <v>141250</v>
      </c>
      <c r="T983" s="177">
        <f t="shared" ca="1" si="3819"/>
        <v>140000</v>
      </c>
      <c r="U983" s="177">
        <f t="shared" ca="1" si="3819"/>
        <v>138750</v>
      </c>
      <c r="V983" s="177">
        <f t="shared" ca="1" si="3819"/>
        <v>137500</v>
      </c>
      <c r="W983" s="177">
        <f t="shared" ca="1" si="3819"/>
        <v>136250</v>
      </c>
      <c r="X983" s="177">
        <f t="shared" ca="1" si="3819"/>
        <v>135000</v>
      </c>
      <c r="Y983" s="177">
        <f t="shared" ca="1" si="3819"/>
        <v>133750</v>
      </c>
      <c r="Z983" s="177">
        <f t="shared" ca="1" si="3819"/>
        <v>132500</v>
      </c>
      <c r="AA983" s="177">
        <f t="shared" ca="1" si="3819"/>
        <v>131250</v>
      </c>
      <c r="AB983" s="177">
        <f t="shared" ca="1" si="3819"/>
        <v>130000</v>
      </c>
      <c r="AC983" s="177">
        <f t="shared" ca="1" si="3819"/>
        <v>128750</v>
      </c>
      <c r="AD983" s="177">
        <f t="shared" ca="1" si="3819"/>
        <v>127500</v>
      </c>
      <c r="AE983" s="177">
        <f t="shared" ca="1" si="3819"/>
        <v>126250</v>
      </c>
      <c r="AF983" s="177">
        <f t="shared" ca="1" si="3819"/>
        <v>125000</v>
      </c>
      <c r="AG983" s="177">
        <f t="shared" ca="1" si="3819"/>
        <v>123750</v>
      </c>
      <c r="AH983" s="177">
        <f t="shared" ca="1" si="3819"/>
        <v>122500</v>
      </c>
      <c r="AI983" s="177">
        <f t="shared" ca="1" si="3819"/>
        <v>121250</v>
      </c>
      <c r="AJ983" s="177">
        <f t="shared" ca="1" si="3819"/>
        <v>120000</v>
      </c>
      <c r="AK983" s="177">
        <f t="shared" ca="1" si="3819"/>
        <v>118750</v>
      </c>
      <c r="AL983" s="177">
        <f t="shared" ca="1" si="3819"/>
        <v>117500</v>
      </c>
      <c r="AM983" s="177">
        <f t="shared" ref="AM983:BB983" ca="1" si="3820">SUM(AM$936)</f>
        <v>116250</v>
      </c>
      <c r="AN983" s="177">
        <f t="shared" ca="1" si="3820"/>
        <v>115000</v>
      </c>
      <c r="AO983" s="177">
        <f t="shared" ca="1" si="3820"/>
        <v>113750</v>
      </c>
      <c r="AP983" s="177">
        <f t="shared" ca="1" si="3820"/>
        <v>112500</v>
      </c>
      <c r="AQ983" s="177">
        <f t="shared" ca="1" si="3820"/>
        <v>111250</v>
      </c>
      <c r="AR983" s="177">
        <f t="shared" ca="1" si="3820"/>
        <v>110000</v>
      </c>
      <c r="AS983" s="177">
        <f t="shared" ca="1" si="3820"/>
        <v>108750</v>
      </c>
      <c r="AT983" s="177">
        <f t="shared" ca="1" si="3820"/>
        <v>107500</v>
      </c>
      <c r="AU983" s="177">
        <f t="shared" ca="1" si="3820"/>
        <v>106250</v>
      </c>
      <c r="AV983" s="177">
        <f t="shared" ca="1" si="3820"/>
        <v>105000</v>
      </c>
      <c r="AW983" s="177">
        <f t="shared" ca="1" si="3820"/>
        <v>103750</v>
      </c>
      <c r="AX983" s="177">
        <f t="shared" ca="1" si="3820"/>
        <v>102500</v>
      </c>
      <c r="AY983" s="177">
        <f t="shared" ca="1" si="3820"/>
        <v>101250</v>
      </c>
      <c r="AZ983" s="177">
        <f t="shared" ca="1" si="3820"/>
        <v>100000</v>
      </c>
      <c r="BA983" s="177">
        <f t="shared" ca="1" si="3820"/>
        <v>98750</v>
      </c>
      <c r="BB983" s="177">
        <f t="shared" ca="1" si="3820"/>
        <v>97500</v>
      </c>
      <c r="BC983" s="177"/>
      <c r="BD983" s="178"/>
    </row>
    <row r="984" spans="1:56" hidden="1" outlineLevel="1" x14ac:dyDescent="0.3">
      <c r="A984" s="175" t="str">
        <f ca="1">Language!A$990</f>
        <v>выплаченный НДС</v>
      </c>
      <c r="C984" s="194" t="str">
        <f t="shared" ca="1" si="3687"/>
        <v>руб.</v>
      </c>
      <c r="D984" s="174">
        <v>1</v>
      </c>
      <c r="F984" s="170" t="s">
        <v>1084</v>
      </c>
      <c r="G984" s="177">
        <f t="shared" ref="G984:AL984" si="3821">SUM(G$937)</f>
        <v>0</v>
      </c>
      <c r="H984" s="177">
        <f t="shared" si="3821"/>
        <v>0</v>
      </c>
      <c r="I984" s="177">
        <f t="shared" si="3821"/>
        <v>0</v>
      </c>
      <c r="J984" s="177">
        <f t="shared" si="3821"/>
        <v>0</v>
      </c>
      <c r="K984" s="177">
        <f t="shared" si="3821"/>
        <v>0</v>
      </c>
      <c r="L984" s="177">
        <f t="shared" si="3821"/>
        <v>0</v>
      </c>
      <c r="M984" s="177">
        <f t="shared" si="3821"/>
        <v>0</v>
      </c>
      <c r="N984" s="177">
        <f t="shared" si="3821"/>
        <v>0</v>
      </c>
      <c r="O984" s="177">
        <f t="shared" si="3821"/>
        <v>0</v>
      </c>
      <c r="P984" s="177">
        <f t="shared" si="3821"/>
        <v>0</v>
      </c>
      <c r="Q984" s="177">
        <f t="shared" si="3821"/>
        <v>0</v>
      </c>
      <c r="R984" s="177">
        <f t="shared" si="3821"/>
        <v>0</v>
      </c>
      <c r="S984" s="177">
        <f t="shared" si="3821"/>
        <v>0</v>
      </c>
      <c r="T984" s="177">
        <f t="shared" si="3821"/>
        <v>0</v>
      </c>
      <c r="U984" s="177">
        <f t="shared" si="3821"/>
        <v>0</v>
      </c>
      <c r="V984" s="177">
        <f t="shared" si="3821"/>
        <v>0</v>
      </c>
      <c r="W984" s="177">
        <f t="shared" si="3821"/>
        <v>0</v>
      </c>
      <c r="X984" s="177">
        <f t="shared" si="3821"/>
        <v>0</v>
      </c>
      <c r="Y984" s="177">
        <f t="shared" si="3821"/>
        <v>0</v>
      </c>
      <c r="Z984" s="177">
        <f t="shared" si="3821"/>
        <v>0</v>
      </c>
      <c r="AA984" s="177">
        <f t="shared" si="3821"/>
        <v>0</v>
      </c>
      <c r="AB984" s="177">
        <f t="shared" si="3821"/>
        <v>0</v>
      </c>
      <c r="AC984" s="177">
        <f t="shared" si="3821"/>
        <v>0</v>
      </c>
      <c r="AD984" s="177">
        <f t="shared" si="3821"/>
        <v>0</v>
      </c>
      <c r="AE984" s="177">
        <f t="shared" si="3821"/>
        <v>0</v>
      </c>
      <c r="AF984" s="177">
        <f t="shared" si="3821"/>
        <v>0</v>
      </c>
      <c r="AG984" s="177">
        <f t="shared" si="3821"/>
        <v>0</v>
      </c>
      <c r="AH984" s="177">
        <f t="shared" si="3821"/>
        <v>0</v>
      </c>
      <c r="AI984" s="177">
        <f t="shared" si="3821"/>
        <v>0</v>
      </c>
      <c r="AJ984" s="177">
        <f t="shared" si="3821"/>
        <v>0</v>
      </c>
      <c r="AK984" s="177">
        <f t="shared" si="3821"/>
        <v>0</v>
      </c>
      <c r="AL984" s="177">
        <f t="shared" si="3821"/>
        <v>0</v>
      </c>
      <c r="AM984" s="177">
        <f t="shared" ref="AM984:BB984" si="3822">SUM(AM$937)</f>
        <v>0</v>
      </c>
      <c r="AN984" s="177">
        <f t="shared" si="3822"/>
        <v>0</v>
      </c>
      <c r="AO984" s="177">
        <f t="shared" si="3822"/>
        <v>0</v>
      </c>
      <c r="AP984" s="177">
        <f t="shared" si="3822"/>
        <v>0</v>
      </c>
      <c r="AQ984" s="177">
        <f t="shared" si="3822"/>
        <v>0</v>
      </c>
      <c r="AR984" s="177">
        <f t="shared" si="3822"/>
        <v>0</v>
      </c>
      <c r="AS984" s="177">
        <f t="shared" si="3822"/>
        <v>0</v>
      </c>
      <c r="AT984" s="177">
        <f t="shared" si="3822"/>
        <v>0</v>
      </c>
      <c r="AU984" s="177">
        <f t="shared" si="3822"/>
        <v>0</v>
      </c>
      <c r="AV984" s="177">
        <f t="shared" si="3822"/>
        <v>0</v>
      </c>
      <c r="AW984" s="177">
        <f t="shared" si="3822"/>
        <v>0</v>
      </c>
      <c r="AX984" s="177">
        <f t="shared" si="3822"/>
        <v>0</v>
      </c>
      <c r="AY984" s="177">
        <f t="shared" si="3822"/>
        <v>0</v>
      </c>
      <c r="AZ984" s="177">
        <f t="shared" si="3822"/>
        <v>0</v>
      </c>
      <c r="BA984" s="177">
        <f t="shared" si="3822"/>
        <v>0</v>
      </c>
      <c r="BB984" s="177">
        <f t="shared" si="3822"/>
        <v>0</v>
      </c>
      <c r="BC984" s="177"/>
      <c r="BD984" s="178">
        <f>SUM(G984:BC984)</f>
        <v>0</v>
      </c>
    </row>
    <row r="985" spans="1:56" hidden="1" outlineLevel="1" x14ac:dyDescent="0.3">
      <c r="A985" s="175" t="str">
        <f ca="1">Language!A$991</f>
        <v>зачтенный НДС</v>
      </c>
      <c r="C985" s="194" t="str">
        <f t="shared" ca="1" si="3687"/>
        <v>руб.</v>
      </c>
      <c r="D985" s="174">
        <v>1</v>
      </c>
      <c r="F985" s="170" t="s">
        <v>1085</v>
      </c>
      <c r="G985" s="177">
        <f t="shared" ref="G985:AL985" si="3823">SUM(G$938)</f>
        <v>0</v>
      </c>
      <c r="H985" s="177">
        <f t="shared" si="3823"/>
        <v>0</v>
      </c>
      <c r="I985" s="177">
        <f t="shared" si="3823"/>
        <v>0</v>
      </c>
      <c r="J985" s="177">
        <f t="shared" si="3823"/>
        <v>0</v>
      </c>
      <c r="K985" s="177">
        <f t="shared" si="3823"/>
        <v>0</v>
      </c>
      <c r="L985" s="177">
        <f t="shared" si="3823"/>
        <v>0</v>
      </c>
      <c r="M985" s="177">
        <f t="shared" si="3823"/>
        <v>0</v>
      </c>
      <c r="N985" s="177">
        <f t="shared" si="3823"/>
        <v>0</v>
      </c>
      <c r="O985" s="177">
        <f t="shared" si="3823"/>
        <v>0</v>
      </c>
      <c r="P985" s="177">
        <f t="shared" si="3823"/>
        <v>0</v>
      </c>
      <c r="Q985" s="177">
        <f t="shared" si="3823"/>
        <v>0</v>
      </c>
      <c r="R985" s="177">
        <f t="shared" si="3823"/>
        <v>0</v>
      </c>
      <c r="S985" s="177">
        <f t="shared" si="3823"/>
        <v>0</v>
      </c>
      <c r="T985" s="177">
        <f t="shared" si="3823"/>
        <v>0</v>
      </c>
      <c r="U985" s="177">
        <f t="shared" si="3823"/>
        <v>0</v>
      </c>
      <c r="V985" s="177">
        <f t="shared" si="3823"/>
        <v>0</v>
      </c>
      <c r="W985" s="177">
        <f t="shared" si="3823"/>
        <v>0</v>
      </c>
      <c r="X985" s="177">
        <f t="shared" si="3823"/>
        <v>0</v>
      </c>
      <c r="Y985" s="177">
        <f t="shared" si="3823"/>
        <v>0</v>
      </c>
      <c r="Z985" s="177">
        <f t="shared" si="3823"/>
        <v>0</v>
      </c>
      <c r="AA985" s="177">
        <f t="shared" si="3823"/>
        <v>0</v>
      </c>
      <c r="AB985" s="177">
        <f t="shared" si="3823"/>
        <v>0</v>
      </c>
      <c r="AC985" s="177">
        <f t="shared" si="3823"/>
        <v>0</v>
      </c>
      <c r="AD985" s="177">
        <f t="shared" si="3823"/>
        <v>0</v>
      </c>
      <c r="AE985" s="177">
        <f t="shared" si="3823"/>
        <v>0</v>
      </c>
      <c r="AF985" s="177">
        <f t="shared" si="3823"/>
        <v>0</v>
      </c>
      <c r="AG985" s="177">
        <f t="shared" si="3823"/>
        <v>0</v>
      </c>
      <c r="AH985" s="177">
        <f t="shared" si="3823"/>
        <v>0</v>
      </c>
      <c r="AI985" s="177">
        <f t="shared" si="3823"/>
        <v>0</v>
      </c>
      <c r="AJ985" s="177">
        <f t="shared" si="3823"/>
        <v>0</v>
      </c>
      <c r="AK985" s="177">
        <f t="shared" si="3823"/>
        <v>0</v>
      </c>
      <c r="AL985" s="177">
        <f t="shared" si="3823"/>
        <v>0</v>
      </c>
      <c r="AM985" s="177">
        <f t="shared" ref="AM985:BB985" si="3824">SUM(AM$938)</f>
        <v>0</v>
      </c>
      <c r="AN985" s="177">
        <f t="shared" si="3824"/>
        <v>0</v>
      </c>
      <c r="AO985" s="177">
        <f t="shared" si="3824"/>
        <v>0</v>
      </c>
      <c r="AP985" s="177">
        <f t="shared" si="3824"/>
        <v>0</v>
      </c>
      <c r="AQ985" s="177">
        <f t="shared" si="3824"/>
        <v>0</v>
      </c>
      <c r="AR985" s="177">
        <f t="shared" si="3824"/>
        <v>0</v>
      </c>
      <c r="AS985" s="177">
        <f t="shared" si="3824"/>
        <v>0</v>
      </c>
      <c r="AT985" s="177">
        <f t="shared" si="3824"/>
        <v>0</v>
      </c>
      <c r="AU985" s="177">
        <f t="shared" si="3824"/>
        <v>0</v>
      </c>
      <c r="AV985" s="177">
        <f t="shared" si="3824"/>
        <v>0</v>
      </c>
      <c r="AW985" s="177">
        <f t="shared" si="3824"/>
        <v>0</v>
      </c>
      <c r="AX985" s="177">
        <f t="shared" si="3824"/>
        <v>0</v>
      </c>
      <c r="AY985" s="177">
        <f t="shared" si="3824"/>
        <v>0</v>
      </c>
      <c r="AZ985" s="177">
        <f t="shared" si="3824"/>
        <v>0</v>
      </c>
      <c r="BA985" s="177">
        <f t="shared" si="3824"/>
        <v>0</v>
      </c>
      <c r="BB985" s="177">
        <f t="shared" si="3824"/>
        <v>0</v>
      </c>
      <c r="BC985" s="177"/>
      <c r="BD985" s="178">
        <f>SUM(G985:BC985)</f>
        <v>0</v>
      </c>
    </row>
    <row r="986" spans="1:56" hidden="1" outlineLevel="1" x14ac:dyDescent="0.3">
      <c r="A986" s="175" t="str">
        <f ca="1">Language!A$992</f>
        <v>выручка от продажи актива</v>
      </c>
      <c r="C986" s="194" t="str">
        <f t="shared" ca="1" si="3687"/>
        <v>руб.</v>
      </c>
      <c r="D986" s="174">
        <v>1</v>
      </c>
      <c r="F986" s="170" t="s">
        <v>1086</v>
      </c>
      <c r="G986" s="177">
        <f t="shared" ref="G986:AL986" si="3825">SUM(G$926)</f>
        <v>0</v>
      </c>
      <c r="H986" s="177">
        <f t="shared" si="3825"/>
        <v>0</v>
      </c>
      <c r="I986" s="177">
        <f t="shared" si="3825"/>
        <v>0</v>
      </c>
      <c r="J986" s="177">
        <f t="shared" si="3825"/>
        <v>0</v>
      </c>
      <c r="K986" s="177">
        <f t="shared" si="3825"/>
        <v>0</v>
      </c>
      <c r="L986" s="177">
        <f t="shared" si="3825"/>
        <v>0</v>
      </c>
      <c r="M986" s="177">
        <f t="shared" si="3825"/>
        <v>0</v>
      </c>
      <c r="N986" s="177">
        <f t="shared" si="3825"/>
        <v>0</v>
      </c>
      <c r="O986" s="177">
        <f t="shared" si="3825"/>
        <v>0</v>
      </c>
      <c r="P986" s="177">
        <f t="shared" si="3825"/>
        <v>0</v>
      </c>
      <c r="Q986" s="177">
        <f t="shared" si="3825"/>
        <v>0</v>
      </c>
      <c r="R986" s="177">
        <f t="shared" si="3825"/>
        <v>0</v>
      </c>
      <c r="S986" s="177">
        <f t="shared" si="3825"/>
        <v>0</v>
      </c>
      <c r="T986" s="177">
        <f t="shared" si="3825"/>
        <v>0</v>
      </c>
      <c r="U986" s="177">
        <f t="shared" si="3825"/>
        <v>0</v>
      </c>
      <c r="V986" s="177">
        <f t="shared" si="3825"/>
        <v>0</v>
      </c>
      <c r="W986" s="177">
        <f t="shared" si="3825"/>
        <v>0</v>
      </c>
      <c r="X986" s="177">
        <f t="shared" si="3825"/>
        <v>0</v>
      </c>
      <c r="Y986" s="177">
        <f t="shared" si="3825"/>
        <v>0</v>
      </c>
      <c r="Z986" s="177">
        <f t="shared" si="3825"/>
        <v>0</v>
      </c>
      <c r="AA986" s="177">
        <f t="shared" si="3825"/>
        <v>0</v>
      </c>
      <c r="AB986" s="177">
        <f t="shared" si="3825"/>
        <v>0</v>
      </c>
      <c r="AC986" s="177">
        <f t="shared" si="3825"/>
        <v>0</v>
      </c>
      <c r="AD986" s="177">
        <f t="shared" si="3825"/>
        <v>0</v>
      </c>
      <c r="AE986" s="177">
        <f t="shared" si="3825"/>
        <v>0</v>
      </c>
      <c r="AF986" s="177">
        <f t="shared" si="3825"/>
        <v>0</v>
      </c>
      <c r="AG986" s="177">
        <f t="shared" si="3825"/>
        <v>0</v>
      </c>
      <c r="AH986" s="177">
        <f t="shared" si="3825"/>
        <v>0</v>
      </c>
      <c r="AI986" s="177">
        <f t="shared" si="3825"/>
        <v>0</v>
      </c>
      <c r="AJ986" s="177">
        <f t="shared" si="3825"/>
        <v>0</v>
      </c>
      <c r="AK986" s="177">
        <f t="shared" si="3825"/>
        <v>0</v>
      </c>
      <c r="AL986" s="177">
        <f t="shared" si="3825"/>
        <v>0</v>
      </c>
      <c r="AM986" s="177">
        <f t="shared" ref="AM986:BB986" si="3826">SUM(AM$926)</f>
        <v>0</v>
      </c>
      <c r="AN986" s="177">
        <f t="shared" si="3826"/>
        <v>0</v>
      </c>
      <c r="AO986" s="177">
        <f t="shared" si="3826"/>
        <v>0</v>
      </c>
      <c r="AP986" s="177">
        <f t="shared" si="3826"/>
        <v>0</v>
      </c>
      <c r="AQ986" s="177">
        <f t="shared" si="3826"/>
        <v>0</v>
      </c>
      <c r="AR986" s="177">
        <f t="shared" si="3826"/>
        <v>0</v>
      </c>
      <c r="AS986" s="177">
        <f t="shared" si="3826"/>
        <v>0</v>
      </c>
      <c r="AT986" s="177">
        <f t="shared" si="3826"/>
        <v>0</v>
      </c>
      <c r="AU986" s="177">
        <f t="shared" si="3826"/>
        <v>0</v>
      </c>
      <c r="AV986" s="177">
        <f t="shared" si="3826"/>
        <v>0</v>
      </c>
      <c r="AW986" s="177">
        <f t="shared" si="3826"/>
        <v>0</v>
      </c>
      <c r="AX986" s="177">
        <f t="shared" si="3826"/>
        <v>0</v>
      </c>
      <c r="AY986" s="177">
        <f t="shared" si="3826"/>
        <v>0</v>
      </c>
      <c r="AZ986" s="177">
        <f t="shared" si="3826"/>
        <v>0</v>
      </c>
      <c r="BA986" s="177">
        <f t="shared" si="3826"/>
        <v>0</v>
      </c>
      <c r="BB986" s="177">
        <f t="shared" si="3826"/>
        <v>0</v>
      </c>
      <c r="BC986" s="177"/>
      <c r="BD986" s="178">
        <f>SUM(G986:BC986)</f>
        <v>0</v>
      </c>
    </row>
    <row r="987" spans="1:56" hidden="1" outlineLevel="1" x14ac:dyDescent="0.3">
      <c r="A987" s="175" t="str">
        <f ca="1">Language!A$993</f>
        <v>прибыль/убыток от продажи актива (бухгалтерская)</v>
      </c>
      <c r="C987" s="194" t="str">
        <f t="shared" ca="1" si="3687"/>
        <v>руб.</v>
      </c>
      <c r="D987" s="174">
        <v>1</v>
      </c>
      <c r="F987" s="170" t="s">
        <v>1087</v>
      </c>
      <c r="G987" s="177">
        <f t="shared" ref="G987:AL987" si="3827">SUM(G$939)</f>
        <v>0</v>
      </c>
      <c r="H987" s="177">
        <f t="shared" si="3827"/>
        <v>0</v>
      </c>
      <c r="I987" s="177">
        <f t="shared" si="3827"/>
        <v>0</v>
      </c>
      <c r="J987" s="177">
        <f t="shared" si="3827"/>
        <v>0</v>
      </c>
      <c r="K987" s="177">
        <f t="shared" si="3827"/>
        <v>0</v>
      </c>
      <c r="L987" s="177">
        <f t="shared" si="3827"/>
        <v>0</v>
      </c>
      <c r="M987" s="177">
        <f t="shared" si="3827"/>
        <v>0</v>
      </c>
      <c r="N987" s="177">
        <f t="shared" si="3827"/>
        <v>0</v>
      </c>
      <c r="O987" s="177">
        <f t="shared" si="3827"/>
        <v>0</v>
      </c>
      <c r="P987" s="177">
        <f t="shared" si="3827"/>
        <v>0</v>
      </c>
      <c r="Q987" s="177">
        <f t="shared" si="3827"/>
        <v>0</v>
      </c>
      <c r="R987" s="177">
        <f t="shared" si="3827"/>
        <v>0</v>
      </c>
      <c r="S987" s="177">
        <f t="shared" si="3827"/>
        <v>0</v>
      </c>
      <c r="T987" s="177">
        <f t="shared" si="3827"/>
        <v>0</v>
      </c>
      <c r="U987" s="177">
        <f t="shared" si="3827"/>
        <v>0</v>
      </c>
      <c r="V987" s="177">
        <f t="shared" si="3827"/>
        <v>0</v>
      </c>
      <c r="W987" s="177">
        <f t="shared" si="3827"/>
        <v>0</v>
      </c>
      <c r="X987" s="177">
        <f t="shared" si="3827"/>
        <v>0</v>
      </c>
      <c r="Y987" s="177">
        <f t="shared" si="3827"/>
        <v>0</v>
      </c>
      <c r="Z987" s="177">
        <f t="shared" si="3827"/>
        <v>0</v>
      </c>
      <c r="AA987" s="177">
        <f t="shared" si="3827"/>
        <v>0</v>
      </c>
      <c r="AB987" s="177">
        <f t="shared" si="3827"/>
        <v>0</v>
      </c>
      <c r="AC987" s="177">
        <f t="shared" si="3827"/>
        <v>0</v>
      </c>
      <c r="AD987" s="177">
        <f t="shared" si="3827"/>
        <v>0</v>
      </c>
      <c r="AE987" s="177">
        <f t="shared" si="3827"/>
        <v>0</v>
      </c>
      <c r="AF987" s="177">
        <f t="shared" si="3827"/>
        <v>0</v>
      </c>
      <c r="AG987" s="177">
        <f t="shared" si="3827"/>
        <v>0</v>
      </c>
      <c r="AH987" s="177">
        <f t="shared" si="3827"/>
        <v>0</v>
      </c>
      <c r="AI987" s="177">
        <f t="shared" si="3827"/>
        <v>0</v>
      </c>
      <c r="AJ987" s="177">
        <f t="shared" si="3827"/>
        <v>0</v>
      </c>
      <c r="AK987" s="177">
        <f t="shared" si="3827"/>
        <v>0</v>
      </c>
      <c r="AL987" s="177">
        <f t="shared" si="3827"/>
        <v>0</v>
      </c>
      <c r="AM987" s="177">
        <f t="shared" ref="AM987:BB987" si="3828">SUM(AM$939)</f>
        <v>0</v>
      </c>
      <c r="AN987" s="177">
        <f t="shared" si="3828"/>
        <v>0</v>
      </c>
      <c r="AO987" s="177">
        <f t="shared" si="3828"/>
        <v>0</v>
      </c>
      <c r="AP987" s="177">
        <f t="shared" si="3828"/>
        <v>0</v>
      </c>
      <c r="AQ987" s="177">
        <f t="shared" si="3828"/>
        <v>0</v>
      </c>
      <c r="AR987" s="177">
        <f t="shared" si="3828"/>
        <v>0</v>
      </c>
      <c r="AS987" s="177">
        <f t="shared" si="3828"/>
        <v>0</v>
      </c>
      <c r="AT987" s="177">
        <f t="shared" si="3828"/>
        <v>0</v>
      </c>
      <c r="AU987" s="177">
        <f t="shared" si="3828"/>
        <v>0</v>
      </c>
      <c r="AV987" s="177">
        <f t="shared" si="3828"/>
        <v>0</v>
      </c>
      <c r="AW987" s="177">
        <f t="shared" si="3828"/>
        <v>0</v>
      </c>
      <c r="AX987" s="177">
        <f t="shared" si="3828"/>
        <v>0</v>
      </c>
      <c r="AY987" s="177">
        <f t="shared" si="3828"/>
        <v>0</v>
      </c>
      <c r="AZ987" s="177">
        <f t="shared" si="3828"/>
        <v>0</v>
      </c>
      <c r="BA987" s="177">
        <f t="shared" si="3828"/>
        <v>0</v>
      </c>
      <c r="BB987" s="177">
        <f t="shared" si="3828"/>
        <v>0</v>
      </c>
      <c r="BC987" s="177"/>
      <c r="BD987" s="178">
        <f>SUM(G987:BC987)</f>
        <v>0</v>
      </c>
    </row>
    <row r="988" spans="1:56" hidden="1" outlineLevel="1" x14ac:dyDescent="0.3">
      <c r="A988" s="175" t="str">
        <f ca="1">Language!A$994</f>
        <v>НДС к выручке от продажи актива</v>
      </c>
      <c r="C988" s="194" t="str">
        <f t="shared" ca="1" si="3687"/>
        <v>руб.</v>
      </c>
      <c r="D988" s="174">
        <v>1</v>
      </c>
      <c r="F988" s="170" t="s">
        <v>1088</v>
      </c>
      <c r="G988" s="177">
        <f t="shared" ref="G988:AL988" si="3829">SUM(G$940)</f>
        <v>0</v>
      </c>
      <c r="H988" s="177">
        <f t="shared" si="3829"/>
        <v>0</v>
      </c>
      <c r="I988" s="177">
        <f t="shared" si="3829"/>
        <v>0</v>
      </c>
      <c r="J988" s="177">
        <f t="shared" si="3829"/>
        <v>0</v>
      </c>
      <c r="K988" s="177">
        <f t="shared" si="3829"/>
        <v>0</v>
      </c>
      <c r="L988" s="177">
        <f t="shared" si="3829"/>
        <v>0</v>
      </c>
      <c r="M988" s="177">
        <f t="shared" si="3829"/>
        <v>0</v>
      </c>
      <c r="N988" s="177">
        <f t="shared" si="3829"/>
        <v>0</v>
      </c>
      <c r="O988" s="177">
        <f t="shared" si="3829"/>
        <v>0</v>
      </c>
      <c r="P988" s="177">
        <f t="shared" si="3829"/>
        <v>0</v>
      </c>
      <c r="Q988" s="177">
        <f t="shared" si="3829"/>
        <v>0</v>
      </c>
      <c r="R988" s="177">
        <f t="shared" si="3829"/>
        <v>0</v>
      </c>
      <c r="S988" s="177">
        <f t="shared" si="3829"/>
        <v>0</v>
      </c>
      <c r="T988" s="177">
        <f t="shared" si="3829"/>
        <v>0</v>
      </c>
      <c r="U988" s="177">
        <f t="shared" si="3829"/>
        <v>0</v>
      </c>
      <c r="V988" s="177">
        <f t="shared" si="3829"/>
        <v>0</v>
      </c>
      <c r="W988" s="177">
        <f t="shared" si="3829"/>
        <v>0</v>
      </c>
      <c r="X988" s="177">
        <f t="shared" si="3829"/>
        <v>0</v>
      </c>
      <c r="Y988" s="177">
        <f t="shared" si="3829"/>
        <v>0</v>
      </c>
      <c r="Z988" s="177">
        <f t="shared" si="3829"/>
        <v>0</v>
      </c>
      <c r="AA988" s="177">
        <f t="shared" si="3829"/>
        <v>0</v>
      </c>
      <c r="AB988" s="177">
        <f t="shared" si="3829"/>
        <v>0</v>
      </c>
      <c r="AC988" s="177">
        <f t="shared" si="3829"/>
        <v>0</v>
      </c>
      <c r="AD988" s="177">
        <f t="shared" si="3829"/>
        <v>0</v>
      </c>
      <c r="AE988" s="177">
        <f t="shared" si="3829"/>
        <v>0</v>
      </c>
      <c r="AF988" s="177">
        <f t="shared" si="3829"/>
        <v>0</v>
      </c>
      <c r="AG988" s="177">
        <f t="shared" si="3829"/>
        <v>0</v>
      </c>
      <c r="AH988" s="177">
        <f t="shared" si="3829"/>
        <v>0</v>
      </c>
      <c r="AI988" s="177">
        <f t="shared" si="3829"/>
        <v>0</v>
      </c>
      <c r="AJ988" s="177">
        <f t="shared" si="3829"/>
        <v>0</v>
      </c>
      <c r="AK988" s="177">
        <f t="shared" si="3829"/>
        <v>0</v>
      </c>
      <c r="AL988" s="177">
        <f t="shared" si="3829"/>
        <v>0</v>
      </c>
      <c r="AM988" s="177">
        <f t="shared" ref="AM988:BB988" si="3830">SUM(AM$940)</f>
        <v>0</v>
      </c>
      <c r="AN988" s="177">
        <f t="shared" si="3830"/>
        <v>0</v>
      </c>
      <c r="AO988" s="177">
        <f t="shared" si="3830"/>
        <v>0</v>
      </c>
      <c r="AP988" s="177">
        <f t="shared" si="3830"/>
        <v>0</v>
      </c>
      <c r="AQ988" s="177">
        <f t="shared" si="3830"/>
        <v>0</v>
      </c>
      <c r="AR988" s="177">
        <f t="shared" si="3830"/>
        <v>0</v>
      </c>
      <c r="AS988" s="177">
        <f t="shared" si="3830"/>
        <v>0</v>
      </c>
      <c r="AT988" s="177">
        <f t="shared" si="3830"/>
        <v>0</v>
      </c>
      <c r="AU988" s="177">
        <f t="shared" si="3830"/>
        <v>0</v>
      </c>
      <c r="AV988" s="177">
        <f t="shared" si="3830"/>
        <v>0</v>
      </c>
      <c r="AW988" s="177">
        <f t="shared" si="3830"/>
        <v>0</v>
      </c>
      <c r="AX988" s="177">
        <f t="shared" si="3830"/>
        <v>0</v>
      </c>
      <c r="AY988" s="177">
        <f t="shared" si="3830"/>
        <v>0</v>
      </c>
      <c r="AZ988" s="177">
        <f t="shared" si="3830"/>
        <v>0</v>
      </c>
      <c r="BA988" s="177">
        <f t="shared" si="3830"/>
        <v>0</v>
      </c>
      <c r="BB988" s="177">
        <f t="shared" si="3830"/>
        <v>0</v>
      </c>
      <c r="BC988" s="177"/>
      <c r="BD988" s="178">
        <f>SUM(G988:BC988)</f>
        <v>0</v>
      </c>
    </row>
    <row r="989" spans="1:56" x14ac:dyDescent="0.3">
      <c r="A989" s="214"/>
      <c r="C989" s="194"/>
      <c r="G989" s="177"/>
      <c r="H989" s="177"/>
      <c r="I989" s="177"/>
      <c r="J989" s="177"/>
      <c r="K989" s="177"/>
      <c r="L989" s="177"/>
      <c r="M989" s="177"/>
      <c r="N989" s="177"/>
      <c r="O989" s="177"/>
      <c r="P989" s="177"/>
      <c r="Q989" s="177"/>
      <c r="R989" s="177"/>
      <c r="S989" s="177"/>
      <c r="T989" s="177"/>
      <c r="U989" s="177"/>
      <c r="V989" s="177"/>
      <c r="W989" s="177"/>
      <c r="X989" s="177"/>
      <c r="Y989" s="177"/>
      <c r="Z989" s="177"/>
      <c r="AA989" s="177"/>
      <c r="AB989" s="177"/>
      <c r="AC989" s="177"/>
      <c r="AD989" s="177"/>
      <c r="AE989" s="177"/>
      <c r="AF989" s="177"/>
      <c r="AG989" s="177"/>
      <c r="AH989" s="177"/>
      <c r="AI989" s="177"/>
      <c r="AJ989" s="177"/>
      <c r="AK989" s="177"/>
      <c r="AL989" s="177"/>
      <c r="AM989" s="177"/>
      <c r="AN989" s="177"/>
      <c r="AO989" s="177"/>
      <c r="AP989" s="177"/>
      <c r="AQ989" s="177"/>
      <c r="AR989" s="177"/>
      <c r="AS989" s="177"/>
      <c r="AT989" s="177"/>
      <c r="AU989" s="177"/>
      <c r="AV989" s="177"/>
      <c r="AW989" s="177"/>
      <c r="AX989" s="177"/>
      <c r="AY989" s="177"/>
      <c r="AZ989" s="177"/>
      <c r="BA989" s="177"/>
      <c r="BB989" s="177"/>
      <c r="BC989" s="177"/>
      <c r="BD989" s="178"/>
    </row>
    <row r="990" spans="1:56" x14ac:dyDescent="0.3">
      <c r="A990" s="218" t="str">
        <f ca="1">Language!A$995</f>
        <v>Суммарные инвестиции, с НДС и пошлинами</v>
      </c>
      <c r="C990" s="194" t="str">
        <f t="shared" ref="C990:C996" ca="1" si="3831">CurName1</f>
        <v>руб.</v>
      </c>
      <c r="D990" s="174">
        <v>1</v>
      </c>
      <c r="F990" s="170" t="s">
        <v>740</v>
      </c>
      <c r="G990" s="210">
        <f t="shared" ref="G990:K990" si="3832">G943+G949+G963+G978</f>
        <v>291667</v>
      </c>
      <c r="H990" s="210">
        <f t="shared" si="3832"/>
        <v>1658333.6666666667</v>
      </c>
      <c r="I990" s="210">
        <f t="shared" si="3832"/>
        <v>136658332.66666666</v>
      </c>
      <c r="J990" s="210">
        <f t="shared" si="3832"/>
        <v>18391666.666666668</v>
      </c>
      <c r="K990" s="210">
        <f t="shared" si="3832"/>
        <v>17025000</v>
      </c>
      <c r="L990" s="210">
        <f t="shared" ref="L990:M990" si="3833">L943+L949+L963+L978</f>
        <v>17825000</v>
      </c>
      <c r="M990" s="210">
        <f t="shared" si="3833"/>
        <v>10000000</v>
      </c>
      <c r="N990" s="210">
        <f t="shared" ref="N990:O990" si="3834">N943+N949+N963+N978</f>
        <v>10000000</v>
      </c>
      <c r="O990" s="210">
        <f t="shared" si="3834"/>
        <v>0</v>
      </c>
      <c r="P990" s="210">
        <f t="shared" ref="P990:Q990" si="3835">P943+P949+P963+P978</f>
        <v>0</v>
      </c>
      <c r="Q990" s="210">
        <f t="shared" si="3835"/>
        <v>0</v>
      </c>
      <c r="R990" s="210">
        <f t="shared" ref="R990:S990" si="3836">R943+R949+R963+R978</f>
        <v>0</v>
      </c>
      <c r="S990" s="210">
        <f t="shared" si="3836"/>
        <v>0</v>
      </c>
      <c r="T990" s="210">
        <f t="shared" ref="T990:U990" si="3837">T943+T949+T963+T978</f>
        <v>0</v>
      </c>
      <c r="U990" s="210">
        <f t="shared" si="3837"/>
        <v>0</v>
      </c>
      <c r="V990" s="210">
        <f t="shared" ref="V990:W990" si="3838">V943+V949+V963+V978</f>
        <v>0</v>
      </c>
      <c r="W990" s="210">
        <f t="shared" si="3838"/>
        <v>0</v>
      </c>
      <c r="X990" s="210">
        <f t="shared" ref="X990:Y990" si="3839">X943+X949+X963+X978</f>
        <v>0</v>
      </c>
      <c r="Y990" s="210">
        <f t="shared" si="3839"/>
        <v>0</v>
      </c>
      <c r="Z990" s="210">
        <f t="shared" ref="Z990:AA990" si="3840">Z943+Z949+Z963+Z978</f>
        <v>0</v>
      </c>
      <c r="AA990" s="210">
        <f t="shared" si="3840"/>
        <v>0</v>
      </c>
      <c r="AB990" s="210">
        <f t="shared" ref="AB990:AC990" si="3841">AB943+AB949+AB963+AB978</f>
        <v>0</v>
      </c>
      <c r="AC990" s="210">
        <f t="shared" si="3841"/>
        <v>0</v>
      </c>
      <c r="AD990" s="210">
        <f t="shared" ref="AD990:AE990" si="3842">AD943+AD949+AD963+AD978</f>
        <v>0</v>
      </c>
      <c r="AE990" s="210">
        <f t="shared" si="3842"/>
        <v>0</v>
      </c>
      <c r="AF990" s="210">
        <f t="shared" ref="AF990:AG990" si="3843">AF943+AF949+AF963+AF978</f>
        <v>0</v>
      </c>
      <c r="AG990" s="210">
        <f t="shared" si="3843"/>
        <v>0</v>
      </c>
      <c r="AH990" s="210">
        <f t="shared" ref="AH990:AI990" si="3844">AH943+AH949+AH963+AH978</f>
        <v>0</v>
      </c>
      <c r="AI990" s="210">
        <f t="shared" si="3844"/>
        <v>0</v>
      </c>
      <c r="AJ990" s="210">
        <f t="shared" ref="AJ990:AK990" si="3845">AJ943+AJ949+AJ963+AJ978</f>
        <v>0</v>
      </c>
      <c r="AK990" s="210">
        <f t="shared" si="3845"/>
        <v>0</v>
      </c>
      <c r="AL990" s="210">
        <f t="shared" ref="AL990:AM990" si="3846">AL943+AL949+AL963+AL978</f>
        <v>0</v>
      </c>
      <c r="AM990" s="210">
        <f t="shared" si="3846"/>
        <v>0</v>
      </c>
      <c r="AN990" s="210">
        <f t="shared" ref="AN990:AO990" si="3847">AN943+AN949+AN963+AN978</f>
        <v>0</v>
      </c>
      <c r="AO990" s="210">
        <f t="shared" si="3847"/>
        <v>0</v>
      </c>
      <c r="AP990" s="210">
        <f t="shared" ref="AP990:AQ990" si="3848">AP943+AP949+AP963+AP978</f>
        <v>0</v>
      </c>
      <c r="AQ990" s="210">
        <f t="shared" si="3848"/>
        <v>0</v>
      </c>
      <c r="AR990" s="210">
        <f t="shared" ref="AR990:AS990" si="3849">AR943+AR949+AR963+AR978</f>
        <v>0</v>
      </c>
      <c r="AS990" s="210">
        <f t="shared" si="3849"/>
        <v>0</v>
      </c>
      <c r="AT990" s="210">
        <f t="shared" ref="AT990:AU990" si="3850">AT943+AT949+AT963+AT978</f>
        <v>0</v>
      </c>
      <c r="AU990" s="210">
        <f t="shared" si="3850"/>
        <v>0</v>
      </c>
      <c r="AV990" s="210">
        <f t="shared" ref="AV990:AW990" si="3851">AV943+AV949+AV963+AV978</f>
        <v>0</v>
      </c>
      <c r="AW990" s="210">
        <f t="shared" si="3851"/>
        <v>0</v>
      </c>
      <c r="AX990" s="210">
        <f t="shared" ref="AX990:AY990" si="3852">AX943+AX949+AX963+AX978</f>
        <v>0</v>
      </c>
      <c r="AY990" s="210">
        <f t="shared" si="3852"/>
        <v>0</v>
      </c>
      <c r="AZ990" s="210">
        <f t="shared" ref="AZ990:BA990" si="3853">AZ943+AZ949+AZ963+AZ978</f>
        <v>0</v>
      </c>
      <c r="BA990" s="210">
        <f t="shared" si="3853"/>
        <v>0</v>
      </c>
      <c r="BB990" s="210">
        <f t="shared" ref="BB990" si="3854">BB943+BB949+BB963+BB978</f>
        <v>0</v>
      </c>
      <c r="BC990" s="210"/>
      <c r="BD990" s="211">
        <f t="shared" ref="BD990:BD995" si="3855">SUM(G990:BC990)</f>
        <v>211849999.99999997</v>
      </c>
    </row>
    <row r="991" spans="1:56" x14ac:dyDescent="0.3">
      <c r="A991" s="175" t="str">
        <f ca="1">Language!A$996</f>
        <v>в том числе НДС</v>
      </c>
      <c r="C991" s="194" t="str">
        <f t="shared" ca="1" si="3831"/>
        <v>руб.</v>
      </c>
      <c r="D991" s="174">
        <v>1</v>
      </c>
      <c r="F991" s="170" t="s">
        <v>740</v>
      </c>
      <c r="G991" s="177">
        <f t="shared" ref="G991:K991" si="3856">G955+G970+G984</f>
        <v>0</v>
      </c>
      <c r="H991" s="177">
        <f t="shared" si="3856"/>
        <v>0</v>
      </c>
      <c r="I991" s="177">
        <f t="shared" si="3856"/>
        <v>0</v>
      </c>
      <c r="J991" s="177">
        <f t="shared" si="3856"/>
        <v>0</v>
      </c>
      <c r="K991" s="177">
        <f t="shared" si="3856"/>
        <v>0</v>
      </c>
      <c r="L991" s="177">
        <f t="shared" ref="L991:M991" si="3857">L955+L970+L984</f>
        <v>0</v>
      </c>
      <c r="M991" s="177">
        <f t="shared" si="3857"/>
        <v>0</v>
      </c>
      <c r="N991" s="177">
        <f t="shared" ref="N991:O991" si="3858">N955+N970+N984</f>
        <v>0</v>
      </c>
      <c r="O991" s="177">
        <f t="shared" si="3858"/>
        <v>0</v>
      </c>
      <c r="P991" s="177">
        <f t="shared" ref="P991:Q991" si="3859">P955+P970+P984</f>
        <v>0</v>
      </c>
      <c r="Q991" s="177">
        <f t="shared" si="3859"/>
        <v>0</v>
      </c>
      <c r="R991" s="177">
        <f t="shared" ref="R991:S991" si="3860">R955+R970+R984</f>
        <v>0</v>
      </c>
      <c r="S991" s="177">
        <f t="shared" si="3860"/>
        <v>0</v>
      </c>
      <c r="T991" s="177">
        <f t="shared" ref="T991:U991" si="3861">T955+T970+T984</f>
        <v>0</v>
      </c>
      <c r="U991" s="177">
        <f t="shared" si="3861"/>
        <v>0</v>
      </c>
      <c r="V991" s="177">
        <f t="shared" ref="V991:W991" si="3862">V955+V970+V984</f>
        <v>0</v>
      </c>
      <c r="W991" s="177">
        <f t="shared" si="3862"/>
        <v>0</v>
      </c>
      <c r="X991" s="177">
        <f t="shared" ref="X991:Y991" si="3863">X955+X970+X984</f>
        <v>0</v>
      </c>
      <c r="Y991" s="177">
        <f t="shared" si="3863"/>
        <v>0</v>
      </c>
      <c r="Z991" s="177">
        <f t="shared" ref="Z991:AA991" si="3864">Z955+Z970+Z984</f>
        <v>0</v>
      </c>
      <c r="AA991" s="177">
        <f t="shared" si="3864"/>
        <v>0</v>
      </c>
      <c r="AB991" s="177">
        <f t="shared" ref="AB991:AC991" si="3865">AB955+AB970+AB984</f>
        <v>0</v>
      </c>
      <c r="AC991" s="177">
        <f t="shared" si="3865"/>
        <v>0</v>
      </c>
      <c r="AD991" s="177">
        <f t="shared" ref="AD991:AE991" si="3866">AD955+AD970+AD984</f>
        <v>0</v>
      </c>
      <c r="AE991" s="177">
        <f t="shared" si="3866"/>
        <v>0</v>
      </c>
      <c r="AF991" s="177">
        <f t="shared" ref="AF991:AG991" si="3867">AF955+AF970+AF984</f>
        <v>0</v>
      </c>
      <c r="AG991" s="177">
        <f t="shared" si="3867"/>
        <v>0</v>
      </c>
      <c r="AH991" s="177">
        <f t="shared" ref="AH991:AI991" si="3868">AH955+AH970+AH984</f>
        <v>0</v>
      </c>
      <c r="AI991" s="177">
        <f t="shared" si="3868"/>
        <v>0</v>
      </c>
      <c r="AJ991" s="177">
        <f t="shared" ref="AJ991:AK991" si="3869">AJ955+AJ970+AJ984</f>
        <v>0</v>
      </c>
      <c r="AK991" s="177">
        <f t="shared" si="3869"/>
        <v>0</v>
      </c>
      <c r="AL991" s="177">
        <f t="shared" ref="AL991:AM991" si="3870">AL955+AL970+AL984</f>
        <v>0</v>
      </c>
      <c r="AM991" s="177">
        <f t="shared" si="3870"/>
        <v>0</v>
      </c>
      <c r="AN991" s="177">
        <f t="shared" ref="AN991:AO991" si="3871">AN955+AN970+AN984</f>
        <v>0</v>
      </c>
      <c r="AO991" s="177">
        <f t="shared" si="3871"/>
        <v>0</v>
      </c>
      <c r="AP991" s="177">
        <f t="shared" ref="AP991:AQ991" si="3872">AP955+AP970+AP984</f>
        <v>0</v>
      </c>
      <c r="AQ991" s="177">
        <f t="shared" si="3872"/>
        <v>0</v>
      </c>
      <c r="AR991" s="177">
        <f t="shared" ref="AR991:AS991" si="3873">AR955+AR970+AR984</f>
        <v>0</v>
      </c>
      <c r="AS991" s="177">
        <f t="shared" si="3873"/>
        <v>0</v>
      </c>
      <c r="AT991" s="177">
        <f t="shared" ref="AT991:AU991" si="3874">AT955+AT970+AT984</f>
        <v>0</v>
      </c>
      <c r="AU991" s="177">
        <f t="shared" si="3874"/>
        <v>0</v>
      </c>
      <c r="AV991" s="177">
        <f t="shared" ref="AV991:AW991" si="3875">AV955+AV970+AV984</f>
        <v>0</v>
      </c>
      <c r="AW991" s="177">
        <f t="shared" si="3875"/>
        <v>0</v>
      </c>
      <c r="AX991" s="177">
        <f t="shared" ref="AX991:AY991" si="3876">AX955+AX970+AX984</f>
        <v>0</v>
      </c>
      <c r="AY991" s="177">
        <f t="shared" si="3876"/>
        <v>0</v>
      </c>
      <c r="AZ991" s="177">
        <f t="shared" ref="AZ991:BA991" si="3877">AZ955+AZ970+AZ984</f>
        <v>0</v>
      </c>
      <c r="BA991" s="177">
        <f t="shared" si="3877"/>
        <v>0</v>
      </c>
      <c r="BB991" s="177">
        <f t="shared" ref="BB991" si="3878">BB955+BB970+BB984</f>
        <v>0</v>
      </c>
      <c r="BC991" s="177"/>
      <c r="BD991" s="178">
        <f t="shared" si="3855"/>
        <v>0</v>
      </c>
    </row>
    <row r="992" spans="1:56" x14ac:dyDescent="0.3">
      <c r="A992" s="218" t="str">
        <f ca="1">Language!A$997</f>
        <v>Ранее осуществленные инвестиции, с НДС</v>
      </c>
      <c r="C992" s="194" t="str">
        <f t="shared" ca="1" si="3831"/>
        <v>руб.</v>
      </c>
      <c r="D992" s="174">
        <v>1</v>
      </c>
      <c r="F992" s="170" t="s">
        <v>740</v>
      </c>
      <c r="G992" s="177">
        <f>G993+G994</f>
        <v>0</v>
      </c>
      <c r="H992" s="177">
        <f t="shared" ref="H992:K992" si="3879">H993+H994</f>
        <v>0</v>
      </c>
      <c r="I992" s="177">
        <f t="shared" si="3879"/>
        <v>0</v>
      </c>
      <c r="J992" s="177">
        <f t="shared" si="3879"/>
        <v>0</v>
      </c>
      <c r="K992" s="177">
        <f t="shared" si="3879"/>
        <v>0</v>
      </c>
      <c r="L992" s="177">
        <f t="shared" ref="L992:M992" si="3880">L993+L994</f>
        <v>0</v>
      </c>
      <c r="M992" s="177">
        <f t="shared" si="3880"/>
        <v>0</v>
      </c>
      <c r="N992" s="177">
        <f t="shared" ref="N992:O992" si="3881">N993+N994</f>
        <v>0</v>
      </c>
      <c r="O992" s="177">
        <f t="shared" si="3881"/>
        <v>0</v>
      </c>
      <c r="P992" s="177">
        <f t="shared" ref="P992:Q992" si="3882">P993+P994</f>
        <v>0</v>
      </c>
      <c r="Q992" s="177">
        <f t="shared" si="3882"/>
        <v>0</v>
      </c>
      <c r="R992" s="177">
        <f t="shared" ref="R992:S992" si="3883">R993+R994</f>
        <v>0</v>
      </c>
      <c r="S992" s="177">
        <f t="shared" si="3883"/>
        <v>0</v>
      </c>
      <c r="T992" s="177">
        <f t="shared" ref="T992:U992" si="3884">T993+T994</f>
        <v>0</v>
      </c>
      <c r="U992" s="177">
        <f t="shared" si="3884"/>
        <v>0</v>
      </c>
      <c r="V992" s="177">
        <f t="shared" ref="V992:W992" si="3885">V993+V994</f>
        <v>0</v>
      </c>
      <c r="W992" s="177">
        <f t="shared" si="3885"/>
        <v>0</v>
      </c>
      <c r="X992" s="177">
        <f t="shared" ref="X992:Y992" si="3886">X993+X994</f>
        <v>0</v>
      </c>
      <c r="Y992" s="177">
        <f t="shared" si="3886"/>
        <v>0</v>
      </c>
      <c r="Z992" s="177">
        <f t="shared" ref="Z992:AA992" si="3887">Z993+Z994</f>
        <v>0</v>
      </c>
      <c r="AA992" s="177">
        <f t="shared" si="3887"/>
        <v>0</v>
      </c>
      <c r="AB992" s="177">
        <f t="shared" ref="AB992:AC992" si="3888">AB993+AB994</f>
        <v>0</v>
      </c>
      <c r="AC992" s="177">
        <f t="shared" si="3888"/>
        <v>0</v>
      </c>
      <c r="AD992" s="177">
        <f t="shared" ref="AD992:AE992" si="3889">AD993+AD994</f>
        <v>0</v>
      </c>
      <c r="AE992" s="177">
        <f t="shared" si="3889"/>
        <v>0</v>
      </c>
      <c r="AF992" s="177">
        <f t="shared" ref="AF992:AG992" si="3890">AF993+AF994</f>
        <v>0</v>
      </c>
      <c r="AG992" s="177">
        <f t="shared" si="3890"/>
        <v>0</v>
      </c>
      <c r="AH992" s="177">
        <f t="shared" ref="AH992:AI992" si="3891">AH993+AH994</f>
        <v>0</v>
      </c>
      <c r="AI992" s="177">
        <f t="shared" si="3891"/>
        <v>0</v>
      </c>
      <c r="AJ992" s="177">
        <f t="shared" ref="AJ992:AK992" si="3892">AJ993+AJ994</f>
        <v>0</v>
      </c>
      <c r="AK992" s="177">
        <f t="shared" si="3892"/>
        <v>0</v>
      </c>
      <c r="AL992" s="177">
        <f t="shared" ref="AL992:AM992" si="3893">AL993+AL994</f>
        <v>0</v>
      </c>
      <c r="AM992" s="177">
        <f t="shared" si="3893"/>
        <v>0</v>
      </c>
      <c r="AN992" s="177">
        <f t="shared" ref="AN992:AO992" si="3894">AN993+AN994</f>
        <v>0</v>
      </c>
      <c r="AO992" s="177">
        <f t="shared" si="3894"/>
        <v>0</v>
      </c>
      <c r="AP992" s="177">
        <f t="shared" ref="AP992:AQ992" si="3895">AP993+AP994</f>
        <v>0</v>
      </c>
      <c r="AQ992" s="177">
        <f t="shared" si="3895"/>
        <v>0</v>
      </c>
      <c r="AR992" s="177">
        <f t="shared" ref="AR992:AS992" si="3896">AR993+AR994</f>
        <v>0</v>
      </c>
      <c r="AS992" s="177">
        <f t="shared" si="3896"/>
        <v>0</v>
      </c>
      <c r="AT992" s="177">
        <f t="shared" ref="AT992:AU992" si="3897">AT993+AT994</f>
        <v>0</v>
      </c>
      <c r="AU992" s="177">
        <f t="shared" si="3897"/>
        <v>0</v>
      </c>
      <c r="AV992" s="177">
        <f t="shared" ref="AV992:AW992" si="3898">AV993+AV994</f>
        <v>0</v>
      </c>
      <c r="AW992" s="177">
        <f t="shared" si="3898"/>
        <v>0</v>
      </c>
      <c r="AX992" s="177">
        <f t="shared" ref="AX992:AY992" si="3899">AX993+AX994</f>
        <v>0</v>
      </c>
      <c r="AY992" s="177">
        <f t="shared" si="3899"/>
        <v>0</v>
      </c>
      <c r="AZ992" s="177">
        <f t="shared" ref="AZ992:BA992" si="3900">AZ993+AZ994</f>
        <v>0</v>
      </c>
      <c r="BA992" s="177">
        <f t="shared" si="3900"/>
        <v>0</v>
      </c>
      <c r="BB992" s="177">
        <f t="shared" ref="BB992" si="3901">BB993+BB994</f>
        <v>0</v>
      </c>
      <c r="BD992" s="178">
        <f t="shared" si="3855"/>
        <v>0</v>
      </c>
    </row>
    <row r="993" spans="1:56" x14ac:dyDescent="0.3">
      <c r="A993" s="175" t="str">
        <f ca="1">Language!A$998</f>
        <v>в том числе НДС</v>
      </c>
      <c r="C993" s="194" t="str">
        <f t="shared" ca="1" si="3831"/>
        <v>руб.</v>
      </c>
      <c r="D993" s="174">
        <v>1</v>
      </c>
      <c r="F993" s="170" t="s">
        <v>1272</v>
      </c>
      <c r="G993" s="177">
        <f t="shared" ref="G993:BB993" si="3902">SUM(G$761,G$787,G$813,G$839,G$871,G$901,G$930)</f>
        <v>0</v>
      </c>
      <c r="H993" s="177">
        <f t="shared" si="3902"/>
        <v>0</v>
      </c>
      <c r="I993" s="177">
        <f t="shared" si="3902"/>
        <v>0</v>
      </c>
      <c r="J993" s="177">
        <f t="shared" si="3902"/>
        <v>0</v>
      </c>
      <c r="K993" s="177">
        <f t="shared" si="3902"/>
        <v>0</v>
      </c>
      <c r="L993" s="177">
        <f t="shared" si="3902"/>
        <v>0</v>
      </c>
      <c r="M993" s="177">
        <f t="shared" si="3902"/>
        <v>0</v>
      </c>
      <c r="N993" s="177">
        <f t="shared" si="3902"/>
        <v>0</v>
      </c>
      <c r="O993" s="177">
        <f t="shared" si="3902"/>
        <v>0</v>
      </c>
      <c r="P993" s="177">
        <f t="shared" si="3902"/>
        <v>0</v>
      </c>
      <c r="Q993" s="177">
        <f t="shared" si="3902"/>
        <v>0</v>
      </c>
      <c r="R993" s="177">
        <f t="shared" si="3902"/>
        <v>0</v>
      </c>
      <c r="S993" s="177">
        <f t="shared" si="3902"/>
        <v>0</v>
      </c>
      <c r="T993" s="177">
        <f t="shared" si="3902"/>
        <v>0</v>
      </c>
      <c r="U993" s="177">
        <f t="shared" si="3902"/>
        <v>0</v>
      </c>
      <c r="V993" s="177">
        <f t="shared" si="3902"/>
        <v>0</v>
      </c>
      <c r="W993" s="177">
        <f t="shared" si="3902"/>
        <v>0</v>
      </c>
      <c r="X993" s="177">
        <f t="shared" si="3902"/>
        <v>0</v>
      </c>
      <c r="Y993" s="177">
        <f t="shared" si="3902"/>
        <v>0</v>
      </c>
      <c r="Z993" s="177">
        <f t="shared" si="3902"/>
        <v>0</v>
      </c>
      <c r="AA993" s="177">
        <f t="shared" si="3902"/>
        <v>0</v>
      </c>
      <c r="AB993" s="177">
        <f t="shared" si="3902"/>
        <v>0</v>
      </c>
      <c r="AC993" s="177">
        <f t="shared" si="3902"/>
        <v>0</v>
      </c>
      <c r="AD993" s="177">
        <f t="shared" si="3902"/>
        <v>0</v>
      </c>
      <c r="AE993" s="177">
        <f t="shared" si="3902"/>
        <v>0</v>
      </c>
      <c r="AF993" s="177">
        <f t="shared" si="3902"/>
        <v>0</v>
      </c>
      <c r="AG993" s="177">
        <f t="shared" si="3902"/>
        <v>0</v>
      </c>
      <c r="AH993" s="177">
        <f t="shared" si="3902"/>
        <v>0</v>
      </c>
      <c r="AI993" s="177">
        <f t="shared" si="3902"/>
        <v>0</v>
      </c>
      <c r="AJ993" s="177">
        <f t="shared" si="3902"/>
        <v>0</v>
      </c>
      <c r="AK993" s="177">
        <f t="shared" si="3902"/>
        <v>0</v>
      </c>
      <c r="AL993" s="177">
        <f t="shared" si="3902"/>
        <v>0</v>
      </c>
      <c r="AM993" s="177">
        <f t="shared" si="3902"/>
        <v>0</v>
      </c>
      <c r="AN993" s="177">
        <f t="shared" si="3902"/>
        <v>0</v>
      </c>
      <c r="AO993" s="177">
        <f t="shared" si="3902"/>
        <v>0</v>
      </c>
      <c r="AP993" s="177">
        <f t="shared" si="3902"/>
        <v>0</v>
      </c>
      <c r="AQ993" s="177">
        <f t="shared" si="3902"/>
        <v>0</v>
      </c>
      <c r="AR993" s="177">
        <f t="shared" si="3902"/>
        <v>0</v>
      </c>
      <c r="AS993" s="177">
        <f t="shared" si="3902"/>
        <v>0</v>
      </c>
      <c r="AT993" s="177">
        <f t="shared" si="3902"/>
        <v>0</v>
      </c>
      <c r="AU993" s="177">
        <f t="shared" si="3902"/>
        <v>0</v>
      </c>
      <c r="AV993" s="177">
        <f t="shared" si="3902"/>
        <v>0</v>
      </c>
      <c r="AW993" s="177">
        <f t="shared" si="3902"/>
        <v>0</v>
      </c>
      <c r="AX993" s="177">
        <f t="shared" si="3902"/>
        <v>0</v>
      </c>
      <c r="AY993" s="177">
        <f t="shared" si="3902"/>
        <v>0</v>
      </c>
      <c r="AZ993" s="177">
        <f t="shared" si="3902"/>
        <v>0</v>
      </c>
      <c r="BA993" s="177">
        <f t="shared" si="3902"/>
        <v>0</v>
      </c>
      <c r="BB993" s="177">
        <f t="shared" si="3902"/>
        <v>0</v>
      </c>
      <c r="BC993" s="177"/>
      <c r="BD993" s="178">
        <f t="shared" si="3855"/>
        <v>0</v>
      </c>
    </row>
    <row r="994" spans="1:56" x14ac:dyDescent="0.3">
      <c r="A994" s="175" t="str">
        <f ca="1">Language!A$999</f>
        <v>ранее осуществленные инвестиции, без НДС</v>
      </c>
      <c r="C994" s="194" t="str">
        <f t="shared" ca="1" si="3831"/>
        <v>руб.</v>
      </c>
      <c r="D994" s="174">
        <v>1</v>
      </c>
      <c r="F994" s="170" t="s">
        <v>1270</v>
      </c>
      <c r="G994" s="177">
        <f t="shared" ref="G994:BB994" si="3903">SUM(G$740,G$760,G$786,G$812,G$838,G$870,G$900,G$929)</f>
        <v>0</v>
      </c>
      <c r="H994" s="177">
        <f t="shared" si="3903"/>
        <v>0</v>
      </c>
      <c r="I994" s="177">
        <f t="shared" si="3903"/>
        <v>0</v>
      </c>
      <c r="J994" s="177">
        <f t="shared" si="3903"/>
        <v>0</v>
      </c>
      <c r="K994" s="177">
        <f t="shared" si="3903"/>
        <v>0</v>
      </c>
      <c r="L994" s="177">
        <f t="shared" si="3903"/>
        <v>0</v>
      </c>
      <c r="M994" s="177">
        <f t="shared" si="3903"/>
        <v>0</v>
      </c>
      <c r="N994" s="177">
        <f t="shared" si="3903"/>
        <v>0</v>
      </c>
      <c r="O994" s="177">
        <f t="shared" si="3903"/>
        <v>0</v>
      </c>
      <c r="P994" s="177">
        <f t="shared" si="3903"/>
        <v>0</v>
      </c>
      <c r="Q994" s="177">
        <f t="shared" si="3903"/>
        <v>0</v>
      </c>
      <c r="R994" s="177">
        <f t="shared" si="3903"/>
        <v>0</v>
      </c>
      <c r="S994" s="177">
        <f t="shared" si="3903"/>
        <v>0</v>
      </c>
      <c r="T994" s="177">
        <f t="shared" si="3903"/>
        <v>0</v>
      </c>
      <c r="U994" s="177">
        <f t="shared" si="3903"/>
        <v>0</v>
      </c>
      <c r="V994" s="177">
        <f t="shared" si="3903"/>
        <v>0</v>
      </c>
      <c r="W994" s="177">
        <f t="shared" si="3903"/>
        <v>0</v>
      </c>
      <c r="X994" s="177">
        <f t="shared" si="3903"/>
        <v>0</v>
      </c>
      <c r="Y994" s="177">
        <f t="shared" si="3903"/>
        <v>0</v>
      </c>
      <c r="Z994" s="177">
        <f t="shared" si="3903"/>
        <v>0</v>
      </c>
      <c r="AA994" s="177">
        <f t="shared" si="3903"/>
        <v>0</v>
      </c>
      <c r="AB994" s="177">
        <f t="shared" si="3903"/>
        <v>0</v>
      </c>
      <c r="AC994" s="177">
        <f t="shared" si="3903"/>
        <v>0</v>
      </c>
      <c r="AD994" s="177">
        <f t="shared" si="3903"/>
        <v>0</v>
      </c>
      <c r="AE994" s="177">
        <f t="shared" si="3903"/>
        <v>0</v>
      </c>
      <c r="AF994" s="177">
        <f t="shared" si="3903"/>
        <v>0</v>
      </c>
      <c r="AG994" s="177">
        <f t="shared" si="3903"/>
        <v>0</v>
      </c>
      <c r="AH994" s="177">
        <f t="shared" si="3903"/>
        <v>0</v>
      </c>
      <c r="AI994" s="177">
        <f t="shared" si="3903"/>
        <v>0</v>
      </c>
      <c r="AJ994" s="177">
        <f t="shared" si="3903"/>
        <v>0</v>
      </c>
      <c r="AK994" s="177">
        <f t="shared" si="3903"/>
        <v>0</v>
      </c>
      <c r="AL994" s="177">
        <f t="shared" si="3903"/>
        <v>0</v>
      </c>
      <c r="AM994" s="177">
        <f t="shared" si="3903"/>
        <v>0</v>
      </c>
      <c r="AN994" s="177">
        <f t="shared" si="3903"/>
        <v>0</v>
      </c>
      <c r="AO994" s="177">
        <f t="shared" si="3903"/>
        <v>0</v>
      </c>
      <c r="AP994" s="177">
        <f t="shared" si="3903"/>
        <v>0</v>
      </c>
      <c r="AQ994" s="177">
        <f t="shared" si="3903"/>
        <v>0</v>
      </c>
      <c r="AR994" s="177">
        <f t="shared" si="3903"/>
        <v>0</v>
      </c>
      <c r="AS994" s="177">
        <f t="shared" si="3903"/>
        <v>0</v>
      </c>
      <c r="AT994" s="177">
        <f t="shared" si="3903"/>
        <v>0</v>
      </c>
      <c r="AU994" s="177">
        <f t="shared" si="3903"/>
        <v>0</v>
      </c>
      <c r="AV994" s="177">
        <f t="shared" si="3903"/>
        <v>0</v>
      </c>
      <c r="AW994" s="177">
        <f t="shared" si="3903"/>
        <v>0</v>
      </c>
      <c r="AX994" s="177">
        <f t="shared" si="3903"/>
        <v>0</v>
      </c>
      <c r="AY994" s="177">
        <f t="shared" si="3903"/>
        <v>0</v>
      </c>
      <c r="AZ994" s="177">
        <f t="shared" si="3903"/>
        <v>0</v>
      </c>
      <c r="BA994" s="177">
        <f t="shared" si="3903"/>
        <v>0</v>
      </c>
      <c r="BB994" s="177">
        <f t="shared" si="3903"/>
        <v>0</v>
      </c>
      <c r="BC994" s="177"/>
      <c r="BD994" s="178">
        <f t="shared" si="3855"/>
        <v>0</v>
      </c>
    </row>
    <row r="995" spans="1:56" x14ac:dyDescent="0.3">
      <c r="A995" s="214" t="str">
        <f ca="1">Language!A$1000</f>
        <v>Курсовые разницы</v>
      </c>
      <c r="C995" s="194" t="str">
        <f t="shared" ca="1" si="3831"/>
        <v>руб.</v>
      </c>
      <c r="D995" s="174">
        <v>1</v>
      </c>
      <c r="F995" s="170" t="s">
        <v>1277</v>
      </c>
      <c r="G995" s="259">
        <f t="shared" ref="G995:BB995" si="3904">SUM(G$746,G$775,G$801,G$827,G$853,G$886,G$916,G$941)</f>
        <v>0</v>
      </c>
      <c r="H995" s="259">
        <f t="shared" si="3904"/>
        <v>0</v>
      </c>
      <c r="I995" s="259">
        <f t="shared" si="3904"/>
        <v>0</v>
      </c>
      <c r="J995" s="259">
        <f t="shared" si="3904"/>
        <v>0</v>
      </c>
      <c r="K995" s="259">
        <f t="shared" si="3904"/>
        <v>0</v>
      </c>
      <c r="L995" s="259">
        <f t="shared" si="3904"/>
        <v>0</v>
      </c>
      <c r="M995" s="259">
        <f t="shared" si="3904"/>
        <v>0</v>
      </c>
      <c r="N995" s="259">
        <f t="shared" si="3904"/>
        <v>0</v>
      </c>
      <c r="O995" s="259">
        <f t="shared" si="3904"/>
        <v>0</v>
      </c>
      <c r="P995" s="259">
        <f t="shared" si="3904"/>
        <v>0</v>
      </c>
      <c r="Q995" s="259">
        <f t="shared" si="3904"/>
        <v>0</v>
      </c>
      <c r="R995" s="259">
        <f t="shared" si="3904"/>
        <v>0</v>
      </c>
      <c r="S995" s="259">
        <f t="shared" si="3904"/>
        <v>0</v>
      </c>
      <c r="T995" s="259">
        <f t="shared" si="3904"/>
        <v>0</v>
      </c>
      <c r="U995" s="259">
        <f t="shared" si="3904"/>
        <v>0</v>
      </c>
      <c r="V995" s="259">
        <f t="shared" si="3904"/>
        <v>0</v>
      </c>
      <c r="W995" s="259">
        <f t="shared" si="3904"/>
        <v>0</v>
      </c>
      <c r="X995" s="259">
        <f t="shared" si="3904"/>
        <v>0</v>
      </c>
      <c r="Y995" s="259">
        <f t="shared" si="3904"/>
        <v>0</v>
      </c>
      <c r="Z995" s="259">
        <f t="shared" si="3904"/>
        <v>0</v>
      </c>
      <c r="AA995" s="259">
        <f t="shared" si="3904"/>
        <v>0</v>
      </c>
      <c r="AB995" s="259">
        <f t="shared" si="3904"/>
        <v>0</v>
      </c>
      <c r="AC995" s="259">
        <f t="shared" si="3904"/>
        <v>0</v>
      </c>
      <c r="AD995" s="259">
        <f t="shared" si="3904"/>
        <v>0</v>
      </c>
      <c r="AE995" s="259">
        <f t="shared" si="3904"/>
        <v>0</v>
      </c>
      <c r="AF995" s="259">
        <f t="shared" si="3904"/>
        <v>0</v>
      </c>
      <c r="AG995" s="259">
        <f t="shared" si="3904"/>
        <v>0</v>
      </c>
      <c r="AH995" s="259">
        <f t="shared" si="3904"/>
        <v>0</v>
      </c>
      <c r="AI995" s="259">
        <f t="shared" si="3904"/>
        <v>0</v>
      </c>
      <c r="AJ995" s="259">
        <f t="shared" si="3904"/>
        <v>0</v>
      </c>
      <c r="AK995" s="259">
        <f t="shared" si="3904"/>
        <v>0</v>
      </c>
      <c r="AL995" s="259">
        <f t="shared" si="3904"/>
        <v>0</v>
      </c>
      <c r="AM995" s="259">
        <f t="shared" si="3904"/>
        <v>0</v>
      </c>
      <c r="AN995" s="259">
        <f t="shared" si="3904"/>
        <v>0</v>
      </c>
      <c r="AO995" s="259">
        <f t="shared" si="3904"/>
        <v>0</v>
      </c>
      <c r="AP995" s="259">
        <f t="shared" si="3904"/>
        <v>0</v>
      </c>
      <c r="AQ995" s="259">
        <f t="shared" si="3904"/>
        <v>0</v>
      </c>
      <c r="AR995" s="259">
        <f t="shared" si="3904"/>
        <v>0</v>
      </c>
      <c r="AS995" s="259">
        <f t="shared" si="3904"/>
        <v>0</v>
      </c>
      <c r="AT995" s="259">
        <f t="shared" si="3904"/>
        <v>0</v>
      </c>
      <c r="AU995" s="259">
        <f t="shared" si="3904"/>
        <v>0</v>
      </c>
      <c r="AV995" s="259">
        <f t="shared" si="3904"/>
        <v>0</v>
      </c>
      <c r="AW995" s="259">
        <f t="shared" si="3904"/>
        <v>0</v>
      </c>
      <c r="AX995" s="259">
        <f t="shared" si="3904"/>
        <v>0</v>
      </c>
      <c r="AY995" s="259">
        <f t="shared" si="3904"/>
        <v>0</v>
      </c>
      <c r="AZ995" s="259">
        <f t="shared" si="3904"/>
        <v>0</v>
      </c>
      <c r="BA995" s="259">
        <f t="shared" si="3904"/>
        <v>0</v>
      </c>
      <c r="BB995" s="259">
        <f t="shared" si="3904"/>
        <v>0</v>
      </c>
      <c r="BC995" s="177"/>
      <c r="BD995" s="178">
        <f t="shared" si="3855"/>
        <v>0</v>
      </c>
    </row>
    <row r="996" spans="1:56" x14ac:dyDescent="0.3">
      <c r="A996" s="214" t="str">
        <f ca="1">Language!A$1511</f>
        <v>НДС к кредиторской задолженности</v>
      </c>
      <c r="C996" s="194" t="str">
        <f t="shared" ca="1" si="3831"/>
        <v>руб.</v>
      </c>
      <c r="D996" s="174">
        <v>1</v>
      </c>
      <c r="F996" s="170" t="s">
        <v>2295</v>
      </c>
      <c r="G996" s="177">
        <f t="shared" ref="G996:BB996" si="3905">SUM(G$765,G$791,G$817,G$843,G$876,G$906,G$934)</f>
        <v>0</v>
      </c>
      <c r="H996" s="177">
        <f t="shared" si="3905"/>
        <v>0</v>
      </c>
      <c r="I996" s="177">
        <f t="shared" si="3905"/>
        <v>0</v>
      </c>
      <c r="J996" s="177">
        <f t="shared" si="3905"/>
        <v>0</v>
      </c>
      <c r="K996" s="177">
        <f t="shared" si="3905"/>
        <v>0</v>
      </c>
      <c r="L996" s="177">
        <f t="shared" si="3905"/>
        <v>0</v>
      </c>
      <c r="M996" s="177">
        <f t="shared" si="3905"/>
        <v>0</v>
      </c>
      <c r="N996" s="177">
        <f t="shared" si="3905"/>
        <v>0</v>
      </c>
      <c r="O996" s="177">
        <f t="shared" si="3905"/>
        <v>0</v>
      </c>
      <c r="P996" s="177">
        <f t="shared" si="3905"/>
        <v>0</v>
      </c>
      <c r="Q996" s="177">
        <f t="shared" si="3905"/>
        <v>0</v>
      </c>
      <c r="R996" s="177">
        <f t="shared" si="3905"/>
        <v>0</v>
      </c>
      <c r="S996" s="177">
        <f t="shared" si="3905"/>
        <v>0</v>
      </c>
      <c r="T996" s="177">
        <f t="shared" si="3905"/>
        <v>0</v>
      </c>
      <c r="U996" s="177">
        <f t="shared" si="3905"/>
        <v>0</v>
      </c>
      <c r="V996" s="177">
        <f t="shared" si="3905"/>
        <v>0</v>
      </c>
      <c r="W996" s="177">
        <f t="shared" si="3905"/>
        <v>0</v>
      </c>
      <c r="X996" s="177">
        <f t="shared" si="3905"/>
        <v>0</v>
      </c>
      <c r="Y996" s="177">
        <f t="shared" si="3905"/>
        <v>0</v>
      </c>
      <c r="Z996" s="177">
        <f t="shared" si="3905"/>
        <v>0</v>
      </c>
      <c r="AA996" s="177">
        <f t="shared" si="3905"/>
        <v>0</v>
      </c>
      <c r="AB996" s="177">
        <f t="shared" si="3905"/>
        <v>0</v>
      </c>
      <c r="AC996" s="177">
        <f t="shared" si="3905"/>
        <v>0</v>
      </c>
      <c r="AD996" s="177">
        <f t="shared" si="3905"/>
        <v>0</v>
      </c>
      <c r="AE996" s="177">
        <f t="shared" si="3905"/>
        <v>0</v>
      </c>
      <c r="AF996" s="177">
        <f t="shared" si="3905"/>
        <v>0</v>
      </c>
      <c r="AG996" s="177">
        <f t="shared" si="3905"/>
        <v>0</v>
      </c>
      <c r="AH996" s="177">
        <f t="shared" si="3905"/>
        <v>0</v>
      </c>
      <c r="AI996" s="177">
        <f t="shared" si="3905"/>
        <v>0</v>
      </c>
      <c r="AJ996" s="177">
        <f t="shared" si="3905"/>
        <v>0</v>
      </c>
      <c r="AK996" s="177">
        <f t="shared" si="3905"/>
        <v>0</v>
      </c>
      <c r="AL996" s="177">
        <f t="shared" si="3905"/>
        <v>0</v>
      </c>
      <c r="AM996" s="177">
        <f t="shared" si="3905"/>
        <v>0</v>
      </c>
      <c r="AN996" s="177">
        <f t="shared" si="3905"/>
        <v>0</v>
      </c>
      <c r="AO996" s="177">
        <f t="shared" si="3905"/>
        <v>0</v>
      </c>
      <c r="AP996" s="177">
        <f t="shared" si="3905"/>
        <v>0</v>
      </c>
      <c r="AQ996" s="177">
        <f t="shared" si="3905"/>
        <v>0</v>
      </c>
      <c r="AR996" s="177">
        <f t="shared" si="3905"/>
        <v>0</v>
      </c>
      <c r="AS996" s="177">
        <f t="shared" si="3905"/>
        <v>0</v>
      </c>
      <c r="AT996" s="177">
        <f t="shared" si="3905"/>
        <v>0</v>
      </c>
      <c r="AU996" s="177">
        <f t="shared" si="3905"/>
        <v>0</v>
      </c>
      <c r="AV996" s="177">
        <f t="shared" si="3905"/>
        <v>0</v>
      </c>
      <c r="AW996" s="177">
        <f t="shared" si="3905"/>
        <v>0</v>
      </c>
      <c r="AX996" s="177">
        <f t="shared" si="3905"/>
        <v>0</v>
      </c>
      <c r="AY996" s="177">
        <f t="shared" si="3905"/>
        <v>0</v>
      </c>
      <c r="AZ996" s="177">
        <f t="shared" si="3905"/>
        <v>0</v>
      </c>
      <c r="BA996" s="177">
        <f t="shared" si="3905"/>
        <v>0</v>
      </c>
      <c r="BB996" s="177">
        <f t="shared" si="3905"/>
        <v>0</v>
      </c>
      <c r="BC996" s="177"/>
      <c r="BD996" s="178"/>
    </row>
    <row r="997" spans="1:56" x14ac:dyDescent="0.3">
      <c r="A997" s="196"/>
      <c r="B997" s="196"/>
      <c r="C997" s="196"/>
      <c r="D997" s="197"/>
      <c r="E997" s="197" t="s">
        <v>729</v>
      </c>
      <c r="F997" s="197"/>
      <c r="G997" s="196"/>
      <c r="H997" s="196"/>
      <c r="I997" s="196"/>
      <c r="J997" s="196"/>
      <c r="K997" s="196"/>
      <c r="L997" s="196"/>
      <c r="M997" s="196"/>
      <c r="N997" s="196"/>
      <c r="O997" s="196"/>
      <c r="P997" s="196"/>
      <c r="Q997" s="196"/>
      <c r="R997" s="196"/>
      <c r="S997" s="196"/>
      <c r="T997" s="196"/>
      <c r="U997" s="196"/>
      <c r="V997" s="196"/>
      <c r="W997" s="196"/>
      <c r="X997" s="196"/>
      <c r="Y997" s="196"/>
      <c r="Z997" s="196"/>
      <c r="AA997" s="196"/>
      <c r="AB997" s="196"/>
      <c r="AC997" s="196"/>
      <c r="AD997" s="196"/>
      <c r="AE997" s="196"/>
      <c r="AF997" s="196"/>
      <c r="AG997" s="196"/>
      <c r="AH997" s="196"/>
      <c r="AI997" s="196"/>
      <c r="AJ997" s="196"/>
      <c r="AK997" s="196"/>
      <c r="AL997" s="196"/>
      <c r="AM997" s="196"/>
      <c r="AN997" s="196"/>
      <c r="AO997" s="196"/>
      <c r="AP997" s="196"/>
      <c r="AQ997" s="196"/>
      <c r="AR997" s="196"/>
      <c r="AS997" s="196"/>
      <c r="AT997" s="196"/>
      <c r="AU997" s="196"/>
      <c r="AV997" s="196"/>
      <c r="AW997" s="196"/>
      <c r="AX997" s="196"/>
      <c r="AY997" s="196"/>
      <c r="AZ997" s="196"/>
      <c r="BA997" s="196"/>
      <c r="BB997" s="196"/>
      <c r="BC997" s="196"/>
      <c r="BD997" s="204"/>
    </row>
    <row r="998" spans="1:56" ht="15" hidden="1" customHeight="1" x14ac:dyDescent="0.3"/>
    <row r="999" spans="1:56" hidden="1" x14ac:dyDescent="0.3"/>
    <row r="1000" spans="1:56" s="168" customFormat="1" ht="25.5" hidden="1" customHeight="1" thickBot="1" x14ac:dyDescent="0.35">
      <c r="A1000" s="330" t="str">
        <f ca="1">Language!A$1001</f>
        <v>ФИНАНСОВАЯ АРЕНДА (ЛИЗИНГ)</v>
      </c>
      <c r="B1000" s="331"/>
      <c r="C1000" s="332"/>
      <c r="D1000" s="333"/>
      <c r="E1000" s="333" t="s">
        <v>886</v>
      </c>
      <c r="F1000" s="333"/>
      <c r="G1000" s="334" t="str">
        <f ca="1">Параметры!G$34</f>
        <v>янв.25</v>
      </c>
      <c r="H1000" s="334" t="str">
        <f ca="1">Параметры!H$34</f>
        <v>фев.25</v>
      </c>
      <c r="I1000" s="334" t="str">
        <f ca="1">Параметры!I$34</f>
        <v>мар.25</v>
      </c>
      <c r="J1000" s="334" t="str">
        <f ca="1">Параметры!J$34</f>
        <v>апр.25</v>
      </c>
      <c r="K1000" s="334" t="str">
        <f ca="1">Параметры!K$34</f>
        <v>май.25</v>
      </c>
      <c r="L1000" s="334" t="str">
        <f ca="1">Параметры!L$34</f>
        <v>июн.25</v>
      </c>
      <c r="M1000" s="335" t="str">
        <f ca="1">Параметры!M$34</f>
        <v>июл.25</v>
      </c>
      <c r="N1000" s="335" t="str">
        <f ca="1">Параметры!N$34</f>
        <v>авг.25</v>
      </c>
      <c r="O1000" s="335" t="str">
        <f ca="1">Параметры!O$34</f>
        <v>сен.25</v>
      </c>
      <c r="P1000" s="335" t="str">
        <f ca="1">Параметры!P$34</f>
        <v>окт.25</v>
      </c>
      <c r="Q1000" s="335" t="str">
        <f ca="1">Параметры!Q$34</f>
        <v>ноя.25</v>
      </c>
      <c r="R1000" s="335" t="str">
        <f ca="1">Параметры!R$34</f>
        <v>дек.25</v>
      </c>
      <c r="S1000" s="335" t="str">
        <f ca="1">Параметры!S$34</f>
        <v>янв.26</v>
      </c>
      <c r="T1000" s="335" t="str">
        <f ca="1">Параметры!T$34</f>
        <v>фев.26</v>
      </c>
      <c r="U1000" s="335" t="str">
        <f ca="1">Параметры!U$34</f>
        <v>мар.26</v>
      </c>
      <c r="V1000" s="335" t="str">
        <f ca="1">Параметры!V$34</f>
        <v>апр.26</v>
      </c>
      <c r="W1000" s="335" t="str">
        <f ca="1">Параметры!W$34</f>
        <v>май.26</v>
      </c>
      <c r="X1000" s="335" t="str">
        <f ca="1">Параметры!X$34</f>
        <v>июн.26</v>
      </c>
      <c r="Y1000" s="335" t="str">
        <f ca="1">Параметры!Y$34</f>
        <v>июл.26</v>
      </c>
      <c r="Z1000" s="335" t="str">
        <f ca="1">Параметры!Z$34</f>
        <v>авг.26</v>
      </c>
      <c r="AA1000" s="335" t="str">
        <f ca="1">Параметры!AA$34</f>
        <v>сен.26</v>
      </c>
      <c r="AB1000" s="335" t="str">
        <f ca="1">Параметры!AB$34</f>
        <v>окт.26</v>
      </c>
      <c r="AC1000" s="335" t="str">
        <f ca="1">Параметры!AC$34</f>
        <v>ноя.26</v>
      </c>
      <c r="AD1000" s="335" t="str">
        <f ca="1">Параметры!AD$34</f>
        <v>дек.26</v>
      </c>
      <c r="AE1000" s="335" t="str">
        <f ca="1">Параметры!AE$34</f>
        <v>янв.27</v>
      </c>
      <c r="AF1000" s="335" t="str">
        <f ca="1">Параметры!AF$34</f>
        <v>фев.27</v>
      </c>
      <c r="AG1000" s="335" t="str">
        <f ca="1">Параметры!AG$34</f>
        <v>мар.27</v>
      </c>
      <c r="AH1000" s="335" t="str">
        <f ca="1">Параметры!AH$34</f>
        <v>апр.27</v>
      </c>
      <c r="AI1000" s="335" t="str">
        <f ca="1">Параметры!AI$34</f>
        <v>май.27</v>
      </c>
      <c r="AJ1000" s="335" t="str">
        <f ca="1">Параметры!AJ$34</f>
        <v>июн.27</v>
      </c>
      <c r="AK1000" s="335" t="str">
        <f ca="1">Параметры!AK$34</f>
        <v>июл.27</v>
      </c>
      <c r="AL1000" s="335" t="str">
        <f ca="1">Параметры!AL$34</f>
        <v>авг.27</v>
      </c>
      <c r="AM1000" s="335" t="str">
        <f ca="1">Параметры!AM$34</f>
        <v>сен.27</v>
      </c>
      <c r="AN1000" s="335" t="str">
        <f ca="1">Параметры!AN$34</f>
        <v>окт.27</v>
      </c>
      <c r="AO1000" s="335" t="str">
        <f ca="1">Параметры!AO$34</f>
        <v>ноя.27</v>
      </c>
      <c r="AP1000" s="335" t="str">
        <f ca="1">Параметры!AP$34</f>
        <v>дек.27</v>
      </c>
      <c r="AQ1000" s="335" t="str">
        <f ca="1">Параметры!AQ$34</f>
        <v>янв.28</v>
      </c>
      <c r="AR1000" s="335" t="str">
        <f ca="1">Параметры!AR$34</f>
        <v>фев.28</v>
      </c>
      <c r="AS1000" s="335" t="str">
        <f ca="1">Параметры!AS$34</f>
        <v>мар.28</v>
      </c>
      <c r="AT1000" s="335" t="str">
        <f ca="1">Параметры!AT$34</f>
        <v>апр.28</v>
      </c>
      <c r="AU1000" s="335" t="str">
        <f ca="1">Параметры!AU$34</f>
        <v>май.28</v>
      </c>
      <c r="AV1000" s="335" t="str">
        <f ca="1">Параметры!AV$34</f>
        <v>июн.28</v>
      </c>
      <c r="AW1000" s="335" t="str">
        <f ca="1">Параметры!AW$34</f>
        <v>июл.28</v>
      </c>
      <c r="AX1000" s="335" t="str">
        <f ca="1">Параметры!AX$34</f>
        <v>авг.28</v>
      </c>
      <c r="AY1000" s="335" t="str">
        <f ca="1">Параметры!AY$34</f>
        <v>сен.28</v>
      </c>
      <c r="AZ1000" s="335" t="str">
        <f ca="1">Параметры!AZ$34</f>
        <v>окт.28</v>
      </c>
      <c r="BA1000" s="335" t="str">
        <f ca="1">Параметры!BA$34</f>
        <v>ноя.28</v>
      </c>
      <c r="BB1000" s="335" t="str">
        <f ca="1">Параметры!BB$34</f>
        <v>дек.28</v>
      </c>
      <c r="BC1000" s="335"/>
      <c r="BD1000" s="336" t="str">
        <f ca="1">Language!$A$1473</f>
        <v>ИТОГО</v>
      </c>
    </row>
    <row r="1001" spans="1:56" hidden="1" x14ac:dyDescent="0.3">
      <c r="E1001" s="170" t="s">
        <v>642</v>
      </c>
      <c r="F1001" s="170" t="s">
        <v>643</v>
      </c>
    </row>
    <row r="1002" spans="1:56" hidden="1" x14ac:dyDescent="0.3">
      <c r="A1002" s="283" t="str">
        <f ca="1">Language!A$1002</f>
        <v>Шаблон без графика платежей</v>
      </c>
      <c r="C1002" s="163"/>
      <c r="D1002" s="174">
        <v>1</v>
      </c>
      <c r="F1002" s="170" t="s">
        <v>1180</v>
      </c>
    </row>
    <row r="1003" spans="1:56" hidden="1" x14ac:dyDescent="0.3">
      <c r="A1003" s="169" t="str">
        <f ca="1">Language!A$1003</f>
        <v>Стоимость объекта аренды (без НДС)</v>
      </c>
      <c r="B1003" s="284">
        <v>0</v>
      </c>
      <c r="C1003" s="176" t="str">
        <f t="shared" ref="C1003" ca="1" si="3906">CHOOSE(D1003,CurName1,CurName2,CurName3)</f>
        <v>руб.</v>
      </c>
      <c r="D1003" s="174">
        <f>D1002</f>
        <v>1</v>
      </c>
      <c r="F1003" s="170" t="s">
        <v>753</v>
      </c>
      <c r="G1003" s="177"/>
      <c r="H1003" s="177"/>
      <c r="I1003" s="177"/>
      <c r="J1003" s="177"/>
      <c r="K1003" s="177"/>
      <c r="L1003" s="177"/>
      <c r="M1003" s="177"/>
      <c r="N1003" s="177"/>
      <c r="O1003" s="177"/>
      <c r="P1003" s="177"/>
      <c r="Q1003" s="177"/>
      <c r="R1003" s="177"/>
      <c r="S1003" s="177"/>
      <c r="T1003" s="177"/>
      <c r="U1003" s="177"/>
      <c r="V1003" s="177"/>
      <c r="W1003" s="177"/>
      <c r="X1003" s="177"/>
      <c r="Y1003" s="177"/>
      <c r="Z1003" s="177"/>
      <c r="AA1003" s="177"/>
      <c r="AB1003" s="177"/>
      <c r="AC1003" s="177"/>
      <c r="AD1003" s="177"/>
      <c r="AE1003" s="177"/>
      <c r="AF1003" s="177"/>
      <c r="AG1003" s="177"/>
      <c r="AH1003" s="177"/>
      <c r="AI1003" s="177"/>
      <c r="AJ1003" s="177"/>
      <c r="AK1003" s="177"/>
      <c r="AL1003" s="177"/>
      <c r="AM1003" s="177"/>
      <c r="AN1003" s="177"/>
      <c r="AO1003" s="177"/>
      <c r="AP1003" s="177"/>
      <c r="AQ1003" s="177"/>
      <c r="AR1003" s="177"/>
      <c r="AS1003" s="177"/>
      <c r="AT1003" s="177"/>
      <c r="AU1003" s="177"/>
      <c r="AV1003" s="177"/>
      <c r="AW1003" s="177"/>
      <c r="AX1003" s="177"/>
      <c r="AY1003" s="177"/>
      <c r="AZ1003" s="177"/>
      <c r="BA1003" s="177"/>
      <c r="BB1003" s="177"/>
      <c r="BC1003" s="177"/>
      <c r="BD1003" s="178"/>
    </row>
    <row r="1004" spans="1:56" hidden="1" x14ac:dyDescent="0.3">
      <c r="A1004" s="169" t="str">
        <f ca="1">Language!A$1004</f>
        <v>Период начала аренды</v>
      </c>
      <c r="B1004" s="284">
        <v>1</v>
      </c>
      <c r="C1004" s="176" t="str">
        <f ca="1">Language!$A$1480</f>
        <v>период</v>
      </c>
      <c r="D1004" s="174"/>
      <c r="F1004" s="170" t="s">
        <v>753</v>
      </c>
      <c r="G1004" s="177"/>
      <c r="H1004" s="177"/>
      <c r="I1004" s="177"/>
      <c r="J1004" s="177"/>
      <c r="K1004" s="177"/>
      <c r="L1004" s="177"/>
      <c r="M1004" s="177"/>
      <c r="N1004" s="177"/>
      <c r="O1004" s="177"/>
      <c r="P1004" s="177"/>
      <c r="Q1004" s="177"/>
      <c r="R1004" s="177"/>
      <c r="S1004" s="177"/>
      <c r="T1004" s="177"/>
      <c r="U1004" s="177"/>
      <c r="V1004" s="177"/>
      <c r="W1004" s="177"/>
      <c r="X1004" s="177"/>
      <c r="Y1004" s="177"/>
      <c r="Z1004" s="177"/>
      <c r="AA1004" s="177"/>
      <c r="AB1004" s="177"/>
      <c r="AC1004" s="177"/>
      <c r="AD1004" s="177"/>
      <c r="AE1004" s="177"/>
      <c r="AF1004" s="177"/>
      <c r="AG1004" s="177"/>
      <c r="AH1004" s="177"/>
      <c r="AI1004" s="177"/>
      <c r="AJ1004" s="177"/>
      <c r="AK1004" s="177"/>
      <c r="AL1004" s="177"/>
      <c r="AM1004" s="177"/>
      <c r="AN1004" s="177"/>
      <c r="AO1004" s="177"/>
      <c r="AP1004" s="177"/>
      <c r="AQ1004" s="177"/>
      <c r="AR1004" s="177"/>
      <c r="AS1004" s="177"/>
      <c r="AT1004" s="177"/>
      <c r="AU1004" s="177"/>
      <c r="AV1004" s="177"/>
      <c r="AW1004" s="177"/>
      <c r="AX1004" s="177"/>
      <c r="AY1004" s="177"/>
      <c r="AZ1004" s="177"/>
      <c r="BA1004" s="177"/>
      <c r="BB1004" s="177"/>
      <c r="BC1004" s="177"/>
      <c r="BD1004" s="178"/>
    </row>
    <row r="1005" spans="1:56" hidden="1" x14ac:dyDescent="0.3">
      <c r="A1005" s="169" t="str">
        <f ca="1">Language!A$1005</f>
        <v>Срок аренды</v>
      </c>
      <c r="B1005" s="284">
        <v>3</v>
      </c>
      <c r="C1005" s="176" t="str">
        <f ca="1">Параметры!C$17</f>
        <v>мес.</v>
      </c>
      <c r="D1005" s="174"/>
      <c r="F1005" s="170" t="s">
        <v>753</v>
      </c>
      <c r="G1005" s="177"/>
      <c r="H1005" s="177"/>
      <c r="I1005" s="177"/>
      <c r="J1005" s="177"/>
      <c r="K1005" s="177"/>
      <c r="L1005" s="177"/>
      <c r="M1005" s="177"/>
      <c r="N1005" s="177"/>
      <c r="O1005" s="177"/>
      <c r="P1005" s="177"/>
      <c r="Q1005" s="177"/>
      <c r="R1005" s="177"/>
      <c r="S1005" s="177"/>
      <c r="T1005" s="177"/>
      <c r="U1005" s="177"/>
      <c r="V1005" s="177"/>
      <c r="W1005" s="177"/>
      <c r="X1005" s="177"/>
      <c r="Y1005" s="177"/>
      <c r="Z1005" s="177"/>
      <c r="AA1005" s="177"/>
      <c r="AB1005" s="177"/>
      <c r="AC1005" s="177"/>
      <c r="AD1005" s="177"/>
      <c r="AE1005" s="177"/>
      <c r="AF1005" s="177"/>
      <c r="AG1005" s="177"/>
      <c r="AH1005" s="177"/>
      <c r="AI1005" s="177"/>
      <c r="AJ1005" s="177"/>
      <c r="AK1005" s="177"/>
      <c r="AL1005" s="177"/>
      <c r="AM1005" s="177"/>
      <c r="AN1005" s="177"/>
      <c r="AO1005" s="177"/>
      <c r="AP1005" s="177"/>
      <c r="AQ1005" s="177"/>
      <c r="AR1005" s="177"/>
      <c r="AS1005" s="177"/>
      <c r="AT1005" s="177"/>
      <c r="AU1005" s="177"/>
      <c r="AV1005" s="177"/>
      <c r="AW1005" s="177"/>
      <c r="AX1005" s="177"/>
      <c r="AY1005" s="177"/>
      <c r="AZ1005" s="177"/>
      <c r="BA1005" s="177"/>
      <c r="BB1005" s="177"/>
      <c r="BC1005" s="177"/>
      <c r="BD1005" s="178"/>
    </row>
    <row r="1006" spans="1:56" hidden="1" x14ac:dyDescent="0.3">
      <c r="A1006" s="169" t="str">
        <f ca="1">Language!A$1006</f>
        <v>Ставка доходности лизинговой компании</v>
      </c>
      <c r="B1006" s="301">
        <v>0.1</v>
      </c>
      <c r="C1006" s="176" t="s">
        <v>1</v>
      </c>
      <c r="D1006" s="174"/>
      <c r="F1006" s="170" t="s">
        <v>753</v>
      </c>
      <c r="G1006" s="177"/>
      <c r="H1006" s="177"/>
      <c r="I1006" s="177"/>
      <c r="J1006" s="177"/>
      <c r="K1006" s="177"/>
      <c r="L1006" s="177"/>
      <c r="M1006" s="177"/>
      <c r="N1006" s="177"/>
      <c r="O1006" s="177"/>
      <c r="P1006" s="177"/>
      <c r="Q1006" s="177"/>
      <c r="R1006" s="177"/>
      <c r="S1006" s="177"/>
      <c r="T1006" s="177"/>
      <c r="U1006" s="177"/>
      <c r="V1006" s="177"/>
      <c r="W1006" s="177"/>
      <c r="X1006" s="177"/>
      <c r="Y1006" s="177"/>
      <c r="Z1006" s="177"/>
      <c r="AA1006" s="177"/>
      <c r="AB1006" s="177"/>
      <c r="AC1006" s="177"/>
      <c r="AD1006" s="177"/>
      <c r="AE1006" s="177"/>
      <c r="AF1006" s="177"/>
      <c r="AG1006" s="177"/>
      <c r="AH1006" s="177"/>
      <c r="AI1006" s="177"/>
      <c r="AJ1006" s="177"/>
      <c r="AK1006" s="177"/>
      <c r="AL1006" s="177"/>
      <c r="AM1006" s="177"/>
      <c r="AN1006" s="177"/>
      <c r="AO1006" s="177"/>
      <c r="AP1006" s="177"/>
      <c r="AQ1006" s="177"/>
      <c r="AR1006" s="177"/>
      <c r="AS1006" s="177"/>
      <c r="AT1006" s="177"/>
      <c r="AU1006" s="177"/>
      <c r="AV1006" s="177"/>
      <c r="AW1006" s="177"/>
      <c r="AX1006" s="177"/>
      <c r="AY1006" s="177"/>
      <c r="AZ1006" s="177"/>
      <c r="BA1006" s="177"/>
      <c r="BB1006" s="177"/>
      <c r="BC1006" s="177"/>
      <c r="BD1006" s="178"/>
    </row>
    <row r="1007" spans="1:56" hidden="1" x14ac:dyDescent="0.3">
      <c r="A1007" s="173" t="str">
        <f ca="1">Language!A$1007</f>
        <v>Авансовый платеж по аренде</v>
      </c>
      <c r="B1007" s="302">
        <v>0.3</v>
      </c>
      <c r="C1007" s="176" t="s">
        <v>1</v>
      </c>
      <c r="D1007" s="174"/>
      <c r="F1007" s="170" t="s">
        <v>753</v>
      </c>
      <c r="G1007" s="177"/>
      <c r="H1007" s="177"/>
      <c r="I1007" s="177"/>
      <c r="J1007" s="177"/>
      <c r="K1007" s="177"/>
      <c r="L1007" s="177"/>
      <c r="M1007" s="177"/>
      <c r="N1007" s="177"/>
      <c r="O1007" s="177"/>
      <c r="P1007" s="177"/>
      <c r="Q1007" s="177"/>
      <c r="R1007" s="177"/>
      <c r="S1007" s="177"/>
      <c r="T1007" s="177"/>
      <c r="U1007" s="177"/>
      <c r="V1007" s="177"/>
      <c r="W1007" s="177"/>
      <c r="X1007" s="177"/>
      <c r="Y1007" s="177"/>
      <c r="Z1007" s="177"/>
      <c r="AA1007" s="177"/>
      <c r="AB1007" s="177"/>
      <c r="AC1007" s="177"/>
      <c r="AD1007" s="177"/>
      <c r="AE1007" s="177"/>
      <c r="AF1007" s="177"/>
      <c r="AG1007" s="177"/>
      <c r="AH1007" s="177"/>
      <c r="AI1007" s="177"/>
      <c r="AJ1007" s="177"/>
      <c r="AK1007" s="177"/>
      <c r="AL1007" s="177"/>
      <c r="AM1007" s="177"/>
      <c r="AN1007" s="177"/>
      <c r="AO1007" s="177"/>
      <c r="AP1007" s="177"/>
      <c r="AQ1007" s="177"/>
      <c r="AR1007" s="177"/>
      <c r="AS1007" s="177"/>
      <c r="AT1007" s="177"/>
      <c r="AU1007" s="177"/>
      <c r="AV1007" s="177"/>
      <c r="AW1007" s="177"/>
      <c r="AX1007" s="177"/>
      <c r="AY1007" s="177"/>
      <c r="AZ1007" s="177"/>
      <c r="BA1007" s="177"/>
      <c r="BB1007" s="177"/>
      <c r="BC1007" s="177"/>
      <c r="BD1007" s="178"/>
    </row>
    <row r="1008" spans="1:56" hidden="1" x14ac:dyDescent="0.3">
      <c r="A1008" s="175" t="str">
        <f ca="1">Language!A$1008</f>
        <v>платеж по аренде в затратах (без НДС)</v>
      </c>
      <c r="B1008" s="176"/>
      <c r="C1008" s="176" t="str">
        <f t="shared" ref="C1008:C1011" ca="1" si="3907">CHOOSE(D1008,CurName1,CurName2,CurName3)</f>
        <v>руб.</v>
      </c>
      <c r="D1008" s="174">
        <v>1</v>
      </c>
      <c r="E1008" s="170" t="s">
        <v>1194</v>
      </c>
      <c r="F1008" s="170" t="s">
        <v>742</v>
      </c>
      <c r="G1008" s="177">
        <f>IF(G$2&gt;=$B1004,IF(G$2=1,($BD1012+$BD1014)/($B1005*Prj_Step)*Параметры!G$31,MIN(($BD1012+$BD1014)/($B1005*Prj_Step)*Параметры!G$31,$BD1012+$BD1014-SUM($F1008:F1008))),0)</f>
        <v>0</v>
      </c>
      <c r="H1008" s="177">
        <f>IF(H$2&gt;=$B1004,IF(H$2=1,($BD1012+$BD1014)/($B1005*Prj_Step)*Параметры!H$31,MIN(($BD1012+$BD1014)/($B1005*Prj_Step)*Параметры!H$31,$BD1012+$BD1014-SUM($F1008:G1008))),0)</f>
        <v>0</v>
      </c>
      <c r="I1008" s="177">
        <f>IF(I$2&gt;=$B1004,IF(I$2=1,($BD1012+$BD1014)/($B1005*Prj_Step)*Параметры!I$31,MIN(($BD1012+$BD1014)/($B1005*Prj_Step)*Параметры!I$31,$BD1012+$BD1014-SUM($F1008:H1008))),0)</f>
        <v>0</v>
      </c>
      <c r="J1008" s="177">
        <f>IF(J$2&gt;=$B1004,IF(J$2=1,($BD1012+$BD1014)/($B1005*Prj_Step)*Параметры!J$31,MIN(($BD1012+$BD1014)/($B1005*Prj_Step)*Параметры!J$31,$BD1012+$BD1014-SUM($F1008:I1008))),0)</f>
        <v>0</v>
      </c>
      <c r="K1008" s="177">
        <f>IF(K$2&gt;=$B1004,IF(K$2=1,($BD1012+$BD1014)/($B1005*Prj_Step)*Параметры!K$31,MIN(($BD1012+$BD1014)/($B1005*Prj_Step)*Параметры!K$31,$BD1012+$BD1014-SUM($F1008:J1008))),0)</f>
        <v>0</v>
      </c>
      <c r="L1008" s="177">
        <f>IF(L$2&gt;=$B1004,IF(L$2=1,($BD1012+$BD1014)/($B1005*Prj_Step)*Параметры!L$31,MIN(($BD1012+$BD1014)/($B1005*Prj_Step)*Параметры!L$31,$BD1012+$BD1014-SUM($F1008:K1008))),0)</f>
        <v>0</v>
      </c>
      <c r="M1008" s="177">
        <f>IF(M$2&gt;=$B1004,IF(M$2=1,($BD1012+$BD1014)/($B1005*Prj_Step)*Параметры!M$31,MIN(($BD1012+$BD1014)/($B1005*Prj_Step)*Параметры!M$31,$BD1012+$BD1014-SUM($F1008:L1008))),0)</f>
        <v>0</v>
      </c>
      <c r="N1008" s="177">
        <f>IF(N$2&gt;=$B1004,IF(N$2=1,($BD1012+$BD1014)/($B1005*Prj_Step)*Параметры!N$31,MIN(($BD1012+$BD1014)/($B1005*Prj_Step)*Параметры!N$31,$BD1012+$BD1014-SUM($F1008:M1008))),0)</f>
        <v>0</v>
      </c>
      <c r="O1008" s="177">
        <f>IF(O$2&gt;=$B1004,IF(O$2=1,($BD1012+$BD1014)/($B1005*Prj_Step)*Параметры!O$31,MIN(($BD1012+$BD1014)/($B1005*Prj_Step)*Параметры!O$31,$BD1012+$BD1014-SUM($F1008:N1008))),0)</f>
        <v>0</v>
      </c>
      <c r="P1008" s="177">
        <f>IF(P$2&gt;=$B1004,IF(P$2=1,($BD1012+$BD1014)/($B1005*Prj_Step)*Параметры!P$31,MIN(($BD1012+$BD1014)/($B1005*Prj_Step)*Параметры!P$31,$BD1012+$BD1014-SUM($F1008:O1008))),0)</f>
        <v>0</v>
      </c>
      <c r="Q1008" s="177">
        <f>IF(Q$2&gt;=$B1004,IF(Q$2=1,($BD1012+$BD1014)/($B1005*Prj_Step)*Параметры!Q$31,MIN(($BD1012+$BD1014)/($B1005*Prj_Step)*Параметры!Q$31,$BD1012+$BD1014-SUM($F1008:P1008))),0)</f>
        <v>0</v>
      </c>
      <c r="R1008" s="177">
        <f>IF(R$2&gt;=$B1004,IF(R$2=1,($BD1012+$BD1014)/($B1005*Prj_Step)*Параметры!R$31,MIN(($BD1012+$BD1014)/($B1005*Prj_Step)*Параметры!R$31,$BD1012+$BD1014-SUM($F1008:Q1008))),0)</f>
        <v>0</v>
      </c>
      <c r="S1008" s="177">
        <f>IF(S$2&gt;=$B1004,IF(S$2=1,($BD1012+$BD1014)/($B1005*Prj_Step)*Параметры!S$31,MIN(($BD1012+$BD1014)/($B1005*Prj_Step)*Параметры!S$31,$BD1012+$BD1014-SUM($F1008:R1008))),0)</f>
        <v>0</v>
      </c>
      <c r="T1008" s="177">
        <f>IF(T$2&gt;=$B1004,IF(T$2=1,($BD1012+$BD1014)/($B1005*Prj_Step)*Параметры!T$31,MIN(($BD1012+$BD1014)/($B1005*Prj_Step)*Параметры!T$31,$BD1012+$BD1014-SUM($F1008:S1008))),0)</f>
        <v>0</v>
      </c>
      <c r="U1008" s="177">
        <f>IF(U$2&gt;=$B1004,IF(U$2=1,($BD1012+$BD1014)/($B1005*Prj_Step)*Параметры!U$31,MIN(($BD1012+$BD1014)/($B1005*Prj_Step)*Параметры!U$31,$BD1012+$BD1014-SUM($F1008:T1008))),0)</f>
        <v>0</v>
      </c>
      <c r="V1008" s="177">
        <f>IF(V$2&gt;=$B1004,IF(V$2=1,($BD1012+$BD1014)/($B1005*Prj_Step)*Параметры!V$31,MIN(($BD1012+$BD1014)/($B1005*Prj_Step)*Параметры!V$31,$BD1012+$BD1014-SUM($F1008:U1008))),0)</f>
        <v>0</v>
      </c>
      <c r="W1008" s="177">
        <f>IF(W$2&gt;=$B1004,IF(W$2=1,($BD1012+$BD1014)/($B1005*Prj_Step)*Параметры!W$31,MIN(($BD1012+$BD1014)/($B1005*Prj_Step)*Параметры!W$31,$BD1012+$BD1014-SUM($F1008:V1008))),0)</f>
        <v>0</v>
      </c>
      <c r="X1008" s="177">
        <f>IF(X$2&gt;=$B1004,IF(X$2=1,($BD1012+$BD1014)/($B1005*Prj_Step)*Параметры!X$31,MIN(($BD1012+$BD1014)/($B1005*Prj_Step)*Параметры!X$31,$BD1012+$BD1014-SUM($F1008:W1008))),0)</f>
        <v>0</v>
      </c>
      <c r="Y1008" s="177">
        <f>IF(Y$2&gt;=$B1004,IF(Y$2=1,($BD1012+$BD1014)/($B1005*Prj_Step)*Параметры!Y$31,MIN(($BD1012+$BD1014)/($B1005*Prj_Step)*Параметры!Y$31,$BD1012+$BD1014-SUM($F1008:X1008))),0)</f>
        <v>0</v>
      </c>
      <c r="Z1008" s="177">
        <f>IF(Z$2&gt;=$B1004,IF(Z$2=1,($BD1012+$BD1014)/($B1005*Prj_Step)*Параметры!Z$31,MIN(($BD1012+$BD1014)/($B1005*Prj_Step)*Параметры!Z$31,$BD1012+$BD1014-SUM($F1008:Y1008))),0)</f>
        <v>0</v>
      </c>
      <c r="AA1008" s="177">
        <f>IF(AA$2&gt;=$B1004,IF(AA$2=1,($BD1012+$BD1014)/($B1005*Prj_Step)*Параметры!AA$31,MIN(($BD1012+$BD1014)/($B1005*Prj_Step)*Параметры!AA$31,$BD1012+$BD1014-SUM($F1008:Z1008))),0)</f>
        <v>0</v>
      </c>
      <c r="AB1008" s="177">
        <f>IF(AB$2&gt;=$B1004,IF(AB$2=1,($BD1012+$BD1014)/($B1005*Prj_Step)*Параметры!AB$31,MIN(($BD1012+$BD1014)/($B1005*Prj_Step)*Параметры!AB$31,$BD1012+$BD1014-SUM($F1008:AA1008))),0)</f>
        <v>0</v>
      </c>
      <c r="AC1008" s="177">
        <f>IF(AC$2&gt;=$B1004,IF(AC$2=1,($BD1012+$BD1014)/($B1005*Prj_Step)*Параметры!AC$31,MIN(($BD1012+$BD1014)/($B1005*Prj_Step)*Параметры!AC$31,$BD1012+$BD1014-SUM($F1008:AB1008))),0)</f>
        <v>0</v>
      </c>
      <c r="AD1008" s="177">
        <f>IF(AD$2&gt;=$B1004,IF(AD$2=1,($BD1012+$BD1014)/($B1005*Prj_Step)*Параметры!AD$31,MIN(($BD1012+$BD1014)/($B1005*Prj_Step)*Параметры!AD$31,$BD1012+$BD1014-SUM($F1008:AC1008))),0)</f>
        <v>0</v>
      </c>
      <c r="AE1008" s="177">
        <f>IF(AE$2&gt;=$B1004,IF(AE$2=1,($BD1012+$BD1014)/($B1005*Prj_Step)*Параметры!AE$31,MIN(($BD1012+$BD1014)/($B1005*Prj_Step)*Параметры!AE$31,$BD1012+$BD1014-SUM($F1008:AD1008))),0)</f>
        <v>0</v>
      </c>
      <c r="AF1008" s="177">
        <f>IF(AF$2&gt;=$B1004,IF(AF$2=1,($BD1012+$BD1014)/($B1005*Prj_Step)*Параметры!AF$31,MIN(($BD1012+$BD1014)/($B1005*Prj_Step)*Параметры!AF$31,$BD1012+$BD1014-SUM($F1008:AE1008))),0)</f>
        <v>0</v>
      </c>
      <c r="AG1008" s="177">
        <f>IF(AG$2&gt;=$B1004,IF(AG$2=1,($BD1012+$BD1014)/($B1005*Prj_Step)*Параметры!AG$31,MIN(($BD1012+$BD1014)/($B1005*Prj_Step)*Параметры!AG$31,$BD1012+$BD1014-SUM($F1008:AF1008))),0)</f>
        <v>0</v>
      </c>
      <c r="AH1008" s="177">
        <f>IF(AH$2&gt;=$B1004,IF(AH$2=1,($BD1012+$BD1014)/($B1005*Prj_Step)*Параметры!AH$31,MIN(($BD1012+$BD1014)/($B1005*Prj_Step)*Параметры!AH$31,$BD1012+$BD1014-SUM($F1008:AG1008))),0)</f>
        <v>0</v>
      </c>
      <c r="AI1008" s="177">
        <f>IF(AI$2&gt;=$B1004,IF(AI$2=1,($BD1012+$BD1014)/($B1005*Prj_Step)*Параметры!AI$31,MIN(($BD1012+$BD1014)/($B1005*Prj_Step)*Параметры!AI$31,$BD1012+$BD1014-SUM($F1008:AH1008))),0)</f>
        <v>0</v>
      </c>
      <c r="AJ1008" s="177">
        <f>IF(AJ$2&gt;=$B1004,IF(AJ$2=1,($BD1012+$BD1014)/($B1005*Prj_Step)*Параметры!AJ$31,MIN(($BD1012+$BD1014)/($B1005*Prj_Step)*Параметры!AJ$31,$BD1012+$BD1014-SUM($F1008:AI1008))),0)</f>
        <v>0</v>
      </c>
      <c r="AK1008" s="177">
        <f>IF(AK$2&gt;=$B1004,IF(AK$2=1,($BD1012+$BD1014)/($B1005*Prj_Step)*Параметры!AK$31,MIN(($BD1012+$BD1014)/($B1005*Prj_Step)*Параметры!AK$31,$BD1012+$BD1014-SUM($F1008:AJ1008))),0)</f>
        <v>0</v>
      </c>
      <c r="AL1008" s="177">
        <f>IF(AL$2&gt;=$B1004,IF(AL$2=1,($BD1012+$BD1014)/($B1005*Prj_Step)*Параметры!AL$31,MIN(($BD1012+$BD1014)/($B1005*Prj_Step)*Параметры!AL$31,$BD1012+$BD1014-SUM($F1008:AK1008))),0)</f>
        <v>0</v>
      </c>
      <c r="AM1008" s="177">
        <f>IF(AM$2&gt;=$B1004,IF(AM$2=1,($BD1012+$BD1014)/($B1005*Prj_Step)*Параметры!AM$31,MIN(($BD1012+$BD1014)/($B1005*Prj_Step)*Параметры!AM$31,$BD1012+$BD1014-SUM($F1008:AL1008))),0)</f>
        <v>0</v>
      </c>
      <c r="AN1008" s="177">
        <f>IF(AN$2&gt;=$B1004,IF(AN$2=1,($BD1012+$BD1014)/($B1005*Prj_Step)*Параметры!AN$31,MIN(($BD1012+$BD1014)/($B1005*Prj_Step)*Параметры!AN$31,$BD1012+$BD1014-SUM($F1008:AM1008))),0)</f>
        <v>0</v>
      </c>
      <c r="AO1008" s="177">
        <f>IF(AO$2&gt;=$B1004,IF(AO$2=1,($BD1012+$BD1014)/($B1005*Prj_Step)*Параметры!AO$31,MIN(($BD1012+$BD1014)/($B1005*Prj_Step)*Параметры!AO$31,$BD1012+$BD1014-SUM($F1008:AN1008))),0)</f>
        <v>0</v>
      </c>
      <c r="AP1008" s="177">
        <f>IF(AP$2&gt;=$B1004,IF(AP$2=1,($BD1012+$BD1014)/($B1005*Prj_Step)*Параметры!AP$31,MIN(($BD1012+$BD1014)/($B1005*Prj_Step)*Параметры!AP$31,$BD1012+$BD1014-SUM($F1008:AO1008))),0)</f>
        <v>0</v>
      </c>
      <c r="AQ1008" s="177">
        <f>IF(AQ$2&gt;=$B1004,IF(AQ$2=1,($BD1012+$BD1014)/($B1005*Prj_Step)*Параметры!AQ$31,MIN(($BD1012+$BD1014)/($B1005*Prj_Step)*Параметры!AQ$31,$BD1012+$BD1014-SUM($F1008:AP1008))),0)</f>
        <v>0</v>
      </c>
      <c r="AR1008" s="177">
        <f>IF(AR$2&gt;=$B1004,IF(AR$2=1,($BD1012+$BD1014)/($B1005*Prj_Step)*Параметры!AR$31,MIN(($BD1012+$BD1014)/($B1005*Prj_Step)*Параметры!AR$31,$BD1012+$BD1014-SUM($F1008:AQ1008))),0)</f>
        <v>0</v>
      </c>
      <c r="AS1008" s="177">
        <f>IF(AS$2&gt;=$B1004,IF(AS$2=1,($BD1012+$BD1014)/($B1005*Prj_Step)*Параметры!AS$31,MIN(($BD1012+$BD1014)/($B1005*Prj_Step)*Параметры!AS$31,$BD1012+$BD1014-SUM($F1008:AR1008))),0)</f>
        <v>0</v>
      </c>
      <c r="AT1008" s="177">
        <f>IF(AT$2&gt;=$B1004,IF(AT$2=1,($BD1012+$BD1014)/($B1005*Prj_Step)*Параметры!AT$31,MIN(($BD1012+$BD1014)/($B1005*Prj_Step)*Параметры!AT$31,$BD1012+$BD1014-SUM($F1008:AS1008))),0)</f>
        <v>0</v>
      </c>
      <c r="AU1008" s="177">
        <f>IF(AU$2&gt;=$B1004,IF(AU$2=1,($BD1012+$BD1014)/($B1005*Prj_Step)*Параметры!AU$31,MIN(($BD1012+$BD1014)/($B1005*Prj_Step)*Параметры!AU$31,$BD1012+$BD1014-SUM($F1008:AT1008))),0)</f>
        <v>0</v>
      </c>
      <c r="AV1008" s="177">
        <f>IF(AV$2&gt;=$B1004,IF(AV$2=1,($BD1012+$BD1014)/($B1005*Prj_Step)*Параметры!AV$31,MIN(($BD1012+$BD1014)/($B1005*Prj_Step)*Параметры!AV$31,$BD1012+$BD1014-SUM($F1008:AU1008))),0)</f>
        <v>0</v>
      </c>
      <c r="AW1008" s="177">
        <f>IF(AW$2&gt;=$B1004,IF(AW$2=1,($BD1012+$BD1014)/($B1005*Prj_Step)*Параметры!AW$31,MIN(($BD1012+$BD1014)/($B1005*Prj_Step)*Параметры!AW$31,$BD1012+$BD1014-SUM($F1008:AV1008))),0)</f>
        <v>0</v>
      </c>
      <c r="AX1008" s="177">
        <f>IF(AX$2&gt;=$B1004,IF(AX$2=1,($BD1012+$BD1014)/($B1005*Prj_Step)*Параметры!AX$31,MIN(($BD1012+$BD1014)/($B1005*Prj_Step)*Параметры!AX$31,$BD1012+$BD1014-SUM($F1008:AW1008))),0)</f>
        <v>0</v>
      </c>
      <c r="AY1008" s="177">
        <f>IF(AY$2&gt;=$B1004,IF(AY$2=1,($BD1012+$BD1014)/($B1005*Prj_Step)*Параметры!AY$31,MIN(($BD1012+$BD1014)/($B1005*Prj_Step)*Параметры!AY$31,$BD1012+$BD1014-SUM($F1008:AX1008))),0)</f>
        <v>0</v>
      </c>
      <c r="AZ1008" s="177">
        <f>IF(AZ$2&gt;=$B1004,IF(AZ$2=1,($BD1012+$BD1014)/($B1005*Prj_Step)*Параметры!AZ$31,MIN(($BD1012+$BD1014)/($B1005*Prj_Step)*Параметры!AZ$31,$BD1012+$BD1014-SUM($F1008:AY1008))),0)</f>
        <v>0</v>
      </c>
      <c r="BA1008" s="177">
        <f>IF(BA$2&gt;=$B1004,IF(BA$2=1,($BD1012+$BD1014)/($B1005*Prj_Step)*Параметры!BA$31,MIN(($BD1012+$BD1014)/($B1005*Prj_Step)*Параметры!BA$31,$BD1012+$BD1014-SUM($F1008:AZ1008))),0)</f>
        <v>0</v>
      </c>
      <c r="BB1008" s="177">
        <f>IF(BB$2&gt;=$B1004,IF(BB$2=1,($BD1012+$BD1014)/($B1005*Prj_Step)*Параметры!BB$31,MIN(($BD1012+$BD1014)/($B1005*Prj_Step)*Параметры!BB$31,$BD1012+$BD1014-SUM($F1008:BA1008))),0)</f>
        <v>0</v>
      </c>
      <c r="BC1008" s="177"/>
      <c r="BD1008" s="178">
        <f>SUM(G1008:BC1008)</f>
        <v>0</v>
      </c>
    </row>
    <row r="1009" spans="1:56" hidden="1" x14ac:dyDescent="0.3">
      <c r="A1009" s="175" t="str">
        <f ca="1">Language!A$1009</f>
        <v>платеж по аренде в оттоках денежных средств (без НДС)</v>
      </c>
      <c r="B1009" s="176"/>
      <c r="C1009" s="176" t="str">
        <f t="shared" ca="1" si="3907"/>
        <v>руб.</v>
      </c>
      <c r="D1009" s="174">
        <v>1</v>
      </c>
      <c r="E1009" s="170" t="s">
        <v>1190</v>
      </c>
      <c r="F1009" s="170" t="s">
        <v>742</v>
      </c>
      <c r="G1009" s="177">
        <f>IF(G$2=$B1004-1,$B1007*$B1010,0)+IF(G$2&gt;=$B1004,IF(G$2=1,IF($B1004=1,$B1007*$B1010,0)+($BD1012+$BD1014-$B1007*$B1010)/($B1005*Prj_Step)*Параметры!G$31,MIN(($BD1012+$BD1014-$B1007*$B1010)/($B1005*Prj_Step)*Параметры!G$31,$BD1012+$BD1014-SUM($F1009:F1009))),0)</f>
        <v>0</v>
      </c>
      <c r="H1009" s="177">
        <f>IF(H$2=$B1004-1,$B1007*$B1010,0)+IF(H$2&gt;=$B1004,IF(H$2=1,IF($B1004=1,$B1007*$B1010,0)+($BD1012+$BD1014-$B1007*$B1010)/($B1005*Prj_Step)*Параметры!H$31,MIN(($BD1012+$BD1014-$B1007*$B1010)/($B1005*Prj_Step)*Параметры!H$31,$BD1012+$BD1014-SUM($F1009:G1009))),0)</f>
        <v>0</v>
      </c>
      <c r="I1009" s="177">
        <f>IF(I$2=$B1004-1,$B1007*$B1010,0)+IF(I$2&gt;=$B1004,IF(I$2=1,IF($B1004=1,$B1007*$B1010,0)+($BD1012+$BD1014-$B1007*$B1010)/($B1005*Prj_Step)*Параметры!I$31,MIN(($BD1012+$BD1014-$B1007*$B1010)/($B1005*Prj_Step)*Параметры!I$31,$BD1012+$BD1014-SUM($F1009:H1009))),0)</f>
        <v>0</v>
      </c>
      <c r="J1009" s="177">
        <f>IF(J$2=$B1004-1,$B1007*$B1010,0)+IF(J$2&gt;=$B1004,IF(J$2=1,IF($B1004=1,$B1007*$B1010,0)+($BD1012+$BD1014-$B1007*$B1010)/($B1005*Prj_Step)*Параметры!J$31,MIN(($BD1012+$BD1014-$B1007*$B1010)/($B1005*Prj_Step)*Параметры!J$31,$BD1012+$BD1014-SUM($F1009:I1009))),0)</f>
        <v>0</v>
      </c>
      <c r="K1009" s="177">
        <f>IF(K$2=$B1004-1,$B1007*$B1010,0)+IF(K$2&gt;=$B1004,IF(K$2=1,IF($B1004=1,$B1007*$B1010,0)+($BD1012+$BD1014-$B1007*$B1010)/($B1005*Prj_Step)*Параметры!K$31,MIN(($BD1012+$BD1014-$B1007*$B1010)/($B1005*Prj_Step)*Параметры!K$31,$BD1012+$BD1014-SUM($F1009:J1009))),0)</f>
        <v>0</v>
      </c>
      <c r="L1009" s="177">
        <f>IF(L$2=$B1004-1,$B1007*$B1010,0)+IF(L$2&gt;=$B1004,IF(L$2=1,IF($B1004=1,$B1007*$B1010,0)+($BD1012+$BD1014-$B1007*$B1010)/($B1005*Prj_Step)*Параметры!L$31,MIN(($BD1012+$BD1014-$B1007*$B1010)/($B1005*Prj_Step)*Параметры!L$31,$BD1012+$BD1014-SUM($F1009:K1009))),0)</f>
        <v>0</v>
      </c>
      <c r="M1009" s="177">
        <f>IF(M$2=$B1004-1,$B1007*$B1010,0)+IF(M$2&gt;=$B1004,IF(M$2=1,IF($B1004=1,$B1007*$B1010,0)+($BD1012+$BD1014-$B1007*$B1010)/($B1005*Prj_Step)*Параметры!M$31,MIN(($BD1012+$BD1014-$B1007*$B1010)/($B1005*Prj_Step)*Параметры!M$31,$BD1012+$BD1014-SUM($F1009:L1009))),0)</f>
        <v>0</v>
      </c>
      <c r="N1009" s="177">
        <f>IF(N$2=$B1004-1,$B1007*$B1010,0)+IF(N$2&gt;=$B1004,IF(N$2=1,IF($B1004=1,$B1007*$B1010,0)+($BD1012+$BD1014-$B1007*$B1010)/($B1005*Prj_Step)*Параметры!N$31,MIN(($BD1012+$BD1014-$B1007*$B1010)/($B1005*Prj_Step)*Параметры!N$31,$BD1012+$BD1014-SUM($F1009:M1009))),0)</f>
        <v>0</v>
      </c>
      <c r="O1009" s="177">
        <f>IF(O$2=$B1004-1,$B1007*$B1010,0)+IF(O$2&gt;=$B1004,IF(O$2=1,IF($B1004=1,$B1007*$B1010,0)+($BD1012+$BD1014-$B1007*$B1010)/($B1005*Prj_Step)*Параметры!O$31,MIN(($BD1012+$BD1014-$B1007*$B1010)/($B1005*Prj_Step)*Параметры!O$31,$BD1012+$BD1014-SUM($F1009:N1009))),0)</f>
        <v>0</v>
      </c>
      <c r="P1009" s="177">
        <f>IF(P$2=$B1004-1,$B1007*$B1010,0)+IF(P$2&gt;=$B1004,IF(P$2=1,IF($B1004=1,$B1007*$B1010,0)+($BD1012+$BD1014-$B1007*$B1010)/($B1005*Prj_Step)*Параметры!P$31,MIN(($BD1012+$BD1014-$B1007*$B1010)/($B1005*Prj_Step)*Параметры!P$31,$BD1012+$BD1014-SUM($F1009:O1009))),0)</f>
        <v>0</v>
      </c>
      <c r="Q1009" s="177">
        <f>IF(Q$2=$B1004-1,$B1007*$B1010,0)+IF(Q$2&gt;=$B1004,IF(Q$2=1,IF($B1004=1,$B1007*$B1010,0)+($BD1012+$BD1014-$B1007*$B1010)/($B1005*Prj_Step)*Параметры!Q$31,MIN(($BD1012+$BD1014-$B1007*$B1010)/($B1005*Prj_Step)*Параметры!Q$31,$BD1012+$BD1014-SUM($F1009:P1009))),0)</f>
        <v>0</v>
      </c>
      <c r="R1009" s="177">
        <f>IF(R$2=$B1004-1,$B1007*$B1010,0)+IF(R$2&gt;=$B1004,IF(R$2=1,IF($B1004=1,$B1007*$B1010,0)+($BD1012+$BD1014-$B1007*$B1010)/($B1005*Prj_Step)*Параметры!R$31,MIN(($BD1012+$BD1014-$B1007*$B1010)/($B1005*Prj_Step)*Параметры!R$31,$BD1012+$BD1014-SUM($F1009:Q1009))),0)</f>
        <v>0</v>
      </c>
      <c r="S1009" s="177">
        <f>IF(S$2=$B1004-1,$B1007*$B1010,0)+IF(S$2&gt;=$B1004,IF(S$2=1,IF($B1004=1,$B1007*$B1010,0)+($BD1012+$BD1014-$B1007*$B1010)/($B1005*Prj_Step)*Параметры!S$31,MIN(($BD1012+$BD1014-$B1007*$B1010)/($B1005*Prj_Step)*Параметры!S$31,$BD1012+$BD1014-SUM($F1009:R1009))),0)</f>
        <v>0</v>
      </c>
      <c r="T1009" s="177">
        <f>IF(T$2=$B1004-1,$B1007*$B1010,0)+IF(T$2&gt;=$B1004,IF(T$2=1,IF($B1004=1,$B1007*$B1010,0)+($BD1012+$BD1014-$B1007*$B1010)/($B1005*Prj_Step)*Параметры!T$31,MIN(($BD1012+$BD1014-$B1007*$B1010)/($B1005*Prj_Step)*Параметры!T$31,$BD1012+$BD1014-SUM($F1009:S1009))),0)</f>
        <v>0</v>
      </c>
      <c r="U1009" s="177">
        <f>IF(U$2=$B1004-1,$B1007*$B1010,0)+IF(U$2&gt;=$B1004,IF(U$2=1,IF($B1004=1,$B1007*$B1010,0)+($BD1012+$BD1014-$B1007*$B1010)/($B1005*Prj_Step)*Параметры!U$31,MIN(($BD1012+$BD1014-$B1007*$B1010)/($B1005*Prj_Step)*Параметры!U$31,$BD1012+$BD1014-SUM($F1009:T1009))),0)</f>
        <v>0</v>
      </c>
      <c r="V1009" s="177">
        <f>IF(V$2=$B1004-1,$B1007*$B1010,0)+IF(V$2&gt;=$B1004,IF(V$2=1,IF($B1004=1,$B1007*$B1010,0)+($BD1012+$BD1014-$B1007*$B1010)/($B1005*Prj_Step)*Параметры!V$31,MIN(($BD1012+$BD1014-$B1007*$B1010)/($B1005*Prj_Step)*Параметры!V$31,$BD1012+$BD1014-SUM($F1009:U1009))),0)</f>
        <v>0</v>
      </c>
      <c r="W1009" s="177">
        <f>IF(W$2=$B1004-1,$B1007*$B1010,0)+IF(W$2&gt;=$B1004,IF(W$2=1,IF($B1004=1,$B1007*$B1010,0)+($BD1012+$BD1014-$B1007*$B1010)/($B1005*Prj_Step)*Параметры!W$31,MIN(($BD1012+$BD1014-$B1007*$B1010)/($B1005*Prj_Step)*Параметры!W$31,$BD1012+$BD1014-SUM($F1009:V1009))),0)</f>
        <v>0</v>
      </c>
      <c r="X1009" s="177">
        <f>IF(X$2=$B1004-1,$B1007*$B1010,0)+IF(X$2&gt;=$B1004,IF(X$2=1,IF($B1004=1,$B1007*$B1010,0)+($BD1012+$BD1014-$B1007*$B1010)/($B1005*Prj_Step)*Параметры!X$31,MIN(($BD1012+$BD1014-$B1007*$B1010)/($B1005*Prj_Step)*Параметры!X$31,$BD1012+$BD1014-SUM($F1009:W1009))),0)</f>
        <v>0</v>
      </c>
      <c r="Y1009" s="177">
        <f>IF(Y$2=$B1004-1,$B1007*$B1010,0)+IF(Y$2&gt;=$B1004,IF(Y$2=1,IF($B1004=1,$B1007*$B1010,0)+($BD1012+$BD1014-$B1007*$B1010)/($B1005*Prj_Step)*Параметры!Y$31,MIN(($BD1012+$BD1014-$B1007*$B1010)/($B1005*Prj_Step)*Параметры!Y$31,$BD1012+$BD1014-SUM($F1009:X1009))),0)</f>
        <v>0</v>
      </c>
      <c r="Z1009" s="177">
        <f>IF(Z$2=$B1004-1,$B1007*$B1010,0)+IF(Z$2&gt;=$B1004,IF(Z$2=1,IF($B1004=1,$B1007*$B1010,0)+($BD1012+$BD1014-$B1007*$B1010)/($B1005*Prj_Step)*Параметры!Z$31,MIN(($BD1012+$BD1014-$B1007*$B1010)/($B1005*Prj_Step)*Параметры!Z$31,$BD1012+$BD1014-SUM($F1009:Y1009))),0)</f>
        <v>0</v>
      </c>
      <c r="AA1009" s="177">
        <f>IF(AA$2=$B1004-1,$B1007*$B1010,0)+IF(AA$2&gt;=$B1004,IF(AA$2=1,IF($B1004=1,$B1007*$B1010,0)+($BD1012+$BD1014-$B1007*$B1010)/($B1005*Prj_Step)*Параметры!AA$31,MIN(($BD1012+$BD1014-$B1007*$B1010)/($B1005*Prj_Step)*Параметры!AA$31,$BD1012+$BD1014-SUM($F1009:Z1009))),0)</f>
        <v>0</v>
      </c>
      <c r="AB1009" s="177">
        <f>IF(AB$2=$B1004-1,$B1007*$B1010,0)+IF(AB$2&gt;=$B1004,IF(AB$2=1,IF($B1004=1,$B1007*$B1010,0)+($BD1012+$BD1014-$B1007*$B1010)/($B1005*Prj_Step)*Параметры!AB$31,MIN(($BD1012+$BD1014-$B1007*$B1010)/($B1005*Prj_Step)*Параметры!AB$31,$BD1012+$BD1014-SUM($F1009:AA1009))),0)</f>
        <v>0</v>
      </c>
      <c r="AC1009" s="177">
        <f>IF(AC$2=$B1004-1,$B1007*$B1010,0)+IF(AC$2&gt;=$B1004,IF(AC$2=1,IF($B1004=1,$B1007*$B1010,0)+($BD1012+$BD1014-$B1007*$B1010)/($B1005*Prj_Step)*Параметры!AC$31,MIN(($BD1012+$BD1014-$B1007*$B1010)/($B1005*Prj_Step)*Параметры!AC$31,$BD1012+$BD1014-SUM($F1009:AB1009))),0)</f>
        <v>0</v>
      </c>
      <c r="AD1009" s="177">
        <f>IF(AD$2=$B1004-1,$B1007*$B1010,0)+IF(AD$2&gt;=$B1004,IF(AD$2=1,IF($B1004=1,$B1007*$B1010,0)+($BD1012+$BD1014-$B1007*$B1010)/($B1005*Prj_Step)*Параметры!AD$31,MIN(($BD1012+$BD1014-$B1007*$B1010)/($B1005*Prj_Step)*Параметры!AD$31,$BD1012+$BD1014-SUM($F1009:AC1009))),0)</f>
        <v>0</v>
      </c>
      <c r="AE1009" s="177">
        <f>IF(AE$2=$B1004-1,$B1007*$B1010,0)+IF(AE$2&gt;=$B1004,IF(AE$2=1,IF($B1004=1,$B1007*$B1010,0)+($BD1012+$BD1014-$B1007*$B1010)/($B1005*Prj_Step)*Параметры!AE$31,MIN(($BD1012+$BD1014-$B1007*$B1010)/($B1005*Prj_Step)*Параметры!AE$31,$BD1012+$BD1014-SUM($F1009:AD1009))),0)</f>
        <v>0</v>
      </c>
      <c r="AF1009" s="177">
        <f>IF(AF$2=$B1004-1,$B1007*$B1010,0)+IF(AF$2&gt;=$B1004,IF(AF$2=1,IF($B1004=1,$B1007*$B1010,0)+($BD1012+$BD1014-$B1007*$B1010)/($B1005*Prj_Step)*Параметры!AF$31,MIN(($BD1012+$BD1014-$B1007*$B1010)/($B1005*Prj_Step)*Параметры!AF$31,$BD1012+$BD1014-SUM($F1009:AE1009))),0)</f>
        <v>0</v>
      </c>
      <c r="AG1009" s="177">
        <f>IF(AG$2=$B1004-1,$B1007*$B1010,0)+IF(AG$2&gt;=$B1004,IF(AG$2=1,IF($B1004=1,$B1007*$B1010,0)+($BD1012+$BD1014-$B1007*$B1010)/($B1005*Prj_Step)*Параметры!AG$31,MIN(($BD1012+$BD1014-$B1007*$B1010)/($B1005*Prj_Step)*Параметры!AG$31,$BD1012+$BD1014-SUM($F1009:AF1009))),0)</f>
        <v>0</v>
      </c>
      <c r="AH1009" s="177">
        <f>IF(AH$2=$B1004-1,$B1007*$B1010,0)+IF(AH$2&gt;=$B1004,IF(AH$2=1,IF($B1004=1,$B1007*$B1010,0)+($BD1012+$BD1014-$B1007*$B1010)/($B1005*Prj_Step)*Параметры!AH$31,MIN(($BD1012+$BD1014-$B1007*$B1010)/($B1005*Prj_Step)*Параметры!AH$31,$BD1012+$BD1014-SUM($F1009:AG1009))),0)</f>
        <v>0</v>
      </c>
      <c r="AI1009" s="177">
        <f>IF(AI$2=$B1004-1,$B1007*$B1010,0)+IF(AI$2&gt;=$B1004,IF(AI$2=1,IF($B1004=1,$B1007*$B1010,0)+($BD1012+$BD1014-$B1007*$B1010)/($B1005*Prj_Step)*Параметры!AI$31,MIN(($BD1012+$BD1014-$B1007*$B1010)/($B1005*Prj_Step)*Параметры!AI$31,$BD1012+$BD1014-SUM($F1009:AH1009))),0)</f>
        <v>0</v>
      </c>
      <c r="AJ1009" s="177">
        <f>IF(AJ$2=$B1004-1,$B1007*$B1010,0)+IF(AJ$2&gt;=$B1004,IF(AJ$2=1,IF($B1004=1,$B1007*$B1010,0)+($BD1012+$BD1014-$B1007*$B1010)/($B1005*Prj_Step)*Параметры!AJ$31,MIN(($BD1012+$BD1014-$B1007*$B1010)/($B1005*Prj_Step)*Параметры!AJ$31,$BD1012+$BD1014-SUM($F1009:AI1009))),0)</f>
        <v>0</v>
      </c>
      <c r="AK1009" s="177">
        <f>IF(AK$2=$B1004-1,$B1007*$B1010,0)+IF(AK$2&gt;=$B1004,IF(AK$2=1,IF($B1004=1,$B1007*$B1010,0)+($BD1012+$BD1014-$B1007*$B1010)/($B1005*Prj_Step)*Параметры!AK$31,MIN(($BD1012+$BD1014-$B1007*$B1010)/($B1005*Prj_Step)*Параметры!AK$31,$BD1012+$BD1014-SUM($F1009:AJ1009))),0)</f>
        <v>0</v>
      </c>
      <c r="AL1009" s="177">
        <f>IF(AL$2=$B1004-1,$B1007*$B1010,0)+IF(AL$2&gt;=$B1004,IF(AL$2=1,IF($B1004=1,$B1007*$B1010,0)+($BD1012+$BD1014-$B1007*$B1010)/($B1005*Prj_Step)*Параметры!AL$31,MIN(($BD1012+$BD1014-$B1007*$B1010)/($B1005*Prj_Step)*Параметры!AL$31,$BD1012+$BD1014-SUM($F1009:AK1009))),0)</f>
        <v>0</v>
      </c>
      <c r="AM1009" s="177">
        <f>IF(AM$2=$B1004-1,$B1007*$B1010,0)+IF(AM$2&gt;=$B1004,IF(AM$2=1,IF($B1004=1,$B1007*$B1010,0)+($BD1012+$BD1014-$B1007*$B1010)/($B1005*Prj_Step)*Параметры!AM$31,MIN(($BD1012+$BD1014-$B1007*$B1010)/($B1005*Prj_Step)*Параметры!AM$31,$BD1012+$BD1014-SUM($F1009:AL1009))),0)</f>
        <v>0</v>
      </c>
      <c r="AN1009" s="177">
        <f>IF(AN$2=$B1004-1,$B1007*$B1010,0)+IF(AN$2&gt;=$B1004,IF(AN$2=1,IF($B1004=1,$B1007*$B1010,0)+($BD1012+$BD1014-$B1007*$B1010)/($B1005*Prj_Step)*Параметры!AN$31,MIN(($BD1012+$BD1014-$B1007*$B1010)/($B1005*Prj_Step)*Параметры!AN$31,$BD1012+$BD1014-SUM($F1009:AM1009))),0)</f>
        <v>0</v>
      </c>
      <c r="AO1009" s="177">
        <f>IF(AO$2=$B1004-1,$B1007*$B1010,0)+IF(AO$2&gt;=$B1004,IF(AO$2=1,IF($B1004=1,$B1007*$B1010,0)+($BD1012+$BD1014-$B1007*$B1010)/($B1005*Prj_Step)*Параметры!AO$31,MIN(($BD1012+$BD1014-$B1007*$B1010)/($B1005*Prj_Step)*Параметры!AO$31,$BD1012+$BD1014-SUM($F1009:AN1009))),0)</f>
        <v>0</v>
      </c>
      <c r="AP1009" s="177">
        <f>IF(AP$2=$B1004-1,$B1007*$B1010,0)+IF(AP$2&gt;=$B1004,IF(AP$2=1,IF($B1004=1,$B1007*$B1010,0)+($BD1012+$BD1014-$B1007*$B1010)/($B1005*Prj_Step)*Параметры!AP$31,MIN(($BD1012+$BD1014-$B1007*$B1010)/($B1005*Prj_Step)*Параметры!AP$31,$BD1012+$BD1014-SUM($F1009:AO1009))),0)</f>
        <v>0</v>
      </c>
      <c r="AQ1009" s="177">
        <f>IF(AQ$2=$B1004-1,$B1007*$B1010,0)+IF(AQ$2&gt;=$B1004,IF(AQ$2=1,IF($B1004=1,$B1007*$B1010,0)+($BD1012+$BD1014-$B1007*$B1010)/($B1005*Prj_Step)*Параметры!AQ$31,MIN(($BD1012+$BD1014-$B1007*$B1010)/($B1005*Prj_Step)*Параметры!AQ$31,$BD1012+$BD1014-SUM($F1009:AP1009))),0)</f>
        <v>0</v>
      </c>
      <c r="AR1009" s="177">
        <f>IF(AR$2=$B1004-1,$B1007*$B1010,0)+IF(AR$2&gt;=$B1004,IF(AR$2=1,IF($B1004=1,$B1007*$B1010,0)+($BD1012+$BD1014-$B1007*$B1010)/($B1005*Prj_Step)*Параметры!AR$31,MIN(($BD1012+$BD1014-$B1007*$B1010)/($B1005*Prj_Step)*Параметры!AR$31,$BD1012+$BD1014-SUM($F1009:AQ1009))),0)</f>
        <v>0</v>
      </c>
      <c r="AS1009" s="177">
        <f>IF(AS$2=$B1004-1,$B1007*$B1010,0)+IF(AS$2&gt;=$B1004,IF(AS$2=1,IF($B1004=1,$B1007*$B1010,0)+($BD1012+$BD1014-$B1007*$B1010)/($B1005*Prj_Step)*Параметры!AS$31,MIN(($BD1012+$BD1014-$B1007*$B1010)/($B1005*Prj_Step)*Параметры!AS$31,$BD1012+$BD1014-SUM($F1009:AR1009))),0)</f>
        <v>0</v>
      </c>
      <c r="AT1009" s="177">
        <f>IF(AT$2=$B1004-1,$B1007*$B1010,0)+IF(AT$2&gt;=$B1004,IF(AT$2=1,IF($B1004=1,$B1007*$B1010,0)+($BD1012+$BD1014-$B1007*$B1010)/($B1005*Prj_Step)*Параметры!AT$31,MIN(($BD1012+$BD1014-$B1007*$B1010)/($B1005*Prj_Step)*Параметры!AT$31,$BD1012+$BD1014-SUM($F1009:AS1009))),0)</f>
        <v>0</v>
      </c>
      <c r="AU1009" s="177">
        <f>IF(AU$2=$B1004-1,$B1007*$B1010,0)+IF(AU$2&gt;=$B1004,IF(AU$2=1,IF($B1004=1,$B1007*$B1010,0)+($BD1012+$BD1014-$B1007*$B1010)/($B1005*Prj_Step)*Параметры!AU$31,MIN(($BD1012+$BD1014-$B1007*$B1010)/($B1005*Prj_Step)*Параметры!AU$31,$BD1012+$BD1014-SUM($F1009:AT1009))),0)</f>
        <v>0</v>
      </c>
      <c r="AV1009" s="177">
        <f>IF(AV$2=$B1004-1,$B1007*$B1010,0)+IF(AV$2&gt;=$B1004,IF(AV$2=1,IF($B1004=1,$B1007*$B1010,0)+($BD1012+$BD1014-$B1007*$B1010)/($B1005*Prj_Step)*Параметры!AV$31,MIN(($BD1012+$BD1014-$B1007*$B1010)/($B1005*Prj_Step)*Параметры!AV$31,$BD1012+$BD1014-SUM($F1009:AU1009))),0)</f>
        <v>0</v>
      </c>
      <c r="AW1009" s="177">
        <f>IF(AW$2=$B1004-1,$B1007*$B1010,0)+IF(AW$2&gt;=$B1004,IF(AW$2=1,IF($B1004=1,$B1007*$B1010,0)+($BD1012+$BD1014-$B1007*$B1010)/($B1005*Prj_Step)*Параметры!AW$31,MIN(($BD1012+$BD1014-$B1007*$B1010)/($B1005*Prj_Step)*Параметры!AW$31,$BD1012+$BD1014-SUM($F1009:AV1009))),0)</f>
        <v>0</v>
      </c>
      <c r="AX1009" s="177">
        <f>IF(AX$2=$B1004-1,$B1007*$B1010,0)+IF(AX$2&gt;=$B1004,IF(AX$2=1,IF($B1004=1,$B1007*$B1010,0)+($BD1012+$BD1014-$B1007*$B1010)/($B1005*Prj_Step)*Параметры!AX$31,MIN(($BD1012+$BD1014-$B1007*$B1010)/($B1005*Prj_Step)*Параметры!AX$31,$BD1012+$BD1014-SUM($F1009:AW1009))),0)</f>
        <v>0</v>
      </c>
      <c r="AY1009" s="177">
        <f>IF(AY$2=$B1004-1,$B1007*$B1010,0)+IF(AY$2&gt;=$B1004,IF(AY$2=1,IF($B1004=1,$B1007*$B1010,0)+($BD1012+$BD1014-$B1007*$B1010)/($B1005*Prj_Step)*Параметры!AY$31,MIN(($BD1012+$BD1014-$B1007*$B1010)/($B1005*Prj_Step)*Параметры!AY$31,$BD1012+$BD1014-SUM($F1009:AX1009))),0)</f>
        <v>0</v>
      </c>
      <c r="AZ1009" s="177">
        <f>IF(AZ$2=$B1004-1,$B1007*$B1010,0)+IF(AZ$2&gt;=$B1004,IF(AZ$2=1,IF($B1004=1,$B1007*$B1010,0)+($BD1012+$BD1014-$B1007*$B1010)/($B1005*Prj_Step)*Параметры!AZ$31,MIN(($BD1012+$BD1014-$B1007*$B1010)/($B1005*Prj_Step)*Параметры!AZ$31,$BD1012+$BD1014-SUM($F1009:AY1009))),0)</f>
        <v>0</v>
      </c>
      <c r="BA1009" s="177">
        <f>IF(BA$2=$B1004-1,$B1007*$B1010,0)+IF(BA$2&gt;=$B1004,IF(BA$2=1,IF($B1004=1,$B1007*$B1010,0)+($BD1012+$BD1014-$B1007*$B1010)/($B1005*Prj_Step)*Параметры!BA$31,MIN(($BD1012+$BD1014-$B1007*$B1010)/($B1005*Prj_Step)*Параметры!BA$31,$BD1012+$BD1014-SUM($F1009:AZ1009))),0)</f>
        <v>0</v>
      </c>
      <c r="BB1009" s="177">
        <f>IF(BB$2=$B1004-1,$B1007*$B1010,0)+IF(BB$2&gt;=$B1004,IF(BB$2=1,IF($B1004=1,$B1007*$B1010,0)+($BD1012+$BD1014-$B1007*$B1010)/($B1005*Prj_Step)*Параметры!BB$31,MIN(($BD1012+$BD1014-$B1007*$B1010)/($B1005*Prj_Step)*Параметры!BB$31,$BD1012+$BD1014-SUM($F1009:BA1009))),0)</f>
        <v>0</v>
      </c>
      <c r="BC1009" s="177"/>
      <c r="BD1009" s="178">
        <f>SUM(G1009:BC1009)</f>
        <v>0</v>
      </c>
    </row>
    <row r="1010" spans="1:56" hidden="1" x14ac:dyDescent="0.3">
      <c r="A1010" s="184" t="str">
        <f ca="1">Language!A$1010</f>
        <v>стоимость объекта аренды (без НДС)</v>
      </c>
      <c r="B1010" s="212">
        <f>B1003*CHOOSE(D1003,1,INDEX(Параметры!G$53:BD$53,1,B1004),INDEX(Параметры!G$59:BD$59,1,B1004))</f>
        <v>0</v>
      </c>
      <c r="C1010" s="163" t="str">
        <f t="shared" ca="1" si="3907"/>
        <v>руб.</v>
      </c>
      <c r="D1010" s="174">
        <v>1</v>
      </c>
      <c r="F1010" s="170" t="s">
        <v>644</v>
      </c>
      <c r="G1010" s="185"/>
      <c r="H1010" s="185"/>
      <c r="I1010" s="185"/>
      <c r="J1010" s="185"/>
      <c r="K1010" s="185"/>
      <c r="L1010" s="185"/>
      <c r="M1010" s="185"/>
      <c r="N1010" s="185"/>
      <c r="O1010" s="185"/>
      <c r="P1010" s="185"/>
      <c r="Q1010" s="185"/>
      <c r="R1010" s="185"/>
      <c r="S1010" s="185"/>
      <c r="T1010" s="185"/>
      <c r="U1010" s="185"/>
      <c r="V1010" s="185"/>
      <c r="W1010" s="185"/>
      <c r="X1010" s="185"/>
      <c r="Y1010" s="185"/>
      <c r="Z1010" s="185"/>
      <c r="AA1010" s="185"/>
      <c r="AB1010" s="185"/>
      <c r="AC1010" s="185"/>
      <c r="AD1010" s="185"/>
      <c r="AE1010" s="185"/>
      <c r="AF1010" s="185"/>
      <c r="AG1010" s="185"/>
      <c r="AH1010" s="185"/>
      <c r="AI1010" s="185"/>
      <c r="AJ1010" s="185"/>
      <c r="AK1010" s="185"/>
      <c r="AL1010" s="185"/>
      <c r="AM1010" s="185"/>
      <c r="AN1010" s="185"/>
      <c r="AO1010" s="185"/>
      <c r="AP1010" s="185"/>
      <c r="AQ1010" s="185"/>
      <c r="AR1010" s="185"/>
      <c r="AS1010" s="185"/>
      <c r="AT1010" s="185"/>
      <c r="AU1010" s="185"/>
      <c r="AV1010" s="185"/>
      <c r="AW1010" s="185"/>
      <c r="AX1010" s="185"/>
      <c r="AY1010" s="185"/>
      <c r="AZ1010" s="185"/>
      <c r="BA1010" s="185"/>
      <c r="BB1010" s="185"/>
      <c r="BC1010" s="185"/>
      <c r="BD1010" s="193"/>
    </row>
    <row r="1011" spans="1:56" hidden="1" x14ac:dyDescent="0.3">
      <c r="A1011" s="184" t="str">
        <f ca="1">Language!A$1011</f>
        <v>балансовая стоимость объекта аренды</v>
      </c>
      <c r="B1011" s="212"/>
      <c r="C1011" s="163" t="str">
        <f t="shared" ca="1" si="3907"/>
        <v>руб.</v>
      </c>
      <c r="D1011" s="174">
        <v>1</v>
      </c>
      <c r="E1011" s="170" t="s">
        <v>1198</v>
      </c>
      <c r="F1011" s="170" t="s">
        <v>747</v>
      </c>
      <c r="G1011" s="185">
        <f>IF(G$2&gt;=$B1004,$B1010-SUM($G1012:G1012),0)</f>
        <v>0</v>
      </c>
      <c r="H1011" s="185">
        <f>IF(H$2&gt;=$B1004,$B1010-SUM($G1012:H1012),0)</f>
        <v>0</v>
      </c>
      <c r="I1011" s="185">
        <f>IF(I$2&gt;=$B1004,$B1010-SUM($G1012:I1012),0)</f>
        <v>0</v>
      </c>
      <c r="J1011" s="185">
        <f>IF(J$2&gt;=$B1004,$B1010-SUM($G1012:J1012),0)</f>
        <v>0</v>
      </c>
      <c r="K1011" s="185">
        <f>IF(K$2&gt;=$B1004,$B1010-SUM($G1012:K1012),0)</f>
        <v>0</v>
      </c>
      <c r="L1011" s="185">
        <f>IF(L$2&gt;=$B1004,$B1010-SUM($G1012:L1012),0)</f>
        <v>0</v>
      </c>
      <c r="M1011" s="185">
        <f>IF(M$2&gt;=$B1004,$B1010-SUM($G1012:M1012),0)</f>
        <v>0</v>
      </c>
      <c r="N1011" s="185">
        <f>IF(N$2&gt;=$B1004,$B1010-SUM($G1012:N1012),0)</f>
        <v>0</v>
      </c>
      <c r="O1011" s="185">
        <f>IF(O$2&gt;=$B1004,$B1010-SUM($G1012:O1012),0)</f>
        <v>0</v>
      </c>
      <c r="P1011" s="185">
        <f>IF(P$2&gt;=$B1004,$B1010-SUM($G1012:P1012),0)</f>
        <v>0</v>
      </c>
      <c r="Q1011" s="185">
        <f>IF(Q$2&gt;=$B1004,$B1010-SUM($G1012:Q1012),0)</f>
        <v>0</v>
      </c>
      <c r="R1011" s="185">
        <f>IF(R$2&gt;=$B1004,$B1010-SUM($G1012:R1012),0)</f>
        <v>0</v>
      </c>
      <c r="S1011" s="185">
        <f>IF(S$2&gt;=$B1004,$B1010-SUM($G1012:S1012),0)</f>
        <v>0</v>
      </c>
      <c r="T1011" s="185">
        <f>IF(T$2&gt;=$B1004,$B1010-SUM($G1012:T1012),0)</f>
        <v>0</v>
      </c>
      <c r="U1011" s="185">
        <f>IF(U$2&gt;=$B1004,$B1010-SUM($G1012:U1012),0)</f>
        <v>0</v>
      </c>
      <c r="V1011" s="185">
        <f>IF(V$2&gt;=$B1004,$B1010-SUM($G1012:V1012),0)</f>
        <v>0</v>
      </c>
      <c r="W1011" s="185">
        <f>IF(W$2&gt;=$B1004,$B1010-SUM($G1012:W1012),0)</f>
        <v>0</v>
      </c>
      <c r="X1011" s="185">
        <f>IF(X$2&gt;=$B1004,$B1010-SUM($G1012:X1012),0)</f>
        <v>0</v>
      </c>
      <c r="Y1011" s="185">
        <f>IF(Y$2&gt;=$B1004,$B1010-SUM($G1012:Y1012),0)</f>
        <v>0</v>
      </c>
      <c r="Z1011" s="185">
        <f>IF(Z$2&gt;=$B1004,$B1010-SUM($G1012:Z1012),0)</f>
        <v>0</v>
      </c>
      <c r="AA1011" s="185">
        <f>IF(AA$2&gt;=$B1004,$B1010-SUM($G1012:AA1012),0)</f>
        <v>0</v>
      </c>
      <c r="AB1011" s="185">
        <f>IF(AB$2&gt;=$B1004,$B1010-SUM($G1012:AB1012),0)</f>
        <v>0</v>
      </c>
      <c r="AC1011" s="185">
        <f>IF(AC$2&gt;=$B1004,$B1010-SUM($G1012:AC1012),0)</f>
        <v>0</v>
      </c>
      <c r="AD1011" s="185">
        <f>IF(AD$2&gt;=$B1004,$B1010-SUM($G1012:AD1012),0)</f>
        <v>0</v>
      </c>
      <c r="AE1011" s="185">
        <f>IF(AE$2&gt;=$B1004,$B1010-SUM($G1012:AE1012),0)</f>
        <v>0</v>
      </c>
      <c r="AF1011" s="185">
        <f>IF(AF$2&gt;=$B1004,$B1010-SUM($G1012:AF1012),0)</f>
        <v>0</v>
      </c>
      <c r="AG1011" s="185">
        <f>IF(AG$2&gt;=$B1004,$B1010-SUM($G1012:AG1012),0)</f>
        <v>0</v>
      </c>
      <c r="AH1011" s="185">
        <f>IF(AH$2&gt;=$B1004,$B1010-SUM($G1012:AH1012),0)</f>
        <v>0</v>
      </c>
      <c r="AI1011" s="185">
        <f>IF(AI$2&gt;=$B1004,$B1010-SUM($G1012:AI1012),0)</f>
        <v>0</v>
      </c>
      <c r="AJ1011" s="185">
        <f>IF(AJ$2&gt;=$B1004,$B1010-SUM($G1012:AJ1012),0)</f>
        <v>0</v>
      </c>
      <c r="AK1011" s="185">
        <f>IF(AK$2&gt;=$B1004,$B1010-SUM($G1012:AK1012),0)</f>
        <v>0</v>
      </c>
      <c r="AL1011" s="185">
        <f>IF(AL$2&gt;=$B1004,$B1010-SUM($G1012:AL1012),0)</f>
        <v>0</v>
      </c>
      <c r="AM1011" s="185">
        <f>IF(AM$2&gt;=$B1004,$B1010-SUM($G1012:AM1012),0)</f>
        <v>0</v>
      </c>
      <c r="AN1011" s="185">
        <f>IF(AN$2&gt;=$B1004,$B1010-SUM($G1012:AN1012),0)</f>
        <v>0</v>
      </c>
      <c r="AO1011" s="185">
        <f>IF(AO$2&gt;=$B1004,$B1010-SUM($G1012:AO1012),0)</f>
        <v>0</v>
      </c>
      <c r="AP1011" s="185">
        <f>IF(AP$2&gt;=$B1004,$B1010-SUM($G1012:AP1012),0)</f>
        <v>0</v>
      </c>
      <c r="AQ1011" s="185">
        <f>IF(AQ$2&gt;=$B1004,$B1010-SUM($G1012:AQ1012),0)</f>
        <v>0</v>
      </c>
      <c r="AR1011" s="185">
        <f>IF(AR$2&gt;=$B1004,$B1010-SUM($G1012:AR1012),0)</f>
        <v>0</v>
      </c>
      <c r="AS1011" s="185">
        <f>IF(AS$2&gt;=$B1004,$B1010-SUM($G1012:AS1012),0)</f>
        <v>0</v>
      </c>
      <c r="AT1011" s="185">
        <f>IF(AT$2&gt;=$B1004,$B1010-SUM($G1012:AT1012),0)</f>
        <v>0</v>
      </c>
      <c r="AU1011" s="185">
        <f>IF(AU$2&gt;=$B1004,$B1010-SUM($G1012:AU1012),0)</f>
        <v>0</v>
      </c>
      <c r="AV1011" s="185">
        <f>IF(AV$2&gt;=$B1004,$B1010-SUM($G1012:AV1012),0)</f>
        <v>0</v>
      </c>
      <c r="AW1011" s="185">
        <f>IF(AW$2&gt;=$B1004,$B1010-SUM($G1012:AW1012),0)</f>
        <v>0</v>
      </c>
      <c r="AX1011" s="185">
        <f>IF(AX$2&gt;=$B1004,$B1010-SUM($G1012:AX1012),0)</f>
        <v>0</v>
      </c>
      <c r="AY1011" s="185">
        <f>IF(AY$2&gt;=$B1004,$B1010-SUM($G1012:AY1012),0)</f>
        <v>0</v>
      </c>
      <c r="AZ1011" s="185">
        <f>IF(AZ$2&gt;=$B1004,$B1010-SUM($G1012:AZ1012),0)</f>
        <v>0</v>
      </c>
      <c r="BA1011" s="185">
        <f>IF(BA$2&gt;=$B1004,$B1010-SUM($G1012:BA1012),0)</f>
        <v>0</v>
      </c>
      <c r="BB1011" s="185">
        <f>IF(BB$2&gt;=$B1004,$B1010-SUM($G1012:BB1012),0)</f>
        <v>0</v>
      </c>
      <c r="BC1011" s="185"/>
      <c r="BD1011" s="193"/>
    </row>
    <row r="1012" spans="1:56" hidden="1" x14ac:dyDescent="0.3">
      <c r="A1012" s="184" t="str">
        <f ca="1">Language!A$1012</f>
        <v>амортизация</v>
      </c>
      <c r="B1012" s="212"/>
      <c r="C1012" s="163"/>
      <c r="D1012" s="174"/>
      <c r="E1012" s="170" t="s">
        <v>1200</v>
      </c>
      <c r="F1012" s="170" t="s">
        <v>743</v>
      </c>
      <c r="G1012" s="185">
        <f>IF($B1005=0,0,IF(G$2&gt;=$B1004,IF(G$2=$B1004,$B1010/($B1005*Prj_Step)*Параметры!G$31,MIN($B1010/($B1005*Prj_Step)*Параметры!G$31,F1011)),0))</f>
        <v>0</v>
      </c>
      <c r="H1012" s="185">
        <f>IF($B1005=0,0,IF(H$2&gt;=$B1004,IF(H$2=$B1004,$B1010/($B1005*Prj_Step)*Параметры!H$31,MIN($B1010/($B1005*Prj_Step)*Параметры!H$31,G1011)),0))</f>
        <v>0</v>
      </c>
      <c r="I1012" s="185">
        <f>IF($B1005=0,0,IF(I$2&gt;=$B1004,IF(I$2=$B1004,$B1010/($B1005*Prj_Step)*Параметры!I$31,MIN($B1010/($B1005*Prj_Step)*Параметры!I$31,H1011)),0))</f>
        <v>0</v>
      </c>
      <c r="J1012" s="185">
        <f>IF($B1005=0,0,IF(J$2&gt;=$B1004,IF(J$2=$B1004,$B1010/($B1005*Prj_Step)*Параметры!J$31,MIN($B1010/($B1005*Prj_Step)*Параметры!J$31,I1011)),0))</f>
        <v>0</v>
      </c>
      <c r="K1012" s="185">
        <f>IF($B1005=0,0,IF(K$2&gt;=$B1004,IF(K$2=$B1004,$B1010/($B1005*Prj_Step)*Параметры!K$31,MIN($B1010/($B1005*Prj_Step)*Параметры!K$31,J1011)),0))</f>
        <v>0</v>
      </c>
      <c r="L1012" s="185">
        <f>IF($B1005=0,0,IF(L$2&gt;=$B1004,IF(L$2=$B1004,$B1010/($B1005*Prj_Step)*Параметры!L$31,MIN($B1010/($B1005*Prj_Step)*Параметры!L$31,K1011)),0))</f>
        <v>0</v>
      </c>
      <c r="M1012" s="185">
        <f>IF($B1005=0,0,IF(M$2&gt;=$B1004,IF(M$2=$B1004,$B1010/($B1005*Prj_Step)*Параметры!M$31,MIN($B1010/($B1005*Prj_Step)*Параметры!M$31,L1011)),0))</f>
        <v>0</v>
      </c>
      <c r="N1012" s="185">
        <f>IF($B1005=0,0,IF(N$2&gt;=$B1004,IF(N$2=$B1004,$B1010/($B1005*Prj_Step)*Параметры!N$31,MIN($B1010/($B1005*Prj_Step)*Параметры!N$31,M1011)),0))</f>
        <v>0</v>
      </c>
      <c r="O1012" s="185">
        <f>IF($B1005=0,0,IF(O$2&gt;=$B1004,IF(O$2=$B1004,$B1010/($B1005*Prj_Step)*Параметры!O$31,MIN($B1010/($B1005*Prj_Step)*Параметры!O$31,N1011)),0))</f>
        <v>0</v>
      </c>
      <c r="P1012" s="185">
        <f>IF($B1005=0,0,IF(P$2&gt;=$B1004,IF(P$2=$B1004,$B1010/($B1005*Prj_Step)*Параметры!P$31,MIN($B1010/($B1005*Prj_Step)*Параметры!P$31,O1011)),0))</f>
        <v>0</v>
      </c>
      <c r="Q1012" s="185">
        <f>IF($B1005=0,0,IF(Q$2&gt;=$B1004,IF(Q$2=$B1004,$B1010/($B1005*Prj_Step)*Параметры!Q$31,MIN($B1010/($B1005*Prj_Step)*Параметры!Q$31,P1011)),0))</f>
        <v>0</v>
      </c>
      <c r="R1012" s="185">
        <f>IF($B1005=0,0,IF(R$2&gt;=$B1004,IF(R$2=$B1004,$B1010/($B1005*Prj_Step)*Параметры!R$31,MIN($B1010/($B1005*Prj_Step)*Параметры!R$31,Q1011)),0))</f>
        <v>0</v>
      </c>
      <c r="S1012" s="185">
        <f>IF($B1005=0,0,IF(S$2&gt;=$B1004,IF(S$2=$B1004,$B1010/($B1005*Prj_Step)*Параметры!S$31,MIN($B1010/($B1005*Prj_Step)*Параметры!S$31,R1011)),0))</f>
        <v>0</v>
      </c>
      <c r="T1012" s="185">
        <f>IF($B1005=0,0,IF(T$2&gt;=$B1004,IF(T$2=$B1004,$B1010/($B1005*Prj_Step)*Параметры!T$31,MIN($B1010/($B1005*Prj_Step)*Параметры!T$31,S1011)),0))</f>
        <v>0</v>
      </c>
      <c r="U1012" s="185">
        <f>IF($B1005=0,0,IF(U$2&gt;=$B1004,IF(U$2=$B1004,$B1010/($B1005*Prj_Step)*Параметры!U$31,MIN($B1010/($B1005*Prj_Step)*Параметры!U$31,T1011)),0))</f>
        <v>0</v>
      </c>
      <c r="V1012" s="185">
        <f>IF($B1005=0,0,IF(V$2&gt;=$B1004,IF(V$2=$B1004,$B1010/($B1005*Prj_Step)*Параметры!V$31,MIN($B1010/($B1005*Prj_Step)*Параметры!V$31,U1011)),0))</f>
        <v>0</v>
      </c>
      <c r="W1012" s="185">
        <f>IF($B1005=0,0,IF(W$2&gt;=$B1004,IF(W$2=$B1004,$B1010/($B1005*Prj_Step)*Параметры!W$31,MIN($B1010/($B1005*Prj_Step)*Параметры!W$31,V1011)),0))</f>
        <v>0</v>
      </c>
      <c r="X1012" s="185">
        <f>IF($B1005=0,0,IF(X$2&gt;=$B1004,IF(X$2=$B1004,$B1010/($B1005*Prj_Step)*Параметры!X$31,MIN($B1010/($B1005*Prj_Step)*Параметры!X$31,W1011)),0))</f>
        <v>0</v>
      </c>
      <c r="Y1012" s="185">
        <f>IF($B1005=0,0,IF(Y$2&gt;=$B1004,IF(Y$2=$B1004,$B1010/($B1005*Prj_Step)*Параметры!Y$31,MIN($B1010/($B1005*Prj_Step)*Параметры!Y$31,X1011)),0))</f>
        <v>0</v>
      </c>
      <c r="Z1012" s="185">
        <f>IF($B1005=0,0,IF(Z$2&gt;=$B1004,IF(Z$2=$B1004,$B1010/($B1005*Prj_Step)*Параметры!Z$31,MIN($B1010/($B1005*Prj_Step)*Параметры!Z$31,Y1011)),0))</f>
        <v>0</v>
      </c>
      <c r="AA1012" s="185">
        <f>IF($B1005=0,0,IF(AA$2&gt;=$B1004,IF(AA$2=$B1004,$B1010/($B1005*Prj_Step)*Параметры!AA$31,MIN($B1010/($B1005*Prj_Step)*Параметры!AA$31,Z1011)),0))</f>
        <v>0</v>
      </c>
      <c r="AB1012" s="185">
        <f>IF($B1005=0,0,IF(AB$2&gt;=$B1004,IF(AB$2=$B1004,$B1010/($B1005*Prj_Step)*Параметры!AB$31,MIN($B1010/($B1005*Prj_Step)*Параметры!AB$31,AA1011)),0))</f>
        <v>0</v>
      </c>
      <c r="AC1012" s="185">
        <f>IF($B1005=0,0,IF(AC$2&gt;=$B1004,IF(AC$2=$B1004,$B1010/($B1005*Prj_Step)*Параметры!AC$31,MIN($B1010/($B1005*Prj_Step)*Параметры!AC$31,AB1011)),0))</f>
        <v>0</v>
      </c>
      <c r="AD1012" s="185">
        <f>IF($B1005=0,0,IF(AD$2&gt;=$B1004,IF(AD$2=$B1004,$B1010/($B1005*Prj_Step)*Параметры!AD$31,MIN($B1010/($B1005*Prj_Step)*Параметры!AD$31,AC1011)),0))</f>
        <v>0</v>
      </c>
      <c r="AE1012" s="185">
        <f>IF($B1005=0,0,IF(AE$2&gt;=$B1004,IF(AE$2=$B1004,$B1010/($B1005*Prj_Step)*Параметры!AE$31,MIN($B1010/($B1005*Prj_Step)*Параметры!AE$31,AD1011)),0))</f>
        <v>0</v>
      </c>
      <c r="AF1012" s="185">
        <f>IF($B1005=0,0,IF(AF$2&gt;=$B1004,IF(AF$2=$B1004,$B1010/($B1005*Prj_Step)*Параметры!AF$31,MIN($B1010/($B1005*Prj_Step)*Параметры!AF$31,AE1011)),0))</f>
        <v>0</v>
      </c>
      <c r="AG1012" s="185">
        <f>IF($B1005=0,0,IF(AG$2&gt;=$B1004,IF(AG$2=$B1004,$B1010/($B1005*Prj_Step)*Параметры!AG$31,MIN($B1010/($B1005*Prj_Step)*Параметры!AG$31,AF1011)),0))</f>
        <v>0</v>
      </c>
      <c r="AH1012" s="185">
        <f>IF($B1005=0,0,IF(AH$2&gt;=$B1004,IF(AH$2=$B1004,$B1010/($B1005*Prj_Step)*Параметры!AH$31,MIN($B1010/($B1005*Prj_Step)*Параметры!AH$31,AG1011)),0))</f>
        <v>0</v>
      </c>
      <c r="AI1012" s="185">
        <f>IF($B1005=0,0,IF(AI$2&gt;=$B1004,IF(AI$2=$B1004,$B1010/($B1005*Prj_Step)*Параметры!AI$31,MIN($B1010/($B1005*Prj_Step)*Параметры!AI$31,AH1011)),0))</f>
        <v>0</v>
      </c>
      <c r="AJ1012" s="185">
        <f>IF($B1005=0,0,IF(AJ$2&gt;=$B1004,IF(AJ$2=$B1004,$B1010/($B1005*Prj_Step)*Параметры!AJ$31,MIN($B1010/($B1005*Prj_Step)*Параметры!AJ$31,AI1011)),0))</f>
        <v>0</v>
      </c>
      <c r="AK1012" s="185">
        <f>IF($B1005=0,0,IF(AK$2&gt;=$B1004,IF(AK$2=$B1004,$B1010/($B1005*Prj_Step)*Параметры!AK$31,MIN($B1010/($B1005*Prj_Step)*Параметры!AK$31,AJ1011)),0))</f>
        <v>0</v>
      </c>
      <c r="AL1012" s="185">
        <f>IF($B1005=0,0,IF(AL$2&gt;=$B1004,IF(AL$2=$B1004,$B1010/($B1005*Prj_Step)*Параметры!AL$31,MIN($B1010/($B1005*Prj_Step)*Параметры!AL$31,AK1011)),0))</f>
        <v>0</v>
      </c>
      <c r="AM1012" s="185">
        <f>IF($B1005=0,0,IF(AM$2&gt;=$B1004,IF(AM$2=$B1004,$B1010/($B1005*Prj_Step)*Параметры!AM$31,MIN($B1010/($B1005*Prj_Step)*Параметры!AM$31,AL1011)),0))</f>
        <v>0</v>
      </c>
      <c r="AN1012" s="185">
        <f>IF($B1005=0,0,IF(AN$2&gt;=$B1004,IF(AN$2=$B1004,$B1010/($B1005*Prj_Step)*Параметры!AN$31,MIN($B1010/($B1005*Prj_Step)*Параметры!AN$31,AM1011)),0))</f>
        <v>0</v>
      </c>
      <c r="AO1012" s="185">
        <f>IF($B1005=0,0,IF(AO$2&gt;=$B1004,IF(AO$2=$B1004,$B1010/($B1005*Prj_Step)*Параметры!AO$31,MIN($B1010/($B1005*Prj_Step)*Параметры!AO$31,AN1011)),0))</f>
        <v>0</v>
      </c>
      <c r="AP1012" s="185">
        <f>IF($B1005=0,0,IF(AP$2&gt;=$B1004,IF(AP$2=$B1004,$B1010/($B1005*Prj_Step)*Параметры!AP$31,MIN($B1010/($B1005*Prj_Step)*Параметры!AP$31,AO1011)),0))</f>
        <v>0</v>
      </c>
      <c r="AQ1012" s="185">
        <f>IF($B1005=0,0,IF(AQ$2&gt;=$B1004,IF(AQ$2=$B1004,$B1010/($B1005*Prj_Step)*Параметры!AQ$31,MIN($B1010/($B1005*Prj_Step)*Параметры!AQ$31,AP1011)),0))</f>
        <v>0</v>
      </c>
      <c r="AR1012" s="185">
        <f>IF($B1005=0,0,IF(AR$2&gt;=$B1004,IF(AR$2=$B1004,$B1010/($B1005*Prj_Step)*Параметры!AR$31,MIN($B1010/($B1005*Prj_Step)*Параметры!AR$31,AQ1011)),0))</f>
        <v>0</v>
      </c>
      <c r="AS1012" s="185">
        <f>IF($B1005=0,0,IF(AS$2&gt;=$B1004,IF(AS$2=$B1004,$B1010/($B1005*Prj_Step)*Параметры!AS$31,MIN($B1010/($B1005*Prj_Step)*Параметры!AS$31,AR1011)),0))</f>
        <v>0</v>
      </c>
      <c r="AT1012" s="185">
        <f>IF($B1005=0,0,IF(AT$2&gt;=$B1004,IF(AT$2=$B1004,$B1010/($B1005*Prj_Step)*Параметры!AT$31,MIN($B1010/($B1005*Prj_Step)*Параметры!AT$31,AS1011)),0))</f>
        <v>0</v>
      </c>
      <c r="AU1012" s="185">
        <f>IF($B1005=0,0,IF(AU$2&gt;=$B1004,IF(AU$2=$B1004,$B1010/($B1005*Prj_Step)*Параметры!AU$31,MIN($B1010/($B1005*Prj_Step)*Параметры!AU$31,AT1011)),0))</f>
        <v>0</v>
      </c>
      <c r="AV1012" s="185">
        <f>IF($B1005=0,0,IF(AV$2&gt;=$B1004,IF(AV$2=$B1004,$B1010/($B1005*Prj_Step)*Параметры!AV$31,MIN($B1010/($B1005*Prj_Step)*Параметры!AV$31,AU1011)),0))</f>
        <v>0</v>
      </c>
      <c r="AW1012" s="185">
        <f>IF($B1005=0,0,IF(AW$2&gt;=$B1004,IF(AW$2=$B1004,$B1010/($B1005*Prj_Step)*Параметры!AW$31,MIN($B1010/($B1005*Prj_Step)*Параметры!AW$31,AV1011)),0))</f>
        <v>0</v>
      </c>
      <c r="AX1012" s="185">
        <f>IF($B1005=0,0,IF(AX$2&gt;=$B1004,IF(AX$2=$B1004,$B1010/($B1005*Prj_Step)*Параметры!AX$31,MIN($B1010/($B1005*Prj_Step)*Параметры!AX$31,AW1011)),0))</f>
        <v>0</v>
      </c>
      <c r="AY1012" s="185">
        <f>IF($B1005=0,0,IF(AY$2&gt;=$B1004,IF(AY$2=$B1004,$B1010/($B1005*Prj_Step)*Параметры!AY$31,MIN($B1010/($B1005*Prj_Step)*Параметры!AY$31,AX1011)),0))</f>
        <v>0</v>
      </c>
      <c r="AZ1012" s="185">
        <f>IF($B1005=0,0,IF(AZ$2&gt;=$B1004,IF(AZ$2=$B1004,$B1010/($B1005*Prj_Step)*Параметры!AZ$31,MIN($B1010/($B1005*Prj_Step)*Параметры!AZ$31,AY1011)),0))</f>
        <v>0</v>
      </c>
      <c r="BA1012" s="185">
        <f>IF($B1005=0,0,IF(BA$2&gt;=$B1004,IF(BA$2=$B1004,$B1010/($B1005*Prj_Step)*Параметры!BA$31,MIN($B1010/($B1005*Prj_Step)*Параметры!BA$31,AZ1011)),0))</f>
        <v>0</v>
      </c>
      <c r="BB1012" s="185">
        <f>IF($B1005=0,0,IF(BB$2&gt;=$B1004,IF(BB$2=$B1004,$B1010/($B1005*Prj_Step)*Параметры!BB$31,MIN($B1010/($B1005*Prj_Step)*Параметры!BB$31,BA1011)),0))</f>
        <v>0</v>
      </c>
      <c r="BC1012" s="185"/>
      <c r="BD1012" s="178">
        <f>SUM(G1012:BC1012)</f>
        <v>0</v>
      </c>
    </row>
    <row r="1013" spans="1:56" hidden="1" x14ac:dyDescent="0.3">
      <c r="A1013" s="184" t="str">
        <f ca="1">Language!A$1013</f>
        <v>количество дней аренды в периоде</v>
      </c>
      <c r="B1013" s="212"/>
      <c r="C1013" s="163" t="str">
        <f ca="1">Language!$A$1474</f>
        <v>дней</v>
      </c>
      <c r="D1013" s="174"/>
      <c r="F1013" s="170" t="s">
        <v>743</v>
      </c>
      <c r="G1013" s="185">
        <f>IF(G$2&gt;=$B1004,MIN($B1005*Параметры!$B$21-IF(G$2=1,0,SUM($F1013:F1013)),Параметры!G$30),0)</f>
        <v>30</v>
      </c>
      <c r="H1013" s="185">
        <f>IF(H$2&gt;=$B1004,MIN($B1005*Параметры!$B$21-IF(H$2=1,0,SUM($F1013:G1013)),Параметры!H$30),0)</f>
        <v>30</v>
      </c>
      <c r="I1013" s="185">
        <f>IF(I$2&gt;=$B1004,MIN($B1005*Параметры!$B$21-IF(I$2=1,0,SUM($F1013:H1013)),Параметры!I$30),0)</f>
        <v>30</v>
      </c>
      <c r="J1013" s="185">
        <f>IF(J$2&gt;=$B1004,MIN($B1005*Параметры!$B$21-IF(J$2=1,0,SUM($F1013:I1013)),Параметры!J$30),0)</f>
        <v>0</v>
      </c>
      <c r="K1013" s="185">
        <f>IF(K$2&gt;=$B1004,MIN($B1005*Параметры!$B$21-IF(K$2=1,0,SUM($F1013:J1013)),Параметры!K$30),0)</f>
        <v>0</v>
      </c>
      <c r="L1013" s="185">
        <f>IF(L$2&gt;=$B1004,MIN($B1005*Параметры!$B$21-IF(L$2=1,0,SUM($F1013:K1013)),Параметры!L$30),0)</f>
        <v>0</v>
      </c>
      <c r="M1013" s="185">
        <f>IF(M$2&gt;=$B1004,MIN($B1005*Параметры!$B$21-IF(M$2=1,0,SUM($F1013:L1013)),Параметры!M$30),0)</f>
        <v>0</v>
      </c>
      <c r="N1013" s="185">
        <f>IF(N$2&gt;=$B1004,MIN($B1005*Параметры!$B$21-IF(N$2=1,0,SUM($F1013:M1013)),Параметры!N$30),0)</f>
        <v>0</v>
      </c>
      <c r="O1013" s="185">
        <f>IF(O$2&gt;=$B1004,MIN($B1005*Параметры!$B$21-IF(O$2=1,0,SUM($F1013:N1013)),Параметры!O$30),0)</f>
        <v>0</v>
      </c>
      <c r="P1013" s="185">
        <f>IF(P$2&gt;=$B1004,MIN($B1005*Параметры!$B$21-IF(P$2=1,0,SUM($F1013:O1013)),Параметры!P$30),0)</f>
        <v>0</v>
      </c>
      <c r="Q1013" s="185">
        <f>IF(Q$2&gt;=$B1004,MIN($B1005*Параметры!$B$21-IF(Q$2=1,0,SUM($F1013:P1013)),Параметры!Q$30),0)</f>
        <v>0</v>
      </c>
      <c r="R1013" s="185">
        <f>IF(R$2&gt;=$B1004,MIN($B1005*Параметры!$B$21-IF(R$2=1,0,SUM($F1013:Q1013)),Параметры!R$30),0)</f>
        <v>0</v>
      </c>
      <c r="S1013" s="185">
        <f>IF(S$2&gt;=$B1004,MIN($B1005*Параметры!$B$21-IF(S$2=1,0,SUM($F1013:R1013)),Параметры!S$30),0)</f>
        <v>0</v>
      </c>
      <c r="T1013" s="185">
        <f>IF(T$2&gt;=$B1004,MIN($B1005*Параметры!$B$21-IF(T$2=1,0,SUM($F1013:S1013)),Параметры!T$30),0)</f>
        <v>0</v>
      </c>
      <c r="U1013" s="185">
        <f>IF(U$2&gt;=$B1004,MIN($B1005*Параметры!$B$21-IF(U$2=1,0,SUM($F1013:T1013)),Параметры!U$30),0)</f>
        <v>0</v>
      </c>
      <c r="V1013" s="185">
        <f>IF(V$2&gt;=$B1004,MIN($B1005*Параметры!$B$21-IF(V$2=1,0,SUM($F1013:U1013)),Параметры!V$30),0)</f>
        <v>0</v>
      </c>
      <c r="W1013" s="185">
        <f>IF(W$2&gt;=$B1004,MIN($B1005*Параметры!$B$21-IF(W$2=1,0,SUM($F1013:V1013)),Параметры!W$30),0)</f>
        <v>0</v>
      </c>
      <c r="X1013" s="185">
        <f>IF(X$2&gt;=$B1004,MIN($B1005*Параметры!$B$21-IF(X$2=1,0,SUM($F1013:W1013)),Параметры!X$30),0)</f>
        <v>0</v>
      </c>
      <c r="Y1013" s="185">
        <f>IF(Y$2&gt;=$B1004,MIN($B1005*Параметры!$B$21-IF(Y$2=1,0,SUM($F1013:X1013)),Параметры!Y$30),0)</f>
        <v>0</v>
      </c>
      <c r="Z1013" s="185">
        <f>IF(Z$2&gt;=$B1004,MIN($B1005*Параметры!$B$21-IF(Z$2=1,0,SUM($F1013:Y1013)),Параметры!Z$30),0)</f>
        <v>0</v>
      </c>
      <c r="AA1013" s="185">
        <f>IF(AA$2&gt;=$B1004,MIN($B1005*Параметры!$B$21-IF(AA$2=1,0,SUM($F1013:Z1013)),Параметры!AA$30),0)</f>
        <v>0</v>
      </c>
      <c r="AB1013" s="185">
        <f>IF(AB$2&gt;=$B1004,MIN($B1005*Параметры!$B$21-IF(AB$2=1,0,SUM($F1013:AA1013)),Параметры!AB$30),0)</f>
        <v>0</v>
      </c>
      <c r="AC1013" s="185">
        <f>IF(AC$2&gt;=$B1004,MIN($B1005*Параметры!$B$21-IF(AC$2=1,0,SUM($F1013:AB1013)),Параметры!AC$30),0)</f>
        <v>0</v>
      </c>
      <c r="AD1013" s="185">
        <f>IF(AD$2&gt;=$B1004,MIN($B1005*Параметры!$B$21-IF(AD$2=1,0,SUM($F1013:AC1013)),Параметры!AD$30),0)</f>
        <v>0</v>
      </c>
      <c r="AE1013" s="185">
        <f>IF(AE$2&gt;=$B1004,MIN($B1005*Параметры!$B$21-IF(AE$2=1,0,SUM($F1013:AD1013)),Параметры!AE$30),0)</f>
        <v>0</v>
      </c>
      <c r="AF1013" s="185">
        <f>IF(AF$2&gt;=$B1004,MIN($B1005*Параметры!$B$21-IF(AF$2=1,0,SUM($F1013:AE1013)),Параметры!AF$30),0)</f>
        <v>0</v>
      </c>
      <c r="AG1013" s="185">
        <f>IF(AG$2&gt;=$B1004,MIN($B1005*Параметры!$B$21-IF(AG$2=1,0,SUM($F1013:AF1013)),Параметры!AG$30),0)</f>
        <v>0</v>
      </c>
      <c r="AH1013" s="185">
        <f>IF(AH$2&gt;=$B1004,MIN($B1005*Параметры!$B$21-IF(AH$2=1,0,SUM($F1013:AG1013)),Параметры!AH$30),0)</f>
        <v>0</v>
      </c>
      <c r="AI1013" s="185">
        <f>IF(AI$2&gt;=$B1004,MIN($B1005*Параметры!$B$21-IF(AI$2=1,0,SUM($F1013:AH1013)),Параметры!AI$30),0)</f>
        <v>0</v>
      </c>
      <c r="AJ1013" s="185">
        <f>IF(AJ$2&gt;=$B1004,MIN($B1005*Параметры!$B$21-IF(AJ$2=1,0,SUM($F1013:AI1013)),Параметры!AJ$30),0)</f>
        <v>0</v>
      </c>
      <c r="AK1013" s="185">
        <f>IF(AK$2&gt;=$B1004,MIN($B1005*Параметры!$B$21-IF(AK$2=1,0,SUM($F1013:AJ1013)),Параметры!AK$30),0)</f>
        <v>0</v>
      </c>
      <c r="AL1013" s="185">
        <f>IF(AL$2&gt;=$B1004,MIN($B1005*Параметры!$B$21-IF(AL$2=1,0,SUM($F1013:AK1013)),Параметры!AL$30),0)</f>
        <v>0</v>
      </c>
      <c r="AM1013" s="185">
        <f>IF(AM$2&gt;=$B1004,MIN($B1005*Параметры!$B$21-IF(AM$2=1,0,SUM($F1013:AL1013)),Параметры!AM$30),0)</f>
        <v>0</v>
      </c>
      <c r="AN1013" s="185">
        <f>IF(AN$2&gt;=$B1004,MIN($B1005*Параметры!$B$21-IF(AN$2=1,0,SUM($F1013:AM1013)),Параметры!AN$30),0)</f>
        <v>0</v>
      </c>
      <c r="AO1013" s="185">
        <f>IF(AO$2&gt;=$B1004,MIN($B1005*Параметры!$B$21-IF(AO$2=1,0,SUM($F1013:AN1013)),Параметры!AO$30),0)</f>
        <v>0</v>
      </c>
      <c r="AP1013" s="185">
        <f>IF(AP$2&gt;=$B1004,MIN($B1005*Параметры!$B$21-IF(AP$2=1,0,SUM($F1013:AO1013)),Параметры!AP$30),0)</f>
        <v>0</v>
      </c>
      <c r="AQ1013" s="185">
        <f>IF(AQ$2&gt;=$B1004,MIN($B1005*Параметры!$B$21-IF(AQ$2=1,0,SUM($F1013:AP1013)),Параметры!AQ$30),0)</f>
        <v>0</v>
      </c>
      <c r="AR1013" s="185">
        <f>IF(AR$2&gt;=$B1004,MIN($B1005*Параметры!$B$21-IF(AR$2=1,0,SUM($F1013:AQ1013)),Параметры!AR$30),0)</f>
        <v>0</v>
      </c>
      <c r="AS1013" s="185">
        <f>IF(AS$2&gt;=$B1004,MIN($B1005*Параметры!$B$21-IF(AS$2=1,0,SUM($F1013:AR1013)),Параметры!AS$30),0)</f>
        <v>0</v>
      </c>
      <c r="AT1013" s="185">
        <f>IF(AT$2&gt;=$B1004,MIN($B1005*Параметры!$B$21-IF(AT$2=1,0,SUM($F1013:AS1013)),Параметры!AT$30),0)</f>
        <v>0</v>
      </c>
      <c r="AU1013" s="185">
        <f>IF(AU$2&gt;=$B1004,MIN($B1005*Параметры!$B$21-IF(AU$2=1,0,SUM($F1013:AT1013)),Параметры!AU$30),0)</f>
        <v>0</v>
      </c>
      <c r="AV1013" s="185">
        <f>IF(AV$2&gt;=$B1004,MIN($B1005*Параметры!$B$21-IF(AV$2=1,0,SUM($F1013:AU1013)),Параметры!AV$30),0)</f>
        <v>0</v>
      </c>
      <c r="AW1013" s="185">
        <f>IF(AW$2&gt;=$B1004,MIN($B1005*Параметры!$B$21-IF(AW$2=1,0,SUM($F1013:AV1013)),Параметры!AW$30),0)</f>
        <v>0</v>
      </c>
      <c r="AX1013" s="185">
        <f>IF(AX$2&gt;=$B1004,MIN($B1005*Параметры!$B$21-IF(AX$2=1,0,SUM($F1013:AW1013)),Параметры!AX$30),0)</f>
        <v>0</v>
      </c>
      <c r="AY1013" s="185">
        <f>IF(AY$2&gt;=$B1004,MIN($B1005*Параметры!$B$21-IF(AY$2=1,0,SUM($F1013:AX1013)),Параметры!AY$30),0)</f>
        <v>0</v>
      </c>
      <c r="AZ1013" s="185">
        <f>IF(AZ$2&gt;=$B1004,MIN($B1005*Параметры!$B$21-IF(AZ$2=1,0,SUM($F1013:AY1013)),Параметры!AZ$30),0)</f>
        <v>0</v>
      </c>
      <c r="BA1013" s="185">
        <f>IF(BA$2&gt;=$B1004,MIN($B1005*Параметры!$B$21-IF(BA$2=1,0,SUM($F1013:AZ1013)),Параметры!BA$30),0)</f>
        <v>0</v>
      </c>
      <c r="BB1013" s="185">
        <f>IF(BB$2&gt;=$B1004,MIN($B1005*Параметры!$B$21-IF(BB$2=1,0,SUM($F1013:BA1013)),Параметры!BB$30),0)</f>
        <v>0</v>
      </c>
      <c r="BC1013" s="185"/>
      <c r="BD1013" s="193"/>
    </row>
    <row r="1014" spans="1:56" hidden="1" x14ac:dyDescent="0.3">
      <c r="A1014" s="184" t="str">
        <f ca="1">Language!A$1014</f>
        <v>финансовый расход</v>
      </c>
      <c r="B1014" s="212"/>
      <c r="C1014" s="163"/>
      <c r="D1014" s="174"/>
      <c r="E1014" s="170" t="s">
        <v>1202</v>
      </c>
      <c r="F1014" s="170" t="s">
        <v>743</v>
      </c>
      <c r="G1014" s="185">
        <f>IF(G$2&gt;=$B1004,IF(G$2=$B1004,$B1010,F1011)*(POWER(1+$B1006,G1013/360)-1),0)</f>
        <v>0</v>
      </c>
      <c r="H1014" s="185">
        <f t="shared" ref="H1014:BB1014" si="3908">IF(H$2&gt;=$B1004,IF(H$2=$B1004,$B1010,G1011)*(POWER(1+$B1006,H1013/360)-1),0)</f>
        <v>0</v>
      </c>
      <c r="I1014" s="185">
        <f t="shared" si="3908"/>
        <v>0</v>
      </c>
      <c r="J1014" s="185">
        <f t="shared" si="3908"/>
        <v>0</v>
      </c>
      <c r="K1014" s="185">
        <f t="shared" si="3908"/>
        <v>0</v>
      </c>
      <c r="L1014" s="185">
        <f t="shared" si="3908"/>
        <v>0</v>
      </c>
      <c r="M1014" s="185">
        <f t="shared" si="3908"/>
        <v>0</v>
      </c>
      <c r="N1014" s="185">
        <f t="shared" si="3908"/>
        <v>0</v>
      </c>
      <c r="O1014" s="185">
        <f t="shared" si="3908"/>
        <v>0</v>
      </c>
      <c r="P1014" s="185">
        <f t="shared" si="3908"/>
        <v>0</v>
      </c>
      <c r="Q1014" s="185">
        <f t="shared" si="3908"/>
        <v>0</v>
      </c>
      <c r="R1014" s="185">
        <f t="shared" si="3908"/>
        <v>0</v>
      </c>
      <c r="S1014" s="185">
        <f t="shared" si="3908"/>
        <v>0</v>
      </c>
      <c r="T1014" s="185">
        <f t="shared" si="3908"/>
        <v>0</v>
      </c>
      <c r="U1014" s="185">
        <f t="shared" si="3908"/>
        <v>0</v>
      </c>
      <c r="V1014" s="185">
        <f t="shared" si="3908"/>
        <v>0</v>
      </c>
      <c r="W1014" s="185">
        <f t="shared" si="3908"/>
        <v>0</v>
      </c>
      <c r="X1014" s="185">
        <f t="shared" si="3908"/>
        <v>0</v>
      </c>
      <c r="Y1014" s="185">
        <f t="shared" si="3908"/>
        <v>0</v>
      </c>
      <c r="Z1014" s="185">
        <f t="shared" si="3908"/>
        <v>0</v>
      </c>
      <c r="AA1014" s="185">
        <f t="shared" si="3908"/>
        <v>0</v>
      </c>
      <c r="AB1014" s="185">
        <f t="shared" si="3908"/>
        <v>0</v>
      </c>
      <c r="AC1014" s="185">
        <f t="shared" si="3908"/>
        <v>0</v>
      </c>
      <c r="AD1014" s="185">
        <f t="shared" si="3908"/>
        <v>0</v>
      </c>
      <c r="AE1014" s="185">
        <f t="shared" si="3908"/>
        <v>0</v>
      </c>
      <c r="AF1014" s="185">
        <f t="shared" si="3908"/>
        <v>0</v>
      </c>
      <c r="AG1014" s="185">
        <f t="shared" si="3908"/>
        <v>0</v>
      </c>
      <c r="AH1014" s="185">
        <f t="shared" si="3908"/>
        <v>0</v>
      </c>
      <c r="AI1014" s="185">
        <f t="shared" si="3908"/>
        <v>0</v>
      </c>
      <c r="AJ1014" s="185">
        <f t="shared" si="3908"/>
        <v>0</v>
      </c>
      <c r="AK1014" s="185">
        <f t="shared" si="3908"/>
        <v>0</v>
      </c>
      <c r="AL1014" s="185">
        <f t="shared" si="3908"/>
        <v>0</v>
      </c>
      <c r="AM1014" s="185">
        <f t="shared" si="3908"/>
        <v>0</v>
      </c>
      <c r="AN1014" s="185">
        <f t="shared" si="3908"/>
        <v>0</v>
      </c>
      <c r="AO1014" s="185">
        <f t="shared" si="3908"/>
        <v>0</v>
      </c>
      <c r="AP1014" s="185">
        <f t="shared" si="3908"/>
        <v>0</v>
      </c>
      <c r="AQ1014" s="185">
        <f t="shared" si="3908"/>
        <v>0</v>
      </c>
      <c r="AR1014" s="185">
        <f t="shared" si="3908"/>
        <v>0</v>
      </c>
      <c r="AS1014" s="185">
        <f t="shared" si="3908"/>
        <v>0</v>
      </c>
      <c r="AT1014" s="185">
        <f t="shared" si="3908"/>
        <v>0</v>
      </c>
      <c r="AU1014" s="185">
        <f t="shared" si="3908"/>
        <v>0</v>
      </c>
      <c r="AV1014" s="185">
        <f t="shared" si="3908"/>
        <v>0</v>
      </c>
      <c r="AW1014" s="185">
        <f t="shared" si="3908"/>
        <v>0</v>
      </c>
      <c r="AX1014" s="185">
        <f t="shared" si="3908"/>
        <v>0</v>
      </c>
      <c r="AY1014" s="185">
        <f t="shared" si="3908"/>
        <v>0</v>
      </c>
      <c r="AZ1014" s="185">
        <f t="shared" si="3908"/>
        <v>0</v>
      </c>
      <c r="BA1014" s="185">
        <f t="shared" si="3908"/>
        <v>0</v>
      </c>
      <c r="BB1014" s="185">
        <f t="shared" si="3908"/>
        <v>0</v>
      </c>
      <c r="BC1014" s="185"/>
      <c r="BD1014" s="178">
        <f>SUM(G1014:BC1014)</f>
        <v>0</v>
      </c>
    </row>
    <row r="1015" spans="1:56" hidden="1" x14ac:dyDescent="0.3">
      <c r="A1015" s="184" t="str">
        <f ca="1">Language!A$1015</f>
        <v>задолженность по аренде</v>
      </c>
      <c r="B1015" s="212"/>
      <c r="C1015" s="163" t="str">
        <f t="shared" ref="C1015:C1016" ca="1" si="3909">CHOOSE(D1015,CurName1,CurName2,CurName3)</f>
        <v>руб.</v>
      </c>
      <c r="D1015" s="174">
        <v>1</v>
      </c>
      <c r="E1015" s="170" t="s">
        <v>1013</v>
      </c>
      <c r="F1015" s="170" t="s">
        <v>747</v>
      </c>
      <c r="G1015" s="185">
        <f>IF(G$2&gt;=$B1004,MAX($B1010+SUM($G1014:G1014)-SUM($G1009:G1009),0),0)</f>
        <v>0</v>
      </c>
      <c r="H1015" s="185">
        <f>IF(H$2&gt;=$B1004,MAX($B1010+SUM($G1014:H1014)-SUM($G1009:H1009),0),0)</f>
        <v>0</v>
      </c>
      <c r="I1015" s="185">
        <f>IF(I$2&gt;=$B1004,MAX($B1010+SUM($G1014:I1014)-SUM($G1009:I1009),0),0)</f>
        <v>0</v>
      </c>
      <c r="J1015" s="185">
        <f>IF(J$2&gt;=$B1004,MAX($B1010+SUM($G1014:J1014)-SUM($G1009:J1009),0),0)</f>
        <v>0</v>
      </c>
      <c r="K1015" s="185">
        <f>IF(K$2&gt;=$B1004,MAX($B1010+SUM($G1014:K1014)-SUM($G1009:K1009),0),0)</f>
        <v>0</v>
      </c>
      <c r="L1015" s="185">
        <f>IF(L$2&gt;=$B1004,MAX($B1010+SUM($G1014:L1014)-SUM($G1009:L1009),0),0)</f>
        <v>0</v>
      </c>
      <c r="M1015" s="185">
        <f>IF(M$2&gt;=$B1004,MAX($B1010+SUM($G1014:M1014)-SUM($G1009:M1009),0),0)</f>
        <v>0</v>
      </c>
      <c r="N1015" s="185">
        <f>IF(N$2&gt;=$B1004,MAX($B1010+SUM($G1014:N1014)-SUM($G1009:N1009),0),0)</f>
        <v>0</v>
      </c>
      <c r="O1015" s="185">
        <f>IF(O$2&gt;=$B1004,MAX($B1010+SUM($G1014:O1014)-SUM($G1009:O1009),0),0)</f>
        <v>0</v>
      </c>
      <c r="P1015" s="185">
        <f>IF(P$2&gt;=$B1004,MAX($B1010+SUM($G1014:P1014)-SUM($G1009:P1009),0),0)</f>
        <v>0</v>
      </c>
      <c r="Q1015" s="185">
        <f>IF(Q$2&gt;=$B1004,MAX($B1010+SUM($G1014:Q1014)-SUM($G1009:Q1009),0),0)</f>
        <v>0</v>
      </c>
      <c r="R1015" s="185">
        <f>IF(R$2&gt;=$B1004,MAX($B1010+SUM($G1014:R1014)-SUM($G1009:R1009),0),0)</f>
        <v>0</v>
      </c>
      <c r="S1015" s="185">
        <f>IF(S$2&gt;=$B1004,MAX($B1010+SUM($G1014:S1014)-SUM($G1009:S1009),0),0)</f>
        <v>0</v>
      </c>
      <c r="T1015" s="185">
        <f>IF(T$2&gt;=$B1004,MAX($B1010+SUM($G1014:T1014)-SUM($G1009:T1009),0),0)</f>
        <v>0</v>
      </c>
      <c r="U1015" s="185">
        <f>IF(U$2&gt;=$B1004,MAX($B1010+SUM($G1014:U1014)-SUM($G1009:U1009),0),0)</f>
        <v>0</v>
      </c>
      <c r="V1015" s="185">
        <f>IF(V$2&gt;=$B1004,MAX($B1010+SUM($G1014:V1014)-SUM($G1009:V1009),0),0)</f>
        <v>0</v>
      </c>
      <c r="W1015" s="185">
        <f>IF(W$2&gt;=$B1004,MAX($B1010+SUM($G1014:W1014)-SUM($G1009:W1009),0),0)</f>
        <v>0</v>
      </c>
      <c r="X1015" s="185">
        <f>IF(X$2&gt;=$B1004,MAX($B1010+SUM($G1014:X1014)-SUM($G1009:X1009),0),0)</f>
        <v>0</v>
      </c>
      <c r="Y1015" s="185">
        <f>IF(Y$2&gt;=$B1004,MAX($B1010+SUM($G1014:Y1014)-SUM($G1009:Y1009),0),0)</f>
        <v>0</v>
      </c>
      <c r="Z1015" s="185">
        <f>IF(Z$2&gt;=$B1004,MAX($B1010+SUM($G1014:Z1014)-SUM($G1009:Z1009),0),0)</f>
        <v>0</v>
      </c>
      <c r="AA1015" s="185">
        <f>IF(AA$2&gt;=$B1004,MAX($B1010+SUM($G1014:AA1014)-SUM($G1009:AA1009),0),0)</f>
        <v>0</v>
      </c>
      <c r="AB1015" s="185">
        <f>IF(AB$2&gt;=$B1004,MAX($B1010+SUM($G1014:AB1014)-SUM($G1009:AB1009),0),0)</f>
        <v>0</v>
      </c>
      <c r="AC1015" s="185">
        <f>IF(AC$2&gt;=$B1004,MAX($B1010+SUM($G1014:AC1014)-SUM($G1009:AC1009),0),0)</f>
        <v>0</v>
      </c>
      <c r="AD1015" s="185">
        <f>IF(AD$2&gt;=$B1004,MAX($B1010+SUM($G1014:AD1014)-SUM($G1009:AD1009),0),0)</f>
        <v>0</v>
      </c>
      <c r="AE1015" s="185">
        <f>IF(AE$2&gt;=$B1004,MAX($B1010+SUM($G1014:AE1014)-SUM($G1009:AE1009),0),0)</f>
        <v>0</v>
      </c>
      <c r="AF1015" s="185">
        <f>IF(AF$2&gt;=$B1004,MAX($B1010+SUM($G1014:AF1014)-SUM($G1009:AF1009),0),0)</f>
        <v>0</v>
      </c>
      <c r="AG1015" s="185">
        <f>IF(AG$2&gt;=$B1004,MAX($B1010+SUM($G1014:AG1014)-SUM($G1009:AG1009),0),0)</f>
        <v>0</v>
      </c>
      <c r="AH1015" s="185">
        <f>IF(AH$2&gt;=$B1004,MAX($B1010+SUM($G1014:AH1014)-SUM($G1009:AH1009),0),0)</f>
        <v>0</v>
      </c>
      <c r="AI1015" s="185">
        <f>IF(AI$2&gt;=$B1004,MAX($B1010+SUM($G1014:AI1014)-SUM($G1009:AI1009),0),0)</f>
        <v>0</v>
      </c>
      <c r="AJ1015" s="185">
        <f>IF(AJ$2&gt;=$B1004,MAX($B1010+SUM($G1014:AJ1014)-SUM($G1009:AJ1009),0),0)</f>
        <v>0</v>
      </c>
      <c r="AK1015" s="185">
        <f>IF(AK$2&gt;=$B1004,MAX($B1010+SUM($G1014:AK1014)-SUM($G1009:AK1009),0),0)</f>
        <v>0</v>
      </c>
      <c r="AL1015" s="185">
        <f>IF(AL$2&gt;=$B1004,MAX($B1010+SUM($G1014:AL1014)-SUM($G1009:AL1009),0),0)</f>
        <v>0</v>
      </c>
      <c r="AM1015" s="185">
        <f>IF(AM$2&gt;=$B1004,MAX($B1010+SUM($G1014:AM1014)-SUM($G1009:AM1009),0),0)</f>
        <v>0</v>
      </c>
      <c r="AN1015" s="185">
        <f>IF(AN$2&gt;=$B1004,MAX($B1010+SUM($G1014:AN1014)-SUM($G1009:AN1009),0),0)</f>
        <v>0</v>
      </c>
      <c r="AO1015" s="185">
        <f>IF(AO$2&gt;=$B1004,MAX($B1010+SUM($G1014:AO1014)-SUM($G1009:AO1009),0),0)</f>
        <v>0</v>
      </c>
      <c r="AP1015" s="185">
        <f>IF(AP$2&gt;=$B1004,MAX($B1010+SUM($G1014:AP1014)-SUM($G1009:AP1009),0),0)</f>
        <v>0</v>
      </c>
      <c r="AQ1015" s="185">
        <f>IF(AQ$2&gt;=$B1004,MAX($B1010+SUM($G1014:AQ1014)-SUM($G1009:AQ1009),0),0)</f>
        <v>0</v>
      </c>
      <c r="AR1015" s="185">
        <f>IF(AR$2&gt;=$B1004,MAX($B1010+SUM($G1014:AR1014)-SUM($G1009:AR1009),0),0)</f>
        <v>0</v>
      </c>
      <c r="AS1015" s="185">
        <f>IF(AS$2&gt;=$B1004,MAX($B1010+SUM($G1014:AS1014)-SUM($G1009:AS1009),0),0)</f>
        <v>0</v>
      </c>
      <c r="AT1015" s="185">
        <f>IF(AT$2&gt;=$B1004,MAX($B1010+SUM($G1014:AT1014)-SUM($G1009:AT1009),0),0)</f>
        <v>0</v>
      </c>
      <c r="AU1015" s="185">
        <f>IF(AU$2&gt;=$B1004,MAX($B1010+SUM($G1014:AU1014)-SUM($G1009:AU1009),0),0)</f>
        <v>0</v>
      </c>
      <c r="AV1015" s="185">
        <f>IF(AV$2&gt;=$B1004,MAX($B1010+SUM($G1014:AV1014)-SUM($G1009:AV1009),0),0)</f>
        <v>0</v>
      </c>
      <c r="AW1015" s="185">
        <f>IF(AW$2&gt;=$B1004,MAX($B1010+SUM($G1014:AW1014)-SUM($G1009:AW1009),0),0)</f>
        <v>0</v>
      </c>
      <c r="AX1015" s="185">
        <f>IF(AX$2&gt;=$B1004,MAX($B1010+SUM($G1014:AX1014)-SUM($G1009:AX1009),0),0)</f>
        <v>0</v>
      </c>
      <c r="AY1015" s="185">
        <f>IF(AY$2&gt;=$B1004,MAX($B1010+SUM($G1014:AY1014)-SUM($G1009:AY1009),0),0)</f>
        <v>0</v>
      </c>
      <c r="AZ1015" s="185">
        <f>IF(AZ$2&gt;=$B1004,MAX($B1010+SUM($G1014:AZ1014)-SUM($G1009:AZ1009),0),0)</f>
        <v>0</v>
      </c>
      <c r="BA1015" s="185">
        <f>IF(BA$2&gt;=$B1004,MAX($B1010+SUM($G1014:BA1014)-SUM($G1009:BA1009),0),0)</f>
        <v>0</v>
      </c>
      <c r="BB1015" s="185">
        <f>IF(BB$2&gt;=$B1004,MAX($B1010+SUM($G1014:BB1014)-SUM($G1009:BB1009),0),0)</f>
        <v>0</v>
      </c>
      <c r="BC1015" s="185"/>
      <c r="BD1015" s="193"/>
    </row>
    <row r="1016" spans="1:56" hidden="1" x14ac:dyDescent="0.3">
      <c r="A1016" s="184" t="str">
        <f ca="1">Language!A$1016</f>
        <v>авансы выплаченные</v>
      </c>
      <c r="B1016" s="212"/>
      <c r="C1016" s="163" t="str">
        <f t="shared" ca="1" si="3909"/>
        <v>руб.</v>
      </c>
      <c r="D1016" s="174">
        <v>1</v>
      </c>
      <c r="E1016" s="170" t="s">
        <v>1205</v>
      </c>
      <c r="F1016" s="170" t="s">
        <v>747</v>
      </c>
      <c r="G1016" s="185">
        <f>IF(G$2&gt;=$B1004,MAX(SUM($G1009:G1009)-$B1010-SUM($G1014:G1014),0),SUM($G1009:G1009))</f>
        <v>0</v>
      </c>
      <c r="H1016" s="185">
        <f>IF(H$2&gt;=$B1004,MAX(SUM($G1009:H1009)-$B1010-SUM($G1014:H1014),0),SUM($G1009:H1009))</f>
        <v>0</v>
      </c>
      <c r="I1016" s="185">
        <f>IF(I$2&gt;=$B1004,MAX(SUM($G1009:I1009)-$B1010-SUM($G1014:I1014),0),SUM($G1009:I1009))</f>
        <v>0</v>
      </c>
      <c r="J1016" s="185">
        <f>IF(J$2&gt;=$B1004,MAX(SUM($G1009:J1009)-$B1010-SUM($G1014:J1014),0),SUM($G1009:J1009))</f>
        <v>0</v>
      </c>
      <c r="K1016" s="185">
        <f>IF(K$2&gt;=$B1004,MAX(SUM($G1009:K1009)-$B1010-SUM($G1014:K1014),0),SUM($G1009:K1009))</f>
        <v>0</v>
      </c>
      <c r="L1016" s="185">
        <f>IF(L$2&gt;=$B1004,MAX(SUM($G1009:L1009)-$B1010-SUM($G1014:L1014),0),SUM($G1009:L1009))</f>
        <v>0</v>
      </c>
      <c r="M1016" s="185">
        <f>IF(M$2&gt;=$B1004,MAX(SUM($G1009:M1009)-$B1010-SUM($G1014:M1014),0),SUM($G1009:M1009))</f>
        <v>0</v>
      </c>
      <c r="N1016" s="185">
        <f>IF(N$2&gt;=$B1004,MAX(SUM($G1009:N1009)-$B1010-SUM($G1014:N1014),0),SUM($G1009:N1009))</f>
        <v>0</v>
      </c>
      <c r="O1016" s="185">
        <f>IF(O$2&gt;=$B1004,MAX(SUM($G1009:O1009)-$B1010-SUM($G1014:O1014),0),SUM($G1009:O1009))</f>
        <v>0</v>
      </c>
      <c r="P1016" s="185">
        <f>IF(P$2&gt;=$B1004,MAX(SUM($G1009:P1009)-$B1010-SUM($G1014:P1014),0),SUM($G1009:P1009))</f>
        <v>0</v>
      </c>
      <c r="Q1016" s="185">
        <f>IF(Q$2&gt;=$B1004,MAX(SUM($G1009:Q1009)-$B1010-SUM($G1014:Q1014),0),SUM($G1009:Q1009))</f>
        <v>0</v>
      </c>
      <c r="R1016" s="185">
        <f>IF(R$2&gt;=$B1004,MAX(SUM($G1009:R1009)-$B1010-SUM($G1014:R1014),0),SUM($G1009:R1009))</f>
        <v>0</v>
      </c>
      <c r="S1016" s="185">
        <f>IF(S$2&gt;=$B1004,MAX(SUM($G1009:S1009)-$B1010-SUM($G1014:S1014),0),SUM($G1009:S1009))</f>
        <v>0</v>
      </c>
      <c r="T1016" s="185">
        <f>IF(T$2&gt;=$B1004,MAX(SUM($G1009:T1009)-$B1010-SUM($G1014:T1014),0),SUM($G1009:T1009))</f>
        <v>0</v>
      </c>
      <c r="U1016" s="185">
        <f>IF(U$2&gt;=$B1004,MAX(SUM($G1009:U1009)-$B1010-SUM($G1014:U1014),0),SUM($G1009:U1009))</f>
        <v>0</v>
      </c>
      <c r="V1016" s="185">
        <f>IF(V$2&gt;=$B1004,MAX(SUM($G1009:V1009)-$B1010-SUM($G1014:V1014),0),SUM($G1009:V1009))</f>
        <v>0</v>
      </c>
      <c r="W1016" s="185">
        <f>IF(W$2&gt;=$B1004,MAX(SUM($G1009:W1009)-$B1010-SUM($G1014:W1014),0),SUM($G1009:W1009))</f>
        <v>0</v>
      </c>
      <c r="X1016" s="185">
        <f>IF(X$2&gt;=$B1004,MAX(SUM($G1009:X1009)-$B1010-SUM($G1014:X1014),0),SUM($G1009:X1009))</f>
        <v>0</v>
      </c>
      <c r="Y1016" s="185">
        <f>IF(Y$2&gt;=$B1004,MAX(SUM($G1009:Y1009)-$B1010-SUM($G1014:Y1014),0),SUM($G1009:Y1009))</f>
        <v>0</v>
      </c>
      <c r="Z1016" s="185">
        <f>IF(Z$2&gt;=$B1004,MAX(SUM($G1009:Z1009)-$B1010-SUM($G1014:Z1014),0),SUM($G1009:Z1009))</f>
        <v>0</v>
      </c>
      <c r="AA1016" s="185">
        <f>IF(AA$2&gt;=$B1004,MAX(SUM($G1009:AA1009)-$B1010-SUM($G1014:AA1014),0),SUM($G1009:AA1009))</f>
        <v>0</v>
      </c>
      <c r="AB1016" s="185">
        <f>IF(AB$2&gt;=$B1004,MAX(SUM($G1009:AB1009)-$B1010-SUM($G1014:AB1014),0),SUM($G1009:AB1009))</f>
        <v>0</v>
      </c>
      <c r="AC1016" s="185">
        <f>IF(AC$2&gt;=$B1004,MAX(SUM($G1009:AC1009)-$B1010-SUM($G1014:AC1014),0),SUM($G1009:AC1009))</f>
        <v>0</v>
      </c>
      <c r="AD1016" s="185">
        <f>IF(AD$2&gt;=$B1004,MAX(SUM($G1009:AD1009)-$B1010-SUM($G1014:AD1014),0),SUM($G1009:AD1009))</f>
        <v>0</v>
      </c>
      <c r="AE1016" s="185">
        <f>IF(AE$2&gt;=$B1004,MAX(SUM($G1009:AE1009)-$B1010-SUM($G1014:AE1014),0),SUM($G1009:AE1009))</f>
        <v>0</v>
      </c>
      <c r="AF1016" s="185">
        <f>IF(AF$2&gt;=$B1004,MAX(SUM($G1009:AF1009)-$B1010-SUM($G1014:AF1014),0),SUM($G1009:AF1009))</f>
        <v>0</v>
      </c>
      <c r="AG1016" s="185">
        <f>IF(AG$2&gt;=$B1004,MAX(SUM($G1009:AG1009)-$B1010-SUM($G1014:AG1014),0),SUM($G1009:AG1009))</f>
        <v>0</v>
      </c>
      <c r="AH1016" s="185">
        <f>IF(AH$2&gt;=$B1004,MAX(SUM($G1009:AH1009)-$B1010-SUM($G1014:AH1014),0),SUM($G1009:AH1009))</f>
        <v>0</v>
      </c>
      <c r="AI1016" s="185">
        <f>IF(AI$2&gt;=$B1004,MAX(SUM($G1009:AI1009)-$B1010-SUM($G1014:AI1014),0),SUM($G1009:AI1009))</f>
        <v>0</v>
      </c>
      <c r="AJ1016" s="185">
        <f>IF(AJ$2&gt;=$B1004,MAX(SUM($G1009:AJ1009)-$B1010-SUM($G1014:AJ1014),0),SUM($G1009:AJ1009))</f>
        <v>0</v>
      </c>
      <c r="AK1016" s="185">
        <f>IF(AK$2&gt;=$B1004,MAX(SUM($G1009:AK1009)-$B1010-SUM($G1014:AK1014),0),SUM($G1009:AK1009))</f>
        <v>0</v>
      </c>
      <c r="AL1016" s="185">
        <f>IF(AL$2&gt;=$B1004,MAX(SUM($G1009:AL1009)-$B1010-SUM($G1014:AL1014),0),SUM($G1009:AL1009))</f>
        <v>0</v>
      </c>
      <c r="AM1016" s="185">
        <f>IF(AM$2&gt;=$B1004,MAX(SUM($G1009:AM1009)-$B1010-SUM($G1014:AM1014),0),SUM($G1009:AM1009))</f>
        <v>0</v>
      </c>
      <c r="AN1016" s="185">
        <f>IF(AN$2&gt;=$B1004,MAX(SUM($G1009:AN1009)-$B1010-SUM($G1014:AN1014),0),SUM($G1009:AN1009))</f>
        <v>0</v>
      </c>
      <c r="AO1016" s="185">
        <f>IF(AO$2&gt;=$B1004,MAX(SUM($G1009:AO1009)-$B1010-SUM($G1014:AO1014),0),SUM($G1009:AO1009))</f>
        <v>0</v>
      </c>
      <c r="AP1016" s="185">
        <f>IF(AP$2&gt;=$B1004,MAX(SUM($G1009:AP1009)-$B1010-SUM($G1014:AP1014),0),SUM($G1009:AP1009))</f>
        <v>0</v>
      </c>
      <c r="AQ1016" s="185">
        <f>IF(AQ$2&gt;=$B1004,MAX(SUM($G1009:AQ1009)-$B1010-SUM($G1014:AQ1014),0),SUM($G1009:AQ1009))</f>
        <v>0</v>
      </c>
      <c r="AR1016" s="185">
        <f>IF(AR$2&gt;=$B1004,MAX(SUM($G1009:AR1009)-$B1010-SUM($G1014:AR1014),0),SUM($G1009:AR1009))</f>
        <v>0</v>
      </c>
      <c r="AS1016" s="185">
        <f>IF(AS$2&gt;=$B1004,MAX(SUM($G1009:AS1009)-$B1010-SUM($G1014:AS1014),0),SUM($G1009:AS1009))</f>
        <v>0</v>
      </c>
      <c r="AT1016" s="185">
        <f>IF(AT$2&gt;=$B1004,MAX(SUM($G1009:AT1009)-$B1010-SUM($G1014:AT1014),0),SUM($G1009:AT1009))</f>
        <v>0</v>
      </c>
      <c r="AU1016" s="185">
        <f>IF(AU$2&gt;=$B1004,MAX(SUM($G1009:AU1009)-$B1010-SUM($G1014:AU1014),0),SUM($G1009:AU1009))</f>
        <v>0</v>
      </c>
      <c r="AV1016" s="185">
        <f>IF(AV$2&gt;=$B1004,MAX(SUM($G1009:AV1009)-$B1010-SUM($G1014:AV1014),0),SUM($G1009:AV1009))</f>
        <v>0</v>
      </c>
      <c r="AW1016" s="185">
        <f>IF(AW$2&gt;=$B1004,MAX(SUM($G1009:AW1009)-$B1010-SUM($G1014:AW1014),0),SUM($G1009:AW1009))</f>
        <v>0</v>
      </c>
      <c r="AX1016" s="185">
        <f>IF(AX$2&gt;=$B1004,MAX(SUM($G1009:AX1009)-$B1010-SUM($G1014:AX1014),0),SUM($G1009:AX1009))</f>
        <v>0</v>
      </c>
      <c r="AY1016" s="185">
        <f>IF(AY$2&gt;=$B1004,MAX(SUM($G1009:AY1009)-$B1010-SUM($G1014:AY1014),0),SUM($G1009:AY1009))</f>
        <v>0</v>
      </c>
      <c r="AZ1016" s="185">
        <f>IF(AZ$2&gt;=$B1004,MAX(SUM($G1009:AZ1009)-$B1010-SUM($G1014:AZ1014),0),SUM($G1009:AZ1009))</f>
        <v>0</v>
      </c>
      <c r="BA1016" s="185">
        <f>IF(BA$2&gt;=$B1004,MAX(SUM($G1009:BA1009)-$B1010-SUM($G1014:BA1014),0),SUM($G1009:BA1009))</f>
        <v>0</v>
      </c>
      <c r="BB1016" s="185">
        <f>IF(BB$2&gt;=$B1004,MAX(SUM($G1009:BB1009)-$B1010-SUM($G1014:BB1014),0),SUM($G1009:BB1009))</f>
        <v>0</v>
      </c>
      <c r="BC1016" s="185"/>
      <c r="BD1016" s="193"/>
    </row>
    <row r="1017" spans="1:56" hidden="1" x14ac:dyDescent="0.3">
      <c r="A1017" s="184" t="str">
        <f ca="1">Language!A$1017</f>
        <v>ставка НДС</v>
      </c>
      <c r="B1017" s="189"/>
      <c r="C1017" s="163" t="s">
        <v>1</v>
      </c>
      <c r="D1017" s="174">
        <v>1</v>
      </c>
      <c r="F1017" s="170" t="s">
        <v>2344</v>
      </c>
      <c r="G1017" s="290">
        <f>IF(G$2=1,Параметры!G$72,IF(F1017=Параметры!F$72,Параметры!F$72,F1017))</f>
        <v>0</v>
      </c>
      <c r="H1017" s="290">
        <f>IF(H$2=1,Параметры!H$72,IF(G1017=Параметры!G$72,Параметры!G$72,G1017))</f>
        <v>0</v>
      </c>
      <c r="I1017" s="290">
        <f>IF(I$2=1,Параметры!I$72,IF(H1017=Параметры!H$72,Параметры!H$72,H1017))</f>
        <v>0</v>
      </c>
      <c r="J1017" s="290">
        <f>IF(J$2=1,Параметры!J$72,IF(I1017=Параметры!I$72,Параметры!I$72,I1017))</f>
        <v>0</v>
      </c>
      <c r="K1017" s="290">
        <f>IF(K$2=1,Параметры!K$72,IF(J1017=Параметры!J$72,Параметры!J$72,J1017))</f>
        <v>0</v>
      </c>
      <c r="L1017" s="290">
        <f>IF(L$2=1,Параметры!L$72,IF(K1017=Параметры!K$72,Параметры!K$72,K1017))</f>
        <v>0</v>
      </c>
      <c r="M1017" s="290">
        <f>IF(M$2=1,Параметры!M$72,IF(L1017=Параметры!L$72,Параметры!L$72,L1017))</f>
        <v>0</v>
      </c>
      <c r="N1017" s="290">
        <f>IF(N$2=1,Параметры!N$72,IF(M1017=Параметры!M$72,Параметры!M$72,M1017))</f>
        <v>0</v>
      </c>
      <c r="O1017" s="290">
        <f>IF(O$2=1,Параметры!O$72,IF(N1017=Параметры!N$72,Параметры!N$72,N1017))</f>
        <v>0</v>
      </c>
      <c r="P1017" s="290">
        <f>IF(P$2=1,Параметры!P$72,IF(O1017=Параметры!O$72,Параметры!O$72,O1017))</f>
        <v>0</v>
      </c>
      <c r="Q1017" s="290">
        <f>IF(Q$2=1,Параметры!Q$72,IF(P1017=Параметры!P$72,Параметры!P$72,P1017))</f>
        <v>0</v>
      </c>
      <c r="R1017" s="290">
        <f>IF(R$2=1,Параметры!R$72,IF(Q1017=Параметры!Q$72,Параметры!Q$72,Q1017))</f>
        <v>0</v>
      </c>
      <c r="S1017" s="290">
        <f>IF(S$2=1,Параметры!S$72,IF(R1017=Параметры!R$72,Параметры!R$72,R1017))</f>
        <v>0</v>
      </c>
      <c r="T1017" s="290">
        <f>IF(T$2=1,Параметры!T$72,IF(S1017=Параметры!S$72,Параметры!S$72,S1017))</f>
        <v>0</v>
      </c>
      <c r="U1017" s="290">
        <f>IF(U$2=1,Параметры!U$72,IF(T1017=Параметры!T$72,Параметры!T$72,T1017))</f>
        <v>0</v>
      </c>
      <c r="V1017" s="290">
        <f>IF(V$2=1,Параметры!V$72,IF(U1017=Параметры!U$72,Параметры!U$72,U1017))</f>
        <v>0</v>
      </c>
      <c r="W1017" s="290">
        <f>IF(W$2=1,Параметры!W$72,IF(V1017=Параметры!V$72,Параметры!V$72,V1017))</f>
        <v>0</v>
      </c>
      <c r="X1017" s="290">
        <f>IF(X$2=1,Параметры!X$72,IF(W1017=Параметры!W$72,Параметры!W$72,W1017))</f>
        <v>0</v>
      </c>
      <c r="Y1017" s="290">
        <f>IF(Y$2=1,Параметры!Y$72,IF(X1017=Параметры!X$72,Параметры!X$72,X1017))</f>
        <v>0</v>
      </c>
      <c r="Z1017" s="290">
        <f>IF(Z$2=1,Параметры!Z$72,IF(Y1017=Параметры!Y$72,Параметры!Y$72,Y1017))</f>
        <v>0</v>
      </c>
      <c r="AA1017" s="290">
        <f>IF(AA$2=1,Параметры!AA$72,IF(Z1017=Параметры!Z$72,Параметры!Z$72,Z1017))</f>
        <v>0</v>
      </c>
      <c r="AB1017" s="290">
        <f>IF(AB$2=1,Параметры!AB$72,IF(AA1017=Параметры!AA$72,Параметры!AA$72,AA1017))</f>
        <v>0</v>
      </c>
      <c r="AC1017" s="290">
        <f>IF(AC$2=1,Параметры!AC$72,IF(AB1017=Параметры!AB$72,Параметры!AB$72,AB1017))</f>
        <v>0</v>
      </c>
      <c r="AD1017" s="290">
        <f>IF(AD$2=1,Параметры!AD$72,IF(AC1017=Параметры!AC$72,Параметры!AC$72,AC1017))</f>
        <v>0</v>
      </c>
      <c r="AE1017" s="290">
        <f>IF(AE$2=1,Параметры!AE$72,IF(AD1017=Параметры!AD$72,Параметры!AD$72,AD1017))</f>
        <v>0</v>
      </c>
      <c r="AF1017" s="290">
        <f>IF(AF$2=1,Параметры!AF$72,IF(AE1017=Параметры!AE$72,Параметры!AE$72,AE1017))</f>
        <v>0</v>
      </c>
      <c r="AG1017" s="290">
        <f>IF(AG$2=1,Параметры!AG$72,IF(AF1017=Параметры!AF$72,Параметры!AF$72,AF1017))</f>
        <v>0</v>
      </c>
      <c r="AH1017" s="290">
        <f>IF(AH$2=1,Параметры!AH$72,IF(AG1017=Параметры!AG$72,Параметры!AG$72,AG1017))</f>
        <v>0</v>
      </c>
      <c r="AI1017" s="290">
        <f>IF(AI$2=1,Параметры!AI$72,IF(AH1017=Параметры!AH$72,Параметры!AH$72,AH1017))</f>
        <v>0</v>
      </c>
      <c r="AJ1017" s="290">
        <f>IF(AJ$2=1,Параметры!AJ$72,IF(AI1017=Параметры!AI$72,Параметры!AI$72,AI1017))</f>
        <v>0</v>
      </c>
      <c r="AK1017" s="290">
        <f>IF(AK$2=1,Параметры!AK$72,IF(AJ1017=Параметры!AJ$72,Параметры!AJ$72,AJ1017))</f>
        <v>0</v>
      </c>
      <c r="AL1017" s="290">
        <f>IF(AL$2=1,Параметры!AL$72,IF(AK1017=Параметры!AK$72,Параметры!AK$72,AK1017))</f>
        <v>0</v>
      </c>
      <c r="AM1017" s="290">
        <f>IF(AM$2=1,Параметры!AM$72,IF(AL1017=Параметры!AL$72,Параметры!AL$72,AL1017))</f>
        <v>0</v>
      </c>
      <c r="AN1017" s="290">
        <f>IF(AN$2=1,Параметры!AN$72,IF(AM1017=Параметры!AM$72,Параметры!AM$72,AM1017))</f>
        <v>0</v>
      </c>
      <c r="AO1017" s="290">
        <f>IF(AO$2=1,Параметры!AO$72,IF(AN1017=Параметры!AN$72,Параметры!AN$72,AN1017))</f>
        <v>0</v>
      </c>
      <c r="AP1017" s="290">
        <f>IF(AP$2=1,Параметры!AP$72,IF(AO1017=Параметры!AO$72,Параметры!AO$72,AO1017))</f>
        <v>0</v>
      </c>
      <c r="AQ1017" s="290">
        <f>IF(AQ$2=1,Параметры!AQ$72,IF(AP1017=Параметры!AP$72,Параметры!AP$72,AP1017))</f>
        <v>0</v>
      </c>
      <c r="AR1017" s="290">
        <f>IF(AR$2=1,Параметры!AR$72,IF(AQ1017=Параметры!AQ$72,Параметры!AQ$72,AQ1017))</f>
        <v>0</v>
      </c>
      <c r="AS1017" s="290">
        <f>IF(AS$2=1,Параметры!AS$72,IF(AR1017=Параметры!AR$72,Параметры!AR$72,AR1017))</f>
        <v>0</v>
      </c>
      <c r="AT1017" s="290">
        <f>IF(AT$2=1,Параметры!AT$72,IF(AS1017=Параметры!AS$72,Параметры!AS$72,AS1017))</f>
        <v>0</v>
      </c>
      <c r="AU1017" s="290">
        <f>IF(AU$2=1,Параметры!AU$72,IF(AT1017=Параметры!AT$72,Параметры!AT$72,AT1017))</f>
        <v>0</v>
      </c>
      <c r="AV1017" s="290">
        <f>IF(AV$2=1,Параметры!AV$72,IF(AU1017=Параметры!AU$72,Параметры!AU$72,AU1017))</f>
        <v>0</v>
      </c>
      <c r="AW1017" s="290">
        <f>IF(AW$2=1,Параметры!AW$72,IF(AV1017=Параметры!AV$72,Параметры!AV$72,AV1017))</f>
        <v>0</v>
      </c>
      <c r="AX1017" s="290">
        <f>IF(AX$2=1,Параметры!AX$72,IF(AW1017=Параметры!AW$72,Параметры!AW$72,AW1017))</f>
        <v>0</v>
      </c>
      <c r="AY1017" s="290">
        <f>IF(AY$2=1,Параметры!AY$72,IF(AX1017=Параметры!AX$72,Параметры!AX$72,AX1017))</f>
        <v>0</v>
      </c>
      <c r="AZ1017" s="290">
        <f>IF(AZ$2=1,Параметры!AZ$72,IF(AY1017=Параметры!AY$72,Параметры!AY$72,AY1017))</f>
        <v>0</v>
      </c>
      <c r="BA1017" s="290">
        <f>IF(BA$2=1,Параметры!BA$72,IF(AZ1017=Параметры!AZ$72,Параметры!AZ$72,AZ1017))</f>
        <v>0</v>
      </c>
      <c r="BB1017" s="290">
        <f>IF(BB$2=1,Параметры!BB$72,IF(BA1017=Параметры!BA$72,Параметры!BA$72,BA1017))</f>
        <v>0</v>
      </c>
      <c r="BC1017" s="190"/>
      <c r="BD1017" s="186"/>
    </row>
    <row r="1018" spans="1:56" hidden="1" x14ac:dyDescent="0.3">
      <c r="A1018" s="184" t="str">
        <f ca="1">Language!A$1018</f>
        <v>НДС к платежам в оттоках денежных средств</v>
      </c>
      <c r="B1018" s="189"/>
      <c r="C1018" s="163"/>
      <c r="D1018" s="174"/>
      <c r="E1018" s="170" t="s">
        <v>1192</v>
      </c>
      <c r="F1018" s="170" t="s">
        <v>743</v>
      </c>
      <c r="G1018" s="185">
        <f>G1017*G1009</f>
        <v>0</v>
      </c>
      <c r="H1018" s="185">
        <f t="shared" ref="H1018:K1018" si="3910">H1017*H1009</f>
        <v>0</v>
      </c>
      <c r="I1018" s="185">
        <f t="shared" si="3910"/>
        <v>0</v>
      </c>
      <c r="J1018" s="185">
        <f t="shared" si="3910"/>
        <v>0</v>
      </c>
      <c r="K1018" s="185">
        <f t="shared" si="3910"/>
        <v>0</v>
      </c>
      <c r="L1018" s="185">
        <f t="shared" ref="L1018:M1018" si="3911">L1017*L1009</f>
        <v>0</v>
      </c>
      <c r="M1018" s="185">
        <f t="shared" si="3911"/>
        <v>0</v>
      </c>
      <c r="N1018" s="185">
        <f t="shared" ref="N1018:O1018" si="3912">N1017*N1009</f>
        <v>0</v>
      </c>
      <c r="O1018" s="185">
        <f t="shared" si="3912"/>
        <v>0</v>
      </c>
      <c r="P1018" s="185">
        <f t="shared" ref="P1018:Q1018" si="3913">P1017*P1009</f>
        <v>0</v>
      </c>
      <c r="Q1018" s="185">
        <f t="shared" si="3913"/>
        <v>0</v>
      </c>
      <c r="R1018" s="185">
        <f t="shared" ref="R1018:S1018" si="3914">R1017*R1009</f>
        <v>0</v>
      </c>
      <c r="S1018" s="185">
        <f t="shared" si="3914"/>
        <v>0</v>
      </c>
      <c r="T1018" s="185">
        <f t="shared" ref="T1018:U1018" si="3915">T1017*T1009</f>
        <v>0</v>
      </c>
      <c r="U1018" s="185">
        <f t="shared" si="3915"/>
        <v>0</v>
      </c>
      <c r="V1018" s="185">
        <f t="shared" ref="V1018:W1018" si="3916">V1017*V1009</f>
        <v>0</v>
      </c>
      <c r="W1018" s="185">
        <f t="shared" si="3916"/>
        <v>0</v>
      </c>
      <c r="X1018" s="185">
        <f t="shared" ref="X1018:Y1018" si="3917">X1017*X1009</f>
        <v>0</v>
      </c>
      <c r="Y1018" s="185">
        <f t="shared" si="3917"/>
        <v>0</v>
      </c>
      <c r="Z1018" s="185">
        <f t="shared" ref="Z1018:AA1018" si="3918">Z1017*Z1009</f>
        <v>0</v>
      </c>
      <c r="AA1018" s="185">
        <f t="shared" si="3918"/>
        <v>0</v>
      </c>
      <c r="AB1018" s="185">
        <f t="shared" ref="AB1018:AC1018" si="3919">AB1017*AB1009</f>
        <v>0</v>
      </c>
      <c r="AC1018" s="185">
        <f t="shared" si="3919"/>
        <v>0</v>
      </c>
      <c r="AD1018" s="185">
        <f t="shared" ref="AD1018:AE1018" si="3920">AD1017*AD1009</f>
        <v>0</v>
      </c>
      <c r="AE1018" s="185">
        <f t="shared" si="3920"/>
        <v>0</v>
      </c>
      <c r="AF1018" s="185">
        <f t="shared" ref="AF1018:AG1018" si="3921">AF1017*AF1009</f>
        <v>0</v>
      </c>
      <c r="AG1018" s="185">
        <f t="shared" si="3921"/>
        <v>0</v>
      </c>
      <c r="AH1018" s="185">
        <f t="shared" ref="AH1018:AI1018" si="3922">AH1017*AH1009</f>
        <v>0</v>
      </c>
      <c r="AI1018" s="185">
        <f t="shared" si="3922"/>
        <v>0</v>
      </c>
      <c r="AJ1018" s="185">
        <f t="shared" ref="AJ1018:AK1018" si="3923">AJ1017*AJ1009</f>
        <v>0</v>
      </c>
      <c r="AK1018" s="185">
        <f t="shared" si="3923"/>
        <v>0</v>
      </c>
      <c r="AL1018" s="185">
        <f t="shared" ref="AL1018:AM1018" si="3924">AL1017*AL1009</f>
        <v>0</v>
      </c>
      <c r="AM1018" s="185">
        <f t="shared" si="3924"/>
        <v>0</v>
      </c>
      <c r="AN1018" s="185">
        <f t="shared" ref="AN1018:AO1018" si="3925">AN1017*AN1009</f>
        <v>0</v>
      </c>
      <c r="AO1018" s="185">
        <f t="shared" si="3925"/>
        <v>0</v>
      </c>
      <c r="AP1018" s="185">
        <f t="shared" ref="AP1018:AQ1018" si="3926">AP1017*AP1009</f>
        <v>0</v>
      </c>
      <c r="AQ1018" s="185">
        <f t="shared" si="3926"/>
        <v>0</v>
      </c>
      <c r="AR1018" s="185">
        <f t="shared" ref="AR1018:AS1018" si="3927">AR1017*AR1009</f>
        <v>0</v>
      </c>
      <c r="AS1018" s="185">
        <f t="shared" si="3927"/>
        <v>0</v>
      </c>
      <c r="AT1018" s="185">
        <f t="shared" ref="AT1018:AU1018" si="3928">AT1017*AT1009</f>
        <v>0</v>
      </c>
      <c r="AU1018" s="185">
        <f t="shared" si="3928"/>
        <v>0</v>
      </c>
      <c r="AV1018" s="185">
        <f t="shared" ref="AV1018:AW1018" si="3929">AV1017*AV1009</f>
        <v>0</v>
      </c>
      <c r="AW1018" s="185">
        <f t="shared" si="3929"/>
        <v>0</v>
      </c>
      <c r="AX1018" s="185">
        <f t="shared" ref="AX1018:AY1018" si="3930">AX1017*AX1009</f>
        <v>0</v>
      </c>
      <c r="AY1018" s="185">
        <f t="shared" si="3930"/>
        <v>0</v>
      </c>
      <c r="AZ1018" s="185">
        <f t="shared" ref="AZ1018:BA1018" si="3931">AZ1017*AZ1009</f>
        <v>0</v>
      </c>
      <c r="BA1018" s="185">
        <f t="shared" si="3931"/>
        <v>0</v>
      </c>
      <c r="BB1018" s="185">
        <f t="shared" ref="BB1018" si="3932">BB1017*BB1009</f>
        <v>0</v>
      </c>
      <c r="BC1018" s="185"/>
      <c r="BD1018" s="178">
        <f>SUM(G1018:BC1018)</f>
        <v>0</v>
      </c>
    </row>
    <row r="1019" spans="1:56" hidden="1" x14ac:dyDescent="0.3">
      <c r="A1019" s="184" t="str">
        <f ca="1">Language!A$1019</f>
        <v>НДС к начисленным платежам</v>
      </c>
      <c r="B1019" s="189"/>
      <c r="C1019" s="163" t="str">
        <f t="shared" ref="C1019" ca="1" si="3933">CHOOSE(D1019,CurName1,CurName2,CurName3)</f>
        <v>руб.</v>
      </c>
      <c r="D1019" s="174">
        <v>1</v>
      </c>
      <c r="E1019" s="170" t="s">
        <v>1196</v>
      </c>
      <c r="F1019" s="170" t="s">
        <v>743</v>
      </c>
      <c r="G1019" s="185">
        <f>G1017*G1008</f>
        <v>0</v>
      </c>
      <c r="H1019" s="185">
        <f t="shared" ref="H1019:K1019" si="3934">H1017*H1008</f>
        <v>0</v>
      </c>
      <c r="I1019" s="185">
        <f t="shared" si="3934"/>
        <v>0</v>
      </c>
      <c r="J1019" s="185">
        <f t="shared" si="3934"/>
        <v>0</v>
      </c>
      <c r="K1019" s="185">
        <f t="shared" si="3934"/>
        <v>0</v>
      </c>
      <c r="L1019" s="185">
        <f t="shared" ref="L1019:M1019" si="3935">L1017*L1008</f>
        <v>0</v>
      </c>
      <c r="M1019" s="185">
        <f t="shared" si="3935"/>
        <v>0</v>
      </c>
      <c r="N1019" s="185">
        <f t="shared" ref="N1019:O1019" si="3936">N1017*N1008</f>
        <v>0</v>
      </c>
      <c r="O1019" s="185">
        <f t="shared" si="3936"/>
        <v>0</v>
      </c>
      <c r="P1019" s="185">
        <f t="shared" ref="P1019:Q1019" si="3937">P1017*P1008</f>
        <v>0</v>
      </c>
      <c r="Q1019" s="185">
        <f t="shared" si="3937"/>
        <v>0</v>
      </c>
      <c r="R1019" s="185">
        <f t="shared" ref="R1019:S1019" si="3938">R1017*R1008</f>
        <v>0</v>
      </c>
      <c r="S1019" s="185">
        <f t="shared" si="3938"/>
        <v>0</v>
      </c>
      <c r="T1019" s="185">
        <f t="shared" ref="T1019:U1019" si="3939">T1017*T1008</f>
        <v>0</v>
      </c>
      <c r="U1019" s="185">
        <f t="shared" si="3939"/>
        <v>0</v>
      </c>
      <c r="V1019" s="185">
        <f t="shared" ref="V1019:W1019" si="3940">V1017*V1008</f>
        <v>0</v>
      </c>
      <c r="W1019" s="185">
        <f t="shared" si="3940"/>
        <v>0</v>
      </c>
      <c r="X1019" s="185">
        <f t="shared" ref="X1019:Y1019" si="3941">X1017*X1008</f>
        <v>0</v>
      </c>
      <c r="Y1019" s="185">
        <f t="shared" si="3941"/>
        <v>0</v>
      </c>
      <c r="Z1019" s="185">
        <f t="shared" ref="Z1019:AA1019" si="3942">Z1017*Z1008</f>
        <v>0</v>
      </c>
      <c r="AA1019" s="185">
        <f t="shared" si="3942"/>
        <v>0</v>
      </c>
      <c r="AB1019" s="185">
        <f t="shared" ref="AB1019:AC1019" si="3943">AB1017*AB1008</f>
        <v>0</v>
      </c>
      <c r="AC1019" s="185">
        <f t="shared" si="3943"/>
        <v>0</v>
      </c>
      <c r="AD1019" s="185">
        <f t="shared" ref="AD1019:AE1019" si="3944">AD1017*AD1008</f>
        <v>0</v>
      </c>
      <c r="AE1019" s="185">
        <f t="shared" si="3944"/>
        <v>0</v>
      </c>
      <c r="AF1019" s="185">
        <f t="shared" ref="AF1019:AG1019" si="3945">AF1017*AF1008</f>
        <v>0</v>
      </c>
      <c r="AG1019" s="185">
        <f t="shared" si="3945"/>
        <v>0</v>
      </c>
      <c r="AH1019" s="185">
        <f t="shared" ref="AH1019:AI1019" si="3946">AH1017*AH1008</f>
        <v>0</v>
      </c>
      <c r="AI1019" s="185">
        <f t="shared" si="3946"/>
        <v>0</v>
      </c>
      <c r="AJ1019" s="185">
        <f t="shared" ref="AJ1019:AK1019" si="3947">AJ1017*AJ1008</f>
        <v>0</v>
      </c>
      <c r="AK1019" s="185">
        <f t="shared" si="3947"/>
        <v>0</v>
      </c>
      <c r="AL1019" s="185">
        <f t="shared" ref="AL1019:AM1019" si="3948">AL1017*AL1008</f>
        <v>0</v>
      </c>
      <c r="AM1019" s="185">
        <f t="shared" si="3948"/>
        <v>0</v>
      </c>
      <c r="AN1019" s="185">
        <f t="shared" ref="AN1019:AO1019" si="3949">AN1017*AN1008</f>
        <v>0</v>
      </c>
      <c r="AO1019" s="185">
        <f t="shared" si="3949"/>
        <v>0</v>
      </c>
      <c r="AP1019" s="185">
        <f t="shared" ref="AP1019:AQ1019" si="3950">AP1017*AP1008</f>
        <v>0</v>
      </c>
      <c r="AQ1019" s="185">
        <f t="shared" si="3950"/>
        <v>0</v>
      </c>
      <c r="AR1019" s="185">
        <f t="shared" ref="AR1019:AS1019" si="3951">AR1017*AR1008</f>
        <v>0</v>
      </c>
      <c r="AS1019" s="185">
        <f t="shared" si="3951"/>
        <v>0</v>
      </c>
      <c r="AT1019" s="185">
        <f t="shared" ref="AT1019:AU1019" si="3952">AT1017*AT1008</f>
        <v>0</v>
      </c>
      <c r="AU1019" s="185">
        <f t="shared" si="3952"/>
        <v>0</v>
      </c>
      <c r="AV1019" s="185">
        <f t="shared" ref="AV1019:AW1019" si="3953">AV1017*AV1008</f>
        <v>0</v>
      </c>
      <c r="AW1019" s="185">
        <f t="shared" si="3953"/>
        <v>0</v>
      </c>
      <c r="AX1019" s="185">
        <f t="shared" ref="AX1019:AY1019" si="3954">AX1017*AX1008</f>
        <v>0</v>
      </c>
      <c r="AY1019" s="185">
        <f t="shared" si="3954"/>
        <v>0</v>
      </c>
      <c r="AZ1019" s="185">
        <f t="shared" ref="AZ1019:BA1019" si="3955">AZ1017*AZ1008</f>
        <v>0</v>
      </c>
      <c r="BA1019" s="185">
        <f t="shared" si="3955"/>
        <v>0</v>
      </c>
      <c r="BB1019" s="185">
        <f t="shared" ref="BB1019" si="3956">BB1017*BB1008</f>
        <v>0</v>
      </c>
      <c r="BC1019" s="185"/>
      <c r="BD1019" s="178">
        <f>SUM(G1019:BC1019)</f>
        <v>0</v>
      </c>
    </row>
    <row r="1020" spans="1:56" hidden="1" x14ac:dyDescent="0.3">
      <c r="A1020" s="283" t="str">
        <f ca="1">Language!A$1020</f>
        <v>Шаблон с графиком платежей</v>
      </c>
      <c r="C1020" s="163"/>
      <c r="D1020" s="174">
        <v>1</v>
      </c>
      <c r="F1020" s="170" t="s">
        <v>1184</v>
      </c>
    </row>
    <row r="1021" spans="1:56" hidden="1" x14ac:dyDescent="0.3">
      <c r="A1021" s="169" t="str">
        <f ca="1">Language!A$1021</f>
        <v>Стоимость объекта аренды (без НДС)</v>
      </c>
      <c r="B1021" s="284">
        <v>0</v>
      </c>
      <c r="C1021" s="176" t="str">
        <f t="shared" ref="C1021" ca="1" si="3957">CHOOSE(D1021,CurName1,CurName2,CurName3)</f>
        <v>руб.</v>
      </c>
      <c r="D1021" s="174">
        <f>D1020</f>
        <v>1</v>
      </c>
      <c r="F1021" s="170" t="s">
        <v>753</v>
      </c>
      <c r="G1021" s="177"/>
      <c r="H1021" s="177"/>
      <c r="I1021" s="177"/>
      <c r="J1021" s="177"/>
      <c r="K1021" s="177"/>
      <c r="L1021" s="177"/>
      <c r="M1021" s="177"/>
      <c r="N1021" s="177"/>
      <c r="O1021" s="177"/>
      <c r="P1021" s="177"/>
      <c r="Q1021" s="177"/>
      <c r="R1021" s="177"/>
      <c r="S1021" s="177"/>
      <c r="T1021" s="177"/>
      <c r="U1021" s="177"/>
      <c r="V1021" s="177"/>
      <c r="W1021" s="177"/>
      <c r="X1021" s="177"/>
      <c r="Y1021" s="177"/>
      <c r="Z1021" s="177"/>
      <c r="AA1021" s="177"/>
      <c r="AB1021" s="177"/>
      <c r="AC1021" s="177"/>
      <c r="AD1021" s="177"/>
      <c r="AE1021" s="177"/>
      <c r="AF1021" s="177"/>
      <c r="AG1021" s="177"/>
      <c r="AH1021" s="177"/>
      <c r="AI1021" s="177"/>
      <c r="AJ1021" s="177"/>
      <c r="AK1021" s="177"/>
      <c r="AL1021" s="177"/>
      <c r="AM1021" s="177"/>
      <c r="AN1021" s="177"/>
      <c r="AO1021" s="177"/>
      <c r="AP1021" s="177"/>
      <c r="AQ1021" s="177"/>
      <c r="AR1021" s="177"/>
      <c r="AS1021" s="177"/>
      <c r="AT1021" s="177"/>
      <c r="AU1021" s="177"/>
      <c r="AV1021" s="177"/>
      <c r="AW1021" s="177"/>
      <c r="AX1021" s="177"/>
      <c r="AY1021" s="177"/>
      <c r="AZ1021" s="177"/>
      <c r="BA1021" s="177"/>
      <c r="BB1021" s="177"/>
      <c r="BC1021" s="177"/>
      <c r="BD1021" s="178"/>
    </row>
    <row r="1022" spans="1:56" hidden="1" x14ac:dyDescent="0.3">
      <c r="A1022" s="169" t="str">
        <f ca="1">Language!A$1022</f>
        <v>Период начала аренды</v>
      </c>
      <c r="B1022" s="284">
        <v>1</v>
      </c>
      <c r="C1022" s="176" t="str">
        <f ca="1">Language!$A$1480</f>
        <v>период</v>
      </c>
      <c r="D1022" s="174"/>
      <c r="F1022" s="170" t="s">
        <v>753</v>
      </c>
      <c r="G1022" s="177"/>
      <c r="H1022" s="177"/>
      <c r="I1022" s="177"/>
      <c r="J1022" s="177"/>
      <c r="K1022" s="177"/>
      <c r="L1022" s="177"/>
      <c r="M1022" s="177"/>
      <c r="N1022" s="177"/>
      <c r="O1022" s="177"/>
      <c r="P1022" s="177"/>
      <c r="Q1022" s="177"/>
      <c r="R1022" s="177"/>
      <c r="S1022" s="177"/>
      <c r="T1022" s="177"/>
      <c r="U1022" s="177"/>
      <c r="V1022" s="177"/>
      <c r="W1022" s="177"/>
      <c r="X1022" s="177"/>
      <c r="Y1022" s="177"/>
      <c r="Z1022" s="177"/>
      <c r="AA1022" s="177"/>
      <c r="AB1022" s="177"/>
      <c r="AC1022" s="177"/>
      <c r="AD1022" s="177"/>
      <c r="AE1022" s="177"/>
      <c r="AF1022" s="177"/>
      <c r="AG1022" s="177"/>
      <c r="AH1022" s="177"/>
      <c r="AI1022" s="177"/>
      <c r="AJ1022" s="177"/>
      <c r="AK1022" s="177"/>
      <c r="AL1022" s="177"/>
      <c r="AM1022" s="177"/>
      <c r="AN1022" s="177"/>
      <c r="AO1022" s="177"/>
      <c r="AP1022" s="177"/>
      <c r="AQ1022" s="177"/>
      <c r="AR1022" s="177"/>
      <c r="AS1022" s="177"/>
      <c r="AT1022" s="177"/>
      <c r="AU1022" s="177"/>
      <c r="AV1022" s="177"/>
      <c r="AW1022" s="177"/>
      <c r="AX1022" s="177"/>
      <c r="AY1022" s="177"/>
      <c r="AZ1022" s="177"/>
      <c r="BA1022" s="177"/>
      <c r="BB1022" s="177"/>
      <c r="BC1022" s="177"/>
      <c r="BD1022" s="178"/>
    </row>
    <row r="1023" spans="1:56" hidden="1" x14ac:dyDescent="0.3">
      <c r="A1023" s="169" t="str">
        <f ca="1">Language!A$1023</f>
        <v>Срок аренды</v>
      </c>
      <c r="B1023" s="284">
        <v>3</v>
      </c>
      <c r="C1023" s="176" t="str">
        <f ca="1">Параметры!C$17</f>
        <v>мес.</v>
      </c>
      <c r="D1023" s="174"/>
      <c r="F1023" s="170" t="s">
        <v>753</v>
      </c>
      <c r="G1023" s="177"/>
      <c r="H1023" s="177"/>
      <c r="I1023" s="177"/>
      <c r="J1023" s="177"/>
      <c r="K1023" s="177"/>
      <c r="L1023" s="177"/>
      <c r="M1023" s="177"/>
      <c r="N1023" s="177"/>
      <c r="O1023" s="177"/>
      <c r="P1023" s="177"/>
      <c r="Q1023" s="177"/>
      <c r="R1023" s="177"/>
      <c r="S1023" s="177"/>
      <c r="T1023" s="177"/>
      <c r="U1023" s="177"/>
      <c r="V1023" s="177"/>
      <c r="W1023" s="177"/>
      <c r="X1023" s="177"/>
      <c r="Y1023" s="177"/>
      <c r="Z1023" s="177"/>
      <c r="AA1023" s="177"/>
      <c r="AB1023" s="177"/>
      <c r="AC1023" s="177"/>
      <c r="AD1023" s="177"/>
      <c r="AE1023" s="177"/>
      <c r="AF1023" s="177"/>
      <c r="AG1023" s="177"/>
      <c r="AH1023" s="177"/>
      <c r="AI1023" s="177"/>
      <c r="AJ1023" s="177"/>
      <c r="AK1023" s="177"/>
      <c r="AL1023" s="177"/>
      <c r="AM1023" s="177"/>
      <c r="AN1023" s="177"/>
      <c r="AO1023" s="177"/>
      <c r="AP1023" s="177"/>
      <c r="AQ1023" s="177"/>
      <c r="AR1023" s="177"/>
      <c r="AS1023" s="177"/>
      <c r="AT1023" s="177"/>
      <c r="AU1023" s="177"/>
      <c r="AV1023" s="177"/>
      <c r="AW1023" s="177"/>
      <c r="AX1023" s="177"/>
      <c r="AY1023" s="177"/>
      <c r="AZ1023" s="177"/>
      <c r="BA1023" s="177"/>
      <c r="BB1023" s="177"/>
      <c r="BC1023" s="177"/>
      <c r="BD1023" s="178"/>
    </row>
    <row r="1024" spans="1:56" hidden="1" x14ac:dyDescent="0.3">
      <c r="A1024" s="169" t="str">
        <f ca="1">Language!A$1024</f>
        <v>График арендных платежей (без НДС)</v>
      </c>
      <c r="B1024" s="176"/>
      <c r="C1024" s="176" t="str">
        <f t="shared" ref="C1024" ca="1" si="3958">CHOOSE(D1024,CurName1,CurName2,CurName3)</f>
        <v>руб.</v>
      </c>
      <c r="D1024" s="174">
        <f>D1020</f>
        <v>1</v>
      </c>
      <c r="F1024" s="170" t="s">
        <v>742</v>
      </c>
      <c r="G1024" s="297">
        <v>0</v>
      </c>
      <c r="H1024" s="297">
        <v>0</v>
      </c>
      <c r="I1024" s="297">
        <v>0</v>
      </c>
      <c r="J1024" s="297">
        <v>0</v>
      </c>
      <c r="K1024" s="297">
        <v>0</v>
      </c>
      <c r="L1024" s="297">
        <v>0</v>
      </c>
      <c r="M1024" s="297">
        <v>0</v>
      </c>
      <c r="N1024" s="297">
        <v>0</v>
      </c>
      <c r="O1024" s="297">
        <v>0</v>
      </c>
      <c r="P1024" s="297">
        <v>0</v>
      </c>
      <c r="Q1024" s="297">
        <v>0</v>
      </c>
      <c r="R1024" s="297">
        <v>0</v>
      </c>
      <c r="S1024" s="297">
        <v>0</v>
      </c>
      <c r="T1024" s="297">
        <v>0</v>
      </c>
      <c r="U1024" s="297">
        <v>0</v>
      </c>
      <c r="V1024" s="297">
        <v>0</v>
      </c>
      <c r="W1024" s="297">
        <v>0</v>
      </c>
      <c r="X1024" s="297">
        <v>0</v>
      </c>
      <c r="Y1024" s="297">
        <v>0</v>
      </c>
      <c r="Z1024" s="297">
        <v>0</v>
      </c>
      <c r="AA1024" s="297">
        <v>0</v>
      </c>
      <c r="AB1024" s="297">
        <v>0</v>
      </c>
      <c r="AC1024" s="297">
        <v>0</v>
      </c>
      <c r="AD1024" s="297">
        <v>0</v>
      </c>
      <c r="AE1024" s="297">
        <v>0</v>
      </c>
      <c r="AF1024" s="297">
        <v>0</v>
      </c>
      <c r="AG1024" s="297">
        <v>0</v>
      </c>
      <c r="AH1024" s="297">
        <v>0</v>
      </c>
      <c r="AI1024" s="297">
        <v>0</v>
      </c>
      <c r="AJ1024" s="297">
        <v>0</v>
      </c>
      <c r="AK1024" s="297">
        <v>0</v>
      </c>
      <c r="AL1024" s="297">
        <v>0</v>
      </c>
      <c r="AM1024" s="297">
        <v>0</v>
      </c>
      <c r="AN1024" s="297">
        <v>0</v>
      </c>
      <c r="AO1024" s="297">
        <v>0</v>
      </c>
      <c r="AP1024" s="297">
        <v>0</v>
      </c>
      <c r="AQ1024" s="297">
        <v>0</v>
      </c>
      <c r="AR1024" s="297">
        <v>0</v>
      </c>
      <c r="AS1024" s="297">
        <v>0</v>
      </c>
      <c r="AT1024" s="297">
        <v>0</v>
      </c>
      <c r="AU1024" s="297">
        <v>0</v>
      </c>
      <c r="AV1024" s="297">
        <v>0</v>
      </c>
      <c r="AW1024" s="297">
        <v>0</v>
      </c>
      <c r="AX1024" s="297">
        <v>0</v>
      </c>
      <c r="AY1024" s="297">
        <v>0</v>
      </c>
      <c r="AZ1024" s="297">
        <v>0</v>
      </c>
      <c r="BA1024" s="297">
        <v>0</v>
      </c>
      <c r="BB1024" s="297">
        <v>0</v>
      </c>
      <c r="BC1024" s="177"/>
      <c r="BD1024" s="178">
        <f>SUM(G1024:BC1024)</f>
        <v>0</v>
      </c>
    </row>
    <row r="1025" spans="1:56" hidden="1" x14ac:dyDescent="0.3">
      <c r="A1025" s="184" t="str">
        <f ca="1">Language!A$1025</f>
        <v>платеж по аренде в оттоках денежных средств (без НДС)</v>
      </c>
      <c r="B1025" s="163"/>
      <c r="C1025" s="163" t="str">
        <f ca="1">CHOOSE(D1025,CurName1,CurName2,CurName3)</f>
        <v>руб.</v>
      </c>
      <c r="D1025" s="174">
        <v>1</v>
      </c>
      <c r="E1025" s="170" t="s">
        <v>1190</v>
      </c>
      <c r="F1025" s="170" t="s">
        <v>743</v>
      </c>
      <c r="G1025" s="185">
        <f>G1024*CHOOSE($D1024,1,Параметры!G$53,Параметры!G$59)</f>
        <v>0</v>
      </c>
      <c r="H1025" s="185">
        <f>H1024*CHOOSE($D1024,1,Параметры!H$53,Параметры!H$59)</f>
        <v>0</v>
      </c>
      <c r="I1025" s="185">
        <f>I1024*CHOOSE($D1024,1,Параметры!I$53,Параметры!I$59)</f>
        <v>0</v>
      </c>
      <c r="J1025" s="185">
        <f>J1024*CHOOSE($D1024,1,Параметры!J$53,Параметры!J$59)</f>
        <v>0</v>
      </c>
      <c r="K1025" s="185">
        <f>K1024*CHOOSE($D1024,1,Параметры!K$53,Параметры!K$59)</f>
        <v>0</v>
      </c>
      <c r="L1025" s="185">
        <f>L1024*CHOOSE($D1024,1,Параметры!L$53,Параметры!L$59)</f>
        <v>0</v>
      </c>
      <c r="M1025" s="185">
        <f>M1024*CHOOSE($D1024,1,Параметры!M$53,Параметры!M$59)</f>
        <v>0</v>
      </c>
      <c r="N1025" s="185">
        <f>N1024*CHOOSE($D1024,1,Параметры!N$53,Параметры!N$59)</f>
        <v>0</v>
      </c>
      <c r="O1025" s="185">
        <f>O1024*CHOOSE($D1024,1,Параметры!O$53,Параметры!O$59)</f>
        <v>0</v>
      </c>
      <c r="P1025" s="185">
        <f>P1024*CHOOSE($D1024,1,Параметры!P$53,Параметры!P$59)</f>
        <v>0</v>
      </c>
      <c r="Q1025" s="185">
        <f>Q1024*CHOOSE($D1024,1,Параметры!Q$53,Параметры!Q$59)</f>
        <v>0</v>
      </c>
      <c r="R1025" s="185">
        <f>R1024*CHOOSE($D1024,1,Параметры!R$53,Параметры!R$59)</f>
        <v>0</v>
      </c>
      <c r="S1025" s="185">
        <f>S1024*CHOOSE($D1024,1,Параметры!S$53,Параметры!S$59)</f>
        <v>0</v>
      </c>
      <c r="T1025" s="185">
        <f>T1024*CHOOSE($D1024,1,Параметры!T$53,Параметры!T$59)</f>
        <v>0</v>
      </c>
      <c r="U1025" s="185">
        <f>U1024*CHOOSE($D1024,1,Параметры!U$53,Параметры!U$59)</f>
        <v>0</v>
      </c>
      <c r="V1025" s="185">
        <f>V1024*CHOOSE($D1024,1,Параметры!V$53,Параметры!V$59)</f>
        <v>0</v>
      </c>
      <c r="W1025" s="185">
        <f>W1024*CHOOSE($D1024,1,Параметры!W$53,Параметры!W$59)</f>
        <v>0</v>
      </c>
      <c r="X1025" s="185">
        <f>X1024*CHOOSE($D1024,1,Параметры!X$53,Параметры!X$59)</f>
        <v>0</v>
      </c>
      <c r="Y1025" s="185">
        <f>Y1024*CHOOSE($D1024,1,Параметры!Y$53,Параметры!Y$59)</f>
        <v>0</v>
      </c>
      <c r="Z1025" s="185">
        <f>Z1024*CHOOSE($D1024,1,Параметры!Z$53,Параметры!Z$59)</f>
        <v>0</v>
      </c>
      <c r="AA1025" s="185">
        <f>AA1024*CHOOSE($D1024,1,Параметры!AA$53,Параметры!AA$59)</f>
        <v>0</v>
      </c>
      <c r="AB1025" s="185">
        <f>AB1024*CHOOSE($D1024,1,Параметры!AB$53,Параметры!AB$59)</f>
        <v>0</v>
      </c>
      <c r="AC1025" s="185">
        <f>AC1024*CHOOSE($D1024,1,Параметры!AC$53,Параметры!AC$59)</f>
        <v>0</v>
      </c>
      <c r="AD1025" s="185">
        <f>AD1024*CHOOSE($D1024,1,Параметры!AD$53,Параметры!AD$59)</f>
        <v>0</v>
      </c>
      <c r="AE1025" s="185">
        <f>AE1024*CHOOSE($D1024,1,Параметры!AE$53,Параметры!AE$59)</f>
        <v>0</v>
      </c>
      <c r="AF1025" s="185">
        <f>AF1024*CHOOSE($D1024,1,Параметры!AF$53,Параметры!AF$59)</f>
        <v>0</v>
      </c>
      <c r="AG1025" s="185">
        <f>AG1024*CHOOSE($D1024,1,Параметры!AG$53,Параметры!AG$59)</f>
        <v>0</v>
      </c>
      <c r="AH1025" s="185">
        <f>AH1024*CHOOSE($D1024,1,Параметры!AH$53,Параметры!AH$59)</f>
        <v>0</v>
      </c>
      <c r="AI1025" s="185">
        <f>AI1024*CHOOSE($D1024,1,Параметры!AI$53,Параметры!AI$59)</f>
        <v>0</v>
      </c>
      <c r="AJ1025" s="185">
        <f>AJ1024*CHOOSE($D1024,1,Параметры!AJ$53,Параметры!AJ$59)</f>
        <v>0</v>
      </c>
      <c r="AK1025" s="185">
        <f>AK1024*CHOOSE($D1024,1,Параметры!AK$53,Параметры!AK$59)</f>
        <v>0</v>
      </c>
      <c r="AL1025" s="185">
        <f>AL1024*CHOOSE($D1024,1,Параметры!AL$53,Параметры!AL$59)</f>
        <v>0</v>
      </c>
      <c r="AM1025" s="185">
        <f>AM1024*CHOOSE($D1024,1,Параметры!AM$53,Параметры!AM$59)</f>
        <v>0</v>
      </c>
      <c r="AN1025" s="185">
        <f>AN1024*CHOOSE($D1024,1,Параметры!AN$53,Параметры!AN$59)</f>
        <v>0</v>
      </c>
      <c r="AO1025" s="185">
        <f>AO1024*CHOOSE($D1024,1,Параметры!AO$53,Параметры!AO$59)</f>
        <v>0</v>
      </c>
      <c r="AP1025" s="185">
        <f>AP1024*CHOOSE($D1024,1,Параметры!AP$53,Параметры!AP$59)</f>
        <v>0</v>
      </c>
      <c r="AQ1025" s="185">
        <f>AQ1024*CHOOSE($D1024,1,Параметры!AQ$53,Параметры!AQ$59)</f>
        <v>0</v>
      </c>
      <c r="AR1025" s="185">
        <f>AR1024*CHOOSE($D1024,1,Параметры!AR$53,Параметры!AR$59)</f>
        <v>0</v>
      </c>
      <c r="AS1025" s="185">
        <f>AS1024*CHOOSE($D1024,1,Параметры!AS$53,Параметры!AS$59)</f>
        <v>0</v>
      </c>
      <c r="AT1025" s="185">
        <f>AT1024*CHOOSE($D1024,1,Параметры!AT$53,Параметры!AT$59)</f>
        <v>0</v>
      </c>
      <c r="AU1025" s="185">
        <f>AU1024*CHOOSE($D1024,1,Параметры!AU$53,Параметры!AU$59)</f>
        <v>0</v>
      </c>
      <c r="AV1025" s="185">
        <f>AV1024*CHOOSE($D1024,1,Параметры!AV$53,Параметры!AV$59)</f>
        <v>0</v>
      </c>
      <c r="AW1025" s="185">
        <f>AW1024*CHOOSE($D1024,1,Параметры!AW$53,Параметры!AW$59)</f>
        <v>0</v>
      </c>
      <c r="AX1025" s="185">
        <f>AX1024*CHOOSE($D1024,1,Параметры!AX$53,Параметры!AX$59)</f>
        <v>0</v>
      </c>
      <c r="AY1025" s="185">
        <f>AY1024*CHOOSE($D1024,1,Параметры!AY$53,Параметры!AY$59)</f>
        <v>0</v>
      </c>
      <c r="AZ1025" s="185">
        <f>AZ1024*CHOOSE($D1024,1,Параметры!AZ$53,Параметры!AZ$59)</f>
        <v>0</v>
      </c>
      <c r="BA1025" s="185">
        <f>BA1024*CHOOSE($D1024,1,Параметры!BA$53,Параметры!BA$59)</f>
        <v>0</v>
      </c>
      <c r="BB1025" s="185">
        <f>BB1024*CHOOSE($D1024,1,Параметры!BB$53,Параметры!BB$59)</f>
        <v>0</v>
      </c>
      <c r="BC1025" s="185"/>
      <c r="BD1025" s="178">
        <f>SUM(G1025:BC1025)</f>
        <v>0</v>
      </c>
    </row>
    <row r="1026" spans="1:56" hidden="1" x14ac:dyDescent="0.3">
      <c r="A1026" s="184" t="str">
        <f ca="1">Language!A$1026</f>
        <v>платеж по аренде в затратах (без НДС)</v>
      </c>
      <c r="B1026" s="163"/>
      <c r="C1026" s="163" t="str">
        <f ca="1">CHOOSE(D1026,CurName1,CurName2,CurName3)</f>
        <v>руб.</v>
      </c>
      <c r="D1026" s="174">
        <v>1</v>
      </c>
      <c r="E1026" s="170" t="s">
        <v>1194</v>
      </c>
      <c r="F1026" s="170" t="s">
        <v>743</v>
      </c>
      <c r="G1026" s="185">
        <f>IF(G$2&gt;=$B1022,IF(G$2=1,$BD1025/($B1023*Prj_Step)*Параметры!G$31,MIN($BD1025/($B1023*Prj_Step)*Параметры!G$31,$BD1025-SUM($F1026:F1026))),0)</f>
        <v>0</v>
      </c>
      <c r="H1026" s="185">
        <f>IF(H$2&gt;=$B1022,IF(H$2=1,$BD1025/($B1023*Prj_Step)*Параметры!H$31,MIN($BD1025/($B1023*Prj_Step)*Параметры!H$31,$BD1025-SUM($F1026:G1026))),0)</f>
        <v>0</v>
      </c>
      <c r="I1026" s="185">
        <f>IF(I$2&gt;=$B1022,IF(I$2=1,$BD1025/($B1023*Prj_Step)*Параметры!I$31,MIN($BD1025/($B1023*Prj_Step)*Параметры!I$31,$BD1025-SUM($F1026:H1026))),0)</f>
        <v>0</v>
      </c>
      <c r="J1026" s="185">
        <f>IF(J$2&gt;=$B1022,IF(J$2=1,$BD1025/($B1023*Prj_Step)*Параметры!J$31,MIN($BD1025/($B1023*Prj_Step)*Параметры!J$31,$BD1025-SUM($F1026:I1026))),0)</f>
        <v>0</v>
      </c>
      <c r="K1026" s="185">
        <f>IF(K$2&gt;=$B1022,IF(K$2=1,$BD1025/($B1023*Prj_Step)*Параметры!K$31,MIN($BD1025/($B1023*Prj_Step)*Параметры!K$31,$BD1025-SUM($F1026:J1026))),0)</f>
        <v>0</v>
      </c>
      <c r="L1026" s="185">
        <f>IF(L$2&gt;=$B1022,IF(L$2=1,$BD1025/($B1023*Prj_Step)*Параметры!L$31,MIN($BD1025/($B1023*Prj_Step)*Параметры!L$31,$BD1025-SUM($F1026:K1026))),0)</f>
        <v>0</v>
      </c>
      <c r="M1026" s="185">
        <f>IF(M$2&gt;=$B1022,IF(M$2=1,$BD1025/($B1023*Prj_Step)*Параметры!M$31,MIN($BD1025/($B1023*Prj_Step)*Параметры!M$31,$BD1025-SUM($F1026:L1026))),0)</f>
        <v>0</v>
      </c>
      <c r="N1026" s="185">
        <f>IF(N$2&gt;=$B1022,IF(N$2=1,$BD1025/($B1023*Prj_Step)*Параметры!N$31,MIN($BD1025/($B1023*Prj_Step)*Параметры!N$31,$BD1025-SUM($F1026:M1026))),0)</f>
        <v>0</v>
      </c>
      <c r="O1026" s="185">
        <f>IF(O$2&gt;=$B1022,IF(O$2=1,$BD1025/($B1023*Prj_Step)*Параметры!O$31,MIN($BD1025/($B1023*Prj_Step)*Параметры!O$31,$BD1025-SUM($F1026:N1026))),0)</f>
        <v>0</v>
      </c>
      <c r="P1026" s="185">
        <f>IF(P$2&gt;=$B1022,IF(P$2=1,$BD1025/($B1023*Prj_Step)*Параметры!P$31,MIN($BD1025/($B1023*Prj_Step)*Параметры!P$31,$BD1025-SUM($F1026:O1026))),0)</f>
        <v>0</v>
      </c>
      <c r="Q1026" s="185">
        <f>IF(Q$2&gt;=$B1022,IF(Q$2=1,$BD1025/($B1023*Prj_Step)*Параметры!Q$31,MIN($BD1025/($B1023*Prj_Step)*Параметры!Q$31,$BD1025-SUM($F1026:P1026))),0)</f>
        <v>0</v>
      </c>
      <c r="R1026" s="185">
        <f>IF(R$2&gt;=$B1022,IF(R$2=1,$BD1025/($B1023*Prj_Step)*Параметры!R$31,MIN($BD1025/($B1023*Prj_Step)*Параметры!R$31,$BD1025-SUM($F1026:Q1026))),0)</f>
        <v>0</v>
      </c>
      <c r="S1026" s="185">
        <f>IF(S$2&gt;=$B1022,IF(S$2=1,$BD1025/($B1023*Prj_Step)*Параметры!S$31,MIN($BD1025/($B1023*Prj_Step)*Параметры!S$31,$BD1025-SUM($F1026:R1026))),0)</f>
        <v>0</v>
      </c>
      <c r="T1026" s="185">
        <f>IF(T$2&gt;=$B1022,IF(T$2=1,$BD1025/($B1023*Prj_Step)*Параметры!T$31,MIN($BD1025/($B1023*Prj_Step)*Параметры!T$31,$BD1025-SUM($F1026:S1026))),0)</f>
        <v>0</v>
      </c>
      <c r="U1026" s="185">
        <f>IF(U$2&gt;=$B1022,IF(U$2=1,$BD1025/($B1023*Prj_Step)*Параметры!U$31,MIN($BD1025/($B1023*Prj_Step)*Параметры!U$31,$BD1025-SUM($F1026:T1026))),0)</f>
        <v>0</v>
      </c>
      <c r="V1026" s="185">
        <f>IF(V$2&gt;=$B1022,IF(V$2=1,$BD1025/($B1023*Prj_Step)*Параметры!V$31,MIN($BD1025/($B1023*Prj_Step)*Параметры!V$31,$BD1025-SUM($F1026:U1026))),0)</f>
        <v>0</v>
      </c>
      <c r="W1026" s="185">
        <f>IF(W$2&gt;=$B1022,IF(W$2=1,$BD1025/($B1023*Prj_Step)*Параметры!W$31,MIN($BD1025/($B1023*Prj_Step)*Параметры!W$31,$BD1025-SUM($F1026:V1026))),0)</f>
        <v>0</v>
      </c>
      <c r="X1026" s="185">
        <f>IF(X$2&gt;=$B1022,IF(X$2=1,$BD1025/($B1023*Prj_Step)*Параметры!X$31,MIN($BD1025/($B1023*Prj_Step)*Параметры!X$31,$BD1025-SUM($F1026:W1026))),0)</f>
        <v>0</v>
      </c>
      <c r="Y1026" s="185">
        <f>IF(Y$2&gt;=$B1022,IF(Y$2=1,$BD1025/($B1023*Prj_Step)*Параметры!Y$31,MIN($BD1025/($B1023*Prj_Step)*Параметры!Y$31,$BD1025-SUM($F1026:X1026))),0)</f>
        <v>0</v>
      </c>
      <c r="Z1026" s="185">
        <f>IF(Z$2&gt;=$B1022,IF(Z$2=1,$BD1025/($B1023*Prj_Step)*Параметры!Z$31,MIN($BD1025/($B1023*Prj_Step)*Параметры!Z$31,$BD1025-SUM($F1026:Y1026))),0)</f>
        <v>0</v>
      </c>
      <c r="AA1026" s="185">
        <f>IF(AA$2&gt;=$B1022,IF(AA$2=1,$BD1025/($B1023*Prj_Step)*Параметры!AA$31,MIN($BD1025/($B1023*Prj_Step)*Параметры!AA$31,$BD1025-SUM($F1026:Z1026))),0)</f>
        <v>0</v>
      </c>
      <c r="AB1026" s="185">
        <f>IF(AB$2&gt;=$B1022,IF(AB$2=1,$BD1025/($B1023*Prj_Step)*Параметры!AB$31,MIN($BD1025/($B1023*Prj_Step)*Параметры!AB$31,$BD1025-SUM($F1026:AA1026))),0)</f>
        <v>0</v>
      </c>
      <c r="AC1026" s="185">
        <f>IF(AC$2&gt;=$B1022,IF(AC$2=1,$BD1025/($B1023*Prj_Step)*Параметры!AC$31,MIN($BD1025/($B1023*Prj_Step)*Параметры!AC$31,$BD1025-SUM($F1026:AB1026))),0)</f>
        <v>0</v>
      </c>
      <c r="AD1026" s="185">
        <f>IF(AD$2&gt;=$B1022,IF(AD$2=1,$BD1025/($B1023*Prj_Step)*Параметры!AD$31,MIN($BD1025/($B1023*Prj_Step)*Параметры!AD$31,$BD1025-SUM($F1026:AC1026))),0)</f>
        <v>0</v>
      </c>
      <c r="AE1026" s="185">
        <f>IF(AE$2&gt;=$B1022,IF(AE$2=1,$BD1025/($B1023*Prj_Step)*Параметры!AE$31,MIN($BD1025/($B1023*Prj_Step)*Параметры!AE$31,$BD1025-SUM($F1026:AD1026))),0)</f>
        <v>0</v>
      </c>
      <c r="AF1026" s="185">
        <f>IF(AF$2&gt;=$B1022,IF(AF$2=1,$BD1025/($B1023*Prj_Step)*Параметры!AF$31,MIN($BD1025/($B1023*Prj_Step)*Параметры!AF$31,$BD1025-SUM($F1026:AE1026))),0)</f>
        <v>0</v>
      </c>
      <c r="AG1026" s="185">
        <f>IF(AG$2&gt;=$B1022,IF(AG$2=1,$BD1025/($B1023*Prj_Step)*Параметры!AG$31,MIN($BD1025/($B1023*Prj_Step)*Параметры!AG$31,$BD1025-SUM($F1026:AF1026))),0)</f>
        <v>0</v>
      </c>
      <c r="AH1026" s="185">
        <f>IF(AH$2&gt;=$B1022,IF(AH$2=1,$BD1025/($B1023*Prj_Step)*Параметры!AH$31,MIN($BD1025/($B1023*Prj_Step)*Параметры!AH$31,$BD1025-SUM($F1026:AG1026))),0)</f>
        <v>0</v>
      </c>
      <c r="AI1026" s="185">
        <f>IF(AI$2&gt;=$B1022,IF(AI$2=1,$BD1025/($B1023*Prj_Step)*Параметры!AI$31,MIN($BD1025/($B1023*Prj_Step)*Параметры!AI$31,$BD1025-SUM($F1026:AH1026))),0)</f>
        <v>0</v>
      </c>
      <c r="AJ1026" s="185">
        <f>IF(AJ$2&gt;=$B1022,IF(AJ$2=1,$BD1025/($B1023*Prj_Step)*Параметры!AJ$31,MIN($BD1025/($B1023*Prj_Step)*Параметры!AJ$31,$BD1025-SUM($F1026:AI1026))),0)</f>
        <v>0</v>
      </c>
      <c r="AK1026" s="185">
        <f>IF(AK$2&gt;=$B1022,IF(AK$2=1,$BD1025/($B1023*Prj_Step)*Параметры!AK$31,MIN($BD1025/($B1023*Prj_Step)*Параметры!AK$31,$BD1025-SUM($F1026:AJ1026))),0)</f>
        <v>0</v>
      </c>
      <c r="AL1026" s="185">
        <f>IF(AL$2&gt;=$B1022,IF(AL$2=1,$BD1025/($B1023*Prj_Step)*Параметры!AL$31,MIN($BD1025/($B1023*Prj_Step)*Параметры!AL$31,$BD1025-SUM($F1026:AK1026))),0)</f>
        <v>0</v>
      </c>
      <c r="AM1026" s="185">
        <f>IF(AM$2&gt;=$B1022,IF(AM$2=1,$BD1025/($B1023*Prj_Step)*Параметры!AM$31,MIN($BD1025/($B1023*Prj_Step)*Параметры!AM$31,$BD1025-SUM($F1026:AL1026))),0)</f>
        <v>0</v>
      </c>
      <c r="AN1026" s="185">
        <f>IF(AN$2&gt;=$B1022,IF(AN$2=1,$BD1025/($B1023*Prj_Step)*Параметры!AN$31,MIN($BD1025/($B1023*Prj_Step)*Параметры!AN$31,$BD1025-SUM($F1026:AM1026))),0)</f>
        <v>0</v>
      </c>
      <c r="AO1026" s="185">
        <f>IF(AO$2&gt;=$B1022,IF(AO$2=1,$BD1025/($B1023*Prj_Step)*Параметры!AO$31,MIN($BD1025/($B1023*Prj_Step)*Параметры!AO$31,$BD1025-SUM($F1026:AN1026))),0)</f>
        <v>0</v>
      </c>
      <c r="AP1026" s="185">
        <f>IF(AP$2&gt;=$B1022,IF(AP$2=1,$BD1025/($B1023*Prj_Step)*Параметры!AP$31,MIN($BD1025/($B1023*Prj_Step)*Параметры!AP$31,$BD1025-SUM($F1026:AO1026))),0)</f>
        <v>0</v>
      </c>
      <c r="AQ1026" s="185">
        <f>IF(AQ$2&gt;=$B1022,IF(AQ$2=1,$BD1025/($B1023*Prj_Step)*Параметры!AQ$31,MIN($BD1025/($B1023*Prj_Step)*Параметры!AQ$31,$BD1025-SUM($F1026:AP1026))),0)</f>
        <v>0</v>
      </c>
      <c r="AR1026" s="185">
        <f>IF(AR$2&gt;=$B1022,IF(AR$2=1,$BD1025/($B1023*Prj_Step)*Параметры!AR$31,MIN($BD1025/($B1023*Prj_Step)*Параметры!AR$31,$BD1025-SUM($F1026:AQ1026))),0)</f>
        <v>0</v>
      </c>
      <c r="AS1026" s="185">
        <f>IF(AS$2&gt;=$B1022,IF(AS$2=1,$BD1025/($B1023*Prj_Step)*Параметры!AS$31,MIN($BD1025/($B1023*Prj_Step)*Параметры!AS$31,$BD1025-SUM($F1026:AR1026))),0)</f>
        <v>0</v>
      </c>
      <c r="AT1026" s="185">
        <f>IF(AT$2&gt;=$B1022,IF(AT$2=1,$BD1025/($B1023*Prj_Step)*Параметры!AT$31,MIN($BD1025/($B1023*Prj_Step)*Параметры!AT$31,$BD1025-SUM($F1026:AS1026))),0)</f>
        <v>0</v>
      </c>
      <c r="AU1026" s="185">
        <f>IF(AU$2&gt;=$B1022,IF(AU$2=1,$BD1025/($B1023*Prj_Step)*Параметры!AU$31,MIN($BD1025/($B1023*Prj_Step)*Параметры!AU$31,$BD1025-SUM($F1026:AT1026))),0)</f>
        <v>0</v>
      </c>
      <c r="AV1026" s="185">
        <f>IF(AV$2&gt;=$B1022,IF(AV$2=1,$BD1025/($B1023*Prj_Step)*Параметры!AV$31,MIN($BD1025/($B1023*Prj_Step)*Параметры!AV$31,$BD1025-SUM($F1026:AU1026))),0)</f>
        <v>0</v>
      </c>
      <c r="AW1026" s="185">
        <f>IF(AW$2&gt;=$B1022,IF(AW$2=1,$BD1025/($B1023*Prj_Step)*Параметры!AW$31,MIN($BD1025/($B1023*Prj_Step)*Параметры!AW$31,$BD1025-SUM($F1026:AV1026))),0)</f>
        <v>0</v>
      </c>
      <c r="AX1026" s="185">
        <f>IF(AX$2&gt;=$B1022,IF(AX$2=1,$BD1025/($B1023*Prj_Step)*Параметры!AX$31,MIN($BD1025/($B1023*Prj_Step)*Параметры!AX$31,$BD1025-SUM($F1026:AW1026))),0)</f>
        <v>0</v>
      </c>
      <c r="AY1026" s="185">
        <f>IF(AY$2&gt;=$B1022,IF(AY$2=1,$BD1025/($B1023*Prj_Step)*Параметры!AY$31,MIN($BD1025/($B1023*Prj_Step)*Параметры!AY$31,$BD1025-SUM($F1026:AX1026))),0)</f>
        <v>0</v>
      </c>
      <c r="AZ1026" s="185">
        <f>IF(AZ$2&gt;=$B1022,IF(AZ$2=1,$BD1025/($B1023*Prj_Step)*Параметры!AZ$31,MIN($BD1025/($B1023*Prj_Step)*Параметры!AZ$31,$BD1025-SUM($F1026:AY1026))),0)</f>
        <v>0</v>
      </c>
      <c r="BA1026" s="185">
        <f>IF(BA$2&gt;=$B1022,IF(BA$2=1,$BD1025/($B1023*Prj_Step)*Параметры!BA$31,MIN($BD1025/($B1023*Prj_Step)*Параметры!BA$31,$BD1025-SUM($F1026:AZ1026))),0)</f>
        <v>0</v>
      </c>
      <c r="BB1026" s="185">
        <f>IF(BB$2&gt;=$B1022,IF(BB$2=1,$BD1025/($B1023*Prj_Step)*Параметры!BB$31,MIN($BD1025/($B1023*Prj_Step)*Параметры!BB$31,$BD1025-SUM($F1026:BA1026))),0)</f>
        <v>0</v>
      </c>
      <c r="BC1026" s="185"/>
      <c r="BD1026" s="178">
        <f>SUM(G1026:BC1026)</f>
        <v>0</v>
      </c>
    </row>
    <row r="1027" spans="1:56" hidden="1" x14ac:dyDescent="0.3">
      <c r="A1027" s="184" t="str">
        <f ca="1">Language!A$1027</f>
        <v>стоимость объекта аренды (без НДС)</v>
      </c>
      <c r="B1027" s="212">
        <f>B1021*CHOOSE(D1021,1,INDEX(Параметры!G$53:BD$53,1,B1022),INDEX(Параметры!G$59:BD$59,1,B1022))</f>
        <v>0</v>
      </c>
      <c r="C1027" s="163" t="str">
        <f t="shared" ref="C1027:C1028" ca="1" si="3959">CHOOSE(D1027,CurName1,CurName2,CurName3)</f>
        <v>руб.</v>
      </c>
      <c r="D1027" s="174">
        <v>1</v>
      </c>
      <c r="F1027" s="170" t="s">
        <v>747</v>
      </c>
      <c r="G1027" s="185"/>
      <c r="H1027" s="185"/>
      <c r="I1027" s="185"/>
      <c r="J1027" s="185"/>
      <c r="K1027" s="185"/>
      <c r="L1027" s="185"/>
      <c r="M1027" s="185"/>
      <c r="N1027" s="185"/>
      <c r="O1027" s="185"/>
      <c r="P1027" s="185"/>
      <c r="Q1027" s="185"/>
      <c r="R1027" s="185"/>
      <c r="S1027" s="185"/>
      <c r="T1027" s="185"/>
      <c r="U1027" s="185"/>
      <c r="V1027" s="185"/>
      <c r="W1027" s="185"/>
      <c r="X1027" s="185"/>
      <c r="Y1027" s="185"/>
      <c r="Z1027" s="185"/>
      <c r="AA1027" s="185"/>
      <c r="AB1027" s="185"/>
      <c r="AC1027" s="185"/>
      <c r="AD1027" s="185"/>
      <c r="AE1027" s="185"/>
      <c r="AF1027" s="185"/>
      <c r="AG1027" s="185"/>
      <c r="AH1027" s="185"/>
      <c r="AI1027" s="185"/>
      <c r="AJ1027" s="185"/>
      <c r="AK1027" s="185"/>
      <c r="AL1027" s="185"/>
      <c r="AM1027" s="185"/>
      <c r="AN1027" s="185"/>
      <c r="AO1027" s="185"/>
      <c r="AP1027" s="185"/>
      <c r="AQ1027" s="185"/>
      <c r="AR1027" s="185"/>
      <c r="AS1027" s="185"/>
      <c r="AT1027" s="185"/>
      <c r="AU1027" s="185"/>
      <c r="AV1027" s="185"/>
      <c r="AW1027" s="185"/>
      <c r="AX1027" s="185"/>
      <c r="AY1027" s="185"/>
      <c r="AZ1027" s="185"/>
      <c r="BA1027" s="185"/>
      <c r="BB1027" s="185"/>
      <c r="BC1027" s="185"/>
      <c r="BD1027" s="193"/>
    </row>
    <row r="1028" spans="1:56" hidden="1" x14ac:dyDescent="0.3">
      <c r="A1028" s="184" t="str">
        <f ca="1">Language!A$1028</f>
        <v>поток для расчета ставки доходности</v>
      </c>
      <c r="B1028" s="212"/>
      <c r="C1028" s="163" t="str">
        <f t="shared" ca="1" si="3959"/>
        <v>руб.</v>
      </c>
      <c r="D1028" s="174">
        <v>1</v>
      </c>
      <c r="F1028" s="170" t="s">
        <v>743</v>
      </c>
      <c r="G1028" s="185">
        <f t="shared" ref="G1028:BC1028" ca="1" si="3960">IF(G$2=$B1022,-$B1027,IF(G$2&gt;$B1022,OFFSET(G1026,0,-1),IF(OFFSET(G$2,0,-1)=Prj_Len,OFFSET(G1026,0,-1),0)))</f>
        <v>0</v>
      </c>
      <c r="H1028" s="185">
        <f t="shared" ca="1" si="3960"/>
        <v>0</v>
      </c>
      <c r="I1028" s="185">
        <f t="shared" ca="1" si="3960"/>
        <v>0</v>
      </c>
      <c r="J1028" s="185">
        <f t="shared" ca="1" si="3960"/>
        <v>0</v>
      </c>
      <c r="K1028" s="185">
        <f t="shared" ca="1" si="3960"/>
        <v>0</v>
      </c>
      <c r="L1028" s="185">
        <f t="shared" ref="L1028:M1028" ca="1" si="3961">IF(L$2=$B1022,-$B1027,IF(L$2&gt;$B1022,OFFSET(L1026,0,-1),IF(OFFSET(L$2,0,-1)=Prj_Len,OFFSET(L1026,0,-1),0)))</f>
        <v>0</v>
      </c>
      <c r="M1028" s="185">
        <f t="shared" ca="1" si="3961"/>
        <v>0</v>
      </c>
      <c r="N1028" s="185">
        <f t="shared" ref="N1028:O1028" ca="1" si="3962">IF(N$2=$B1022,-$B1027,IF(N$2&gt;$B1022,OFFSET(N1026,0,-1),IF(OFFSET(N$2,0,-1)=Prj_Len,OFFSET(N1026,0,-1),0)))</f>
        <v>0</v>
      </c>
      <c r="O1028" s="185">
        <f t="shared" ca="1" si="3962"/>
        <v>0</v>
      </c>
      <c r="P1028" s="185">
        <f t="shared" ref="P1028:Q1028" ca="1" si="3963">IF(P$2=$B1022,-$B1027,IF(P$2&gt;$B1022,OFFSET(P1026,0,-1),IF(OFFSET(P$2,0,-1)=Prj_Len,OFFSET(P1026,0,-1),0)))</f>
        <v>0</v>
      </c>
      <c r="Q1028" s="185">
        <f t="shared" ca="1" si="3963"/>
        <v>0</v>
      </c>
      <c r="R1028" s="185">
        <f t="shared" ref="R1028:S1028" ca="1" si="3964">IF(R$2=$B1022,-$B1027,IF(R$2&gt;$B1022,OFFSET(R1026,0,-1),IF(OFFSET(R$2,0,-1)=Prj_Len,OFFSET(R1026,0,-1),0)))</f>
        <v>0</v>
      </c>
      <c r="S1028" s="185">
        <f t="shared" ca="1" si="3964"/>
        <v>0</v>
      </c>
      <c r="T1028" s="185">
        <f t="shared" ref="T1028:U1028" ca="1" si="3965">IF(T$2=$B1022,-$B1027,IF(T$2&gt;$B1022,OFFSET(T1026,0,-1),IF(OFFSET(T$2,0,-1)=Prj_Len,OFFSET(T1026,0,-1),0)))</f>
        <v>0</v>
      </c>
      <c r="U1028" s="185">
        <f t="shared" ca="1" si="3965"/>
        <v>0</v>
      </c>
      <c r="V1028" s="185">
        <f t="shared" ref="V1028:W1028" ca="1" si="3966">IF(V$2=$B1022,-$B1027,IF(V$2&gt;$B1022,OFFSET(V1026,0,-1),IF(OFFSET(V$2,0,-1)=Prj_Len,OFFSET(V1026,0,-1),0)))</f>
        <v>0</v>
      </c>
      <c r="W1028" s="185">
        <f t="shared" ca="1" si="3966"/>
        <v>0</v>
      </c>
      <c r="X1028" s="185">
        <f t="shared" ref="X1028:Y1028" ca="1" si="3967">IF(X$2=$B1022,-$B1027,IF(X$2&gt;$B1022,OFFSET(X1026,0,-1),IF(OFFSET(X$2,0,-1)=Prj_Len,OFFSET(X1026,0,-1),0)))</f>
        <v>0</v>
      </c>
      <c r="Y1028" s="185">
        <f t="shared" ca="1" si="3967"/>
        <v>0</v>
      </c>
      <c r="Z1028" s="185">
        <f t="shared" ref="Z1028:AA1028" ca="1" si="3968">IF(Z$2=$B1022,-$B1027,IF(Z$2&gt;$B1022,OFFSET(Z1026,0,-1),IF(OFFSET(Z$2,0,-1)=Prj_Len,OFFSET(Z1026,0,-1),0)))</f>
        <v>0</v>
      </c>
      <c r="AA1028" s="185">
        <f t="shared" ca="1" si="3968"/>
        <v>0</v>
      </c>
      <c r="AB1028" s="185">
        <f t="shared" ref="AB1028:AC1028" ca="1" si="3969">IF(AB$2=$B1022,-$B1027,IF(AB$2&gt;$B1022,OFFSET(AB1026,0,-1),IF(OFFSET(AB$2,0,-1)=Prj_Len,OFFSET(AB1026,0,-1),0)))</f>
        <v>0</v>
      </c>
      <c r="AC1028" s="185">
        <f t="shared" ca="1" si="3969"/>
        <v>0</v>
      </c>
      <c r="AD1028" s="185">
        <f t="shared" ref="AD1028:AE1028" ca="1" si="3970">IF(AD$2=$B1022,-$B1027,IF(AD$2&gt;$B1022,OFFSET(AD1026,0,-1),IF(OFFSET(AD$2,0,-1)=Prj_Len,OFFSET(AD1026,0,-1),0)))</f>
        <v>0</v>
      </c>
      <c r="AE1028" s="185">
        <f t="shared" ca="1" si="3970"/>
        <v>0</v>
      </c>
      <c r="AF1028" s="185">
        <f t="shared" ref="AF1028:AG1028" ca="1" si="3971">IF(AF$2=$B1022,-$B1027,IF(AF$2&gt;$B1022,OFFSET(AF1026,0,-1),IF(OFFSET(AF$2,0,-1)=Prj_Len,OFFSET(AF1026,0,-1),0)))</f>
        <v>0</v>
      </c>
      <c r="AG1028" s="185">
        <f t="shared" ca="1" si="3971"/>
        <v>0</v>
      </c>
      <c r="AH1028" s="185">
        <f t="shared" ref="AH1028:AI1028" ca="1" si="3972">IF(AH$2=$B1022,-$B1027,IF(AH$2&gt;$B1022,OFFSET(AH1026,0,-1),IF(OFFSET(AH$2,0,-1)=Prj_Len,OFFSET(AH1026,0,-1),0)))</f>
        <v>0</v>
      </c>
      <c r="AI1028" s="185">
        <f t="shared" ca="1" si="3972"/>
        <v>0</v>
      </c>
      <c r="AJ1028" s="185">
        <f t="shared" ref="AJ1028:AK1028" ca="1" si="3973">IF(AJ$2=$B1022,-$B1027,IF(AJ$2&gt;$B1022,OFFSET(AJ1026,0,-1),IF(OFFSET(AJ$2,0,-1)=Prj_Len,OFFSET(AJ1026,0,-1),0)))</f>
        <v>0</v>
      </c>
      <c r="AK1028" s="185">
        <f t="shared" ca="1" si="3973"/>
        <v>0</v>
      </c>
      <c r="AL1028" s="185">
        <f t="shared" ref="AL1028:AM1028" ca="1" si="3974">IF(AL$2=$B1022,-$B1027,IF(AL$2&gt;$B1022,OFFSET(AL1026,0,-1),IF(OFFSET(AL$2,0,-1)=Prj_Len,OFFSET(AL1026,0,-1),0)))</f>
        <v>0</v>
      </c>
      <c r="AM1028" s="185">
        <f t="shared" ca="1" si="3974"/>
        <v>0</v>
      </c>
      <c r="AN1028" s="185">
        <f t="shared" ref="AN1028:AO1028" ca="1" si="3975">IF(AN$2=$B1022,-$B1027,IF(AN$2&gt;$B1022,OFFSET(AN1026,0,-1),IF(OFFSET(AN$2,0,-1)=Prj_Len,OFFSET(AN1026,0,-1),0)))</f>
        <v>0</v>
      </c>
      <c r="AO1028" s="185">
        <f t="shared" ca="1" si="3975"/>
        <v>0</v>
      </c>
      <c r="AP1028" s="185">
        <f t="shared" ref="AP1028:AQ1028" ca="1" si="3976">IF(AP$2=$B1022,-$B1027,IF(AP$2&gt;$B1022,OFFSET(AP1026,0,-1),IF(OFFSET(AP$2,0,-1)=Prj_Len,OFFSET(AP1026,0,-1),0)))</f>
        <v>0</v>
      </c>
      <c r="AQ1028" s="185">
        <f t="shared" ca="1" si="3976"/>
        <v>0</v>
      </c>
      <c r="AR1028" s="185">
        <f t="shared" ref="AR1028:AS1028" ca="1" si="3977">IF(AR$2=$B1022,-$B1027,IF(AR$2&gt;$B1022,OFFSET(AR1026,0,-1),IF(OFFSET(AR$2,0,-1)=Prj_Len,OFFSET(AR1026,0,-1),0)))</f>
        <v>0</v>
      </c>
      <c r="AS1028" s="185">
        <f t="shared" ca="1" si="3977"/>
        <v>0</v>
      </c>
      <c r="AT1028" s="185">
        <f t="shared" ref="AT1028:AU1028" ca="1" si="3978">IF(AT$2=$B1022,-$B1027,IF(AT$2&gt;$B1022,OFFSET(AT1026,0,-1),IF(OFFSET(AT$2,0,-1)=Prj_Len,OFFSET(AT1026,0,-1),0)))</f>
        <v>0</v>
      </c>
      <c r="AU1028" s="185">
        <f t="shared" ca="1" si="3978"/>
        <v>0</v>
      </c>
      <c r="AV1028" s="185">
        <f t="shared" ref="AV1028:AW1028" ca="1" si="3979">IF(AV$2=$B1022,-$B1027,IF(AV$2&gt;$B1022,OFFSET(AV1026,0,-1),IF(OFFSET(AV$2,0,-1)=Prj_Len,OFFSET(AV1026,0,-1),0)))</f>
        <v>0</v>
      </c>
      <c r="AW1028" s="185">
        <f t="shared" ca="1" si="3979"/>
        <v>0</v>
      </c>
      <c r="AX1028" s="185">
        <f t="shared" ref="AX1028:AY1028" ca="1" si="3980">IF(AX$2=$B1022,-$B1027,IF(AX$2&gt;$B1022,OFFSET(AX1026,0,-1),IF(OFFSET(AX$2,0,-1)=Prj_Len,OFFSET(AX1026,0,-1),0)))</f>
        <v>0</v>
      </c>
      <c r="AY1028" s="185">
        <f t="shared" ca="1" si="3980"/>
        <v>0</v>
      </c>
      <c r="AZ1028" s="185">
        <f t="shared" ref="AZ1028:BA1028" ca="1" si="3981">IF(AZ$2=$B1022,-$B1027,IF(AZ$2&gt;$B1022,OFFSET(AZ1026,0,-1),IF(OFFSET(AZ$2,0,-1)=Prj_Len,OFFSET(AZ1026,0,-1),0)))</f>
        <v>0</v>
      </c>
      <c r="BA1028" s="185">
        <f t="shared" ca="1" si="3981"/>
        <v>0</v>
      </c>
      <c r="BB1028" s="185">
        <f t="shared" ref="BB1028" ca="1" si="3982">IF(BB$2=$B1022,-$B1027,IF(BB$2&gt;$B1022,OFFSET(BB1026,0,-1),IF(OFFSET(BB$2,0,-1)=Prj_Len,OFFSET(BB1026,0,-1),0)))</f>
        <v>0</v>
      </c>
      <c r="BC1028" s="185">
        <f t="shared" ca="1" si="3960"/>
        <v>0</v>
      </c>
      <c r="BD1028" s="178"/>
    </row>
    <row r="1029" spans="1:56" hidden="1" x14ac:dyDescent="0.3">
      <c r="A1029" s="184" t="str">
        <f ca="1">Language!A$1029</f>
        <v>даты для расчета ставки доходности</v>
      </c>
      <c r="B1029" s="212"/>
      <c r="C1029" s="163"/>
      <c r="D1029" s="174"/>
      <c r="F1029" s="170" t="s">
        <v>747</v>
      </c>
      <c r="G1029" s="219">
        <f ca="1">IF(G$2=$B1022,Параметры!G$26,IF(G$2&gt;$B1022,EDATE(OFFSET(Параметры!G$26,0,-1),OFFSET(G1033,0,-1)/30)-1,IF(OFFSET(G$2,0,-1)=Prj_Len,OFFSET(G1029,0,-1),OFFSET(G1029,0,1))))</f>
        <v>45658</v>
      </c>
      <c r="H1029" s="219">
        <f ca="1">IF(H$2=$B1022,Параметры!H$26,IF(H$2&gt;$B1022,EDATE(OFFSET(Параметры!H$26,0,-1),OFFSET(H1033,0,-1)/30)-1,IF(OFFSET(H$2,0,-1)=Prj_Len,OFFSET(H1029,0,-1),OFFSET(H1029,0,1))))</f>
        <v>45688</v>
      </c>
      <c r="I1029" s="219">
        <f ca="1">IF(I$2=$B1022,Параметры!I$26,IF(I$2&gt;$B1022,EDATE(OFFSET(Параметры!I$26,0,-1),OFFSET(I1033,0,-1)/30)-1,IF(OFFSET(I$2,0,-1)=Prj_Len,OFFSET(I1029,0,-1),OFFSET(I1029,0,1))))</f>
        <v>45716</v>
      </c>
      <c r="J1029" s="219">
        <f ca="1">IF(J$2=$B1022,Параметры!J$26,IF(J$2&gt;$B1022,EDATE(OFFSET(Параметры!J$26,0,-1),OFFSET(J1033,0,-1)/30)-1,IF(OFFSET(J$2,0,-1)=Prj_Len,OFFSET(J1029,0,-1),OFFSET(J1029,0,1))))</f>
        <v>45747</v>
      </c>
      <c r="K1029" s="219">
        <f ca="1">IF(K$2=$B1022,Параметры!K$26,IF(K$2&gt;$B1022,EDATE(OFFSET(Параметры!K$26,0,-1),OFFSET(K1033,0,-1)/30)-1,IF(OFFSET(K$2,0,-1)=Prj_Len,OFFSET(K1029,0,-1),OFFSET(K1029,0,1))))</f>
        <v>45747</v>
      </c>
      <c r="L1029" s="219">
        <f ca="1">IF(L$2=$B1022,Параметры!L$26,IF(L$2&gt;$B1022,EDATE(OFFSET(Параметры!L$26,0,-1),OFFSET(L1033,0,-1)/30)-1,IF(OFFSET(L$2,0,-1)=Prj_Len,OFFSET(L1029,0,-1),OFFSET(L1029,0,1))))</f>
        <v>45777</v>
      </c>
      <c r="M1029" s="219">
        <f ca="1">IF(M$2=$B1022,Параметры!M$26,IF(M$2&gt;$B1022,EDATE(OFFSET(Параметры!M$26,0,-1),OFFSET(M1033,0,-1)/30)-1,IF(OFFSET(M$2,0,-1)=Prj_Len,OFFSET(M1029,0,-1),OFFSET(M1029,0,1))))</f>
        <v>45808</v>
      </c>
      <c r="N1029" s="219">
        <f ca="1">IF(N$2=$B1022,Параметры!N$26,IF(N$2&gt;$B1022,EDATE(OFFSET(Параметры!N$26,0,-1),OFFSET(N1033,0,-1)/30)-1,IF(OFFSET(N$2,0,-1)=Prj_Len,OFFSET(N1029,0,-1),OFFSET(N1029,0,1))))</f>
        <v>45838</v>
      </c>
      <c r="O1029" s="219">
        <f ca="1">IF(O$2=$B1022,Параметры!O$26,IF(O$2&gt;$B1022,EDATE(OFFSET(Параметры!O$26,0,-1),OFFSET(O1033,0,-1)/30)-1,IF(OFFSET(O$2,0,-1)=Prj_Len,OFFSET(O1029,0,-1),OFFSET(O1029,0,1))))</f>
        <v>45869</v>
      </c>
      <c r="P1029" s="219">
        <f ca="1">IF(P$2=$B1022,Параметры!P$26,IF(P$2&gt;$B1022,EDATE(OFFSET(Параметры!P$26,0,-1),OFFSET(P1033,0,-1)/30)-1,IF(OFFSET(P$2,0,-1)=Prj_Len,OFFSET(P1029,0,-1),OFFSET(P1029,0,1))))</f>
        <v>45900</v>
      </c>
      <c r="Q1029" s="219">
        <f ca="1">IF(Q$2=$B1022,Параметры!Q$26,IF(Q$2&gt;$B1022,EDATE(OFFSET(Параметры!Q$26,0,-1),OFFSET(Q1033,0,-1)/30)-1,IF(OFFSET(Q$2,0,-1)=Prj_Len,OFFSET(Q1029,0,-1),OFFSET(Q1029,0,1))))</f>
        <v>45930</v>
      </c>
      <c r="R1029" s="219">
        <f ca="1">IF(R$2=$B1022,Параметры!R$26,IF(R$2&gt;$B1022,EDATE(OFFSET(Параметры!R$26,0,-1),OFFSET(R1033,0,-1)/30)-1,IF(OFFSET(R$2,0,-1)=Prj_Len,OFFSET(R1029,0,-1),OFFSET(R1029,0,1))))</f>
        <v>45961</v>
      </c>
      <c r="S1029" s="219">
        <f ca="1">IF(S$2=$B1022,Параметры!S$26,IF(S$2&gt;$B1022,EDATE(OFFSET(Параметры!S$26,0,-1),OFFSET(S1033,0,-1)/30)-1,IF(OFFSET(S$2,0,-1)=Prj_Len,OFFSET(S1029,0,-1),OFFSET(S1029,0,1))))</f>
        <v>45991</v>
      </c>
      <c r="T1029" s="219">
        <f ca="1">IF(T$2=$B1022,Параметры!T$26,IF(T$2&gt;$B1022,EDATE(OFFSET(Параметры!T$26,0,-1),OFFSET(T1033,0,-1)/30)-1,IF(OFFSET(T$2,0,-1)=Prj_Len,OFFSET(T1029,0,-1),OFFSET(T1029,0,1))))</f>
        <v>46022</v>
      </c>
      <c r="U1029" s="219">
        <f ca="1">IF(U$2=$B1022,Параметры!U$26,IF(U$2&gt;$B1022,EDATE(OFFSET(Параметры!U$26,0,-1),OFFSET(U1033,0,-1)/30)-1,IF(OFFSET(U$2,0,-1)=Prj_Len,OFFSET(U1029,0,-1),OFFSET(U1029,0,1))))</f>
        <v>46053</v>
      </c>
      <c r="V1029" s="219">
        <f ca="1">IF(V$2=$B1022,Параметры!V$26,IF(V$2&gt;$B1022,EDATE(OFFSET(Параметры!V$26,0,-1),OFFSET(V1033,0,-1)/30)-1,IF(OFFSET(V$2,0,-1)=Prj_Len,OFFSET(V1029,0,-1),OFFSET(V1029,0,1))))</f>
        <v>46081</v>
      </c>
      <c r="W1029" s="219">
        <f ca="1">IF(W$2=$B1022,Параметры!W$26,IF(W$2&gt;$B1022,EDATE(OFFSET(Параметры!W$26,0,-1),OFFSET(W1033,0,-1)/30)-1,IF(OFFSET(W$2,0,-1)=Prj_Len,OFFSET(W1029,0,-1),OFFSET(W1029,0,1))))</f>
        <v>46112</v>
      </c>
      <c r="X1029" s="219">
        <f ca="1">IF(X$2=$B1022,Параметры!X$26,IF(X$2&gt;$B1022,EDATE(OFFSET(Параметры!X$26,0,-1),OFFSET(X1033,0,-1)/30)-1,IF(OFFSET(X$2,0,-1)=Prj_Len,OFFSET(X1029,0,-1),OFFSET(X1029,0,1))))</f>
        <v>46142</v>
      </c>
      <c r="Y1029" s="219">
        <f ca="1">IF(Y$2=$B1022,Параметры!Y$26,IF(Y$2&gt;$B1022,EDATE(OFFSET(Параметры!Y$26,0,-1),OFFSET(Y1033,0,-1)/30)-1,IF(OFFSET(Y$2,0,-1)=Prj_Len,OFFSET(Y1029,0,-1),OFFSET(Y1029,0,1))))</f>
        <v>46173</v>
      </c>
      <c r="Z1029" s="219">
        <f ca="1">IF(Z$2=$B1022,Параметры!Z$26,IF(Z$2&gt;$B1022,EDATE(OFFSET(Параметры!Z$26,0,-1),OFFSET(Z1033,0,-1)/30)-1,IF(OFFSET(Z$2,0,-1)=Prj_Len,OFFSET(Z1029,0,-1),OFFSET(Z1029,0,1))))</f>
        <v>46203</v>
      </c>
      <c r="AA1029" s="219">
        <f ca="1">IF(AA$2=$B1022,Параметры!AA$26,IF(AA$2&gt;$B1022,EDATE(OFFSET(Параметры!AA$26,0,-1),OFFSET(AA1033,0,-1)/30)-1,IF(OFFSET(AA$2,0,-1)=Prj_Len,OFFSET(AA1029,0,-1),OFFSET(AA1029,0,1))))</f>
        <v>46234</v>
      </c>
      <c r="AB1029" s="219">
        <f ca="1">IF(AB$2=$B1022,Параметры!AB$26,IF(AB$2&gt;$B1022,EDATE(OFFSET(Параметры!AB$26,0,-1),OFFSET(AB1033,0,-1)/30)-1,IF(OFFSET(AB$2,0,-1)=Prj_Len,OFFSET(AB1029,0,-1),OFFSET(AB1029,0,1))))</f>
        <v>46265</v>
      </c>
      <c r="AC1029" s="219">
        <f ca="1">IF(AC$2=$B1022,Параметры!AC$26,IF(AC$2&gt;$B1022,EDATE(OFFSET(Параметры!AC$26,0,-1),OFFSET(AC1033,0,-1)/30)-1,IF(OFFSET(AC$2,0,-1)=Prj_Len,OFFSET(AC1029,0,-1),OFFSET(AC1029,0,1))))</f>
        <v>46295</v>
      </c>
      <c r="AD1029" s="219">
        <f ca="1">IF(AD$2=$B1022,Параметры!AD$26,IF(AD$2&gt;$B1022,EDATE(OFFSET(Параметры!AD$26,0,-1),OFFSET(AD1033,0,-1)/30)-1,IF(OFFSET(AD$2,0,-1)=Prj_Len,OFFSET(AD1029,0,-1),OFFSET(AD1029,0,1))))</f>
        <v>46326</v>
      </c>
      <c r="AE1029" s="219">
        <f ca="1">IF(AE$2=$B1022,Параметры!AE$26,IF(AE$2&gt;$B1022,EDATE(OFFSET(Параметры!AE$26,0,-1),OFFSET(AE1033,0,-1)/30)-1,IF(OFFSET(AE$2,0,-1)=Prj_Len,OFFSET(AE1029,0,-1),OFFSET(AE1029,0,1))))</f>
        <v>46356</v>
      </c>
      <c r="AF1029" s="219">
        <f ca="1">IF(AF$2=$B1022,Параметры!AF$26,IF(AF$2&gt;$B1022,EDATE(OFFSET(Параметры!AF$26,0,-1),OFFSET(AF1033,0,-1)/30)-1,IF(OFFSET(AF$2,0,-1)=Prj_Len,OFFSET(AF1029,0,-1),OFFSET(AF1029,0,1))))</f>
        <v>46387</v>
      </c>
      <c r="AG1029" s="219">
        <f ca="1">IF(AG$2=$B1022,Параметры!AG$26,IF(AG$2&gt;$B1022,EDATE(OFFSET(Параметры!AG$26,0,-1),OFFSET(AG1033,0,-1)/30)-1,IF(OFFSET(AG$2,0,-1)=Prj_Len,OFFSET(AG1029,0,-1),OFFSET(AG1029,0,1))))</f>
        <v>46418</v>
      </c>
      <c r="AH1029" s="219">
        <f ca="1">IF(AH$2=$B1022,Параметры!AH$26,IF(AH$2&gt;$B1022,EDATE(OFFSET(Параметры!AH$26,0,-1),OFFSET(AH1033,0,-1)/30)-1,IF(OFFSET(AH$2,0,-1)=Prj_Len,OFFSET(AH1029,0,-1),OFFSET(AH1029,0,1))))</f>
        <v>46446</v>
      </c>
      <c r="AI1029" s="219">
        <f ca="1">IF(AI$2=$B1022,Параметры!AI$26,IF(AI$2&gt;$B1022,EDATE(OFFSET(Параметры!AI$26,0,-1),OFFSET(AI1033,0,-1)/30)-1,IF(OFFSET(AI$2,0,-1)=Prj_Len,OFFSET(AI1029,0,-1),OFFSET(AI1029,0,1))))</f>
        <v>46477</v>
      </c>
      <c r="AJ1029" s="219">
        <f ca="1">IF(AJ$2=$B1022,Параметры!AJ$26,IF(AJ$2&gt;$B1022,EDATE(OFFSET(Параметры!AJ$26,0,-1),OFFSET(AJ1033,0,-1)/30)-1,IF(OFFSET(AJ$2,0,-1)=Prj_Len,OFFSET(AJ1029,0,-1),OFFSET(AJ1029,0,1))))</f>
        <v>46507</v>
      </c>
      <c r="AK1029" s="219">
        <f ca="1">IF(AK$2=$B1022,Параметры!AK$26,IF(AK$2&gt;$B1022,EDATE(OFFSET(Параметры!AK$26,0,-1),OFFSET(AK1033,0,-1)/30)-1,IF(OFFSET(AK$2,0,-1)=Prj_Len,OFFSET(AK1029,0,-1),OFFSET(AK1029,0,1))))</f>
        <v>46538</v>
      </c>
      <c r="AL1029" s="219">
        <f ca="1">IF(AL$2=$B1022,Параметры!AL$26,IF(AL$2&gt;$B1022,EDATE(OFFSET(Параметры!AL$26,0,-1),OFFSET(AL1033,0,-1)/30)-1,IF(OFFSET(AL$2,0,-1)=Prj_Len,OFFSET(AL1029,0,-1),OFFSET(AL1029,0,1))))</f>
        <v>46568</v>
      </c>
      <c r="AM1029" s="219">
        <f ca="1">IF(AM$2=$B1022,Параметры!AM$26,IF(AM$2&gt;$B1022,EDATE(OFFSET(Параметры!AM$26,0,-1),OFFSET(AM1033,0,-1)/30)-1,IF(OFFSET(AM$2,0,-1)=Prj_Len,OFFSET(AM1029,0,-1),OFFSET(AM1029,0,1))))</f>
        <v>46599</v>
      </c>
      <c r="AN1029" s="219">
        <f ca="1">IF(AN$2=$B1022,Параметры!AN$26,IF(AN$2&gt;$B1022,EDATE(OFFSET(Параметры!AN$26,0,-1),OFFSET(AN1033,0,-1)/30)-1,IF(OFFSET(AN$2,0,-1)=Prj_Len,OFFSET(AN1029,0,-1),OFFSET(AN1029,0,1))))</f>
        <v>46630</v>
      </c>
      <c r="AO1029" s="219">
        <f ca="1">IF(AO$2=$B1022,Параметры!AO$26,IF(AO$2&gt;$B1022,EDATE(OFFSET(Параметры!AO$26,0,-1),OFFSET(AO1033,0,-1)/30)-1,IF(OFFSET(AO$2,0,-1)=Prj_Len,OFFSET(AO1029,0,-1),OFFSET(AO1029,0,1))))</f>
        <v>46660</v>
      </c>
      <c r="AP1029" s="219">
        <f ca="1">IF(AP$2=$B1022,Параметры!AP$26,IF(AP$2&gt;$B1022,EDATE(OFFSET(Параметры!AP$26,0,-1),OFFSET(AP1033,0,-1)/30)-1,IF(OFFSET(AP$2,0,-1)=Prj_Len,OFFSET(AP1029,0,-1),OFFSET(AP1029,0,1))))</f>
        <v>46691</v>
      </c>
      <c r="AQ1029" s="219">
        <f ca="1">IF(AQ$2=$B1022,Параметры!AQ$26,IF(AQ$2&gt;$B1022,EDATE(OFFSET(Параметры!AQ$26,0,-1),OFFSET(AQ1033,0,-1)/30)-1,IF(OFFSET(AQ$2,0,-1)=Prj_Len,OFFSET(AQ1029,0,-1),OFFSET(AQ1029,0,1))))</f>
        <v>46721</v>
      </c>
      <c r="AR1029" s="219">
        <f ca="1">IF(AR$2=$B1022,Параметры!AR$26,IF(AR$2&gt;$B1022,EDATE(OFFSET(Параметры!AR$26,0,-1),OFFSET(AR1033,0,-1)/30)-1,IF(OFFSET(AR$2,0,-1)=Prj_Len,OFFSET(AR1029,0,-1),OFFSET(AR1029,0,1))))</f>
        <v>46752</v>
      </c>
      <c r="AS1029" s="219">
        <f ca="1">IF(AS$2=$B1022,Параметры!AS$26,IF(AS$2&gt;$B1022,EDATE(OFFSET(Параметры!AS$26,0,-1),OFFSET(AS1033,0,-1)/30)-1,IF(OFFSET(AS$2,0,-1)=Prj_Len,OFFSET(AS1029,0,-1),OFFSET(AS1029,0,1))))</f>
        <v>46783</v>
      </c>
      <c r="AT1029" s="219">
        <f ca="1">IF(AT$2=$B1022,Параметры!AT$26,IF(AT$2&gt;$B1022,EDATE(OFFSET(Параметры!AT$26,0,-1),OFFSET(AT1033,0,-1)/30)-1,IF(OFFSET(AT$2,0,-1)=Prj_Len,OFFSET(AT1029,0,-1),OFFSET(AT1029,0,1))))</f>
        <v>46812</v>
      </c>
      <c r="AU1029" s="219">
        <f ca="1">IF(AU$2=$B1022,Параметры!AU$26,IF(AU$2&gt;$B1022,EDATE(OFFSET(Параметры!AU$26,0,-1),OFFSET(AU1033,0,-1)/30)-1,IF(OFFSET(AU$2,0,-1)=Prj_Len,OFFSET(AU1029,0,-1),OFFSET(AU1029,0,1))))</f>
        <v>46843</v>
      </c>
      <c r="AV1029" s="219">
        <f ca="1">IF(AV$2=$B1022,Параметры!AV$26,IF(AV$2&gt;$B1022,EDATE(OFFSET(Параметры!AV$26,0,-1),OFFSET(AV1033,0,-1)/30)-1,IF(OFFSET(AV$2,0,-1)=Prj_Len,OFFSET(AV1029,0,-1),OFFSET(AV1029,0,1))))</f>
        <v>46873</v>
      </c>
      <c r="AW1029" s="219">
        <f ca="1">IF(AW$2=$B1022,Параметры!AW$26,IF(AW$2&gt;$B1022,EDATE(OFFSET(Параметры!AW$26,0,-1),OFFSET(AW1033,0,-1)/30)-1,IF(OFFSET(AW$2,0,-1)=Prj_Len,OFFSET(AW1029,0,-1),OFFSET(AW1029,0,1))))</f>
        <v>46904</v>
      </c>
      <c r="AX1029" s="219">
        <f ca="1">IF(AX$2=$B1022,Параметры!AX$26,IF(AX$2&gt;$B1022,EDATE(OFFSET(Параметры!AX$26,0,-1),OFFSET(AX1033,0,-1)/30)-1,IF(OFFSET(AX$2,0,-1)=Prj_Len,OFFSET(AX1029,0,-1),OFFSET(AX1029,0,1))))</f>
        <v>46934</v>
      </c>
      <c r="AY1029" s="219">
        <f ca="1">IF(AY$2=$B1022,Параметры!AY$26,IF(AY$2&gt;$B1022,EDATE(OFFSET(Параметры!AY$26,0,-1),OFFSET(AY1033,0,-1)/30)-1,IF(OFFSET(AY$2,0,-1)=Prj_Len,OFFSET(AY1029,0,-1),OFFSET(AY1029,0,1))))</f>
        <v>46965</v>
      </c>
      <c r="AZ1029" s="219">
        <f ca="1">IF(AZ$2=$B1022,Параметры!AZ$26,IF(AZ$2&gt;$B1022,EDATE(OFFSET(Параметры!AZ$26,0,-1),OFFSET(AZ1033,0,-1)/30)-1,IF(OFFSET(AZ$2,0,-1)=Prj_Len,OFFSET(AZ1029,0,-1),OFFSET(AZ1029,0,1))))</f>
        <v>46996</v>
      </c>
      <c r="BA1029" s="219">
        <f ca="1">IF(BA$2=$B1022,Параметры!BA$26,IF(BA$2&gt;$B1022,EDATE(OFFSET(Параметры!BA$26,0,-1),OFFSET(BA1033,0,-1)/30)-1,IF(OFFSET(BA$2,0,-1)=Prj_Len,OFFSET(BA1029,0,-1),OFFSET(BA1029,0,1))))</f>
        <v>47026</v>
      </c>
      <c r="BB1029" s="219">
        <f ca="1">IF(BB$2=$B1022,Параметры!BB$26,IF(BB$2&gt;$B1022,EDATE(OFFSET(Параметры!BB$26,0,-1),OFFSET(BB1033,0,-1)/30)-1,IF(OFFSET(BB$2,0,-1)=Prj_Len,OFFSET(BB1029,0,-1),OFFSET(BB1029,0,1))))</f>
        <v>47057</v>
      </c>
      <c r="BC1029" s="219">
        <f ca="1">IF(BC$2=$B1022,Параметры!BC$26,IF(BC$2&gt;$B1022,EDATE(OFFSET(Параметры!BC$26,0,-1),OFFSET(BC1033,0,-1)/30)-1,IF(OFFSET(BC$2,0,-1)=Prj_Len,OFFSET(BC1029,0,-1),OFFSET(BC1029,0,1))))</f>
        <v>47057</v>
      </c>
      <c r="BD1029" s="219"/>
    </row>
    <row r="1030" spans="1:56" hidden="1" x14ac:dyDescent="0.3">
      <c r="A1030" s="184" t="str">
        <f ca="1">Language!A$1030</f>
        <v>ставка доходности лизинговой компании</v>
      </c>
      <c r="B1030" s="220">
        <f ca="1">SUM(G1030:BD1030)</f>
        <v>0</v>
      </c>
      <c r="C1030" s="163" t="s">
        <v>1</v>
      </c>
      <c r="D1030" s="174"/>
      <c r="F1030" s="170" t="s">
        <v>748</v>
      </c>
      <c r="G1030" s="221">
        <f ca="1">IF(ISERROR(XIRR(G1028:$BC1028,G1029:$BC1029)),0,XIRR(G1028:$BC1028,G1029:$BC1029))</f>
        <v>0</v>
      </c>
      <c r="H1030" s="221">
        <f ca="1">IF(ISERROR(XIRR(H1028:$BC1028,H1029:$BC1029)),0,XIRR(H1028:$BC1028,H1029:$BC1029))</f>
        <v>0</v>
      </c>
      <c r="I1030" s="221">
        <f ca="1">IF(ISERROR(XIRR(I1028:$BC1028,I1029:$BC1029)),0,XIRR(I1028:$BC1028,I1029:$BC1029))</f>
        <v>0</v>
      </c>
      <c r="J1030" s="221">
        <f ca="1">IF(ISERROR(XIRR(J1028:$BC1028,J1029:$BC1029)),0,XIRR(J1028:$BC1028,J1029:$BC1029))</f>
        <v>0</v>
      </c>
      <c r="K1030" s="221">
        <f ca="1">IF(ISERROR(XIRR(K1028:$BC1028,K1029:$BC1029)),0,XIRR(K1028:$BC1028,K1029:$BC1029))</f>
        <v>0</v>
      </c>
      <c r="L1030" s="221">
        <f ca="1">IF(ISERROR(XIRR(L1028:$BC1028,L1029:$BC1029)),0,XIRR(L1028:$BC1028,L1029:$BC1029))</f>
        <v>0</v>
      </c>
      <c r="M1030" s="221">
        <f ca="1">IF(ISERROR(XIRR(M1028:$BC1028,M1029:$BC1029)),0,XIRR(M1028:$BC1028,M1029:$BC1029))</f>
        <v>0</v>
      </c>
      <c r="N1030" s="221">
        <f ca="1">IF(ISERROR(XIRR(N1028:$BC1028,N1029:$BC1029)),0,XIRR(N1028:$BC1028,N1029:$BC1029))</f>
        <v>0</v>
      </c>
      <c r="O1030" s="221">
        <f ca="1">IF(ISERROR(XIRR(O1028:$BC1028,O1029:$BC1029)),0,XIRR(O1028:$BC1028,O1029:$BC1029))</f>
        <v>0</v>
      </c>
      <c r="P1030" s="221">
        <f ca="1">IF(ISERROR(XIRR(P1028:$BC1028,P1029:$BC1029)),0,XIRR(P1028:$BC1028,P1029:$BC1029))</f>
        <v>0</v>
      </c>
      <c r="Q1030" s="221">
        <f ca="1">IF(ISERROR(XIRR(Q1028:$BC1028,Q1029:$BC1029)),0,XIRR(Q1028:$BC1028,Q1029:$BC1029))</f>
        <v>0</v>
      </c>
      <c r="R1030" s="221">
        <f ca="1">IF(ISERROR(XIRR(R1028:$BC1028,R1029:$BC1029)),0,XIRR(R1028:$BC1028,R1029:$BC1029))</f>
        <v>0</v>
      </c>
      <c r="S1030" s="221">
        <f ca="1">IF(ISERROR(XIRR(S1028:$BC1028,S1029:$BC1029)),0,XIRR(S1028:$BC1028,S1029:$BC1029))</f>
        <v>0</v>
      </c>
      <c r="T1030" s="221">
        <f ca="1">IF(ISERROR(XIRR(T1028:$BC1028,T1029:$BC1029)),0,XIRR(T1028:$BC1028,T1029:$BC1029))</f>
        <v>0</v>
      </c>
      <c r="U1030" s="221">
        <f ca="1">IF(ISERROR(XIRR(U1028:$BC1028,U1029:$BC1029)),0,XIRR(U1028:$BC1028,U1029:$BC1029))</f>
        <v>0</v>
      </c>
      <c r="V1030" s="221">
        <f ca="1">IF(ISERROR(XIRR(V1028:$BC1028,V1029:$BC1029)),0,XIRR(V1028:$BC1028,V1029:$BC1029))</f>
        <v>0</v>
      </c>
      <c r="W1030" s="221">
        <f ca="1">IF(ISERROR(XIRR(W1028:$BC1028,W1029:$BC1029)),0,XIRR(W1028:$BC1028,W1029:$BC1029))</f>
        <v>0</v>
      </c>
      <c r="X1030" s="221">
        <f ca="1">IF(ISERROR(XIRR(X1028:$BC1028,X1029:$BC1029)),0,XIRR(X1028:$BC1028,X1029:$BC1029))</f>
        <v>0</v>
      </c>
      <c r="Y1030" s="221">
        <f ca="1">IF(ISERROR(XIRR(Y1028:$BC1028,Y1029:$BC1029)),0,XIRR(Y1028:$BC1028,Y1029:$BC1029))</f>
        <v>0</v>
      </c>
      <c r="Z1030" s="221">
        <f ca="1">IF(ISERROR(XIRR(Z1028:$BC1028,Z1029:$BC1029)),0,XIRR(Z1028:$BC1028,Z1029:$BC1029))</f>
        <v>0</v>
      </c>
      <c r="AA1030" s="221">
        <f ca="1">IF(ISERROR(XIRR(AA1028:$BC1028,AA1029:$BC1029)),0,XIRR(AA1028:$BC1028,AA1029:$BC1029))</f>
        <v>0</v>
      </c>
      <c r="AB1030" s="221">
        <f ca="1">IF(ISERROR(XIRR(AB1028:$BC1028,AB1029:$BC1029)),0,XIRR(AB1028:$BC1028,AB1029:$BC1029))</f>
        <v>0</v>
      </c>
      <c r="AC1030" s="221">
        <f ca="1">IF(ISERROR(XIRR(AC1028:$BC1028,AC1029:$BC1029)),0,XIRR(AC1028:$BC1028,AC1029:$BC1029))</f>
        <v>0</v>
      </c>
      <c r="AD1030" s="221">
        <f ca="1">IF(ISERROR(XIRR(AD1028:$BC1028,AD1029:$BC1029)),0,XIRR(AD1028:$BC1028,AD1029:$BC1029))</f>
        <v>0</v>
      </c>
      <c r="AE1030" s="221">
        <f ca="1">IF(ISERROR(XIRR(AE1028:$BC1028,AE1029:$BC1029)),0,XIRR(AE1028:$BC1028,AE1029:$BC1029))</f>
        <v>0</v>
      </c>
      <c r="AF1030" s="221">
        <f ca="1">IF(ISERROR(XIRR(AF1028:$BC1028,AF1029:$BC1029)),0,XIRR(AF1028:$BC1028,AF1029:$BC1029))</f>
        <v>0</v>
      </c>
      <c r="AG1030" s="221">
        <f ca="1">IF(ISERROR(XIRR(AG1028:$BC1028,AG1029:$BC1029)),0,XIRR(AG1028:$BC1028,AG1029:$BC1029))</f>
        <v>0</v>
      </c>
      <c r="AH1030" s="221">
        <f ca="1">IF(ISERROR(XIRR(AH1028:$BC1028,AH1029:$BC1029)),0,XIRR(AH1028:$BC1028,AH1029:$BC1029))</f>
        <v>0</v>
      </c>
      <c r="AI1030" s="221">
        <f ca="1">IF(ISERROR(XIRR(AI1028:$BC1028,AI1029:$BC1029)),0,XIRR(AI1028:$BC1028,AI1029:$BC1029))</f>
        <v>0</v>
      </c>
      <c r="AJ1030" s="221">
        <f ca="1">IF(ISERROR(XIRR(AJ1028:$BC1028,AJ1029:$BC1029)),0,XIRR(AJ1028:$BC1028,AJ1029:$BC1029))</f>
        <v>0</v>
      </c>
      <c r="AK1030" s="221">
        <f ca="1">IF(ISERROR(XIRR(AK1028:$BC1028,AK1029:$BC1029)),0,XIRR(AK1028:$BC1028,AK1029:$BC1029))</f>
        <v>0</v>
      </c>
      <c r="AL1030" s="221">
        <f ca="1">IF(ISERROR(XIRR(AL1028:$BC1028,AL1029:$BC1029)),0,XIRR(AL1028:$BC1028,AL1029:$BC1029))</f>
        <v>0</v>
      </c>
      <c r="AM1030" s="221">
        <f ca="1">IF(ISERROR(XIRR(AM1028:$BC1028,AM1029:$BC1029)),0,XIRR(AM1028:$BC1028,AM1029:$BC1029))</f>
        <v>0</v>
      </c>
      <c r="AN1030" s="221">
        <f ca="1">IF(ISERROR(XIRR(AN1028:$BC1028,AN1029:$BC1029)),0,XIRR(AN1028:$BC1028,AN1029:$BC1029))</f>
        <v>0</v>
      </c>
      <c r="AO1030" s="221">
        <f ca="1">IF(ISERROR(XIRR(AO1028:$BC1028,AO1029:$BC1029)),0,XIRR(AO1028:$BC1028,AO1029:$BC1029))</f>
        <v>0</v>
      </c>
      <c r="AP1030" s="221">
        <f ca="1">IF(ISERROR(XIRR(AP1028:$BC1028,AP1029:$BC1029)),0,XIRR(AP1028:$BC1028,AP1029:$BC1029))</f>
        <v>0</v>
      </c>
      <c r="AQ1030" s="221">
        <f ca="1">IF(ISERROR(XIRR(AQ1028:$BC1028,AQ1029:$BC1029)),0,XIRR(AQ1028:$BC1028,AQ1029:$BC1029))</f>
        <v>0</v>
      </c>
      <c r="AR1030" s="221">
        <f ca="1">IF(ISERROR(XIRR(AR1028:$BC1028,AR1029:$BC1029)),0,XIRR(AR1028:$BC1028,AR1029:$BC1029))</f>
        <v>0</v>
      </c>
      <c r="AS1030" s="221">
        <f ca="1">IF(ISERROR(XIRR(AS1028:$BC1028,AS1029:$BC1029)),0,XIRR(AS1028:$BC1028,AS1029:$BC1029))</f>
        <v>0</v>
      </c>
      <c r="AT1030" s="221">
        <f ca="1">IF(ISERROR(XIRR(AT1028:$BC1028,AT1029:$BC1029)),0,XIRR(AT1028:$BC1028,AT1029:$BC1029))</f>
        <v>0</v>
      </c>
      <c r="AU1030" s="221">
        <f ca="1">IF(ISERROR(XIRR(AU1028:$BC1028,AU1029:$BC1029)),0,XIRR(AU1028:$BC1028,AU1029:$BC1029))</f>
        <v>0</v>
      </c>
      <c r="AV1030" s="221">
        <f ca="1">IF(ISERROR(XIRR(AV1028:$BC1028,AV1029:$BC1029)),0,XIRR(AV1028:$BC1028,AV1029:$BC1029))</f>
        <v>0</v>
      </c>
      <c r="AW1030" s="221">
        <f ca="1">IF(ISERROR(XIRR(AW1028:$BC1028,AW1029:$BC1029)),0,XIRR(AW1028:$BC1028,AW1029:$BC1029))</f>
        <v>0</v>
      </c>
      <c r="AX1030" s="221">
        <f ca="1">IF(ISERROR(XIRR(AX1028:$BC1028,AX1029:$BC1029)),0,XIRR(AX1028:$BC1028,AX1029:$BC1029))</f>
        <v>0</v>
      </c>
      <c r="AY1030" s="221">
        <f ca="1">IF(ISERROR(XIRR(AY1028:$BC1028,AY1029:$BC1029)),0,XIRR(AY1028:$BC1028,AY1029:$BC1029))</f>
        <v>0</v>
      </c>
      <c r="AZ1030" s="221">
        <f ca="1">IF(ISERROR(XIRR(AZ1028:$BC1028,AZ1029:$BC1029)),0,XIRR(AZ1028:$BC1028,AZ1029:$BC1029))</f>
        <v>0</v>
      </c>
      <c r="BA1030" s="221">
        <f ca="1">IF(ISERROR(XIRR(BA1028:$BC1028,BA1029:$BC1029)),0,XIRR(BA1028:$BC1028,BA1029:$BC1029))</f>
        <v>0</v>
      </c>
      <c r="BB1030" s="221">
        <f ca="1">IF(ISERROR(XIRR(BB1028:$BC1028,BB1029:$BC1029)),0,XIRR(BB1028:$BC1028,BB1029:$BC1029))</f>
        <v>0</v>
      </c>
      <c r="BC1030" s="221">
        <f ca="1">IF(ISERROR(XIRR(BC1028:$BC1028,BC1029:$BC1029)),0,XIRR(BC1028:$BC1028,BC1029:$BC1029))</f>
        <v>0</v>
      </c>
      <c r="BD1030" s="221"/>
    </row>
    <row r="1031" spans="1:56" hidden="1" x14ac:dyDescent="0.3">
      <c r="A1031" s="184" t="str">
        <f ca="1">Language!A$1031</f>
        <v>балансовая стоимость объекта аренды</v>
      </c>
      <c r="B1031" s="212"/>
      <c r="C1031" s="163" t="str">
        <f t="shared" ref="C1031" ca="1" si="3983">CHOOSE(D1031,CurName1,CurName2,CurName3)</f>
        <v>руб.</v>
      </c>
      <c r="D1031" s="174">
        <v>1</v>
      </c>
      <c r="E1031" s="170" t="s">
        <v>1198</v>
      </c>
      <c r="F1031" s="170" t="s">
        <v>747</v>
      </c>
      <c r="G1031" s="185">
        <f>IF(G$2&gt;=$B1022,$B1027-SUM($G1032:G1032),0)</f>
        <v>0</v>
      </c>
      <c r="H1031" s="185">
        <f>IF(H$2&gt;=$B1022,$B1027-SUM($G1032:H1032),0)</f>
        <v>0</v>
      </c>
      <c r="I1031" s="185">
        <f>IF(I$2&gt;=$B1022,$B1027-SUM($G1032:I1032),0)</f>
        <v>0</v>
      </c>
      <c r="J1031" s="185">
        <f>IF(J$2&gt;=$B1022,$B1027-SUM($G1032:J1032),0)</f>
        <v>0</v>
      </c>
      <c r="K1031" s="185">
        <f>IF(K$2&gt;=$B1022,$B1027-SUM($G1032:K1032),0)</f>
        <v>0</v>
      </c>
      <c r="L1031" s="185">
        <f>IF(L$2&gt;=$B1022,$B1027-SUM($G1032:L1032),0)</f>
        <v>0</v>
      </c>
      <c r="M1031" s="185">
        <f>IF(M$2&gt;=$B1022,$B1027-SUM($G1032:M1032),0)</f>
        <v>0</v>
      </c>
      <c r="N1031" s="185">
        <f>IF(N$2&gt;=$B1022,$B1027-SUM($G1032:N1032),0)</f>
        <v>0</v>
      </c>
      <c r="O1031" s="185">
        <f>IF(O$2&gt;=$B1022,$B1027-SUM($G1032:O1032),0)</f>
        <v>0</v>
      </c>
      <c r="P1031" s="185">
        <f>IF(P$2&gt;=$B1022,$B1027-SUM($G1032:P1032),0)</f>
        <v>0</v>
      </c>
      <c r="Q1031" s="185">
        <f>IF(Q$2&gt;=$B1022,$B1027-SUM($G1032:Q1032),0)</f>
        <v>0</v>
      </c>
      <c r="R1031" s="185">
        <f>IF(R$2&gt;=$B1022,$B1027-SUM($G1032:R1032),0)</f>
        <v>0</v>
      </c>
      <c r="S1031" s="185">
        <f>IF(S$2&gt;=$B1022,$B1027-SUM($G1032:S1032),0)</f>
        <v>0</v>
      </c>
      <c r="T1031" s="185">
        <f>IF(T$2&gt;=$B1022,$B1027-SUM($G1032:T1032),0)</f>
        <v>0</v>
      </c>
      <c r="U1031" s="185">
        <f>IF(U$2&gt;=$B1022,$B1027-SUM($G1032:U1032),0)</f>
        <v>0</v>
      </c>
      <c r="V1031" s="185">
        <f>IF(V$2&gt;=$B1022,$B1027-SUM($G1032:V1032),0)</f>
        <v>0</v>
      </c>
      <c r="W1031" s="185">
        <f>IF(W$2&gt;=$B1022,$B1027-SUM($G1032:W1032),0)</f>
        <v>0</v>
      </c>
      <c r="X1031" s="185">
        <f>IF(X$2&gt;=$B1022,$B1027-SUM($G1032:X1032),0)</f>
        <v>0</v>
      </c>
      <c r="Y1031" s="185">
        <f>IF(Y$2&gt;=$B1022,$B1027-SUM($G1032:Y1032),0)</f>
        <v>0</v>
      </c>
      <c r="Z1031" s="185">
        <f>IF(Z$2&gt;=$B1022,$B1027-SUM($G1032:Z1032),0)</f>
        <v>0</v>
      </c>
      <c r="AA1031" s="185">
        <f>IF(AA$2&gt;=$B1022,$B1027-SUM($G1032:AA1032),0)</f>
        <v>0</v>
      </c>
      <c r="AB1031" s="185">
        <f>IF(AB$2&gt;=$B1022,$B1027-SUM($G1032:AB1032),0)</f>
        <v>0</v>
      </c>
      <c r="AC1031" s="185">
        <f>IF(AC$2&gt;=$B1022,$B1027-SUM($G1032:AC1032),0)</f>
        <v>0</v>
      </c>
      <c r="AD1031" s="185">
        <f>IF(AD$2&gt;=$B1022,$B1027-SUM($G1032:AD1032),0)</f>
        <v>0</v>
      </c>
      <c r="AE1031" s="185">
        <f>IF(AE$2&gt;=$B1022,$B1027-SUM($G1032:AE1032),0)</f>
        <v>0</v>
      </c>
      <c r="AF1031" s="185">
        <f>IF(AF$2&gt;=$B1022,$B1027-SUM($G1032:AF1032),0)</f>
        <v>0</v>
      </c>
      <c r="AG1031" s="185">
        <f>IF(AG$2&gt;=$B1022,$B1027-SUM($G1032:AG1032),0)</f>
        <v>0</v>
      </c>
      <c r="AH1031" s="185">
        <f>IF(AH$2&gt;=$B1022,$B1027-SUM($G1032:AH1032),0)</f>
        <v>0</v>
      </c>
      <c r="AI1031" s="185">
        <f>IF(AI$2&gt;=$B1022,$B1027-SUM($G1032:AI1032),0)</f>
        <v>0</v>
      </c>
      <c r="AJ1031" s="185">
        <f>IF(AJ$2&gt;=$B1022,$B1027-SUM($G1032:AJ1032),0)</f>
        <v>0</v>
      </c>
      <c r="AK1031" s="185">
        <f>IF(AK$2&gt;=$B1022,$B1027-SUM($G1032:AK1032),0)</f>
        <v>0</v>
      </c>
      <c r="AL1031" s="185">
        <f>IF(AL$2&gt;=$B1022,$B1027-SUM($G1032:AL1032),0)</f>
        <v>0</v>
      </c>
      <c r="AM1031" s="185">
        <f>IF(AM$2&gt;=$B1022,$B1027-SUM($G1032:AM1032),0)</f>
        <v>0</v>
      </c>
      <c r="AN1031" s="185">
        <f>IF(AN$2&gt;=$B1022,$B1027-SUM($G1032:AN1032),0)</f>
        <v>0</v>
      </c>
      <c r="AO1031" s="185">
        <f>IF(AO$2&gt;=$B1022,$B1027-SUM($G1032:AO1032),0)</f>
        <v>0</v>
      </c>
      <c r="AP1031" s="185">
        <f>IF(AP$2&gt;=$B1022,$B1027-SUM($G1032:AP1032),0)</f>
        <v>0</v>
      </c>
      <c r="AQ1031" s="185">
        <f>IF(AQ$2&gt;=$B1022,$B1027-SUM($G1032:AQ1032),0)</f>
        <v>0</v>
      </c>
      <c r="AR1031" s="185">
        <f>IF(AR$2&gt;=$B1022,$B1027-SUM($G1032:AR1032),0)</f>
        <v>0</v>
      </c>
      <c r="AS1031" s="185">
        <f>IF(AS$2&gt;=$B1022,$B1027-SUM($G1032:AS1032),0)</f>
        <v>0</v>
      </c>
      <c r="AT1031" s="185">
        <f>IF(AT$2&gt;=$B1022,$B1027-SUM($G1032:AT1032),0)</f>
        <v>0</v>
      </c>
      <c r="AU1031" s="185">
        <f>IF(AU$2&gt;=$B1022,$B1027-SUM($G1032:AU1032),0)</f>
        <v>0</v>
      </c>
      <c r="AV1031" s="185">
        <f>IF(AV$2&gt;=$B1022,$B1027-SUM($G1032:AV1032),0)</f>
        <v>0</v>
      </c>
      <c r="AW1031" s="185">
        <f>IF(AW$2&gt;=$B1022,$B1027-SUM($G1032:AW1032),0)</f>
        <v>0</v>
      </c>
      <c r="AX1031" s="185">
        <f>IF(AX$2&gt;=$B1022,$B1027-SUM($G1032:AX1032),0)</f>
        <v>0</v>
      </c>
      <c r="AY1031" s="185">
        <f>IF(AY$2&gt;=$B1022,$B1027-SUM($G1032:AY1032),0)</f>
        <v>0</v>
      </c>
      <c r="AZ1031" s="185">
        <f>IF(AZ$2&gt;=$B1022,$B1027-SUM($G1032:AZ1032),0)</f>
        <v>0</v>
      </c>
      <c r="BA1031" s="185">
        <f>IF(BA$2&gt;=$B1022,$B1027-SUM($G1032:BA1032),0)</f>
        <v>0</v>
      </c>
      <c r="BB1031" s="185">
        <f>IF(BB$2&gt;=$B1022,$B1027-SUM($G1032:BB1032),0)</f>
        <v>0</v>
      </c>
      <c r="BC1031" s="185"/>
      <c r="BD1031" s="193"/>
    </row>
    <row r="1032" spans="1:56" hidden="1" x14ac:dyDescent="0.3">
      <c r="A1032" s="184" t="str">
        <f ca="1">Language!A$1032</f>
        <v>амортизация</v>
      </c>
      <c r="B1032" s="212"/>
      <c r="C1032" s="163"/>
      <c r="D1032" s="174"/>
      <c r="E1032" s="170" t="s">
        <v>1200</v>
      </c>
      <c r="F1032" s="170" t="s">
        <v>743</v>
      </c>
      <c r="G1032" s="185">
        <f>IF($B1023=0,0,IF(G$2&gt;=$B1022,IF(G$2=$B1022,$B1027/($B1023*Prj_Step)*Параметры!G$31,MIN($B1027/($B1023*Prj_Step)*Параметры!G$31,F1031)),0))</f>
        <v>0</v>
      </c>
      <c r="H1032" s="185">
        <f>IF($B1023=0,0,IF(H$2&gt;=$B1022,IF(H$2=$B1022,$B1027/($B1023*Prj_Step)*Параметры!H$31,MIN($B1027/($B1023*Prj_Step)*Параметры!H$31,G1031)),0))</f>
        <v>0</v>
      </c>
      <c r="I1032" s="185">
        <f>IF($B1023=0,0,IF(I$2&gt;=$B1022,IF(I$2=$B1022,$B1027/($B1023*Prj_Step)*Параметры!I$31,MIN($B1027/($B1023*Prj_Step)*Параметры!I$31,H1031)),0))</f>
        <v>0</v>
      </c>
      <c r="J1032" s="185">
        <f>IF($B1023=0,0,IF(J$2&gt;=$B1022,IF(J$2=$B1022,$B1027/($B1023*Prj_Step)*Параметры!J$31,MIN($B1027/($B1023*Prj_Step)*Параметры!J$31,I1031)),0))</f>
        <v>0</v>
      </c>
      <c r="K1032" s="185">
        <f>IF($B1023=0,0,IF(K$2&gt;=$B1022,IF(K$2=$B1022,$B1027/($B1023*Prj_Step)*Параметры!K$31,MIN($B1027/($B1023*Prj_Step)*Параметры!K$31,J1031)),0))</f>
        <v>0</v>
      </c>
      <c r="L1032" s="185">
        <f>IF($B1023=0,0,IF(L$2&gt;=$B1022,IF(L$2=$B1022,$B1027/($B1023*Prj_Step)*Параметры!L$31,MIN($B1027/($B1023*Prj_Step)*Параметры!L$31,K1031)),0))</f>
        <v>0</v>
      </c>
      <c r="M1032" s="185">
        <f>IF($B1023=0,0,IF(M$2&gt;=$B1022,IF(M$2=$B1022,$B1027/($B1023*Prj_Step)*Параметры!M$31,MIN($B1027/($B1023*Prj_Step)*Параметры!M$31,L1031)),0))</f>
        <v>0</v>
      </c>
      <c r="N1032" s="185">
        <f>IF($B1023=0,0,IF(N$2&gt;=$B1022,IF(N$2=$B1022,$B1027/($B1023*Prj_Step)*Параметры!N$31,MIN($B1027/($B1023*Prj_Step)*Параметры!N$31,M1031)),0))</f>
        <v>0</v>
      </c>
      <c r="O1032" s="185">
        <f>IF($B1023=0,0,IF(O$2&gt;=$B1022,IF(O$2=$B1022,$B1027/($B1023*Prj_Step)*Параметры!O$31,MIN($B1027/($B1023*Prj_Step)*Параметры!O$31,N1031)),0))</f>
        <v>0</v>
      </c>
      <c r="P1032" s="185">
        <f>IF($B1023=0,0,IF(P$2&gt;=$B1022,IF(P$2=$B1022,$B1027/($B1023*Prj_Step)*Параметры!P$31,MIN($B1027/($B1023*Prj_Step)*Параметры!P$31,O1031)),0))</f>
        <v>0</v>
      </c>
      <c r="Q1032" s="185">
        <f>IF($B1023=0,0,IF(Q$2&gt;=$B1022,IF(Q$2=$B1022,$B1027/($B1023*Prj_Step)*Параметры!Q$31,MIN($B1027/($B1023*Prj_Step)*Параметры!Q$31,P1031)),0))</f>
        <v>0</v>
      </c>
      <c r="R1032" s="185">
        <f>IF($B1023=0,0,IF(R$2&gt;=$B1022,IF(R$2=$B1022,$B1027/($B1023*Prj_Step)*Параметры!R$31,MIN($B1027/($B1023*Prj_Step)*Параметры!R$31,Q1031)),0))</f>
        <v>0</v>
      </c>
      <c r="S1032" s="185">
        <f>IF($B1023=0,0,IF(S$2&gt;=$B1022,IF(S$2=$B1022,$B1027/($B1023*Prj_Step)*Параметры!S$31,MIN($B1027/($B1023*Prj_Step)*Параметры!S$31,R1031)),0))</f>
        <v>0</v>
      </c>
      <c r="T1032" s="185">
        <f>IF($B1023=0,0,IF(T$2&gt;=$B1022,IF(T$2=$B1022,$B1027/($B1023*Prj_Step)*Параметры!T$31,MIN($B1027/($B1023*Prj_Step)*Параметры!T$31,S1031)),0))</f>
        <v>0</v>
      </c>
      <c r="U1032" s="185">
        <f>IF($B1023=0,0,IF(U$2&gt;=$B1022,IF(U$2=$B1022,$B1027/($B1023*Prj_Step)*Параметры!U$31,MIN($B1027/($B1023*Prj_Step)*Параметры!U$31,T1031)),0))</f>
        <v>0</v>
      </c>
      <c r="V1032" s="185">
        <f>IF($B1023=0,0,IF(V$2&gt;=$B1022,IF(V$2=$B1022,$B1027/($B1023*Prj_Step)*Параметры!V$31,MIN($B1027/($B1023*Prj_Step)*Параметры!V$31,U1031)),0))</f>
        <v>0</v>
      </c>
      <c r="W1032" s="185">
        <f>IF($B1023=0,0,IF(W$2&gt;=$B1022,IF(W$2=$B1022,$B1027/($B1023*Prj_Step)*Параметры!W$31,MIN($B1027/($B1023*Prj_Step)*Параметры!W$31,V1031)),0))</f>
        <v>0</v>
      </c>
      <c r="X1032" s="185">
        <f>IF($B1023=0,0,IF(X$2&gt;=$B1022,IF(X$2=$B1022,$B1027/($B1023*Prj_Step)*Параметры!X$31,MIN($B1027/($B1023*Prj_Step)*Параметры!X$31,W1031)),0))</f>
        <v>0</v>
      </c>
      <c r="Y1032" s="185">
        <f>IF($B1023=0,0,IF(Y$2&gt;=$B1022,IF(Y$2=$B1022,$B1027/($B1023*Prj_Step)*Параметры!Y$31,MIN($B1027/($B1023*Prj_Step)*Параметры!Y$31,X1031)),0))</f>
        <v>0</v>
      </c>
      <c r="Z1032" s="185">
        <f>IF($B1023=0,0,IF(Z$2&gt;=$B1022,IF(Z$2=$B1022,$B1027/($B1023*Prj_Step)*Параметры!Z$31,MIN($B1027/($B1023*Prj_Step)*Параметры!Z$31,Y1031)),0))</f>
        <v>0</v>
      </c>
      <c r="AA1032" s="185">
        <f>IF($B1023=0,0,IF(AA$2&gt;=$B1022,IF(AA$2=$B1022,$B1027/($B1023*Prj_Step)*Параметры!AA$31,MIN($B1027/($B1023*Prj_Step)*Параметры!AA$31,Z1031)),0))</f>
        <v>0</v>
      </c>
      <c r="AB1032" s="185">
        <f>IF($B1023=0,0,IF(AB$2&gt;=$B1022,IF(AB$2=$B1022,$B1027/($B1023*Prj_Step)*Параметры!AB$31,MIN($B1027/($B1023*Prj_Step)*Параметры!AB$31,AA1031)),0))</f>
        <v>0</v>
      </c>
      <c r="AC1032" s="185">
        <f>IF($B1023=0,0,IF(AC$2&gt;=$B1022,IF(AC$2=$B1022,$B1027/($B1023*Prj_Step)*Параметры!AC$31,MIN($B1027/($B1023*Prj_Step)*Параметры!AC$31,AB1031)),0))</f>
        <v>0</v>
      </c>
      <c r="AD1032" s="185">
        <f>IF($B1023=0,0,IF(AD$2&gt;=$B1022,IF(AD$2=$B1022,$B1027/($B1023*Prj_Step)*Параметры!AD$31,MIN($B1027/($B1023*Prj_Step)*Параметры!AD$31,AC1031)),0))</f>
        <v>0</v>
      </c>
      <c r="AE1032" s="185">
        <f>IF($B1023=0,0,IF(AE$2&gt;=$B1022,IF(AE$2=$B1022,$B1027/($B1023*Prj_Step)*Параметры!AE$31,MIN($B1027/($B1023*Prj_Step)*Параметры!AE$31,AD1031)),0))</f>
        <v>0</v>
      </c>
      <c r="AF1032" s="185">
        <f>IF($B1023=0,0,IF(AF$2&gt;=$B1022,IF(AF$2=$B1022,$B1027/($B1023*Prj_Step)*Параметры!AF$31,MIN($B1027/($B1023*Prj_Step)*Параметры!AF$31,AE1031)),0))</f>
        <v>0</v>
      </c>
      <c r="AG1032" s="185">
        <f>IF($B1023=0,0,IF(AG$2&gt;=$B1022,IF(AG$2=$B1022,$B1027/($B1023*Prj_Step)*Параметры!AG$31,MIN($B1027/($B1023*Prj_Step)*Параметры!AG$31,AF1031)),0))</f>
        <v>0</v>
      </c>
      <c r="AH1032" s="185">
        <f>IF($B1023=0,0,IF(AH$2&gt;=$B1022,IF(AH$2=$B1022,$B1027/($B1023*Prj_Step)*Параметры!AH$31,MIN($B1027/($B1023*Prj_Step)*Параметры!AH$31,AG1031)),0))</f>
        <v>0</v>
      </c>
      <c r="AI1032" s="185">
        <f>IF($B1023=0,0,IF(AI$2&gt;=$B1022,IF(AI$2=$B1022,$B1027/($B1023*Prj_Step)*Параметры!AI$31,MIN($B1027/($B1023*Prj_Step)*Параметры!AI$31,AH1031)),0))</f>
        <v>0</v>
      </c>
      <c r="AJ1032" s="185">
        <f>IF($B1023=0,0,IF(AJ$2&gt;=$B1022,IF(AJ$2=$B1022,$B1027/($B1023*Prj_Step)*Параметры!AJ$31,MIN($B1027/($B1023*Prj_Step)*Параметры!AJ$31,AI1031)),0))</f>
        <v>0</v>
      </c>
      <c r="AK1032" s="185">
        <f>IF($B1023=0,0,IF(AK$2&gt;=$B1022,IF(AK$2=$B1022,$B1027/($B1023*Prj_Step)*Параметры!AK$31,MIN($B1027/($B1023*Prj_Step)*Параметры!AK$31,AJ1031)),0))</f>
        <v>0</v>
      </c>
      <c r="AL1032" s="185">
        <f>IF($B1023=0,0,IF(AL$2&gt;=$B1022,IF(AL$2=$B1022,$B1027/($B1023*Prj_Step)*Параметры!AL$31,MIN($B1027/($B1023*Prj_Step)*Параметры!AL$31,AK1031)),0))</f>
        <v>0</v>
      </c>
      <c r="AM1032" s="185">
        <f>IF($B1023=0,0,IF(AM$2&gt;=$B1022,IF(AM$2=$B1022,$B1027/($B1023*Prj_Step)*Параметры!AM$31,MIN($B1027/($B1023*Prj_Step)*Параметры!AM$31,AL1031)),0))</f>
        <v>0</v>
      </c>
      <c r="AN1032" s="185">
        <f>IF($B1023=0,0,IF(AN$2&gt;=$B1022,IF(AN$2=$B1022,$B1027/($B1023*Prj_Step)*Параметры!AN$31,MIN($B1027/($B1023*Prj_Step)*Параметры!AN$31,AM1031)),0))</f>
        <v>0</v>
      </c>
      <c r="AO1032" s="185">
        <f>IF($B1023=0,0,IF(AO$2&gt;=$B1022,IF(AO$2=$B1022,$B1027/($B1023*Prj_Step)*Параметры!AO$31,MIN($B1027/($B1023*Prj_Step)*Параметры!AO$31,AN1031)),0))</f>
        <v>0</v>
      </c>
      <c r="AP1032" s="185">
        <f>IF($B1023=0,0,IF(AP$2&gt;=$B1022,IF(AP$2=$B1022,$B1027/($B1023*Prj_Step)*Параметры!AP$31,MIN($B1027/($B1023*Prj_Step)*Параметры!AP$31,AO1031)),0))</f>
        <v>0</v>
      </c>
      <c r="AQ1032" s="185">
        <f>IF($B1023=0,0,IF(AQ$2&gt;=$B1022,IF(AQ$2=$B1022,$B1027/($B1023*Prj_Step)*Параметры!AQ$31,MIN($B1027/($B1023*Prj_Step)*Параметры!AQ$31,AP1031)),0))</f>
        <v>0</v>
      </c>
      <c r="AR1032" s="185">
        <f>IF($B1023=0,0,IF(AR$2&gt;=$B1022,IF(AR$2=$B1022,$B1027/($B1023*Prj_Step)*Параметры!AR$31,MIN($B1027/($B1023*Prj_Step)*Параметры!AR$31,AQ1031)),0))</f>
        <v>0</v>
      </c>
      <c r="AS1032" s="185">
        <f>IF($B1023=0,0,IF(AS$2&gt;=$B1022,IF(AS$2=$B1022,$B1027/($B1023*Prj_Step)*Параметры!AS$31,MIN($B1027/($B1023*Prj_Step)*Параметры!AS$31,AR1031)),0))</f>
        <v>0</v>
      </c>
      <c r="AT1032" s="185">
        <f>IF($B1023=0,0,IF(AT$2&gt;=$B1022,IF(AT$2=$B1022,$B1027/($B1023*Prj_Step)*Параметры!AT$31,MIN($B1027/($B1023*Prj_Step)*Параметры!AT$31,AS1031)),0))</f>
        <v>0</v>
      </c>
      <c r="AU1032" s="185">
        <f>IF($B1023=0,0,IF(AU$2&gt;=$B1022,IF(AU$2=$B1022,$B1027/($B1023*Prj_Step)*Параметры!AU$31,MIN($B1027/($B1023*Prj_Step)*Параметры!AU$31,AT1031)),0))</f>
        <v>0</v>
      </c>
      <c r="AV1032" s="185">
        <f>IF($B1023=0,0,IF(AV$2&gt;=$B1022,IF(AV$2=$B1022,$B1027/($B1023*Prj_Step)*Параметры!AV$31,MIN($B1027/($B1023*Prj_Step)*Параметры!AV$31,AU1031)),0))</f>
        <v>0</v>
      </c>
      <c r="AW1032" s="185">
        <f>IF($B1023=0,0,IF(AW$2&gt;=$B1022,IF(AW$2=$B1022,$B1027/($B1023*Prj_Step)*Параметры!AW$31,MIN($B1027/($B1023*Prj_Step)*Параметры!AW$31,AV1031)),0))</f>
        <v>0</v>
      </c>
      <c r="AX1032" s="185">
        <f>IF($B1023=0,0,IF(AX$2&gt;=$B1022,IF(AX$2=$B1022,$B1027/($B1023*Prj_Step)*Параметры!AX$31,MIN($B1027/($B1023*Prj_Step)*Параметры!AX$31,AW1031)),0))</f>
        <v>0</v>
      </c>
      <c r="AY1032" s="185">
        <f>IF($B1023=0,0,IF(AY$2&gt;=$B1022,IF(AY$2=$B1022,$B1027/($B1023*Prj_Step)*Параметры!AY$31,MIN($B1027/($B1023*Prj_Step)*Параметры!AY$31,AX1031)),0))</f>
        <v>0</v>
      </c>
      <c r="AZ1032" s="185">
        <f>IF($B1023=0,0,IF(AZ$2&gt;=$B1022,IF(AZ$2=$B1022,$B1027/($B1023*Prj_Step)*Параметры!AZ$31,MIN($B1027/($B1023*Prj_Step)*Параметры!AZ$31,AY1031)),0))</f>
        <v>0</v>
      </c>
      <c r="BA1032" s="185">
        <f>IF($B1023=0,0,IF(BA$2&gt;=$B1022,IF(BA$2=$B1022,$B1027/($B1023*Prj_Step)*Параметры!BA$31,MIN($B1027/($B1023*Prj_Step)*Параметры!BA$31,AZ1031)),0))</f>
        <v>0</v>
      </c>
      <c r="BB1032" s="185">
        <f>IF($B1023=0,0,IF(BB$2&gt;=$B1022,IF(BB$2=$B1022,$B1027/($B1023*Prj_Step)*Параметры!BB$31,MIN($B1027/($B1023*Prj_Step)*Параметры!BB$31,BA1031)),0))</f>
        <v>0</v>
      </c>
      <c r="BC1032" s="185"/>
      <c r="BD1032" s="178">
        <f>SUM(G1032:BC1032)</f>
        <v>0</v>
      </c>
    </row>
    <row r="1033" spans="1:56" hidden="1" x14ac:dyDescent="0.3">
      <c r="A1033" s="184" t="str">
        <f ca="1">Language!A$1033</f>
        <v>количество дней аренды в периоде</v>
      </c>
      <c r="B1033" s="212"/>
      <c r="C1033" s="163" t="str">
        <f ca="1">Language!$A$1474</f>
        <v>дней</v>
      </c>
      <c r="D1033" s="174"/>
      <c r="F1033" s="170" t="s">
        <v>743</v>
      </c>
      <c r="G1033" s="185">
        <f>IF(G$2&gt;=$B1022,MIN($B1023*Параметры!$B$21-IF(G$2=1,0,SUM($F1033:F1033)),Параметры!G$30),0)</f>
        <v>30</v>
      </c>
      <c r="H1033" s="185">
        <f>IF(H$2&gt;=$B1022,MIN($B1023*Параметры!$B$21-IF(H$2=1,0,SUM($F1033:G1033)),Параметры!H$30),0)</f>
        <v>30</v>
      </c>
      <c r="I1033" s="185">
        <f>IF(I$2&gt;=$B1022,MIN($B1023*Параметры!$B$21-IF(I$2=1,0,SUM($F1033:H1033)),Параметры!I$30),0)</f>
        <v>30</v>
      </c>
      <c r="J1033" s="185">
        <f>IF(J$2&gt;=$B1022,MIN($B1023*Параметры!$B$21-IF(J$2=1,0,SUM($F1033:I1033)),Параметры!J$30),0)</f>
        <v>0</v>
      </c>
      <c r="K1033" s="185">
        <f>IF(K$2&gt;=$B1022,MIN($B1023*Параметры!$B$21-IF(K$2=1,0,SUM($F1033:J1033)),Параметры!K$30),0)</f>
        <v>0</v>
      </c>
      <c r="L1033" s="185">
        <f>IF(L$2&gt;=$B1022,MIN($B1023*Параметры!$B$21-IF(L$2=1,0,SUM($F1033:K1033)),Параметры!L$30),0)</f>
        <v>0</v>
      </c>
      <c r="M1033" s="185">
        <f>IF(M$2&gt;=$B1022,MIN($B1023*Параметры!$B$21-IF(M$2=1,0,SUM($F1033:L1033)),Параметры!M$30),0)</f>
        <v>0</v>
      </c>
      <c r="N1033" s="185">
        <f>IF(N$2&gt;=$B1022,MIN($B1023*Параметры!$B$21-IF(N$2=1,0,SUM($F1033:M1033)),Параметры!N$30),0)</f>
        <v>0</v>
      </c>
      <c r="O1033" s="185">
        <f>IF(O$2&gt;=$B1022,MIN($B1023*Параметры!$B$21-IF(O$2=1,0,SUM($F1033:N1033)),Параметры!O$30),0)</f>
        <v>0</v>
      </c>
      <c r="P1033" s="185">
        <f>IF(P$2&gt;=$B1022,MIN($B1023*Параметры!$B$21-IF(P$2=1,0,SUM($F1033:O1033)),Параметры!P$30),0)</f>
        <v>0</v>
      </c>
      <c r="Q1033" s="185">
        <f>IF(Q$2&gt;=$B1022,MIN($B1023*Параметры!$B$21-IF(Q$2=1,0,SUM($F1033:P1033)),Параметры!Q$30),0)</f>
        <v>0</v>
      </c>
      <c r="R1033" s="185">
        <f>IF(R$2&gt;=$B1022,MIN($B1023*Параметры!$B$21-IF(R$2=1,0,SUM($F1033:Q1033)),Параметры!R$30),0)</f>
        <v>0</v>
      </c>
      <c r="S1033" s="185">
        <f>IF(S$2&gt;=$B1022,MIN($B1023*Параметры!$B$21-IF(S$2=1,0,SUM($F1033:R1033)),Параметры!S$30),0)</f>
        <v>0</v>
      </c>
      <c r="T1033" s="185">
        <f>IF(T$2&gt;=$B1022,MIN($B1023*Параметры!$B$21-IF(T$2=1,0,SUM($F1033:S1033)),Параметры!T$30),0)</f>
        <v>0</v>
      </c>
      <c r="U1033" s="185">
        <f>IF(U$2&gt;=$B1022,MIN($B1023*Параметры!$B$21-IF(U$2=1,0,SUM($F1033:T1033)),Параметры!U$30),0)</f>
        <v>0</v>
      </c>
      <c r="V1033" s="185">
        <f>IF(V$2&gt;=$B1022,MIN($B1023*Параметры!$B$21-IF(V$2=1,0,SUM($F1033:U1033)),Параметры!V$30),0)</f>
        <v>0</v>
      </c>
      <c r="W1033" s="185">
        <f>IF(W$2&gt;=$B1022,MIN($B1023*Параметры!$B$21-IF(W$2=1,0,SUM($F1033:V1033)),Параметры!W$30),0)</f>
        <v>0</v>
      </c>
      <c r="X1033" s="185">
        <f>IF(X$2&gt;=$B1022,MIN($B1023*Параметры!$B$21-IF(X$2=1,0,SUM($F1033:W1033)),Параметры!X$30),0)</f>
        <v>0</v>
      </c>
      <c r="Y1033" s="185">
        <f>IF(Y$2&gt;=$B1022,MIN($B1023*Параметры!$B$21-IF(Y$2=1,0,SUM($F1033:X1033)),Параметры!Y$30),0)</f>
        <v>0</v>
      </c>
      <c r="Z1033" s="185">
        <f>IF(Z$2&gt;=$B1022,MIN($B1023*Параметры!$B$21-IF(Z$2=1,0,SUM($F1033:Y1033)),Параметры!Z$30),0)</f>
        <v>0</v>
      </c>
      <c r="AA1033" s="185">
        <f>IF(AA$2&gt;=$B1022,MIN($B1023*Параметры!$B$21-IF(AA$2=1,0,SUM($F1033:Z1033)),Параметры!AA$30),0)</f>
        <v>0</v>
      </c>
      <c r="AB1033" s="185">
        <f>IF(AB$2&gt;=$B1022,MIN($B1023*Параметры!$B$21-IF(AB$2=1,0,SUM($F1033:AA1033)),Параметры!AB$30),0)</f>
        <v>0</v>
      </c>
      <c r="AC1033" s="185">
        <f>IF(AC$2&gt;=$B1022,MIN($B1023*Параметры!$B$21-IF(AC$2=1,0,SUM($F1033:AB1033)),Параметры!AC$30),0)</f>
        <v>0</v>
      </c>
      <c r="AD1033" s="185">
        <f>IF(AD$2&gt;=$B1022,MIN($B1023*Параметры!$B$21-IF(AD$2=1,0,SUM($F1033:AC1033)),Параметры!AD$30),0)</f>
        <v>0</v>
      </c>
      <c r="AE1033" s="185">
        <f>IF(AE$2&gt;=$B1022,MIN($B1023*Параметры!$B$21-IF(AE$2=1,0,SUM($F1033:AD1033)),Параметры!AE$30),0)</f>
        <v>0</v>
      </c>
      <c r="AF1033" s="185">
        <f>IF(AF$2&gt;=$B1022,MIN($B1023*Параметры!$B$21-IF(AF$2=1,0,SUM($F1033:AE1033)),Параметры!AF$30),0)</f>
        <v>0</v>
      </c>
      <c r="AG1033" s="185">
        <f>IF(AG$2&gt;=$B1022,MIN($B1023*Параметры!$B$21-IF(AG$2=1,0,SUM($F1033:AF1033)),Параметры!AG$30),0)</f>
        <v>0</v>
      </c>
      <c r="AH1033" s="185">
        <f>IF(AH$2&gt;=$B1022,MIN($B1023*Параметры!$B$21-IF(AH$2=1,0,SUM($F1033:AG1033)),Параметры!AH$30),0)</f>
        <v>0</v>
      </c>
      <c r="AI1033" s="185">
        <f>IF(AI$2&gt;=$B1022,MIN($B1023*Параметры!$B$21-IF(AI$2=1,0,SUM($F1033:AH1033)),Параметры!AI$30),0)</f>
        <v>0</v>
      </c>
      <c r="AJ1033" s="185">
        <f>IF(AJ$2&gt;=$B1022,MIN($B1023*Параметры!$B$21-IF(AJ$2=1,0,SUM($F1033:AI1033)),Параметры!AJ$30),0)</f>
        <v>0</v>
      </c>
      <c r="AK1033" s="185">
        <f>IF(AK$2&gt;=$B1022,MIN($B1023*Параметры!$B$21-IF(AK$2=1,0,SUM($F1033:AJ1033)),Параметры!AK$30),0)</f>
        <v>0</v>
      </c>
      <c r="AL1033" s="185">
        <f>IF(AL$2&gt;=$B1022,MIN($B1023*Параметры!$B$21-IF(AL$2=1,0,SUM($F1033:AK1033)),Параметры!AL$30),0)</f>
        <v>0</v>
      </c>
      <c r="AM1033" s="185">
        <f>IF(AM$2&gt;=$B1022,MIN($B1023*Параметры!$B$21-IF(AM$2=1,0,SUM($F1033:AL1033)),Параметры!AM$30),0)</f>
        <v>0</v>
      </c>
      <c r="AN1033" s="185">
        <f>IF(AN$2&gt;=$B1022,MIN($B1023*Параметры!$B$21-IF(AN$2=1,0,SUM($F1033:AM1033)),Параметры!AN$30),0)</f>
        <v>0</v>
      </c>
      <c r="AO1033" s="185">
        <f>IF(AO$2&gt;=$B1022,MIN($B1023*Параметры!$B$21-IF(AO$2=1,0,SUM($F1033:AN1033)),Параметры!AO$30),0)</f>
        <v>0</v>
      </c>
      <c r="AP1033" s="185">
        <f>IF(AP$2&gt;=$B1022,MIN($B1023*Параметры!$B$21-IF(AP$2=1,0,SUM($F1033:AO1033)),Параметры!AP$30),0)</f>
        <v>0</v>
      </c>
      <c r="AQ1033" s="185">
        <f>IF(AQ$2&gt;=$B1022,MIN($B1023*Параметры!$B$21-IF(AQ$2=1,0,SUM($F1033:AP1033)),Параметры!AQ$30),0)</f>
        <v>0</v>
      </c>
      <c r="AR1033" s="185">
        <f>IF(AR$2&gt;=$B1022,MIN($B1023*Параметры!$B$21-IF(AR$2=1,0,SUM($F1033:AQ1033)),Параметры!AR$30),0)</f>
        <v>0</v>
      </c>
      <c r="AS1033" s="185">
        <f>IF(AS$2&gt;=$B1022,MIN($B1023*Параметры!$B$21-IF(AS$2=1,0,SUM($F1033:AR1033)),Параметры!AS$30),0)</f>
        <v>0</v>
      </c>
      <c r="AT1033" s="185">
        <f>IF(AT$2&gt;=$B1022,MIN($B1023*Параметры!$B$21-IF(AT$2=1,0,SUM($F1033:AS1033)),Параметры!AT$30),0)</f>
        <v>0</v>
      </c>
      <c r="AU1033" s="185">
        <f>IF(AU$2&gt;=$B1022,MIN($B1023*Параметры!$B$21-IF(AU$2=1,0,SUM($F1033:AT1033)),Параметры!AU$30),0)</f>
        <v>0</v>
      </c>
      <c r="AV1033" s="185">
        <f>IF(AV$2&gt;=$B1022,MIN($B1023*Параметры!$B$21-IF(AV$2=1,0,SUM($F1033:AU1033)),Параметры!AV$30),0)</f>
        <v>0</v>
      </c>
      <c r="AW1033" s="185">
        <f>IF(AW$2&gt;=$B1022,MIN($B1023*Параметры!$B$21-IF(AW$2=1,0,SUM($F1033:AV1033)),Параметры!AW$30),0)</f>
        <v>0</v>
      </c>
      <c r="AX1033" s="185">
        <f>IF(AX$2&gt;=$B1022,MIN($B1023*Параметры!$B$21-IF(AX$2=1,0,SUM($F1033:AW1033)),Параметры!AX$30),0)</f>
        <v>0</v>
      </c>
      <c r="AY1033" s="185">
        <f>IF(AY$2&gt;=$B1022,MIN($B1023*Параметры!$B$21-IF(AY$2=1,0,SUM($F1033:AX1033)),Параметры!AY$30),0)</f>
        <v>0</v>
      </c>
      <c r="AZ1033" s="185">
        <f>IF(AZ$2&gt;=$B1022,MIN($B1023*Параметры!$B$21-IF(AZ$2=1,0,SUM($F1033:AY1033)),Параметры!AZ$30),0)</f>
        <v>0</v>
      </c>
      <c r="BA1033" s="185">
        <f>IF(BA$2&gt;=$B1022,MIN($B1023*Параметры!$B$21-IF(BA$2=1,0,SUM($F1033:AZ1033)),Параметры!BA$30),0)</f>
        <v>0</v>
      </c>
      <c r="BB1033" s="185">
        <f>IF(BB$2&gt;=$B1022,MIN($B1023*Параметры!$B$21-IF(BB$2=1,0,SUM($F1033:BA1033)),Параметры!BB$30),0)</f>
        <v>0</v>
      </c>
      <c r="BC1033" s="185"/>
      <c r="BD1033" s="193"/>
    </row>
    <row r="1034" spans="1:56" hidden="1" x14ac:dyDescent="0.3">
      <c r="A1034" s="184" t="str">
        <f ca="1">Language!A$1034</f>
        <v>финансовый расход</v>
      </c>
      <c r="B1034" s="212"/>
      <c r="C1034" s="163"/>
      <c r="D1034" s="174"/>
      <c r="E1034" s="170" t="s">
        <v>1202</v>
      </c>
      <c r="F1034" s="170" t="s">
        <v>743</v>
      </c>
      <c r="G1034" s="185">
        <f ca="1">IF(SUM($G1033:G1033)=$B1023*Параметры!$B$21,$BD1025-$B1027-SUM($F1034:F1034),IF(G$2&gt;=$B1022,IF(G$2=$B1022,$B1027,F1031)*(POWER(1+$B1030,G1033/360)-1),0))</f>
        <v>0</v>
      </c>
      <c r="H1034" s="185">
        <f ca="1">IF(SUM($G1033:H1033)=$B1023*Параметры!$B$21,$BD1025-$B1027-SUM($F1034:G1034),IF(H$2&gt;=$B1022,IF(H$2=$B1022,$B1027,G1031)*(POWER(1+$B1030,H1033/360)-1),0))</f>
        <v>0</v>
      </c>
      <c r="I1034" s="185">
        <f ca="1">IF(SUM($G1033:I1033)=$B1023*Параметры!$B$21,$BD1025-$B1027-SUM($F1034:H1034),IF(I$2&gt;=$B1022,IF(I$2=$B1022,$B1027,H1031)*(POWER(1+$B1030,I1033/360)-1),0))</f>
        <v>0</v>
      </c>
      <c r="J1034" s="185">
        <f ca="1">IF(SUM($G1033:J1033)=$B1023*Параметры!$B$21,$BD1025-$B1027-SUM($F1034:I1034),IF(J$2&gt;=$B1022,IF(J$2=$B1022,$B1027,I1031)*(POWER(1+$B1030,J1033/360)-1),0))</f>
        <v>0</v>
      </c>
      <c r="K1034" s="185">
        <f ca="1">IF(SUM($G1033:K1033)=$B1023*Параметры!$B$21,$BD1025-$B1027-SUM($F1034:J1034),IF(K$2&gt;=$B1022,IF(K$2=$B1022,$B1027,J1031)*(POWER(1+$B1030,K1033/360)-1),0))</f>
        <v>0</v>
      </c>
      <c r="L1034" s="185">
        <f ca="1">IF(SUM($G1033:L1033)=$B1023*Параметры!$B$21,$BD1025-$B1027-SUM($F1034:K1034),IF(L$2&gt;=$B1022,IF(L$2=$B1022,$B1027,K1031)*(POWER(1+$B1030,L1033/360)-1),0))</f>
        <v>0</v>
      </c>
      <c r="M1034" s="185">
        <f ca="1">IF(SUM($G1033:M1033)=$B1023*Параметры!$B$21,$BD1025-$B1027-SUM($F1034:L1034),IF(M$2&gt;=$B1022,IF(M$2=$B1022,$B1027,L1031)*(POWER(1+$B1030,M1033/360)-1),0))</f>
        <v>0</v>
      </c>
      <c r="N1034" s="185">
        <f ca="1">IF(SUM($G1033:N1033)=$B1023*Параметры!$B$21,$BD1025-$B1027-SUM($F1034:M1034),IF(N$2&gt;=$B1022,IF(N$2=$B1022,$B1027,M1031)*(POWER(1+$B1030,N1033/360)-1),0))</f>
        <v>0</v>
      </c>
      <c r="O1034" s="185">
        <f ca="1">IF(SUM($G1033:O1033)=$B1023*Параметры!$B$21,$BD1025-$B1027-SUM($F1034:N1034),IF(O$2&gt;=$B1022,IF(O$2=$B1022,$B1027,N1031)*(POWER(1+$B1030,O1033/360)-1),0))</f>
        <v>0</v>
      </c>
      <c r="P1034" s="185">
        <f ca="1">IF(SUM($G1033:P1033)=$B1023*Параметры!$B$21,$BD1025-$B1027-SUM($F1034:O1034),IF(P$2&gt;=$B1022,IF(P$2=$B1022,$B1027,O1031)*(POWER(1+$B1030,P1033/360)-1),0))</f>
        <v>0</v>
      </c>
      <c r="Q1034" s="185">
        <f ca="1">IF(SUM($G1033:Q1033)=$B1023*Параметры!$B$21,$BD1025-$B1027-SUM($F1034:P1034),IF(Q$2&gt;=$B1022,IF(Q$2=$B1022,$B1027,P1031)*(POWER(1+$B1030,Q1033/360)-1),0))</f>
        <v>0</v>
      </c>
      <c r="R1034" s="185">
        <f ca="1">IF(SUM($G1033:R1033)=$B1023*Параметры!$B$21,$BD1025-$B1027-SUM($F1034:Q1034),IF(R$2&gt;=$B1022,IF(R$2=$B1022,$B1027,Q1031)*(POWER(1+$B1030,R1033/360)-1),0))</f>
        <v>0</v>
      </c>
      <c r="S1034" s="185">
        <f ca="1">IF(SUM($G1033:S1033)=$B1023*Параметры!$B$21,$BD1025-$B1027-SUM($F1034:R1034),IF(S$2&gt;=$B1022,IF(S$2=$B1022,$B1027,R1031)*(POWER(1+$B1030,S1033/360)-1),0))</f>
        <v>0</v>
      </c>
      <c r="T1034" s="185">
        <f ca="1">IF(SUM($G1033:T1033)=$B1023*Параметры!$B$21,$BD1025-$B1027-SUM($F1034:S1034),IF(T$2&gt;=$B1022,IF(T$2=$B1022,$B1027,S1031)*(POWER(1+$B1030,T1033/360)-1),0))</f>
        <v>0</v>
      </c>
      <c r="U1034" s="185">
        <f ca="1">IF(SUM($G1033:U1033)=$B1023*Параметры!$B$21,$BD1025-$B1027-SUM($F1034:T1034),IF(U$2&gt;=$B1022,IF(U$2=$B1022,$B1027,T1031)*(POWER(1+$B1030,U1033/360)-1),0))</f>
        <v>0</v>
      </c>
      <c r="V1034" s="185">
        <f ca="1">IF(SUM($G1033:V1033)=$B1023*Параметры!$B$21,$BD1025-$B1027-SUM($F1034:U1034),IF(V$2&gt;=$B1022,IF(V$2=$B1022,$B1027,U1031)*(POWER(1+$B1030,V1033/360)-1),0))</f>
        <v>0</v>
      </c>
      <c r="W1034" s="185">
        <f ca="1">IF(SUM($G1033:W1033)=$B1023*Параметры!$B$21,$BD1025-$B1027-SUM($F1034:V1034),IF(W$2&gt;=$B1022,IF(W$2=$B1022,$B1027,V1031)*(POWER(1+$B1030,W1033/360)-1),0))</f>
        <v>0</v>
      </c>
      <c r="X1034" s="185">
        <f ca="1">IF(SUM($G1033:X1033)=$B1023*Параметры!$B$21,$BD1025-$B1027-SUM($F1034:W1034),IF(X$2&gt;=$B1022,IF(X$2=$B1022,$B1027,W1031)*(POWER(1+$B1030,X1033/360)-1),0))</f>
        <v>0</v>
      </c>
      <c r="Y1034" s="185">
        <f ca="1">IF(SUM($G1033:Y1033)=$B1023*Параметры!$B$21,$BD1025-$B1027-SUM($F1034:X1034),IF(Y$2&gt;=$B1022,IF(Y$2=$B1022,$B1027,X1031)*(POWER(1+$B1030,Y1033/360)-1),0))</f>
        <v>0</v>
      </c>
      <c r="Z1034" s="185">
        <f ca="1">IF(SUM($G1033:Z1033)=$B1023*Параметры!$B$21,$BD1025-$B1027-SUM($F1034:Y1034),IF(Z$2&gt;=$B1022,IF(Z$2=$B1022,$B1027,Y1031)*(POWER(1+$B1030,Z1033/360)-1),0))</f>
        <v>0</v>
      </c>
      <c r="AA1034" s="185">
        <f ca="1">IF(SUM($G1033:AA1033)=$B1023*Параметры!$B$21,$BD1025-$B1027-SUM($F1034:Z1034),IF(AA$2&gt;=$B1022,IF(AA$2=$B1022,$B1027,Z1031)*(POWER(1+$B1030,AA1033/360)-1),0))</f>
        <v>0</v>
      </c>
      <c r="AB1034" s="185">
        <f ca="1">IF(SUM($G1033:AB1033)=$B1023*Параметры!$B$21,$BD1025-$B1027-SUM($F1034:AA1034),IF(AB$2&gt;=$B1022,IF(AB$2=$B1022,$B1027,AA1031)*(POWER(1+$B1030,AB1033/360)-1),0))</f>
        <v>0</v>
      </c>
      <c r="AC1034" s="185">
        <f ca="1">IF(SUM($G1033:AC1033)=$B1023*Параметры!$B$21,$BD1025-$B1027-SUM($F1034:AB1034),IF(AC$2&gt;=$B1022,IF(AC$2=$B1022,$B1027,AB1031)*(POWER(1+$B1030,AC1033/360)-1),0))</f>
        <v>0</v>
      </c>
      <c r="AD1034" s="185">
        <f ca="1">IF(SUM($G1033:AD1033)=$B1023*Параметры!$B$21,$BD1025-$B1027-SUM($F1034:AC1034),IF(AD$2&gt;=$B1022,IF(AD$2=$B1022,$B1027,AC1031)*(POWER(1+$B1030,AD1033/360)-1),0))</f>
        <v>0</v>
      </c>
      <c r="AE1034" s="185">
        <f ca="1">IF(SUM($G1033:AE1033)=$B1023*Параметры!$B$21,$BD1025-$B1027-SUM($F1034:AD1034),IF(AE$2&gt;=$B1022,IF(AE$2=$B1022,$B1027,AD1031)*(POWER(1+$B1030,AE1033/360)-1),0))</f>
        <v>0</v>
      </c>
      <c r="AF1034" s="185">
        <f ca="1">IF(SUM($G1033:AF1033)=$B1023*Параметры!$B$21,$BD1025-$B1027-SUM($F1034:AE1034),IF(AF$2&gt;=$B1022,IF(AF$2=$B1022,$B1027,AE1031)*(POWER(1+$B1030,AF1033/360)-1),0))</f>
        <v>0</v>
      </c>
      <c r="AG1034" s="185">
        <f ca="1">IF(SUM($G1033:AG1033)=$B1023*Параметры!$B$21,$BD1025-$B1027-SUM($F1034:AF1034),IF(AG$2&gt;=$B1022,IF(AG$2=$B1022,$B1027,AF1031)*(POWER(1+$B1030,AG1033/360)-1),0))</f>
        <v>0</v>
      </c>
      <c r="AH1034" s="185">
        <f ca="1">IF(SUM($G1033:AH1033)=$B1023*Параметры!$B$21,$BD1025-$B1027-SUM($F1034:AG1034),IF(AH$2&gt;=$B1022,IF(AH$2=$B1022,$B1027,AG1031)*(POWER(1+$B1030,AH1033/360)-1),0))</f>
        <v>0</v>
      </c>
      <c r="AI1034" s="185">
        <f ca="1">IF(SUM($G1033:AI1033)=$B1023*Параметры!$B$21,$BD1025-$B1027-SUM($F1034:AH1034),IF(AI$2&gt;=$B1022,IF(AI$2=$B1022,$B1027,AH1031)*(POWER(1+$B1030,AI1033/360)-1),0))</f>
        <v>0</v>
      </c>
      <c r="AJ1034" s="185">
        <f ca="1">IF(SUM($G1033:AJ1033)=$B1023*Параметры!$B$21,$BD1025-$B1027-SUM($F1034:AI1034),IF(AJ$2&gt;=$B1022,IF(AJ$2=$B1022,$B1027,AI1031)*(POWER(1+$B1030,AJ1033/360)-1),0))</f>
        <v>0</v>
      </c>
      <c r="AK1034" s="185">
        <f ca="1">IF(SUM($G1033:AK1033)=$B1023*Параметры!$B$21,$BD1025-$B1027-SUM($F1034:AJ1034),IF(AK$2&gt;=$B1022,IF(AK$2=$B1022,$B1027,AJ1031)*(POWER(1+$B1030,AK1033/360)-1),0))</f>
        <v>0</v>
      </c>
      <c r="AL1034" s="185">
        <f ca="1">IF(SUM($G1033:AL1033)=$B1023*Параметры!$B$21,$BD1025-$B1027-SUM($F1034:AK1034),IF(AL$2&gt;=$B1022,IF(AL$2=$B1022,$B1027,AK1031)*(POWER(1+$B1030,AL1033/360)-1),0))</f>
        <v>0</v>
      </c>
      <c r="AM1034" s="185">
        <f ca="1">IF(SUM($G1033:AM1033)=$B1023*Параметры!$B$21,$BD1025-$B1027-SUM($F1034:AL1034),IF(AM$2&gt;=$B1022,IF(AM$2=$B1022,$B1027,AL1031)*(POWER(1+$B1030,AM1033/360)-1),0))</f>
        <v>0</v>
      </c>
      <c r="AN1034" s="185">
        <f ca="1">IF(SUM($G1033:AN1033)=$B1023*Параметры!$B$21,$BD1025-$B1027-SUM($F1034:AM1034),IF(AN$2&gt;=$B1022,IF(AN$2=$B1022,$B1027,AM1031)*(POWER(1+$B1030,AN1033/360)-1),0))</f>
        <v>0</v>
      </c>
      <c r="AO1034" s="185">
        <f ca="1">IF(SUM($G1033:AO1033)=$B1023*Параметры!$B$21,$BD1025-$B1027-SUM($F1034:AN1034),IF(AO$2&gt;=$B1022,IF(AO$2=$B1022,$B1027,AN1031)*(POWER(1+$B1030,AO1033/360)-1),0))</f>
        <v>0</v>
      </c>
      <c r="AP1034" s="185">
        <f ca="1">IF(SUM($G1033:AP1033)=$B1023*Параметры!$B$21,$BD1025-$B1027-SUM($F1034:AO1034),IF(AP$2&gt;=$B1022,IF(AP$2=$B1022,$B1027,AO1031)*(POWER(1+$B1030,AP1033/360)-1),0))</f>
        <v>0</v>
      </c>
      <c r="AQ1034" s="185">
        <f ca="1">IF(SUM($G1033:AQ1033)=$B1023*Параметры!$B$21,$BD1025-$B1027-SUM($F1034:AP1034),IF(AQ$2&gt;=$B1022,IF(AQ$2=$B1022,$B1027,AP1031)*(POWER(1+$B1030,AQ1033/360)-1),0))</f>
        <v>0</v>
      </c>
      <c r="AR1034" s="185">
        <f ca="1">IF(SUM($G1033:AR1033)=$B1023*Параметры!$B$21,$BD1025-$B1027-SUM($F1034:AQ1034),IF(AR$2&gt;=$B1022,IF(AR$2=$B1022,$B1027,AQ1031)*(POWER(1+$B1030,AR1033/360)-1),0))</f>
        <v>0</v>
      </c>
      <c r="AS1034" s="185">
        <f ca="1">IF(SUM($G1033:AS1033)=$B1023*Параметры!$B$21,$BD1025-$B1027-SUM($F1034:AR1034),IF(AS$2&gt;=$B1022,IF(AS$2=$B1022,$B1027,AR1031)*(POWER(1+$B1030,AS1033/360)-1),0))</f>
        <v>0</v>
      </c>
      <c r="AT1034" s="185">
        <f ca="1">IF(SUM($G1033:AT1033)=$B1023*Параметры!$B$21,$BD1025-$B1027-SUM($F1034:AS1034),IF(AT$2&gt;=$B1022,IF(AT$2=$B1022,$B1027,AS1031)*(POWER(1+$B1030,AT1033/360)-1),0))</f>
        <v>0</v>
      </c>
      <c r="AU1034" s="185">
        <f ca="1">IF(SUM($G1033:AU1033)=$B1023*Параметры!$B$21,$BD1025-$B1027-SUM($F1034:AT1034),IF(AU$2&gt;=$B1022,IF(AU$2=$B1022,$B1027,AT1031)*(POWER(1+$B1030,AU1033/360)-1),0))</f>
        <v>0</v>
      </c>
      <c r="AV1034" s="185">
        <f ca="1">IF(SUM($G1033:AV1033)=$B1023*Параметры!$B$21,$BD1025-$B1027-SUM($F1034:AU1034),IF(AV$2&gt;=$B1022,IF(AV$2=$B1022,$B1027,AU1031)*(POWER(1+$B1030,AV1033/360)-1),0))</f>
        <v>0</v>
      </c>
      <c r="AW1034" s="185">
        <f ca="1">IF(SUM($G1033:AW1033)=$B1023*Параметры!$B$21,$BD1025-$B1027-SUM($F1034:AV1034),IF(AW$2&gt;=$B1022,IF(AW$2=$B1022,$B1027,AV1031)*(POWER(1+$B1030,AW1033/360)-1),0))</f>
        <v>0</v>
      </c>
      <c r="AX1034" s="185">
        <f ca="1">IF(SUM($G1033:AX1033)=$B1023*Параметры!$B$21,$BD1025-$B1027-SUM($F1034:AW1034),IF(AX$2&gt;=$B1022,IF(AX$2=$B1022,$B1027,AW1031)*(POWER(1+$B1030,AX1033/360)-1),0))</f>
        <v>0</v>
      </c>
      <c r="AY1034" s="185">
        <f ca="1">IF(SUM($G1033:AY1033)=$B1023*Параметры!$B$21,$BD1025-$B1027-SUM($F1034:AX1034),IF(AY$2&gt;=$B1022,IF(AY$2=$B1022,$B1027,AX1031)*(POWER(1+$B1030,AY1033/360)-1),0))</f>
        <v>0</v>
      </c>
      <c r="AZ1034" s="185">
        <f ca="1">IF(SUM($G1033:AZ1033)=$B1023*Параметры!$B$21,$BD1025-$B1027-SUM($F1034:AY1034),IF(AZ$2&gt;=$B1022,IF(AZ$2=$B1022,$B1027,AY1031)*(POWER(1+$B1030,AZ1033/360)-1),0))</f>
        <v>0</v>
      </c>
      <c r="BA1034" s="185">
        <f ca="1">IF(SUM($G1033:BA1033)=$B1023*Параметры!$B$21,$BD1025-$B1027-SUM($F1034:AZ1034),IF(BA$2&gt;=$B1022,IF(BA$2=$B1022,$B1027,AZ1031)*(POWER(1+$B1030,BA1033/360)-1),0))</f>
        <v>0</v>
      </c>
      <c r="BB1034" s="185">
        <f ca="1">IF(SUM($G1033:BB1033)=$B1023*Параметры!$B$21,$BD1025-$B1027-SUM($F1034:BA1034),IF(BB$2&gt;=$B1022,IF(BB$2=$B1022,$B1027,BA1031)*(POWER(1+$B1030,BB1033/360)-1),0))</f>
        <v>0</v>
      </c>
      <c r="BC1034" s="185"/>
      <c r="BD1034" s="178">
        <f ca="1">SUM(G1034:BC1034)</f>
        <v>0</v>
      </c>
    </row>
    <row r="1035" spans="1:56" hidden="1" x14ac:dyDescent="0.3">
      <c r="A1035" s="184" t="str">
        <f ca="1">Language!A$1035</f>
        <v>задолженность по аренде</v>
      </c>
      <c r="B1035" s="212"/>
      <c r="C1035" s="163" t="str">
        <f t="shared" ref="C1035:C1036" ca="1" si="3984">CHOOSE(D1035,CurName1,CurName2,CurName3)</f>
        <v>руб.</v>
      </c>
      <c r="D1035" s="174">
        <v>1</v>
      </c>
      <c r="E1035" s="170" t="s">
        <v>1013</v>
      </c>
      <c r="F1035" s="170" t="s">
        <v>747</v>
      </c>
      <c r="G1035" s="185">
        <f ca="1">IF(G$2&gt;=$B1022,MAX($B1027+SUM($G1034:G1034)-SUM($G1025:G1025),0),0)</f>
        <v>0</v>
      </c>
      <c r="H1035" s="185">
        <f ca="1">IF(H$2&gt;=$B1022,MAX($B1027+SUM($G1034:H1034)-SUM($G1025:H1025),0),0)</f>
        <v>0</v>
      </c>
      <c r="I1035" s="185">
        <f ca="1">IF(I$2&gt;=$B1022,MAX($B1027+SUM($G1034:I1034)-SUM($G1025:I1025),0),0)</f>
        <v>0</v>
      </c>
      <c r="J1035" s="185">
        <f ca="1">IF(J$2&gt;=$B1022,MAX($B1027+SUM($G1034:J1034)-SUM($G1025:J1025),0),0)</f>
        <v>0</v>
      </c>
      <c r="K1035" s="185">
        <f ca="1">IF(K$2&gt;=$B1022,MAX($B1027+SUM($G1034:K1034)-SUM($G1025:K1025),0),0)</f>
        <v>0</v>
      </c>
      <c r="L1035" s="185">
        <f ca="1">IF(L$2&gt;=$B1022,MAX($B1027+SUM($G1034:L1034)-SUM($G1025:L1025),0),0)</f>
        <v>0</v>
      </c>
      <c r="M1035" s="185">
        <f ca="1">IF(M$2&gt;=$B1022,MAX($B1027+SUM($G1034:M1034)-SUM($G1025:M1025),0),0)</f>
        <v>0</v>
      </c>
      <c r="N1035" s="185">
        <f ca="1">IF(N$2&gt;=$B1022,MAX($B1027+SUM($G1034:N1034)-SUM($G1025:N1025),0),0)</f>
        <v>0</v>
      </c>
      <c r="O1035" s="185">
        <f ca="1">IF(O$2&gt;=$B1022,MAX($B1027+SUM($G1034:O1034)-SUM($G1025:O1025),0),0)</f>
        <v>0</v>
      </c>
      <c r="P1035" s="185">
        <f ca="1">IF(P$2&gt;=$B1022,MAX($B1027+SUM($G1034:P1034)-SUM($G1025:P1025),0),0)</f>
        <v>0</v>
      </c>
      <c r="Q1035" s="185">
        <f ca="1">IF(Q$2&gt;=$B1022,MAX($B1027+SUM($G1034:Q1034)-SUM($G1025:Q1025),0),0)</f>
        <v>0</v>
      </c>
      <c r="R1035" s="185">
        <f ca="1">IF(R$2&gt;=$B1022,MAX($B1027+SUM($G1034:R1034)-SUM($G1025:R1025),0),0)</f>
        <v>0</v>
      </c>
      <c r="S1035" s="185">
        <f ca="1">IF(S$2&gt;=$B1022,MAX($B1027+SUM($G1034:S1034)-SUM($G1025:S1025),0),0)</f>
        <v>0</v>
      </c>
      <c r="T1035" s="185">
        <f ca="1">IF(T$2&gt;=$B1022,MAX($B1027+SUM($G1034:T1034)-SUM($G1025:T1025),0),0)</f>
        <v>0</v>
      </c>
      <c r="U1035" s="185">
        <f ca="1">IF(U$2&gt;=$B1022,MAX($B1027+SUM($G1034:U1034)-SUM($G1025:U1025),0),0)</f>
        <v>0</v>
      </c>
      <c r="V1035" s="185">
        <f ca="1">IF(V$2&gt;=$B1022,MAX($B1027+SUM($G1034:V1034)-SUM($G1025:V1025),0),0)</f>
        <v>0</v>
      </c>
      <c r="W1035" s="185">
        <f ca="1">IF(W$2&gt;=$B1022,MAX($B1027+SUM($G1034:W1034)-SUM($G1025:W1025),0),0)</f>
        <v>0</v>
      </c>
      <c r="X1035" s="185">
        <f ca="1">IF(X$2&gt;=$B1022,MAX($B1027+SUM($G1034:X1034)-SUM($G1025:X1025),0),0)</f>
        <v>0</v>
      </c>
      <c r="Y1035" s="185">
        <f ca="1">IF(Y$2&gt;=$B1022,MAX($B1027+SUM($G1034:Y1034)-SUM($G1025:Y1025),0),0)</f>
        <v>0</v>
      </c>
      <c r="Z1035" s="185">
        <f ca="1">IF(Z$2&gt;=$B1022,MAX($B1027+SUM($G1034:Z1034)-SUM($G1025:Z1025),0),0)</f>
        <v>0</v>
      </c>
      <c r="AA1035" s="185">
        <f ca="1">IF(AA$2&gt;=$B1022,MAX($B1027+SUM($G1034:AA1034)-SUM($G1025:AA1025),0),0)</f>
        <v>0</v>
      </c>
      <c r="AB1035" s="185">
        <f ca="1">IF(AB$2&gt;=$B1022,MAX($B1027+SUM($G1034:AB1034)-SUM($G1025:AB1025),0),0)</f>
        <v>0</v>
      </c>
      <c r="AC1035" s="185">
        <f ca="1">IF(AC$2&gt;=$B1022,MAX($B1027+SUM($G1034:AC1034)-SUM($G1025:AC1025),0),0)</f>
        <v>0</v>
      </c>
      <c r="AD1035" s="185">
        <f ca="1">IF(AD$2&gt;=$B1022,MAX($B1027+SUM($G1034:AD1034)-SUM($G1025:AD1025),0),0)</f>
        <v>0</v>
      </c>
      <c r="AE1035" s="185">
        <f ca="1">IF(AE$2&gt;=$B1022,MAX($B1027+SUM($G1034:AE1034)-SUM($G1025:AE1025),0),0)</f>
        <v>0</v>
      </c>
      <c r="AF1035" s="185">
        <f ca="1">IF(AF$2&gt;=$B1022,MAX($B1027+SUM($G1034:AF1034)-SUM($G1025:AF1025),0),0)</f>
        <v>0</v>
      </c>
      <c r="AG1035" s="185">
        <f ca="1">IF(AG$2&gt;=$B1022,MAX($B1027+SUM($G1034:AG1034)-SUM($G1025:AG1025),0),0)</f>
        <v>0</v>
      </c>
      <c r="AH1035" s="185">
        <f ca="1">IF(AH$2&gt;=$B1022,MAX($B1027+SUM($G1034:AH1034)-SUM($G1025:AH1025),0),0)</f>
        <v>0</v>
      </c>
      <c r="AI1035" s="185">
        <f ca="1">IF(AI$2&gt;=$B1022,MAX($B1027+SUM($G1034:AI1034)-SUM($G1025:AI1025),0),0)</f>
        <v>0</v>
      </c>
      <c r="AJ1035" s="185">
        <f ca="1">IF(AJ$2&gt;=$B1022,MAX($B1027+SUM($G1034:AJ1034)-SUM($G1025:AJ1025),0),0)</f>
        <v>0</v>
      </c>
      <c r="AK1035" s="185">
        <f ca="1">IF(AK$2&gt;=$B1022,MAX($B1027+SUM($G1034:AK1034)-SUM($G1025:AK1025),0),0)</f>
        <v>0</v>
      </c>
      <c r="AL1035" s="185">
        <f ca="1">IF(AL$2&gt;=$B1022,MAX($B1027+SUM($G1034:AL1034)-SUM($G1025:AL1025),0),0)</f>
        <v>0</v>
      </c>
      <c r="AM1035" s="185">
        <f ca="1">IF(AM$2&gt;=$B1022,MAX($B1027+SUM($G1034:AM1034)-SUM($G1025:AM1025),0),0)</f>
        <v>0</v>
      </c>
      <c r="AN1035" s="185">
        <f ca="1">IF(AN$2&gt;=$B1022,MAX($B1027+SUM($G1034:AN1034)-SUM($G1025:AN1025),0),0)</f>
        <v>0</v>
      </c>
      <c r="AO1035" s="185">
        <f ca="1">IF(AO$2&gt;=$B1022,MAX($B1027+SUM($G1034:AO1034)-SUM($G1025:AO1025),0),0)</f>
        <v>0</v>
      </c>
      <c r="AP1035" s="185">
        <f ca="1">IF(AP$2&gt;=$B1022,MAX($B1027+SUM($G1034:AP1034)-SUM($G1025:AP1025),0),0)</f>
        <v>0</v>
      </c>
      <c r="AQ1035" s="185">
        <f ca="1">IF(AQ$2&gt;=$B1022,MAX($B1027+SUM($G1034:AQ1034)-SUM($G1025:AQ1025),0),0)</f>
        <v>0</v>
      </c>
      <c r="AR1035" s="185">
        <f ca="1">IF(AR$2&gt;=$B1022,MAX($B1027+SUM($G1034:AR1034)-SUM($G1025:AR1025),0),0)</f>
        <v>0</v>
      </c>
      <c r="AS1035" s="185">
        <f ca="1">IF(AS$2&gt;=$B1022,MAX($B1027+SUM($G1034:AS1034)-SUM($G1025:AS1025),0),0)</f>
        <v>0</v>
      </c>
      <c r="AT1035" s="185">
        <f ca="1">IF(AT$2&gt;=$B1022,MAX($B1027+SUM($G1034:AT1034)-SUM($G1025:AT1025),0),0)</f>
        <v>0</v>
      </c>
      <c r="AU1035" s="185">
        <f ca="1">IF(AU$2&gt;=$B1022,MAX($B1027+SUM($G1034:AU1034)-SUM($G1025:AU1025),0),0)</f>
        <v>0</v>
      </c>
      <c r="AV1035" s="185">
        <f ca="1">IF(AV$2&gt;=$B1022,MAX($B1027+SUM($G1034:AV1034)-SUM($G1025:AV1025),0),0)</f>
        <v>0</v>
      </c>
      <c r="AW1035" s="185">
        <f ca="1">IF(AW$2&gt;=$B1022,MAX($B1027+SUM($G1034:AW1034)-SUM($G1025:AW1025),0),0)</f>
        <v>0</v>
      </c>
      <c r="AX1035" s="185">
        <f ca="1">IF(AX$2&gt;=$B1022,MAX($B1027+SUM($G1034:AX1034)-SUM($G1025:AX1025),0),0)</f>
        <v>0</v>
      </c>
      <c r="AY1035" s="185">
        <f ca="1">IF(AY$2&gt;=$B1022,MAX($B1027+SUM($G1034:AY1034)-SUM($G1025:AY1025),0),0)</f>
        <v>0</v>
      </c>
      <c r="AZ1035" s="185">
        <f ca="1">IF(AZ$2&gt;=$B1022,MAX($B1027+SUM($G1034:AZ1034)-SUM($G1025:AZ1025),0),0)</f>
        <v>0</v>
      </c>
      <c r="BA1035" s="185">
        <f ca="1">IF(BA$2&gt;=$B1022,MAX($B1027+SUM($G1034:BA1034)-SUM($G1025:BA1025),0),0)</f>
        <v>0</v>
      </c>
      <c r="BB1035" s="185">
        <f ca="1">IF(BB$2&gt;=$B1022,MAX($B1027+SUM($G1034:BB1034)-SUM($G1025:BB1025),0),0)</f>
        <v>0</v>
      </c>
      <c r="BC1035" s="185"/>
      <c r="BD1035" s="193"/>
    </row>
    <row r="1036" spans="1:56" hidden="1" x14ac:dyDescent="0.3">
      <c r="A1036" s="184" t="str">
        <f ca="1">Language!A$1036</f>
        <v>авансы выплаченные</v>
      </c>
      <c r="B1036" s="212"/>
      <c r="C1036" s="163" t="str">
        <f t="shared" ca="1" si="3984"/>
        <v>руб.</v>
      </c>
      <c r="D1036" s="174">
        <v>1</v>
      </c>
      <c r="E1036" s="170" t="s">
        <v>1205</v>
      </c>
      <c r="F1036" s="170" t="s">
        <v>747</v>
      </c>
      <c r="G1036" s="185">
        <f ca="1">IF(G$2&gt;=$B1022,MAX(SUM($G1025:G1025)-$B1027-SUM($G1034:G1034),0),SUM($G1025:G1025))</f>
        <v>0</v>
      </c>
      <c r="H1036" s="185">
        <f ca="1">IF(H$2&gt;=$B1022,MAX(SUM($G1025:H1025)-$B1027-SUM($G1034:H1034),0),SUM($G1025:H1025))</f>
        <v>0</v>
      </c>
      <c r="I1036" s="185">
        <f ca="1">IF(I$2&gt;=$B1022,MAX(SUM($G1025:I1025)-$B1027-SUM($G1034:I1034),0),SUM($G1025:I1025))</f>
        <v>0</v>
      </c>
      <c r="J1036" s="185">
        <f ca="1">IF(J$2&gt;=$B1022,MAX(SUM($G1025:J1025)-$B1027-SUM($G1034:J1034),0),SUM($G1025:J1025))</f>
        <v>0</v>
      </c>
      <c r="K1036" s="185">
        <f ca="1">IF(K$2&gt;=$B1022,MAX(SUM($G1025:K1025)-$B1027-SUM($G1034:K1034),0),SUM($G1025:K1025))</f>
        <v>0</v>
      </c>
      <c r="L1036" s="185">
        <f ca="1">IF(L$2&gt;=$B1022,MAX(SUM($G1025:L1025)-$B1027-SUM($G1034:L1034),0),SUM($G1025:L1025))</f>
        <v>0</v>
      </c>
      <c r="M1036" s="185">
        <f ca="1">IF(M$2&gt;=$B1022,MAX(SUM($G1025:M1025)-$B1027-SUM($G1034:M1034),0),SUM($G1025:M1025))</f>
        <v>0</v>
      </c>
      <c r="N1036" s="185">
        <f ca="1">IF(N$2&gt;=$B1022,MAX(SUM($G1025:N1025)-$B1027-SUM($G1034:N1034),0),SUM($G1025:N1025))</f>
        <v>0</v>
      </c>
      <c r="O1036" s="185">
        <f ca="1">IF(O$2&gt;=$B1022,MAX(SUM($G1025:O1025)-$B1027-SUM($G1034:O1034),0),SUM($G1025:O1025))</f>
        <v>0</v>
      </c>
      <c r="P1036" s="185">
        <f ca="1">IF(P$2&gt;=$B1022,MAX(SUM($G1025:P1025)-$B1027-SUM($G1034:P1034),0),SUM($G1025:P1025))</f>
        <v>0</v>
      </c>
      <c r="Q1036" s="185">
        <f ca="1">IF(Q$2&gt;=$B1022,MAX(SUM($G1025:Q1025)-$B1027-SUM($G1034:Q1034),0),SUM($G1025:Q1025))</f>
        <v>0</v>
      </c>
      <c r="R1036" s="185">
        <f ca="1">IF(R$2&gt;=$B1022,MAX(SUM($G1025:R1025)-$B1027-SUM($G1034:R1034),0),SUM($G1025:R1025))</f>
        <v>0</v>
      </c>
      <c r="S1036" s="185">
        <f ca="1">IF(S$2&gt;=$B1022,MAX(SUM($G1025:S1025)-$B1027-SUM($G1034:S1034),0),SUM($G1025:S1025))</f>
        <v>0</v>
      </c>
      <c r="T1036" s="185">
        <f ca="1">IF(T$2&gt;=$B1022,MAX(SUM($G1025:T1025)-$B1027-SUM($G1034:T1034),0),SUM($G1025:T1025))</f>
        <v>0</v>
      </c>
      <c r="U1036" s="185">
        <f ca="1">IF(U$2&gt;=$B1022,MAX(SUM($G1025:U1025)-$B1027-SUM($G1034:U1034),0),SUM($G1025:U1025))</f>
        <v>0</v>
      </c>
      <c r="V1036" s="185">
        <f ca="1">IF(V$2&gt;=$B1022,MAX(SUM($G1025:V1025)-$B1027-SUM($G1034:V1034),0),SUM($G1025:V1025))</f>
        <v>0</v>
      </c>
      <c r="W1036" s="185">
        <f ca="1">IF(W$2&gt;=$B1022,MAX(SUM($G1025:W1025)-$B1027-SUM($G1034:W1034),0),SUM($G1025:W1025))</f>
        <v>0</v>
      </c>
      <c r="X1036" s="185">
        <f ca="1">IF(X$2&gt;=$B1022,MAX(SUM($G1025:X1025)-$B1027-SUM($G1034:X1034),0),SUM($G1025:X1025))</f>
        <v>0</v>
      </c>
      <c r="Y1036" s="185">
        <f ca="1">IF(Y$2&gt;=$B1022,MAX(SUM($G1025:Y1025)-$B1027-SUM($G1034:Y1034),0),SUM($G1025:Y1025))</f>
        <v>0</v>
      </c>
      <c r="Z1036" s="185">
        <f ca="1">IF(Z$2&gt;=$B1022,MAX(SUM($G1025:Z1025)-$B1027-SUM($G1034:Z1034),0),SUM($G1025:Z1025))</f>
        <v>0</v>
      </c>
      <c r="AA1036" s="185">
        <f ca="1">IF(AA$2&gt;=$B1022,MAX(SUM($G1025:AA1025)-$B1027-SUM($G1034:AA1034),0),SUM($G1025:AA1025))</f>
        <v>0</v>
      </c>
      <c r="AB1036" s="185">
        <f ca="1">IF(AB$2&gt;=$B1022,MAX(SUM($G1025:AB1025)-$B1027-SUM($G1034:AB1034),0),SUM($G1025:AB1025))</f>
        <v>0</v>
      </c>
      <c r="AC1036" s="185">
        <f ca="1">IF(AC$2&gt;=$B1022,MAX(SUM($G1025:AC1025)-$B1027-SUM($G1034:AC1034),0),SUM($G1025:AC1025))</f>
        <v>0</v>
      </c>
      <c r="AD1036" s="185">
        <f ca="1">IF(AD$2&gt;=$B1022,MAX(SUM($G1025:AD1025)-$B1027-SUM($G1034:AD1034),0),SUM($G1025:AD1025))</f>
        <v>0</v>
      </c>
      <c r="AE1036" s="185">
        <f ca="1">IF(AE$2&gt;=$B1022,MAX(SUM($G1025:AE1025)-$B1027-SUM($G1034:AE1034),0),SUM($G1025:AE1025))</f>
        <v>0</v>
      </c>
      <c r="AF1036" s="185">
        <f ca="1">IF(AF$2&gt;=$B1022,MAX(SUM($G1025:AF1025)-$B1027-SUM($G1034:AF1034),0),SUM($G1025:AF1025))</f>
        <v>0</v>
      </c>
      <c r="AG1036" s="185">
        <f ca="1">IF(AG$2&gt;=$B1022,MAX(SUM($G1025:AG1025)-$B1027-SUM($G1034:AG1034),0),SUM($G1025:AG1025))</f>
        <v>0</v>
      </c>
      <c r="AH1036" s="185">
        <f ca="1">IF(AH$2&gt;=$B1022,MAX(SUM($G1025:AH1025)-$B1027-SUM($G1034:AH1034),0),SUM($G1025:AH1025))</f>
        <v>0</v>
      </c>
      <c r="AI1036" s="185">
        <f ca="1">IF(AI$2&gt;=$B1022,MAX(SUM($G1025:AI1025)-$B1027-SUM($G1034:AI1034),0),SUM($G1025:AI1025))</f>
        <v>0</v>
      </c>
      <c r="AJ1036" s="185">
        <f ca="1">IF(AJ$2&gt;=$B1022,MAX(SUM($G1025:AJ1025)-$B1027-SUM($G1034:AJ1034),0),SUM($G1025:AJ1025))</f>
        <v>0</v>
      </c>
      <c r="AK1036" s="185">
        <f ca="1">IF(AK$2&gt;=$B1022,MAX(SUM($G1025:AK1025)-$B1027-SUM($G1034:AK1034),0),SUM($G1025:AK1025))</f>
        <v>0</v>
      </c>
      <c r="AL1036" s="185">
        <f ca="1">IF(AL$2&gt;=$B1022,MAX(SUM($G1025:AL1025)-$B1027-SUM($G1034:AL1034),0),SUM($G1025:AL1025))</f>
        <v>0</v>
      </c>
      <c r="AM1036" s="185">
        <f ca="1">IF(AM$2&gt;=$B1022,MAX(SUM($G1025:AM1025)-$B1027-SUM($G1034:AM1034),0),SUM($G1025:AM1025))</f>
        <v>0</v>
      </c>
      <c r="AN1036" s="185">
        <f ca="1">IF(AN$2&gt;=$B1022,MAX(SUM($G1025:AN1025)-$B1027-SUM($G1034:AN1034),0),SUM($G1025:AN1025))</f>
        <v>0</v>
      </c>
      <c r="AO1036" s="185">
        <f ca="1">IF(AO$2&gt;=$B1022,MAX(SUM($G1025:AO1025)-$B1027-SUM($G1034:AO1034),0),SUM($G1025:AO1025))</f>
        <v>0</v>
      </c>
      <c r="AP1036" s="185">
        <f ca="1">IF(AP$2&gt;=$B1022,MAX(SUM($G1025:AP1025)-$B1027-SUM($G1034:AP1034),0),SUM($G1025:AP1025))</f>
        <v>0</v>
      </c>
      <c r="AQ1036" s="185">
        <f ca="1">IF(AQ$2&gt;=$B1022,MAX(SUM($G1025:AQ1025)-$B1027-SUM($G1034:AQ1034),0),SUM($G1025:AQ1025))</f>
        <v>0</v>
      </c>
      <c r="AR1036" s="185">
        <f ca="1">IF(AR$2&gt;=$B1022,MAX(SUM($G1025:AR1025)-$B1027-SUM($G1034:AR1034),0),SUM($G1025:AR1025))</f>
        <v>0</v>
      </c>
      <c r="AS1036" s="185">
        <f ca="1">IF(AS$2&gt;=$B1022,MAX(SUM($G1025:AS1025)-$B1027-SUM($G1034:AS1034),0),SUM($G1025:AS1025))</f>
        <v>0</v>
      </c>
      <c r="AT1036" s="185">
        <f ca="1">IF(AT$2&gt;=$B1022,MAX(SUM($G1025:AT1025)-$B1027-SUM($G1034:AT1034),0),SUM($G1025:AT1025))</f>
        <v>0</v>
      </c>
      <c r="AU1036" s="185">
        <f ca="1">IF(AU$2&gt;=$B1022,MAX(SUM($G1025:AU1025)-$B1027-SUM($G1034:AU1034),0),SUM($G1025:AU1025))</f>
        <v>0</v>
      </c>
      <c r="AV1036" s="185">
        <f ca="1">IF(AV$2&gt;=$B1022,MAX(SUM($G1025:AV1025)-$B1027-SUM($G1034:AV1034),0),SUM($G1025:AV1025))</f>
        <v>0</v>
      </c>
      <c r="AW1036" s="185">
        <f ca="1">IF(AW$2&gt;=$B1022,MAX(SUM($G1025:AW1025)-$B1027-SUM($G1034:AW1034),0),SUM($G1025:AW1025))</f>
        <v>0</v>
      </c>
      <c r="AX1036" s="185">
        <f ca="1">IF(AX$2&gt;=$B1022,MAX(SUM($G1025:AX1025)-$B1027-SUM($G1034:AX1034),0),SUM($G1025:AX1025))</f>
        <v>0</v>
      </c>
      <c r="AY1036" s="185">
        <f ca="1">IF(AY$2&gt;=$B1022,MAX(SUM($G1025:AY1025)-$B1027-SUM($G1034:AY1034),0),SUM($G1025:AY1025))</f>
        <v>0</v>
      </c>
      <c r="AZ1036" s="185">
        <f ca="1">IF(AZ$2&gt;=$B1022,MAX(SUM($G1025:AZ1025)-$B1027-SUM($G1034:AZ1034),0),SUM($G1025:AZ1025))</f>
        <v>0</v>
      </c>
      <c r="BA1036" s="185">
        <f ca="1">IF(BA$2&gt;=$B1022,MAX(SUM($G1025:BA1025)-$B1027-SUM($G1034:BA1034),0),SUM($G1025:BA1025))</f>
        <v>0</v>
      </c>
      <c r="BB1036" s="185">
        <f ca="1">IF(BB$2&gt;=$B1022,MAX(SUM($G1025:BB1025)-$B1027-SUM($G1034:BB1034),0),SUM($G1025:BB1025))</f>
        <v>0</v>
      </c>
      <c r="BC1036" s="185"/>
      <c r="BD1036" s="193"/>
    </row>
    <row r="1037" spans="1:56" hidden="1" x14ac:dyDescent="0.3">
      <c r="A1037" s="184" t="str">
        <f ca="1">Language!A$1037</f>
        <v>ставка НДС</v>
      </c>
      <c r="B1037" s="189"/>
      <c r="C1037" s="163" t="s">
        <v>1</v>
      </c>
      <c r="D1037" s="174">
        <v>1</v>
      </c>
      <c r="F1037" s="170" t="s">
        <v>2344</v>
      </c>
      <c r="G1037" s="290">
        <f>IF(G$2=1,Параметры!G$72,IF(F1037=Параметры!F$72,Параметры!F$72,F1037))</f>
        <v>0</v>
      </c>
      <c r="H1037" s="290">
        <f>IF(H$2=1,Параметры!H$72,IF(G1037=Параметры!G$72,Параметры!G$72,G1037))</f>
        <v>0</v>
      </c>
      <c r="I1037" s="290">
        <f>IF(I$2=1,Параметры!I$72,IF(H1037=Параметры!H$72,Параметры!H$72,H1037))</f>
        <v>0</v>
      </c>
      <c r="J1037" s="290">
        <f>IF(J$2=1,Параметры!J$72,IF(I1037=Параметры!I$72,Параметры!I$72,I1037))</f>
        <v>0</v>
      </c>
      <c r="K1037" s="290">
        <f>IF(K$2=1,Параметры!K$72,IF(J1037=Параметры!J$72,Параметры!J$72,J1037))</f>
        <v>0</v>
      </c>
      <c r="L1037" s="290">
        <f>IF(L$2=1,Параметры!L$72,IF(K1037=Параметры!K$72,Параметры!K$72,K1037))</f>
        <v>0</v>
      </c>
      <c r="M1037" s="290">
        <f>IF(M$2=1,Параметры!M$72,IF(L1037=Параметры!L$72,Параметры!L$72,L1037))</f>
        <v>0</v>
      </c>
      <c r="N1037" s="290">
        <f>IF(N$2=1,Параметры!N$72,IF(M1037=Параметры!M$72,Параметры!M$72,M1037))</f>
        <v>0</v>
      </c>
      <c r="O1037" s="290">
        <f>IF(O$2=1,Параметры!O$72,IF(N1037=Параметры!N$72,Параметры!N$72,N1037))</f>
        <v>0</v>
      </c>
      <c r="P1037" s="290">
        <f>IF(P$2=1,Параметры!P$72,IF(O1037=Параметры!O$72,Параметры!O$72,O1037))</f>
        <v>0</v>
      </c>
      <c r="Q1037" s="290">
        <f>IF(Q$2=1,Параметры!Q$72,IF(P1037=Параметры!P$72,Параметры!P$72,P1037))</f>
        <v>0</v>
      </c>
      <c r="R1037" s="290">
        <f>IF(R$2=1,Параметры!R$72,IF(Q1037=Параметры!Q$72,Параметры!Q$72,Q1037))</f>
        <v>0</v>
      </c>
      <c r="S1037" s="290">
        <f>IF(S$2=1,Параметры!S$72,IF(R1037=Параметры!R$72,Параметры!R$72,R1037))</f>
        <v>0</v>
      </c>
      <c r="T1037" s="290">
        <f>IF(T$2=1,Параметры!T$72,IF(S1037=Параметры!S$72,Параметры!S$72,S1037))</f>
        <v>0</v>
      </c>
      <c r="U1037" s="290">
        <f>IF(U$2=1,Параметры!U$72,IF(T1037=Параметры!T$72,Параметры!T$72,T1037))</f>
        <v>0</v>
      </c>
      <c r="V1037" s="290">
        <f>IF(V$2=1,Параметры!V$72,IF(U1037=Параметры!U$72,Параметры!U$72,U1037))</f>
        <v>0</v>
      </c>
      <c r="W1037" s="290">
        <f>IF(W$2=1,Параметры!W$72,IF(V1037=Параметры!V$72,Параметры!V$72,V1037))</f>
        <v>0</v>
      </c>
      <c r="X1037" s="290">
        <f>IF(X$2=1,Параметры!X$72,IF(W1037=Параметры!W$72,Параметры!W$72,W1037))</f>
        <v>0</v>
      </c>
      <c r="Y1037" s="290">
        <f>IF(Y$2=1,Параметры!Y$72,IF(X1037=Параметры!X$72,Параметры!X$72,X1037))</f>
        <v>0</v>
      </c>
      <c r="Z1037" s="290">
        <f>IF(Z$2=1,Параметры!Z$72,IF(Y1037=Параметры!Y$72,Параметры!Y$72,Y1037))</f>
        <v>0</v>
      </c>
      <c r="AA1037" s="290">
        <f>IF(AA$2=1,Параметры!AA$72,IF(Z1037=Параметры!Z$72,Параметры!Z$72,Z1037))</f>
        <v>0</v>
      </c>
      <c r="AB1037" s="290">
        <f>IF(AB$2=1,Параметры!AB$72,IF(AA1037=Параметры!AA$72,Параметры!AA$72,AA1037))</f>
        <v>0</v>
      </c>
      <c r="AC1037" s="290">
        <f>IF(AC$2=1,Параметры!AC$72,IF(AB1037=Параметры!AB$72,Параметры!AB$72,AB1037))</f>
        <v>0</v>
      </c>
      <c r="AD1037" s="290">
        <f>IF(AD$2=1,Параметры!AD$72,IF(AC1037=Параметры!AC$72,Параметры!AC$72,AC1037))</f>
        <v>0</v>
      </c>
      <c r="AE1037" s="290">
        <f>IF(AE$2=1,Параметры!AE$72,IF(AD1037=Параметры!AD$72,Параметры!AD$72,AD1037))</f>
        <v>0</v>
      </c>
      <c r="AF1037" s="290">
        <f>IF(AF$2=1,Параметры!AF$72,IF(AE1037=Параметры!AE$72,Параметры!AE$72,AE1037))</f>
        <v>0</v>
      </c>
      <c r="AG1037" s="290">
        <f>IF(AG$2=1,Параметры!AG$72,IF(AF1037=Параметры!AF$72,Параметры!AF$72,AF1037))</f>
        <v>0</v>
      </c>
      <c r="AH1037" s="290">
        <f>IF(AH$2=1,Параметры!AH$72,IF(AG1037=Параметры!AG$72,Параметры!AG$72,AG1037))</f>
        <v>0</v>
      </c>
      <c r="AI1037" s="290">
        <f>IF(AI$2=1,Параметры!AI$72,IF(AH1037=Параметры!AH$72,Параметры!AH$72,AH1037))</f>
        <v>0</v>
      </c>
      <c r="AJ1037" s="290">
        <f>IF(AJ$2=1,Параметры!AJ$72,IF(AI1037=Параметры!AI$72,Параметры!AI$72,AI1037))</f>
        <v>0</v>
      </c>
      <c r="AK1037" s="290">
        <f>IF(AK$2=1,Параметры!AK$72,IF(AJ1037=Параметры!AJ$72,Параметры!AJ$72,AJ1037))</f>
        <v>0</v>
      </c>
      <c r="AL1037" s="290">
        <f>IF(AL$2=1,Параметры!AL$72,IF(AK1037=Параметры!AK$72,Параметры!AK$72,AK1037))</f>
        <v>0</v>
      </c>
      <c r="AM1037" s="290">
        <f>IF(AM$2=1,Параметры!AM$72,IF(AL1037=Параметры!AL$72,Параметры!AL$72,AL1037))</f>
        <v>0</v>
      </c>
      <c r="AN1037" s="290">
        <f>IF(AN$2=1,Параметры!AN$72,IF(AM1037=Параметры!AM$72,Параметры!AM$72,AM1037))</f>
        <v>0</v>
      </c>
      <c r="AO1037" s="290">
        <f>IF(AO$2=1,Параметры!AO$72,IF(AN1037=Параметры!AN$72,Параметры!AN$72,AN1037))</f>
        <v>0</v>
      </c>
      <c r="AP1037" s="290">
        <f>IF(AP$2=1,Параметры!AP$72,IF(AO1037=Параметры!AO$72,Параметры!AO$72,AO1037))</f>
        <v>0</v>
      </c>
      <c r="AQ1037" s="290">
        <f>IF(AQ$2=1,Параметры!AQ$72,IF(AP1037=Параметры!AP$72,Параметры!AP$72,AP1037))</f>
        <v>0</v>
      </c>
      <c r="AR1037" s="290">
        <f>IF(AR$2=1,Параметры!AR$72,IF(AQ1037=Параметры!AQ$72,Параметры!AQ$72,AQ1037))</f>
        <v>0</v>
      </c>
      <c r="AS1037" s="290">
        <f>IF(AS$2=1,Параметры!AS$72,IF(AR1037=Параметры!AR$72,Параметры!AR$72,AR1037))</f>
        <v>0</v>
      </c>
      <c r="AT1037" s="290">
        <f>IF(AT$2=1,Параметры!AT$72,IF(AS1037=Параметры!AS$72,Параметры!AS$72,AS1037))</f>
        <v>0</v>
      </c>
      <c r="AU1037" s="290">
        <f>IF(AU$2=1,Параметры!AU$72,IF(AT1037=Параметры!AT$72,Параметры!AT$72,AT1037))</f>
        <v>0</v>
      </c>
      <c r="AV1037" s="290">
        <f>IF(AV$2=1,Параметры!AV$72,IF(AU1037=Параметры!AU$72,Параметры!AU$72,AU1037))</f>
        <v>0</v>
      </c>
      <c r="AW1037" s="290">
        <f>IF(AW$2=1,Параметры!AW$72,IF(AV1037=Параметры!AV$72,Параметры!AV$72,AV1037))</f>
        <v>0</v>
      </c>
      <c r="AX1037" s="290">
        <f>IF(AX$2=1,Параметры!AX$72,IF(AW1037=Параметры!AW$72,Параметры!AW$72,AW1037))</f>
        <v>0</v>
      </c>
      <c r="AY1037" s="290">
        <f>IF(AY$2=1,Параметры!AY$72,IF(AX1037=Параметры!AX$72,Параметры!AX$72,AX1037))</f>
        <v>0</v>
      </c>
      <c r="AZ1037" s="290">
        <f>IF(AZ$2=1,Параметры!AZ$72,IF(AY1037=Параметры!AY$72,Параметры!AY$72,AY1037))</f>
        <v>0</v>
      </c>
      <c r="BA1037" s="290">
        <f>IF(BA$2=1,Параметры!BA$72,IF(AZ1037=Параметры!AZ$72,Параметры!AZ$72,AZ1037))</f>
        <v>0</v>
      </c>
      <c r="BB1037" s="290">
        <f>IF(BB$2=1,Параметры!BB$72,IF(BA1037=Параметры!BA$72,Параметры!BA$72,BA1037))</f>
        <v>0</v>
      </c>
      <c r="BC1037" s="190"/>
      <c r="BD1037" s="186"/>
    </row>
    <row r="1038" spans="1:56" hidden="1" x14ac:dyDescent="0.3">
      <c r="A1038" s="184" t="str">
        <f ca="1">Language!A$1038</f>
        <v>НДС к платежам в оттоках денежных средств</v>
      </c>
      <c r="B1038" s="189"/>
      <c r="C1038" s="163" t="str">
        <f t="shared" ref="C1038:C1039" ca="1" si="3985">CHOOSE(D1038,CurName1,CurName2,CurName3)</f>
        <v>руб.</v>
      </c>
      <c r="D1038" s="174">
        <v>1</v>
      </c>
      <c r="E1038" s="170" t="s">
        <v>1192</v>
      </c>
      <c r="F1038" s="170" t="s">
        <v>743</v>
      </c>
      <c r="G1038" s="185">
        <f>G1037*G1025</f>
        <v>0</v>
      </c>
      <c r="H1038" s="185">
        <f t="shared" ref="H1038:K1038" si="3986">H1037*H1025</f>
        <v>0</v>
      </c>
      <c r="I1038" s="185">
        <f t="shared" si="3986"/>
        <v>0</v>
      </c>
      <c r="J1038" s="185">
        <f t="shared" si="3986"/>
        <v>0</v>
      </c>
      <c r="K1038" s="185">
        <f t="shared" si="3986"/>
        <v>0</v>
      </c>
      <c r="L1038" s="185">
        <f t="shared" ref="L1038:M1038" si="3987">L1037*L1025</f>
        <v>0</v>
      </c>
      <c r="M1038" s="185">
        <f t="shared" si="3987"/>
        <v>0</v>
      </c>
      <c r="N1038" s="185">
        <f t="shared" ref="N1038:O1038" si="3988">N1037*N1025</f>
        <v>0</v>
      </c>
      <c r="O1038" s="185">
        <f t="shared" si="3988"/>
        <v>0</v>
      </c>
      <c r="P1038" s="185">
        <f t="shared" ref="P1038:Q1038" si="3989">P1037*P1025</f>
        <v>0</v>
      </c>
      <c r="Q1038" s="185">
        <f t="shared" si="3989"/>
        <v>0</v>
      </c>
      <c r="R1038" s="185">
        <f t="shared" ref="R1038:S1038" si="3990">R1037*R1025</f>
        <v>0</v>
      </c>
      <c r="S1038" s="185">
        <f t="shared" si="3990"/>
        <v>0</v>
      </c>
      <c r="T1038" s="185">
        <f t="shared" ref="T1038:U1038" si="3991">T1037*T1025</f>
        <v>0</v>
      </c>
      <c r="U1038" s="185">
        <f t="shared" si="3991"/>
        <v>0</v>
      </c>
      <c r="V1038" s="185">
        <f t="shared" ref="V1038:W1038" si="3992">V1037*V1025</f>
        <v>0</v>
      </c>
      <c r="W1038" s="185">
        <f t="shared" si="3992"/>
        <v>0</v>
      </c>
      <c r="X1038" s="185">
        <f t="shared" ref="X1038:Y1038" si="3993">X1037*X1025</f>
        <v>0</v>
      </c>
      <c r="Y1038" s="185">
        <f t="shared" si="3993"/>
        <v>0</v>
      </c>
      <c r="Z1038" s="185">
        <f t="shared" ref="Z1038:AA1038" si="3994">Z1037*Z1025</f>
        <v>0</v>
      </c>
      <c r="AA1038" s="185">
        <f t="shared" si="3994"/>
        <v>0</v>
      </c>
      <c r="AB1038" s="185">
        <f t="shared" ref="AB1038:AC1038" si="3995">AB1037*AB1025</f>
        <v>0</v>
      </c>
      <c r="AC1038" s="185">
        <f t="shared" si="3995"/>
        <v>0</v>
      </c>
      <c r="AD1038" s="185">
        <f t="shared" ref="AD1038:AE1038" si="3996">AD1037*AD1025</f>
        <v>0</v>
      </c>
      <c r="AE1038" s="185">
        <f t="shared" si="3996"/>
        <v>0</v>
      </c>
      <c r="AF1038" s="185">
        <f t="shared" ref="AF1038:AG1038" si="3997">AF1037*AF1025</f>
        <v>0</v>
      </c>
      <c r="AG1038" s="185">
        <f t="shared" si="3997"/>
        <v>0</v>
      </c>
      <c r="AH1038" s="185">
        <f t="shared" ref="AH1038:AI1038" si="3998">AH1037*AH1025</f>
        <v>0</v>
      </c>
      <c r="AI1038" s="185">
        <f t="shared" si="3998"/>
        <v>0</v>
      </c>
      <c r="AJ1038" s="185">
        <f t="shared" ref="AJ1038:AK1038" si="3999">AJ1037*AJ1025</f>
        <v>0</v>
      </c>
      <c r="AK1038" s="185">
        <f t="shared" si="3999"/>
        <v>0</v>
      </c>
      <c r="AL1038" s="185">
        <f t="shared" ref="AL1038:AM1038" si="4000">AL1037*AL1025</f>
        <v>0</v>
      </c>
      <c r="AM1038" s="185">
        <f t="shared" si="4000"/>
        <v>0</v>
      </c>
      <c r="AN1038" s="185">
        <f t="shared" ref="AN1038:AO1038" si="4001">AN1037*AN1025</f>
        <v>0</v>
      </c>
      <c r="AO1038" s="185">
        <f t="shared" si="4001"/>
        <v>0</v>
      </c>
      <c r="AP1038" s="185">
        <f t="shared" ref="AP1038:AQ1038" si="4002">AP1037*AP1025</f>
        <v>0</v>
      </c>
      <c r="AQ1038" s="185">
        <f t="shared" si="4002"/>
        <v>0</v>
      </c>
      <c r="AR1038" s="185">
        <f t="shared" ref="AR1038:AS1038" si="4003">AR1037*AR1025</f>
        <v>0</v>
      </c>
      <c r="AS1038" s="185">
        <f t="shared" si="4003"/>
        <v>0</v>
      </c>
      <c r="AT1038" s="185">
        <f t="shared" ref="AT1038:AU1038" si="4004">AT1037*AT1025</f>
        <v>0</v>
      </c>
      <c r="AU1038" s="185">
        <f t="shared" si="4004"/>
        <v>0</v>
      </c>
      <c r="AV1038" s="185">
        <f t="shared" ref="AV1038:AW1038" si="4005">AV1037*AV1025</f>
        <v>0</v>
      </c>
      <c r="AW1038" s="185">
        <f t="shared" si="4005"/>
        <v>0</v>
      </c>
      <c r="AX1038" s="185">
        <f t="shared" ref="AX1038:AY1038" si="4006">AX1037*AX1025</f>
        <v>0</v>
      </c>
      <c r="AY1038" s="185">
        <f t="shared" si="4006"/>
        <v>0</v>
      </c>
      <c r="AZ1038" s="185">
        <f t="shared" ref="AZ1038:BA1038" si="4007">AZ1037*AZ1025</f>
        <v>0</v>
      </c>
      <c r="BA1038" s="185">
        <f t="shared" si="4007"/>
        <v>0</v>
      </c>
      <c r="BB1038" s="185">
        <f t="shared" ref="BB1038" si="4008">BB1037*BB1025</f>
        <v>0</v>
      </c>
      <c r="BC1038" s="185"/>
      <c r="BD1038" s="178">
        <f>SUM(G1038:BC1038)</f>
        <v>0</v>
      </c>
    </row>
    <row r="1039" spans="1:56" hidden="1" x14ac:dyDescent="0.3">
      <c r="A1039" s="184" t="str">
        <f ca="1">Language!A$1039</f>
        <v>НДС к начисленным платежам</v>
      </c>
      <c r="B1039" s="189"/>
      <c r="C1039" s="163" t="str">
        <f t="shared" ca="1" si="3985"/>
        <v>руб.</v>
      </c>
      <c r="D1039" s="174">
        <v>1</v>
      </c>
      <c r="E1039" s="170" t="s">
        <v>1196</v>
      </c>
      <c r="F1039" s="170" t="s">
        <v>743</v>
      </c>
      <c r="G1039" s="185">
        <f t="shared" ref="G1039:M1039" si="4009">G1037*G1026</f>
        <v>0</v>
      </c>
      <c r="H1039" s="185">
        <f t="shared" si="4009"/>
        <v>0</v>
      </c>
      <c r="I1039" s="185">
        <f t="shared" si="4009"/>
        <v>0</v>
      </c>
      <c r="J1039" s="185">
        <f t="shared" si="4009"/>
        <v>0</v>
      </c>
      <c r="K1039" s="185">
        <f t="shared" si="4009"/>
        <v>0</v>
      </c>
      <c r="L1039" s="185">
        <f t="shared" si="4009"/>
        <v>0</v>
      </c>
      <c r="M1039" s="185">
        <f t="shared" si="4009"/>
        <v>0</v>
      </c>
      <c r="N1039" s="185">
        <f t="shared" ref="N1039:O1039" si="4010">N1037*N1026</f>
        <v>0</v>
      </c>
      <c r="O1039" s="185">
        <f t="shared" si="4010"/>
        <v>0</v>
      </c>
      <c r="P1039" s="185">
        <f t="shared" ref="P1039:Q1039" si="4011">P1037*P1026</f>
        <v>0</v>
      </c>
      <c r="Q1039" s="185">
        <f t="shared" si="4011"/>
        <v>0</v>
      </c>
      <c r="R1039" s="185">
        <f t="shared" ref="R1039:S1039" si="4012">R1037*R1026</f>
        <v>0</v>
      </c>
      <c r="S1039" s="185">
        <f t="shared" si="4012"/>
        <v>0</v>
      </c>
      <c r="T1039" s="185">
        <f t="shared" ref="T1039:U1039" si="4013">T1037*T1026</f>
        <v>0</v>
      </c>
      <c r="U1039" s="185">
        <f t="shared" si="4013"/>
        <v>0</v>
      </c>
      <c r="V1039" s="185">
        <f t="shared" ref="V1039:W1039" si="4014">V1037*V1026</f>
        <v>0</v>
      </c>
      <c r="W1039" s="185">
        <f t="shared" si="4014"/>
        <v>0</v>
      </c>
      <c r="X1039" s="185">
        <f t="shared" ref="X1039:Y1039" si="4015">X1037*X1026</f>
        <v>0</v>
      </c>
      <c r="Y1039" s="185">
        <f t="shared" si="4015"/>
        <v>0</v>
      </c>
      <c r="Z1039" s="185">
        <f t="shared" ref="Z1039:AA1039" si="4016">Z1037*Z1026</f>
        <v>0</v>
      </c>
      <c r="AA1039" s="185">
        <f t="shared" si="4016"/>
        <v>0</v>
      </c>
      <c r="AB1039" s="185">
        <f t="shared" ref="AB1039:AC1039" si="4017">AB1037*AB1026</f>
        <v>0</v>
      </c>
      <c r="AC1039" s="185">
        <f t="shared" si="4017"/>
        <v>0</v>
      </c>
      <c r="AD1039" s="185">
        <f t="shared" ref="AD1039:AE1039" si="4018">AD1037*AD1026</f>
        <v>0</v>
      </c>
      <c r="AE1039" s="185">
        <f t="shared" si="4018"/>
        <v>0</v>
      </c>
      <c r="AF1039" s="185">
        <f t="shared" ref="AF1039:AG1039" si="4019">AF1037*AF1026</f>
        <v>0</v>
      </c>
      <c r="AG1039" s="185">
        <f t="shared" si="4019"/>
        <v>0</v>
      </c>
      <c r="AH1039" s="185">
        <f t="shared" ref="AH1039:AI1039" si="4020">AH1037*AH1026</f>
        <v>0</v>
      </c>
      <c r="AI1039" s="185">
        <f t="shared" si="4020"/>
        <v>0</v>
      </c>
      <c r="AJ1039" s="185">
        <f t="shared" ref="AJ1039:AK1039" si="4021">AJ1037*AJ1026</f>
        <v>0</v>
      </c>
      <c r="AK1039" s="185">
        <f t="shared" si="4021"/>
        <v>0</v>
      </c>
      <c r="AL1039" s="185">
        <f t="shared" ref="AL1039:AM1039" si="4022">AL1037*AL1026</f>
        <v>0</v>
      </c>
      <c r="AM1039" s="185">
        <f t="shared" si="4022"/>
        <v>0</v>
      </c>
      <c r="AN1039" s="185">
        <f t="shared" ref="AN1039:AO1039" si="4023">AN1037*AN1026</f>
        <v>0</v>
      </c>
      <c r="AO1039" s="185">
        <f t="shared" si="4023"/>
        <v>0</v>
      </c>
      <c r="AP1039" s="185">
        <f t="shared" ref="AP1039:AQ1039" si="4024">AP1037*AP1026</f>
        <v>0</v>
      </c>
      <c r="AQ1039" s="185">
        <f t="shared" si="4024"/>
        <v>0</v>
      </c>
      <c r="AR1039" s="185">
        <f t="shared" ref="AR1039:AS1039" si="4025">AR1037*AR1026</f>
        <v>0</v>
      </c>
      <c r="AS1039" s="185">
        <f t="shared" si="4025"/>
        <v>0</v>
      </c>
      <c r="AT1039" s="185">
        <f t="shared" ref="AT1039:AU1039" si="4026">AT1037*AT1026</f>
        <v>0</v>
      </c>
      <c r="AU1039" s="185">
        <f t="shared" si="4026"/>
        <v>0</v>
      </c>
      <c r="AV1039" s="185">
        <f t="shared" ref="AV1039:AW1039" si="4027">AV1037*AV1026</f>
        <v>0</v>
      </c>
      <c r="AW1039" s="185">
        <f t="shared" si="4027"/>
        <v>0</v>
      </c>
      <c r="AX1039" s="185">
        <f t="shared" ref="AX1039:AY1039" si="4028">AX1037*AX1026</f>
        <v>0</v>
      </c>
      <c r="AY1039" s="185">
        <f t="shared" si="4028"/>
        <v>0</v>
      </c>
      <c r="AZ1039" s="185">
        <f t="shared" ref="AZ1039:BA1039" si="4029">AZ1037*AZ1026</f>
        <v>0</v>
      </c>
      <c r="BA1039" s="185">
        <f t="shared" si="4029"/>
        <v>0</v>
      </c>
      <c r="BB1039" s="185">
        <f t="shared" ref="BB1039" si="4030">BB1037*BB1026</f>
        <v>0</v>
      </c>
      <c r="BC1039" s="185"/>
      <c r="BD1039" s="178">
        <f>SUM(G1039:BC1039)</f>
        <v>0</v>
      </c>
    </row>
    <row r="1040" spans="1:56" hidden="1" x14ac:dyDescent="0.3">
      <c r="B1040" s="222"/>
      <c r="C1040" s="223"/>
      <c r="D1040" s="174"/>
      <c r="G1040" s="224"/>
      <c r="H1040" s="224"/>
      <c r="I1040" s="224"/>
      <c r="J1040" s="224"/>
      <c r="K1040" s="224"/>
      <c r="L1040" s="224"/>
      <c r="M1040" s="224"/>
      <c r="N1040" s="224"/>
      <c r="O1040" s="224"/>
      <c r="P1040" s="224"/>
      <c r="Q1040" s="224"/>
      <c r="R1040" s="224"/>
      <c r="S1040" s="224"/>
      <c r="T1040" s="224"/>
      <c r="U1040" s="224"/>
      <c r="V1040" s="224"/>
      <c r="W1040" s="224"/>
      <c r="X1040" s="224"/>
      <c r="Y1040" s="224"/>
      <c r="Z1040" s="224"/>
      <c r="AA1040" s="224"/>
      <c r="AB1040" s="224"/>
      <c r="AC1040" s="224"/>
      <c r="AD1040" s="224"/>
      <c r="AE1040" s="224"/>
      <c r="AF1040" s="224"/>
      <c r="AG1040" s="224"/>
      <c r="AH1040" s="224"/>
      <c r="AI1040" s="224"/>
      <c r="AJ1040" s="224"/>
      <c r="AK1040" s="224"/>
      <c r="AL1040" s="224"/>
      <c r="AM1040" s="224"/>
      <c r="AN1040" s="224"/>
      <c r="AO1040" s="224"/>
      <c r="AP1040" s="224"/>
      <c r="AQ1040" s="224"/>
      <c r="AR1040" s="224"/>
      <c r="AS1040" s="224"/>
      <c r="AT1040" s="224"/>
      <c r="AU1040" s="224"/>
      <c r="AV1040" s="224"/>
      <c r="AW1040" s="224"/>
      <c r="AX1040" s="224"/>
      <c r="AY1040" s="224"/>
      <c r="AZ1040" s="224"/>
      <c r="BA1040" s="224"/>
      <c r="BB1040" s="224"/>
      <c r="BC1040" s="224"/>
      <c r="BD1040" s="225"/>
    </row>
    <row r="1041" spans="1:56" hidden="1" x14ac:dyDescent="0.3">
      <c r="E1041" s="170" t="s">
        <v>717</v>
      </c>
      <c r="F1041" s="170" t="s">
        <v>3411</v>
      </c>
    </row>
    <row r="1042" spans="1:56" hidden="1" x14ac:dyDescent="0.3">
      <c r="E1042" s="170" t="s">
        <v>712</v>
      </c>
    </row>
    <row r="1043" spans="1:56" hidden="1" collapsed="1" x14ac:dyDescent="0.3">
      <c r="A1043" s="169" t="str">
        <f ca="1">Language!A$1040</f>
        <v>Итого: Лизинговые платежи, с НДС</v>
      </c>
      <c r="C1043" s="194" t="str">
        <f t="shared" ref="C1043:C1052" ca="1" si="4031">CurName1</f>
        <v>руб.</v>
      </c>
      <c r="F1043" s="170" t="s">
        <v>740</v>
      </c>
      <c r="G1043" s="210">
        <f>G1044+G1045</f>
        <v>0</v>
      </c>
      <c r="H1043" s="210">
        <f t="shared" ref="H1043:K1043" si="4032">H1044+H1045</f>
        <v>0</v>
      </c>
      <c r="I1043" s="210">
        <f t="shared" si="4032"/>
        <v>0</v>
      </c>
      <c r="J1043" s="210">
        <f t="shared" si="4032"/>
        <v>0</v>
      </c>
      <c r="K1043" s="210">
        <f t="shared" si="4032"/>
        <v>0</v>
      </c>
      <c r="L1043" s="210">
        <f t="shared" ref="L1043:M1043" si="4033">L1044+L1045</f>
        <v>0</v>
      </c>
      <c r="M1043" s="210">
        <f t="shared" si="4033"/>
        <v>0</v>
      </c>
      <c r="N1043" s="210">
        <f t="shared" ref="N1043:O1043" si="4034">N1044+N1045</f>
        <v>0</v>
      </c>
      <c r="O1043" s="210">
        <f t="shared" si="4034"/>
        <v>0</v>
      </c>
      <c r="P1043" s="210">
        <f t="shared" ref="P1043:Q1043" si="4035">P1044+P1045</f>
        <v>0</v>
      </c>
      <c r="Q1043" s="210">
        <f t="shared" si="4035"/>
        <v>0</v>
      </c>
      <c r="R1043" s="210">
        <f t="shared" ref="R1043:S1043" si="4036">R1044+R1045</f>
        <v>0</v>
      </c>
      <c r="S1043" s="210">
        <f t="shared" si="4036"/>
        <v>0</v>
      </c>
      <c r="T1043" s="210">
        <f t="shared" ref="T1043:U1043" si="4037">T1044+T1045</f>
        <v>0</v>
      </c>
      <c r="U1043" s="210">
        <f t="shared" si="4037"/>
        <v>0</v>
      </c>
      <c r="V1043" s="210">
        <f t="shared" ref="V1043:W1043" si="4038">V1044+V1045</f>
        <v>0</v>
      </c>
      <c r="W1043" s="210">
        <f t="shared" si="4038"/>
        <v>0</v>
      </c>
      <c r="X1043" s="210">
        <f t="shared" ref="X1043:Y1043" si="4039">X1044+X1045</f>
        <v>0</v>
      </c>
      <c r="Y1043" s="210">
        <f t="shared" si="4039"/>
        <v>0</v>
      </c>
      <c r="Z1043" s="210">
        <f t="shared" ref="Z1043:AA1043" si="4040">Z1044+Z1045</f>
        <v>0</v>
      </c>
      <c r="AA1043" s="210">
        <f t="shared" si="4040"/>
        <v>0</v>
      </c>
      <c r="AB1043" s="210">
        <f t="shared" ref="AB1043:AC1043" si="4041">AB1044+AB1045</f>
        <v>0</v>
      </c>
      <c r="AC1043" s="210">
        <f t="shared" si="4041"/>
        <v>0</v>
      </c>
      <c r="AD1043" s="210">
        <f t="shared" ref="AD1043:AE1043" si="4042">AD1044+AD1045</f>
        <v>0</v>
      </c>
      <c r="AE1043" s="210">
        <f t="shared" si="4042"/>
        <v>0</v>
      </c>
      <c r="AF1043" s="210">
        <f t="shared" ref="AF1043:AG1043" si="4043">AF1044+AF1045</f>
        <v>0</v>
      </c>
      <c r="AG1043" s="210">
        <f t="shared" si="4043"/>
        <v>0</v>
      </c>
      <c r="AH1043" s="210">
        <f t="shared" ref="AH1043:AI1043" si="4044">AH1044+AH1045</f>
        <v>0</v>
      </c>
      <c r="AI1043" s="210">
        <f t="shared" si="4044"/>
        <v>0</v>
      </c>
      <c r="AJ1043" s="210">
        <f t="shared" ref="AJ1043:AK1043" si="4045">AJ1044+AJ1045</f>
        <v>0</v>
      </c>
      <c r="AK1043" s="210">
        <f t="shared" si="4045"/>
        <v>0</v>
      </c>
      <c r="AL1043" s="210">
        <f t="shared" ref="AL1043:AM1043" si="4046">AL1044+AL1045</f>
        <v>0</v>
      </c>
      <c r="AM1043" s="210">
        <f t="shared" si="4046"/>
        <v>0</v>
      </c>
      <c r="AN1043" s="210">
        <f t="shared" ref="AN1043:AO1043" si="4047">AN1044+AN1045</f>
        <v>0</v>
      </c>
      <c r="AO1043" s="210">
        <f t="shared" si="4047"/>
        <v>0</v>
      </c>
      <c r="AP1043" s="210">
        <f t="shared" ref="AP1043:AQ1043" si="4048">AP1044+AP1045</f>
        <v>0</v>
      </c>
      <c r="AQ1043" s="210">
        <f t="shared" si="4048"/>
        <v>0</v>
      </c>
      <c r="AR1043" s="210">
        <f t="shared" ref="AR1043:AS1043" si="4049">AR1044+AR1045</f>
        <v>0</v>
      </c>
      <c r="AS1043" s="210">
        <f t="shared" si="4049"/>
        <v>0</v>
      </c>
      <c r="AT1043" s="210">
        <f t="shared" ref="AT1043:AU1043" si="4050">AT1044+AT1045</f>
        <v>0</v>
      </c>
      <c r="AU1043" s="210">
        <f t="shared" si="4050"/>
        <v>0</v>
      </c>
      <c r="AV1043" s="210">
        <f t="shared" ref="AV1043:AW1043" si="4051">AV1044+AV1045</f>
        <v>0</v>
      </c>
      <c r="AW1043" s="210">
        <f t="shared" si="4051"/>
        <v>0</v>
      </c>
      <c r="AX1043" s="210">
        <f t="shared" ref="AX1043:AY1043" si="4052">AX1044+AX1045</f>
        <v>0</v>
      </c>
      <c r="AY1043" s="210">
        <f t="shared" si="4052"/>
        <v>0</v>
      </c>
      <c r="AZ1043" s="210">
        <f t="shared" ref="AZ1043:BA1043" si="4053">AZ1044+AZ1045</f>
        <v>0</v>
      </c>
      <c r="BA1043" s="210">
        <f t="shared" si="4053"/>
        <v>0</v>
      </c>
      <c r="BB1043" s="210">
        <f t="shared" ref="BB1043" si="4054">BB1044+BB1045</f>
        <v>0</v>
      </c>
      <c r="BC1043" s="177"/>
      <c r="BD1043" s="178">
        <f t="shared" ref="BD1043:BD1052" si="4055">SUM(G1043:BC1043)</f>
        <v>0</v>
      </c>
    </row>
    <row r="1044" spans="1:56" s="195" customFormat="1" hidden="1" outlineLevel="1" x14ac:dyDescent="0.3">
      <c r="A1044" s="175" t="str">
        <f ca="1">Language!A$1041</f>
        <v>платеж по аренде в оттоках денежных средств, без НДС</v>
      </c>
      <c r="B1044" s="169"/>
      <c r="C1044" s="194" t="str">
        <f t="shared" ca="1" si="4031"/>
        <v>руб.</v>
      </c>
      <c r="D1044" s="170"/>
      <c r="E1044" s="170"/>
      <c r="F1044" s="170" t="s">
        <v>1189</v>
      </c>
      <c r="G1044" s="177">
        <v>0</v>
      </c>
      <c r="H1044" s="177">
        <v>0</v>
      </c>
      <c r="I1044" s="177">
        <v>0</v>
      </c>
      <c r="J1044" s="177">
        <v>0</v>
      </c>
      <c r="K1044" s="177">
        <v>0</v>
      </c>
      <c r="L1044" s="177">
        <v>0</v>
      </c>
      <c r="M1044" s="177">
        <v>0</v>
      </c>
      <c r="N1044" s="177">
        <v>0</v>
      </c>
      <c r="O1044" s="177">
        <v>0</v>
      </c>
      <c r="P1044" s="177">
        <v>0</v>
      </c>
      <c r="Q1044" s="177">
        <v>0</v>
      </c>
      <c r="R1044" s="177">
        <v>0</v>
      </c>
      <c r="S1044" s="177">
        <v>0</v>
      </c>
      <c r="T1044" s="177">
        <v>0</v>
      </c>
      <c r="U1044" s="177">
        <v>0</v>
      </c>
      <c r="V1044" s="177">
        <v>0</v>
      </c>
      <c r="W1044" s="177">
        <v>0</v>
      </c>
      <c r="X1044" s="177">
        <v>0</v>
      </c>
      <c r="Y1044" s="177">
        <v>0</v>
      </c>
      <c r="Z1044" s="177">
        <v>0</v>
      </c>
      <c r="AA1044" s="177">
        <v>0</v>
      </c>
      <c r="AB1044" s="177">
        <v>0</v>
      </c>
      <c r="AC1044" s="177">
        <v>0</v>
      </c>
      <c r="AD1044" s="177">
        <v>0</v>
      </c>
      <c r="AE1044" s="177">
        <v>0</v>
      </c>
      <c r="AF1044" s="177">
        <v>0</v>
      </c>
      <c r="AG1044" s="177">
        <v>0</v>
      </c>
      <c r="AH1044" s="177">
        <v>0</v>
      </c>
      <c r="AI1044" s="177">
        <v>0</v>
      </c>
      <c r="AJ1044" s="177">
        <v>0</v>
      </c>
      <c r="AK1044" s="177">
        <v>0</v>
      </c>
      <c r="AL1044" s="177">
        <v>0</v>
      </c>
      <c r="AM1044" s="177">
        <v>0</v>
      </c>
      <c r="AN1044" s="177">
        <v>0</v>
      </c>
      <c r="AO1044" s="177">
        <v>0</v>
      </c>
      <c r="AP1044" s="177">
        <v>0</v>
      </c>
      <c r="AQ1044" s="177">
        <v>0</v>
      </c>
      <c r="AR1044" s="177">
        <v>0</v>
      </c>
      <c r="AS1044" s="177">
        <v>0</v>
      </c>
      <c r="AT1044" s="177">
        <v>0</v>
      </c>
      <c r="AU1044" s="177">
        <v>0</v>
      </c>
      <c r="AV1044" s="177">
        <v>0</v>
      </c>
      <c r="AW1044" s="177">
        <v>0</v>
      </c>
      <c r="AX1044" s="177">
        <v>0</v>
      </c>
      <c r="AY1044" s="177">
        <v>0</v>
      </c>
      <c r="AZ1044" s="177">
        <v>0</v>
      </c>
      <c r="BA1044" s="177">
        <v>0</v>
      </c>
      <c r="BB1044" s="177">
        <v>0</v>
      </c>
      <c r="BC1044" s="177"/>
      <c r="BD1044" s="178">
        <f t="shared" si="4055"/>
        <v>0</v>
      </c>
    </row>
    <row r="1045" spans="1:56" s="195" customFormat="1" hidden="1" outlineLevel="1" x14ac:dyDescent="0.3">
      <c r="A1045" s="175" t="str">
        <f ca="1">Language!A$1042</f>
        <v>НДС к платежам в оттоках денежных средств</v>
      </c>
      <c r="B1045" s="169"/>
      <c r="C1045" s="194" t="str">
        <f t="shared" ca="1" si="4031"/>
        <v>руб.</v>
      </c>
      <c r="D1045" s="170"/>
      <c r="E1045" s="170"/>
      <c r="F1045" s="170" t="s">
        <v>1191</v>
      </c>
      <c r="G1045" s="177">
        <v>0</v>
      </c>
      <c r="H1045" s="177">
        <v>0</v>
      </c>
      <c r="I1045" s="177">
        <v>0</v>
      </c>
      <c r="J1045" s="177">
        <v>0</v>
      </c>
      <c r="K1045" s="177">
        <v>0</v>
      </c>
      <c r="L1045" s="177">
        <v>0</v>
      </c>
      <c r="M1045" s="177">
        <v>0</v>
      </c>
      <c r="N1045" s="177">
        <v>0</v>
      </c>
      <c r="O1045" s="177">
        <v>0</v>
      </c>
      <c r="P1045" s="177">
        <v>0</v>
      </c>
      <c r="Q1045" s="177">
        <v>0</v>
      </c>
      <c r="R1045" s="177">
        <v>0</v>
      </c>
      <c r="S1045" s="177">
        <v>0</v>
      </c>
      <c r="T1045" s="177">
        <v>0</v>
      </c>
      <c r="U1045" s="177">
        <v>0</v>
      </c>
      <c r="V1045" s="177">
        <v>0</v>
      </c>
      <c r="W1045" s="177">
        <v>0</v>
      </c>
      <c r="X1045" s="177">
        <v>0</v>
      </c>
      <c r="Y1045" s="177">
        <v>0</v>
      </c>
      <c r="Z1045" s="177">
        <v>0</v>
      </c>
      <c r="AA1045" s="177">
        <v>0</v>
      </c>
      <c r="AB1045" s="177">
        <v>0</v>
      </c>
      <c r="AC1045" s="177">
        <v>0</v>
      </c>
      <c r="AD1045" s="177">
        <v>0</v>
      </c>
      <c r="AE1045" s="177">
        <v>0</v>
      </c>
      <c r="AF1045" s="177">
        <v>0</v>
      </c>
      <c r="AG1045" s="177">
        <v>0</v>
      </c>
      <c r="AH1045" s="177">
        <v>0</v>
      </c>
      <c r="AI1045" s="177">
        <v>0</v>
      </c>
      <c r="AJ1045" s="177">
        <v>0</v>
      </c>
      <c r="AK1045" s="177">
        <v>0</v>
      </c>
      <c r="AL1045" s="177">
        <v>0</v>
      </c>
      <c r="AM1045" s="177">
        <v>0</v>
      </c>
      <c r="AN1045" s="177">
        <v>0</v>
      </c>
      <c r="AO1045" s="177">
        <v>0</v>
      </c>
      <c r="AP1045" s="177">
        <v>0</v>
      </c>
      <c r="AQ1045" s="177">
        <v>0</v>
      </c>
      <c r="AR1045" s="177">
        <v>0</v>
      </c>
      <c r="AS1045" s="177">
        <v>0</v>
      </c>
      <c r="AT1045" s="177">
        <v>0</v>
      </c>
      <c r="AU1045" s="177">
        <v>0</v>
      </c>
      <c r="AV1045" s="177">
        <v>0</v>
      </c>
      <c r="AW1045" s="177">
        <v>0</v>
      </c>
      <c r="AX1045" s="177">
        <v>0</v>
      </c>
      <c r="AY1045" s="177">
        <v>0</v>
      </c>
      <c r="AZ1045" s="177">
        <v>0</v>
      </c>
      <c r="BA1045" s="177">
        <v>0</v>
      </c>
      <c r="BB1045" s="177">
        <v>0</v>
      </c>
      <c r="BC1045" s="177"/>
      <c r="BD1045" s="178">
        <f t="shared" si="4055"/>
        <v>0</v>
      </c>
    </row>
    <row r="1046" spans="1:56" s="195" customFormat="1" hidden="1" outlineLevel="1" x14ac:dyDescent="0.3">
      <c r="A1046" s="175" t="str">
        <f ca="1">Language!A$1043</f>
        <v>платеж по аренде начисленный, без НДС</v>
      </c>
      <c r="B1046" s="169"/>
      <c r="C1046" s="194" t="str">
        <f t="shared" ca="1" si="4031"/>
        <v>руб.</v>
      </c>
      <c r="D1046" s="170"/>
      <c r="E1046" s="170"/>
      <c r="F1046" s="170" t="s">
        <v>1193</v>
      </c>
      <c r="G1046" s="177">
        <v>0</v>
      </c>
      <c r="H1046" s="177">
        <v>0</v>
      </c>
      <c r="I1046" s="177">
        <v>0</v>
      </c>
      <c r="J1046" s="177">
        <v>0</v>
      </c>
      <c r="K1046" s="177">
        <v>0</v>
      </c>
      <c r="L1046" s="177">
        <v>0</v>
      </c>
      <c r="M1046" s="177">
        <v>0</v>
      </c>
      <c r="N1046" s="177">
        <v>0</v>
      </c>
      <c r="O1046" s="177">
        <v>0</v>
      </c>
      <c r="P1046" s="177">
        <v>0</v>
      </c>
      <c r="Q1046" s="177">
        <v>0</v>
      </c>
      <c r="R1046" s="177">
        <v>0</v>
      </c>
      <c r="S1046" s="177">
        <v>0</v>
      </c>
      <c r="T1046" s="177">
        <v>0</v>
      </c>
      <c r="U1046" s="177">
        <v>0</v>
      </c>
      <c r="V1046" s="177">
        <v>0</v>
      </c>
      <c r="W1046" s="177">
        <v>0</v>
      </c>
      <c r="X1046" s="177">
        <v>0</v>
      </c>
      <c r="Y1046" s="177">
        <v>0</v>
      </c>
      <c r="Z1046" s="177">
        <v>0</v>
      </c>
      <c r="AA1046" s="177">
        <v>0</v>
      </c>
      <c r="AB1046" s="177">
        <v>0</v>
      </c>
      <c r="AC1046" s="177">
        <v>0</v>
      </c>
      <c r="AD1046" s="177">
        <v>0</v>
      </c>
      <c r="AE1046" s="177">
        <v>0</v>
      </c>
      <c r="AF1046" s="177">
        <v>0</v>
      </c>
      <c r="AG1046" s="177">
        <v>0</v>
      </c>
      <c r="AH1046" s="177">
        <v>0</v>
      </c>
      <c r="AI1046" s="177">
        <v>0</v>
      </c>
      <c r="AJ1046" s="177">
        <v>0</v>
      </c>
      <c r="AK1046" s="177">
        <v>0</v>
      </c>
      <c r="AL1046" s="177">
        <v>0</v>
      </c>
      <c r="AM1046" s="177">
        <v>0</v>
      </c>
      <c r="AN1046" s="177">
        <v>0</v>
      </c>
      <c r="AO1046" s="177">
        <v>0</v>
      </c>
      <c r="AP1046" s="177">
        <v>0</v>
      </c>
      <c r="AQ1046" s="177">
        <v>0</v>
      </c>
      <c r="AR1046" s="177">
        <v>0</v>
      </c>
      <c r="AS1046" s="177">
        <v>0</v>
      </c>
      <c r="AT1046" s="177">
        <v>0</v>
      </c>
      <c r="AU1046" s="177">
        <v>0</v>
      </c>
      <c r="AV1046" s="177">
        <v>0</v>
      </c>
      <c r="AW1046" s="177">
        <v>0</v>
      </c>
      <c r="AX1046" s="177">
        <v>0</v>
      </c>
      <c r="AY1046" s="177">
        <v>0</v>
      </c>
      <c r="AZ1046" s="177">
        <v>0</v>
      </c>
      <c r="BA1046" s="177">
        <v>0</v>
      </c>
      <c r="BB1046" s="177">
        <v>0</v>
      </c>
      <c r="BC1046" s="177"/>
      <c r="BD1046" s="178">
        <f t="shared" si="4055"/>
        <v>0</v>
      </c>
    </row>
    <row r="1047" spans="1:56" s="195" customFormat="1" hidden="1" outlineLevel="1" x14ac:dyDescent="0.3">
      <c r="A1047" s="175" t="str">
        <f ca="1">Language!A$1044</f>
        <v>НДС к начисленным платежам</v>
      </c>
      <c r="B1047" s="169"/>
      <c r="C1047" s="194" t="str">
        <f t="shared" ca="1" si="4031"/>
        <v>руб.</v>
      </c>
      <c r="D1047" s="170"/>
      <c r="E1047" s="170"/>
      <c r="F1047" s="170" t="s">
        <v>1195</v>
      </c>
      <c r="G1047" s="177">
        <v>0</v>
      </c>
      <c r="H1047" s="177">
        <v>0</v>
      </c>
      <c r="I1047" s="177">
        <v>0</v>
      </c>
      <c r="J1047" s="177">
        <v>0</v>
      </c>
      <c r="K1047" s="177">
        <v>0</v>
      </c>
      <c r="L1047" s="177">
        <v>0</v>
      </c>
      <c r="M1047" s="177">
        <v>0</v>
      </c>
      <c r="N1047" s="177">
        <v>0</v>
      </c>
      <c r="O1047" s="177">
        <v>0</v>
      </c>
      <c r="P1047" s="177">
        <v>0</v>
      </c>
      <c r="Q1047" s="177">
        <v>0</v>
      </c>
      <c r="R1047" s="177">
        <v>0</v>
      </c>
      <c r="S1047" s="177">
        <v>0</v>
      </c>
      <c r="T1047" s="177">
        <v>0</v>
      </c>
      <c r="U1047" s="177">
        <v>0</v>
      </c>
      <c r="V1047" s="177">
        <v>0</v>
      </c>
      <c r="W1047" s="177">
        <v>0</v>
      </c>
      <c r="X1047" s="177">
        <v>0</v>
      </c>
      <c r="Y1047" s="177">
        <v>0</v>
      </c>
      <c r="Z1047" s="177">
        <v>0</v>
      </c>
      <c r="AA1047" s="177">
        <v>0</v>
      </c>
      <c r="AB1047" s="177">
        <v>0</v>
      </c>
      <c r="AC1047" s="177">
        <v>0</v>
      </c>
      <c r="AD1047" s="177">
        <v>0</v>
      </c>
      <c r="AE1047" s="177">
        <v>0</v>
      </c>
      <c r="AF1047" s="177">
        <v>0</v>
      </c>
      <c r="AG1047" s="177">
        <v>0</v>
      </c>
      <c r="AH1047" s="177">
        <v>0</v>
      </c>
      <c r="AI1047" s="177">
        <v>0</v>
      </c>
      <c r="AJ1047" s="177">
        <v>0</v>
      </c>
      <c r="AK1047" s="177">
        <v>0</v>
      </c>
      <c r="AL1047" s="177">
        <v>0</v>
      </c>
      <c r="AM1047" s="177">
        <v>0</v>
      </c>
      <c r="AN1047" s="177">
        <v>0</v>
      </c>
      <c r="AO1047" s="177">
        <v>0</v>
      </c>
      <c r="AP1047" s="177">
        <v>0</v>
      </c>
      <c r="AQ1047" s="177">
        <v>0</v>
      </c>
      <c r="AR1047" s="177">
        <v>0</v>
      </c>
      <c r="AS1047" s="177">
        <v>0</v>
      </c>
      <c r="AT1047" s="177">
        <v>0</v>
      </c>
      <c r="AU1047" s="177">
        <v>0</v>
      </c>
      <c r="AV1047" s="177">
        <v>0</v>
      </c>
      <c r="AW1047" s="177">
        <v>0</v>
      </c>
      <c r="AX1047" s="177">
        <v>0</v>
      </c>
      <c r="AY1047" s="177">
        <v>0</v>
      </c>
      <c r="AZ1047" s="177">
        <v>0</v>
      </c>
      <c r="BA1047" s="177">
        <v>0</v>
      </c>
      <c r="BB1047" s="177">
        <v>0</v>
      </c>
      <c r="BC1047" s="177"/>
      <c r="BD1047" s="178">
        <f t="shared" si="4055"/>
        <v>0</v>
      </c>
    </row>
    <row r="1048" spans="1:56" s="195" customFormat="1" hidden="1" outlineLevel="1" x14ac:dyDescent="0.3">
      <c r="A1048" s="181" t="str">
        <f ca="1">Language!A$1045</f>
        <v>балансовая стоимость объекта аренды</v>
      </c>
      <c r="B1048" s="169"/>
      <c r="C1048" s="194" t="str">
        <f t="shared" ca="1" si="4031"/>
        <v>руб.</v>
      </c>
      <c r="D1048" s="170"/>
      <c r="E1048" s="170"/>
      <c r="F1048" s="170" t="s">
        <v>1197</v>
      </c>
      <c r="G1048" s="177">
        <v>0</v>
      </c>
      <c r="H1048" s="177">
        <v>0</v>
      </c>
      <c r="I1048" s="177">
        <v>0</v>
      </c>
      <c r="J1048" s="177">
        <v>0</v>
      </c>
      <c r="K1048" s="177">
        <v>0</v>
      </c>
      <c r="L1048" s="177">
        <v>0</v>
      </c>
      <c r="M1048" s="177">
        <v>0</v>
      </c>
      <c r="N1048" s="177">
        <v>0</v>
      </c>
      <c r="O1048" s="177">
        <v>0</v>
      </c>
      <c r="P1048" s="177">
        <v>0</v>
      </c>
      <c r="Q1048" s="177">
        <v>0</v>
      </c>
      <c r="R1048" s="177">
        <v>0</v>
      </c>
      <c r="S1048" s="177">
        <v>0</v>
      </c>
      <c r="T1048" s="177">
        <v>0</v>
      </c>
      <c r="U1048" s="177">
        <v>0</v>
      </c>
      <c r="V1048" s="177">
        <v>0</v>
      </c>
      <c r="W1048" s="177">
        <v>0</v>
      </c>
      <c r="X1048" s="177">
        <v>0</v>
      </c>
      <c r="Y1048" s="177">
        <v>0</v>
      </c>
      <c r="Z1048" s="177">
        <v>0</v>
      </c>
      <c r="AA1048" s="177">
        <v>0</v>
      </c>
      <c r="AB1048" s="177">
        <v>0</v>
      </c>
      <c r="AC1048" s="177">
        <v>0</v>
      </c>
      <c r="AD1048" s="177">
        <v>0</v>
      </c>
      <c r="AE1048" s="177">
        <v>0</v>
      </c>
      <c r="AF1048" s="177">
        <v>0</v>
      </c>
      <c r="AG1048" s="177">
        <v>0</v>
      </c>
      <c r="AH1048" s="177">
        <v>0</v>
      </c>
      <c r="AI1048" s="177">
        <v>0</v>
      </c>
      <c r="AJ1048" s="177">
        <v>0</v>
      </c>
      <c r="AK1048" s="177">
        <v>0</v>
      </c>
      <c r="AL1048" s="177">
        <v>0</v>
      </c>
      <c r="AM1048" s="177">
        <v>0</v>
      </c>
      <c r="AN1048" s="177">
        <v>0</v>
      </c>
      <c r="AO1048" s="177">
        <v>0</v>
      </c>
      <c r="AP1048" s="177">
        <v>0</v>
      </c>
      <c r="AQ1048" s="177">
        <v>0</v>
      </c>
      <c r="AR1048" s="177">
        <v>0</v>
      </c>
      <c r="AS1048" s="177">
        <v>0</v>
      </c>
      <c r="AT1048" s="177">
        <v>0</v>
      </c>
      <c r="AU1048" s="177">
        <v>0</v>
      </c>
      <c r="AV1048" s="177">
        <v>0</v>
      </c>
      <c r="AW1048" s="177">
        <v>0</v>
      </c>
      <c r="AX1048" s="177">
        <v>0</v>
      </c>
      <c r="AY1048" s="177">
        <v>0</v>
      </c>
      <c r="AZ1048" s="177">
        <v>0</v>
      </c>
      <c r="BA1048" s="177">
        <v>0</v>
      </c>
      <c r="BB1048" s="177">
        <v>0</v>
      </c>
      <c r="BC1048" s="177"/>
      <c r="BD1048" s="178">
        <f t="shared" si="4055"/>
        <v>0</v>
      </c>
    </row>
    <row r="1049" spans="1:56" s="195" customFormat="1" hidden="1" outlineLevel="1" x14ac:dyDescent="0.3">
      <c r="A1049" s="181" t="str">
        <f ca="1">Language!A$1046</f>
        <v>амортизация объекта аренды</v>
      </c>
      <c r="B1049" s="169"/>
      <c r="C1049" s="194" t="str">
        <f t="shared" ca="1" si="4031"/>
        <v>руб.</v>
      </c>
      <c r="D1049" s="170"/>
      <c r="E1049" s="170"/>
      <c r="F1049" s="170" t="s">
        <v>1199</v>
      </c>
      <c r="G1049" s="177">
        <v>0</v>
      </c>
      <c r="H1049" s="177">
        <v>0</v>
      </c>
      <c r="I1049" s="177">
        <v>0</v>
      </c>
      <c r="J1049" s="177">
        <v>0</v>
      </c>
      <c r="K1049" s="177">
        <v>0</v>
      </c>
      <c r="L1049" s="177">
        <v>0</v>
      </c>
      <c r="M1049" s="177">
        <v>0</v>
      </c>
      <c r="N1049" s="177">
        <v>0</v>
      </c>
      <c r="O1049" s="177">
        <v>0</v>
      </c>
      <c r="P1049" s="177">
        <v>0</v>
      </c>
      <c r="Q1049" s="177">
        <v>0</v>
      </c>
      <c r="R1049" s="177">
        <v>0</v>
      </c>
      <c r="S1049" s="177">
        <v>0</v>
      </c>
      <c r="T1049" s="177">
        <v>0</v>
      </c>
      <c r="U1049" s="177">
        <v>0</v>
      </c>
      <c r="V1049" s="177">
        <v>0</v>
      </c>
      <c r="W1049" s="177">
        <v>0</v>
      </c>
      <c r="X1049" s="177">
        <v>0</v>
      </c>
      <c r="Y1049" s="177">
        <v>0</v>
      </c>
      <c r="Z1049" s="177">
        <v>0</v>
      </c>
      <c r="AA1049" s="177">
        <v>0</v>
      </c>
      <c r="AB1049" s="177">
        <v>0</v>
      </c>
      <c r="AC1049" s="177">
        <v>0</v>
      </c>
      <c r="AD1049" s="177">
        <v>0</v>
      </c>
      <c r="AE1049" s="177">
        <v>0</v>
      </c>
      <c r="AF1049" s="177">
        <v>0</v>
      </c>
      <c r="AG1049" s="177">
        <v>0</v>
      </c>
      <c r="AH1049" s="177">
        <v>0</v>
      </c>
      <c r="AI1049" s="177">
        <v>0</v>
      </c>
      <c r="AJ1049" s="177">
        <v>0</v>
      </c>
      <c r="AK1049" s="177">
        <v>0</v>
      </c>
      <c r="AL1049" s="177">
        <v>0</v>
      </c>
      <c r="AM1049" s="177">
        <v>0</v>
      </c>
      <c r="AN1049" s="177">
        <v>0</v>
      </c>
      <c r="AO1049" s="177">
        <v>0</v>
      </c>
      <c r="AP1049" s="177">
        <v>0</v>
      </c>
      <c r="AQ1049" s="177">
        <v>0</v>
      </c>
      <c r="AR1049" s="177">
        <v>0</v>
      </c>
      <c r="AS1049" s="177">
        <v>0</v>
      </c>
      <c r="AT1049" s="177">
        <v>0</v>
      </c>
      <c r="AU1049" s="177">
        <v>0</v>
      </c>
      <c r="AV1049" s="177">
        <v>0</v>
      </c>
      <c r="AW1049" s="177">
        <v>0</v>
      </c>
      <c r="AX1049" s="177">
        <v>0</v>
      </c>
      <c r="AY1049" s="177">
        <v>0</v>
      </c>
      <c r="AZ1049" s="177">
        <v>0</v>
      </c>
      <c r="BA1049" s="177">
        <v>0</v>
      </c>
      <c r="BB1049" s="177">
        <v>0</v>
      </c>
      <c r="BC1049" s="177"/>
      <c r="BD1049" s="178">
        <f t="shared" si="4055"/>
        <v>0</v>
      </c>
    </row>
    <row r="1050" spans="1:56" s="195" customFormat="1" hidden="1" outlineLevel="1" x14ac:dyDescent="0.3">
      <c r="A1050" s="181" t="str">
        <f ca="1">Language!A$1047</f>
        <v>финансовый расход</v>
      </c>
      <c r="B1050" s="169"/>
      <c r="C1050" s="194" t="str">
        <f t="shared" ca="1" si="4031"/>
        <v>руб.</v>
      </c>
      <c r="D1050" s="170"/>
      <c r="E1050" s="170"/>
      <c r="F1050" s="170" t="s">
        <v>1201</v>
      </c>
      <c r="G1050" s="177">
        <v>0</v>
      </c>
      <c r="H1050" s="177">
        <v>0</v>
      </c>
      <c r="I1050" s="177">
        <v>0</v>
      </c>
      <c r="J1050" s="177">
        <v>0</v>
      </c>
      <c r="K1050" s="177">
        <v>0</v>
      </c>
      <c r="L1050" s="177">
        <v>0</v>
      </c>
      <c r="M1050" s="177">
        <v>0</v>
      </c>
      <c r="N1050" s="177">
        <v>0</v>
      </c>
      <c r="O1050" s="177">
        <v>0</v>
      </c>
      <c r="P1050" s="177">
        <v>0</v>
      </c>
      <c r="Q1050" s="177">
        <v>0</v>
      </c>
      <c r="R1050" s="177">
        <v>0</v>
      </c>
      <c r="S1050" s="177">
        <v>0</v>
      </c>
      <c r="T1050" s="177">
        <v>0</v>
      </c>
      <c r="U1050" s="177">
        <v>0</v>
      </c>
      <c r="V1050" s="177">
        <v>0</v>
      </c>
      <c r="W1050" s="177">
        <v>0</v>
      </c>
      <c r="X1050" s="177">
        <v>0</v>
      </c>
      <c r="Y1050" s="177">
        <v>0</v>
      </c>
      <c r="Z1050" s="177">
        <v>0</v>
      </c>
      <c r="AA1050" s="177">
        <v>0</v>
      </c>
      <c r="AB1050" s="177">
        <v>0</v>
      </c>
      <c r="AC1050" s="177">
        <v>0</v>
      </c>
      <c r="AD1050" s="177">
        <v>0</v>
      </c>
      <c r="AE1050" s="177">
        <v>0</v>
      </c>
      <c r="AF1050" s="177">
        <v>0</v>
      </c>
      <c r="AG1050" s="177">
        <v>0</v>
      </c>
      <c r="AH1050" s="177">
        <v>0</v>
      </c>
      <c r="AI1050" s="177">
        <v>0</v>
      </c>
      <c r="AJ1050" s="177">
        <v>0</v>
      </c>
      <c r="AK1050" s="177">
        <v>0</v>
      </c>
      <c r="AL1050" s="177">
        <v>0</v>
      </c>
      <c r="AM1050" s="177">
        <v>0</v>
      </c>
      <c r="AN1050" s="177">
        <v>0</v>
      </c>
      <c r="AO1050" s="177">
        <v>0</v>
      </c>
      <c r="AP1050" s="177">
        <v>0</v>
      </c>
      <c r="AQ1050" s="177">
        <v>0</v>
      </c>
      <c r="AR1050" s="177">
        <v>0</v>
      </c>
      <c r="AS1050" s="177">
        <v>0</v>
      </c>
      <c r="AT1050" s="177">
        <v>0</v>
      </c>
      <c r="AU1050" s="177">
        <v>0</v>
      </c>
      <c r="AV1050" s="177">
        <v>0</v>
      </c>
      <c r="AW1050" s="177">
        <v>0</v>
      </c>
      <c r="AX1050" s="177">
        <v>0</v>
      </c>
      <c r="AY1050" s="177">
        <v>0</v>
      </c>
      <c r="AZ1050" s="177">
        <v>0</v>
      </c>
      <c r="BA1050" s="177">
        <v>0</v>
      </c>
      <c r="BB1050" s="177">
        <v>0</v>
      </c>
      <c r="BC1050" s="177"/>
      <c r="BD1050" s="178">
        <f t="shared" si="4055"/>
        <v>0</v>
      </c>
    </row>
    <row r="1051" spans="1:56" s="195" customFormat="1" hidden="1" outlineLevel="1" x14ac:dyDescent="0.3">
      <c r="A1051" s="181" t="str">
        <f ca="1">Language!A$1048</f>
        <v>задолженность по аренде</v>
      </c>
      <c r="B1051" s="169"/>
      <c r="C1051" s="194" t="str">
        <f t="shared" ca="1" si="4031"/>
        <v>руб.</v>
      </c>
      <c r="D1051" s="170"/>
      <c r="E1051" s="170"/>
      <c r="F1051" s="170" t="s">
        <v>1203</v>
      </c>
      <c r="G1051" s="177">
        <v>0</v>
      </c>
      <c r="H1051" s="177">
        <v>0</v>
      </c>
      <c r="I1051" s="177">
        <v>0</v>
      </c>
      <c r="J1051" s="177">
        <v>0</v>
      </c>
      <c r="K1051" s="177">
        <v>0</v>
      </c>
      <c r="L1051" s="177">
        <v>0</v>
      </c>
      <c r="M1051" s="177">
        <v>0</v>
      </c>
      <c r="N1051" s="177">
        <v>0</v>
      </c>
      <c r="O1051" s="177">
        <v>0</v>
      </c>
      <c r="P1051" s="177">
        <v>0</v>
      </c>
      <c r="Q1051" s="177">
        <v>0</v>
      </c>
      <c r="R1051" s="177">
        <v>0</v>
      </c>
      <c r="S1051" s="177">
        <v>0</v>
      </c>
      <c r="T1051" s="177">
        <v>0</v>
      </c>
      <c r="U1051" s="177">
        <v>0</v>
      </c>
      <c r="V1051" s="177">
        <v>0</v>
      </c>
      <c r="W1051" s="177">
        <v>0</v>
      </c>
      <c r="X1051" s="177">
        <v>0</v>
      </c>
      <c r="Y1051" s="177">
        <v>0</v>
      </c>
      <c r="Z1051" s="177">
        <v>0</v>
      </c>
      <c r="AA1051" s="177">
        <v>0</v>
      </c>
      <c r="AB1051" s="177">
        <v>0</v>
      </c>
      <c r="AC1051" s="177">
        <v>0</v>
      </c>
      <c r="AD1051" s="177">
        <v>0</v>
      </c>
      <c r="AE1051" s="177">
        <v>0</v>
      </c>
      <c r="AF1051" s="177">
        <v>0</v>
      </c>
      <c r="AG1051" s="177">
        <v>0</v>
      </c>
      <c r="AH1051" s="177">
        <v>0</v>
      </c>
      <c r="AI1051" s="177">
        <v>0</v>
      </c>
      <c r="AJ1051" s="177">
        <v>0</v>
      </c>
      <c r="AK1051" s="177">
        <v>0</v>
      </c>
      <c r="AL1051" s="177">
        <v>0</v>
      </c>
      <c r="AM1051" s="177">
        <v>0</v>
      </c>
      <c r="AN1051" s="177">
        <v>0</v>
      </c>
      <c r="AO1051" s="177">
        <v>0</v>
      </c>
      <c r="AP1051" s="177">
        <v>0</v>
      </c>
      <c r="AQ1051" s="177">
        <v>0</v>
      </c>
      <c r="AR1051" s="177">
        <v>0</v>
      </c>
      <c r="AS1051" s="177">
        <v>0</v>
      </c>
      <c r="AT1051" s="177">
        <v>0</v>
      </c>
      <c r="AU1051" s="177">
        <v>0</v>
      </c>
      <c r="AV1051" s="177">
        <v>0</v>
      </c>
      <c r="AW1051" s="177">
        <v>0</v>
      </c>
      <c r="AX1051" s="177">
        <v>0</v>
      </c>
      <c r="AY1051" s="177">
        <v>0</v>
      </c>
      <c r="AZ1051" s="177">
        <v>0</v>
      </c>
      <c r="BA1051" s="177">
        <v>0</v>
      </c>
      <c r="BB1051" s="177">
        <v>0</v>
      </c>
      <c r="BC1051" s="177"/>
      <c r="BD1051" s="178">
        <f t="shared" si="4055"/>
        <v>0</v>
      </c>
    </row>
    <row r="1052" spans="1:56" s="195" customFormat="1" hidden="1" outlineLevel="1" x14ac:dyDescent="0.3">
      <c r="A1052" s="181" t="str">
        <f ca="1">Language!A$1049</f>
        <v>авансы выплаченные</v>
      </c>
      <c r="B1052" s="169"/>
      <c r="C1052" s="194" t="str">
        <f t="shared" ca="1" si="4031"/>
        <v>руб.</v>
      </c>
      <c r="D1052" s="170"/>
      <c r="E1052" s="170"/>
      <c r="F1052" s="170" t="s">
        <v>1204</v>
      </c>
      <c r="G1052" s="177">
        <v>0</v>
      </c>
      <c r="H1052" s="177">
        <v>0</v>
      </c>
      <c r="I1052" s="177">
        <v>0</v>
      </c>
      <c r="J1052" s="177">
        <v>0</v>
      </c>
      <c r="K1052" s="177">
        <v>0</v>
      </c>
      <c r="L1052" s="177">
        <v>0</v>
      </c>
      <c r="M1052" s="177">
        <v>0</v>
      </c>
      <c r="N1052" s="177">
        <v>0</v>
      </c>
      <c r="O1052" s="177">
        <v>0</v>
      </c>
      <c r="P1052" s="177">
        <v>0</v>
      </c>
      <c r="Q1052" s="177">
        <v>0</v>
      </c>
      <c r="R1052" s="177">
        <v>0</v>
      </c>
      <c r="S1052" s="177">
        <v>0</v>
      </c>
      <c r="T1052" s="177">
        <v>0</v>
      </c>
      <c r="U1052" s="177">
        <v>0</v>
      </c>
      <c r="V1052" s="177">
        <v>0</v>
      </c>
      <c r="W1052" s="177">
        <v>0</v>
      </c>
      <c r="X1052" s="177">
        <v>0</v>
      </c>
      <c r="Y1052" s="177">
        <v>0</v>
      </c>
      <c r="Z1052" s="177">
        <v>0</v>
      </c>
      <c r="AA1052" s="177">
        <v>0</v>
      </c>
      <c r="AB1052" s="177">
        <v>0</v>
      </c>
      <c r="AC1052" s="177">
        <v>0</v>
      </c>
      <c r="AD1052" s="177">
        <v>0</v>
      </c>
      <c r="AE1052" s="177">
        <v>0</v>
      </c>
      <c r="AF1052" s="177">
        <v>0</v>
      </c>
      <c r="AG1052" s="177">
        <v>0</v>
      </c>
      <c r="AH1052" s="177">
        <v>0</v>
      </c>
      <c r="AI1052" s="177">
        <v>0</v>
      </c>
      <c r="AJ1052" s="177">
        <v>0</v>
      </c>
      <c r="AK1052" s="177">
        <v>0</v>
      </c>
      <c r="AL1052" s="177">
        <v>0</v>
      </c>
      <c r="AM1052" s="177">
        <v>0</v>
      </c>
      <c r="AN1052" s="177">
        <v>0</v>
      </c>
      <c r="AO1052" s="177">
        <v>0</v>
      </c>
      <c r="AP1052" s="177">
        <v>0</v>
      </c>
      <c r="AQ1052" s="177">
        <v>0</v>
      </c>
      <c r="AR1052" s="177">
        <v>0</v>
      </c>
      <c r="AS1052" s="177">
        <v>0</v>
      </c>
      <c r="AT1052" s="177">
        <v>0</v>
      </c>
      <c r="AU1052" s="177">
        <v>0</v>
      </c>
      <c r="AV1052" s="177">
        <v>0</v>
      </c>
      <c r="AW1052" s="177">
        <v>0</v>
      </c>
      <c r="AX1052" s="177">
        <v>0</v>
      </c>
      <c r="AY1052" s="177">
        <v>0</v>
      </c>
      <c r="AZ1052" s="177">
        <v>0</v>
      </c>
      <c r="BA1052" s="177">
        <v>0</v>
      </c>
      <c r="BB1052" s="177">
        <v>0</v>
      </c>
      <c r="BC1052" s="177"/>
      <c r="BD1052" s="178">
        <f t="shared" si="4055"/>
        <v>0</v>
      </c>
    </row>
    <row r="1053" spans="1:56" hidden="1" x14ac:dyDescent="0.3">
      <c r="A1053" s="196"/>
      <c r="B1053" s="196"/>
      <c r="C1053" s="196"/>
      <c r="D1053" s="197"/>
      <c r="E1053" s="197" t="s">
        <v>777</v>
      </c>
      <c r="F1053" s="197"/>
      <c r="G1053" s="196"/>
      <c r="H1053" s="196"/>
      <c r="I1053" s="196"/>
      <c r="J1053" s="196"/>
      <c r="K1053" s="196"/>
      <c r="L1053" s="196"/>
      <c r="M1053" s="196"/>
      <c r="N1053" s="196"/>
      <c r="O1053" s="196"/>
      <c r="P1053" s="196"/>
      <c r="Q1053" s="196"/>
      <c r="R1053" s="196"/>
      <c r="S1053" s="196"/>
      <c r="T1053" s="196"/>
      <c r="U1053" s="196"/>
      <c r="V1053" s="196"/>
      <c r="W1053" s="196"/>
      <c r="X1053" s="196"/>
      <c r="Y1053" s="196"/>
      <c r="Z1053" s="196"/>
      <c r="AA1053" s="196"/>
      <c r="AB1053" s="196"/>
      <c r="AC1053" s="196"/>
      <c r="AD1053" s="196"/>
      <c r="AE1053" s="196"/>
      <c r="AF1053" s="196"/>
      <c r="AG1053" s="196"/>
      <c r="AH1053" s="196"/>
      <c r="AI1053" s="196"/>
      <c r="AJ1053" s="196"/>
      <c r="AK1053" s="196"/>
      <c r="AL1053" s="196"/>
      <c r="AM1053" s="196"/>
      <c r="AN1053" s="196"/>
      <c r="AO1053" s="196"/>
      <c r="AP1053" s="196"/>
      <c r="AQ1053" s="196"/>
      <c r="AR1053" s="196"/>
      <c r="AS1053" s="196"/>
      <c r="AT1053" s="196"/>
      <c r="AU1053" s="196"/>
      <c r="AV1053" s="196"/>
      <c r="AW1053" s="196"/>
      <c r="AX1053" s="196"/>
      <c r="AY1053" s="196"/>
      <c r="AZ1053" s="196"/>
      <c r="BA1053" s="196"/>
      <c r="BB1053" s="196"/>
      <c r="BC1053" s="196"/>
      <c r="BD1053" s="204"/>
    </row>
    <row r="1054" spans="1:56" hidden="1" x14ac:dyDescent="0.3"/>
    <row r="1055" spans="1:56" hidden="1" x14ac:dyDescent="0.3"/>
    <row r="1056" spans="1:56" s="168" customFormat="1" ht="25.5" hidden="1" customHeight="1" thickBot="1" x14ac:dyDescent="0.35">
      <c r="A1056" s="330" t="str">
        <f ca="1">Language!A$1050</f>
        <v>ФИНАНСОВЫЕ ВЛОЖЕНИЯ</v>
      </c>
      <c r="B1056" s="331"/>
      <c r="C1056" s="332"/>
      <c r="D1056" s="333"/>
      <c r="E1056" s="333" t="s">
        <v>887</v>
      </c>
      <c r="F1056" s="333"/>
      <c r="G1056" s="334" t="str">
        <f ca="1">Параметры!G$34</f>
        <v>янв.25</v>
      </c>
      <c r="H1056" s="334" t="str">
        <f ca="1">Параметры!H$34</f>
        <v>фев.25</v>
      </c>
      <c r="I1056" s="334" t="str">
        <f ca="1">Параметры!I$34</f>
        <v>мар.25</v>
      </c>
      <c r="J1056" s="334" t="str">
        <f ca="1">Параметры!J$34</f>
        <v>апр.25</v>
      </c>
      <c r="K1056" s="334" t="str">
        <f ca="1">Параметры!K$34</f>
        <v>май.25</v>
      </c>
      <c r="L1056" s="334" t="str">
        <f ca="1">Параметры!L$34</f>
        <v>июн.25</v>
      </c>
      <c r="M1056" s="335" t="str">
        <f ca="1">Параметры!M$34</f>
        <v>июл.25</v>
      </c>
      <c r="N1056" s="335" t="str">
        <f ca="1">Параметры!N$34</f>
        <v>авг.25</v>
      </c>
      <c r="O1056" s="335" t="str">
        <f ca="1">Параметры!O$34</f>
        <v>сен.25</v>
      </c>
      <c r="P1056" s="335" t="str">
        <f ca="1">Параметры!P$34</f>
        <v>окт.25</v>
      </c>
      <c r="Q1056" s="335" t="str">
        <f ca="1">Параметры!Q$34</f>
        <v>ноя.25</v>
      </c>
      <c r="R1056" s="335" t="str">
        <f ca="1">Параметры!R$34</f>
        <v>дек.25</v>
      </c>
      <c r="S1056" s="335" t="str">
        <f ca="1">Параметры!S$34</f>
        <v>янв.26</v>
      </c>
      <c r="T1056" s="335" t="str">
        <f ca="1">Параметры!T$34</f>
        <v>фев.26</v>
      </c>
      <c r="U1056" s="335" t="str">
        <f ca="1">Параметры!U$34</f>
        <v>мар.26</v>
      </c>
      <c r="V1056" s="335" t="str">
        <f ca="1">Параметры!V$34</f>
        <v>апр.26</v>
      </c>
      <c r="W1056" s="335" t="str">
        <f ca="1">Параметры!W$34</f>
        <v>май.26</v>
      </c>
      <c r="X1056" s="335" t="str">
        <f ca="1">Параметры!X$34</f>
        <v>июн.26</v>
      </c>
      <c r="Y1056" s="335" t="str">
        <f ca="1">Параметры!Y$34</f>
        <v>июл.26</v>
      </c>
      <c r="Z1056" s="335" t="str">
        <f ca="1">Параметры!Z$34</f>
        <v>авг.26</v>
      </c>
      <c r="AA1056" s="335" t="str">
        <f ca="1">Параметры!AA$34</f>
        <v>сен.26</v>
      </c>
      <c r="AB1056" s="335" t="str">
        <f ca="1">Параметры!AB$34</f>
        <v>окт.26</v>
      </c>
      <c r="AC1056" s="335" t="str">
        <f ca="1">Параметры!AC$34</f>
        <v>ноя.26</v>
      </c>
      <c r="AD1056" s="335" t="str">
        <f ca="1">Параметры!AD$34</f>
        <v>дек.26</v>
      </c>
      <c r="AE1056" s="335" t="str">
        <f ca="1">Параметры!AE$34</f>
        <v>янв.27</v>
      </c>
      <c r="AF1056" s="335" t="str">
        <f ca="1">Параметры!AF$34</f>
        <v>фев.27</v>
      </c>
      <c r="AG1056" s="335" t="str">
        <f ca="1">Параметры!AG$34</f>
        <v>мар.27</v>
      </c>
      <c r="AH1056" s="335" t="str">
        <f ca="1">Параметры!AH$34</f>
        <v>апр.27</v>
      </c>
      <c r="AI1056" s="335" t="str">
        <f ca="1">Параметры!AI$34</f>
        <v>май.27</v>
      </c>
      <c r="AJ1056" s="335" t="str">
        <f ca="1">Параметры!AJ$34</f>
        <v>июн.27</v>
      </c>
      <c r="AK1056" s="335" t="str">
        <f ca="1">Параметры!AK$34</f>
        <v>июл.27</v>
      </c>
      <c r="AL1056" s="335" t="str">
        <f ca="1">Параметры!AL$34</f>
        <v>авг.27</v>
      </c>
      <c r="AM1056" s="335" t="str">
        <f ca="1">Параметры!AM$34</f>
        <v>сен.27</v>
      </c>
      <c r="AN1056" s="335" t="str">
        <f ca="1">Параметры!AN$34</f>
        <v>окт.27</v>
      </c>
      <c r="AO1056" s="335" t="str">
        <f ca="1">Параметры!AO$34</f>
        <v>ноя.27</v>
      </c>
      <c r="AP1056" s="335" t="str">
        <f ca="1">Параметры!AP$34</f>
        <v>дек.27</v>
      </c>
      <c r="AQ1056" s="335" t="str">
        <f ca="1">Параметры!AQ$34</f>
        <v>янв.28</v>
      </c>
      <c r="AR1056" s="335" t="str">
        <f ca="1">Параметры!AR$34</f>
        <v>фев.28</v>
      </c>
      <c r="AS1056" s="335" t="str">
        <f ca="1">Параметры!AS$34</f>
        <v>мар.28</v>
      </c>
      <c r="AT1056" s="335" t="str">
        <f ca="1">Параметры!AT$34</f>
        <v>апр.28</v>
      </c>
      <c r="AU1056" s="335" t="str">
        <f ca="1">Параметры!AU$34</f>
        <v>май.28</v>
      </c>
      <c r="AV1056" s="335" t="str">
        <f ca="1">Параметры!AV$34</f>
        <v>июн.28</v>
      </c>
      <c r="AW1056" s="335" t="str">
        <f ca="1">Параметры!AW$34</f>
        <v>июл.28</v>
      </c>
      <c r="AX1056" s="335" t="str">
        <f ca="1">Параметры!AX$34</f>
        <v>авг.28</v>
      </c>
      <c r="AY1056" s="335" t="str">
        <f ca="1">Параметры!AY$34</f>
        <v>сен.28</v>
      </c>
      <c r="AZ1056" s="335" t="str">
        <f ca="1">Параметры!AZ$34</f>
        <v>окт.28</v>
      </c>
      <c r="BA1056" s="335" t="str">
        <f ca="1">Параметры!BA$34</f>
        <v>ноя.28</v>
      </c>
      <c r="BB1056" s="335" t="str">
        <f ca="1">Параметры!BB$34</f>
        <v>дек.28</v>
      </c>
      <c r="BC1056" s="335"/>
      <c r="BD1056" s="336" t="str">
        <f ca="1">Language!$A$1473</f>
        <v>ИТОГО</v>
      </c>
    </row>
    <row r="1057" spans="1:56" hidden="1" x14ac:dyDescent="0.3">
      <c r="E1057" s="170" t="s">
        <v>642</v>
      </c>
      <c r="F1057" s="170" t="s">
        <v>643</v>
      </c>
    </row>
    <row r="1058" spans="1:56" hidden="1" x14ac:dyDescent="0.3">
      <c r="A1058" s="283" t="str">
        <f ca="1">Language!A$1051</f>
        <v>Шаблон долгосрочных вложений</v>
      </c>
      <c r="C1058" s="176"/>
      <c r="D1058" s="174">
        <v>1</v>
      </c>
      <c r="F1058" s="170" t="s">
        <v>846</v>
      </c>
      <c r="G1058" s="177"/>
      <c r="H1058" s="177"/>
      <c r="I1058" s="177"/>
      <c r="J1058" s="177"/>
      <c r="K1058" s="177"/>
      <c r="L1058" s="177"/>
      <c r="M1058" s="177"/>
      <c r="N1058" s="177"/>
      <c r="O1058" s="177"/>
      <c r="P1058" s="177"/>
      <c r="Q1058" s="177"/>
      <c r="R1058" s="177"/>
      <c r="S1058" s="177"/>
      <c r="T1058" s="177"/>
      <c r="U1058" s="177"/>
      <c r="V1058" s="177"/>
      <c r="W1058" s="177"/>
      <c r="X1058" s="177"/>
      <c r="Y1058" s="177"/>
      <c r="Z1058" s="177"/>
      <c r="AA1058" s="177"/>
      <c r="AB1058" s="177"/>
      <c r="AC1058" s="177"/>
      <c r="AD1058" s="177"/>
      <c r="AE1058" s="177"/>
      <c r="AF1058" s="177"/>
      <c r="AG1058" s="177"/>
      <c r="AH1058" s="177"/>
      <c r="AI1058" s="177"/>
      <c r="AJ1058" s="177"/>
      <c r="AK1058" s="177"/>
      <c r="AL1058" s="177"/>
      <c r="AM1058" s="177"/>
      <c r="AN1058" s="177"/>
      <c r="AO1058" s="177"/>
      <c r="AP1058" s="177"/>
      <c r="AQ1058" s="177"/>
      <c r="AR1058" s="177"/>
      <c r="AS1058" s="177"/>
      <c r="AT1058" s="177"/>
      <c r="AU1058" s="177"/>
      <c r="AV1058" s="177"/>
      <c r="AW1058" s="177"/>
      <c r="AX1058" s="177"/>
      <c r="AY1058" s="177"/>
      <c r="AZ1058" s="177"/>
      <c r="BA1058" s="177"/>
      <c r="BB1058" s="177"/>
      <c r="BC1058" s="177"/>
      <c r="BD1058" s="178"/>
    </row>
    <row r="1059" spans="1:56" hidden="1" x14ac:dyDescent="0.3">
      <c r="A1059" s="175" t="str">
        <f ca="1">Language!A$1052</f>
        <v>увеличение финансовых вложений</v>
      </c>
      <c r="C1059" s="176" t="str">
        <f ca="1">CHOOSE(D1059,CurName1,CurName2,CurName3)</f>
        <v>руб.</v>
      </c>
      <c r="D1059" s="174">
        <f>D1058</f>
        <v>1</v>
      </c>
      <c r="E1059" s="170" t="s">
        <v>950</v>
      </c>
      <c r="F1059" s="170" t="s">
        <v>742</v>
      </c>
      <c r="G1059" s="297">
        <v>0</v>
      </c>
      <c r="H1059" s="297">
        <v>0</v>
      </c>
      <c r="I1059" s="297">
        <v>0</v>
      </c>
      <c r="J1059" s="297">
        <v>0</v>
      </c>
      <c r="K1059" s="297">
        <v>0</v>
      </c>
      <c r="L1059" s="297">
        <v>0</v>
      </c>
      <c r="M1059" s="297">
        <v>0</v>
      </c>
      <c r="N1059" s="297">
        <v>0</v>
      </c>
      <c r="O1059" s="297">
        <v>0</v>
      </c>
      <c r="P1059" s="297">
        <v>0</v>
      </c>
      <c r="Q1059" s="297">
        <v>0</v>
      </c>
      <c r="R1059" s="297">
        <v>0</v>
      </c>
      <c r="S1059" s="297">
        <v>0</v>
      </c>
      <c r="T1059" s="297">
        <v>0</v>
      </c>
      <c r="U1059" s="297">
        <v>0</v>
      </c>
      <c r="V1059" s="297">
        <v>0</v>
      </c>
      <c r="W1059" s="297">
        <v>0</v>
      </c>
      <c r="X1059" s="297">
        <v>0</v>
      </c>
      <c r="Y1059" s="297">
        <v>0</v>
      </c>
      <c r="Z1059" s="297">
        <v>0</v>
      </c>
      <c r="AA1059" s="297">
        <v>0</v>
      </c>
      <c r="AB1059" s="297">
        <v>0</v>
      </c>
      <c r="AC1059" s="297">
        <v>0</v>
      </c>
      <c r="AD1059" s="297">
        <v>0</v>
      </c>
      <c r="AE1059" s="297">
        <v>0</v>
      </c>
      <c r="AF1059" s="297">
        <v>0</v>
      </c>
      <c r="AG1059" s="297">
        <v>0</v>
      </c>
      <c r="AH1059" s="297">
        <v>0</v>
      </c>
      <c r="AI1059" s="297">
        <v>0</v>
      </c>
      <c r="AJ1059" s="297">
        <v>0</v>
      </c>
      <c r="AK1059" s="297">
        <v>0</v>
      </c>
      <c r="AL1059" s="297">
        <v>0</v>
      </c>
      <c r="AM1059" s="297">
        <v>0</v>
      </c>
      <c r="AN1059" s="297">
        <v>0</v>
      </c>
      <c r="AO1059" s="297">
        <v>0</v>
      </c>
      <c r="AP1059" s="297">
        <v>0</v>
      </c>
      <c r="AQ1059" s="297">
        <v>0</v>
      </c>
      <c r="AR1059" s="297">
        <v>0</v>
      </c>
      <c r="AS1059" s="297">
        <v>0</v>
      </c>
      <c r="AT1059" s="297">
        <v>0</v>
      </c>
      <c r="AU1059" s="297">
        <v>0</v>
      </c>
      <c r="AV1059" s="297">
        <v>0</v>
      </c>
      <c r="AW1059" s="297">
        <v>0</v>
      </c>
      <c r="AX1059" s="297">
        <v>0</v>
      </c>
      <c r="AY1059" s="297">
        <v>0</v>
      </c>
      <c r="AZ1059" s="297">
        <v>0</v>
      </c>
      <c r="BA1059" s="297">
        <v>0</v>
      </c>
      <c r="BB1059" s="297">
        <v>0</v>
      </c>
      <c r="BC1059" s="177"/>
      <c r="BD1059" s="178">
        <f>SUM(G1059:BC1059)</f>
        <v>0</v>
      </c>
    </row>
    <row r="1060" spans="1:56" hidden="1" x14ac:dyDescent="0.3">
      <c r="A1060" s="175" t="str">
        <f ca="1">Language!A$1053</f>
        <v>снижение финансовых вложений (возврат)</v>
      </c>
      <c r="C1060" s="176" t="str">
        <f ca="1">CHOOSE(D1060,CurName1,CurName2,CurName3)</f>
        <v>руб.</v>
      </c>
      <c r="D1060" s="174">
        <f>D1058</f>
        <v>1</v>
      </c>
      <c r="E1060" s="170" t="s">
        <v>951</v>
      </c>
      <c r="F1060" s="170" t="s">
        <v>742</v>
      </c>
      <c r="G1060" s="297">
        <v>0</v>
      </c>
      <c r="H1060" s="297">
        <v>0</v>
      </c>
      <c r="I1060" s="297">
        <v>0</v>
      </c>
      <c r="J1060" s="297">
        <v>0</v>
      </c>
      <c r="K1060" s="297">
        <v>0</v>
      </c>
      <c r="L1060" s="297">
        <v>0</v>
      </c>
      <c r="M1060" s="297">
        <v>0</v>
      </c>
      <c r="N1060" s="297">
        <v>0</v>
      </c>
      <c r="O1060" s="297">
        <v>0</v>
      </c>
      <c r="P1060" s="297">
        <v>0</v>
      </c>
      <c r="Q1060" s="297">
        <v>0</v>
      </c>
      <c r="R1060" s="297">
        <v>0</v>
      </c>
      <c r="S1060" s="297">
        <v>0</v>
      </c>
      <c r="T1060" s="297">
        <v>0</v>
      </c>
      <c r="U1060" s="297">
        <v>0</v>
      </c>
      <c r="V1060" s="297">
        <v>0</v>
      </c>
      <c r="W1060" s="297">
        <v>0</v>
      </c>
      <c r="X1060" s="297">
        <v>0</v>
      </c>
      <c r="Y1060" s="297">
        <v>0</v>
      </c>
      <c r="Z1060" s="297">
        <v>0</v>
      </c>
      <c r="AA1060" s="297">
        <v>0</v>
      </c>
      <c r="AB1060" s="297">
        <v>0</v>
      </c>
      <c r="AC1060" s="297">
        <v>0</v>
      </c>
      <c r="AD1060" s="297">
        <v>0</v>
      </c>
      <c r="AE1060" s="297">
        <v>0</v>
      </c>
      <c r="AF1060" s="297">
        <v>0</v>
      </c>
      <c r="AG1060" s="297">
        <v>0</v>
      </c>
      <c r="AH1060" s="297">
        <v>0</v>
      </c>
      <c r="AI1060" s="297">
        <v>0</v>
      </c>
      <c r="AJ1060" s="297">
        <v>0</v>
      </c>
      <c r="AK1060" s="297">
        <v>0</v>
      </c>
      <c r="AL1060" s="297">
        <v>0</v>
      </c>
      <c r="AM1060" s="297">
        <v>0</v>
      </c>
      <c r="AN1060" s="297">
        <v>0</v>
      </c>
      <c r="AO1060" s="297">
        <v>0</v>
      </c>
      <c r="AP1060" s="297">
        <v>0</v>
      </c>
      <c r="AQ1060" s="297">
        <v>0</v>
      </c>
      <c r="AR1060" s="297">
        <v>0</v>
      </c>
      <c r="AS1060" s="297">
        <v>0</v>
      </c>
      <c r="AT1060" s="297">
        <v>0</v>
      </c>
      <c r="AU1060" s="297">
        <v>0</v>
      </c>
      <c r="AV1060" s="297">
        <v>0</v>
      </c>
      <c r="AW1060" s="297">
        <v>0</v>
      </c>
      <c r="AX1060" s="297">
        <v>0</v>
      </c>
      <c r="AY1060" s="297">
        <v>0</v>
      </c>
      <c r="AZ1060" s="297">
        <v>0</v>
      </c>
      <c r="BA1060" s="297">
        <v>0</v>
      </c>
      <c r="BB1060" s="297">
        <v>0</v>
      </c>
      <c r="BC1060" s="177"/>
      <c r="BD1060" s="178">
        <f>SUM(G1060:BC1060)</f>
        <v>0</v>
      </c>
    </row>
    <row r="1061" spans="1:56" hidden="1" x14ac:dyDescent="0.3">
      <c r="A1061" s="175" t="str">
        <f ca="1">Language!A$1054</f>
        <v xml:space="preserve">доход </v>
      </c>
      <c r="B1061" s="299">
        <v>0</v>
      </c>
      <c r="C1061" s="176" t="str">
        <f ca="1">CHOOSE(D1061,CurName1,CurName2,CurName3)</f>
        <v>руб.</v>
      </c>
      <c r="D1061" s="174">
        <f>D1058</f>
        <v>1</v>
      </c>
      <c r="E1061" s="170" t="s">
        <v>952</v>
      </c>
      <c r="F1061" s="170" t="s">
        <v>2341</v>
      </c>
      <c r="G1061" s="285">
        <f>$B1061/12*Параметры!G$31*G1062</f>
        <v>0</v>
      </c>
      <c r="H1061" s="285">
        <f>$B1061/12*Параметры!H$31*H1062</f>
        <v>0</v>
      </c>
      <c r="I1061" s="285">
        <f>$B1061/12*Параметры!I$31*I1062</f>
        <v>0</v>
      </c>
      <c r="J1061" s="285">
        <f>$B1061/12*Параметры!J$31*J1062</f>
        <v>0</v>
      </c>
      <c r="K1061" s="285">
        <f>$B1061/12*Параметры!K$31*K1062</f>
        <v>0</v>
      </c>
      <c r="L1061" s="285">
        <f>$B1061/12*Параметры!L$31*L1062</f>
        <v>0</v>
      </c>
      <c r="M1061" s="285">
        <f>$B1061/12*Параметры!M$31*M1062</f>
        <v>0</v>
      </c>
      <c r="N1061" s="285">
        <f>$B1061/12*Параметры!N$31*N1062</f>
        <v>0</v>
      </c>
      <c r="O1061" s="285">
        <f>$B1061/12*Параметры!O$31*O1062</f>
        <v>0</v>
      </c>
      <c r="P1061" s="285">
        <f>$B1061/12*Параметры!P$31*P1062</f>
        <v>0</v>
      </c>
      <c r="Q1061" s="285">
        <f>$B1061/12*Параметры!Q$31*Q1062</f>
        <v>0</v>
      </c>
      <c r="R1061" s="285">
        <f>$B1061/12*Параметры!R$31*R1062</f>
        <v>0</v>
      </c>
      <c r="S1061" s="285">
        <f>$B1061/12*Параметры!S$31*S1062</f>
        <v>0</v>
      </c>
      <c r="T1061" s="285">
        <f>$B1061/12*Параметры!T$31*T1062</f>
        <v>0</v>
      </c>
      <c r="U1061" s="285">
        <f>$B1061/12*Параметры!U$31*U1062</f>
        <v>0</v>
      </c>
      <c r="V1061" s="285">
        <f>$B1061/12*Параметры!V$31*V1062</f>
        <v>0</v>
      </c>
      <c r="W1061" s="285">
        <f>$B1061/12*Параметры!W$31*W1062</f>
        <v>0</v>
      </c>
      <c r="X1061" s="285">
        <f>$B1061/12*Параметры!X$31*X1062</f>
        <v>0</v>
      </c>
      <c r="Y1061" s="285">
        <f>$B1061/12*Параметры!Y$31*Y1062</f>
        <v>0</v>
      </c>
      <c r="Z1061" s="285">
        <f>$B1061/12*Параметры!Z$31*Z1062</f>
        <v>0</v>
      </c>
      <c r="AA1061" s="285">
        <f>$B1061/12*Параметры!AA$31*AA1062</f>
        <v>0</v>
      </c>
      <c r="AB1061" s="285">
        <f>$B1061/12*Параметры!AB$31*AB1062</f>
        <v>0</v>
      </c>
      <c r="AC1061" s="285">
        <f>$B1061/12*Параметры!AC$31*AC1062</f>
        <v>0</v>
      </c>
      <c r="AD1061" s="285">
        <f>$B1061/12*Параметры!AD$31*AD1062</f>
        <v>0</v>
      </c>
      <c r="AE1061" s="285">
        <f>$B1061/12*Параметры!AE$31*AE1062</f>
        <v>0</v>
      </c>
      <c r="AF1061" s="285">
        <f>$B1061/12*Параметры!AF$31*AF1062</f>
        <v>0</v>
      </c>
      <c r="AG1061" s="285">
        <f>$B1061/12*Параметры!AG$31*AG1062</f>
        <v>0</v>
      </c>
      <c r="AH1061" s="285">
        <f>$B1061/12*Параметры!AH$31*AH1062</f>
        <v>0</v>
      </c>
      <c r="AI1061" s="285">
        <f>$B1061/12*Параметры!AI$31*AI1062</f>
        <v>0</v>
      </c>
      <c r="AJ1061" s="285">
        <f>$B1061/12*Параметры!AJ$31*AJ1062</f>
        <v>0</v>
      </c>
      <c r="AK1061" s="285">
        <f>$B1061/12*Параметры!AK$31*AK1062</f>
        <v>0</v>
      </c>
      <c r="AL1061" s="285">
        <f>$B1061/12*Параметры!AL$31*AL1062</f>
        <v>0</v>
      </c>
      <c r="AM1061" s="285">
        <f>$B1061/12*Параметры!AM$31*AM1062</f>
        <v>0</v>
      </c>
      <c r="AN1061" s="285">
        <f>$B1061/12*Параметры!AN$31*AN1062</f>
        <v>0</v>
      </c>
      <c r="AO1061" s="285">
        <f>$B1061/12*Параметры!AO$31*AO1062</f>
        <v>0</v>
      </c>
      <c r="AP1061" s="285">
        <f>$B1061/12*Параметры!AP$31*AP1062</f>
        <v>0</v>
      </c>
      <c r="AQ1061" s="285">
        <f>$B1061/12*Параметры!AQ$31*AQ1062</f>
        <v>0</v>
      </c>
      <c r="AR1061" s="285">
        <f>$B1061/12*Параметры!AR$31*AR1062</f>
        <v>0</v>
      </c>
      <c r="AS1061" s="285">
        <f>$B1061/12*Параметры!AS$31*AS1062</f>
        <v>0</v>
      </c>
      <c r="AT1061" s="285">
        <f>$B1061/12*Параметры!AT$31*AT1062</f>
        <v>0</v>
      </c>
      <c r="AU1061" s="285">
        <f>$B1061/12*Параметры!AU$31*AU1062</f>
        <v>0</v>
      </c>
      <c r="AV1061" s="285">
        <f>$B1061/12*Параметры!AV$31*AV1062</f>
        <v>0</v>
      </c>
      <c r="AW1061" s="285">
        <f>$B1061/12*Параметры!AW$31*AW1062</f>
        <v>0</v>
      </c>
      <c r="AX1061" s="285">
        <f>$B1061/12*Параметры!AX$31*AX1062</f>
        <v>0</v>
      </c>
      <c r="AY1061" s="285">
        <f>$B1061/12*Параметры!AY$31*AY1062</f>
        <v>0</v>
      </c>
      <c r="AZ1061" s="285">
        <f>$B1061/12*Параметры!AZ$31*AZ1062</f>
        <v>0</v>
      </c>
      <c r="BA1061" s="285">
        <f>$B1061/12*Параметры!BA$31*BA1062</f>
        <v>0</v>
      </c>
      <c r="BB1061" s="285">
        <f>$B1061/12*Параметры!BB$31*BB1062</f>
        <v>0</v>
      </c>
      <c r="BC1061" s="177"/>
      <c r="BD1061" s="178">
        <f>SUM(G1061:BC1061)</f>
        <v>0</v>
      </c>
    </row>
    <row r="1062" spans="1:56" hidden="1" x14ac:dyDescent="0.3">
      <c r="A1062" s="175" t="str">
        <f ca="1">Language!A$1055</f>
        <v>финансовые вложения на конец периода</v>
      </c>
      <c r="C1062" s="176" t="str">
        <f ca="1">CHOOSE(D1062,CurName1,CurName2,CurName3)</f>
        <v>руб.</v>
      </c>
      <c r="D1062" s="174">
        <f>D1058</f>
        <v>1</v>
      </c>
      <c r="E1062" s="170" t="s">
        <v>954</v>
      </c>
      <c r="F1062" s="170" t="s">
        <v>775</v>
      </c>
      <c r="G1062" s="177">
        <f t="shared" ref="G1062:K1062" si="4056">G1063+G1059-G1060</f>
        <v>0</v>
      </c>
      <c r="H1062" s="177">
        <f t="shared" si="4056"/>
        <v>0</v>
      </c>
      <c r="I1062" s="177">
        <f t="shared" si="4056"/>
        <v>0</v>
      </c>
      <c r="J1062" s="177">
        <f t="shared" si="4056"/>
        <v>0</v>
      </c>
      <c r="K1062" s="177">
        <f t="shared" si="4056"/>
        <v>0</v>
      </c>
      <c r="L1062" s="177">
        <f t="shared" ref="L1062:M1062" si="4057">L1063+L1059-L1060</f>
        <v>0</v>
      </c>
      <c r="M1062" s="177">
        <f t="shared" si="4057"/>
        <v>0</v>
      </c>
      <c r="N1062" s="177">
        <f t="shared" ref="N1062:O1062" si="4058">N1063+N1059-N1060</f>
        <v>0</v>
      </c>
      <c r="O1062" s="177">
        <f t="shared" si="4058"/>
        <v>0</v>
      </c>
      <c r="P1062" s="177">
        <f t="shared" ref="P1062:Q1062" si="4059">P1063+P1059-P1060</f>
        <v>0</v>
      </c>
      <c r="Q1062" s="177">
        <f t="shared" si="4059"/>
        <v>0</v>
      </c>
      <c r="R1062" s="177">
        <f t="shared" ref="R1062:S1062" si="4060">R1063+R1059-R1060</f>
        <v>0</v>
      </c>
      <c r="S1062" s="177">
        <f t="shared" si="4060"/>
        <v>0</v>
      </c>
      <c r="T1062" s="177">
        <f t="shared" ref="T1062:U1062" si="4061">T1063+T1059-T1060</f>
        <v>0</v>
      </c>
      <c r="U1062" s="177">
        <f t="shared" si="4061"/>
        <v>0</v>
      </c>
      <c r="V1062" s="177">
        <f t="shared" ref="V1062:W1062" si="4062">V1063+V1059-V1060</f>
        <v>0</v>
      </c>
      <c r="W1062" s="177">
        <f t="shared" si="4062"/>
        <v>0</v>
      </c>
      <c r="X1062" s="177">
        <f t="shared" ref="X1062:Y1062" si="4063">X1063+X1059-X1060</f>
        <v>0</v>
      </c>
      <c r="Y1062" s="177">
        <f t="shared" si="4063"/>
        <v>0</v>
      </c>
      <c r="Z1062" s="177">
        <f t="shared" ref="Z1062:AA1062" si="4064">Z1063+Z1059-Z1060</f>
        <v>0</v>
      </c>
      <c r="AA1062" s="177">
        <f t="shared" si="4064"/>
        <v>0</v>
      </c>
      <c r="AB1062" s="177">
        <f t="shared" ref="AB1062:AC1062" si="4065">AB1063+AB1059-AB1060</f>
        <v>0</v>
      </c>
      <c r="AC1062" s="177">
        <f t="shared" si="4065"/>
        <v>0</v>
      </c>
      <c r="AD1062" s="177">
        <f t="shared" ref="AD1062:AE1062" si="4066">AD1063+AD1059-AD1060</f>
        <v>0</v>
      </c>
      <c r="AE1062" s="177">
        <f t="shared" si="4066"/>
        <v>0</v>
      </c>
      <c r="AF1062" s="177">
        <f t="shared" ref="AF1062:AG1062" si="4067">AF1063+AF1059-AF1060</f>
        <v>0</v>
      </c>
      <c r="AG1062" s="177">
        <f t="shared" si="4067"/>
        <v>0</v>
      </c>
      <c r="AH1062" s="177">
        <f t="shared" ref="AH1062:AI1062" si="4068">AH1063+AH1059-AH1060</f>
        <v>0</v>
      </c>
      <c r="AI1062" s="177">
        <f t="shared" si="4068"/>
        <v>0</v>
      </c>
      <c r="AJ1062" s="177">
        <f t="shared" ref="AJ1062:AK1062" si="4069">AJ1063+AJ1059-AJ1060</f>
        <v>0</v>
      </c>
      <c r="AK1062" s="177">
        <f t="shared" si="4069"/>
        <v>0</v>
      </c>
      <c r="AL1062" s="177">
        <f t="shared" ref="AL1062:AM1062" si="4070">AL1063+AL1059-AL1060</f>
        <v>0</v>
      </c>
      <c r="AM1062" s="177">
        <f t="shared" si="4070"/>
        <v>0</v>
      </c>
      <c r="AN1062" s="177">
        <f t="shared" ref="AN1062:AO1062" si="4071">AN1063+AN1059-AN1060</f>
        <v>0</v>
      </c>
      <c r="AO1062" s="177">
        <f t="shared" si="4071"/>
        <v>0</v>
      </c>
      <c r="AP1062" s="177">
        <f t="shared" ref="AP1062:AQ1062" si="4072">AP1063+AP1059-AP1060</f>
        <v>0</v>
      </c>
      <c r="AQ1062" s="177">
        <f t="shared" si="4072"/>
        <v>0</v>
      </c>
      <c r="AR1062" s="177">
        <f t="shared" ref="AR1062:AS1062" si="4073">AR1063+AR1059-AR1060</f>
        <v>0</v>
      </c>
      <c r="AS1062" s="177">
        <f t="shared" si="4073"/>
        <v>0</v>
      </c>
      <c r="AT1062" s="177">
        <f t="shared" ref="AT1062:AU1062" si="4074">AT1063+AT1059-AT1060</f>
        <v>0</v>
      </c>
      <c r="AU1062" s="177">
        <f t="shared" si="4074"/>
        <v>0</v>
      </c>
      <c r="AV1062" s="177">
        <f t="shared" ref="AV1062:AW1062" si="4075">AV1063+AV1059-AV1060</f>
        <v>0</v>
      </c>
      <c r="AW1062" s="177">
        <f t="shared" si="4075"/>
        <v>0</v>
      </c>
      <c r="AX1062" s="177">
        <f t="shared" ref="AX1062:AY1062" si="4076">AX1063+AX1059-AX1060</f>
        <v>0</v>
      </c>
      <c r="AY1062" s="177">
        <f t="shared" si="4076"/>
        <v>0</v>
      </c>
      <c r="AZ1062" s="177">
        <f t="shared" ref="AZ1062:BA1062" si="4077">AZ1063+AZ1059-AZ1060</f>
        <v>0</v>
      </c>
      <c r="BA1062" s="177">
        <f t="shared" si="4077"/>
        <v>0</v>
      </c>
      <c r="BB1062" s="177">
        <f t="shared" ref="BB1062" si="4078">BB1063+BB1059-BB1060</f>
        <v>0</v>
      </c>
      <c r="BC1062" s="177"/>
    </row>
    <row r="1063" spans="1:56" hidden="1" x14ac:dyDescent="0.3">
      <c r="A1063" s="175" t="str">
        <f ca="1">Language!A$1056</f>
        <v>финансовые вложения на начало периода</v>
      </c>
      <c r="C1063" s="176" t="str">
        <f t="shared" ref="C1063" ca="1" si="4079">CHOOSE(D1063,CurName1,CurName2,CurName3)</f>
        <v>руб.</v>
      </c>
      <c r="D1063" s="174">
        <f>D1058</f>
        <v>1</v>
      </c>
      <c r="E1063" s="170" t="s">
        <v>953</v>
      </c>
      <c r="F1063" s="170" t="s">
        <v>776</v>
      </c>
      <c r="G1063" s="177">
        <v>0</v>
      </c>
      <c r="H1063" s="177">
        <f t="shared" ref="H1063:BB1063" si="4080">G1062</f>
        <v>0</v>
      </c>
      <c r="I1063" s="177">
        <f t="shared" si="4080"/>
        <v>0</v>
      </c>
      <c r="J1063" s="177">
        <f t="shared" si="4080"/>
        <v>0</v>
      </c>
      <c r="K1063" s="177">
        <f t="shared" si="4080"/>
        <v>0</v>
      </c>
      <c r="L1063" s="177">
        <f t="shared" si="4080"/>
        <v>0</v>
      </c>
      <c r="M1063" s="177">
        <f t="shared" si="4080"/>
        <v>0</v>
      </c>
      <c r="N1063" s="177">
        <f t="shared" si="4080"/>
        <v>0</v>
      </c>
      <c r="O1063" s="177">
        <f t="shared" si="4080"/>
        <v>0</v>
      </c>
      <c r="P1063" s="177">
        <f t="shared" si="4080"/>
        <v>0</v>
      </c>
      <c r="Q1063" s="177">
        <f t="shared" si="4080"/>
        <v>0</v>
      </c>
      <c r="R1063" s="177">
        <f t="shared" si="4080"/>
        <v>0</v>
      </c>
      <c r="S1063" s="177">
        <f t="shared" si="4080"/>
        <v>0</v>
      </c>
      <c r="T1063" s="177">
        <f t="shared" si="4080"/>
        <v>0</v>
      </c>
      <c r="U1063" s="177">
        <f t="shared" si="4080"/>
        <v>0</v>
      </c>
      <c r="V1063" s="177">
        <f t="shared" si="4080"/>
        <v>0</v>
      </c>
      <c r="W1063" s="177">
        <f t="shared" si="4080"/>
        <v>0</v>
      </c>
      <c r="X1063" s="177">
        <f t="shared" si="4080"/>
        <v>0</v>
      </c>
      <c r="Y1063" s="177">
        <f t="shared" si="4080"/>
        <v>0</v>
      </c>
      <c r="Z1063" s="177">
        <f t="shared" si="4080"/>
        <v>0</v>
      </c>
      <c r="AA1063" s="177">
        <f t="shared" si="4080"/>
        <v>0</v>
      </c>
      <c r="AB1063" s="177">
        <f t="shared" si="4080"/>
        <v>0</v>
      </c>
      <c r="AC1063" s="177">
        <f t="shared" si="4080"/>
        <v>0</v>
      </c>
      <c r="AD1063" s="177">
        <f t="shared" si="4080"/>
        <v>0</v>
      </c>
      <c r="AE1063" s="177">
        <f t="shared" si="4080"/>
        <v>0</v>
      </c>
      <c r="AF1063" s="177">
        <f t="shared" si="4080"/>
        <v>0</v>
      </c>
      <c r="AG1063" s="177">
        <f t="shared" si="4080"/>
        <v>0</v>
      </c>
      <c r="AH1063" s="177">
        <f t="shared" si="4080"/>
        <v>0</v>
      </c>
      <c r="AI1063" s="177">
        <f t="shared" si="4080"/>
        <v>0</v>
      </c>
      <c r="AJ1063" s="177">
        <f t="shared" si="4080"/>
        <v>0</v>
      </c>
      <c r="AK1063" s="177">
        <f t="shared" si="4080"/>
        <v>0</v>
      </c>
      <c r="AL1063" s="177">
        <f t="shared" si="4080"/>
        <v>0</v>
      </c>
      <c r="AM1063" s="177">
        <f t="shared" si="4080"/>
        <v>0</v>
      </c>
      <c r="AN1063" s="177">
        <f t="shared" si="4080"/>
        <v>0</v>
      </c>
      <c r="AO1063" s="177">
        <f t="shared" si="4080"/>
        <v>0</v>
      </c>
      <c r="AP1063" s="177">
        <f t="shared" si="4080"/>
        <v>0</v>
      </c>
      <c r="AQ1063" s="177">
        <f t="shared" si="4080"/>
        <v>0</v>
      </c>
      <c r="AR1063" s="177">
        <f t="shared" si="4080"/>
        <v>0</v>
      </c>
      <c r="AS1063" s="177">
        <f t="shared" si="4080"/>
        <v>0</v>
      </c>
      <c r="AT1063" s="177">
        <f t="shared" si="4080"/>
        <v>0</v>
      </c>
      <c r="AU1063" s="177">
        <f t="shared" si="4080"/>
        <v>0</v>
      </c>
      <c r="AV1063" s="177">
        <f t="shared" si="4080"/>
        <v>0</v>
      </c>
      <c r="AW1063" s="177">
        <f t="shared" si="4080"/>
        <v>0</v>
      </c>
      <c r="AX1063" s="177">
        <f t="shared" si="4080"/>
        <v>0</v>
      </c>
      <c r="AY1063" s="177">
        <f t="shared" si="4080"/>
        <v>0</v>
      </c>
      <c r="AZ1063" s="177">
        <f t="shared" si="4080"/>
        <v>0</v>
      </c>
      <c r="BA1063" s="177">
        <f t="shared" si="4080"/>
        <v>0</v>
      </c>
      <c r="BB1063" s="177">
        <f t="shared" si="4080"/>
        <v>0</v>
      </c>
      <c r="BC1063" s="177"/>
      <c r="BD1063" s="178"/>
    </row>
    <row r="1064" spans="1:56" hidden="1" x14ac:dyDescent="0.3">
      <c r="A1064" s="283" t="str">
        <f ca="1">Language!A$1057</f>
        <v>Шаблон краткосрочных вложений</v>
      </c>
      <c r="C1064" s="176"/>
      <c r="D1064" s="174">
        <v>1</v>
      </c>
      <c r="F1064" s="170" t="s">
        <v>847</v>
      </c>
      <c r="G1064" s="177"/>
      <c r="H1064" s="177"/>
      <c r="I1064" s="177"/>
      <c r="J1064" s="177"/>
      <c r="K1064" s="177"/>
      <c r="L1064" s="177"/>
      <c r="M1064" s="177"/>
      <c r="N1064" s="177"/>
      <c r="O1064" s="177"/>
      <c r="P1064" s="177"/>
      <c r="Q1064" s="177"/>
      <c r="R1064" s="177"/>
      <c r="S1064" s="177"/>
      <c r="T1064" s="177"/>
      <c r="U1064" s="177"/>
      <c r="V1064" s="177"/>
      <c r="W1064" s="177"/>
      <c r="X1064" s="177"/>
      <c r="Y1064" s="177"/>
      <c r="Z1064" s="177"/>
      <c r="AA1064" s="177"/>
      <c r="AB1064" s="177"/>
      <c r="AC1064" s="177"/>
      <c r="AD1064" s="177"/>
      <c r="AE1064" s="177"/>
      <c r="AF1064" s="177"/>
      <c r="AG1064" s="177"/>
      <c r="AH1064" s="177"/>
      <c r="AI1064" s="177"/>
      <c r="AJ1064" s="177"/>
      <c r="AK1064" s="177"/>
      <c r="AL1064" s="177"/>
      <c r="AM1064" s="177"/>
      <c r="AN1064" s="177"/>
      <c r="AO1064" s="177"/>
      <c r="AP1064" s="177"/>
      <c r="AQ1064" s="177"/>
      <c r="AR1064" s="177"/>
      <c r="AS1064" s="177"/>
      <c r="AT1064" s="177"/>
      <c r="AU1064" s="177"/>
      <c r="AV1064" s="177"/>
      <c r="AW1064" s="177"/>
      <c r="AX1064" s="177"/>
      <c r="AY1064" s="177"/>
      <c r="AZ1064" s="177"/>
      <c r="BA1064" s="177"/>
      <c r="BB1064" s="177"/>
      <c r="BC1064" s="177"/>
      <c r="BD1064" s="178"/>
    </row>
    <row r="1065" spans="1:56" hidden="1" x14ac:dyDescent="0.3">
      <c r="A1065" s="175" t="str">
        <f ca="1">Language!A$1058</f>
        <v>увеличение финансовых вложений</v>
      </c>
      <c r="C1065" s="176" t="str">
        <f ca="1">CHOOSE(D1065,CurName1,CurName2,CurName3)</f>
        <v>руб.</v>
      </c>
      <c r="D1065" s="174">
        <f>D1064</f>
        <v>1</v>
      </c>
      <c r="E1065" s="170" t="s">
        <v>950</v>
      </c>
      <c r="F1065" s="170" t="s">
        <v>742</v>
      </c>
      <c r="G1065" s="297">
        <v>0</v>
      </c>
      <c r="H1065" s="297">
        <v>0</v>
      </c>
      <c r="I1065" s="297">
        <v>0</v>
      </c>
      <c r="J1065" s="297">
        <v>0</v>
      </c>
      <c r="K1065" s="297">
        <v>0</v>
      </c>
      <c r="L1065" s="297">
        <v>0</v>
      </c>
      <c r="M1065" s="297">
        <v>0</v>
      </c>
      <c r="N1065" s="297">
        <v>0</v>
      </c>
      <c r="O1065" s="297">
        <v>0</v>
      </c>
      <c r="P1065" s="297">
        <v>0</v>
      </c>
      <c r="Q1065" s="297">
        <v>0</v>
      </c>
      <c r="R1065" s="297">
        <v>0</v>
      </c>
      <c r="S1065" s="297">
        <v>0</v>
      </c>
      <c r="T1065" s="297">
        <v>0</v>
      </c>
      <c r="U1065" s="297">
        <v>0</v>
      </c>
      <c r="V1065" s="297">
        <v>0</v>
      </c>
      <c r="W1065" s="297">
        <v>0</v>
      </c>
      <c r="X1065" s="297">
        <v>0</v>
      </c>
      <c r="Y1065" s="297">
        <v>0</v>
      </c>
      <c r="Z1065" s="297">
        <v>0</v>
      </c>
      <c r="AA1065" s="297">
        <v>0</v>
      </c>
      <c r="AB1065" s="297">
        <v>0</v>
      </c>
      <c r="AC1065" s="297">
        <v>0</v>
      </c>
      <c r="AD1065" s="297">
        <v>0</v>
      </c>
      <c r="AE1065" s="297">
        <v>0</v>
      </c>
      <c r="AF1065" s="297">
        <v>0</v>
      </c>
      <c r="AG1065" s="297">
        <v>0</v>
      </c>
      <c r="AH1065" s="297">
        <v>0</v>
      </c>
      <c r="AI1065" s="297">
        <v>0</v>
      </c>
      <c r="AJ1065" s="297">
        <v>0</v>
      </c>
      <c r="AK1065" s="297">
        <v>0</v>
      </c>
      <c r="AL1065" s="297">
        <v>0</v>
      </c>
      <c r="AM1065" s="297">
        <v>0</v>
      </c>
      <c r="AN1065" s="297">
        <v>0</v>
      </c>
      <c r="AO1065" s="297">
        <v>0</v>
      </c>
      <c r="AP1065" s="297">
        <v>0</v>
      </c>
      <c r="AQ1065" s="297">
        <v>0</v>
      </c>
      <c r="AR1065" s="297">
        <v>0</v>
      </c>
      <c r="AS1065" s="297">
        <v>0</v>
      </c>
      <c r="AT1065" s="297">
        <v>0</v>
      </c>
      <c r="AU1065" s="297">
        <v>0</v>
      </c>
      <c r="AV1065" s="297">
        <v>0</v>
      </c>
      <c r="AW1065" s="297">
        <v>0</v>
      </c>
      <c r="AX1065" s="297">
        <v>0</v>
      </c>
      <c r="AY1065" s="297">
        <v>0</v>
      </c>
      <c r="AZ1065" s="297">
        <v>0</v>
      </c>
      <c r="BA1065" s="297">
        <v>0</v>
      </c>
      <c r="BB1065" s="297">
        <v>0</v>
      </c>
      <c r="BC1065" s="177"/>
      <c r="BD1065" s="178">
        <f>SUM(G1065:BC1065)</f>
        <v>0</v>
      </c>
    </row>
    <row r="1066" spans="1:56" hidden="1" x14ac:dyDescent="0.3">
      <c r="A1066" s="175" t="str">
        <f ca="1">Language!A$1059</f>
        <v>снижение финансовых вложений (возврат)</v>
      </c>
      <c r="C1066" s="176" t="str">
        <f ca="1">CHOOSE(D1066,CurName1,CurName2,CurName3)</f>
        <v>руб.</v>
      </c>
      <c r="D1066" s="174">
        <f>D1064</f>
        <v>1</v>
      </c>
      <c r="E1066" s="170" t="s">
        <v>951</v>
      </c>
      <c r="F1066" s="170" t="s">
        <v>742</v>
      </c>
      <c r="G1066" s="297">
        <v>0</v>
      </c>
      <c r="H1066" s="297">
        <v>0</v>
      </c>
      <c r="I1066" s="297">
        <v>0</v>
      </c>
      <c r="J1066" s="297">
        <v>0</v>
      </c>
      <c r="K1066" s="297">
        <v>0</v>
      </c>
      <c r="L1066" s="297">
        <v>0</v>
      </c>
      <c r="M1066" s="297">
        <v>0</v>
      </c>
      <c r="N1066" s="297">
        <v>0</v>
      </c>
      <c r="O1066" s="297">
        <v>0</v>
      </c>
      <c r="P1066" s="297">
        <v>0</v>
      </c>
      <c r="Q1066" s="297">
        <v>0</v>
      </c>
      <c r="R1066" s="297">
        <v>0</v>
      </c>
      <c r="S1066" s="297">
        <v>0</v>
      </c>
      <c r="T1066" s="297">
        <v>0</v>
      </c>
      <c r="U1066" s="297">
        <v>0</v>
      </c>
      <c r="V1066" s="297">
        <v>0</v>
      </c>
      <c r="W1066" s="297">
        <v>0</v>
      </c>
      <c r="X1066" s="297">
        <v>0</v>
      </c>
      <c r="Y1066" s="297">
        <v>0</v>
      </c>
      <c r="Z1066" s="297">
        <v>0</v>
      </c>
      <c r="AA1066" s="297">
        <v>0</v>
      </c>
      <c r="AB1066" s="297">
        <v>0</v>
      </c>
      <c r="AC1066" s="297">
        <v>0</v>
      </c>
      <c r="AD1066" s="297">
        <v>0</v>
      </c>
      <c r="AE1066" s="297">
        <v>0</v>
      </c>
      <c r="AF1066" s="297">
        <v>0</v>
      </c>
      <c r="AG1066" s="297">
        <v>0</v>
      </c>
      <c r="AH1066" s="297">
        <v>0</v>
      </c>
      <c r="AI1066" s="297">
        <v>0</v>
      </c>
      <c r="AJ1066" s="297">
        <v>0</v>
      </c>
      <c r="AK1066" s="297">
        <v>0</v>
      </c>
      <c r="AL1066" s="297">
        <v>0</v>
      </c>
      <c r="AM1066" s="297">
        <v>0</v>
      </c>
      <c r="AN1066" s="297">
        <v>0</v>
      </c>
      <c r="AO1066" s="297">
        <v>0</v>
      </c>
      <c r="AP1066" s="297">
        <v>0</v>
      </c>
      <c r="AQ1066" s="297">
        <v>0</v>
      </c>
      <c r="AR1066" s="297">
        <v>0</v>
      </c>
      <c r="AS1066" s="297">
        <v>0</v>
      </c>
      <c r="AT1066" s="297">
        <v>0</v>
      </c>
      <c r="AU1066" s="297">
        <v>0</v>
      </c>
      <c r="AV1066" s="297">
        <v>0</v>
      </c>
      <c r="AW1066" s="297">
        <v>0</v>
      </c>
      <c r="AX1066" s="297">
        <v>0</v>
      </c>
      <c r="AY1066" s="297">
        <v>0</v>
      </c>
      <c r="AZ1066" s="297">
        <v>0</v>
      </c>
      <c r="BA1066" s="297">
        <v>0</v>
      </c>
      <c r="BB1066" s="297">
        <v>0</v>
      </c>
      <c r="BC1066" s="177"/>
      <c r="BD1066" s="178">
        <f>SUM(G1066:BC1066)</f>
        <v>0</v>
      </c>
    </row>
    <row r="1067" spans="1:56" hidden="1" x14ac:dyDescent="0.3">
      <c r="A1067" s="175" t="str">
        <f ca="1">Language!A$1060</f>
        <v xml:space="preserve">доход </v>
      </c>
      <c r="B1067" s="299">
        <v>0</v>
      </c>
      <c r="C1067" s="176" t="str">
        <f ca="1">CHOOSE(D1067,CurName1,CurName2,CurName3)</f>
        <v>руб.</v>
      </c>
      <c r="D1067" s="174">
        <f>D1064</f>
        <v>1</v>
      </c>
      <c r="E1067" s="170" t="s">
        <v>952</v>
      </c>
      <c r="F1067" s="170" t="s">
        <v>2341</v>
      </c>
      <c r="G1067" s="285">
        <f>$B1067/12*Параметры!G$31*G1068</f>
        <v>0</v>
      </c>
      <c r="H1067" s="285">
        <f>$B1067/12*Параметры!H$31*H1068</f>
        <v>0</v>
      </c>
      <c r="I1067" s="285">
        <f>$B1067/12*Параметры!I$31*I1068</f>
        <v>0</v>
      </c>
      <c r="J1067" s="285">
        <f>$B1067/12*Параметры!J$31*J1068</f>
        <v>0</v>
      </c>
      <c r="K1067" s="285">
        <f>$B1067/12*Параметры!K$31*K1068</f>
        <v>0</v>
      </c>
      <c r="L1067" s="285">
        <f>$B1067/12*Параметры!L$31*L1068</f>
        <v>0</v>
      </c>
      <c r="M1067" s="285">
        <f>$B1067/12*Параметры!M$31*M1068</f>
        <v>0</v>
      </c>
      <c r="N1067" s="285">
        <f>$B1067/12*Параметры!N$31*N1068</f>
        <v>0</v>
      </c>
      <c r="O1067" s="285">
        <f>$B1067/12*Параметры!O$31*O1068</f>
        <v>0</v>
      </c>
      <c r="P1067" s="285">
        <f>$B1067/12*Параметры!P$31*P1068</f>
        <v>0</v>
      </c>
      <c r="Q1067" s="285">
        <f>$B1067/12*Параметры!Q$31*Q1068</f>
        <v>0</v>
      </c>
      <c r="R1067" s="285">
        <f>$B1067/12*Параметры!R$31*R1068</f>
        <v>0</v>
      </c>
      <c r="S1067" s="285">
        <f>$B1067/12*Параметры!S$31*S1068</f>
        <v>0</v>
      </c>
      <c r="T1067" s="285">
        <f>$B1067/12*Параметры!T$31*T1068</f>
        <v>0</v>
      </c>
      <c r="U1067" s="285">
        <f>$B1067/12*Параметры!U$31*U1068</f>
        <v>0</v>
      </c>
      <c r="V1067" s="285">
        <f>$B1067/12*Параметры!V$31*V1068</f>
        <v>0</v>
      </c>
      <c r="W1067" s="285">
        <f>$B1067/12*Параметры!W$31*W1068</f>
        <v>0</v>
      </c>
      <c r="X1067" s="285">
        <f>$B1067/12*Параметры!X$31*X1068</f>
        <v>0</v>
      </c>
      <c r="Y1067" s="285">
        <f>$B1067/12*Параметры!Y$31*Y1068</f>
        <v>0</v>
      </c>
      <c r="Z1067" s="285">
        <f>$B1067/12*Параметры!Z$31*Z1068</f>
        <v>0</v>
      </c>
      <c r="AA1067" s="285">
        <f>$B1067/12*Параметры!AA$31*AA1068</f>
        <v>0</v>
      </c>
      <c r="AB1067" s="285">
        <f>$B1067/12*Параметры!AB$31*AB1068</f>
        <v>0</v>
      </c>
      <c r="AC1067" s="285">
        <f>$B1067/12*Параметры!AC$31*AC1068</f>
        <v>0</v>
      </c>
      <c r="AD1067" s="285">
        <f>$B1067/12*Параметры!AD$31*AD1068</f>
        <v>0</v>
      </c>
      <c r="AE1067" s="285">
        <f>$B1067/12*Параметры!AE$31*AE1068</f>
        <v>0</v>
      </c>
      <c r="AF1067" s="285">
        <f>$B1067/12*Параметры!AF$31*AF1068</f>
        <v>0</v>
      </c>
      <c r="AG1067" s="285">
        <f>$B1067/12*Параметры!AG$31*AG1068</f>
        <v>0</v>
      </c>
      <c r="AH1067" s="285">
        <f>$B1067/12*Параметры!AH$31*AH1068</f>
        <v>0</v>
      </c>
      <c r="AI1067" s="285">
        <f>$B1067/12*Параметры!AI$31*AI1068</f>
        <v>0</v>
      </c>
      <c r="AJ1067" s="285">
        <f>$B1067/12*Параметры!AJ$31*AJ1068</f>
        <v>0</v>
      </c>
      <c r="AK1067" s="285">
        <f>$B1067/12*Параметры!AK$31*AK1068</f>
        <v>0</v>
      </c>
      <c r="AL1067" s="285">
        <f>$B1067/12*Параметры!AL$31*AL1068</f>
        <v>0</v>
      </c>
      <c r="AM1067" s="285">
        <f>$B1067/12*Параметры!AM$31*AM1068</f>
        <v>0</v>
      </c>
      <c r="AN1067" s="285">
        <f>$B1067/12*Параметры!AN$31*AN1068</f>
        <v>0</v>
      </c>
      <c r="AO1067" s="285">
        <f>$B1067/12*Параметры!AO$31*AO1068</f>
        <v>0</v>
      </c>
      <c r="AP1067" s="285">
        <f>$B1067/12*Параметры!AP$31*AP1068</f>
        <v>0</v>
      </c>
      <c r="AQ1067" s="285">
        <f>$B1067/12*Параметры!AQ$31*AQ1068</f>
        <v>0</v>
      </c>
      <c r="AR1067" s="285">
        <f>$B1067/12*Параметры!AR$31*AR1068</f>
        <v>0</v>
      </c>
      <c r="AS1067" s="285">
        <f>$B1067/12*Параметры!AS$31*AS1068</f>
        <v>0</v>
      </c>
      <c r="AT1067" s="285">
        <f>$B1067/12*Параметры!AT$31*AT1068</f>
        <v>0</v>
      </c>
      <c r="AU1067" s="285">
        <f>$B1067/12*Параметры!AU$31*AU1068</f>
        <v>0</v>
      </c>
      <c r="AV1067" s="285">
        <f>$B1067/12*Параметры!AV$31*AV1068</f>
        <v>0</v>
      </c>
      <c r="AW1067" s="285">
        <f>$B1067/12*Параметры!AW$31*AW1068</f>
        <v>0</v>
      </c>
      <c r="AX1067" s="285">
        <f>$B1067/12*Параметры!AX$31*AX1068</f>
        <v>0</v>
      </c>
      <c r="AY1067" s="285">
        <f>$B1067/12*Параметры!AY$31*AY1068</f>
        <v>0</v>
      </c>
      <c r="AZ1067" s="285">
        <f>$B1067/12*Параметры!AZ$31*AZ1068</f>
        <v>0</v>
      </c>
      <c r="BA1067" s="285">
        <f>$B1067/12*Параметры!BA$31*BA1068</f>
        <v>0</v>
      </c>
      <c r="BB1067" s="285">
        <f>$B1067/12*Параметры!BB$31*BB1068</f>
        <v>0</v>
      </c>
      <c r="BC1067" s="177"/>
      <c r="BD1067" s="178">
        <f>SUM(G1067:BC1067)</f>
        <v>0</v>
      </c>
    </row>
    <row r="1068" spans="1:56" hidden="1" x14ac:dyDescent="0.3">
      <c r="A1068" s="175" t="str">
        <f ca="1">Language!A$1061</f>
        <v>финансовые вложения на конец периода</v>
      </c>
      <c r="C1068" s="176" t="str">
        <f ca="1">CHOOSE(D1068,CurName1,CurName2,CurName3)</f>
        <v>руб.</v>
      </c>
      <c r="D1068" s="174">
        <f>D1064</f>
        <v>1</v>
      </c>
      <c r="E1068" s="170" t="s">
        <v>954</v>
      </c>
      <c r="F1068" s="170" t="s">
        <v>775</v>
      </c>
      <c r="G1068" s="177">
        <f t="shared" ref="G1068:K1068" si="4081">G1069+G1065-G1066</f>
        <v>0</v>
      </c>
      <c r="H1068" s="177">
        <f t="shared" si="4081"/>
        <v>0</v>
      </c>
      <c r="I1068" s="177">
        <f t="shared" si="4081"/>
        <v>0</v>
      </c>
      <c r="J1068" s="177">
        <f t="shared" si="4081"/>
        <v>0</v>
      </c>
      <c r="K1068" s="177">
        <f t="shared" si="4081"/>
        <v>0</v>
      </c>
      <c r="L1068" s="177">
        <f t="shared" ref="L1068:M1068" si="4082">L1069+L1065-L1066</f>
        <v>0</v>
      </c>
      <c r="M1068" s="177">
        <f t="shared" si="4082"/>
        <v>0</v>
      </c>
      <c r="N1068" s="177">
        <f t="shared" ref="N1068:O1068" si="4083">N1069+N1065-N1066</f>
        <v>0</v>
      </c>
      <c r="O1068" s="177">
        <f t="shared" si="4083"/>
        <v>0</v>
      </c>
      <c r="P1068" s="177">
        <f t="shared" ref="P1068:Q1068" si="4084">P1069+P1065-P1066</f>
        <v>0</v>
      </c>
      <c r="Q1068" s="177">
        <f t="shared" si="4084"/>
        <v>0</v>
      </c>
      <c r="R1068" s="177">
        <f t="shared" ref="R1068:S1068" si="4085">R1069+R1065-R1066</f>
        <v>0</v>
      </c>
      <c r="S1068" s="177">
        <f t="shared" si="4085"/>
        <v>0</v>
      </c>
      <c r="T1068" s="177">
        <f t="shared" ref="T1068:U1068" si="4086">T1069+T1065-T1066</f>
        <v>0</v>
      </c>
      <c r="U1068" s="177">
        <f t="shared" si="4086"/>
        <v>0</v>
      </c>
      <c r="V1068" s="177">
        <f t="shared" ref="V1068:W1068" si="4087">V1069+V1065-V1066</f>
        <v>0</v>
      </c>
      <c r="W1068" s="177">
        <f t="shared" si="4087"/>
        <v>0</v>
      </c>
      <c r="X1068" s="177">
        <f t="shared" ref="X1068:Y1068" si="4088">X1069+X1065-X1066</f>
        <v>0</v>
      </c>
      <c r="Y1068" s="177">
        <f t="shared" si="4088"/>
        <v>0</v>
      </c>
      <c r="Z1068" s="177">
        <f t="shared" ref="Z1068:AA1068" si="4089">Z1069+Z1065-Z1066</f>
        <v>0</v>
      </c>
      <c r="AA1068" s="177">
        <f t="shared" si="4089"/>
        <v>0</v>
      </c>
      <c r="AB1068" s="177">
        <f t="shared" ref="AB1068:AC1068" si="4090">AB1069+AB1065-AB1066</f>
        <v>0</v>
      </c>
      <c r="AC1068" s="177">
        <f t="shared" si="4090"/>
        <v>0</v>
      </c>
      <c r="AD1068" s="177">
        <f t="shared" ref="AD1068:AE1068" si="4091">AD1069+AD1065-AD1066</f>
        <v>0</v>
      </c>
      <c r="AE1068" s="177">
        <f t="shared" si="4091"/>
        <v>0</v>
      </c>
      <c r="AF1068" s="177">
        <f t="shared" ref="AF1068:AG1068" si="4092">AF1069+AF1065-AF1066</f>
        <v>0</v>
      </c>
      <c r="AG1068" s="177">
        <f t="shared" si="4092"/>
        <v>0</v>
      </c>
      <c r="AH1068" s="177">
        <f t="shared" ref="AH1068:AI1068" si="4093">AH1069+AH1065-AH1066</f>
        <v>0</v>
      </c>
      <c r="AI1068" s="177">
        <f t="shared" si="4093"/>
        <v>0</v>
      </c>
      <c r="AJ1068" s="177">
        <f t="shared" ref="AJ1068:AK1068" si="4094">AJ1069+AJ1065-AJ1066</f>
        <v>0</v>
      </c>
      <c r="AK1068" s="177">
        <f t="shared" si="4094"/>
        <v>0</v>
      </c>
      <c r="AL1068" s="177">
        <f t="shared" ref="AL1068:AM1068" si="4095">AL1069+AL1065-AL1066</f>
        <v>0</v>
      </c>
      <c r="AM1068" s="177">
        <f t="shared" si="4095"/>
        <v>0</v>
      </c>
      <c r="AN1068" s="177">
        <f t="shared" ref="AN1068:AO1068" si="4096">AN1069+AN1065-AN1066</f>
        <v>0</v>
      </c>
      <c r="AO1068" s="177">
        <f t="shared" si="4096"/>
        <v>0</v>
      </c>
      <c r="AP1068" s="177">
        <f t="shared" ref="AP1068:AQ1068" si="4097">AP1069+AP1065-AP1066</f>
        <v>0</v>
      </c>
      <c r="AQ1068" s="177">
        <f t="shared" si="4097"/>
        <v>0</v>
      </c>
      <c r="AR1068" s="177">
        <f t="shared" ref="AR1068:AS1068" si="4098">AR1069+AR1065-AR1066</f>
        <v>0</v>
      </c>
      <c r="AS1068" s="177">
        <f t="shared" si="4098"/>
        <v>0</v>
      </c>
      <c r="AT1068" s="177">
        <f t="shared" ref="AT1068:AU1068" si="4099">AT1069+AT1065-AT1066</f>
        <v>0</v>
      </c>
      <c r="AU1068" s="177">
        <f t="shared" si="4099"/>
        <v>0</v>
      </c>
      <c r="AV1068" s="177">
        <f t="shared" ref="AV1068:AW1068" si="4100">AV1069+AV1065-AV1066</f>
        <v>0</v>
      </c>
      <c r="AW1068" s="177">
        <f t="shared" si="4100"/>
        <v>0</v>
      </c>
      <c r="AX1068" s="177">
        <f t="shared" ref="AX1068:AY1068" si="4101">AX1069+AX1065-AX1066</f>
        <v>0</v>
      </c>
      <c r="AY1068" s="177">
        <f t="shared" si="4101"/>
        <v>0</v>
      </c>
      <c r="AZ1068" s="177">
        <f t="shared" ref="AZ1068:BA1068" si="4102">AZ1069+AZ1065-AZ1066</f>
        <v>0</v>
      </c>
      <c r="BA1068" s="177">
        <f t="shared" si="4102"/>
        <v>0</v>
      </c>
      <c r="BB1068" s="177">
        <f t="shared" ref="BB1068" si="4103">BB1069+BB1065-BB1066</f>
        <v>0</v>
      </c>
      <c r="BC1068" s="177"/>
    </row>
    <row r="1069" spans="1:56" hidden="1" x14ac:dyDescent="0.3">
      <c r="A1069" s="175" t="str">
        <f ca="1">Language!A$1062</f>
        <v>финансовые вложения на начало периода</v>
      </c>
      <c r="C1069" s="176" t="str">
        <f t="shared" ref="C1069" ca="1" si="4104">CHOOSE(D1069,CurName1,CurName2,CurName3)</f>
        <v>руб.</v>
      </c>
      <c r="D1069" s="174">
        <f>D1064</f>
        <v>1</v>
      </c>
      <c r="E1069" s="170" t="s">
        <v>953</v>
      </c>
      <c r="F1069" s="170" t="s">
        <v>776</v>
      </c>
      <c r="G1069" s="177">
        <v>0</v>
      </c>
      <c r="H1069" s="177">
        <f t="shared" ref="H1069:BB1069" si="4105">G1068</f>
        <v>0</v>
      </c>
      <c r="I1069" s="177">
        <f t="shared" si="4105"/>
        <v>0</v>
      </c>
      <c r="J1069" s="177">
        <f t="shared" si="4105"/>
        <v>0</v>
      </c>
      <c r="K1069" s="177">
        <f t="shared" si="4105"/>
        <v>0</v>
      </c>
      <c r="L1069" s="177">
        <f t="shared" si="4105"/>
        <v>0</v>
      </c>
      <c r="M1069" s="177">
        <f t="shared" si="4105"/>
        <v>0</v>
      </c>
      <c r="N1069" s="177">
        <f t="shared" si="4105"/>
        <v>0</v>
      </c>
      <c r="O1069" s="177">
        <f t="shared" si="4105"/>
        <v>0</v>
      </c>
      <c r="P1069" s="177">
        <f t="shared" si="4105"/>
        <v>0</v>
      </c>
      <c r="Q1069" s="177">
        <f t="shared" si="4105"/>
        <v>0</v>
      </c>
      <c r="R1069" s="177">
        <f t="shared" si="4105"/>
        <v>0</v>
      </c>
      <c r="S1069" s="177">
        <f t="shared" si="4105"/>
        <v>0</v>
      </c>
      <c r="T1069" s="177">
        <f t="shared" si="4105"/>
        <v>0</v>
      </c>
      <c r="U1069" s="177">
        <f t="shared" si="4105"/>
        <v>0</v>
      </c>
      <c r="V1069" s="177">
        <f t="shared" si="4105"/>
        <v>0</v>
      </c>
      <c r="W1069" s="177">
        <f t="shared" si="4105"/>
        <v>0</v>
      </c>
      <c r="X1069" s="177">
        <f t="shared" si="4105"/>
        <v>0</v>
      </c>
      <c r="Y1069" s="177">
        <f t="shared" si="4105"/>
        <v>0</v>
      </c>
      <c r="Z1069" s="177">
        <f t="shared" si="4105"/>
        <v>0</v>
      </c>
      <c r="AA1069" s="177">
        <f t="shared" si="4105"/>
        <v>0</v>
      </c>
      <c r="AB1069" s="177">
        <f t="shared" si="4105"/>
        <v>0</v>
      </c>
      <c r="AC1069" s="177">
        <f t="shared" si="4105"/>
        <v>0</v>
      </c>
      <c r="AD1069" s="177">
        <f t="shared" si="4105"/>
        <v>0</v>
      </c>
      <c r="AE1069" s="177">
        <f t="shared" si="4105"/>
        <v>0</v>
      </c>
      <c r="AF1069" s="177">
        <f t="shared" si="4105"/>
        <v>0</v>
      </c>
      <c r="AG1069" s="177">
        <f t="shared" si="4105"/>
        <v>0</v>
      </c>
      <c r="AH1069" s="177">
        <f t="shared" si="4105"/>
        <v>0</v>
      </c>
      <c r="AI1069" s="177">
        <f t="shared" si="4105"/>
        <v>0</v>
      </c>
      <c r="AJ1069" s="177">
        <f t="shared" si="4105"/>
        <v>0</v>
      </c>
      <c r="AK1069" s="177">
        <f t="shared" si="4105"/>
        <v>0</v>
      </c>
      <c r="AL1069" s="177">
        <f t="shared" si="4105"/>
        <v>0</v>
      </c>
      <c r="AM1069" s="177">
        <f t="shared" si="4105"/>
        <v>0</v>
      </c>
      <c r="AN1069" s="177">
        <f t="shared" si="4105"/>
        <v>0</v>
      </c>
      <c r="AO1069" s="177">
        <f t="shared" si="4105"/>
        <v>0</v>
      </c>
      <c r="AP1069" s="177">
        <f t="shared" si="4105"/>
        <v>0</v>
      </c>
      <c r="AQ1069" s="177">
        <f t="shared" si="4105"/>
        <v>0</v>
      </c>
      <c r="AR1069" s="177">
        <f t="shared" si="4105"/>
        <v>0</v>
      </c>
      <c r="AS1069" s="177">
        <f t="shared" si="4105"/>
        <v>0</v>
      </c>
      <c r="AT1069" s="177">
        <f t="shared" si="4105"/>
        <v>0</v>
      </c>
      <c r="AU1069" s="177">
        <f t="shared" si="4105"/>
        <v>0</v>
      </c>
      <c r="AV1069" s="177">
        <f t="shared" si="4105"/>
        <v>0</v>
      </c>
      <c r="AW1069" s="177">
        <f t="shared" si="4105"/>
        <v>0</v>
      </c>
      <c r="AX1069" s="177">
        <f t="shared" si="4105"/>
        <v>0</v>
      </c>
      <c r="AY1069" s="177">
        <f t="shared" si="4105"/>
        <v>0</v>
      </c>
      <c r="AZ1069" s="177">
        <f t="shared" si="4105"/>
        <v>0</v>
      </c>
      <c r="BA1069" s="177">
        <f t="shared" si="4105"/>
        <v>0</v>
      </c>
      <c r="BB1069" s="177">
        <f t="shared" si="4105"/>
        <v>0</v>
      </c>
      <c r="BC1069" s="177"/>
      <c r="BD1069" s="178"/>
    </row>
    <row r="1070" spans="1:56" hidden="1" x14ac:dyDescent="0.3"/>
    <row r="1071" spans="1:56" hidden="1" x14ac:dyDescent="0.3">
      <c r="A1071" s="207" t="str">
        <f ca="1">Language!A$1063</f>
        <v>Долгосрочные вложения</v>
      </c>
      <c r="B1071" s="196"/>
      <c r="C1071" s="196"/>
      <c r="D1071" s="197"/>
      <c r="E1071" s="197" t="s">
        <v>715</v>
      </c>
      <c r="F1071" s="197" t="s">
        <v>2217</v>
      </c>
      <c r="G1071" s="196"/>
      <c r="H1071" s="196"/>
      <c r="I1071" s="196"/>
      <c r="J1071" s="196"/>
      <c r="K1071" s="196"/>
      <c r="L1071" s="196"/>
      <c r="M1071" s="196"/>
      <c r="N1071" s="196"/>
      <c r="O1071" s="196"/>
      <c r="P1071" s="196"/>
      <c r="Q1071" s="196"/>
      <c r="R1071" s="196"/>
      <c r="S1071" s="196"/>
      <c r="T1071" s="196"/>
      <c r="U1071" s="196"/>
      <c r="V1071" s="196"/>
      <c r="W1071" s="196"/>
      <c r="X1071" s="196"/>
      <c r="Y1071" s="196"/>
      <c r="Z1071" s="196"/>
      <c r="AA1071" s="196"/>
      <c r="AB1071" s="196"/>
      <c r="AC1071" s="196"/>
      <c r="AD1071" s="196"/>
      <c r="AE1071" s="196"/>
      <c r="AF1071" s="196"/>
      <c r="AG1071" s="196"/>
      <c r="AH1071" s="196"/>
      <c r="AI1071" s="196"/>
      <c r="AJ1071" s="196"/>
      <c r="AK1071" s="196"/>
      <c r="AL1071" s="196"/>
      <c r="AM1071" s="196"/>
      <c r="AN1071" s="196"/>
      <c r="AO1071" s="196"/>
      <c r="AP1071" s="196"/>
      <c r="AQ1071" s="196"/>
      <c r="AR1071" s="196"/>
      <c r="AS1071" s="196"/>
      <c r="AT1071" s="196"/>
      <c r="AU1071" s="196"/>
      <c r="AV1071" s="196"/>
      <c r="AW1071" s="196"/>
      <c r="AX1071" s="196"/>
      <c r="AY1071" s="196"/>
      <c r="AZ1071" s="196"/>
      <c r="BA1071" s="196"/>
      <c r="BB1071" s="196"/>
      <c r="BC1071" s="196"/>
      <c r="BD1071" s="204"/>
    </row>
    <row r="1072" spans="1:56" hidden="1" x14ac:dyDescent="0.3"/>
    <row r="1073" spans="1:56" hidden="1" x14ac:dyDescent="0.3"/>
    <row r="1074" spans="1:56" hidden="1" x14ac:dyDescent="0.3">
      <c r="A1074" s="207" t="str">
        <f ca="1">Language!A$1064</f>
        <v>Краткосрочные вложения</v>
      </c>
      <c r="B1074" s="196"/>
      <c r="C1074" s="196"/>
      <c r="D1074" s="197"/>
      <c r="E1074" s="197" t="s">
        <v>716</v>
      </c>
      <c r="F1074" s="197" t="s">
        <v>2218</v>
      </c>
      <c r="G1074" s="196"/>
      <c r="H1074" s="196"/>
      <c r="I1074" s="196"/>
      <c r="J1074" s="196"/>
      <c r="K1074" s="196"/>
      <c r="L1074" s="196"/>
      <c r="M1074" s="196"/>
      <c r="N1074" s="196"/>
      <c r="O1074" s="196"/>
      <c r="P1074" s="196"/>
      <c r="Q1074" s="196"/>
      <c r="R1074" s="196"/>
      <c r="S1074" s="196"/>
      <c r="T1074" s="196"/>
      <c r="U1074" s="196"/>
      <c r="V1074" s="196"/>
      <c r="W1074" s="196"/>
      <c r="X1074" s="196"/>
      <c r="Y1074" s="196"/>
      <c r="Z1074" s="196"/>
      <c r="AA1074" s="196"/>
      <c r="AB1074" s="196"/>
      <c r="AC1074" s="196"/>
      <c r="AD1074" s="196"/>
      <c r="AE1074" s="196"/>
      <c r="AF1074" s="196"/>
      <c r="AG1074" s="196"/>
      <c r="AH1074" s="196"/>
      <c r="AI1074" s="196"/>
      <c r="AJ1074" s="196"/>
      <c r="AK1074" s="196"/>
      <c r="AL1074" s="196"/>
      <c r="AM1074" s="196"/>
      <c r="AN1074" s="196"/>
      <c r="AO1074" s="196"/>
      <c r="AP1074" s="196"/>
      <c r="AQ1074" s="196"/>
      <c r="AR1074" s="196"/>
      <c r="AS1074" s="196"/>
      <c r="AT1074" s="196"/>
      <c r="AU1074" s="196"/>
      <c r="AV1074" s="196"/>
      <c r="AW1074" s="196"/>
      <c r="AX1074" s="196"/>
      <c r="AY1074" s="196"/>
      <c r="AZ1074" s="196"/>
      <c r="BA1074" s="196"/>
      <c r="BB1074" s="196"/>
      <c r="BC1074" s="196"/>
      <c r="BD1074" s="204"/>
    </row>
    <row r="1075" spans="1:56" hidden="1" x14ac:dyDescent="0.3"/>
    <row r="1076" spans="1:56" hidden="1" x14ac:dyDescent="0.3">
      <c r="E1076" s="170" t="s">
        <v>712</v>
      </c>
    </row>
    <row r="1077" spans="1:56" s="195" customFormat="1" hidden="1" collapsed="1" x14ac:dyDescent="0.3">
      <c r="A1077" s="169" t="str">
        <f ca="1">Language!A$1065</f>
        <v>Итого: Долгосрочные вложения на конец периода</v>
      </c>
      <c r="B1077" s="169"/>
      <c r="C1077" s="194" t="str">
        <f t="shared" ref="C1077:C1092" ca="1" si="4106">CurName1</f>
        <v>руб.</v>
      </c>
      <c r="D1077" s="174">
        <v>1</v>
      </c>
      <c r="E1077" s="170"/>
      <c r="F1077" s="170" t="s">
        <v>741</v>
      </c>
      <c r="G1077" s="177">
        <f>G1081</f>
        <v>0</v>
      </c>
      <c r="H1077" s="177">
        <f t="shared" ref="H1077:K1077" si="4107">H1081</f>
        <v>0</v>
      </c>
      <c r="I1077" s="177">
        <f t="shared" si="4107"/>
        <v>0</v>
      </c>
      <c r="J1077" s="177">
        <f t="shared" si="4107"/>
        <v>0</v>
      </c>
      <c r="K1077" s="177">
        <f t="shared" si="4107"/>
        <v>0</v>
      </c>
      <c r="L1077" s="177">
        <f t="shared" ref="L1077:M1077" si="4108">L1081</f>
        <v>0</v>
      </c>
      <c r="M1077" s="177">
        <f t="shared" si="4108"/>
        <v>0</v>
      </c>
      <c r="N1077" s="177">
        <f t="shared" ref="N1077:O1077" si="4109">N1081</f>
        <v>0</v>
      </c>
      <c r="O1077" s="177">
        <f t="shared" si="4109"/>
        <v>0</v>
      </c>
      <c r="P1077" s="177">
        <f t="shared" ref="P1077:Q1077" si="4110">P1081</f>
        <v>0</v>
      </c>
      <c r="Q1077" s="177">
        <f t="shared" si="4110"/>
        <v>0</v>
      </c>
      <c r="R1077" s="177">
        <f t="shared" ref="R1077:S1077" si="4111">R1081</f>
        <v>0</v>
      </c>
      <c r="S1077" s="177">
        <f t="shared" si="4111"/>
        <v>0</v>
      </c>
      <c r="T1077" s="177">
        <f t="shared" ref="T1077:U1077" si="4112">T1081</f>
        <v>0</v>
      </c>
      <c r="U1077" s="177">
        <f t="shared" si="4112"/>
        <v>0</v>
      </c>
      <c r="V1077" s="177">
        <f t="shared" ref="V1077:W1077" si="4113">V1081</f>
        <v>0</v>
      </c>
      <c r="W1077" s="177">
        <f t="shared" si="4113"/>
        <v>0</v>
      </c>
      <c r="X1077" s="177">
        <f t="shared" ref="X1077:Y1077" si="4114">X1081</f>
        <v>0</v>
      </c>
      <c r="Y1077" s="177">
        <f t="shared" si="4114"/>
        <v>0</v>
      </c>
      <c r="Z1077" s="177">
        <f t="shared" ref="Z1077:AA1077" si="4115">Z1081</f>
        <v>0</v>
      </c>
      <c r="AA1077" s="177">
        <f t="shared" si="4115"/>
        <v>0</v>
      </c>
      <c r="AB1077" s="177">
        <f t="shared" ref="AB1077:AC1077" si="4116">AB1081</f>
        <v>0</v>
      </c>
      <c r="AC1077" s="177">
        <f t="shared" si="4116"/>
        <v>0</v>
      </c>
      <c r="AD1077" s="177">
        <f t="shared" ref="AD1077:AE1077" si="4117">AD1081</f>
        <v>0</v>
      </c>
      <c r="AE1077" s="177">
        <f t="shared" si="4117"/>
        <v>0</v>
      </c>
      <c r="AF1077" s="177">
        <f t="shared" ref="AF1077:AG1077" si="4118">AF1081</f>
        <v>0</v>
      </c>
      <c r="AG1077" s="177">
        <f t="shared" si="4118"/>
        <v>0</v>
      </c>
      <c r="AH1077" s="177">
        <f t="shared" ref="AH1077:AI1077" si="4119">AH1081</f>
        <v>0</v>
      </c>
      <c r="AI1077" s="177">
        <f t="shared" si="4119"/>
        <v>0</v>
      </c>
      <c r="AJ1077" s="177">
        <f t="shared" ref="AJ1077:AK1077" si="4120">AJ1081</f>
        <v>0</v>
      </c>
      <c r="AK1077" s="177">
        <f t="shared" si="4120"/>
        <v>0</v>
      </c>
      <c r="AL1077" s="177">
        <f t="shared" ref="AL1077:AM1077" si="4121">AL1081</f>
        <v>0</v>
      </c>
      <c r="AM1077" s="177">
        <f t="shared" si="4121"/>
        <v>0</v>
      </c>
      <c r="AN1077" s="177">
        <f t="shared" ref="AN1077:AO1077" si="4122">AN1081</f>
        <v>0</v>
      </c>
      <c r="AO1077" s="177">
        <f t="shared" si="4122"/>
        <v>0</v>
      </c>
      <c r="AP1077" s="177">
        <f t="shared" ref="AP1077:AQ1077" si="4123">AP1081</f>
        <v>0</v>
      </c>
      <c r="AQ1077" s="177">
        <f t="shared" si="4123"/>
        <v>0</v>
      </c>
      <c r="AR1077" s="177">
        <f t="shared" ref="AR1077:AS1077" si="4124">AR1081</f>
        <v>0</v>
      </c>
      <c r="AS1077" s="177">
        <f t="shared" si="4124"/>
        <v>0</v>
      </c>
      <c r="AT1077" s="177">
        <f t="shared" ref="AT1077:AU1077" si="4125">AT1081</f>
        <v>0</v>
      </c>
      <c r="AU1077" s="177">
        <f t="shared" si="4125"/>
        <v>0</v>
      </c>
      <c r="AV1077" s="177">
        <f t="shared" ref="AV1077:AW1077" si="4126">AV1081</f>
        <v>0</v>
      </c>
      <c r="AW1077" s="177">
        <f t="shared" si="4126"/>
        <v>0</v>
      </c>
      <c r="AX1077" s="177">
        <f t="shared" ref="AX1077:AY1077" si="4127">AX1081</f>
        <v>0</v>
      </c>
      <c r="AY1077" s="177">
        <f t="shared" si="4127"/>
        <v>0</v>
      </c>
      <c r="AZ1077" s="177">
        <f t="shared" ref="AZ1077:BA1077" si="4128">AZ1081</f>
        <v>0</v>
      </c>
      <c r="BA1077" s="177">
        <f t="shared" si="4128"/>
        <v>0</v>
      </c>
      <c r="BB1077" s="177">
        <f t="shared" ref="BB1077" si="4129">BB1081</f>
        <v>0</v>
      </c>
      <c r="BC1077" s="169"/>
      <c r="BD1077" s="178"/>
    </row>
    <row r="1078" spans="1:56" hidden="1" outlineLevel="1" x14ac:dyDescent="0.3">
      <c r="A1078" s="175" t="str">
        <f ca="1">Language!A$1066</f>
        <v>увеличение финансовых вложений</v>
      </c>
      <c r="C1078" s="194" t="str">
        <f t="shared" ca="1" si="4106"/>
        <v>руб.</v>
      </c>
      <c r="D1078" s="174">
        <v>1</v>
      </c>
      <c r="F1078" s="170" t="s">
        <v>1089</v>
      </c>
      <c r="G1078" s="177">
        <v>0</v>
      </c>
      <c r="H1078" s="177">
        <v>0</v>
      </c>
      <c r="I1078" s="177">
        <v>0</v>
      </c>
      <c r="J1078" s="177">
        <v>0</v>
      </c>
      <c r="K1078" s="177">
        <v>0</v>
      </c>
      <c r="L1078" s="177">
        <v>0</v>
      </c>
      <c r="M1078" s="177">
        <v>0</v>
      </c>
      <c r="N1078" s="177">
        <v>0</v>
      </c>
      <c r="O1078" s="177">
        <v>0</v>
      </c>
      <c r="P1078" s="177">
        <v>0</v>
      </c>
      <c r="Q1078" s="177">
        <v>0</v>
      </c>
      <c r="R1078" s="177">
        <v>0</v>
      </c>
      <c r="S1078" s="177">
        <v>0</v>
      </c>
      <c r="T1078" s="177">
        <v>0</v>
      </c>
      <c r="U1078" s="177">
        <v>0</v>
      </c>
      <c r="V1078" s="177">
        <v>0</v>
      </c>
      <c r="W1078" s="177">
        <v>0</v>
      </c>
      <c r="X1078" s="177">
        <v>0</v>
      </c>
      <c r="Y1078" s="177">
        <v>0</v>
      </c>
      <c r="Z1078" s="177">
        <v>0</v>
      </c>
      <c r="AA1078" s="177">
        <v>0</v>
      </c>
      <c r="AB1078" s="177">
        <v>0</v>
      </c>
      <c r="AC1078" s="177">
        <v>0</v>
      </c>
      <c r="AD1078" s="177">
        <v>0</v>
      </c>
      <c r="AE1078" s="177">
        <v>0</v>
      </c>
      <c r="AF1078" s="177">
        <v>0</v>
      </c>
      <c r="AG1078" s="177">
        <v>0</v>
      </c>
      <c r="AH1078" s="177">
        <v>0</v>
      </c>
      <c r="AI1078" s="177">
        <v>0</v>
      </c>
      <c r="AJ1078" s="177">
        <v>0</v>
      </c>
      <c r="AK1078" s="177">
        <v>0</v>
      </c>
      <c r="AL1078" s="177">
        <v>0</v>
      </c>
      <c r="AM1078" s="177">
        <v>0</v>
      </c>
      <c r="AN1078" s="177">
        <v>0</v>
      </c>
      <c r="AO1078" s="177">
        <v>0</v>
      </c>
      <c r="AP1078" s="177">
        <v>0</v>
      </c>
      <c r="AQ1078" s="177">
        <v>0</v>
      </c>
      <c r="AR1078" s="177">
        <v>0</v>
      </c>
      <c r="AS1078" s="177">
        <v>0</v>
      </c>
      <c r="AT1078" s="177">
        <v>0</v>
      </c>
      <c r="AU1078" s="177">
        <v>0</v>
      </c>
      <c r="AV1078" s="177">
        <v>0</v>
      </c>
      <c r="AW1078" s="177">
        <v>0</v>
      </c>
      <c r="AX1078" s="177">
        <v>0</v>
      </c>
      <c r="AY1078" s="177">
        <v>0</v>
      </c>
      <c r="AZ1078" s="177">
        <v>0</v>
      </c>
      <c r="BA1078" s="177">
        <v>0</v>
      </c>
      <c r="BB1078" s="177">
        <v>0</v>
      </c>
      <c r="BD1078" s="178">
        <f>SUM(G1078:BC1078)</f>
        <v>0</v>
      </c>
    </row>
    <row r="1079" spans="1:56" hidden="1" outlineLevel="1" x14ac:dyDescent="0.3">
      <c r="A1079" s="175" t="str">
        <f ca="1">Language!A$1067</f>
        <v>снижение финансовых вложений (возврат)</v>
      </c>
      <c r="C1079" s="194" t="str">
        <f t="shared" ca="1" si="4106"/>
        <v>руб.</v>
      </c>
      <c r="D1079" s="174">
        <v>1</v>
      </c>
      <c r="F1079" s="170" t="s">
        <v>1090</v>
      </c>
      <c r="G1079" s="177">
        <v>0</v>
      </c>
      <c r="H1079" s="177">
        <v>0</v>
      </c>
      <c r="I1079" s="177">
        <v>0</v>
      </c>
      <c r="J1079" s="177">
        <v>0</v>
      </c>
      <c r="K1079" s="177">
        <v>0</v>
      </c>
      <c r="L1079" s="177">
        <v>0</v>
      </c>
      <c r="M1079" s="177">
        <v>0</v>
      </c>
      <c r="N1079" s="177">
        <v>0</v>
      </c>
      <c r="O1079" s="177">
        <v>0</v>
      </c>
      <c r="P1079" s="177">
        <v>0</v>
      </c>
      <c r="Q1079" s="177">
        <v>0</v>
      </c>
      <c r="R1079" s="177">
        <v>0</v>
      </c>
      <c r="S1079" s="177">
        <v>0</v>
      </c>
      <c r="T1079" s="177">
        <v>0</v>
      </c>
      <c r="U1079" s="177">
        <v>0</v>
      </c>
      <c r="V1079" s="177">
        <v>0</v>
      </c>
      <c r="W1079" s="177">
        <v>0</v>
      </c>
      <c r="X1079" s="177">
        <v>0</v>
      </c>
      <c r="Y1079" s="177">
        <v>0</v>
      </c>
      <c r="Z1079" s="177">
        <v>0</v>
      </c>
      <c r="AA1079" s="177">
        <v>0</v>
      </c>
      <c r="AB1079" s="177">
        <v>0</v>
      </c>
      <c r="AC1079" s="177">
        <v>0</v>
      </c>
      <c r="AD1079" s="177">
        <v>0</v>
      </c>
      <c r="AE1079" s="177">
        <v>0</v>
      </c>
      <c r="AF1079" s="177">
        <v>0</v>
      </c>
      <c r="AG1079" s="177">
        <v>0</v>
      </c>
      <c r="AH1079" s="177">
        <v>0</v>
      </c>
      <c r="AI1079" s="177">
        <v>0</v>
      </c>
      <c r="AJ1079" s="177">
        <v>0</v>
      </c>
      <c r="AK1079" s="177">
        <v>0</v>
      </c>
      <c r="AL1079" s="177">
        <v>0</v>
      </c>
      <c r="AM1079" s="177">
        <v>0</v>
      </c>
      <c r="AN1079" s="177">
        <v>0</v>
      </c>
      <c r="AO1079" s="177">
        <v>0</v>
      </c>
      <c r="AP1079" s="177">
        <v>0</v>
      </c>
      <c r="AQ1079" s="177">
        <v>0</v>
      </c>
      <c r="AR1079" s="177">
        <v>0</v>
      </c>
      <c r="AS1079" s="177">
        <v>0</v>
      </c>
      <c r="AT1079" s="177">
        <v>0</v>
      </c>
      <c r="AU1079" s="177">
        <v>0</v>
      </c>
      <c r="AV1079" s="177">
        <v>0</v>
      </c>
      <c r="AW1079" s="177">
        <v>0</v>
      </c>
      <c r="AX1079" s="177">
        <v>0</v>
      </c>
      <c r="AY1079" s="177">
        <v>0</v>
      </c>
      <c r="AZ1079" s="177">
        <v>0</v>
      </c>
      <c r="BA1079" s="177">
        <v>0</v>
      </c>
      <c r="BB1079" s="177">
        <v>0</v>
      </c>
      <c r="BD1079" s="178">
        <f>SUM(G1079:BC1079)</f>
        <v>0</v>
      </c>
    </row>
    <row r="1080" spans="1:56" hidden="1" outlineLevel="1" x14ac:dyDescent="0.3">
      <c r="A1080" s="175" t="str">
        <f ca="1">Language!A$1068</f>
        <v xml:space="preserve">доход </v>
      </c>
      <c r="C1080" s="194" t="str">
        <f t="shared" ca="1" si="4106"/>
        <v>руб.</v>
      </c>
      <c r="D1080" s="174">
        <v>1</v>
      </c>
      <c r="F1080" s="170" t="s">
        <v>1091</v>
      </c>
      <c r="G1080" s="177">
        <v>0</v>
      </c>
      <c r="H1080" s="177">
        <v>0</v>
      </c>
      <c r="I1080" s="177">
        <v>0</v>
      </c>
      <c r="J1080" s="177">
        <v>0</v>
      </c>
      <c r="K1080" s="177">
        <v>0</v>
      </c>
      <c r="L1080" s="177">
        <v>0</v>
      </c>
      <c r="M1080" s="177">
        <v>0</v>
      </c>
      <c r="N1080" s="177">
        <v>0</v>
      </c>
      <c r="O1080" s="177">
        <v>0</v>
      </c>
      <c r="P1080" s="177">
        <v>0</v>
      </c>
      <c r="Q1080" s="177">
        <v>0</v>
      </c>
      <c r="R1080" s="177">
        <v>0</v>
      </c>
      <c r="S1080" s="177">
        <v>0</v>
      </c>
      <c r="T1080" s="177">
        <v>0</v>
      </c>
      <c r="U1080" s="177">
        <v>0</v>
      </c>
      <c r="V1080" s="177">
        <v>0</v>
      </c>
      <c r="W1080" s="177">
        <v>0</v>
      </c>
      <c r="X1080" s="177">
        <v>0</v>
      </c>
      <c r="Y1080" s="177">
        <v>0</v>
      </c>
      <c r="Z1080" s="177">
        <v>0</v>
      </c>
      <c r="AA1080" s="177">
        <v>0</v>
      </c>
      <c r="AB1080" s="177">
        <v>0</v>
      </c>
      <c r="AC1080" s="177">
        <v>0</v>
      </c>
      <c r="AD1080" s="177">
        <v>0</v>
      </c>
      <c r="AE1080" s="177">
        <v>0</v>
      </c>
      <c r="AF1080" s="177">
        <v>0</v>
      </c>
      <c r="AG1080" s="177">
        <v>0</v>
      </c>
      <c r="AH1080" s="177">
        <v>0</v>
      </c>
      <c r="AI1080" s="177">
        <v>0</v>
      </c>
      <c r="AJ1080" s="177">
        <v>0</v>
      </c>
      <c r="AK1080" s="177">
        <v>0</v>
      </c>
      <c r="AL1080" s="177">
        <v>0</v>
      </c>
      <c r="AM1080" s="177">
        <v>0</v>
      </c>
      <c r="AN1080" s="177">
        <v>0</v>
      </c>
      <c r="AO1080" s="177">
        <v>0</v>
      </c>
      <c r="AP1080" s="177">
        <v>0</v>
      </c>
      <c r="AQ1080" s="177">
        <v>0</v>
      </c>
      <c r="AR1080" s="177">
        <v>0</v>
      </c>
      <c r="AS1080" s="177">
        <v>0</v>
      </c>
      <c r="AT1080" s="177">
        <v>0</v>
      </c>
      <c r="AU1080" s="177">
        <v>0</v>
      </c>
      <c r="AV1080" s="177">
        <v>0</v>
      </c>
      <c r="AW1080" s="177">
        <v>0</v>
      </c>
      <c r="AX1080" s="177">
        <v>0</v>
      </c>
      <c r="AY1080" s="177">
        <v>0</v>
      </c>
      <c r="AZ1080" s="177">
        <v>0</v>
      </c>
      <c r="BA1080" s="177">
        <v>0</v>
      </c>
      <c r="BB1080" s="177">
        <v>0</v>
      </c>
      <c r="BD1080" s="178">
        <f>SUM(G1080:BC1080)</f>
        <v>0</v>
      </c>
    </row>
    <row r="1081" spans="1:56" hidden="1" outlineLevel="1" x14ac:dyDescent="0.3">
      <c r="A1081" s="175" t="str">
        <f ca="1">Language!A$1069</f>
        <v>финансовые вложения на конец периода</v>
      </c>
      <c r="C1081" s="194" t="str">
        <f t="shared" ca="1" si="4106"/>
        <v>руб.</v>
      </c>
      <c r="D1081" s="174">
        <v>1</v>
      </c>
      <c r="F1081" s="170" t="s">
        <v>1092</v>
      </c>
      <c r="G1081" s="177">
        <v>0</v>
      </c>
      <c r="H1081" s="177">
        <v>0</v>
      </c>
      <c r="I1081" s="177">
        <v>0</v>
      </c>
      <c r="J1081" s="177">
        <v>0</v>
      </c>
      <c r="K1081" s="177">
        <v>0</v>
      </c>
      <c r="L1081" s="177">
        <v>0</v>
      </c>
      <c r="M1081" s="177">
        <v>0</v>
      </c>
      <c r="N1081" s="177">
        <v>0</v>
      </c>
      <c r="O1081" s="177">
        <v>0</v>
      </c>
      <c r="P1081" s="177">
        <v>0</v>
      </c>
      <c r="Q1081" s="177">
        <v>0</v>
      </c>
      <c r="R1081" s="177">
        <v>0</v>
      </c>
      <c r="S1081" s="177">
        <v>0</v>
      </c>
      <c r="T1081" s="177">
        <v>0</v>
      </c>
      <c r="U1081" s="177">
        <v>0</v>
      </c>
      <c r="V1081" s="177">
        <v>0</v>
      </c>
      <c r="W1081" s="177">
        <v>0</v>
      </c>
      <c r="X1081" s="177">
        <v>0</v>
      </c>
      <c r="Y1081" s="177">
        <v>0</v>
      </c>
      <c r="Z1081" s="177">
        <v>0</v>
      </c>
      <c r="AA1081" s="177">
        <v>0</v>
      </c>
      <c r="AB1081" s="177">
        <v>0</v>
      </c>
      <c r="AC1081" s="177">
        <v>0</v>
      </c>
      <c r="AD1081" s="177">
        <v>0</v>
      </c>
      <c r="AE1081" s="177">
        <v>0</v>
      </c>
      <c r="AF1081" s="177">
        <v>0</v>
      </c>
      <c r="AG1081" s="177">
        <v>0</v>
      </c>
      <c r="AH1081" s="177">
        <v>0</v>
      </c>
      <c r="AI1081" s="177">
        <v>0</v>
      </c>
      <c r="AJ1081" s="177">
        <v>0</v>
      </c>
      <c r="AK1081" s="177">
        <v>0</v>
      </c>
      <c r="AL1081" s="177">
        <v>0</v>
      </c>
      <c r="AM1081" s="177">
        <v>0</v>
      </c>
      <c r="AN1081" s="177">
        <v>0</v>
      </c>
      <c r="AO1081" s="177">
        <v>0</v>
      </c>
      <c r="AP1081" s="177">
        <v>0</v>
      </c>
      <c r="AQ1081" s="177">
        <v>0</v>
      </c>
      <c r="AR1081" s="177">
        <v>0</v>
      </c>
      <c r="AS1081" s="177">
        <v>0</v>
      </c>
      <c r="AT1081" s="177">
        <v>0</v>
      </c>
      <c r="AU1081" s="177">
        <v>0</v>
      </c>
      <c r="AV1081" s="177">
        <v>0</v>
      </c>
      <c r="AW1081" s="177">
        <v>0</v>
      </c>
      <c r="AX1081" s="177">
        <v>0</v>
      </c>
      <c r="AY1081" s="177">
        <v>0</v>
      </c>
      <c r="AZ1081" s="177">
        <v>0</v>
      </c>
      <c r="BA1081" s="177">
        <v>0</v>
      </c>
      <c r="BB1081" s="177">
        <v>0</v>
      </c>
    </row>
    <row r="1082" spans="1:56" hidden="1" outlineLevel="1" x14ac:dyDescent="0.3">
      <c r="A1082" s="175" t="str">
        <f ca="1">Language!A$1070</f>
        <v>на конец периода (без учета изменения курса)</v>
      </c>
      <c r="C1082" s="194" t="str">
        <f t="shared" ca="1" si="4106"/>
        <v>руб.</v>
      </c>
      <c r="D1082" s="174">
        <v>1</v>
      </c>
      <c r="F1082" s="170" t="s">
        <v>741</v>
      </c>
      <c r="G1082" s="177">
        <f t="shared" ref="G1082:M1082" si="4130">G1083+G1078-G1079</f>
        <v>0</v>
      </c>
      <c r="H1082" s="177">
        <f t="shared" si="4130"/>
        <v>0</v>
      </c>
      <c r="I1082" s="177">
        <f t="shared" si="4130"/>
        <v>0</v>
      </c>
      <c r="J1082" s="177">
        <f t="shared" si="4130"/>
        <v>0</v>
      </c>
      <c r="K1082" s="177">
        <f t="shared" si="4130"/>
        <v>0</v>
      </c>
      <c r="L1082" s="177">
        <f t="shared" si="4130"/>
        <v>0</v>
      </c>
      <c r="M1082" s="177">
        <f t="shared" si="4130"/>
        <v>0</v>
      </c>
      <c r="N1082" s="177">
        <f t="shared" ref="N1082:O1082" si="4131">N1083+N1078-N1079</f>
        <v>0</v>
      </c>
      <c r="O1082" s="177">
        <f t="shared" si="4131"/>
        <v>0</v>
      </c>
      <c r="P1082" s="177">
        <f t="shared" ref="P1082:Q1082" si="4132">P1083+P1078-P1079</f>
        <v>0</v>
      </c>
      <c r="Q1082" s="177">
        <f t="shared" si="4132"/>
        <v>0</v>
      </c>
      <c r="R1082" s="177">
        <f t="shared" ref="R1082:S1082" si="4133">R1083+R1078-R1079</f>
        <v>0</v>
      </c>
      <c r="S1082" s="177">
        <f t="shared" si="4133"/>
        <v>0</v>
      </c>
      <c r="T1082" s="177">
        <f t="shared" ref="T1082:U1082" si="4134">T1083+T1078-T1079</f>
        <v>0</v>
      </c>
      <c r="U1082" s="177">
        <f t="shared" si="4134"/>
        <v>0</v>
      </c>
      <c r="V1082" s="177">
        <f t="shared" ref="V1082:W1082" si="4135">V1083+V1078-V1079</f>
        <v>0</v>
      </c>
      <c r="W1082" s="177">
        <f t="shared" si="4135"/>
        <v>0</v>
      </c>
      <c r="X1082" s="177">
        <f t="shared" ref="X1082:Y1082" si="4136">X1083+X1078-X1079</f>
        <v>0</v>
      </c>
      <c r="Y1082" s="177">
        <f t="shared" si="4136"/>
        <v>0</v>
      </c>
      <c r="Z1082" s="177">
        <f t="shared" ref="Z1082:AA1082" si="4137">Z1083+Z1078-Z1079</f>
        <v>0</v>
      </c>
      <c r="AA1082" s="177">
        <f t="shared" si="4137"/>
        <v>0</v>
      </c>
      <c r="AB1082" s="177">
        <f t="shared" ref="AB1082:AC1082" si="4138">AB1083+AB1078-AB1079</f>
        <v>0</v>
      </c>
      <c r="AC1082" s="177">
        <f t="shared" si="4138"/>
        <v>0</v>
      </c>
      <c r="AD1082" s="177">
        <f t="shared" ref="AD1082:AE1082" si="4139">AD1083+AD1078-AD1079</f>
        <v>0</v>
      </c>
      <c r="AE1082" s="177">
        <f t="shared" si="4139"/>
        <v>0</v>
      </c>
      <c r="AF1082" s="177">
        <f t="shared" ref="AF1082:AG1082" si="4140">AF1083+AF1078-AF1079</f>
        <v>0</v>
      </c>
      <c r="AG1082" s="177">
        <f t="shared" si="4140"/>
        <v>0</v>
      </c>
      <c r="AH1082" s="177">
        <f t="shared" ref="AH1082:AI1082" si="4141">AH1083+AH1078-AH1079</f>
        <v>0</v>
      </c>
      <c r="AI1082" s="177">
        <f t="shared" si="4141"/>
        <v>0</v>
      </c>
      <c r="AJ1082" s="177">
        <f t="shared" ref="AJ1082:AK1082" si="4142">AJ1083+AJ1078-AJ1079</f>
        <v>0</v>
      </c>
      <c r="AK1082" s="177">
        <f t="shared" si="4142"/>
        <v>0</v>
      </c>
      <c r="AL1082" s="177">
        <f t="shared" ref="AL1082:AM1082" si="4143">AL1083+AL1078-AL1079</f>
        <v>0</v>
      </c>
      <c r="AM1082" s="177">
        <f t="shared" si="4143"/>
        <v>0</v>
      </c>
      <c r="AN1082" s="177">
        <f t="shared" ref="AN1082:AO1082" si="4144">AN1083+AN1078-AN1079</f>
        <v>0</v>
      </c>
      <c r="AO1082" s="177">
        <f t="shared" si="4144"/>
        <v>0</v>
      </c>
      <c r="AP1082" s="177">
        <f t="shared" ref="AP1082:AQ1082" si="4145">AP1083+AP1078-AP1079</f>
        <v>0</v>
      </c>
      <c r="AQ1082" s="177">
        <f t="shared" si="4145"/>
        <v>0</v>
      </c>
      <c r="AR1082" s="177">
        <f t="shared" ref="AR1082:AS1082" si="4146">AR1083+AR1078-AR1079</f>
        <v>0</v>
      </c>
      <c r="AS1082" s="177">
        <f t="shared" si="4146"/>
        <v>0</v>
      </c>
      <c r="AT1082" s="177">
        <f t="shared" ref="AT1082:AU1082" si="4147">AT1083+AT1078-AT1079</f>
        <v>0</v>
      </c>
      <c r="AU1082" s="177">
        <f t="shared" si="4147"/>
        <v>0</v>
      </c>
      <c r="AV1082" s="177">
        <f t="shared" ref="AV1082:AW1082" si="4148">AV1083+AV1078-AV1079</f>
        <v>0</v>
      </c>
      <c r="AW1082" s="177">
        <f t="shared" si="4148"/>
        <v>0</v>
      </c>
      <c r="AX1082" s="177">
        <f t="shared" ref="AX1082:AY1082" si="4149">AX1083+AX1078-AX1079</f>
        <v>0</v>
      </c>
      <c r="AY1082" s="177">
        <f t="shared" si="4149"/>
        <v>0</v>
      </c>
      <c r="AZ1082" s="177">
        <f t="shared" ref="AZ1082:BA1082" si="4150">AZ1083+AZ1078-AZ1079</f>
        <v>0</v>
      </c>
      <c r="BA1082" s="177">
        <f t="shared" si="4150"/>
        <v>0</v>
      </c>
      <c r="BB1082" s="177">
        <f t="shared" ref="BB1082" si="4151">BB1083+BB1078-BB1079</f>
        <v>0</v>
      </c>
    </row>
    <row r="1083" spans="1:56" hidden="1" outlineLevel="1" x14ac:dyDescent="0.3">
      <c r="A1083" s="175" t="str">
        <f ca="1">Language!A$1071</f>
        <v>на начало периода (без учета изменения курса)</v>
      </c>
      <c r="C1083" s="194" t="str">
        <f t="shared" ca="1" si="4106"/>
        <v>руб.</v>
      </c>
      <c r="D1083" s="174">
        <v>1</v>
      </c>
      <c r="F1083" s="170" t="s">
        <v>744</v>
      </c>
      <c r="G1083" s="177">
        <v>0</v>
      </c>
      <c r="H1083" s="177">
        <f t="shared" ref="H1083:BB1083" si="4152">G1082</f>
        <v>0</v>
      </c>
      <c r="I1083" s="177">
        <f t="shared" si="4152"/>
        <v>0</v>
      </c>
      <c r="J1083" s="177">
        <f t="shared" si="4152"/>
        <v>0</v>
      </c>
      <c r="K1083" s="177">
        <f t="shared" si="4152"/>
        <v>0</v>
      </c>
      <c r="L1083" s="177">
        <f t="shared" si="4152"/>
        <v>0</v>
      </c>
      <c r="M1083" s="177">
        <f t="shared" si="4152"/>
        <v>0</v>
      </c>
      <c r="N1083" s="177">
        <f t="shared" si="4152"/>
        <v>0</v>
      </c>
      <c r="O1083" s="177">
        <f t="shared" si="4152"/>
        <v>0</v>
      </c>
      <c r="P1083" s="177">
        <f t="shared" si="4152"/>
        <v>0</v>
      </c>
      <c r="Q1083" s="177">
        <f t="shared" si="4152"/>
        <v>0</v>
      </c>
      <c r="R1083" s="177">
        <f t="shared" si="4152"/>
        <v>0</v>
      </c>
      <c r="S1083" s="177">
        <f t="shared" si="4152"/>
        <v>0</v>
      </c>
      <c r="T1083" s="177">
        <f t="shared" si="4152"/>
        <v>0</v>
      </c>
      <c r="U1083" s="177">
        <f t="shared" si="4152"/>
        <v>0</v>
      </c>
      <c r="V1083" s="177">
        <f t="shared" si="4152"/>
        <v>0</v>
      </c>
      <c r="W1083" s="177">
        <f t="shared" si="4152"/>
        <v>0</v>
      </c>
      <c r="X1083" s="177">
        <f t="shared" si="4152"/>
        <v>0</v>
      </c>
      <c r="Y1083" s="177">
        <f t="shared" si="4152"/>
        <v>0</v>
      </c>
      <c r="Z1083" s="177">
        <f t="shared" si="4152"/>
        <v>0</v>
      </c>
      <c r="AA1083" s="177">
        <f t="shared" si="4152"/>
        <v>0</v>
      </c>
      <c r="AB1083" s="177">
        <f t="shared" si="4152"/>
        <v>0</v>
      </c>
      <c r="AC1083" s="177">
        <f t="shared" si="4152"/>
        <v>0</v>
      </c>
      <c r="AD1083" s="177">
        <f t="shared" si="4152"/>
        <v>0</v>
      </c>
      <c r="AE1083" s="177">
        <f t="shared" si="4152"/>
        <v>0</v>
      </c>
      <c r="AF1083" s="177">
        <f t="shared" si="4152"/>
        <v>0</v>
      </c>
      <c r="AG1083" s="177">
        <f t="shared" si="4152"/>
        <v>0</v>
      </c>
      <c r="AH1083" s="177">
        <f t="shared" si="4152"/>
        <v>0</v>
      </c>
      <c r="AI1083" s="177">
        <f t="shared" si="4152"/>
        <v>0</v>
      </c>
      <c r="AJ1083" s="177">
        <f t="shared" si="4152"/>
        <v>0</v>
      </c>
      <c r="AK1083" s="177">
        <f t="shared" si="4152"/>
        <v>0</v>
      </c>
      <c r="AL1083" s="177">
        <f t="shared" si="4152"/>
        <v>0</v>
      </c>
      <c r="AM1083" s="177">
        <f t="shared" si="4152"/>
        <v>0</v>
      </c>
      <c r="AN1083" s="177">
        <f t="shared" si="4152"/>
        <v>0</v>
      </c>
      <c r="AO1083" s="177">
        <f t="shared" si="4152"/>
        <v>0</v>
      </c>
      <c r="AP1083" s="177">
        <f t="shared" si="4152"/>
        <v>0</v>
      </c>
      <c r="AQ1083" s="177">
        <f t="shared" si="4152"/>
        <v>0</v>
      </c>
      <c r="AR1083" s="177">
        <f t="shared" si="4152"/>
        <v>0</v>
      </c>
      <c r="AS1083" s="177">
        <f t="shared" si="4152"/>
        <v>0</v>
      </c>
      <c r="AT1083" s="177">
        <f t="shared" si="4152"/>
        <v>0</v>
      </c>
      <c r="AU1083" s="177">
        <f t="shared" si="4152"/>
        <v>0</v>
      </c>
      <c r="AV1083" s="177">
        <f t="shared" si="4152"/>
        <v>0</v>
      </c>
      <c r="AW1083" s="177">
        <f t="shared" si="4152"/>
        <v>0</v>
      </c>
      <c r="AX1083" s="177">
        <f t="shared" si="4152"/>
        <v>0</v>
      </c>
      <c r="AY1083" s="177">
        <f t="shared" si="4152"/>
        <v>0</v>
      </c>
      <c r="AZ1083" s="177">
        <f t="shared" si="4152"/>
        <v>0</v>
      </c>
      <c r="BA1083" s="177">
        <f t="shared" si="4152"/>
        <v>0</v>
      </c>
      <c r="BB1083" s="177">
        <f t="shared" si="4152"/>
        <v>0</v>
      </c>
    </row>
    <row r="1084" spans="1:56" hidden="1" outlineLevel="1" x14ac:dyDescent="0.3">
      <c r="A1084" s="175" t="str">
        <f ca="1">Language!A$1072</f>
        <v>прибыль (убыток) от курсовой разницы</v>
      </c>
      <c r="C1084" s="194" t="str">
        <f t="shared" ca="1" si="4106"/>
        <v>руб.</v>
      </c>
      <c r="D1084" s="174">
        <v>1</v>
      </c>
      <c r="F1084" s="170" t="s">
        <v>740</v>
      </c>
      <c r="G1084" s="177">
        <f>G1081-G1082</f>
        <v>0</v>
      </c>
      <c r="H1084" s="177">
        <f>(H1081-H1082)-(G1081-G1082)</f>
        <v>0</v>
      </c>
      <c r="I1084" s="177">
        <f t="shared" ref="I1084:BB1084" si="4153">(I1081-I1082)-(H1081-H1082)</f>
        <v>0</v>
      </c>
      <c r="J1084" s="177">
        <f t="shared" si="4153"/>
        <v>0</v>
      </c>
      <c r="K1084" s="177">
        <f t="shared" si="4153"/>
        <v>0</v>
      </c>
      <c r="L1084" s="177">
        <f t="shared" si="4153"/>
        <v>0</v>
      </c>
      <c r="M1084" s="177">
        <f t="shared" si="4153"/>
        <v>0</v>
      </c>
      <c r="N1084" s="177">
        <f t="shared" si="4153"/>
        <v>0</v>
      </c>
      <c r="O1084" s="177">
        <f t="shared" si="4153"/>
        <v>0</v>
      </c>
      <c r="P1084" s="177">
        <f t="shared" si="4153"/>
        <v>0</v>
      </c>
      <c r="Q1084" s="177">
        <f t="shared" si="4153"/>
        <v>0</v>
      </c>
      <c r="R1084" s="177">
        <f t="shared" si="4153"/>
        <v>0</v>
      </c>
      <c r="S1084" s="177">
        <f t="shared" si="4153"/>
        <v>0</v>
      </c>
      <c r="T1084" s="177">
        <f t="shared" si="4153"/>
        <v>0</v>
      </c>
      <c r="U1084" s="177">
        <f t="shared" si="4153"/>
        <v>0</v>
      </c>
      <c r="V1084" s="177">
        <f t="shared" si="4153"/>
        <v>0</v>
      </c>
      <c r="W1084" s="177">
        <f t="shared" si="4153"/>
        <v>0</v>
      </c>
      <c r="X1084" s="177">
        <f t="shared" si="4153"/>
        <v>0</v>
      </c>
      <c r="Y1084" s="177">
        <f t="shared" si="4153"/>
        <v>0</v>
      </c>
      <c r="Z1084" s="177">
        <f t="shared" si="4153"/>
        <v>0</v>
      </c>
      <c r="AA1084" s="177">
        <f t="shared" si="4153"/>
        <v>0</v>
      </c>
      <c r="AB1084" s="177">
        <f t="shared" si="4153"/>
        <v>0</v>
      </c>
      <c r="AC1084" s="177">
        <f t="shared" si="4153"/>
        <v>0</v>
      </c>
      <c r="AD1084" s="177">
        <f t="shared" si="4153"/>
        <v>0</v>
      </c>
      <c r="AE1084" s="177">
        <f t="shared" si="4153"/>
        <v>0</v>
      </c>
      <c r="AF1084" s="177">
        <f t="shared" si="4153"/>
        <v>0</v>
      </c>
      <c r="AG1084" s="177">
        <f t="shared" si="4153"/>
        <v>0</v>
      </c>
      <c r="AH1084" s="177">
        <f t="shared" si="4153"/>
        <v>0</v>
      </c>
      <c r="AI1084" s="177">
        <f t="shared" si="4153"/>
        <v>0</v>
      </c>
      <c r="AJ1084" s="177">
        <f t="shared" si="4153"/>
        <v>0</v>
      </c>
      <c r="AK1084" s="177">
        <f t="shared" si="4153"/>
        <v>0</v>
      </c>
      <c r="AL1084" s="177">
        <f t="shared" si="4153"/>
        <v>0</v>
      </c>
      <c r="AM1084" s="177">
        <f t="shared" si="4153"/>
        <v>0</v>
      </c>
      <c r="AN1084" s="177">
        <f t="shared" si="4153"/>
        <v>0</v>
      </c>
      <c r="AO1084" s="177">
        <f t="shared" si="4153"/>
        <v>0</v>
      </c>
      <c r="AP1084" s="177">
        <f t="shared" si="4153"/>
        <v>0</v>
      </c>
      <c r="AQ1084" s="177">
        <f t="shared" si="4153"/>
        <v>0</v>
      </c>
      <c r="AR1084" s="177">
        <f t="shared" si="4153"/>
        <v>0</v>
      </c>
      <c r="AS1084" s="177">
        <f t="shared" si="4153"/>
        <v>0</v>
      </c>
      <c r="AT1084" s="177">
        <f t="shared" si="4153"/>
        <v>0</v>
      </c>
      <c r="AU1084" s="177">
        <f t="shared" si="4153"/>
        <v>0</v>
      </c>
      <c r="AV1084" s="177">
        <f t="shared" si="4153"/>
        <v>0</v>
      </c>
      <c r="AW1084" s="177">
        <f t="shared" si="4153"/>
        <v>0</v>
      </c>
      <c r="AX1084" s="177">
        <f t="shared" si="4153"/>
        <v>0</v>
      </c>
      <c r="AY1084" s="177">
        <f t="shared" si="4153"/>
        <v>0</v>
      </c>
      <c r="AZ1084" s="177">
        <f t="shared" si="4153"/>
        <v>0</v>
      </c>
      <c r="BA1084" s="177">
        <f t="shared" si="4153"/>
        <v>0</v>
      </c>
      <c r="BB1084" s="177">
        <f t="shared" si="4153"/>
        <v>0</v>
      </c>
      <c r="BD1084" s="178">
        <f>SUM(G1084:BC1084)</f>
        <v>0</v>
      </c>
    </row>
    <row r="1085" spans="1:56" hidden="1" collapsed="1" x14ac:dyDescent="0.3">
      <c r="A1085" s="169" t="str">
        <f ca="1">Language!A$1073</f>
        <v>Итого: Краткосрочные вложения на конец периода</v>
      </c>
      <c r="C1085" s="194" t="str">
        <f t="shared" ca="1" si="4106"/>
        <v>руб.</v>
      </c>
      <c r="D1085" s="174">
        <v>1</v>
      </c>
      <c r="F1085" s="170" t="s">
        <v>741</v>
      </c>
      <c r="G1085" s="177">
        <f>G1089</f>
        <v>0</v>
      </c>
      <c r="H1085" s="177">
        <f t="shared" ref="H1085:K1085" si="4154">H1089</f>
        <v>0</v>
      </c>
      <c r="I1085" s="177">
        <f t="shared" si="4154"/>
        <v>0</v>
      </c>
      <c r="J1085" s="177">
        <f t="shared" si="4154"/>
        <v>0</v>
      </c>
      <c r="K1085" s="177">
        <f t="shared" si="4154"/>
        <v>0</v>
      </c>
      <c r="L1085" s="177">
        <f t="shared" ref="L1085:M1085" si="4155">L1089</f>
        <v>0</v>
      </c>
      <c r="M1085" s="177">
        <f t="shared" si="4155"/>
        <v>0</v>
      </c>
      <c r="N1085" s="177">
        <f t="shared" ref="N1085:O1085" si="4156">N1089</f>
        <v>0</v>
      </c>
      <c r="O1085" s="177">
        <f t="shared" si="4156"/>
        <v>0</v>
      </c>
      <c r="P1085" s="177">
        <f t="shared" ref="P1085:Q1085" si="4157">P1089</f>
        <v>0</v>
      </c>
      <c r="Q1085" s="177">
        <f t="shared" si="4157"/>
        <v>0</v>
      </c>
      <c r="R1085" s="177">
        <f t="shared" ref="R1085:S1085" si="4158">R1089</f>
        <v>0</v>
      </c>
      <c r="S1085" s="177">
        <f t="shared" si="4158"/>
        <v>0</v>
      </c>
      <c r="T1085" s="177">
        <f t="shared" ref="T1085:U1085" si="4159">T1089</f>
        <v>0</v>
      </c>
      <c r="U1085" s="177">
        <f t="shared" si="4159"/>
        <v>0</v>
      </c>
      <c r="V1085" s="177">
        <f t="shared" ref="V1085:W1085" si="4160">V1089</f>
        <v>0</v>
      </c>
      <c r="W1085" s="177">
        <f t="shared" si="4160"/>
        <v>0</v>
      </c>
      <c r="X1085" s="177">
        <f t="shared" ref="X1085:Y1085" si="4161">X1089</f>
        <v>0</v>
      </c>
      <c r="Y1085" s="177">
        <f t="shared" si="4161"/>
        <v>0</v>
      </c>
      <c r="Z1085" s="177">
        <f t="shared" ref="Z1085:AA1085" si="4162">Z1089</f>
        <v>0</v>
      </c>
      <c r="AA1085" s="177">
        <f t="shared" si="4162"/>
        <v>0</v>
      </c>
      <c r="AB1085" s="177">
        <f t="shared" ref="AB1085:AC1085" si="4163">AB1089</f>
        <v>0</v>
      </c>
      <c r="AC1085" s="177">
        <f t="shared" si="4163"/>
        <v>0</v>
      </c>
      <c r="AD1085" s="177">
        <f t="shared" ref="AD1085:AE1085" si="4164">AD1089</f>
        <v>0</v>
      </c>
      <c r="AE1085" s="177">
        <f t="shared" si="4164"/>
        <v>0</v>
      </c>
      <c r="AF1085" s="177">
        <f t="shared" ref="AF1085:AG1085" si="4165">AF1089</f>
        <v>0</v>
      </c>
      <c r="AG1085" s="177">
        <f t="shared" si="4165"/>
        <v>0</v>
      </c>
      <c r="AH1085" s="177">
        <f t="shared" ref="AH1085:AI1085" si="4166">AH1089</f>
        <v>0</v>
      </c>
      <c r="AI1085" s="177">
        <f t="shared" si="4166"/>
        <v>0</v>
      </c>
      <c r="AJ1085" s="177">
        <f t="shared" ref="AJ1085:AK1085" si="4167">AJ1089</f>
        <v>0</v>
      </c>
      <c r="AK1085" s="177">
        <f t="shared" si="4167"/>
        <v>0</v>
      </c>
      <c r="AL1085" s="177">
        <f t="shared" ref="AL1085:AM1085" si="4168">AL1089</f>
        <v>0</v>
      </c>
      <c r="AM1085" s="177">
        <f t="shared" si="4168"/>
        <v>0</v>
      </c>
      <c r="AN1085" s="177">
        <f t="shared" ref="AN1085:AO1085" si="4169">AN1089</f>
        <v>0</v>
      </c>
      <c r="AO1085" s="177">
        <f t="shared" si="4169"/>
        <v>0</v>
      </c>
      <c r="AP1085" s="177">
        <f t="shared" ref="AP1085:AQ1085" si="4170">AP1089</f>
        <v>0</v>
      </c>
      <c r="AQ1085" s="177">
        <f t="shared" si="4170"/>
        <v>0</v>
      </c>
      <c r="AR1085" s="177">
        <f t="shared" ref="AR1085:AS1085" si="4171">AR1089</f>
        <v>0</v>
      </c>
      <c r="AS1085" s="177">
        <f t="shared" si="4171"/>
        <v>0</v>
      </c>
      <c r="AT1085" s="177">
        <f t="shared" ref="AT1085:AU1085" si="4172">AT1089</f>
        <v>0</v>
      </c>
      <c r="AU1085" s="177">
        <f t="shared" si="4172"/>
        <v>0</v>
      </c>
      <c r="AV1085" s="177">
        <f t="shared" ref="AV1085:AW1085" si="4173">AV1089</f>
        <v>0</v>
      </c>
      <c r="AW1085" s="177">
        <f t="shared" si="4173"/>
        <v>0</v>
      </c>
      <c r="AX1085" s="177">
        <f t="shared" ref="AX1085:AY1085" si="4174">AX1089</f>
        <v>0</v>
      </c>
      <c r="AY1085" s="177">
        <f t="shared" si="4174"/>
        <v>0</v>
      </c>
      <c r="AZ1085" s="177">
        <f t="shared" ref="AZ1085:BA1085" si="4175">AZ1089</f>
        <v>0</v>
      </c>
      <c r="BA1085" s="177">
        <f t="shared" si="4175"/>
        <v>0</v>
      </c>
      <c r="BB1085" s="177">
        <f t="shared" ref="BB1085" si="4176">BB1089</f>
        <v>0</v>
      </c>
      <c r="BD1085" s="178"/>
    </row>
    <row r="1086" spans="1:56" hidden="1" outlineLevel="1" x14ac:dyDescent="0.3">
      <c r="A1086" s="175" t="str">
        <f ca="1">Language!A$1074</f>
        <v>увеличение финансовых вложений</v>
      </c>
      <c r="C1086" s="194" t="str">
        <f t="shared" ca="1" si="4106"/>
        <v>руб.</v>
      </c>
      <c r="D1086" s="174">
        <v>1</v>
      </c>
      <c r="F1086" s="170" t="s">
        <v>1093</v>
      </c>
      <c r="G1086" s="177">
        <v>0</v>
      </c>
      <c r="H1086" s="177">
        <v>0</v>
      </c>
      <c r="I1086" s="177">
        <v>0</v>
      </c>
      <c r="J1086" s="177">
        <v>0</v>
      </c>
      <c r="K1086" s="177">
        <v>0</v>
      </c>
      <c r="L1086" s="177">
        <v>0</v>
      </c>
      <c r="M1086" s="177">
        <v>0</v>
      </c>
      <c r="N1086" s="177">
        <v>0</v>
      </c>
      <c r="O1086" s="177">
        <v>0</v>
      </c>
      <c r="P1086" s="177">
        <v>0</v>
      </c>
      <c r="Q1086" s="177">
        <v>0</v>
      </c>
      <c r="R1086" s="177">
        <v>0</v>
      </c>
      <c r="S1086" s="177">
        <v>0</v>
      </c>
      <c r="T1086" s="177">
        <v>0</v>
      </c>
      <c r="U1086" s="177">
        <v>0</v>
      </c>
      <c r="V1086" s="177">
        <v>0</v>
      </c>
      <c r="W1086" s="177">
        <v>0</v>
      </c>
      <c r="X1086" s="177">
        <v>0</v>
      </c>
      <c r="Y1086" s="177">
        <v>0</v>
      </c>
      <c r="Z1086" s="177">
        <v>0</v>
      </c>
      <c r="AA1086" s="177">
        <v>0</v>
      </c>
      <c r="AB1086" s="177">
        <v>0</v>
      </c>
      <c r="AC1086" s="177">
        <v>0</v>
      </c>
      <c r="AD1086" s="177">
        <v>0</v>
      </c>
      <c r="AE1086" s="177">
        <v>0</v>
      </c>
      <c r="AF1086" s="177">
        <v>0</v>
      </c>
      <c r="AG1086" s="177">
        <v>0</v>
      </c>
      <c r="AH1086" s="177">
        <v>0</v>
      </c>
      <c r="AI1086" s="177">
        <v>0</v>
      </c>
      <c r="AJ1086" s="177">
        <v>0</v>
      </c>
      <c r="AK1086" s="177">
        <v>0</v>
      </c>
      <c r="AL1086" s="177">
        <v>0</v>
      </c>
      <c r="AM1086" s="177">
        <v>0</v>
      </c>
      <c r="AN1086" s="177">
        <v>0</v>
      </c>
      <c r="AO1086" s="177">
        <v>0</v>
      </c>
      <c r="AP1086" s="177">
        <v>0</v>
      </c>
      <c r="AQ1086" s="177">
        <v>0</v>
      </c>
      <c r="AR1086" s="177">
        <v>0</v>
      </c>
      <c r="AS1086" s="177">
        <v>0</v>
      </c>
      <c r="AT1086" s="177">
        <v>0</v>
      </c>
      <c r="AU1086" s="177">
        <v>0</v>
      </c>
      <c r="AV1086" s="177">
        <v>0</v>
      </c>
      <c r="AW1086" s="177">
        <v>0</v>
      </c>
      <c r="AX1086" s="177">
        <v>0</v>
      </c>
      <c r="AY1086" s="177">
        <v>0</v>
      </c>
      <c r="AZ1086" s="177">
        <v>0</v>
      </c>
      <c r="BA1086" s="177">
        <v>0</v>
      </c>
      <c r="BB1086" s="177">
        <v>0</v>
      </c>
      <c r="BD1086" s="178">
        <f>SUM(G1086:BC1086)</f>
        <v>0</v>
      </c>
    </row>
    <row r="1087" spans="1:56" hidden="1" outlineLevel="1" x14ac:dyDescent="0.3">
      <c r="A1087" s="175" t="str">
        <f ca="1">Language!A$1075</f>
        <v>снижение финансовых вложений (возврат)</v>
      </c>
      <c r="C1087" s="194" t="str">
        <f t="shared" ca="1" si="4106"/>
        <v>руб.</v>
      </c>
      <c r="D1087" s="174">
        <v>1</v>
      </c>
      <c r="F1087" s="170" t="s">
        <v>1094</v>
      </c>
      <c r="G1087" s="177">
        <v>0</v>
      </c>
      <c r="H1087" s="177">
        <v>0</v>
      </c>
      <c r="I1087" s="177">
        <v>0</v>
      </c>
      <c r="J1087" s="177">
        <v>0</v>
      </c>
      <c r="K1087" s="177">
        <v>0</v>
      </c>
      <c r="L1087" s="177">
        <v>0</v>
      </c>
      <c r="M1087" s="177">
        <v>0</v>
      </c>
      <c r="N1087" s="177">
        <v>0</v>
      </c>
      <c r="O1087" s="177">
        <v>0</v>
      </c>
      <c r="P1087" s="177">
        <v>0</v>
      </c>
      <c r="Q1087" s="177">
        <v>0</v>
      </c>
      <c r="R1087" s="177">
        <v>0</v>
      </c>
      <c r="S1087" s="177">
        <v>0</v>
      </c>
      <c r="T1087" s="177">
        <v>0</v>
      </c>
      <c r="U1087" s="177">
        <v>0</v>
      </c>
      <c r="V1087" s="177">
        <v>0</v>
      </c>
      <c r="W1087" s="177">
        <v>0</v>
      </c>
      <c r="X1087" s="177">
        <v>0</v>
      </c>
      <c r="Y1087" s="177">
        <v>0</v>
      </c>
      <c r="Z1087" s="177">
        <v>0</v>
      </c>
      <c r="AA1087" s="177">
        <v>0</v>
      </c>
      <c r="AB1087" s="177">
        <v>0</v>
      </c>
      <c r="AC1087" s="177">
        <v>0</v>
      </c>
      <c r="AD1087" s="177">
        <v>0</v>
      </c>
      <c r="AE1087" s="177">
        <v>0</v>
      </c>
      <c r="AF1087" s="177">
        <v>0</v>
      </c>
      <c r="AG1087" s="177">
        <v>0</v>
      </c>
      <c r="AH1087" s="177">
        <v>0</v>
      </c>
      <c r="AI1087" s="177">
        <v>0</v>
      </c>
      <c r="AJ1087" s="177">
        <v>0</v>
      </c>
      <c r="AK1087" s="177">
        <v>0</v>
      </c>
      <c r="AL1087" s="177">
        <v>0</v>
      </c>
      <c r="AM1087" s="177">
        <v>0</v>
      </c>
      <c r="AN1087" s="177">
        <v>0</v>
      </c>
      <c r="AO1087" s="177">
        <v>0</v>
      </c>
      <c r="AP1087" s="177">
        <v>0</v>
      </c>
      <c r="AQ1087" s="177">
        <v>0</v>
      </c>
      <c r="AR1087" s="177">
        <v>0</v>
      </c>
      <c r="AS1087" s="177">
        <v>0</v>
      </c>
      <c r="AT1087" s="177">
        <v>0</v>
      </c>
      <c r="AU1087" s="177">
        <v>0</v>
      </c>
      <c r="AV1087" s="177">
        <v>0</v>
      </c>
      <c r="AW1087" s="177">
        <v>0</v>
      </c>
      <c r="AX1087" s="177">
        <v>0</v>
      </c>
      <c r="AY1087" s="177">
        <v>0</v>
      </c>
      <c r="AZ1087" s="177">
        <v>0</v>
      </c>
      <c r="BA1087" s="177">
        <v>0</v>
      </c>
      <c r="BB1087" s="177">
        <v>0</v>
      </c>
      <c r="BD1087" s="178">
        <f>SUM(G1087:BC1087)</f>
        <v>0</v>
      </c>
    </row>
    <row r="1088" spans="1:56" hidden="1" outlineLevel="1" x14ac:dyDescent="0.3">
      <c r="A1088" s="175" t="str">
        <f ca="1">Language!A$1076</f>
        <v xml:space="preserve">доход </v>
      </c>
      <c r="C1088" s="194" t="str">
        <f t="shared" ca="1" si="4106"/>
        <v>руб.</v>
      </c>
      <c r="D1088" s="174">
        <v>1</v>
      </c>
      <c r="F1088" s="170" t="s">
        <v>1095</v>
      </c>
      <c r="G1088" s="177">
        <v>0</v>
      </c>
      <c r="H1088" s="177">
        <v>0</v>
      </c>
      <c r="I1088" s="177">
        <v>0</v>
      </c>
      <c r="J1088" s="177">
        <v>0</v>
      </c>
      <c r="K1088" s="177">
        <v>0</v>
      </c>
      <c r="L1088" s="177">
        <v>0</v>
      </c>
      <c r="M1088" s="177">
        <v>0</v>
      </c>
      <c r="N1088" s="177">
        <v>0</v>
      </c>
      <c r="O1088" s="177">
        <v>0</v>
      </c>
      <c r="P1088" s="177">
        <v>0</v>
      </c>
      <c r="Q1088" s="177">
        <v>0</v>
      </c>
      <c r="R1088" s="177">
        <v>0</v>
      </c>
      <c r="S1088" s="177">
        <v>0</v>
      </c>
      <c r="T1088" s="177">
        <v>0</v>
      </c>
      <c r="U1088" s="177">
        <v>0</v>
      </c>
      <c r="V1088" s="177">
        <v>0</v>
      </c>
      <c r="W1088" s="177">
        <v>0</v>
      </c>
      <c r="X1088" s="177">
        <v>0</v>
      </c>
      <c r="Y1088" s="177">
        <v>0</v>
      </c>
      <c r="Z1088" s="177">
        <v>0</v>
      </c>
      <c r="AA1088" s="177">
        <v>0</v>
      </c>
      <c r="AB1088" s="177">
        <v>0</v>
      </c>
      <c r="AC1088" s="177">
        <v>0</v>
      </c>
      <c r="AD1088" s="177">
        <v>0</v>
      </c>
      <c r="AE1088" s="177">
        <v>0</v>
      </c>
      <c r="AF1088" s="177">
        <v>0</v>
      </c>
      <c r="AG1088" s="177">
        <v>0</v>
      </c>
      <c r="AH1088" s="177">
        <v>0</v>
      </c>
      <c r="AI1088" s="177">
        <v>0</v>
      </c>
      <c r="AJ1088" s="177">
        <v>0</v>
      </c>
      <c r="AK1088" s="177">
        <v>0</v>
      </c>
      <c r="AL1088" s="177">
        <v>0</v>
      </c>
      <c r="AM1088" s="177">
        <v>0</v>
      </c>
      <c r="AN1088" s="177">
        <v>0</v>
      </c>
      <c r="AO1088" s="177">
        <v>0</v>
      </c>
      <c r="AP1088" s="177">
        <v>0</v>
      </c>
      <c r="AQ1088" s="177">
        <v>0</v>
      </c>
      <c r="AR1088" s="177">
        <v>0</v>
      </c>
      <c r="AS1088" s="177">
        <v>0</v>
      </c>
      <c r="AT1088" s="177">
        <v>0</v>
      </c>
      <c r="AU1088" s="177">
        <v>0</v>
      </c>
      <c r="AV1088" s="177">
        <v>0</v>
      </c>
      <c r="AW1088" s="177">
        <v>0</v>
      </c>
      <c r="AX1088" s="177">
        <v>0</v>
      </c>
      <c r="AY1088" s="177">
        <v>0</v>
      </c>
      <c r="AZ1088" s="177">
        <v>0</v>
      </c>
      <c r="BA1088" s="177">
        <v>0</v>
      </c>
      <c r="BB1088" s="177">
        <v>0</v>
      </c>
      <c r="BD1088" s="178">
        <f>SUM(G1088:BC1088)</f>
        <v>0</v>
      </c>
    </row>
    <row r="1089" spans="1:56" hidden="1" outlineLevel="1" x14ac:dyDescent="0.3">
      <c r="A1089" s="175" t="str">
        <f ca="1">Language!A$1077</f>
        <v>финансовые вложения на конец периода</v>
      </c>
      <c r="C1089" s="194" t="str">
        <f t="shared" ca="1" si="4106"/>
        <v>руб.</v>
      </c>
      <c r="D1089" s="174">
        <v>1</v>
      </c>
      <c r="F1089" s="170" t="s">
        <v>1096</v>
      </c>
      <c r="G1089" s="177">
        <v>0</v>
      </c>
      <c r="H1089" s="177">
        <v>0</v>
      </c>
      <c r="I1089" s="177">
        <v>0</v>
      </c>
      <c r="J1089" s="177">
        <v>0</v>
      </c>
      <c r="K1089" s="177">
        <v>0</v>
      </c>
      <c r="L1089" s="177">
        <v>0</v>
      </c>
      <c r="M1089" s="177">
        <v>0</v>
      </c>
      <c r="N1089" s="177">
        <v>0</v>
      </c>
      <c r="O1089" s="177">
        <v>0</v>
      </c>
      <c r="P1089" s="177">
        <v>0</v>
      </c>
      <c r="Q1089" s="177">
        <v>0</v>
      </c>
      <c r="R1089" s="177">
        <v>0</v>
      </c>
      <c r="S1089" s="177">
        <v>0</v>
      </c>
      <c r="T1089" s="177">
        <v>0</v>
      </c>
      <c r="U1089" s="177">
        <v>0</v>
      </c>
      <c r="V1089" s="177">
        <v>0</v>
      </c>
      <c r="W1089" s="177">
        <v>0</v>
      </c>
      <c r="X1089" s="177">
        <v>0</v>
      </c>
      <c r="Y1089" s="177">
        <v>0</v>
      </c>
      <c r="Z1089" s="177">
        <v>0</v>
      </c>
      <c r="AA1089" s="177">
        <v>0</v>
      </c>
      <c r="AB1089" s="177">
        <v>0</v>
      </c>
      <c r="AC1089" s="177">
        <v>0</v>
      </c>
      <c r="AD1089" s="177">
        <v>0</v>
      </c>
      <c r="AE1089" s="177">
        <v>0</v>
      </c>
      <c r="AF1089" s="177">
        <v>0</v>
      </c>
      <c r="AG1089" s="177">
        <v>0</v>
      </c>
      <c r="AH1089" s="177">
        <v>0</v>
      </c>
      <c r="AI1089" s="177">
        <v>0</v>
      </c>
      <c r="AJ1089" s="177">
        <v>0</v>
      </c>
      <c r="AK1089" s="177">
        <v>0</v>
      </c>
      <c r="AL1089" s="177">
        <v>0</v>
      </c>
      <c r="AM1089" s="177">
        <v>0</v>
      </c>
      <c r="AN1089" s="177">
        <v>0</v>
      </c>
      <c r="AO1089" s="177">
        <v>0</v>
      </c>
      <c r="AP1089" s="177">
        <v>0</v>
      </c>
      <c r="AQ1089" s="177">
        <v>0</v>
      </c>
      <c r="AR1089" s="177">
        <v>0</v>
      </c>
      <c r="AS1089" s="177">
        <v>0</v>
      </c>
      <c r="AT1089" s="177">
        <v>0</v>
      </c>
      <c r="AU1089" s="177">
        <v>0</v>
      </c>
      <c r="AV1089" s="177">
        <v>0</v>
      </c>
      <c r="AW1089" s="177">
        <v>0</v>
      </c>
      <c r="AX1089" s="177">
        <v>0</v>
      </c>
      <c r="AY1089" s="177">
        <v>0</v>
      </c>
      <c r="AZ1089" s="177">
        <v>0</v>
      </c>
      <c r="BA1089" s="177">
        <v>0</v>
      </c>
      <c r="BB1089" s="177">
        <v>0</v>
      </c>
    </row>
    <row r="1090" spans="1:56" hidden="1" outlineLevel="1" x14ac:dyDescent="0.3">
      <c r="A1090" s="175" t="str">
        <f ca="1">Language!A$1078</f>
        <v>на конец периода (без учета изменения курса)</v>
      </c>
      <c r="C1090" s="194" t="str">
        <f t="shared" ca="1" si="4106"/>
        <v>руб.</v>
      </c>
      <c r="D1090" s="174">
        <v>1</v>
      </c>
      <c r="F1090" s="170" t="s">
        <v>741</v>
      </c>
      <c r="G1090" s="177">
        <f t="shared" ref="G1090:M1090" si="4177">G1091+G1086-G1087</f>
        <v>0</v>
      </c>
      <c r="H1090" s="177">
        <f t="shared" si="4177"/>
        <v>0</v>
      </c>
      <c r="I1090" s="177">
        <f t="shared" si="4177"/>
        <v>0</v>
      </c>
      <c r="J1090" s="177">
        <f t="shared" si="4177"/>
        <v>0</v>
      </c>
      <c r="K1090" s="177">
        <f t="shared" si="4177"/>
        <v>0</v>
      </c>
      <c r="L1090" s="177">
        <f t="shared" si="4177"/>
        <v>0</v>
      </c>
      <c r="M1090" s="177">
        <f t="shared" si="4177"/>
        <v>0</v>
      </c>
      <c r="N1090" s="177">
        <f t="shared" ref="N1090:O1090" si="4178">N1091+N1086-N1087</f>
        <v>0</v>
      </c>
      <c r="O1090" s="177">
        <f t="shared" si="4178"/>
        <v>0</v>
      </c>
      <c r="P1090" s="177">
        <f t="shared" ref="P1090:Q1090" si="4179">P1091+P1086-P1087</f>
        <v>0</v>
      </c>
      <c r="Q1090" s="177">
        <f t="shared" si="4179"/>
        <v>0</v>
      </c>
      <c r="R1090" s="177">
        <f t="shared" ref="R1090:S1090" si="4180">R1091+R1086-R1087</f>
        <v>0</v>
      </c>
      <c r="S1090" s="177">
        <f t="shared" si="4180"/>
        <v>0</v>
      </c>
      <c r="T1090" s="177">
        <f t="shared" ref="T1090:U1090" si="4181">T1091+T1086-T1087</f>
        <v>0</v>
      </c>
      <c r="U1090" s="177">
        <f t="shared" si="4181"/>
        <v>0</v>
      </c>
      <c r="V1090" s="177">
        <f t="shared" ref="V1090:W1090" si="4182">V1091+V1086-V1087</f>
        <v>0</v>
      </c>
      <c r="W1090" s="177">
        <f t="shared" si="4182"/>
        <v>0</v>
      </c>
      <c r="X1090" s="177">
        <f t="shared" ref="X1090:Y1090" si="4183">X1091+X1086-X1087</f>
        <v>0</v>
      </c>
      <c r="Y1090" s="177">
        <f t="shared" si="4183"/>
        <v>0</v>
      </c>
      <c r="Z1090" s="177">
        <f t="shared" ref="Z1090:AA1090" si="4184">Z1091+Z1086-Z1087</f>
        <v>0</v>
      </c>
      <c r="AA1090" s="177">
        <f t="shared" si="4184"/>
        <v>0</v>
      </c>
      <c r="AB1090" s="177">
        <f t="shared" ref="AB1090:AC1090" si="4185">AB1091+AB1086-AB1087</f>
        <v>0</v>
      </c>
      <c r="AC1090" s="177">
        <f t="shared" si="4185"/>
        <v>0</v>
      </c>
      <c r="AD1090" s="177">
        <f t="shared" ref="AD1090:AE1090" si="4186">AD1091+AD1086-AD1087</f>
        <v>0</v>
      </c>
      <c r="AE1090" s="177">
        <f t="shared" si="4186"/>
        <v>0</v>
      </c>
      <c r="AF1090" s="177">
        <f t="shared" ref="AF1090:AG1090" si="4187">AF1091+AF1086-AF1087</f>
        <v>0</v>
      </c>
      <c r="AG1090" s="177">
        <f t="shared" si="4187"/>
        <v>0</v>
      </c>
      <c r="AH1090" s="177">
        <f t="shared" ref="AH1090:AI1090" si="4188">AH1091+AH1086-AH1087</f>
        <v>0</v>
      </c>
      <c r="AI1090" s="177">
        <f t="shared" si="4188"/>
        <v>0</v>
      </c>
      <c r="AJ1090" s="177">
        <f t="shared" ref="AJ1090:AK1090" si="4189">AJ1091+AJ1086-AJ1087</f>
        <v>0</v>
      </c>
      <c r="AK1090" s="177">
        <f t="shared" si="4189"/>
        <v>0</v>
      </c>
      <c r="AL1090" s="177">
        <f t="shared" ref="AL1090:AM1090" si="4190">AL1091+AL1086-AL1087</f>
        <v>0</v>
      </c>
      <c r="AM1090" s="177">
        <f t="shared" si="4190"/>
        <v>0</v>
      </c>
      <c r="AN1090" s="177">
        <f t="shared" ref="AN1090:AO1090" si="4191">AN1091+AN1086-AN1087</f>
        <v>0</v>
      </c>
      <c r="AO1090" s="177">
        <f t="shared" si="4191"/>
        <v>0</v>
      </c>
      <c r="AP1090" s="177">
        <f t="shared" ref="AP1090:AQ1090" si="4192">AP1091+AP1086-AP1087</f>
        <v>0</v>
      </c>
      <c r="AQ1090" s="177">
        <f t="shared" si="4192"/>
        <v>0</v>
      </c>
      <c r="AR1090" s="177">
        <f t="shared" ref="AR1090:AS1090" si="4193">AR1091+AR1086-AR1087</f>
        <v>0</v>
      </c>
      <c r="AS1090" s="177">
        <f t="shared" si="4193"/>
        <v>0</v>
      </c>
      <c r="AT1090" s="177">
        <f t="shared" ref="AT1090:AU1090" si="4194">AT1091+AT1086-AT1087</f>
        <v>0</v>
      </c>
      <c r="AU1090" s="177">
        <f t="shared" si="4194"/>
        <v>0</v>
      </c>
      <c r="AV1090" s="177">
        <f t="shared" ref="AV1090:AW1090" si="4195">AV1091+AV1086-AV1087</f>
        <v>0</v>
      </c>
      <c r="AW1090" s="177">
        <f t="shared" si="4195"/>
        <v>0</v>
      </c>
      <c r="AX1090" s="177">
        <f t="shared" ref="AX1090:AY1090" si="4196">AX1091+AX1086-AX1087</f>
        <v>0</v>
      </c>
      <c r="AY1090" s="177">
        <f t="shared" si="4196"/>
        <v>0</v>
      </c>
      <c r="AZ1090" s="177">
        <f t="shared" ref="AZ1090:BA1090" si="4197">AZ1091+AZ1086-AZ1087</f>
        <v>0</v>
      </c>
      <c r="BA1090" s="177">
        <f t="shared" si="4197"/>
        <v>0</v>
      </c>
      <c r="BB1090" s="177">
        <f t="shared" ref="BB1090" si="4198">BB1091+BB1086-BB1087</f>
        <v>0</v>
      </c>
    </row>
    <row r="1091" spans="1:56" hidden="1" outlineLevel="1" x14ac:dyDescent="0.3">
      <c r="A1091" s="175" t="str">
        <f ca="1">Language!A$1079</f>
        <v>на начало периода (без учета изменения курса)</v>
      </c>
      <c r="C1091" s="194" t="str">
        <f t="shared" ca="1" si="4106"/>
        <v>руб.</v>
      </c>
      <c r="D1091" s="174">
        <v>1</v>
      </c>
      <c r="F1091" s="170" t="s">
        <v>744</v>
      </c>
      <c r="G1091" s="177">
        <v>0</v>
      </c>
      <c r="H1091" s="177">
        <f t="shared" ref="H1091:BB1091" si="4199">G1090</f>
        <v>0</v>
      </c>
      <c r="I1091" s="177">
        <f t="shared" si="4199"/>
        <v>0</v>
      </c>
      <c r="J1091" s="177">
        <f t="shared" si="4199"/>
        <v>0</v>
      </c>
      <c r="K1091" s="177">
        <f t="shared" si="4199"/>
        <v>0</v>
      </c>
      <c r="L1091" s="177">
        <f t="shared" si="4199"/>
        <v>0</v>
      </c>
      <c r="M1091" s="177">
        <f t="shared" si="4199"/>
        <v>0</v>
      </c>
      <c r="N1091" s="177">
        <f t="shared" si="4199"/>
        <v>0</v>
      </c>
      <c r="O1091" s="177">
        <f t="shared" si="4199"/>
        <v>0</v>
      </c>
      <c r="P1091" s="177">
        <f t="shared" si="4199"/>
        <v>0</v>
      </c>
      <c r="Q1091" s="177">
        <f t="shared" si="4199"/>
        <v>0</v>
      </c>
      <c r="R1091" s="177">
        <f t="shared" si="4199"/>
        <v>0</v>
      </c>
      <c r="S1091" s="177">
        <f t="shared" si="4199"/>
        <v>0</v>
      </c>
      <c r="T1091" s="177">
        <f t="shared" si="4199"/>
        <v>0</v>
      </c>
      <c r="U1091" s="177">
        <f t="shared" si="4199"/>
        <v>0</v>
      </c>
      <c r="V1091" s="177">
        <f t="shared" si="4199"/>
        <v>0</v>
      </c>
      <c r="W1091" s="177">
        <f t="shared" si="4199"/>
        <v>0</v>
      </c>
      <c r="X1091" s="177">
        <f t="shared" si="4199"/>
        <v>0</v>
      </c>
      <c r="Y1091" s="177">
        <f t="shared" si="4199"/>
        <v>0</v>
      </c>
      <c r="Z1091" s="177">
        <f t="shared" si="4199"/>
        <v>0</v>
      </c>
      <c r="AA1091" s="177">
        <f t="shared" si="4199"/>
        <v>0</v>
      </c>
      <c r="AB1091" s="177">
        <f t="shared" si="4199"/>
        <v>0</v>
      </c>
      <c r="AC1091" s="177">
        <f t="shared" si="4199"/>
        <v>0</v>
      </c>
      <c r="AD1091" s="177">
        <f t="shared" si="4199"/>
        <v>0</v>
      </c>
      <c r="AE1091" s="177">
        <f t="shared" si="4199"/>
        <v>0</v>
      </c>
      <c r="AF1091" s="177">
        <f t="shared" si="4199"/>
        <v>0</v>
      </c>
      <c r="AG1091" s="177">
        <f t="shared" si="4199"/>
        <v>0</v>
      </c>
      <c r="AH1091" s="177">
        <f t="shared" si="4199"/>
        <v>0</v>
      </c>
      <c r="AI1091" s="177">
        <f t="shared" si="4199"/>
        <v>0</v>
      </c>
      <c r="AJ1091" s="177">
        <f t="shared" si="4199"/>
        <v>0</v>
      </c>
      <c r="AK1091" s="177">
        <f t="shared" si="4199"/>
        <v>0</v>
      </c>
      <c r="AL1091" s="177">
        <f t="shared" si="4199"/>
        <v>0</v>
      </c>
      <c r="AM1091" s="177">
        <f t="shared" si="4199"/>
        <v>0</v>
      </c>
      <c r="AN1091" s="177">
        <f t="shared" si="4199"/>
        <v>0</v>
      </c>
      <c r="AO1091" s="177">
        <f t="shared" si="4199"/>
        <v>0</v>
      </c>
      <c r="AP1091" s="177">
        <f t="shared" si="4199"/>
        <v>0</v>
      </c>
      <c r="AQ1091" s="177">
        <f t="shared" si="4199"/>
        <v>0</v>
      </c>
      <c r="AR1091" s="177">
        <f t="shared" si="4199"/>
        <v>0</v>
      </c>
      <c r="AS1091" s="177">
        <f t="shared" si="4199"/>
        <v>0</v>
      </c>
      <c r="AT1091" s="177">
        <f t="shared" si="4199"/>
        <v>0</v>
      </c>
      <c r="AU1091" s="177">
        <f t="shared" si="4199"/>
        <v>0</v>
      </c>
      <c r="AV1091" s="177">
        <f t="shared" si="4199"/>
        <v>0</v>
      </c>
      <c r="AW1091" s="177">
        <f t="shared" si="4199"/>
        <v>0</v>
      </c>
      <c r="AX1091" s="177">
        <f t="shared" si="4199"/>
        <v>0</v>
      </c>
      <c r="AY1091" s="177">
        <f t="shared" si="4199"/>
        <v>0</v>
      </c>
      <c r="AZ1091" s="177">
        <f t="shared" si="4199"/>
        <v>0</v>
      </c>
      <c r="BA1091" s="177">
        <f t="shared" si="4199"/>
        <v>0</v>
      </c>
      <c r="BB1091" s="177">
        <f t="shared" si="4199"/>
        <v>0</v>
      </c>
    </row>
    <row r="1092" spans="1:56" hidden="1" outlineLevel="1" x14ac:dyDescent="0.3">
      <c r="A1092" s="175" t="str">
        <f ca="1">Language!A$1080</f>
        <v>прибыль (убыток) от курсовой разницы</v>
      </c>
      <c r="C1092" s="194" t="str">
        <f t="shared" ca="1" si="4106"/>
        <v>руб.</v>
      </c>
      <c r="D1092" s="174">
        <v>1</v>
      </c>
      <c r="F1092" s="170" t="s">
        <v>740</v>
      </c>
      <c r="G1092" s="177">
        <f>G1089-G1090</f>
        <v>0</v>
      </c>
      <c r="H1092" s="177">
        <f>(H1089-H1090)-(G1089-G1090)</f>
        <v>0</v>
      </c>
      <c r="I1092" s="177">
        <f t="shared" ref="I1092:BB1092" si="4200">(I1089-I1090)-(H1089-H1090)</f>
        <v>0</v>
      </c>
      <c r="J1092" s="177">
        <f t="shared" si="4200"/>
        <v>0</v>
      </c>
      <c r="K1092" s="177">
        <f t="shared" si="4200"/>
        <v>0</v>
      </c>
      <c r="L1092" s="177">
        <f t="shared" si="4200"/>
        <v>0</v>
      </c>
      <c r="M1092" s="177">
        <f t="shared" si="4200"/>
        <v>0</v>
      </c>
      <c r="N1092" s="177">
        <f t="shared" si="4200"/>
        <v>0</v>
      </c>
      <c r="O1092" s="177">
        <f t="shared" si="4200"/>
        <v>0</v>
      </c>
      <c r="P1092" s="177">
        <f t="shared" si="4200"/>
        <v>0</v>
      </c>
      <c r="Q1092" s="177">
        <f t="shared" si="4200"/>
        <v>0</v>
      </c>
      <c r="R1092" s="177">
        <f t="shared" si="4200"/>
        <v>0</v>
      </c>
      <c r="S1092" s="177">
        <f t="shared" si="4200"/>
        <v>0</v>
      </c>
      <c r="T1092" s="177">
        <f t="shared" si="4200"/>
        <v>0</v>
      </c>
      <c r="U1092" s="177">
        <f t="shared" si="4200"/>
        <v>0</v>
      </c>
      <c r="V1092" s="177">
        <f t="shared" si="4200"/>
        <v>0</v>
      </c>
      <c r="W1092" s="177">
        <f t="shared" si="4200"/>
        <v>0</v>
      </c>
      <c r="X1092" s="177">
        <f t="shared" si="4200"/>
        <v>0</v>
      </c>
      <c r="Y1092" s="177">
        <f t="shared" si="4200"/>
        <v>0</v>
      </c>
      <c r="Z1092" s="177">
        <f t="shared" si="4200"/>
        <v>0</v>
      </c>
      <c r="AA1092" s="177">
        <f t="shared" si="4200"/>
        <v>0</v>
      </c>
      <c r="AB1092" s="177">
        <f t="shared" si="4200"/>
        <v>0</v>
      </c>
      <c r="AC1092" s="177">
        <f t="shared" si="4200"/>
        <v>0</v>
      </c>
      <c r="AD1092" s="177">
        <f t="shared" si="4200"/>
        <v>0</v>
      </c>
      <c r="AE1092" s="177">
        <f t="shared" si="4200"/>
        <v>0</v>
      </c>
      <c r="AF1092" s="177">
        <f t="shared" si="4200"/>
        <v>0</v>
      </c>
      <c r="AG1092" s="177">
        <f t="shared" si="4200"/>
        <v>0</v>
      </c>
      <c r="AH1092" s="177">
        <f t="shared" si="4200"/>
        <v>0</v>
      </c>
      <c r="AI1092" s="177">
        <f t="shared" si="4200"/>
        <v>0</v>
      </c>
      <c r="AJ1092" s="177">
        <f t="shared" si="4200"/>
        <v>0</v>
      </c>
      <c r="AK1092" s="177">
        <f t="shared" si="4200"/>
        <v>0</v>
      </c>
      <c r="AL1092" s="177">
        <f t="shared" si="4200"/>
        <v>0</v>
      </c>
      <c r="AM1092" s="177">
        <f t="shared" si="4200"/>
        <v>0</v>
      </c>
      <c r="AN1092" s="177">
        <f t="shared" si="4200"/>
        <v>0</v>
      </c>
      <c r="AO1092" s="177">
        <f t="shared" si="4200"/>
        <v>0</v>
      </c>
      <c r="AP1092" s="177">
        <f t="shared" si="4200"/>
        <v>0</v>
      </c>
      <c r="AQ1092" s="177">
        <f t="shared" si="4200"/>
        <v>0</v>
      </c>
      <c r="AR1092" s="177">
        <f t="shared" si="4200"/>
        <v>0</v>
      </c>
      <c r="AS1092" s="177">
        <f t="shared" si="4200"/>
        <v>0</v>
      </c>
      <c r="AT1092" s="177">
        <f t="shared" si="4200"/>
        <v>0</v>
      </c>
      <c r="AU1092" s="177">
        <f t="shared" si="4200"/>
        <v>0</v>
      </c>
      <c r="AV1092" s="177">
        <f t="shared" si="4200"/>
        <v>0</v>
      </c>
      <c r="AW1092" s="177">
        <f t="shared" si="4200"/>
        <v>0</v>
      </c>
      <c r="AX1092" s="177">
        <f t="shared" si="4200"/>
        <v>0</v>
      </c>
      <c r="AY1092" s="177">
        <f t="shared" si="4200"/>
        <v>0</v>
      </c>
      <c r="AZ1092" s="177">
        <f t="shared" si="4200"/>
        <v>0</v>
      </c>
      <c r="BA1092" s="177">
        <f t="shared" si="4200"/>
        <v>0</v>
      </c>
      <c r="BB1092" s="177">
        <f t="shared" si="4200"/>
        <v>0</v>
      </c>
      <c r="BD1092" s="178">
        <f>SUM(G1092:BC1092)</f>
        <v>0</v>
      </c>
    </row>
    <row r="1093" spans="1:56" hidden="1" x14ac:dyDescent="0.3">
      <c r="A1093" s="196"/>
      <c r="B1093" s="196"/>
      <c r="C1093" s="196"/>
      <c r="D1093" s="197"/>
      <c r="E1093" s="197" t="s">
        <v>774</v>
      </c>
      <c r="F1093" s="197"/>
      <c r="G1093" s="196"/>
      <c r="H1093" s="196"/>
      <c r="I1093" s="196"/>
      <c r="J1093" s="196"/>
      <c r="K1093" s="196"/>
      <c r="L1093" s="196"/>
      <c r="M1093" s="196"/>
      <c r="N1093" s="196"/>
      <c r="O1093" s="196"/>
      <c r="P1093" s="196"/>
      <c r="Q1093" s="196"/>
      <c r="R1093" s="196"/>
      <c r="S1093" s="196"/>
      <c r="T1093" s="196"/>
      <c r="U1093" s="196"/>
      <c r="V1093" s="196"/>
      <c r="W1093" s="196"/>
      <c r="X1093" s="196"/>
      <c r="Y1093" s="196"/>
      <c r="Z1093" s="196"/>
      <c r="AA1093" s="196"/>
      <c r="AB1093" s="196"/>
      <c r="AC1093" s="196"/>
      <c r="AD1093" s="196"/>
      <c r="AE1093" s="196"/>
      <c r="AF1093" s="196"/>
      <c r="AG1093" s="196"/>
      <c r="AH1093" s="196"/>
      <c r="AI1093" s="196"/>
      <c r="AJ1093" s="196"/>
      <c r="AK1093" s="196"/>
      <c r="AL1093" s="196"/>
      <c r="AM1093" s="196"/>
      <c r="AN1093" s="196"/>
      <c r="AO1093" s="196"/>
      <c r="AP1093" s="196"/>
      <c r="AQ1093" s="196"/>
      <c r="AR1093" s="196"/>
      <c r="AS1093" s="196"/>
      <c r="AT1093" s="196"/>
      <c r="AU1093" s="196"/>
      <c r="AV1093" s="196"/>
      <c r="AW1093" s="196"/>
      <c r="AX1093" s="196"/>
      <c r="AY1093" s="196"/>
      <c r="AZ1093" s="196"/>
      <c r="BA1093" s="196"/>
      <c r="BB1093" s="196"/>
      <c r="BC1093" s="196"/>
      <c r="BD1093" s="204"/>
    </row>
    <row r="1094" spans="1:56" hidden="1" x14ac:dyDescent="0.3"/>
    <row r="1096" spans="1:56" s="168" customFormat="1" ht="25.5" customHeight="1" thickBot="1" x14ac:dyDescent="0.35">
      <c r="A1096" s="330" t="str">
        <f ca="1">Language!A$1522</f>
        <v>ПРЕДОСТАВЛЕННЫЕ ЗАЙМЫ</v>
      </c>
      <c r="B1096" s="331"/>
      <c r="C1096" s="332"/>
      <c r="D1096" s="333"/>
      <c r="E1096" s="333" t="s">
        <v>3322</v>
      </c>
      <c r="F1096" s="333"/>
      <c r="G1096" s="334" t="str">
        <f ca="1">Параметры!G$34</f>
        <v>янв.25</v>
      </c>
      <c r="H1096" s="334" t="str">
        <f ca="1">Параметры!H$34</f>
        <v>фев.25</v>
      </c>
      <c r="I1096" s="334" t="str">
        <f ca="1">Параметры!I$34</f>
        <v>мар.25</v>
      </c>
      <c r="J1096" s="334" t="str">
        <f ca="1">Параметры!J$34</f>
        <v>апр.25</v>
      </c>
      <c r="K1096" s="334" t="str">
        <f ca="1">Параметры!K$34</f>
        <v>май.25</v>
      </c>
      <c r="L1096" s="334" t="str">
        <f ca="1">Параметры!L$34</f>
        <v>июн.25</v>
      </c>
      <c r="M1096" s="335" t="str">
        <f ca="1">Параметры!M$34</f>
        <v>июл.25</v>
      </c>
      <c r="N1096" s="335" t="str">
        <f ca="1">Параметры!N$34</f>
        <v>авг.25</v>
      </c>
      <c r="O1096" s="335" t="str">
        <f ca="1">Параметры!O$34</f>
        <v>сен.25</v>
      </c>
      <c r="P1096" s="335" t="str">
        <f ca="1">Параметры!P$34</f>
        <v>окт.25</v>
      </c>
      <c r="Q1096" s="335" t="str">
        <f ca="1">Параметры!Q$34</f>
        <v>ноя.25</v>
      </c>
      <c r="R1096" s="335" t="str">
        <f ca="1">Параметры!R$34</f>
        <v>дек.25</v>
      </c>
      <c r="S1096" s="335" t="str">
        <f ca="1">Параметры!S$34</f>
        <v>янв.26</v>
      </c>
      <c r="T1096" s="335" t="str">
        <f ca="1">Параметры!T$34</f>
        <v>фев.26</v>
      </c>
      <c r="U1096" s="335" t="str">
        <f ca="1">Параметры!U$34</f>
        <v>мар.26</v>
      </c>
      <c r="V1096" s="335" t="str">
        <f ca="1">Параметры!V$34</f>
        <v>апр.26</v>
      </c>
      <c r="W1096" s="335" t="str">
        <f ca="1">Параметры!W$34</f>
        <v>май.26</v>
      </c>
      <c r="X1096" s="335" t="str">
        <f ca="1">Параметры!X$34</f>
        <v>июн.26</v>
      </c>
      <c r="Y1096" s="335" t="str">
        <f ca="1">Параметры!Y$34</f>
        <v>июл.26</v>
      </c>
      <c r="Z1096" s="335" t="str">
        <f ca="1">Параметры!Z$34</f>
        <v>авг.26</v>
      </c>
      <c r="AA1096" s="335" t="str">
        <f ca="1">Параметры!AA$34</f>
        <v>сен.26</v>
      </c>
      <c r="AB1096" s="335" t="str">
        <f ca="1">Параметры!AB$34</f>
        <v>окт.26</v>
      </c>
      <c r="AC1096" s="335" t="str">
        <f ca="1">Параметры!AC$34</f>
        <v>ноя.26</v>
      </c>
      <c r="AD1096" s="335" t="str">
        <f ca="1">Параметры!AD$34</f>
        <v>дек.26</v>
      </c>
      <c r="AE1096" s="335" t="str">
        <f ca="1">Параметры!AE$34</f>
        <v>янв.27</v>
      </c>
      <c r="AF1096" s="335" t="str">
        <f ca="1">Параметры!AF$34</f>
        <v>фев.27</v>
      </c>
      <c r="AG1096" s="335" t="str">
        <f ca="1">Параметры!AG$34</f>
        <v>мар.27</v>
      </c>
      <c r="AH1096" s="335" t="str">
        <f ca="1">Параметры!AH$34</f>
        <v>апр.27</v>
      </c>
      <c r="AI1096" s="335" t="str">
        <f ca="1">Параметры!AI$34</f>
        <v>май.27</v>
      </c>
      <c r="AJ1096" s="335" t="str">
        <f ca="1">Параметры!AJ$34</f>
        <v>июн.27</v>
      </c>
      <c r="AK1096" s="335" t="str">
        <f ca="1">Параметры!AK$34</f>
        <v>июл.27</v>
      </c>
      <c r="AL1096" s="335" t="str">
        <f ca="1">Параметры!AL$34</f>
        <v>авг.27</v>
      </c>
      <c r="AM1096" s="335" t="str">
        <f ca="1">Параметры!AM$34</f>
        <v>сен.27</v>
      </c>
      <c r="AN1096" s="335" t="str">
        <f ca="1">Параметры!AN$34</f>
        <v>окт.27</v>
      </c>
      <c r="AO1096" s="335" t="str">
        <f ca="1">Параметры!AO$34</f>
        <v>ноя.27</v>
      </c>
      <c r="AP1096" s="335" t="str">
        <f ca="1">Параметры!AP$34</f>
        <v>дек.27</v>
      </c>
      <c r="AQ1096" s="335" t="str">
        <f ca="1">Параметры!AQ$34</f>
        <v>янв.28</v>
      </c>
      <c r="AR1096" s="335" t="str">
        <f ca="1">Параметры!AR$34</f>
        <v>фев.28</v>
      </c>
      <c r="AS1096" s="335" t="str">
        <f ca="1">Параметры!AS$34</f>
        <v>мар.28</v>
      </c>
      <c r="AT1096" s="335" t="str">
        <f ca="1">Параметры!AT$34</f>
        <v>апр.28</v>
      </c>
      <c r="AU1096" s="335" t="str">
        <f ca="1">Параметры!AU$34</f>
        <v>май.28</v>
      </c>
      <c r="AV1096" s="335" t="str">
        <f ca="1">Параметры!AV$34</f>
        <v>июн.28</v>
      </c>
      <c r="AW1096" s="335" t="str">
        <f ca="1">Параметры!AW$34</f>
        <v>июл.28</v>
      </c>
      <c r="AX1096" s="335" t="str">
        <f ca="1">Параметры!AX$34</f>
        <v>авг.28</v>
      </c>
      <c r="AY1096" s="335" t="str">
        <f ca="1">Параметры!AY$34</f>
        <v>сен.28</v>
      </c>
      <c r="AZ1096" s="335" t="str">
        <f ca="1">Параметры!AZ$34</f>
        <v>окт.28</v>
      </c>
      <c r="BA1096" s="335" t="str">
        <f ca="1">Параметры!BA$34</f>
        <v>ноя.28</v>
      </c>
      <c r="BB1096" s="335" t="str">
        <f ca="1">Параметры!BB$34</f>
        <v>дек.28</v>
      </c>
      <c r="BC1096" s="335"/>
      <c r="BD1096" s="336" t="str">
        <f ca="1">Language!$A$1473</f>
        <v>ИТОГО</v>
      </c>
    </row>
    <row r="1097" spans="1:56" ht="14.4" hidden="1" thickTop="1" x14ac:dyDescent="0.3">
      <c r="A1097" s="195"/>
      <c r="E1097" s="170" t="s">
        <v>642</v>
      </c>
      <c r="F1097" s="170" t="s">
        <v>643</v>
      </c>
    </row>
    <row r="1098" spans="1:56" ht="14.4" hidden="1" thickTop="1" x14ac:dyDescent="0.3">
      <c r="A1098" s="283" t="str">
        <f ca="1">Language!A$1523</f>
        <v>Шаблон долгосрочного займа</v>
      </c>
      <c r="B1098" s="205"/>
      <c r="C1098" s="176" t="str">
        <f t="shared" ref="C1098" ca="1" si="4201">CHOOSE(D1098,CurName1,CurName2,CurName3)</f>
        <v>руб.</v>
      </c>
      <c r="D1098" s="174">
        <v>1</v>
      </c>
      <c r="F1098" s="170" t="s">
        <v>3321</v>
      </c>
    </row>
    <row r="1099" spans="1:56" ht="14.4" hidden="1" thickTop="1" x14ac:dyDescent="0.3">
      <c r="A1099" s="175" t="str">
        <f ca="1">Language!A$1525</f>
        <v>ставка процентов по займу</v>
      </c>
      <c r="B1099" s="303">
        <v>0.1</v>
      </c>
      <c r="C1099" s="176" t="str">
        <f ca="1">Language!$A$480</f>
        <v>% в год</v>
      </c>
      <c r="D1099" s="174"/>
      <c r="E1099" s="170" t="s">
        <v>1534</v>
      </c>
      <c r="F1099" s="170" t="s">
        <v>749</v>
      </c>
      <c r="G1099" s="304">
        <f>B1099</f>
        <v>0.1</v>
      </c>
      <c r="H1099" s="304">
        <f t="shared" ref="H1099" si="4202">G1099</f>
        <v>0.1</v>
      </c>
      <c r="I1099" s="304">
        <f t="shared" ref="I1099" si="4203">H1099</f>
        <v>0.1</v>
      </c>
      <c r="J1099" s="304">
        <f t="shared" ref="J1099" si="4204">I1099</f>
        <v>0.1</v>
      </c>
      <c r="K1099" s="304">
        <f t="shared" ref="K1099:BB1099" si="4205">J1099</f>
        <v>0.1</v>
      </c>
      <c r="L1099" s="304">
        <f t="shared" si="4205"/>
        <v>0.1</v>
      </c>
      <c r="M1099" s="304">
        <f t="shared" si="4205"/>
        <v>0.1</v>
      </c>
      <c r="N1099" s="304">
        <f t="shared" si="4205"/>
        <v>0.1</v>
      </c>
      <c r="O1099" s="304">
        <f t="shared" si="4205"/>
        <v>0.1</v>
      </c>
      <c r="P1099" s="304">
        <f t="shared" si="4205"/>
        <v>0.1</v>
      </c>
      <c r="Q1099" s="304">
        <f t="shared" si="4205"/>
        <v>0.1</v>
      </c>
      <c r="R1099" s="304">
        <f t="shared" si="4205"/>
        <v>0.1</v>
      </c>
      <c r="S1099" s="304">
        <f t="shared" si="4205"/>
        <v>0.1</v>
      </c>
      <c r="T1099" s="304">
        <f t="shared" si="4205"/>
        <v>0.1</v>
      </c>
      <c r="U1099" s="304">
        <f t="shared" si="4205"/>
        <v>0.1</v>
      </c>
      <c r="V1099" s="304">
        <f t="shared" si="4205"/>
        <v>0.1</v>
      </c>
      <c r="W1099" s="304">
        <f t="shared" si="4205"/>
        <v>0.1</v>
      </c>
      <c r="X1099" s="304">
        <f t="shared" si="4205"/>
        <v>0.1</v>
      </c>
      <c r="Y1099" s="304">
        <f t="shared" si="4205"/>
        <v>0.1</v>
      </c>
      <c r="Z1099" s="304">
        <f t="shared" si="4205"/>
        <v>0.1</v>
      </c>
      <c r="AA1099" s="304">
        <f t="shared" si="4205"/>
        <v>0.1</v>
      </c>
      <c r="AB1099" s="304">
        <f t="shared" si="4205"/>
        <v>0.1</v>
      </c>
      <c r="AC1099" s="304">
        <f t="shared" si="4205"/>
        <v>0.1</v>
      </c>
      <c r="AD1099" s="304">
        <f t="shared" si="4205"/>
        <v>0.1</v>
      </c>
      <c r="AE1099" s="304">
        <f t="shared" si="4205"/>
        <v>0.1</v>
      </c>
      <c r="AF1099" s="304">
        <f t="shared" si="4205"/>
        <v>0.1</v>
      </c>
      <c r="AG1099" s="304">
        <f t="shared" si="4205"/>
        <v>0.1</v>
      </c>
      <c r="AH1099" s="304">
        <f t="shared" si="4205"/>
        <v>0.1</v>
      </c>
      <c r="AI1099" s="304">
        <f t="shared" si="4205"/>
        <v>0.1</v>
      </c>
      <c r="AJ1099" s="304">
        <f t="shared" si="4205"/>
        <v>0.1</v>
      </c>
      <c r="AK1099" s="304">
        <f t="shared" si="4205"/>
        <v>0.1</v>
      </c>
      <c r="AL1099" s="304">
        <f t="shared" si="4205"/>
        <v>0.1</v>
      </c>
      <c r="AM1099" s="304">
        <f t="shared" si="4205"/>
        <v>0.1</v>
      </c>
      <c r="AN1099" s="304">
        <f t="shared" si="4205"/>
        <v>0.1</v>
      </c>
      <c r="AO1099" s="304">
        <f t="shared" si="4205"/>
        <v>0.1</v>
      </c>
      <c r="AP1099" s="304">
        <f t="shared" si="4205"/>
        <v>0.1</v>
      </c>
      <c r="AQ1099" s="304">
        <f t="shared" si="4205"/>
        <v>0.1</v>
      </c>
      <c r="AR1099" s="304">
        <f t="shared" si="4205"/>
        <v>0.1</v>
      </c>
      <c r="AS1099" s="304">
        <f t="shared" si="4205"/>
        <v>0.1</v>
      </c>
      <c r="AT1099" s="304">
        <f t="shared" si="4205"/>
        <v>0.1</v>
      </c>
      <c r="AU1099" s="304">
        <f t="shared" si="4205"/>
        <v>0.1</v>
      </c>
      <c r="AV1099" s="304">
        <f t="shared" si="4205"/>
        <v>0.1</v>
      </c>
      <c r="AW1099" s="304">
        <f t="shared" si="4205"/>
        <v>0.1</v>
      </c>
      <c r="AX1099" s="304">
        <f t="shared" si="4205"/>
        <v>0.1</v>
      </c>
      <c r="AY1099" s="304">
        <f t="shared" si="4205"/>
        <v>0.1</v>
      </c>
      <c r="AZ1099" s="304">
        <f t="shared" si="4205"/>
        <v>0.1</v>
      </c>
      <c r="BA1099" s="304">
        <f t="shared" si="4205"/>
        <v>0.1</v>
      </c>
      <c r="BB1099" s="304">
        <f t="shared" si="4205"/>
        <v>0.1</v>
      </c>
      <c r="BC1099" s="226"/>
    </row>
    <row r="1100" spans="1:56" ht="14.4" hidden="1" thickTop="1" x14ac:dyDescent="0.3">
      <c r="A1100" s="175" t="str">
        <f ca="1">Language!A$1107</f>
        <v>отсрочка выплаты процентов</v>
      </c>
      <c r="B1100" s="292">
        <v>0</v>
      </c>
      <c r="C1100" s="176" t="str">
        <f ca="1">Language!$A$1484</f>
        <v>периодов</v>
      </c>
      <c r="D1100" s="174"/>
      <c r="F1100" s="170" t="s">
        <v>753</v>
      </c>
    </row>
    <row r="1101" spans="1:56" ht="14.4" hidden="1" thickTop="1" x14ac:dyDescent="0.3">
      <c r="A1101" s="175" t="str">
        <f ca="1">Language!A$1108</f>
        <v>капитализация невыплаченных процентов</v>
      </c>
      <c r="B1101" s="305">
        <v>1</v>
      </c>
      <c r="C1101" s="176" t="str">
        <f ca="1">IF(B1101=1,Language!$A$1475,Language!$A$1476)</f>
        <v>Да</v>
      </c>
      <c r="D1101" s="174"/>
      <c r="F1101" s="170" t="s">
        <v>2351</v>
      </c>
    </row>
    <row r="1102" spans="1:56" ht="14.4" hidden="1" thickTop="1" x14ac:dyDescent="0.3">
      <c r="A1102" s="175" t="str">
        <f ca="1">Language!A$1109</f>
        <v>срок кредитования</v>
      </c>
      <c r="B1102" s="227">
        <f ca="1">IF(OFFSET(G1105,0,Prj_Len-1)&gt;0,"-",BD1109/12)</f>
        <v>0</v>
      </c>
      <c r="C1102" s="228" t="str">
        <f ca="1">Language!A$48</f>
        <v>лет</v>
      </c>
      <c r="D1102" s="174"/>
      <c r="F1102" s="170" t="s">
        <v>753</v>
      </c>
    </row>
    <row r="1103" spans="1:56" ht="14.4" hidden="1" thickTop="1" x14ac:dyDescent="0.3">
      <c r="A1103" s="175" t="str">
        <f ca="1">Language!A$1526</f>
        <v>выдача займа</v>
      </c>
      <c r="C1103" s="176" t="str">
        <f t="shared" ref="C1103:C1107" ca="1" si="4206">CHOOSE(D1103,CurName1,CurName2,CurName3)</f>
        <v>руб.</v>
      </c>
      <c r="D1103" s="174">
        <f>D1098</f>
        <v>1</v>
      </c>
      <c r="E1103" s="170" t="s">
        <v>1463</v>
      </c>
      <c r="F1103" s="170" t="s">
        <v>742</v>
      </c>
      <c r="G1103" s="296">
        <v>0</v>
      </c>
      <c r="H1103" s="296">
        <v>0</v>
      </c>
      <c r="I1103" s="296">
        <v>0</v>
      </c>
      <c r="J1103" s="296">
        <v>0</v>
      </c>
      <c r="K1103" s="296">
        <v>0</v>
      </c>
      <c r="L1103" s="296">
        <v>0</v>
      </c>
      <c r="M1103" s="296">
        <v>0</v>
      </c>
      <c r="N1103" s="296">
        <v>0</v>
      </c>
      <c r="O1103" s="296">
        <v>0</v>
      </c>
      <c r="P1103" s="296">
        <v>0</v>
      </c>
      <c r="Q1103" s="296">
        <v>0</v>
      </c>
      <c r="R1103" s="296">
        <v>0</v>
      </c>
      <c r="S1103" s="296">
        <v>0</v>
      </c>
      <c r="T1103" s="296">
        <v>0</v>
      </c>
      <c r="U1103" s="296">
        <v>0</v>
      </c>
      <c r="V1103" s="296">
        <v>0</v>
      </c>
      <c r="W1103" s="296">
        <v>0</v>
      </c>
      <c r="X1103" s="296">
        <v>0</v>
      </c>
      <c r="Y1103" s="296">
        <v>0</v>
      </c>
      <c r="Z1103" s="296">
        <v>0</v>
      </c>
      <c r="AA1103" s="296">
        <v>0</v>
      </c>
      <c r="AB1103" s="296">
        <v>0</v>
      </c>
      <c r="AC1103" s="296">
        <v>0</v>
      </c>
      <c r="AD1103" s="296">
        <v>0</v>
      </c>
      <c r="AE1103" s="296">
        <v>0</v>
      </c>
      <c r="AF1103" s="296">
        <v>0</v>
      </c>
      <c r="AG1103" s="296">
        <v>0</v>
      </c>
      <c r="AH1103" s="296">
        <v>0</v>
      </c>
      <c r="AI1103" s="296">
        <v>0</v>
      </c>
      <c r="AJ1103" s="296">
        <v>0</v>
      </c>
      <c r="AK1103" s="296">
        <v>0</v>
      </c>
      <c r="AL1103" s="296">
        <v>0</v>
      </c>
      <c r="AM1103" s="296">
        <v>0</v>
      </c>
      <c r="AN1103" s="296">
        <v>0</v>
      </c>
      <c r="AO1103" s="296">
        <v>0</v>
      </c>
      <c r="AP1103" s="296">
        <v>0</v>
      </c>
      <c r="AQ1103" s="296">
        <v>0</v>
      </c>
      <c r="AR1103" s="296">
        <v>0</v>
      </c>
      <c r="AS1103" s="296">
        <v>0</v>
      </c>
      <c r="AT1103" s="296">
        <v>0</v>
      </c>
      <c r="AU1103" s="296">
        <v>0</v>
      </c>
      <c r="AV1103" s="296">
        <v>0</v>
      </c>
      <c r="AW1103" s="296">
        <v>0</v>
      </c>
      <c r="AX1103" s="296">
        <v>0</v>
      </c>
      <c r="AY1103" s="296">
        <v>0</v>
      </c>
      <c r="AZ1103" s="296">
        <v>0</v>
      </c>
      <c r="BA1103" s="296">
        <v>0</v>
      </c>
      <c r="BB1103" s="296">
        <v>0</v>
      </c>
      <c r="BC1103" s="202"/>
      <c r="BD1103" s="178">
        <f>SUM(G1103:BC1103)</f>
        <v>0</v>
      </c>
    </row>
    <row r="1104" spans="1:56" ht="14.4" hidden="1" thickTop="1" x14ac:dyDescent="0.3">
      <c r="A1104" s="175" t="str">
        <f ca="1">Language!A$1527</f>
        <v>возврат займа</v>
      </c>
      <c r="C1104" s="176" t="str">
        <f t="shared" ca="1" si="4206"/>
        <v>руб.</v>
      </c>
      <c r="D1104" s="174">
        <f>D1098</f>
        <v>1</v>
      </c>
      <c r="E1104" s="170" t="s">
        <v>1464</v>
      </c>
      <c r="F1104" s="170" t="s">
        <v>742</v>
      </c>
      <c r="G1104" s="296">
        <v>0</v>
      </c>
      <c r="H1104" s="296">
        <v>0</v>
      </c>
      <c r="I1104" s="296">
        <v>0</v>
      </c>
      <c r="J1104" s="296">
        <v>0</v>
      </c>
      <c r="K1104" s="296">
        <v>0</v>
      </c>
      <c r="L1104" s="296">
        <v>0</v>
      </c>
      <c r="M1104" s="296">
        <v>0</v>
      </c>
      <c r="N1104" s="296">
        <v>0</v>
      </c>
      <c r="O1104" s="296">
        <v>0</v>
      </c>
      <c r="P1104" s="296">
        <v>0</v>
      </c>
      <c r="Q1104" s="296">
        <v>0</v>
      </c>
      <c r="R1104" s="296">
        <v>0</v>
      </c>
      <c r="S1104" s="296">
        <v>0</v>
      </c>
      <c r="T1104" s="296">
        <v>0</v>
      </c>
      <c r="U1104" s="296">
        <v>0</v>
      </c>
      <c r="V1104" s="296">
        <v>0</v>
      </c>
      <c r="W1104" s="296">
        <v>0</v>
      </c>
      <c r="X1104" s="296">
        <v>0</v>
      </c>
      <c r="Y1104" s="296">
        <v>0</v>
      </c>
      <c r="Z1104" s="296">
        <v>0</v>
      </c>
      <c r="AA1104" s="296">
        <v>0</v>
      </c>
      <c r="AB1104" s="296">
        <v>0</v>
      </c>
      <c r="AC1104" s="296">
        <v>0</v>
      </c>
      <c r="AD1104" s="296">
        <v>0</v>
      </c>
      <c r="AE1104" s="296">
        <v>0</v>
      </c>
      <c r="AF1104" s="296">
        <v>0</v>
      </c>
      <c r="AG1104" s="296">
        <v>0</v>
      </c>
      <c r="AH1104" s="296">
        <v>0</v>
      </c>
      <c r="AI1104" s="296">
        <v>0</v>
      </c>
      <c r="AJ1104" s="296">
        <v>0</v>
      </c>
      <c r="AK1104" s="296">
        <v>0</v>
      </c>
      <c r="AL1104" s="296">
        <v>0</v>
      </c>
      <c r="AM1104" s="296">
        <v>0</v>
      </c>
      <c r="AN1104" s="296">
        <v>0</v>
      </c>
      <c r="AO1104" s="296">
        <v>0</v>
      </c>
      <c r="AP1104" s="296">
        <v>0</v>
      </c>
      <c r="AQ1104" s="296">
        <v>0</v>
      </c>
      <c r="AR1104" s="296">
        <v>0</v>
      </c>
      <c r="AS1104" s="296">
        <v>0</v>
      </c>
      <c r="AT1104" s="296">
        <v>0</v>
      </c>
      <c r="AU1104" s="296">
        <v>0</v>
      </c>
      <c r="AV1104" s="296">
        <v>0</v>
      </c>
      <c r="AW1104" s="296">
        <v>0</v>
      </c>
      <c r="AX1104" s="296">
        <v>0</v>
      </c>
      <c r="AY1104" s="296">
        <v>0</v>
      </c>
      <c r="AZ1104" s="296">
        <v>0</v>
      </c>
      <c r="BA1104" s="296">
        <v>0</v>
      </c>
      <c r="BB1104" s="296">
        <v>0</v>
      </c>
      <c r="BC1104" s="202"/>
      <c r="BD1104" s="178">
        <f>SUM(G1104:BC1104)</f>
        <v>0</v>
      </c>
    </row>
    <row r="1105" spans="1:56" ht="14.4" hidden="1" thickTop="1" x14ac:dyDescent="0.3">
      <c r="A1105" s="181" t="str">
        <f ca="1">Language!A$1528</f>
        <v>задолженность по займу</v>
      </c>
      <c r="B1105" s="176"/>
      <c r="C1105" s="176" t="str">
        <f t="shared" ca="1" si="4206"/>
        <v>руб.</v>
      </c>
      <c r="D1105" s="174">
        <f>D1098</f>
        <v>1</v>
      </c>
      <c r="E1105" s="170" t="s">
        <v>1039</v>
      </c>
      <c r="F1105" s="170" t="s">
        <v>749</v>
      </c>
      <c r="G1105" s="182">
        <f>SUM($G1106:G1106)-SUM($G1107:G1107)+SUM($G1103:G1103)-SUM($G1104:G1104)</f>
        <v>0</v>
      </c>
      <c r="H1105" s="182">
        <f>SUM($G1106:H1106)-SUM($G1107:H1107)+SUM($G1103:H1103)-SUM($G1104:H1104)</f>
        <v>0</v>
      </c>
      <c r="I1105" s="182">
        <f>SUM($G1106:I1106)-SUM($G1107:I1107)+SUM($G1103:I1103)-SUM($G1104:I1104)</f>
        <v>0</v>
      </c>
      <c r="J1105" s="182">
        <f>SUM($G1106:J1106)-SUM($G1107:J1107)+SUM($G1103:J1103)-SUM($G1104:J1104)</f>
        <v>0</v>
      </c>
      <c r="K1105" s="182">
        <f>SUM($G1106:K1106)-SUM($G1107:K1107)+SUM($G1103:K1103)-SUM($G1104:K1104)</f>
        <v>0</v>
      </c>
      <c r="L1105" s="182">
        <f>SUM($G1106:L1106)-SUM($G1107:L1107)+SUM($G1103:L1103)-SUM($G1104:L1104)</f>
        <v>0</v>
      </c>
      <c r="M1105" s="182">
        <f>SUM($G1106:M1106)-SUM($G1107:M1107)+SUM($G1103:M1103)-SUM($G1104:M1104)</f>
        <v>0</v>
      </c>
      <c r="N1105" s="182">
        <f>SUM($G1106:N1106)-SUM($G1107:N1107)+SUM($G1103:N1103)-SUM($G1104:N1104)</f>
        <v>0</v>
      </c>
      <c r="O1105" s="182">
        <f>SUM($G1106:O1106)-SUM($G1107:O1107)+SUM($G1103:O1103)-SUM($G1104:O1104)</f>
        <v>0</v>
      </c>
      <c r="P1105" s="182">
        <f>SUM($G1106:P1106)-SUM($G1107:P1107)+SUM($G1103:P1103)-SUM($G1104:P1104)</f>
        <v>0</v>
      </c>
      <c r="Q1105" s="182">
        <f>SUM($G1106:Q1106)-SUM($G1107:Q1107)+SUM($G1103:Q1103)-SUM($G1104:Q1104)</f>
        <v>0</v>
      </c>
      <c r="R1105" s="182">
        <f>SUM($G1106:R1106)-SUM($G1107:R1107)+SUM($G1103:R1103)-SUM($G1104:R1104)</f>
        <v>0</v>
      </c>
      <c r="S1105" s="182">
        <f>SUM($G1106:S1106)-SUM($G1107:S1107)+SUM($G1103:S1103)-SUM($G1104:S1104)</f>
        <v>0</v>
      </c>
      <c r="T1105" s="182">
        <f>SUM($G1106:T1106)-SUM($G1107:T1107)+SUM($G1103:T1103)-SUM($G1104:T1104)</f>
        <v>0</v>
      </c>
      <c r="U1105" s="182">
        <f>SUM($G1106:U1106)-SUM($G1107:U1107)+SUM($G1103:U1103)-SUM($G1104:U1104)</f>
        <v>0</v>
      </c>
      <c r="V1105" s="182">
        <f>SUM($G1106:V1106)-SUM($G1107:V1107)+SUM($G1103:V1103)-SUM($G1104:V1104)</f>
        <v>0</v>
      </c>
      <c r="W1105" s="182">
        <f>SUM($G1106:W1106)-SUM($G1107:W1107)+SUM($G1103:W1103)-SUM($G1104:W1104)</f>
        <v>0</v>
      </c>
      <c r="X1105" s="182">
        <f>SUM($G1106:X1106)-SUM($G1107:X1107)+SUM($G1103:X1103)-SUM($G1104:X1104)</f>
        <v>0</v>
      </c>
      <c r="Y1105" s="182">
        <f>SUM($G1106:Y1106)-SUM($G1107:Y1107)+SUM($G1103:Y1103)-SUM($G1104:Y1104)</f>
        <v>0</v>
      </c>
      <c r="Z1105" s="182">
        <f>SUM($G1106:Z1106)-SUM($G1107:Z1107)+SUM($G1103:Z1103)-SUM($G1104:Z1104)</f>
        <v>0</v>
      </c>
      <c r="AA1105" s="182">
        <f>SUM($G1106:AA1106)-SUM($G1107:AA1107)+SUM($G1103:AA1103)-SUM($G1104:AA1104)</f>
        <v>0</v>
      </c>
      <c r="AB1105" s="182">
        <f>SUM($G1106:AB1106)-SUM($G1107:AB1107)+SUM($G1103:AB1103)-SUM($G1104:AB1104)</f>
        <v>0</v>
      </c>
      <c r="AC1105" s="182">
        <f>SUM($G1106:AC1106)-SUM($G1107:AC1107)+SUM($G1103:AC1103)-SUM($G1104:AC1104)</f>
        <v>0</v>
      </c>
      <c r="AD1105" s="182">
        <f>SUM($G1106:AD1106)-SUM($G1107:AD1107)+SUM($G1103:AD1103)-SUM($G1104:AD1104)</f>
        <v>0</v>
      </c>
      <c r="AE1105" s="182">
        <f>SUM($G1106:AE1106)-SUM($G1107:AE1107)+SUM($G1103:AE1103)-SUM($G1104:AE1104)</f>
        <v>0</v>
      </c>
      <c r="AF1105" s="182">
        <f>SUM($G1106:AF1106)-SUM($G1107:AF1107)+SUM($G1103:AF1103)-SUM($G1104:AF1104)</f>
        <v>0</v>
      </c>
      <c r="AG1105" s="182">
        <f>SUM($G1106:AG1106)-SUM($G1107:AG1107)+SUM($G1103:AG1103)-SUM($G1104:AG1104)</f>
        <v>0</v>
      </c>
      <c r="AH1105" s="182">
        <f>SUM($G1106:AH1106)-SUM($G1107:AH1107)+SUM($G1103:AH1103)-SUM($G1104:AH1104)</f>
        <v>0</v>
      </c>
      <c r="AI1105" s="182">
        <f>SUM($G1106:AI1106)-SUM($G1107:AI1107)+SUM($G1103:AI1103)-SUM($G1104:AI1104)</f>
        <v>0</v>
      </c>
      <c r="AJ1105" s="182">
        <f>SUM($G1106:AJ1106)-SUM($G1107:AJ1107)+SUM($G1103:AJ1103)-SUM($G1104:AJ1104)</f>
        <v>0</v>
      </c>
      <c r="AK1105" s="182">
        <f>SUM($G1106:AK1106)-SUM($G1107:AK1107)+SUM($G1103:AK1103)-SUM($G1104:AK1104)</f>
        <v>0</v>
      </c>
      <c r="AL1105" s="182">
        <f>SUM($G1106:AL1106)-SUM($G1107:AL1107)+SUM($G1103:AL1103)-SUM($G1104:AL1104)</f>
        <v>0</v>
      </c>
      <c r="AM1105" s="182">
        <f>SUM($G1106:AM1106)-SUM($G1107:AM1107)+SUM($G1103:AM1103)-SUM($G1104:AM1104)</f>
        <v>0</v>
      </c>
      <c r="AN1105" s="182">
        <f>SUM($G1106:AN1106)-SUM($G1107:AN1107)+SUM($G1103:AN1103)-SUM($G1104:AN1104)</f>
        <v>0</v>
      </c>
      <c r="AO1105" s="182">
        <f>SUM($G1106:AO1106)-SUM($G1107:AO1107)+SUM($G1103:AO1103)-SUM($G1104:AO1104)</f>
        <v>0</v>
      </c>
      <c r="AP1105" s="182">
        <f>SUM($G1106:AP1106)-SUM($G1107:AP1107)+SUM($G1103:AP1103)-SUM($G1104:AP1104)</f>
        <v>0</v>
      </c>
      <c r="AQ1105" s="182">
        <f>SUM($G1106:AQ1106)-SUM($G1107:AQ1107)+SUM($G1103:AQ1103)-SUM($G1104:AQ1104)</f>
        <v>0</v>
      </c>
      <c r="AR1105" s="182">
        <f>SUM($G1106:AR1106)-SUM($G1107:AR1107)+SUM($G1103:AR1103)-SUM($G1104:AR1104)</f>
        <v>0</v>
      </c>
      <c r="AS1105" s="182">
        <f>SUM($G1106:AS1106)-SUM($G1107:AS1107)+SUM($G1103:AS1103)-SUM($G1104:AS1104)</f>
        <v>0</v>
      </c>
      <c r="AT1105" s="182">
        <f>SUM($G1106:AT1106)-SUM($G1107:AT1107)+SUM($G1103:AT1103)-SUM($G1104:AT1104)</f>
        <v>0</v>
      </c>
      <c r="AU1105" s="182">
        <f>SUM($G1106:AU1106)-SUM($G1107:AU1107)+SUM($G1103:AU1103)-SUM($G1104:AU1104)</f>
        <v>0</v>
      </c>
      <c r="AV1105" s="182">
        <f>SUM($G1106:AV1106)-SUM($G1107:AV1107)+SUM($G1103:AV1103)-SUM($G1104:AV1104)</f>
        <v>0</v>
      </c>
      <c r="AW1105" s="182">
        <f>SUM($G1106:AW1106)-SUM($G1107:AW1107)+SUM($G1103:AW1103)-SUM($G1104:AW1104)</f>
        <v>0</v>
      </c>
      <c r="AX1105" s="182">
        <f>SUM($G1106:AX1106)-SUM($G1107:AX1107)+SUM($G1103:AX1103)-SUM($G1104:AX1104)</f>
        <v>0</v>
      </c>
      <c r="AY1105" s="182">
        <f>SUM($G1106:AY1106)-SUM($G1107:AY1107)+SUM($G1103:AY1103)-SUM($G1104:AY1104)</f>
        <v>0</v>
      </c>
      <c r="AZ1105" s="182">
        <f>SUM($G1106:AZ1106)-SUM($G1107:AZ1107)+SUM($G1103:AZ1103)-SUM($G1104:AZ1104)</f>
        <v>0</v>
      </c>
      <c r="BA1105" s="182">
        <f>SUM($G1106:BA1106)-SUM($G1107:BA1107)+SUM($G1103:BA1103)-SUM($G1104:BA1104)</f>
        <v>0</v>
      </c>
      <c r="BB1105" s="182">
        <f>SUM($G1106:BB1106)-SUM($G1107:BB1107)+SUM($G1103:BB1103)-SUM($G1104:BB1104)</f>
        <v>0</v>
      </c>
      <c r="BC1105" s="182"/>
      <c r="BD1105" s="183"/>
    </row>
    <row r="1106" spans="1:56" ht="14.4" hidden="1" thickTop="1" x14ac:dyDescent="0.3">
      <c r="A1106" s="181" t="str">
        <f ca="1">Language!A$1113</f>
        <v>начисленные проценты</v>
      </c>
      <c r="B1106" s="173"/>
      <c r="C1106" s="176" t="str">
        <f t="shared" ca="1" si="4206"/>
        <v>руб.</v>
      </c>
      <c r="D1106" s="174">
        <f>D1098</f>
        <v>1</v>
      </c>
      <c r="E1106" s="170" t="s">
        <v>1465</v>
      </c>
      <c r="F1106" s="170" t="s">
        <v>742</v>
      </c>
      <c r="G1106" s="182">
        <f>MAX((SUM($G1103:G1103)-SUM($G1104:G1104)+IF(AND($B1101=1,G$2&gt;1),SUM($F1106:F1106)-SUM($F1107:F1107),0)), 0) * G1099/12*Параметры!G$31</f>
        <v>0</v>
      </c>
      <c r="H1106" s="182">
        <f>MAX((SUM($G1103:H1103)-SUM($G1104:H1104)+IF(AND($B1101=1,H$2&gt;1),SUM($F1106:G1106)-SUM($F1107:G1107),0)), 0) * H1099/12*Параметры!H$31</f>
        <v>0</v>
      </c>
      <c r="I1106" s="182">
        <f>MAX((SUM($G1103:I1103)-SUM($G1104:I1104)+IF(AND($B1101=1,I$2&gt;1),SUM($F1106:H1106)-SUM($F1107:H1107),0)), 0) * I1099/12*Параметры!I$31</f>
        <v>0</v>
      </c>
      <c r="J1106" s="182">
        <f>MAX((SUM($G1103:J1103)-SUM($G1104:J1104)+IF(AND($B1101=1,J$2&gt;1),SUM($F1106:I1106)-SUM($F1107:I1107),0)), 0) * J1099/12*Параметры!J$31</f>
        <v>0</v>
      </c>
      <c r="K1106" s="182">
        <f>MAX((SUM($G1103:K1103)-SUM($G1104:K1104)+IF(AND($B1101=1,K$2&gt;1),SUM($F1106:J1106)-SUM($F1107:J1107),0)), 0) * K1099/12*Параметры!K$31</f>
        <v>0</v>
      </c>
      <c r="L1106" s="182">
        <f>MAX((SUM($G1103:L1103)-SUM($G1104:L1104)+IF(AND($B1101=1,L$2&gt;1),SUM($F1106:K1106)-SUM($F1107:K1107),0)), 0) * L1099/12*Параметры!L$31</f>
        <v>0</v>
      </c>
      <c r="M1106" s="182">
        <f>MAX((SUM($G1103:M1103)-SUM($G1104:M1104)+IF(AND($B1101=1,M$2&gt;1),SUM($F1106:L1106)-SUM($F1107:L1107),0)), 0) * M1099/12*Параметры!M$31</f>
        <v>0</v>
      </c>
      <c r="N1106" s="182">
        <f>MAX((SUM($G1103:N1103)-SUM($G1104:N1104)+IF(AND($B1101=1,N$2&gt;1),SUM($F1106:M1106)-SUM($F1107:M1107),0)), 0) * N1099/12*Параметры!N$31</f>
        <v>0</v>
      </c>
      <c r="O1106" s="182">
        <f>MAX((SUM($G1103:O1103)-SUM($G1104:O1104)+IF(AND($B1101=1,O$2&gt;1),SUM($F1106:N1106)-SUM($F1107:N1107),0)), 0) * O1099/12*Параметры!O$31</f>
        <v>0</v>
      </c>
      <c r="P1106" s="182">
        <f>MAX((SUM($G1103:P1103)-SUM($G1104:P1104)+IF(AND($B1101=1,P$2&gt;1),SUM($F1106:O1106)-SUM($F1107:O1107),0)), 0) * P1099/12*Параметры!P$31</f>
        <v>0</v>
      </c>
      <c r="Q1106" s="182">
        <f>MAX((SUM($G1103:Q1103)-SUM($G1104:Q1104)+IF(AND($B1101=1,Q$2&gt;1),SUM($F1106:P1106)-SUM($F1107:P1107),0)), 0) * Q1099/12*Параметры!Q$31</f>
        <v>0</v>
      </c>
      <c r="R1106" s="182">
        <f>MAX((SUM($G1103:R1103)-SUM($G1104:R1104)+IF(AND($B1101=1,R$2&gt;1),SUM($F1106:Q1106)-SUM($F1107:Q1107),0)), 0) * R1099/12*Параметры!R$31</f>
        <v>0</v>
      </c>
      <c r="S1106" s="182">
        <f>MAX((SUM($G1103:S1103)-SUM($G1104:S1104)+IF(AND($B1101=1,S$2&gt;1),SUM($F1106:R1106)-SUM($F1107:R1107),0)), 0) * S1099/12*Параметры!S$31</f>
        <v>0</v>
      </c>
      <c r="T1106" s="182">
        <f>MAX((SUM($G1103:T1103)-SUM($G1104:T1104)+IF(AND($B1101=1,T$2&gt;1),SUM($F1106:S1106)-SUM($F1107:S1107),0)), 0) * T1099/12*Параметры!T$31</f>
        <v>0</v>
      </c>
      <c r="U1106" s="182">
        <f>MAX((SUM($G1103:U1103)-SUM($G1104:U1104)+IF(AND($B1101=1,U$2&gt;1),SUM($F1106:T1106)-SUM($F1107:T1107),0)), 0) * U1099/12*Параметры!U$31</f>
        <v>0</v>
      </c>
      <c r="V1106" s="182">
        <f>MAX((SUM($G1103:V1103)-SUM($G1104:V1104)+IF(AND($B1101=1,V$2&gt;1),SUM($F1106:U1106)-SUM($F1107:U1107),0)), 0) * V1099/12*Параметры!V$31</f>
        <v>0</v>
      </c>
      <c r="W1106" s="182">
        <f>MAX((SUM($G1103:W1103)-SUM($G1104:W1104)+IF(AND($B1101=1,W$2&gt;1),SUM($F1106:V1106)-SUM($F1107:V1107),0)), 0) * W1099/12*Параметры!W$31</f>
        <v>0</v>
      </c>
      <c r="X1106" s="182">
        <f>MAX((SUM($G1103:X1103)-SUM($G1104:X1104)+IF(AND($B1101=1,X$2&gt;1),SUM($F1106:W1106)-SUM($F1107:W1107),0)), 0) * X1099/12*Параметры!X$31</f>
        <v>0</v>
      </c>
      <c r="Y1106" s="182">
        <f>MAX((SUM($G1103:Y1103)-SUM($G1104:Y1104)+IF(AND($B1101=1,Y$2&gt;1),SUM($F1106:X1106)-SUM($F1107:X1107),0)), 0) * Y1099/12*Параметры!Y$31</f>
        <v>0</v>
      </c>
      <c r="Z1106" s="182">
        <f>MAX((SUM($G1103:Z1103)-SUM($G1104:Z1104)+IF(AND($B1101=1,Z$2&gt;1),SUM($F1106:Y1106)-SUM($F1107:Y1107),0)), 0) * Z1099/12*Параметры!Z$31</f>
        <v>0</v>
      </c>
      <c r="AA1106" s="182">
        <f>MAX((SUM($G1103:AA1103)-SUM($G1104:AA1104)+IF(AND($B1101=1,AA$2&gt;1),SUM($F1106:Z1106)-SUM($F1107:Z1107),0)), 0) * AA1099/12*Параметры!AA$31</f>
        <v>0</v>
      </c>
      <c r="AB1106" s="182">
        <f>MAX((SUM($G1103:AB1103)-SUM($G1104:AB1104)+IF(AND($B1101=1,AB$2&gt;1),SUM($F1106:AA1106)-SUM($F1107:AA1107),0)), 0) * AB1099/12*Параметры!AB$31</f>
        <v>0</v>
      </c>
      <c r="AC1106" s="182">
        <f>MAX((SUM($G1103:AC1103)-SUM($G1104:AC1104)+IF(AND($B1101=1,AC$2&gt;1),SUM($F1106:AB1106)-SUM($F1107:AB1107),0)), 0) * AC1099/12*Параметры!AC$31</f>
        <v>0</v>
      </c>
      <c r="AD1106" s="182">
        <f>MAX((SUM($G1103:AD1103)-SUM($G1104:AD1104)+IF(AND($B1101=1,AD$2&gt;1),SUM($F1106:AC1106)-SUM($F1107:AC1107),0)), 0) * AD1099/12*Параметры!AD$31</f>
        <v>0</v>
      </c>
      <c r="AE1106" s="182">
        <f>MAX((SUM($G1103:AE1103)-SUM($G1104:AE1104)+IF(AND($B1101=1,AE$2&gt;1),SUM($F1106:AD1106)-SUM($F1107:AD1107),0)), 0) * AE1099/12*Параметры!AE$31</f>
        <v>0</v>
      </c>
      <c r="AF1106" s="182">
        <f>MAX((SUM($G1103:AF1103)-SUM($G1104:AF1104)+IF(AND($B1101=1,AF$2&gt;1),SUM($F1106:AE1106)-SUM($F1107:AE1107),0)), 0) * AF1099/12*Параметры!AF$31</f>
        <v>0</v>
      </c>
      <c r="AG1106" s="182">
        <f>MAX((SUM($G1103:AG1103)-SUM($G1104:AG1104)+IF(AND($B1101=1,AG$2&gt;1),SUM($F1106:AF1106)-SUM($F1107:AF1107),0)), 0) * AG1099/12*Параметры!AG$31</f>
        <v>0</v>
      </c>
      <c r="AH1106" s="182">
        <f>MAX((SUM($G1103:AH1103)-SUM($G1104:AH1104)+IF(AND($B1101=1,AH$2&gt;1),SUM($F1106:AG1106)-SUM($F1107:AG1107),0)), 0) * AH1099/12*Параметры!AH$31</f>
        <v>0</v>
      </c>
      <c r="AI1106" s="182">
        <f>MAX((SUM($G1103:AI1103)-SUM($G1104:AI1104)+IF(AND($B1101=1,AI$2&gt;1),SUM($F1106:AH1106)-SUM($F1107:AH1107),0)), 0) * AI1099/12*Параметры!AI$31</f>
        <v>0</v>
      </c>
      <c r="AJ1106" s="182">
        <f>MAX((SUM($G1103:AJ1103)-SUM($G1104:AJ1104)+IF(AND($B1101=1,AJ$2&gt;1),SUM($F1106:AI1106)-SUM($F1107:AI1107),0)), 0) * AJ1099/12*Параметры!AJ$31</f>
        <v>0</v>
      </c>
      <c r="AK1106" s="182">
        <f>MAX((SUM($G1103:AK1103)-SUM($G1104:AK1104)+IF(AND($B1101=1,AK$2&gt;1),SUM($F1106:AJ1106)-SUM($F1107:AJ1107),0)), 0) * AK1099/12*Параметры!AK$31</f>
        <v>0</v>
      </c>
      <c r="AL1106" s="182">
        <f>MAX((SUM($G1103:AL1103)-SUM($G1104:AL1104)+IF(AND($B1101=1,AL$2&gt;1),SUM($F1106:AK1106)-SUM($F1107:AK1107),0)), 0) * AL1099/12*Параметры!AL$31</f>
        <v>0</v>
      </c>
      <c r="AM1106" s="182">
        <f>MAX((SUM($G1103:AM1103)-SUM($G1104:AM1104)+IF(AND($B1101=1,AM$2&gt;1),SUM($F1106:AL1106)-SUM($F1107:AL1107),0)), 0) * AM1099/12*Параметры!AM$31</f>
        <v>0</v>
      </c>
      <c r="AN1106" s="182">
        <f>MAX((SUM($G1103:AN1103)-SUM($G1104:AN1104)+IF(AND($B1101=1,AN$2&gt;1),SUM($F1106:AM1106)-SUM($F1107:AM1107),0)), 0) * AN1099/12*Параметры!AN$31</f>
        <v>0</v>
      </c>
      <c r="AO1106" s="182">
        <f>MAX((SUM($G1103:AO1103)-SUM($G1104:AO1104)+IF(AND($B1101=1,AO$2&gt;1),SUM($F1106:AN1106)-SUM($F1107:AN1107),0)), 0) * AO1099/12*Параметры!AO$31</f>
        <v>0</v>
      </c>
      <c r="AP1106" s="182">
        <f>MAX((SUM($G1103:AP1103)-SUM($G1104:AP1104)+IF(AND($B1101=1,AP$2&gt;1),SUM($F1106:AO1106)-SUM($F1107:AO1107),0)), 0) * AP1099/12*Параметры!AP$31</f>
        <v>0</v>
      </c>
      <c r="AQ1106" s="182">
        <f>MAX((SUM($G1103:AQ1103)-SUM($G1104:AQ1104)+IF(AND($B1101=1,AQ$2&gt;1),SUM($F1106:AP1106)-SUM($F1107:AP1107),0)), 0) * AQ1099/12*Параметры!AQ$31</f>
        <v>0</v>
      </c>
      <c r="AR1106" s="182">
        <f>MAX((SUM($G1103:AR1103)-SUM($G1104:AR1104)+IF(AND($B1101=1,AR$2&gt;1),SUM($F1106:AQ1106)-SUM($F1107:AQ1107),0)), 0) * AR1099/12*Параметры!AR$31</f>
        <v>0</v>
      </c>
      <c r="AS1106" s="182">
        <f>MAX((SUM($G1103:AS1103)-SUM($G1104:AS1104)+IF(AND($B1101=1,AS$2&gt;1),SUM($F1106:AR1106)-SUM($F1107:AR1107),0)), 0) * AS1099/12*Параметры!AS$31</f>
        <v>0</v>
      </c>
      <c r="AT1106" s="182">
        <f>MAX((SUM($G1103:AT1103)-SUM($G1104:AT1104)+IF(AND($B1101=1,AT$2&gt;1),SUM($F1106:AS1106)-SUM($F1107:AS1107),0)), 0) * AT1099/12*Параметры!AT$31</f>
        <v>0</v>
      </c>
      <c r="AU1106" s="182">
        <f>MAX((SUM($G1103:AU1103)-SUM($G1104:AU1104)+IF(AND($B1101=1,AU$2&gt;1),SUM($F1106:AT1106)-SUM($F1107:AT1107),0)), 0) * AU1099/12*Параметры!AU$31</f>
        <v>0</v>
      </c>
      <c r="AV1106" s="182">
        <f>MAX((SUM($G1103:AV1103)-SUM($G1104:AV1104)+IF(AND($B1101=1,AV$2&gt;1),SUM($F1106:AU1106)-SUM($F1107:AU1107),0)), 0) * AV1099/12*Параметры!AV$31</f>
        <v>0</v>
      </c>
      <c r="AW1106" s="182">
        <f>MAX((SUM($G1103:AW1103)-SUM($G1104:AW1104)+IF(AND($B1101=1,AW$2&gt;1),SUM($F1106:AV1106)-SUM($F1107:AV1107),0)), 0) * AW1099/12*Параметры!AW$31</f>
        <v>0</v>
      </c>
      <c r="AX1106" s="182">
        <f>MAX((SUM($G1103:AX1103)-SUM($G1104:AX1104)+IF(AND($B1101=1,AX$2&gt;1),SUM($F1106:AW1106)-SUM($F1107:AW1107),0)), 0) * AX1099/12*Параметры!AX$31</f>
        <v>0</v>
      </c>
      <c r="AY1106" s="182">
        <f>MAX((SUM($G1103:AY1103)-SUM($G1104:AY1104)+IF(AND($B1101=1,AY$2&gt;1),SUM($F1106:AX1106)-SUM($F1107:AX1107),0)), 0) * AY1099/12*Параметры!AY$31</f>
        <v>0</v>
      </c>
      <c r="AZ1106" s="182">
        <f>MAX((SUM($G1103:AZ1103)-SUM($G1104:AZ1104)+IF(AND($B1101=1,AZ$2&gt;1),SUM($F1106:AY1106)-SUM($F1107:AY1107),0)), 0) * AZ1099/12*Параметры!AZ$31</f>
        <v>0</v>
      </c>
      <c r="BA1106" s="182">
        <f>MAX((SUM($G1103:BA1103)-SUM($G1104:BA1104)+IF(AND($B1101=1,BA$2&gt;1),SUM($F1106:AZ1106)-SUM($F1107:AZ1107),0)), 0) * BA1099/12*Параметры!BA$31</f>
        <v>0</v>
      </c>
      <c r="BB1106" s="182">
        <f>MAX((SUM($G1103:BB1103)-SUM($G1104:BB1104)+IF(AND($B1101=1,BB$2&gt;1),SUM($F1106:BA1106)-SUM($F1107:BA1107),0)), 0) * BB1099/12*Параметры!BB$31</f>
        <v>0</v>
      </c>
      <c r="BC1106" s="182"/>
      <c r="BD1106" s="183">
        <f>SUM(G1106:BC1106)</f>
        <v>0</v>
      </c>
    </row>
    <row r="1107" spans="1:56" ht="14.4" hidden="1" thickTop="1" x14ac:dyDescent="0.3">
      <c r="A1107" s="184" t="str">
        <f ca="1">Language!A$1115</f>
        <v>полученные проценты</v>
      </c>
      <c r="B1107" s="170"/>
      <c r="C1107" s="163" t="str">
        <f t="shared" ca="1" si="4206"/>
        <v>руб.</v>
      </c>
      <c r="D1107" s="174">
        <f>D1098</f>
        <v>1</v>
      </c>
      <c r="E1107" s="170" t="s">
        <v>1466</v>
      </c>
      <c r="F1107" s="170" t="s">
        <v>2348</v>
      </c>
      <c r="G1107" s="289">
        <f t="shared" ref="G1107:K1107" si="4207">IF(G$2&gt;=G1108+$B1100,G1106,0)</f>
        <v>0</v>
      </c>
      <c r="H1107" s="289">
        <f t="shared" si="4207"/>
        <v>0</v>
      </c>
      <c r="I1107" s="289">
        <f t="shared" si="4207"/>
        <v>0</v>
      </c>
      <c r="J1107" s="289">
        <f t="shared" si="4207"/>
        <v>0</v>
      </c>
      <c r="K1107" s="289">
        <f t="shared" si="4207"/>
        <v>0</v>
      </c>
      <c r="L1107" s="289">
        <f t="shared" ref="L1107:M1107" si="4208">IF(L$2&gt;=L1108+$B1100,L1106,0)</f>
        <v>0</v>
      </c>
      <c r="M1107" s="289">
        <f t="shared" si="4208"/>
        <v>0</v>
      </c>
      <c r="N1107" s="289">
        <f t="shared" ref="N1107:O1107" si="4209">IF(N$2&gt;=N1108+$B1100,N1106,0)</f>
        <v>0</v>
      </c>
      <c r="O1107" s="289">
        <f t="shared" si="4209"/>
        <v>0</v>
      </c>
      <c r="P1107" s="289">
        <f t="shared" ref="P1107:Q1107" si="4210">IF(P$2&gt;=P1108+$B1100,P1106,0)</f>
        <v>0</v>
      </c>
      <c r="Q1107" s="289">
        <f t="shared" si="4210"/>
        <v>0</v>
      </c>
      <c r="R1107" s="289">
        <f t="shared" ref="R1107:S1107" si="4211">IF(R$2&gt;=R1108+$B1100,R1106,0)</f>
        <v>0</v>
      </c>
      <c r="S1107" s="289">
        <f t="shared" si="4211"/>
        <v>0</v>
      </c>
      <c r="T1107" s="289">
        <f t="shared" ref="T1107:U1107" si="4212">IF(T$2&gt;=T1108+$B1100,T1106,0)</f>
        <v>0</v>
      </c>
      <c r="U1107" s="289">
        <f t="shared" si="4212"/>
        <v>0</v>
      </c>
      <c r="V1107" s="289">
        <f t="shared" ref="V1107:W1107" si="4213">IF(V$2&gt;=V1108+$B1100,V1106,0)</f>
        <v>0</v>
      </c>
      <c r="W1107" s="289">
        <f t="shared" si="4213"/>
        <v>0</v>
      </c>
      <c r="X1107" s="289">
        <f t="shared" ref="X1107:Y1107" si="4214">IF(X$2&gt;=X1108+$B1100,X1106,0)</f>
        <v>0</v>
      </c>
      <c r="Y1107" s="289">
        <f t="shared" si="4214"/>
        <v>0</v>
      </c>
      <c r="Z1107" s="289">
        <f t="shared" ref="Z1107:AA1107" si="4215">IF(Z$2&gt;=Z1108+$B1100,Z1106,0)</f>
        <v>0</v>
      </c>
      <c r="AA1107" s="289">
        <f t="shared" si="4215"/>
        <v>0</v>
      </c>
      <c r="AB1107" s="289">
        <f t="shared" ref="AB1107:AC1107" si="4216">IF(AB$2&gt;=AB1108+$B1100,AB1106,0)</f>
        <v>0</v>
      </c>
      <c r="AC1107" s="289">
        <f t="shared" si="4216"/>
        <v>0</v>
      </c>
      <c r="AD1107" s="289">
        <f t="shared" ref="AD1107:AE1107" si="4217">IF(AD$2&gt;=AD1108+$B1100,AD1106,0)</f>
        <v>0</v>
      </c>
      <c r="AE1107" s="289">
        <f t="shared" si="4217"/>
        <v>0</v>
      </c>
      <c r="AF1107" s="289">
        <f t="shared" ref="AF1107:AG1107" si="4218">IF(AF$2&gt;=AF1108+$B1100,AF1106,0)</f>
        <v>0</v>
      </c>
      <c r="AG1107" s="289">
        <f t="shared" si="4218"/>
        <v>0</v>
      </c>
      <c r="AH1107" s="289">
        <f t="shared" ref="AH1107:AI1107" si="4219">IF(AH$2&gt;=AH1108+$B1100,AH1106,0)</f>
        <v>0</v>
      </c>
      <c r="AI1107" s="289">
        <f t="shared" si="4219"/>
        <v>0</v>
      </c>
      <c r="AJ1107" s="289">
        <f t="shared" ref="AJ1107:AK1107" si="4220">IF(AJ$2&gt;=AJ1108+$B1100,AJ1106,0)</f>
        <v>0</v>
      </c>
      <c r="AK1107" s="289">
        <f t="shared" si="4220"/>
        <v>0</v>
      </c>
      <c r="AL1107" s="289">
        <f t="shared" ref="AL1107:AM1107" si="4221">IF(AL$2&gt;=AL1108+$B1100,AL1106,0)</f>
        <v>0</v>
      </c>
      <c r="AM1107" s="289">
        <f t="shared" si="4221"/>
        <v>0</v>
      </c>
      <c r="AN1107" s="289">
        <f t="shared" ref="AN1107:AO1107" si="4222">IF(AN$2&gt;=AN1108+$B1100,AN1106,0)</f>
        <v>0</v>
      </c>
      <c r="AO1107" s="289">
        <f t="shared" si="4222"/>
        <v>0</v>
      </c>
      <c r="AP1107" s="289">
        <f t="shared" ref="AP1107:AQ1107" si="4223">IF(AP$2&gt;=AP1108+$B1100,AP1106,0)</f>
        <v>0</v>
      </c>
      <c r="AQ1107" s="289">
        <f t="shared" si="4223"/>
        <v>0</v>
      </c>
      <c r="AR1107" s="289">
        <f t="shared" ref="AR1107:AS1107" si="4224">IF(AR$2&gt;=AR1108+$B1100,AR1106,0)</f>
        <v>0</v>
      </c>
      <c r="AS1107" s="289">
        <f t="shared" si="4224"/>
        <v>0</v>
      </c>
      <c r="AT1107" s="289">
        <f t="shared" ref="AT1107:AU1107" si="4225">IF(AT$2&gt;=AT1108+$B1100,AT1106,0)</f>
        <v>0</v>
      </c>
      <c r="AU1107" s="289">
        <f t="shared" si="4225"/>
        <v>0</v>
      </c>
      <c r="AV1107" s="289">
        <f t="shared" ref="AV1107:AW1107" si="4226">IF(AV$2&gt;=AV1108+$B1100,AV1106,0)</f>
        <v>0</v>
      </c>
      <c r="AW1107" s="289">
        <f t="shared" si="4226"/>
        <v>0</v>
      </c>
      <c r="AX1107" s="289">
        <f t="shared" ref="AX1107:AY1107" si="4227">IF(AX$2&gt;=AX1108+$B1100,AX1106,0)</f>
        <v>0</v>
      </c>
      <c r="AY1107" s="289">
        <f t="shared" si="4227"/>
        <v>0</v>
      </c>
      <c r="AZ1107" s="289">
        <f t="shared" ref="AZ1107:BA1107" si="4228">IF(AZ$2&gt;=AZ1108+$B1100,AZ1106,0)</f>
        <v>0</v>
      </c>
      <c r="BA1107" s="289">
        <f t="shared" si="4228"/>
        <v>0</v>
      </c>
      <c r="BB1107" s="289">
        <f t="shared" ref="BB1107" si="4229">IF(BB$2&gt;=BB1108+$B1100,BB1106,0)</f>
        <v>0</v>
      </c>
      <c r="BC1107" s="188"/>
      <c r="BD1107" s="193">
        <f>SUM(G1107:BC1107)</f>
        <v>0</v>
      </c>
    </row>
    <row r="1108" spans="1:56" ht="14.4" hidden="1" thickTop="1" x14ac:dyDescent="0.3">
      <c r="A1108" s="184" t="str">
        <f ca="1">Language!A$1117</f>
        <v>период начала кредитования</v>
      </c>
      <c r="B1108" s="170"/>
      <c r="C1108" s="163" t="str">
        <f ca="1">Language!$A$1480</f>
        <v>период</v>
      </c>
      <c r="F1108" s="170" t="s">
        <v>1537</v>
      </c>
      <c r="G1108" s="185">
        <f>IF(AND(G$2=1,G1103&gt;0),1,IF(AND(F1108=0,G1103&lt;&gt;0,SUM($E1103:F1103)=0),G$2,IF(G$2=1,0,F1108)))</f>
        <v>0</v>
      </c>
      <c r="H1108" s="185">
        <f>IF(AND(H$2=1,H1103&gt;0),1,IF(AND(G1108=0,H1103&lt;&gt;0,SUM($E1103:G1103)=0),H$2,IF(H$2=1,0,G1108)))</f>
        <v>0</v>
      </c>
      <c r="I1108" s="185">
        <f>IF(AND(I$2=1,I1103&gt;0),1,IF(AND(H1108=0,I1103&lt;&gt;0,SUM($E1103:H1103)=0),I$2,IF(I$2=1,0,H1108)))</f>
        <v>0</v>
      </c>
      <c r="J1108" s="185">
        <f>IF(AND(J$2=1,J1103&gt;0),1,IF(AND(I1108=0,J1103&lt;&gt;0,SUM($E1103:I1103)=0),J$2,IF(J$2=1,0,I1108)))</f>
        <v>0</v>
      </c>
      <c r="K1108" s="185">
        <f>IF(AND(K$2=1,K1103&gt;0),1,IF(AND(J1108=0,K1103&lt;&gt;0,SUM($E1103:J1103)=0),K$2,IF(K$2=1,0,J1108)))</f>
        <v>0</v>
      </c>
      <c r="L1108" s="185">
        <f>IF(AND(L$2=1,L1103&gt;0),1,IF(AND(K1108=0,L1103&lt;&gt;0,SUM($E1103:K1103)=0),L$2,IF(L$2=1,0,K1108)))</f>
        <v>0</v>
      </c>
      <c r="M1108" s="185">
        <f>IF(AND(M$2=1,M1103&gt;0),1,IF(AND(L1108=0,M1103&lt;&gt;0,SUM($E1103:L1103)=0),M$2,IF(M$2=1,0,L1108)))</f>
        <v>0</v>
      </c>
      <c r="N1108" s="185">
        <f>IF(AND(N$2=1,N1103&gt;0),1,IF(AND(M1108=0,N1103&lt;&gt;0,SUM($E1103:M1103)=0),N$2,IF(N$2=1,0,M1108)))</f>
        <v>0</v>
      </c>
      <c r="O1108" s="185">
        <f>IF(AND(O$2=1,O1103&gt;0),1,IF(AND(N1108=0,O1103&lt;&gt;0,SUM($E1103:N1103)=0),O$2,IF(O$2=1,0,N1108)))</f>
        <v>0</v>
      </c>
      <c r="P1108" s="185">
        <f>IF(AND(P$2=1,P1103&gt;0),1,IF(AND(O1108=0,P1103&lt;&gt;0,SUM($E1103:O1103)=0),P$2,IF(P$2=1,0,O1108)))</f>
        <v>0</v>
      </c>
      <c r="Q1108" s="185">
        <f>IF(AND(Q$2=1,Q1103&gt;0),1,IF(AND(P1108=0,Q1103&lt;&gt;0,SUM($E1103:P1103)=0),Q$2,IF(Q$2=1,0,P1108)))</f>
        <v>0</v>
      </c>
      <c r="R1108" s="185">
        <f>IF(AND(R$2=1,R1103&gt;0),1,IF(AND(Q1108=0,R1103&lt;&gt;0,SUM($E1103:Q1103)=0),R$2,IF(R$2=1,0,Q1108)))</f>
        <v>0</v>
      </c>
      <c r="S1108" s="185">
        <f>IF(AND(S$2=1,S1103&gt;0),1,IF(AND(R1108=0,S1103&lt;&gt;0,SUM($E1103:R1103)=0),S$2,IF(S$2=1,0,R1108)))</f>
        <v>0</v>
      </c>
      <c r="T1108" s="185">
        <f>IF(AND(T$2=1,T1103&gt;0),1,IF(AND(S1108=0,T1103&lt;&gt;0,SUM($E1103:S1103)=0),T$2,IF(T$2=1,0,S1108)))</f>
        <v>0</v>
      </c>
      <c r="U1108" s="185">
        <f>IF(AND(U$2=1,U1103&gt;0),1,IF(AND(T1108=0,U1103&lt;&gt;0,SUM($E1103:T1103)=0),U$2,IF(U$2=1,0,T1108)))</f>
        <v>0</v>
      </c>
      <c r="V1108" s="185">
        <f>IF(AND(V$2=1,V1103&gt;0),1,IF(AND(U1108=0,V1103&lt;&gt;0,SUM($E1103:U1103)=0),V$2,IF(V$2=1,0,U1108)))</f>
        <v>0</v>
      </c>
      <c r="W1108" s="185">
        <f>IF(AND(W$2=1,W1103&gt;0),1,IF(AND(V1108=0,W1103&lt;&gt;0,SUM($E1103:V1103)=0),W$2,IF(W$2=1,0,V1108)))</f>
        <v>0</v>
      </c>
      <c r="X1108" s="185">
        <f>IF(AND(X$2=1,X1103&gt;0),1,IF(AND(W1108=0,X1103&lt;&gt;0,SUM($E1103:W1103)=0),X$2,IF(X$2=1,0,W1108)))</f>
        <v>0</v>
      </c>
      <c r="Y1108" s="185">
        <f>IF(AND(Y$2=1,Y1103&gt;0),1,IF(AND(X1108=0,Y1103&lt;&gt;0,SUM($E1103:X1103)=0),Y$2,IF(Y$2=1,0,X1108)))</f>
        <v>0</v>
      </c>
      <c r="Z1108" s="185">
        <f>IF(AND(Z$2=1,Z1103&gt;0),1,IF(AND(Y1108=0,Z1103&lt;&gt;0,SUM($E1103:Y1103)=0),Z$2,IF(Z$2=1,0,Y1108)))</f>
        <v>0</v>
      </c>
      <c r="AA1108" s="185">
        <f>IF(AND(AA$2=1,AA1103&gt;0),1,IF(AND(Z1108=0,AA1103&lt;&gt;0,SUM($E1103:Z1103)=0),AA$2,IF(AA$2=1,0,Z1108)))</f>
        <v>0</v>
      </c>
      <c r="AB1108" s="185">
        <f>IF(AND(AB$2=1,AB1103&gt;0),1,IF(AND(AA1108=0,AB1103&lt;&gt;0,SUM($E1103:AA1103)=0),AB$2,IF(AB$2=1,0,AA1108)))</f>
        <v>0</v>
      </c>
      <c r="AC1108" s="185">
        <f>IF(AND(AC$2=1,AC1103&gt;0),1,IF(AND(AB1108=0,AC1103&lt;&gt;0,SUM($E1103:AB1103)=0),AC$2,IF(AC$2=1,0,AB1108)))</f>
        <v>0</v>
      </c>
      <c r="AD1108" s="185">
        <f>IF(AND(AD$2=1,AD1103&gt;0),1,IF(AND(AC1108=0,AD1103&lt;&gt;0,SUM($E1103:AC1103)=0),AD$2,IF(AD$2=1,0,AC1108)))</f>
        <v>0</v>
      </c>
      <c r="AE1108" s="185">
        <f>IF(AND(AE$2=1,AE1103&gt;0),1,IF(AND(AD1108=0,AE1103&lt;&gt;0,SUM($E1103:AD1103)=0),AE$2,IF(AE$2=1,0,AD1108)))</f>
        <v>0</v>
      </c>
      <c r="AF1108" s="185">
        <f>IF(AND(AF$2=1,AF1103&gt;0),1,IF(AND(AE1108=0,AF1103&lt;&gt;0,SUM($E1103:AE1103)=0),AF$2,IF(AF$2=1,0,AE1108)))</f>
        <v>0</v>
      </c>
      <c r="AG1108" s="185">
        <f>IF(AND(AG$2=1,AG1103&gt;0),1,IF(AND(AF1108=0,AG1103&lt;&gt;0,SUM($E1103:AF1103)=0),AG$2,IF(AG$2=1,0,AF1108)))</f>
        <v>0</v>
      </c>
      <c r="AH1108" s="185">
        <f>IF(AND(AH$2=1,AH1103&gt;0),1,IF(AND(AG1108=0,AH1103&lt;&gt;0,SUM($E1103:AG1103)=0),AH$2,IF(AH$2=1,0,AG1108)))</f>
        <v>0</v>
      </c>
      <c r="AI1108" s="185">
        <f>IF(AND(AI$2=1,AI1103&gt;0),1,IF(AND(AH1108=0,AI1103&lt;&gt;0,SUM($E1103:AH1103)=0),AI$2,IF(AI$2=1,0,AH1108)))</f>
        <v>0</v>
      </c>
      <c r="AJ1108" s="185">
        <f>IF(AND(AJ$2=1,AJ1103&gt;0),1,IF(AND(AI1108=0,AJ1103&lt;&gt;0,SUM($E1103:AI1103)=0),AJ$2,IF(AJ$2=1,0,AI1108)))</f>
        <v>0</v>
      </c>
      <c r="AK1108" s="185">
        <f>IF(AND(AK$2=1,AK1103&gt;0),1,IF(AND(AJ1108=0,AK1103&lt;&gt;0,SUM($E1103:AJ1103)=0),AK$2,IF(AK$2=1,0,AJ1108)))</f>
        <v>0</v>
      </c>
      <c r="AL1108" s="185">
        <f>IF(AND(AL$2=1,AL1103&gt;0),1,IF(AND(AK1108=0,AL1103&lt;&gt;0,SUM($E1103:AK1103)=0),AL$2,IF(AL$2=1,0,AK1108)))</f>
        <v>0</v>
      </c>
      <c r="AM1108" s="185">
        <f>IF(AND(AM$2=1,AM1103&gt;0),1,IF(AND(AL1108=0,AM1103&lt;&gt;0,SUM($E1103:AL1103)=0),AM$2,IF(AM$2=1,0,AL1108)))</f>
        <v>0</v>
      </c>
      <c r="AN1108" s="185">
        <f>IF(AND(AN$2=1,AN1103&gt;0),1,IF(AND(AM1108=0,AN1103&lt;&gt;0,SUM($E1103:AM1103)=0),AN$2,IF(AN$2=1,0,AM1108)))</f>
        <v>0</v>
      </c>
      <c r="AO1108" s="185">
        <f>IF(AND(AO$2=1,AO1103&gt;0),1,IF(AND(AN1108=0,AO1103&lt;&gt;0,SUM($E1103:AN1103)=0),AO$2,IF(AO$2=1,0,AN1108)))</f>
        <v>0</v>
      </c>
      <c r="AP1108" s="185">
        <f>IF(AND(AP$2=1,AP1103&gt;0),1,IF(AND(AO1108=0,AP1103&lt;&gt;0,SUM($E1103:AO1103)=0),AP$2,IF(AP$2=1,0,AO1108)))</f>
        <v>0</v>
      </c>
      <c r="AQ1108" s="185">
        <f>IF(AND(AQ$2=1,AQ1103&gt;0),1,IF(AND(AP1108=0,AQ1103&lt;&gt;0,SUM($E1103:AP1103)=0),AQ$2,IF(AQ$2=1,0,AP1108)))</f>
        <v>0</v>
      </c>
      <c r="AR1108" s="185">
        <f>IF(AND(AR$2=1,AR1103&gt;0),1,IF(AND(AQ1108=0,AR1103&lt;&gt;0,SUM($E1103:AQ1103)=0),AR$2,IF(AR$2=1,0,AQ1108)))</f>
        <v>0</v>
      </c>
      <c r="AS1108" s="185">
        <f>IF(AND(AS$2=1,AS1103&gt;0),1,IF(AND(AR1108=0,AS1103&lt;&gt;0,SUM($E1103:AR1103)=0),AS$2,IF(AS$2=1,0,AR1108)))</f>
        <v>0</v>
      </c>
      <c r="AT1108" s="185">
        <f>IF(AND(AT$2=1,AT1103&gt;0),1,IF(AND(AS1108=0,AT1103&lt;&gt;0,SUM($E1103:AS1103)=0),AT$2,IF(AT$2=1,0,AS1108)))</f>
        <v>0</v>
      </c>
      <c r="AU1108" s="185">
        <f>IF(AND(AU$2=1,AU1103&gt;0),1,IF(AND(AT1108=0,AU1103&lt;&gt;0,SUM($E1103:AT1103)=0),AU$2,IF(AU$2=1,0,AT1108)))</f>
        <v>0</v>
      </c>
      <c r="AV1108" s="185">
        <f>IF(AND(AV$2=1,AV1103&gt;0),1,IF(AND(AU1108=0,AV1103&lt;&gt;0,SUM($E1103:AU1103)=0),AV$2,IF(AV$2=1,0,AU1108)))</f>
        <v>0</v>
      </c>
      <c r="AW1108" s="185">
        <f>IF(AND(AW$2=1,AW1103&gt;0),1,IF(AND(AV1108=0,AW1103&lt;&gt;0,SUM($E1103:AV1103)=0),AW$2,IF(AW$2=1,0,AV1108)))</f>
        <v>0</v>
      </c>
      <c r="AX1108" s="185">
        <f>IF(AND(AX$2=1,AX1103&gt;0),1,IF(AND(AW1108=0,AX1103&lt;&gt;0,SUM($E1103:AW1103)=0),AX$2,IF(AX$2=1,0,AW1108)))</f>
        <v>0</v>
      </c>
      <c r="AY1108" s="185">
        <f>IF(AND(AY$2=1,AY1103&gt;0),1,IF(AND(AX1108=0,AY1103&lt;&gt;0,SUM($E1103:AX1103)=0),AY$2,IF(AY$2=1,0,AX1108)))</f>
        <v>0</v>
      </c>
      <c r="AZ1108" s="185">
        <f>IF(AND(AZ$2=1,AZ1103&gt;0),1,IF(AND(AY1108=0,AZ1103&lt;&gt;0,SUM($E1103:AY1103)=0),AZ$2,IF(AZ$2=1,0,AY1108)))</f>
        <v>0</v>
      </c>
      <c r="BA1108" s="185">
        <f>IF(AND(BA$2=1,BA1103&gt;0),1,IF(AND(AZ1108=0,BA1103&lt;&gt;0,SUM($E1103:AZ1103)=0),BA$2,IF(BA$2=1,0,AZ1108)))</f>
        <v>0</v>
      </c>
      <c r="BB1108" s="185">
        <f>IF(AND(BB$2=1,BB1103&gt;0),1,IF(AND(BA1108=0,BB1103&lt;&gt;0,SUM($E1103:BA1103)=0),BB$2,IF(BB$2=1,0,BA1108)))</f>
        <v>0</v>
      </c>
      <c r="BC1108" s="185"/>
      <c r="BD1108" s="193"/>
    </row>
    <row r="1109" spans="1:56" ht="14.4" hidden="1" thickTop="1" x14ac:dyDescent="0.3">
      <c r="A1109" s="184" t="str">
        <f ca="1">Language!A$1109</f>
        <v>срок кредитования</v>
      </c>
      <c r="B1109" s="170"/>
      <c r="C1109" s="163" t="str">
        <f ca="1">Language!A$46</f>
        <v>мес.</v>
      </c>
      <c r="F1109" s="170" t="s">
        <v>743</v>
      </c>
      <c r="G1109" s="185">
        <f ca="1">IF(G1108=0,0,IF(SUM(OFFSET(G1105,0,-1):OFFSET(G1105,0,Prj_Len-G$2))=0,0,Параметры!G$31))</f>
        <v>0</v>
      </c>
      <c r="H1109" s="185">
        <f ca="1">IF(H1108=0,0,IF(SUM(OFFSET(H1105,0,-1):OFFSET(H1105,0,Prj_Len-H$2))=0,0,Параметры!H$31))</f>
        <v>0</v>
      </c>
      <c r="I1109" s="185">
        <f ca="1">IF(I1108=0,0,IF(SUM(OFFSET(I1105,0,-1):OFFSET(I1105,0,Prj_Len-I$2))=0,0,Параметры!I$31))</f>
        <v>0</v>
      </c>
      <c r="J1109" s="185">
        <f ca="1">IF(J1108=0,0,IF(SUM(OFFSET(J1105,0,-1):OFFSET(J1105,0,Prj_Len-J$2))=0,0,Параметры!J$31))</f>
        <v>0</v>
      </c>
      <c r="K1109" s="185">
        <f ca="1">IF(K1108=0,0,IF(SUM(OFFSET(K1105,0,-1):OFFSET(K1105,0,Prj_Len-K$2))=0,0,Параметры!K$31))</f>
        <v>0</v>
      </c>
      <c r="L1109" s="185">
        <f ca="1">IF(L1108=0,0,IF(SUM(OFFSET(L1105,0,-1):OFFSET(L1105,0,Prj_Len-L$2))=0,0,Параметры!L$31))</f>
        <v>0</v>
      </c>
      <c r="M1109" s="185">
        <f ca="1">IF(M1108=0,0,IF(SUM(OFFSET(M1105,0,-1):OFFSET(M1105,0,Prj_Len-M$2))=0,0,Параметры!M$31))</f>
        <v>0</v>
      </c>
      <c r="N1109" s="185">
        <f ca="1">IF(N1108=0,0,IF(SUM(OFFSET(N1105,0,-1):OFFSET(N1105,0,Prj_Len-N$2))=0,0,Параметры!N$31))</f>
        <v>0</v>
      </c>
      <c r="O1109" s="185">
        <f ca="1">IF(O1108=0,0,IF(SUM(OFFSET(O1105,0,-1):OFFSET(O1105,0,Prj_Len-O$2))=0,0,Параметры!O$31))</f>
        <v>0</v>
      </c>
      <c r="P1109" s="185">
        <f ca="1">IF(P1108=0,0,IF(SUM(OFFSET(P1105,0,-1):OFFSET(P1105,0,Prj_Len-P$2))=0,0,Параметры!P$31))</f>
        <v>0</v>
      </c>
      <c r="Q1109" s="185">
        <f ca="1">IF(Q1108=0,0,IF(SUM(OFFSET(Q1105,0,-1):OFFSET(Q1105,0,Prj_Len-Q$2))=0,0,Параметры!Q$31))</f>
        <v>0</v>
      </c>
      <c r="R1109" s="185">
        <f ca="1">IF(R1108=0,0,IF(SUM(OFFSET(R1105,0,-1):OFFSET(R1105,0,Prj_Len-R$2))=0,0,Параметры!R$31))</f>
        <v>0</v>
      </c>
      <c r="S1109" s="185">
        <f ca="1">IF(S1108=0,0,IF(SUM(OFFSET(S1105,0,-1):OFFSET(S1105,0,Prj_Len-S$2))=0,0,Параметры!S$31))</f>
        <v>0</v>
      </c>
      <c r="T1109" s="185">
        <f ca="1">IF(T1108=0,0,IF(SUM(OFFSET(T1105,0,-1):OFFSET(T1105,0,Prj_Len-T$2))=0,0,Параметры!T$31))</f>
        <v>0</v>
      </c>
      <c r="U1109" s="185">
        <f ca="1">IF(U1108=0,0,IF(SUM(OFFSET(U1105,0,-1):OFFSET(U1105,0,Prj_Len-U$2))=0,0,Параметры!U$31))</f>
        <v>0</v>
      </c>
      <c r="V1109" s="185">
        <f ca="1">IF(V1108=0,0,IF(SUM(OFFSET(V1105,0,-1):OFFSET(V1105,0,Prj_Len-V$2))=0,0,Параметры!V$31))</f>
        <v>0</v>
      </c>
      <c r="W1109" s="185">
        <f ca="1">IF(W1108=0,0,IF(SUM(OFFSET(W1105,0,-1):OFFSET(W1105,0,Prj_Len-W$2))=0,0,Параметры!W$31))</f>
        <v>0</v>
      </c>
      <c r="X1109" s="185">
        <f ca="1">IF(X1108=0,0,IF(SUM(OFFSET(X1105,0,-1):OFFSET(X1105,0,Prj_Len-X$2))=0,0,Параметры!X$31))</f>
        <v>0</v>
      </c>
      <c r="Y1109" s="185">
        <f ca="1">IF(Y1108=0,0,IF(SUM(OFFSET(Y1105,0,-1):OFFSET(Y1105,0,Prj_Len-Y$2))=0,0,Параметры!Y$31))</f>
        <v>0</v>
      </c>
      <c r="Z1109" s="185">
        <f ca="1">IF(Z1108=0,0,IF(SUM(OFFSET(Z1105,0,-1):OFFSET(Z1105,0,Prj_Len-Z$2))=0,0,Параметры!Z$31))</f>
        <v>0</v>
      </c>
      <c r="AA1109" s="185">
        <f ca="1">IF(AA1108=0,0,IF(SUM(OFFSET(AA1105,0,-1):OFFSET(AA1105,0,Prj_Len-AA$2))=0,0,Параметры!AA$31))</f>
        <v>0</v>
      </c>
      <c r="AB1109" s="185">
        <f ca="1">IF(AB1108=0,0,IF(SUM(OFFSET(AB1105,0,-1):OFFSET(AB1105,0,Prj_Len-AB$2))=0,0,Параметры!AB$31))</f>
        <v>0</v>
      </c>
      <c r="AC1109" s="185">
        <f ca="1">IF(AC1108=0,0,IF(SUM(OFFSET(AC1105,0,-1):OFFSET(AC1105,0,Prj_Len-AC$2))=0,0,Параметры!AC$31))</f>
        <v>0</v>
      </c>
      <c r="AD1109" s="185">
        <f ca="1">IF(AD1108=0,0,IF(SUM(OFFSET(AD1105,0,-1):OFFSET(AD1105,0,Prj_Len-AD$2))=0,0,Параметры!AD$31))</f>
        <v>0</v>
      </c>
      <c r="AE1109" s="185">
        <f ca="1">IF(AE1108=0,0,IF(SUM(OFFSET(AE1105,0,-1):OFFSET(AE1105,0,Prj_Len-AE$2))=0,0,Параметры!AE$31))</f>
        <v>0</v>
      </c>
      <c r="AF1109" s="185">
        <f ca="1">IF(AF1108=0,0,IF(SUM(OFFSET(AF1105,0,-1):OFFSET(AF1105,0,Prj_Len-AF$2))=0,0,Параметры!AF$31))</f>
        <v>0</v>
      </c>
      <c r="AG1109" s="185">
        <f ca="1">IF(AG1108=0,0,IF(SUM(OFFSET(AG1105,0,-1):OFFSET(AG1105,0,Prj_Len-AG$2))=0,0,Параметры!AG$31))</f>
        <v>0</v>
      </c>
      <c r="AH1109" s="185">
        <f ca="1">IF(AH1108=0,0,IF(SUM(OFFSET(AH1105,0,-1):OFFSET(AH1105,0,Prj_Len-AH$2))=0,0,Параметры!AH$31))</f>
        <v>0</v>
      </c>
      <c r="AI1109" s="185">
        <f ca="1">IF(AI1108=0,0,IF(SUM(OFFSET(AI1105,0,-1):OFFSET(AI1105,0,Prj_Len-AI$2))=0,0,Параметры!AI$31))</f>
        <v>0</v>
      </c>
      <c r="AJ1109" s="185">
        <f ca="1">IF(AJ1108=0,0,IF(SUM(OFFSET(AJ1105,0,-1):OFFSET(AJ1105,0,Prj_Len-AJ$2))=0,0,Параметры!AJ$31))</f>
        <v>0</v>
      </c>
      <c r="AK1109" s="185">
        <f ca="1">IF(AK1108=0,0,IF(SUM(OFFSET(AK1105,0,-1):OFFSET(AK1105,0,Prj_Len-AK$2))=0,0,Параметры!AK$31))</f>
        <v>0</v>
      </c>
      <c r="AL1109" s="185">
        <f ca="1">IF(AL1108=0,0,IF(SUM(OFFSET(AL1105,0,-1):OFFSET(AL1105,0,Prj_Len-AL$2))=0,0,Параметры!AL$31))</f>
        <v>0</v>
      </c>
      <c r="AM1109" s="185">
        <f ca="1">IF(AM1108=0,0,IF(SUM(OFFSET(AM1105,0,-1):OFFSET(AM1105,0,Prj_Len-AM$2))=0,0,Параметры!AM$31))</f>
        <v>0</v>
      </c>
      <c r="AN1109" s="185">
        <f ca="1">IF(AN1108=0,0,IF(SUM(OFFSET(AN1105,0,-1):OFFSET(AN1105,0,Prj_Len-AN$2))=0,0,Параметры!AN$31))</f>
        <v>0</v>
      </c>
      <c r="AO1109" s="185">
        <f ca="1">IF(AO1108=0,0,IF(SUM(OFFSET(AO1105,0,-1):OFFSET(AO1105,0,Prj_Len-AO$2))=0,0,Параметры!AO$31))</f>
        <v>0</v>
      </c>
      <c r="AP1109" s="185">
        <f ca="1">IF(AP1108=0,0,IF(SUM(OFFSET(AP1105,0,-1):OFFSET(AP1105,0,Prj_Len-AP$2))=0,0,Параметры!AP$31))</f>
        <v>0</v>
      </c>
      <c r="AQ1109" s="185">
        <f ca="1">IF(AQ1108=0,0,IF(SUM(OFFSET(AQ1105,0,-1):OFFSET(AQ1105,0,Prj_Len-AQ$2))=0,0,Параметры!AQ$31))</f>
        <v>0</v>
      </c>
      <c r="AR1109" s="185">
        <f ca="1">IF(AR1108=0,0,IF(SUM(OFFSET(AR1105,0,-1):OFFSET(AR1105,0,Prj_Len-AR$2))=0,0,Параметры!AR$31))</f>
        <v>0</v>
      </c>
      <c r="AS1109" s="185">
        <f ca="1">IF(AS1108=0,0,IF(SUM(OFFSET(AS1105,0,-1):OFFSET(AS1105,0,Prj_Len-AS$2))=0,0,Параметры!AS$31))</f>
        <v>0</v>
      </c>
      <c r="AT1109" s="185">
        <f ca="1">IF(AT1108=0,0,IF(SUM(OFFSET(AT1105,0,-1):OFFSET(AT1105,0,Prj_Len-AT$2))=0,0,Параметры!AT$31))</f>
        <v>0</v>
      </c>
      <c r="AU1109" s="185">
        <f ca="1">IF(AU1108=0,0,IF(SUM(OFFSET(AU1105,0,-1):OFFSET(AU1105,0,Prj_Len-AU$2))=0,0,Параметры!AU$31))</f>
        <v>0</v>
      </c>
      <c r="AV1109" s="185">
        <f ca="1">IF(AV1108=0,0,IF(SUM(OFFSET(AV1105,0,-1):OFFSET(AV1105,0,Prj_Len-AV$2))=0,0,Параметры!AV$31))</f>
        <v>0</v>
      </c>
      <c r="AW1109" s="185">
        <f ca="1">IF(AW1108=0,0,IF(SUM(OFFSET(AW1105,0,-1):OFFSET(AW1105,0,Prj_Len-AW$2))=0,0,Параметры!AW$31))</f>
        <v>0</v>
      </c>
      <c r="AX1109" s="185">
        <f ca="1">IF(AX1108=0,0,IF(SUM(OFFSET(AX1105,0,-1):OFFSET(AX1105,0,Prj_Len-AX$2))=0,0,Параметры!AX$31))</f>
        <v>0</v>
      </c>
      <c r="AY1109" s="185">
        <f ca="1">IF(AY1108=0,0,IF(SUM(OFFSET(AY1105,0,-1):OFFSET(AY1105,0,Prj_Len-AY$2))=0,0,Параметры!AY$31))</f>
        <v>0</v>
      </c>
      <c r="AZ1109" s="185">
        <f ca="1">IF(AZ1108=0,0,IF(SUM(OFFSET(AZ1105,0,-1):OFFSET(AZ1105,0,Prj_Len-AZ$2))=0,0,Параметры!AZ$31))</f>
        <v>0</v>
      </c>
      <c r="BA1109" s="185">
        <f ca="1">IF(BA1108=0,0,IF(SUM(OFFSET(BA1105,0,-1):OFFSET(BA1105,0,Prj_Len-BA$2))=0,0,Параметры!BA$31))</f>
        <v>0</v>
      </c>
      <c r="BB1109" s="185">
        <f ca="1">IF(BB1108=0,0,IF(SUM(OFFSET(BB1105,0,-1):OFFSET(BB1105,0,Prj_Len-BB$2))=0,0,Параметры!BB$31))</f>
        <v>0</v>
      </c>
      <c r="BC1109" s="185"/>
      <c r="BD1109" s="193">
        <f ca="1">SUM(G1109:BC1109)</f>
        <v>0</v>
      </c>
    </row>
    <row r="1110" spans="1:56" ht="14.4" hidden="1" thickTop="1" x14ac:dyDescent="0.3">
      <c r="A1110" s="283" t="str">
        <f ca="1">Language!A$1524</f>
        <v>Шаблон краткосрочного займа</v>
      </c>
      <c r="B1110" s="205"/>
      <c r="C1110" s="176" t="str">
        <f t="shared" ref="C1110" ca="1" si="4230">CHOOSE(D1110,CurName1,CurName2,CurName3)</f>
        <v>руб.</v>
      </c>
      <c r="D1110" s="174">
        <v>1</v>
      </c>
      <c r="F1110" s="170" t="s">
        <v>2200</v>
      </c>
    </row>
    <row r="1111" spans="1:56" ht="14.4" hidden="1" thickTop="1" x14ac:dyDescent="0.3">
      <c r="A1111" s="175" t="str">
        <f ca="1">Language!A$1525</f>
        <v>ставка процентов по займу</v>
      </c>
      <c r="B1111" s="303">
        <v>0.1</v>
      </c>
      <c r="C1111" s="176" t="str">
        <f ca="1">Language!$A$480</f>
        <v>% в год</v>
      </c>
      <c r="D1111" s="174"/>
      <c r="E1111" s="170" t="s">
        <v>1534</v>
      </c>
      <c r="F1111" s="170" t="s">
        <v>749</v>
      </c>
      <c r="G1111" s="304">
        <f>B1111</f>
        <v>0.1</v>
      </c>
      <c r="H1111" s="304">
        <f t="shared" ref="H1111" si="4231">G1111</f>
        <v>0.1</v>
      </c>
      <c r="I1111" s="304">
        <f t="shared" ref="I1111" si="4232">H1111</f>
        <v>0.1</v>
      </c>
      <c r="J1111" s="304">
        <f t="shared" ref="J1111" si="4233">I1111</f>
        <v>0.1</v>
      </c>
      <c r="K1111" s="304">
        <f t="shared" ref="K1111:BB1111" si="4234">J1111</f>
        <v>0.1</v>
      </c>
      <c r="L1111" s="304">
        <f t="shared" si="4234"/>
        <v>0.1</v>
      </c>
      <c r="M1111" s="304">
        <f t="shared" si="4234"/>
        <v>0.1</v>
      </c>
      <c r="N1111" s="304">
        <f t="shared" si="4234"/>
        <v>0.1</v>
      </c>
      <c r="O1111" s="304">
        <f t="shared" si="4234"/>
        <v>0.1</v>
      </c>
      <c r="P1111" s="304">
        <f t="shared" si="4234"/>
        <v>0.1</v>
      </c>
      <c r="Q1111" s="304">
        <f t="shared" si="4234"/>
        <v>0.1</v>
      </c>
      <c r="R1111" s="304">
        <f t="shared" si="4234"/>
        <v>0.1</v>
      </c>
      <c r="S1111" s="304">
        <f t="shared" si="4234"/>
        <v>0.1</v>
      </c>
      <c r="T1111" s="304">
        <f t="shared" si="4234"/>
        <v>0.1</v>
      </c>
      <c r="U1111" s="304">
        <f t="shared" si="4234"/>
        <v>0.1</v>
      </c>
      <c r="V1111" s="304">
        <f t="shared" si="4234"/>
        <v>0.1</v>
      </c>
      <c r="W1111" s="304">
        <f t="shared" si="4234"/>
        <v>0.1</v>
      </c>
      <c r="X1111" s="304">
        <f t="shared" si="4234"/>
        <v>0.1</v>
      </c>
      <c r="Y1111" s="304">
        <f t="shared" si="4234"/>
        <v>0.1</v>
      </c>
      <c r="Z1111" s="304">
        <f t="shared" si="4234"/>
        <v>0.1</v>
      </c>
      <c r="AA1111" s="304">
        <f t="shared" si="4234"/>
        <v>0.1</v>
      </c>
      <c r="AB1111" s="304">
        <f t="shared" si="4234"/>
        <v>0.1</v>
      </c>
      <c r="AC1111" s="304">
        <f t="shared" si="4234"/>
        <v>0.1</v>
      </c>
      <c r="AD1111" s="304">
        <f t="shared" si="4234"/>
        <v>0.1</v>
      </c>
      <c r="AE1111" s="304">
        <f t="shared" si="4234"/>
        <v>0.1</v>
      </c>
      <c r="AF1111" s="304">
        <f t="shared" si="4234"/>
        <v>0.1</v>
      </c>
      <c r="AG1111" s="304">
        <f t="shared" si="4234"/>
        <v>0.1</v>
      </c>
      <c r="AH1111" s="304">
        <f t="shared" si="4234"/>
        <v>0.1</v>
      </c>
      <c r="AI1111" s="304">
        <f t="shared" si="4234"/>
        <v>0.1</v>
      </c>
      <c r="AJ1111" s="304">
        <f t="shared" si="4234"/>
        <v>0.1</v>
      </c>
      <c r="AK1111" s="304">
        <f t="shared" si="4234"/>
        <v>0.1</v>
      </c>
      <c r="AL1111" s="304">
        <f t="shared" si="4234"/>
        <v>0.1</v>
      </c>
      <c r="AM1111" s="304">
        <f t="shared" si="4234"/>
        <v>0.1</v>
      </c>
      <c r="AN1111" s="304">
        <f t="shared" si="4234"/>
        <v>0.1</v>
      </c>
      <c r="AO1111" s="304">
        <f t="shared" si="4234"/>
        <v>0.1</v>
      </c>
      <c r="AP1111" s="304">
        <f t="shared" si="4234"/>
        <v>0.1</v>
      </c>
      <c r="AQ1111" s="304">
        <f t="shared" si="4234"/>
        <v>0.1</v>
      </c>
      <c r="AR1111" s="304">
        <f t="shared" si="4234"/>
        <v>0.1</v>
      </c>
      <c r="AS1111" s="304">
        <f t="shared" si="4234"/>
        <v>0.1</v>
      </c>
      <c r="AT1111" s="304">
        <f t="shared" si="4234"/>
        <v>0.1</v>
      </c>
      <c r="AU1111" s="304">
        <f t="shared" si="4234"/>
        <v>0.1</v>
      </c>
      <c r="AV1111" s="304">
        <f t="shared" si="4234"/>
        <v>0.1</v>
      </c>
      <c r="AW1111" s="304">
        <f t="shared" si="4234"/>
        <v>0.1</v>
      </c>
      <c r="AX1111" s="304">
        <f t="shared" si="4234"/>
        <v>0.1</v>
      </c>
      <c r="AY1111" s="304">
        <f t="shared" si="4234"/>
        <v>0.1</v>
      </c>
      <c r="AZ1111" s="304">
        <f t="shared" si="4234"/>
        <v>0.1</v>
      </c>
      <c r="BA1111" s="304">
        <f t="shared" si="4234"/>
        <v>0.1</v>
      </c>
      <c r="BB1111" s="304">
        <f t="shared" si="4234"/>
        <v>0.1</v>
      </c>
      <c r="BC1111" s="226"/>
    </row>
    <row r="1112" spans="1:56" ht="14.4" hidden="1" thickTop="1" x14ac:dyDescent="0.3">
      <c r="A1112" s="175" t="str">
        <f ca="1">Language!A$1107</f>
        <v>отсрочка выплаты процентов</v>
      </c>
      <c r="B1112" s="292">
        <v>0</v>
      </c>
      <c r="C1112" s="176" t="str">
        <f ca="1">Language!$A$1484</f>
        <v>периодов</v>
      </c>
      <c r="D1112" s="174"/>
      <c r="F1112" s="170" t="s">
        <v>753</v>
      </c>
    </row>
    <row r="1113" spans="1:56" ht="14.4" hidden="1" thickTop="1" x14ac:dyDescent="0.3">
      <c r="A1113" s="175" t="str">
        <f ca="1">Language!A$1108</f>
        <v>капитализация невыплаченных процентов</v>
      </c>
      <c r="B1113" s="305">
        <v>1</v>
      </c>
      <c r="C1113" s="176" t="str">
        <f ca="1">IF(B1113=1,Language!$A$1475,Language!$A$1476)</f>
        <v>Да</v>
      </c>
      <c r="D1113" s="174"/>
      <c r="F1113" s="170" t="s">
        <v>2351</v>
      </c>
    </row>
    <row r="1114" spans="1:56" ht="14.4" hidden="1" thickTop="1" x14ac:dyDescent="0.3">
      <c r="A1114" s="175" t="str">
        <f ca="1">Language!A$1109</f>
        <v>срок кредитования</v>
      </c>
      <c r="B1114" s="227">
        <f ca="1">IF(OFFSET(G1117,0,Prj_Len-1)&gt;0,"-",BD1121/12)</f>
        <v>0</v>
      </c>
      <c r="C1114" s="228" t="str">
        <f ca="1">Language!A$48</f>
        <v>лет</v>
      </c>
      <c r="D1114" s="174"/>
      <c r="F1114" s="170" t="s">
        <v>753</v>
      </c>
    </row>
    <row r="1115" spans="1:56" ht="14.4" hidden="1" thickTop="1" x14ac:dyDescent="0.3">
      <c r="A1115" s="175" t="str">
        <f ca="1">Language!A$1526</f>
        <v>выдача займа</v>
      </c>
      <c r="C1115" s="176" t="str">
        <f t="shared" ref="C1115:C1116" ca="1" si="4235">CHOOSE(D1115,CurName1,CurName2,CurName3)</f>
        <v>руб.</v>
      </c>
      <c r="D1115" s="174">
        <f>D1110</f>
        <v>1</v>
      </c>
      <c r="E1115" s="170" t="s">
        <v>1463</v>
      </c>
      <c r="F1115" s="170" t="s">
        <v>742</v>
      </c>
      <c r="G1115" s="296">
        <v>0</v>
      </c>
      <c r="H1115" s="296">
        <v>0</v>
      </c>
      <c r="I1115" s="296">
        <v>0</v>
      </c>
      <c r="J1115" s="296">
        <v>0</v>
      </c>
      <c r="K1115" s="296">
        <v>0</v>
      </c>
      <c r="L1115" s="296">
        <v>0</v>
      </c>
      <c r="M1115" s="296">
        <v>0</v>
      </c>
      <c r="N1115" s="296">
        <v>0</v>
      </c>
      <c r="O1115" s="296">
        <v>0</v>
      </c>
      <c r="P1115" s="296">
        <v>0</v>
      </c>
      <c r="Q1115" s="296">
        <v>0</v>
      </c>
      <c r="R1115" s="296">
        <v>0</v>
      </c>
      <c r="S1115" s="296">
        <v>0</v>
      </c>
      <c r="T1115" s="296">
        <v>0</v>
      </c>
      <c r="U1115" s="296">
        <v>0</v>
      </c>
      <c r="V1115" s="296">
        <v>0</v>
      </c>
      <c r="W1115" s="296">
        <v>0</v>
      </c>
      <c r="X1115" s="296">
        <v>0</v>
      </c>
      <c r="Y1115" s="296">
        <v>0</v>
      </c>
      <c r="Z1115" s="296">
        <v>0</v>
      </c>
      <c r="AA1115" s="296">
        <v>0</v>
      </c>
      <c r="AB1115" s="296">
        <v>0</v>
      </c>
      <c r="AC1115" s="296">
        <v>0</v>
      </c>
      <c r="AD1115" s="296">
        <v>0</v>
      </c>
      <c r="AE1115" s="296">
        <v>0</v>
      </c>
      <c r="AF1115" s="296">
        <v>0</v>
      </c>
      <c r="AG1115" s="296">
        <v>0</v>
      </c>
      <c r="AH1115" s="296">
        <v>0</v>
      </c>
      <c r="AI1115" s="296">
        <v>0</v>
      </c>
      <c r="AJ1115" s="296">
        <v>0</v>
      </c>
      <c r="AK1115" s="296">
        <v>0</v>
      </c>
      <c r="AL1115" s="296">
        <v>0</v>
      </c>
      <c r="AM1115" s="296">
        <v>0</v>
      </c>
      <c r="AN1115" s="296">
        <v>0</v>
      </c>
      <c r="AO1115" s="296">
        <v>0</v>
      </c>
      <c r="AP1115" s="296">
        <v>0</v>
      </c>
      <c r="AQ1115" s="296">
        <v>0</v>
      </c>
      <c r="AR1115" s="296">
        <v>0</v>
      </c>
      <c r="AS1115" s="296">
        <v>0</v>
      </c>
      <c r="AT1115" s="296">
        <v>0</v>
      </c>
      <c r="AU1115" s="296">
        <v>0</v>
      </c>
      <c r="AV1115" s="296">
        <v>0</v>
      </c>
      <c r="AW1115" s="296">
        <v>0</v>
      </c>
      <c r="AX1115" s="296">
        <v>0</v>
      </c>
      <c r="AY1115" s="296">
        <v>0</v>
      </c>
      <c r="AZ1115" s="296">
        <v>0</v>
      </c>
      <c r="BA1115" s="296">
        <v>0</v>
      </c>
      <c r="BB1115" s="296">
        <v>0</v>
      </c>
      <c r="BC1115" s="202"/>
      <c r="BD1115" s="178">
        <f>SUM(G1115:BC1115)</f>
        <v>0</v>
      </c>
    </row>
    <row r="1116" spans="1:56" ht="14.4" hidden="1" thickTop="1" x14ac:dyDescent="0.3">
      <c r="A1116" s="175" t="str">
        <f ca="1">Language!A$1527</f>
        <v>возврат займа</v>
      </c>
      <c r="C1116" s="176" t="str">
        <f t="shared" ca="1" si="4235"/>
        <v>руб.</v>
      </c>
      <c r="D1116" s="174">
        <f>D1110</f>
        <v>1</v>
      </c>
      <c r="E1116" s="170" t="s">
        <v>1464</v>
      </c>
      <c r="F1116" s="170" t="s">
        <v>742</v>
      </c>
      <c r="G1116" s="296">
        <v>0</v>
      </c>
      <c r="H1116" s="296">
        <v>0</v>
      </c>
      <c r="I1116" s="296">
        <v>0</v>
      </c>
      <c r="J1116" s="296">
        <v>0</v>
      </c>
      <c r="K1116" s="296">
        <v>0</v>
      </c>
      <c r="L1116" s="296">
        <v>0</v>
      </c>
      <c r="M1116" s="296">
        <v>0</v>
      </c>
      <c r="N1116" s="296">
        <v>0</v>
      </c>
      <c r="O1116" s="296">
        <v>0</v>
      </c>
      <c r="P1116" s="296">
        <v>0</v>
      </c>
      <c r="Q1116" s="296">
        <v>0</v>
      </c>
      <c r="R1116" s="296">
        <v>0</v>
      </c>
      <c r="S1116" s="296">
        <v>0</v>
      </c>
      <c r="T1116" s="296">
        <v>0</v>
      </c>
      <c r="U1116" s="296">
        <v>0</v>
      </c>
      <c r="V1116" s="296">
        <v>0</v>
      </c>
      <c r="W1116" s="296">
        <v>0</v>
      </c>
      <c r="X1116" s="296">
        <v>0</v>
      </c>
      <c r="Y1116" s="296">
        <v>0</v>
      </c>
      <c r="Z1116" s="296">
        <v>0</v>
      </c>
      <c r="AA1116" s="296">
        <v>0</v>
      </c>
      <c r="AB1116" s="296">
        <v>0</v>
      </c>
      <c r="AC1116" s="296">
        <v>0</v>
      </c>
      <c r="AD1116" s="296">
        <v>0</v>
      </c>
      <c r="AE1116" s="296">
        <v>0</v>
      </c>
      <c r="AF1116" s="296">
        <v>0</v>
      </c>
      <c r="AG1116" s="296">
        <v>0</v>
      </c>
      <c r="AH1116" s="296">
        <v>0</v>
      </c>
      <c r="AI1116" s="296">
        <v>0</v>
      </c>
      <c r="AJ1116" s="296">
        <v>0</v>
      </c>
      <c r="AK1116" s="296">
        <v>0</v>
      </c>
      <c r="AL1116" s="296">
        <v>0</v>
      </c>
      <c r="AM1116" s="296">
        <v>0</v>
      </c>
      <c r="AN1116" s="296">
        <v>0</v>
      </c>
      <c r="AO1116" s="296">
        <v>0</v>
      </c>
      <c r="AP1116" s="296">
        <v>0</v>
      </c>
      <c r="AQ1116" s="296">
        <v>0</v>
      </c>
      <c r="AR1116" s="296">
        <v>0</v>
      </c>
      <c r="AS1116" s="296">
        <v>0</v>
      </c>
      <c r="AT1116" s="296">
        <v>0</v>
      </c>
      <c r="AU1116" s="296">
        <v>0</v>
      </c>
      <c r="AV1116" s="296">
        <v>0</v>
      </c>
      <c r="AW1116" s="296">
        <v>0</v>
      </c>
      <c r="AX1116" s="296">
        <v>0</v>
      </c>
      <c r="AY1116" s="296">
        <v>0</v>
      </c>
      <c r="AZ1116" s="296">
        <v>0</v>
      </c>
      <c r="BA1116" s="296">
        <v>0</v>
      </c>
      <c r="BB1116" s="296">
        <v>0</v>
      </c>
      <c r="BC1116" s="202"/>
      <c r="BD1116" s="178">
        <f>SUM(G1116:BC1116)</f>
        <v>0</v>
      </c>
    </row>
    <row r="1117" spans="1:56" ht="14.4" hidden="1" thickTop="1" x14ac:dyDescent="0.3">
      <c r="A1117" s="181" t="str">
        <f ca="1">Language!A$1528</f>
        <v>задолженность по займу</v>
      </c>
      <c r="B1117" s="176"/>
      <c r="C1117" s="176" t="str">
        <f ca="1">CHOOSE(D1117,CurName1,CurName2,CurName3)</f>
        <v>руб.</v>
      </c>
      <c r="D1117" s="174">
        <f>D1110</f>
        <v>1</v>
      </c>
      <c r="E1117" s="170" t="s">
        <v>1039</v>
      </c>
      <c r="F1117" s="170" t="s">
        <v>749</v>
      </c>
      <c r="G1117" s="182">
        <f>SUM($G1118:G1118)-SUM($G1119:G1119)+SUM($G1115:G1115)-SUM($G1116:G1116)</f>
        <v>0</v>
      </c>
      <c r="H1117" s="182">
        <f>SUM($G1118:H1118)-SUM($G1119:H1119)+SUM($G1115:H1115)-SUM($G1116:H1116)</f>
        <v>0</v>
      </c>
      <c r="I1117" s="182">
        <f>SUM($G1118:I1118)-SUM($G1119:I1119)+SUM($G1115:I1115)-SUM($G1116:I1116)</f>
        <v>0</v>
      </c>
      <c r="J1117" s="182">
        <f>SUM($G1118:J1118)-SUM($G1119:J1119)+SUM($G1115:J1115)-SUM($G1116:J1116)</f>
        <v>0</v>
      </c>
      <c r="K1117" s="182">
        <f>SUM($G1118:K1118)-SUM($G1119:K1119)+SUM($G1115:K1115)-SUM($G1116:K1116)</f>
        <v>0</v>
      </c>
      <c r="L1117" s="182">
        <f>SUM($G1118:L1118)-SUM($G1119:L1119)+SUM($G1115:L1115)-SUM($G1116:L1116)</f>
        <v>0</v>
      </c>
      <c r="M1117" s="182">
        <f>SUM($G1118:M1118)-SUM($G1119:M1119)+SUM($G1115:M1115)-SUM($G1116:M1116)</f>
        <v>0</v>
      </c>
      <c r="N1117" s="182">
        <f>SUM($G1118:N1118)-SUM($G1119:N1119)+SUM($G1115:N1115)-SUM($G1116:N1116)</f>
        <v>0</v>
      </c>
      <c r="O1117" s="182">
        <f>SUM($G1118:O1118)-SUM($G1119:O1119)+SUM($G1115:O1115)-SUM($G1116:O1116)</f>
        <v>0</v>
      </c>
      <c r="P1117" s="182">
        <f>SUM($G1118:P1118)-SUM($G1119:P1119)+SUM($G1115:P1115)-SUM($G1116:P1116)</f>
        <v>0</v>
      </c>
      <c r="Q1117" s="182">
        <f>SUM($G1118:Q1118)-SUM($G1119:Q1119)+SUM($G1115:Q1115)-SUM($G1116:Q1116)</f>
        <v>0</v>
      </c>
      <c r="R1117" s="182">
        <f>SUM($G1118:R1118)-SUM($G1119:R1119)+SUM($G1115:R1115)-SUM($G1116:R1116)</f>
        <v>0</v>
      </c>
      <c r="S1117" s="182">
        <f>SUM($G1118:S1118)-SUM($G1119:S1119)+SUM($G1115:S1115)-SUM($G1116:S1116)</f>
        <v>0</v>
      </c>
      <c r="T1117" s="182">
        <f>SUM($G1118:T1118)-SUM($G1119:T1119)+SUM($G1115:T1115)-SUM($G1116:T1116)</f>
        <v>0</v>
      </c>
      <c r="U1117" s="182">
        <f>SUM($G1118:U1118)-SUM($G1119:U1119)+SUM($G1115:U1115)-SUM($G1116:U1116)</f>
        <v>0</v>
      </c>
      <c r="V1117" s="182">
        <f>SUM($G1118:V1118)-SUM($G1119:V1119)+SUM($G1115:V1115)-SUM($G1116:V1116)</f>
        <v>0</v>
      </c>
      <c r="W1117" s="182">
        <f>SUM($G1118:W1118)-SUM($G1119:W1119)+SUM($G1115:W1115)-SUM($G1116:W1116)</f>
        <v>0</v>
      </c>
      <c r="X1117" s="182">
        <f>SUM($G1118:X1118)-SUM($G1119:X1119)+SUM($G1115:X1115)-SUM($G1116:X1116)</f>
        <v>0</v>
      </c>
      <c r="Y1117" s="182">
        <f>SUM($G1118:Y1118)-SUM($G1119:Y1119)+SUM($G1115:Y1115)-SUM($G1116:Y1116)</f>
        <v>0</v>
      </c>
      <c r="Z1117" s="182">
        <f>SUM($G1118:Z1118)-SUM($G1119:Z1119)+SUM($G1115:Z1115)-SUM($G1116:Z1116)</f>
        <v>0</v>
      </c>
      <c r="AA1117" s="182">
        <f>SUM($G1118:AA1118)-SUM($G1119:AA1119)+SUM($G1115:AA1115)-SUM($G1116:AA1116)</f>
        <v>0</v>
      </c>
      <c r="AB1117" s="182">
        <f>SUM($G1118:AB1118)-SUM($G1119:AB1119)+SUM($G1115:AB1115)-SUM($G1116:AB1116)</f>
        <v>0</v>
      </c>
      <c r="AC1117" s="182">
        <f>SUM($G1118:AC1118)-SUM($G1119:AC1119)+SUM($G1115:AC1115)-SUM($G1116:AC1116)</f>
        <v>0</v>
      </c>
      <c r="AD1117" s="182">
        <f>SUM($G1118:AD1118)-SUM($G1119:AD1119)+SUM($G1115:AD1115)-SUM($G1116:AD1116)</f>
        <v>0</v>
      </c>
      <c r="AE1117" s="182">
        <f>SUM($G1118:AE1118)-SUM($G1119:AE1119)+SUM($G1115:AE1115)-SUM($G1116:AE1116)</f>
        <v>0</v>
      </c>
      <c r="AF1117" s="182">
        <f>SUM($G1118:AF1118)-SUM($G1119:AF1119)+SUM($G1115:AF1115)-SUM($G1116:AF1116)</f>
        <v>0</v>
      </c>
      <c r="AG1117" s="182">
        <f>SUM($G1118:AG1118)-SUM($G1119:AG1119)+SUM($G1115:AG1115)-SUM($G1116:AG1116)</f>
        <v>0</v>
      </c>
      <c r="AH1117" s="182">
        <f>SUM($G1118:AH1118)-SUM($G1119:AH1119)+SUM($G1115:AH1115)-SUM($G1116:AH1116)</f>
        <v>0</v>
      </c>
      <c r="AI1117" s="182">
        <f>SUM($G1118:AI1118)-SUM($G1119:AI1119)+SUM($G1115:AI1115)-SUM($G1116:AI1116)</f>
        <v>0</v>
      </c>
      <c r="AJ1117" s="182">
        <f>SUM($G1118:AJ1118)-SUM($G1119:AJ1119)+SUM($G1115:AJ1115)-SUM($G1116:AJ1116)</f>
        <v>0</v>
      </c>
      <c r="AK1117" s="182">
        <f>SUM($G1118:AK1118)-SUM($G1119:AK1119)+SUM($G1115:AK1115)-SUM($G1116:AK1116)</f>
        <v>0</v>
      </c>
      <c r="AL1117" s="182">
        <f>SUM($G1118:AL1118)-SUM($G1119:AL1119)+SUM($G1115:AL1115)-SUM($G1116:AL1116)</f>
        <v>0</v>
      </c>
      <c r="AM1117" s="182">
        <f>SUM($G1118:AM1118)-SUM($G1119:AM1119)+SUM($G1115:AM1115)-SUM($G1116:AM1116)</f>
        <v>0</v>
      </c>
      <c r="AN1117" s="182">
        <f>SUM($G1118:AN1118)-SUM($G1119:AN1119)+SUM($G1115:AN1115)-SUM($G1116:AN1116)</f>
        <v>0</v>
      </c>
      <c r="AO1117" s="182">
        <f>SUM($G1118:AO1118)-SUM($G1119:AO1119)+SUM($G1115:AO1115)-SUM($G1116:AO1116)</f>
        <v>0</v>
      </c>
      <c r="AP1117" s="182">
        <f>SUM($G1118:AP1118)-SUM($G1119:AP1119)+SUM($G1115:AP1115)-SUM($G1116:AP1116)</f>
        <v>0</v>
      </c>
      <c r="AQ1117" s="182">
        <f>SUM($G1118:AQ1118)-SUM($G1119:AQ1119)+SUM($G1115:AQ1115)-SUM($G1116:AQ1116)</f>
        <v>0</v>
      </c>
      <c r="AR1117" s="182">
        <f>SUM($G1118:AR1118)-SUM($G1119:AR1119)+SUM($G1115:AR1115)-SUM($G1116:AR1116)</f>
        <v>0</v>
      </c>
      <c r="AS1117" s="182">
        <f>SUM($G1118:AS1118)-SUM($G1119:AS1119)+SUM($G1115:AS1115)-SUM($G1116:AS1116)</f>
        <v>0</v>
      </c>
      <c r="AT1117" s="182">
        <f>SUM($G1118:AT1118)-SUM($G1119:AT1119)+SUM($G1115:AT1115)-SUM($G1116:AT1116)</f>
        <v>0</v>
      </c>
      <c r="AU1117" s="182">
        <f>SUM($G1118:AU1118)-SUM($G1119:AU1119)+SUM($G1115:AU1115)-SUM($G1116:AU1116)</f>
        <v>0</v>
      </c>
      <c r="AV1117" s="182">
        <f>SUM($G1118:AV1118)-SUM($G1119:AV1119)+SUM($G1115:AV1115)-SUM($G1116:AV1116)</f>
        <v>0</v>
      </c>
      <c r="AW1117" s="182">
        <f>SUM($G1118:AW1118)-SUM($G1119:AW1119)+SUM($G1115:AW1115)-SUM($G1116:AW1116)</f>
        <v>0</v>
      </c>
      <c r="AX1117" s="182">
        <f>SUM($G1118:AX1118)-SUM($G1119:AX1119)+SUM($G1115:AX1115)-SUM($G1116:AX1116)</f>
        <v>0</v>
      </c>
      <c r="AY1117" s="182">
        <f>SUM($G1118:AY1118)-SUM($G1119:AY1119)+SUM($G1115:AY1115)-SUM($G1116:AY1116)</f>
        <v>0</v>
      </c>
      <c r="AZ1117" s="182">
        <f>SUM($G1118:AZ1118)-SUM($G1119:AZ1119)+SUM($G1115:AZ1115)-SUM($G1116:AZ1116)</f>
        <v>0</v>
      </c>
      <c r="BA1117" s="182">
        <f>SUM($G1118:BA1118)-SUM($G1119:BA1119)+SUM($G1115:BA1115)-SUM($G1116:BA1116)</f>
        <v>0</v>
      </c>
      <c r="BB1117" s="182">
        <f>SUM($G1118:BB1118)-SUM($G1119:BB1119)+SUM($G1115:BB1115)-SUM($G1116:BB1116)</f>
        <v>0</v>
      </c>
      <c r="BC1117" s="182"/>
      <c r="BD1117" s="183"/>
    </row>
    <row r="1118" spans="1:56" ht="14.4" hidden="1" thickTop="1" x14ac:dyDescent="0.3">
      <c r="A1118" s="181" t="str">
        <f ca="1">Language!A$1113</f>
        <v>начисленные проценты</v>
      </c>
      <c r="B1118" s="173"/>
      <c r="C1118" s="176" t="str">
        <f t="shared" ref="C1118:C1119" ca="1" si="4236">CHOOSE(D1118,CurName1,CurName2,CurName3)</f>
        <v>руб.</v>
      </c>
      <c r="D1118" s="174">
        <f>D1110</f>
        <v>1</v>
      </c>
      <c r="E1118" s="170" t="s">
        <v>1465</v>
      </c>
      <c r="F1118" s="170" t="s">
        <v>742</v>
      </c>
      <c r="G1118" s="182">
        <f>MAX((SUM($G1115:G1115)-SUM($G1116:G1116)+IF(AND($B1113=1,G$2&gt;1),SUM($F1118:F1118)-SUM($F1119:F1119),0)), 0) * G1111/12*Параметры!G$31</f>
        <v>0</v>
      </c>
      <c r="H1118" s="182">
        <f>MAX((SUM($G1115:H1115)-SUM($G1116:H1116)+IF(AND($B1113=1,H$2&gt;1),SUM($F1118:G1118)-SUM($F1119:G1119),0)), 0) * H1111/12*Параметры!H$31</f>
        <v>0</v>
      </c>
      <c r="I1118" s="182">
        <f>MAX((SUM($G1115:I1115)-SUM($G1116:I1116)+IF(AND($B1113=1,I$2&gt;1),SUM($F1118:H1118)-SUM($F1119:H1119),0)), 0) * I1111/12*Параметры!I$31</f>
        <v>0</v>
      </c>
      <c r="J1118" s="182">
        <f>MAX((SUM($G1115:J1115)-SUM($G1116:J1116)+IF(AND($B1113=1,J$2&gt;1),SUM($F1118:I1118)-SUM($F1119:I1119),0)), 0) * J1111/12*Параметры!J$31</f>
        <v>0</v>
      </c>
      <c r="K1118" s="182">
        <f>MAX((SUM($G1115:K1115)-SUM($G1116:K1116)+IF(AND($B1113=1,K$2&gt;1),SUM($F1118:J1118)-SUM($F1119:J1119),0)), 0) * K1111/12*Параметры!K$31</f>
        <v>0</v>
      </c>
      <c r="L1118" s="182">
        <f>MAX((SUM($G1115:L1115)-SUM($G1116:L1116)+IF(AND($B1113=1,L$2&gt;1),SUM($F1118:K1118)-SUM($F1119:K1119),0)), 0) * L1111/12*Параметры!L$31</f>
        <v>0</v>
      </c>
      <c r="M1118" s="182">
        <f>MAX((SUM($G1115:M1115)-SUM($G1116:M1116)+IF(AND($B1113=1,M$2&gt;1),SUM($F1118:L1118)-SUM($F1119:L1119),0)), 0) * M1111/12*Параметры!M$31</f>
        <v>0</v>
      </c>
      <c r="N1118" s="182">
        <f>MAX((SUM($G1115:N1115)-SUM($G1116:N1116)+IF(AND($B1113=1,N$2&gt;1),SUM($F1118:M1118)-SUM($F1119:M1119),0)), 0) * N1111/12*Параметры!N$31</f>
        <v>0</v>
      </c>
      <c r="O1118" s="182">
        <f>MAX((SUM($G1115:O1115)-SUM($G1116:O1116)+IF(AND($B1113=1,O$2&gt;1),SUM($F1118:N1118)-SUM($F1119:N1119),0)), 0) * O1111/12*Параметры!O$31</f>
        <v>0</v>
      </c>
      <c r="P1118" s="182">
        <f>MAX((SUM($G1115:P1115)-SUM($G1116:P1116)+IF(AND($B1113=1,P$2&gt;1),SUM($F1118:O1118)-SUM($F1119:O1119),0)), 0) * P1111/12*Параметры!P$31</f>
        <v>0</v>
      </c>
      <c r="Q1118" s="182">
        <f>MAX((SUM($G1115:Q1115)-SUM($G1116:Q1116)+IF(AND($B1113=1,Q$2&gt;1),SUM($F1118:P1118)-SUM($F1119:P1119),0)), 0) * Q1111/12*Параметры!Q$31</f>
        <v>0</v>
      </c>
      <c r="R1118" s="182">
        <f>MAX((SUM($G1115:R1115)-SUM($G1116:R1116)+IF(AND($B1113=1,R$2&gt;1),SUM($F1118:Q1118)-SUM($F1119:Q1119),0)), 0) * R1111/12*Параметры!R$31</f>
        <v>0</v>
      </c>
      <c r="S1118" s="182">
        <f>MAX((SUM($G1115:S1115)-SUM($G1116:S1116)+IF(AND($B1113=1,S$2&gt;1),SUM($F1118:R1118)-SUM($F1119:R1119),0)), 0) * S1111/12*Параметры!S$31</f>
        <v>0</v>
      </c>
      <c r="T1118" s="182">
        <f>MAX((SUM($G1115:T1115)-SUM($G1116:T1116)+IF(AND($B1113=1,T$2&gt;1),SUM($F1118:S1118)-SUM($F1119:S1119),0)), 0) * T1111/12*Параметры!T$31</f>
        <v>0</v>
      </c>
      <c r="U1118" s="182">
        <f>MAX((SUM($G1115:U1115)-SUM($G1116:U1116)+IF(AND($B1113=1,U$2&gt;1),SUM($F1118:T1118)-SUM($F1119:T1119),0)), 0) * U1111/12*Параметры!U$31</f>
        <v>0</v>
      </c>
      <c r="V1118" s="182">
        <f>MAX((SUM($G1115:V1115)-SUM($G1116:V1116)+IF(AND($B1113=1,V$2&gt;1),SUM($F1118:U1118)-SUM($F1119:U1119),0)), 0) * V1111/12*Параметры!V$31</f>
        <v>0</v>
      </c>
      <c r="W1118" s="182">
        <f>MAX((SUM($G1115:W1115)-SUM($G1116:W1116)+IF(AND($B1113=1,W$2&gt;1),SUM($F1118:V1118)-SUM($F1119:V1119),0)), 0) * W1111/12*Параметры!W$31</f>
        <v>0</v>
      </c>
      <c r="X1118" s="182">
        <f>MAX((SUM($G1115:X1115)-SUM($G1116:X1116)+IF(AND($B1113=1,X$2&gt;1),SUM($F1118:W1118)-SUM($F1119:W1119),0)), 0) * X1111/12*Параметры!X$31</f>
        <v>0</v>
      </c>
      <c r="Y1118" s="182">
        <f>MAX((SUM($G1115:Y1115)-SUM($G1116:Y1116)+IF(AND($B1113=1,Y$2&gt;1),SUM($F1118:X1118)-SUM($F1119:X1119),0)), 0) * Y1111/12*Параметры!Y$31</f>
        <v>0</v>
      </c>
      <c r="Z1118" s="182">
        <f>MAX((SUM($G1115:Z1115)-SUM($G1116:Z1116)+IF(AND($B1113=1,Z$2&gt;1),SUM($F1118:Y1118)-SUM($F1119:Y1119),0)), 0) * Z1111/12*Параметры!Z$31</f>
        <v>0</v>
      </c>
      <c r="AA1118" s="182">
        <f>MAX((SUM($G1115:AA1115)-SUM($G1116:AA1116)+IF(AND($B1113=1,AA$2&gt;1),SUM($F1118:Z1118)-SUM($F1119:Z1119),0)), 0) * AA1111/12*Параметры!AA$31</f>
        <v>0</v>
      </c>
      <c r="AB1118" s="182">
        <f>MAX((SUM($G1115:AB1115)-SUM($G1116:AB1116)+IF(AND($B1113=1,AB$2&gt;1),SUM($F1118:AA1118)-SUM($F1119:AA1119),0)), 0) * AB1111/12*Параметры!AB$31</f>
        <v>0</v>
      </c>
      <c r="AC1118" s="182">
        <f>MAX((SUM($G1115:AC1115)-SUM($G1116:AC1116)+IF(AND($B1113=1,AC$2&gt;1),SUM($F1118:AB1118)-SUM($F1119:AB1119),0)), 0) * AC1111/12*Параметры!AC$31</f>
        <v>0</v>
      </c>
      <c r="AD1118" s="182">
        <f>MAX((SUM($G1115:AD1115)-SUM($G1116:AD1116)+IF(AND($B1113=1,AD$2&gt;1),SUM($F1118:AC1118)-SUM($F1119:AC1119),0)), 0) * AD1111/12*Параметры!AD$31</f>
        <v>0</v>
      </c>
      <c r="AE1118" s="182">
        <f>MAX((SUM($G1115:AE1115)-SUM($G1116:AE1116)+IF(AND($B1113=1,AE$2&gt;1),SUM($F1118:AD1118)-SUM($F1119:AD1119),0)), 0) * AE1111/12*Параметры!AE$31</f>
        <v>0</v>
      </c>
      <c r="AF1118" s="182">
        <f>MAX((SUM($G1115:AF1115)-SUM($G1116:AF1116)+IF(AND($B1113=1,AF$2&gt;1),SUM($F1118:AE1118)-SUM($F1119:AE1119),0)), 0) * AF1111/12*Параметры!AF$31</f>
        <v>0</v>
      </c>
      <c r="AG1118" s="182">
        <f>MAX((SUM($G1115:AG1115)-SUM($G1116:AG1116)+IF(AND($B1113=1,AG$2&gt;1),SUM($F1118:AF1118)-SUM($F1119:AF1119),0)), 0) * AG1111/12*Параметры!AG$31</f>
        <v>0</v>
      </c>
      <c r="AH1118" s="182">
        <f>MAX((SUM($G1115:AH1115)-SUM($G1116:AH1116)+IF(AND($B1113=1,AH$2&gt;1),SUM($F1118:AG1118)-SUM($F1119:AG1119),0)), 0) * AH1111/12*Параметры!AH$31</f>
        <v>0</v>
      </c>
      <c r="AI1118" s="182">
        <f>MAX((SUM($G1115:AI1115)-SUM($G1116:AI1116)+IF(AND($B1113=1,AI$2&gt;1),SUM($F1118:AH1118)-SUM($F1119:AH1119),0)), 0) * AI1111/12*Параметры!AI$31</f>
        <v>0</v>
      </c>
      <c r="AJ1118" s="182">
        <f>MAX((SUM($G1115:AJ1115)-SUM($G1116:AJ1116)+IF(AND($B1113=1,AJ$2&gt;1),SUM($F1118:AI1118)-SUM($F1119:AI1119),0)), 0) * AJ1111/12*Параметры!AJ$31</f>
        <v>0</v>
      </c>
      <c r="AK1118" s="182">
        <f>MAX((SUM($G1115:AK1115)-SUM($G1116:AK1116)+IF(AND($B1113=1,AK$2&gt;1),SUM($F1118:AJ1118)-SUM($F1119:AJ1119),0)), 0) * AK1111/12*Параметры!AK$31</f>
        <v>0</v>
      </c>
      <c r="AL1118" s="182">
        <f>MAX((SUM($G1115:AL1115)-SUM($G1116:AL1116)+IF(AND($B1113=1,AL$2&gt;1),SUM($F1118:AK1118)-SUM($F1119:AK1119),0)), 0) * AL1111/12*Параметры!AL$31</f>
        <v>0</v>
      </c>
      <c r="AM1118" s="182">
        <f>MAX((SUM($G1115:AM1115)-SUM($G1116:AM1116)+IF(AND($B1113=1,AM$2&gt;1),SUM($F1118:AL1118)-SUM($F1119:AL1119),0)), 0) * AM1111/12*Параметры!AM$31</f>
        <v>0</v>
      </c>
      <c r="AN1118" s="182">
        <f>MAX((SUM($G1115:AN1115)-SUM($G1116:AN1116)+IF(AND($B1113=1,AN$2&gt;1),SUM($F1118:AM1118)-SUM($F1119:AM1119),0)), 0) * AN1111/12*Параметры!AN$31</f>
        <v>0</v>
      </c>
      <c r="AO1118" s="182">
        <f>MAX((SUM($G1115:AO1115)-SUM($G1116:AO1116)+IF(AND($B1113=1,AO$2&gt;1),SUM($F1118:AN1118)-SUM($F1119:AN1119),0)), 0) * AO1111/12*Параметры!AO$31</f>
        <v>0</v>
      </c>
      <c r="AP1118" s="182">
        <f>MAX((SUM($G1115:AP1115)-SUM($G1116:AP1116)+IF(AND($B1113=1,AP$2&gt;1),SUM($F1118:AO1118)-SUM($F1119:AO1119),0)), 0) * AP1111/12*Параметры!AP$31</f>
        <v>0</v>
      </c>
      <c r="AQ1118" s="182">
        <f>MAX((SUM($G1115:AQ1115)-SUM($G1116:AQ1116)+IF(AND($B1113=1,AQ$2&gt;1),SUM($F1118:AP1118)-SUM($F1119:AP1119),0)), 0) * AQ1111/12*Параметры!AQ$31</f>
        <v>0</v>
      </c>
      <c r="AR1118" s="182">
        <f>MAX((SUM($G1115:AR1115)-SUM($G1116:AR1116)+IF(AND($B1113=1,AR$2&gt;1),SUM($F1118:AQ1118)-SUM($F1119:AQ1119),0)), 0) * AR1111/12*Параметры!AR$31</f>
        <v>0</v>
      </c>
      <c r="AS1118" s="182">
        <f>MAX((SUM($G1115:AS1115)-SUM($G1116:AS1116)+IF(AND($B1113=1,AS$2&gt;1),SUM($F1118:AR1118)-SUM($F1119:AR1119),0)), 0) * AS1111/12*Параметры!AS$31</f>
        <v>0</v>
      </c>
      <c r="AT1118" s="182">
        <f>MAX((SUM($G1115:AT1115)-SUM($G1116:AT1116)+IF(AND($B1113=1,AT$2&gt;1),SUM($F1118:AS1118)-SUM($F1119:AS1119),0)), 0) * AT1111/12*Параметры!AT$31</f>
        <v>0</v>
      </c>
      <c r="AU1118" s="182">
        <f>MAX((SUM($G1115:AU1115)-SUM($G1116:AU1116)+IF(AND($B1113=1,AU$2&gt;1),SUM($F1118:AT1118)-SUM($F1119:AT1119),0)), 0) * AU1111/12*Параметры!AU$31</f>
        <v>0</v>
      </c>
      <c r="AV1118" s="182">
        <f>MAX((SUM($G1115:AV1115)-SUM($G1116:AV1116)+IF(AND($B1113=1,AV$2&gt;1),SUM($F1118:AU1118)-SUM($F1119:AU1119),0)), 0) * AV1111/12*Параметры!AV$31</f>
        <v>0</v>
      </c>
      <c r="AW1118" s="182">
        <f>MAX((SUM($G1115:AW1115)-SUM($G1116:AW1116)+IF(AND($B1113=1,AW$2&gt;1),SUM($F1118:AV1118)-SUM($F1119:AV1119),0)), 0) * AW1111/12*Параметры!AW$31</f>
        <v>0</v>
      </c>
      <c r="AX1118" s="182">
        <f>MAX((SUM($G1115:AX1115)-SUM($G1116:AX1116)+IF(AND($B1113=1,AX$2&gt;1),SUM($F1118:AW1118)-SUM($F1119:AW1119),0)), 0) * AX1111/12*Параметры!AX$31</f>
        <v>0</v>
      </c>
      <c r="AY1118" s="182">
        <f>MAX((SUM($G1115:AY1115)-SUM($G1116:AY1116)+IF(AND($B1113=1,AY$2&gt;1),SUM($F1118:AX1118)-SUM($F1119:AX1119),0)), 0) * AY1111/12*Параметры!AY$31</f>
        <v>0</v>
      </c>
      <c r="AZ1118" s="182">
        <f>MAX((SUM($G1115:AZ1115)-SUM($G1116:AZ1116)+IF(AND($B1113=1,AZ$2&gt;1),SUM($F1118:AY1118)-SUM($F1119:AY1119),0)), 0) * AZ1111/12*Параметры!AZ$31</f>
        <v>0</v>
      </c>
      <c r="BA1118" s="182">
        <f>MAX((SUM($G1115:BA1115)-SUM($G1116:BA1116)+IF(AND($B1113=1,BA$2&gt;1),SUM($F1118:AZ1118)-SUM($F1119:AZ1119),0)), 0) * BA1111/12*Параметры!BA$31</f>
        <v>0</v>
      </c>
      <c r="BB1118" s="182">
        <f>MAX((SUM($G1115:BB1115)-SUM($G1116:BB1116)+IF(AND($B1113=1,BB$2&gt;1),SUM($F1118:BA1118)-SUM($F1119:BA1119),0)), 0) * BB1111/12*Параметры!BB$31</f>
        <v>0</v>
      </c>
      <c r="BC1118" s="182"/>
      <c r="BD1118" s="183">
        <f>SUM(G1118:BC1118)</f>
        <v>0</v>
      </c>
    </row>
    <row r="1119" spans="1:56" ht="14.4" hidden="1" thickTop="1" x14ac:dyDescent="0.3">
      <c r="A1119" s="184" t="str">
        <f ca="1">Language!A$1115</f>
        <v>полученные проценты</v>
      </c>
      <c r="B1119" s="170"/>
      <c r="C1119" s="163" t="str">
        <f t="shared" ca="1" si="4236"/>
        <v>руб.</v>
      </c>
      <c r="D1119" s="174">
        <f>D1110</f>
        <v>1</v>
      </c>
      <c r="E1119" s="170" t="s">
        <v>1466</v>
      </c>
      <c r="F1119" s="170" t="s">
        <v>2348</v>
      </c>
      <c r="G1119" s="289">
        <f t="shared" ref="G1119:K1119" si="4237">IF(G$2&gt;=G1120+$B1112,G1118,0)</f>
        <v>0</v>
      </c>
      <c r="H1119" s="289">
        <f t="shared" si="4237"/>
        <v>0</v>
      </c>
      <c r="I1119" s="289">
        <f t="shared" si="4237"/>
        <v>0</v>
      </c>
      <c r="J1119" s="289">
        <f t="shared" si="4237"/>
        <v>0</v>
      </c>
      <c r="K1119" s="289">
        <f t="shared" si="4237"/>
        <v>0</v>
      </c>
      <c r="L1119" s="289">
        <f t="shared" ref="L1119:M1119" si="4238">IF(L$2&gt;=L1120+$B1112,L1118,0)</f>
        <v>0</v>
      </c>
      <c r="M1119" s="289">
        <f t="shared" si="4238"/>
        <v>0</v>
      </c>
      <c r="N1119" s="289">
        <f t="shared" ref="N1119:O1119" si="4239">IF(N$2&gt;=N1120+$B1112,N1118,0)</f>
        <v>0</v>
      </c>
      <c r="O1119" s="289">
        <f t="shared" si="4239"/>
        <v>0</v>
      </c>
      <c r="P1119" s="289">
        <f t="shared" ref="P1119:Q1119" si="4240">IF(P$2&gt;=P1120+$B1112,P1118,0)</f>
        <v>0</v>
      </c>
      <c r="Q1119" s="289">
        <f t="shared" si="4240"/>
        <v>0</v>
      </c>
      <c r="R1119" s="289">
        <f t="shared" ref="R1119:S1119" si="4241">IF(R$2&gt;=R1120+$B1112,R1118,0)</f>
        <v>0</v>
      </c>
      <c r="S1119" s="289">
        <f t="shared" si="4241"/>
        <v>0</v>
      </c>
      <c r="T1119" s="289">
        <f t="shared" ref="T1119:U1119" si="4242">IF(T$2&gt;=T1120+$B1112,T1118,0)</f>
        <v>0</v>
      </c>
      <c r="U1119" s="289">
        <f t="shared" si="4242"/>
        <v>0</v>
      </c>
      <c r="V1119" s="289">
        <f t="shared" ref="V1119:W1119" si="4243">IF(V$2&gt;=V1120+$B1112,V1118,0)</f>
        <v>0</v>
      </c>
      <c r="W1119" s="289">
        <f t="shared" si="4243"/>
        <v>0</v>
      </c>
      <c r="X1119" s="289">
        <f t="shared" ref="X1119:Y1119" si="4244">IF(X$2&gt;=X1120+$B1112,X1118,0)</f>
        <v>0</v>
      </c>
      <c r="Y1119" s="289">
        <f t="shared" si="4244"/>
        <v>0</v>
      </c>
      <c r="Z1119" s="289">
        <f t="shared" ref="Z1119:AA1119" si="4245">IF(Z$2&gt;=Z1120+$B1112,Z1118,0)</f>
        <v>0</v>
      </c>
      <c r="AA1119" s="289">
        <f t="shared" si="4245"/>
        <v>0</v>
      </c>
      <c r="AB1119" s="289">
        <f t="shared" ref="AB1119:AC1119" si="4246">IF(AB$2&gt;=AB1120+$B1112,AB1118,0)</f>
        <v>0</v>
      </c>
      <c r="AC1119" s="289">
        <f t="shared" si="4246"/>
        <v>0</v>
      </c>
      <c r="AD1119" s="289">
        <f t="shared" ref="AD1119:AE1119" si="4247">IF(AD$2&gt;=AD1120+$B1112,AD1118,0)</f>
        <v>0</v>
      </c>
      <c r="AE1119" s="289">
        <f t="shared" si="4247"/>
        <v>0</v>
      </c>
      <c r="AF1119" s="289">
        <f t="shared" ref="AF1119:AG1119" si="4248">IF(AF$2&gt;=AF1120+$B1112,AF1118,0)</f>
        <v>0</v>
      </c>
      <c r="AG1119" s="289">
        <f t="shared" si="4248"/>
        <v>0</v>
      </c>
      <c r="AH1119" s="289">
        <f t="shared" ref="AH1119:AI1119" si="4249">IF(AH$2&gt;=AH1120+$B1112,AH1118,0)</f>
        <v>0</v>
      </c>
      <c r="AI1119" s="289">
        <f t="shared" si="4249"/>
        <v>0</v>
      </c>
      <c r="AJ1119" s="289">
        <f t="shared" ref="AJ1119:AK1119" si="4250">IF(AJ$2&gt;=AJ1120+$B1112,AJ1118,0)</f>
        <v>0</v>
      </c>
      <c r="AK1119" s="289">
        <f t="shared" si="4250"/>
        <v>0</v>
      </c>
      <c r="AL1119" s="289">
        <f t="shared" ref="AL1119:AM1119" si="4251">IF(AL$2&gt;=AL1120+$B1112,AL1118,0)</f>
        <v>0</v>
      </c>
      <c r="AM1119" s="289">
        <f t="shared" si="4251"/>
        <v>0</v>
      </c>
      <c r="AN1119" s="289">
        <f t="shared" ref="AN1119:AO1119" si="4252">IF(AN$2&gt;=AN1120+$B1112,AN1118,0)</f>
        <v>0</v>
      </c>
      <c r="AO1119" s="289">
        <f t="shared" si="4252"/>
        <v>0</v>
      </c>
      <c r="AP1119" s="289">
        <f t="shared" ref="AP1119:AQ1119" si="4253">IF(AP$2&gt;=AP1120+$B1112,AP1118,0)</f>
        <v>0</v>
      </c>
      <c r="AQ1119" s="289">
        <f t="shared" si="4253"/>
        <v>0</v>
      </c>
      <c r="AR1119" s="289">
        <f t="shared" ref="AR1119:AS1119" si="4254">IF(AR$2&gt;=AR1120+$B1112,AR1118,0)</f>
        <v>0</v>
      </c>
      <c r="AS1119" s="289">
        <f t="shared" si="4254"/>
        <v>0</v>
      </c>
      <c r="AT1119" s="289">
        <f t="shared" ref="AT1119:AU1119" si="4255">IF(AT$2&gt;=AT1120+$B1112,AT1118,0)</f>
        <v>0</v>
      </c>
      <c r="AU1119" s="289">
        <f t="shared" si="4255"/>
        <v>0</v>
      </c>
      <c r="AV1119" s="289">
        <f t="shared" ref="AV1119:AW1119" si="4256">IF(AV$2&gt;=AV1120+$B1112,AV1118,0)</f>
        <v>0</v>
      </c>
      <c r="AW1119" s="289">
        <f t="shared" si="4256"/>
        <v>0</v>
      </c>
      <c r="AX1119" s="289">
        <f t="shared" ref="AX1119:AY1119" si="4257">IF(AX$2&gt;=AX1120+$B1112,AX1118,0)</f>
        <v>0</v>
      </c>
      <c r="AY1119" s="289">
        <f t="shared" si="4257"/>
        <v>0</v>
      </c>
      <c r="AZ1119" s="289">
        <f t="shared" ref="AZ1119:BA1119" si="4258">IF(AZ$2&gt;=AZ1120+$B1112,AZ1118,0)</f>
        <v>0</v>
      </c>
      <c r="BA1119" s="289">
        <f t="shared" si="4258"/>
        <v>0</v>
      </c>
      <c r="BB1119" s="289">
        <f t="shared" ref="BB1119" si="4259">IF(BB$2&gt;=BB1120+$B1112,BB1118,0)</f>
        <v>0</v>
      </c>
      <c r="BC1119" s="188"/>
      <c r="BD1119" s="193">
        <f>SUM(G1119:BC1119)</f>
        <v>0</v>
      </c>
    </row>
    <row r="1120" spans="1:56" ht="14.4" hidden="1" thickTop="1" x14ac:dyDescent="0.3">
      <c r="A1120" s="184" t="str">
        <f ca="1">Language!A$1134</f>
        <v>период начала кредитования</v>
      </c>
      <c r="B1120" s="170"/>
      <c r="C1120" s="163" t="s">
        <v>3</v>
      </c>
      <c r="F1120" s="170" t="s">
        <v>1537</v>
      </c>
      <c r="G1120" s="185">
        <f>IF(AND(G$2=1,G1115&gt;0),1,IF(AND(F1120=0,G1115&lt;&gt;0,SUM($E1115:F1115)=0),G$2,IF(G$2=1,0,F1120)))</f>
        <v>0</v>
      </c>
      <c r="H1120" s="185">
        <f>IF(AND(H$2=1,H1115&gt;0),1,IF(AND(G1120=0,H1115&lt;&gt;0,SUM($E1115:G1115)=0),H$2,IF(H$2=1,0,G1120)))</f>
        <v>0</v>
      </c>
      <c r="I1120" s="185">
        <f>IF(AND(I$2=1,I1115&gt;0),1,IF(AND(H1120=0,I1115&lt;&gt;0,SUM($E1115:H1115)=0),I$2,IF(I$2=1,0,H1120)))</f>
        <v>0</v>
      </c>
      <c r="J1120" s="185">
        <f>IF(AND(J$2=1,J1115&gt;0),1,IF(AND(I1120=0,J1115&lt;&gt;0,SUM($E1115:I1115)=0),J$2,IF(J$2=1,0,I1120)))</f>
        <v>0</v>
      </c>
      <c r="K1120" s="185">
        <f>IF(AND(K$2=1,K1115&gt;0),1,IF(AND(J1120=0,K1115&lt;&gt;0,SUM($E1115:J1115)=0),K$2,IF(K$2=1,0,J1120)))</f>
        <v>0</v>
      </c>
      <c r="L1120" s="185">
        <f>IF(AND(L$2=1,L1115&gt;0),1,IF(AND(K1120=0,L1115&lt;&gt;0,SUM($E1115:K1115)=0),L$2,IF(L$2=1,0,K1120)))</f>
        <v>0</v>
      </c>
      <c r="M1120" s="185">
        <f>IF(AND(M$2=1,M1115&gt;0),1,IF(AND(L1120=0,M1115&lt;&gt;0,SUM($E1115:L1115)=0),M$2,IF(M$2=1,0,L1120)))</f>
        <v>0</v>
      </c>
      <c r="N1120" s="185">
        <f>IF(AND(N$2=1,N1115&gt;0),1,IF(AND(M1120=0,N1115&lt;&gt;0,SUM($E1115:M1115)=0),N$2,IF(N$2=1,0,M1120)))</f>
        <v>0</v>
      </c>
      <c r="O1120" s="185">
        <f>IF(AND(O$2=1,O1115&gt;0),1,IF(AND(N1120=0,O1115&lt;&gt;0,SUM($E1115:N1115)=0),O$2,IF(O$2=1,0,N1120)))</f>
        <v>0</v>
      </c>
      <c r="P1120" s="185">
        <f>IF(AND(P$2=1,P1115&gt;0),1,IF(AND(O1120=0,P1115&lt;&gt;0,SUM($E1115:O1115)=0),P$2,IF(P$2=1,0,O1120)))</f>
        <v>0</v>
      </c>
      <c r="Q1120" s="185">
        <f>IF(AND(Q$2=1,Q1115&gt;0),1,IF(AND(P1120=0,Q1115&lt;&gt;0,SUM($E1115:P1115)=0),Q$2,IF(Q$2=1,0,P1120)))</f>
        <v>0</v>
      </c>
      <c r="R1120" s="185">
        <f>IF(AND(R$2=1,R1115&gt;0),1,IF(AND(Q1120=0,R1115&lt;&gt;0,SUM($E1115:Q1115)=0),R$2,IF(R$2=1,0,Q1120)))</f>
        <v>0</v>
      </c>
      <c r="S1120" s="185">
        <f>IF(AND(S$2=1,S1115&gt;0),1,IF(AND(R1120=0,S1115&lt;&gt;0,SUM($E1115:R1115)=0),S$2,IF(S$2=1,0,R1120)))</f>
        <v>0</v>
      </c>
      <c r="T1120" s="185">
        <f>IF(AND(T$2=1,T1115&gt;0),1,IF(AND(S1120=0,T1115&lt;&gt;0,SUM($E1115:S1115)=0),T$2,IF(T$2=1,0,S1120)))</f>
        <v>0</v>
      </c>
      <c r="U1120" s="185">
        <f>IF(AND(U$2=1,U1115&gt;0),1,IF(AND(T1120=0,U1115&lt;&gt;0,SUM($E1115:T1115)=0),U$2,IF(U$2=1,0,T1120)))</f>
        <v>0</v>
      </c>
      <c r="V1120" s="185">
        <f>IF(AND(V$2=1,V1115&gt;0),1,IF(AND(U1120=0,V1115&lt;&gt;0,SUM($E1115:U1115)=0),V$2,IF(V$2=1,0,U1120)))</f>
        <v>0</v>
      </c>
      <c r="W1120" s="185">
        <f>IF(AND(W$2=1,W1115&gt;0),1,IF(AND(V1120=0,W1115&lt;&gt;0,SUM($E1115:V1115)=0),W$2,IF(W$2=1,0,V1120)))</f>
        <v>0</v>
      </c>
      <c r="X1120" s="185">
        <f>IF(AND(X$2=1,X1115&gt;0),1,IF(AND(W1120=0,X1115&lt;&gt;0,SUM($E1115:W1115)=0),X$2,IF(X$2=1,0,W1120)))</f>
        <v>0</v>
      </c>
      <c r="Y1120" s="185">
        <f>IF(AND(Y$2=1,Y1115&gt;0),1,IF(AND(X1120=0,Y1115&lt;&gt;0,SUM($E1115:X1115)=0),Y$2,IF(Y$2=1,0,X1120)))</f>
        <v>0</v>
      </c>
      <c r="Z1120" s="185">
        <f>IF(AND(Z$2=1,Z1115&gt;0),1,IF(AND(Y1120=0,Z1115&lt;&gt;0,SUM($E1115:Y1115)=0),Z$2,IF(Z$2=1,0,Y1120)))</f>
        <v>0</v>
      </c>
      <c r="AA1120" s="185">
        <f>IF(AND(AA$2=1,AA1115&gt;0),1,IF(AND(Z1120=0,AA1115&lt;&gt;0,SUM($E1115:Z1115)=0),AA$2,IF(AA$2=1,0,Z1120)))</f>
        <v>0</v>
      </c>
      <c r="AB1120" s="185">
        <f>IF(AND(AB$2=1,AB1115&gt;0),1,IF(AND(AA1120=0,AB1115&lt;&gt;0,SUM($E1115:AA1115)=0),AB$2,IF(AB$2=1,0,AA1120)))</f>
        <v>0</v>
      </c>
      <c r="AC1120" s="185">
        <f>IF(AND(AC$2=1,AC1115&gt;0),1,IF(AND(AB1120=0,AC1115&lt;&gt;0,SUM($E1115:AB1115)=0),AC$2,IF(AC$2=1,0,AB1120)))</f>
        <v>0</v>
      </c>
      <c r="AD1120" s="185">
        <f>IF(AND(AD$2=1,AD1115&gt;0),1,IF(AND(AC1120=0,AD1115&lt;&gt;0,SUM($E1115:AC1115)=0),AD$2,IF(AD$2=1,0,AC1120)))</f>
        <v>0</v>
      </c>
      <c r="AE1120" s="185">
        <f>IF(AND(AE$2=1,AE1115&gt;0),1,IF(AND(AD1120=0,AE1115&lt;&gt;0,SUM($E1115:AD1115)=0),AE$2,IF(AE$2=1,0,AD1120)))</f>
        <v>0</v>
      </c>
      <c r="AF1120" s="185">
        <f>IF(AND(AF$2=1,AF1115&gt;0),1,IF(AND(AE1120=0,AF1115&lt;&gt;0,SUM($E1115:AE1115)=0),AF$2,IF(AF$2=1,0,AE1120)))</f>
        <v>0</v>
      </c>
      <c r="AG1120" s="185">
        <f>IF(AND(AG$2=1,AG1115&gt;0),1,IF(AND(AF1120=0,AG1115&lt;&gt;0,SUM($E1115:AF1115)=0),AG$2,IF(AG$2=1,0,AF1120)))</f>
        <v>0</v>
      </c>
      <c r="AH1120" s="185">
        <f>IF(AND(AH$2=1,AH1115&gt;0),1,IF(AND(AG1120=0,AH1115&lt;&gt;0,SUM($E1115:AG1115)=0),AH$2,IF(AH$2=1,0,AG1120)))</f>
        <v>0</v>
      </c>
      <c r="AI1120" s="185">
        <f>IF(AND(AI$2=1,AI1115&gt;0),1,IF(AND(AH1120=0,AI1115&lt;&gt;0,SUM($E1115:AH1115)=0),AI$2,IF(AI$2=1,0,AH1120)))</f>
        <v>0</v>
      </c>
      <c r="AJ1120" s="185">
        <f>IF(AND(AJ$2=1,AJ1115&gt;0),1,IF(AND(AI1120=0,AJ1115&lt;&gt;0,SUM($E1115:AI1115)=0),AJ$2,IF(AJ$2=1,0,AI1120)))</f>
        <v>0</v>
      </c>
      <c r="AK1120" s="185">
        <f>IF(AND(AK$2=1,AK1115&gt;0),1,IF(AND(AJ1120=0,AK1115&lt;&gt;0,SUM($E1115:AJ1115)=0),AK$2,IF(AK$2=1,0,AJ1120)))</f>
        <v>0</v>
      </c>
      <c r="AL1120" s="185">
        <f>IF(AND(AL$2=1,AL1115&gt;0),1,IF(AND(AK1120=0,AL1115&lt;&gt;0,SUM($E1115:AK1115)=0),AL$2,IF(AL$2=1,0,AK1120)))</f>
        <v>0</v>
      </c>
      <c r="AM1120" s="185">
        <f>IF(AND(AM$2=1,AM1115&gt;0),1,IF(AND(AL1120=0,AM1115&lt;&gt;0,SUM($E1115:AL1115)=0),AM$2,IF(AM$2=1,0,AL1120)))</f>
        <v>0</v>
      </c>
      <c r="AN1120" s="185">
        <f>IF(AND(AN$2=1,AN1115&gt;0),1,IF(AND(AM1120=0,AN1115&lt;&gt;0,SUM($E1115:AM1115)=0),AN$2,IF(AN$2=1,0,AM1120)))</f>
        <v>0</v>
      </c>
      <c r="AO1120" s="185">
        <f>IF(AND(AO$2=1,AO1115&gt;0),1,IF(AND(AN1120=0,AO1115&lt;&gt;0,SUM($E1115:AN1115)=0),AO$2,IF(AO$2=1,0,AN1120)))</f>
        <v>0</v>
      </c>
      <c r="AP1120" s="185">
        <f>IF(AND(AP$2=1,AP1115&gt;0),1,IF(AND(AO1120=0,AP1115&lt;&gt;0,SUM($E1115:AO1115)=0),AP$2,IF(AP$2=1,0,AO1120)))</f>
        <v>0</v>
      </c>
      <c r="AQ1120" s="185">
        <f>IF(AND(AQ$2=1,AQ1115&gt;0),1,IF(AND(AP1120=0,AQ1115&lt;&gt;0,SUM($E1115:AP1115)=0),AQ$2,IF(AQ$2=1,0,AP1120)))</f>
        <v>0</v>
      </c>
      <c r="AR1120" s="185">
        <f>IF(AND(AR$2=1,AR1115&gt;0),1,IF(AND(AQ1120=0,AR1115&lt;&gt;0,SUM($E1115:AQ1115)=0),AR$2,IF(AR$2=1,0,AQ1120)))</f>
        <v>0</v>
      </c>
      <c r="AS1120" s="185">
        <f>IF(AND(AS$2=1,AS1115&gt;0),1,IF(AND(AR1120=0,AS1115&lt;&gt;0,SUM($E1115:AR1115)=0),AS$2,IF(AS$2=1,0,AR1120)))</f>
        <v>0</v>
      </c>
      <c r="AT1120" s="185">
        <f>IF(AND(AT$2=1,AT1115&gt;0),1,IF(AND(AS1120=0,AT1115&lt;&gt;0,SUM($E1115:AS1115)=0),AT$2,IF(AT$2=1,0,AS1120)))</f>
        <v>0</v>
      </c>
      <c r="AU1120" s="185">
        <f>IF(AND(AU$2=1,AU1115&gt;0),1,IF(AND(AT1120=0,AU1115&lt;&gt;0,SUM($E1115:AT1115)=0),AU$2,IF(AU$2=1,0,AT1120)))</f>
        <v>0</v>
      </c>
      <c r="AV1120" s="185">
        <f>IF(AND(AV$2=1,AV1115&gt;0),1,IF(AND(AU1120=0,AV1115&lt;&gt;0,SUM($E1115:AU1115)=0),AV$2,IF(AV$2=1,0,AU1120)))</f>
        <v>0</v>
      </c>
      <c r="AW1120" s="185">
        <f>IF(AND(AW$2=1,AW1115&gt;0),1,IF(AND(AV1120=0,AW1115&lt;&gt;0,SUM($E1115:AV1115)=0),AW$2,IF(AW$2=1,0,AV1120)))</f>
        <v>0</v>
      </c>
      <c r="AX1120" s="185">
        <f>IF(AND(AX$2=1,AX1115&gt;0),1,IF(AND(AW1120=0,AX1115&lt;&gt;0,SUM($E1115:AW1115)=0),AX$2,IF(AX$2=1,0,AW1120)))</f>
        <v>0</v>
      </c>
      <c r="AY1120" s="185">
        <f>IF(AND(AY$2=1,AY1115&gt;0),1,IF(AND(AX1120=0,AY1115&lt;&gt;0,SUM($E1115:AX1115)=0),AY$2,IF(AY$2=1,0,AX1120)))</f>
        <v>0</v>
      </c>
      <c r="AZ1120" s="185">
        <f>IF(AND(AZ$2=1,AZ1115&gt;0),1,IF(AND(AY1120=0,AZ1115&lt;&gt;0,SUM($E1115:AY1115)=0),AZ$2,IF(AZ$2=1,0,AY1120)))</f>
        <v>0</v>
      </c>
      <c r="BA1120" s="185">
        <f>IF(AND(BA$2=1,BA1115&gt;0),1,IF(AND(AZ1120=0,BA1115&lt;&gt;0,SUM($E1115:AZ1115)=0),BA$2,IF(BA$2=1,0,AZ1120)))</f>
        <v>0</v>
      </c>
      <c r="BB1120" s="185">
        <f>IF(AND(BB$2=1,BB1115&gt;0),1,IF(AND(BA1120=0,BB1115&lt;&gt;0,SUM($E1115:BA1115)=0),BB$2,IF(BB$2=1,0,BA1120)))</f>
        <v>0</v>
      </c>
      <c r="BC1120" s="185"/>
      <c r="BD1120" s="193"/>
    </row>
    <row r="1121" spans="1:56" ht="14.4" hidden="1" thickTop="1" x14ac:dyDescent="0.3">
      <c r="A1121" s="184" t="str">
        <f ca="1">Language!A$1109</f>
        <v>срок кредитования</v>
      </c>
      <c r="B1121" s="170"/>
      <c r="C1121" s="163" t="str">
        <f ca="1">Language!A$46</f>
        <v>мес.</v>
      </c>
      <c r="F1121" s="170" t="s">
        <v>743</v>
      </c>
      <c r="G1121" s="185">
        <f ca="1">IF(G1120=0,0,IF(SUM(OFFSET(G1117,0,-1):OFFSET(G1117,0,Prj_Len-G$2))=0,0,Параметры!G$31))</f>
        <v>0</v>
      </c>
      <c r="H1121" s="185">
        <f ca="1">IF(H1120=0,0,IF(SUM(OFFSET(H1117,0,-1):OFFSET(H1117,0,Prj_Len-H$2))=0,0,Параметры!H$31))</f>
        <v>0</v>
      </c>
      <c r="I1121" s="185">
        <f ca="1">IF(I1120=0,0,IF(SUM(OFFSET(I1117,0,-1):OFFSET(I1117,0,Prj_Len-I$2))=0,0,Параметры!I$31))</f>
        <v>0</v>
      </c>
      <c r="J1121" s="185">
        <f ca="1">IF(J1120=0,0,IF(SUM(OFFSET(J1117,0,-1):OFFSET(J1117,0,Prj_Len-J$2))=0,0,Параметры!J$31))</f>
        <v>0</v>
      </c>
      <c r="K1121" s="185">
        <f ca="1">IF(K1120=0,0,IF(SUM(OFFSET(K1117,0,-1):OFFSET(K1117,0,Prj_Len-K$2))=0,0,Параметры!K$31))</f>
        <v>0</v>
      </c>
      <c r="L1121" s="185">
        <f ca="1">IF(L1120=0,0,IF(SUM(OFFSET(L1117,0,-1):OFFSET(L1117,0,Prj_Len-L$2))=0,0,Параметры!L$31))</f>
        <v>0</v>
      </c>
      <c r="M1121" s="185">
        <f ca="1">IF(M1120=0,0,IF(SUM(OFFSET(M1117,0,-1):OFFSET(M1117,0,Prj_Len-M$2))=0,0,Параметры!M$31))</f>
        <v>0</v>
      </c>
      <c r="N1121" s="185">
        <f ca="1">IF(N1120=0,0,IF(SUM(OFFSET(N1117,0,-1):OFFSET(N1117,0,Prj_Len-N$2))=0,0,Параметры!N$31))</f>
        <v>0</v>
      </c>
      <c r="O1121" s="185">
        <f ca="1">IF(O1120=0,0,IF(SUM(OFFSET(O1117,0,-1):OFFSET(O1117,0,Prj_Len-O$2))=0,0,Параметры!O$31))</f>
        <v>0</v>
      </c>
      <c r="P1121" s="185">
        <f ca="1">IF(P1120=0,0,IF(SUM(OFFSET(P1117,0,-1):OFFSET(P1117,0,Prj_Len-P$2))=0,0,Параметры!P$31))</f>
        <v>0</v>
      </c>
      <c r="Q1121" s="185">
        <f ca="1">IF(Q1120=0,0,IF(SUM(OFFSET(Q1117,0,-1):OFFSET(Q1117,0,Prj_Len-Q$2))=0,0,Параметры!Q$31))</f>
        <v>0</v>
      </c>
      <c r="R1121" s="185">
        <f ca="1">IF(R1120=0,0,IF(SUM(OFFSET(R1117,0,-1):OFFSET(R1117,0,Prj_Len-R$2))=0,0,Параметры!R$31))</f>
        <v>0</v>
      </c>
      <c r="S1121" s="185">
        <f ca="1">IF(S1120=0,0,IF(SUM(OFFSET(S1117,0,-1):OFFSET(S1117,0,Prj_Len-S$2))=0,0,Параметры!S$31))</f>
        <v>0</v>
      </c>
      <c r="T1121" s="185">
        <f ca="1">IF(T1120=0,0,IF(SUM(OFFSET(T1117,0,-1):OFFSET(T1117,0,Prj_Len-T$2))=0,0,Параметры!T$31))</f>
        <v>0</v>
      </c>
      <c r="U1121" s="185">
        <f ca="1">IF(U1120=0,0,IF(SUM(OFFSET(U1117,0,-1):OFFSET(U1117,0,Prj_Len-U$2))=0,0,Параметры!U$31))</f>
        <v>0</v>
      </c>
      <c r="V1121" s="185">
        <f ca="1">IF(V1120=0,0,IF(SUM(OFFSET(V1117,0,-1):OFFSET(V1117,0,Prj_Len-V$2))=0,0,Параметры!V$31))</f>
        <v>0</v>
      </c>
      <c r="W1121" s="185">
        <f ca="1">IF(W1120=0,0,IF(SUM(OFFSET(W1117,0,-1):OFFSET(W1117,0,Prj_Len-W$2))=0,0,Параметры!W$31))</f>
        <v>0</v>
      </c>
      <c r="X1121" s="185">
        <f ca="1">IF(X1120=0,0,IF(SUM(OFFSET(X1117,0,-1):OFFSET(X1117,0,Prj_Len-X$2))=0,0,Параметры!X$31))</f>
        <v>0</v>
      </c>
      <c r="Y1121" s="185">
        <f ca="1">IF(Y1120=0,0,IF(SUM(OFFSET(Y1117,0,-1):OFFSET(Y1117,0,Prj_Len-Y$2))=0,0,Параметры!Y$31))</f>
        <v>0</v>
      </c>
      <c r="Z1121" s="185">
        <f ca="1">IF(Z1120=0,0,IF(SUM(OFFSET(Z1117,0,-1):OFFSET(Z1117,0,Prj_Len-Z$2))=0,0,Параметры!Z$31))</f>
        <v>0</v>
      </c>
      <c r="AA1121" s="185">
        <f ca="1">IF(AA1120=0,0,IF(SUM(OFFSET(AA1117,0,-1):OFFSET(AA1117,0,Prj_Len-AA$2))=0,0,Параметры!AA$31))</f>
        <v>0</v>
      </c>
      <c r="AB1121" s="185">
        <f ca="1">IF(AB1120=0,0,IF(SUM(OFFSET(AB1117,0,-1):OFFSET(AB1117,0,Prj_Len-AB$2))=0,0,Параметры!AB$31))</f>
        <v>0</v>
      </c>
      <c r="AC1121" s="185">
        <f ca="1">IF(AC1120=0,0,IF(SUM(OFFSET(AC1117,0,-1):OFFSET(AC1117,0,Prj_Len-AC$2))=0,0,Параметры!AC$31))</f>
        <v>0</v>
      </c>
      <c r="AD1121" s="185">
        <f ca="1">IF(AD1120=0,0,IF(SUM(OFFSET(AD1117,0,-1):OFFSET(AD1117,0,Prj_Len-AD$2))=0,0,Параметры!AD$31))</f>
        <v>0</v>
      </c>
      <c r="AE1121" s="185">
        <f ca="1">IF(AE1120=0,0,IF(SUM(OFFSET(AE1117,0,-1):OFFSET(AE1117,0,Prj_Len-AE$2))=0,0,Параметры!AE$31))</f>
        <v>0</v>
      </c>
      <c r="AF1121" s="185">
        <f ca="1">IF(AF1120=0,0,IF(SUM(OFFSET(AF1117,0,-1):OFFSET(AF1117,0,Prj_Len-AF$2))=0,0,Параметры!AF$31))</f>
        <v>0</v>
      </c>
      <c r="AG1121" s="185">
        <f ca="1">IF(AG1120=0,0,IF(SUM(OFFSET(AG1117,0,-1):OFFSET(AG1117,0,Prj_Len-AG$2))=0,0,Параметры!AG$31))</f>
        <v>0</v>
      </c>
      <c r="AH1121" s="185">
        <f ca="1">IF(AH1120=0,0,IF(SUM(OFFSET(AH1117,0,-1):OFFSET(AH1117,0,Prj_Len-AH$2))=0,0,Параметры!AH$31))</f>
        <v>0</v>
      </c>
      <c r="AI1121" s="185">
        <f ca="1">IF(AI1120=0,0,IF(SUM(OFFSET(AI1117,0,-1):OFFSET(AI1117,0,Prj_Len-AI$2))=0,0,Параметры!AI$31))</f>
        <v>0</v>
      </c>
      <c r="AJ1121" s="185">
        <f ca="1">IF(AJ1120=0,0,IF(SUM(OFFSET(AJ1117,0,-1):OFFSET(AJ1117,0,Prj_Len-AJ$2))=0,0,Параметры!AJ$31))</f>
        <v>0</v>
      </c>
      <c r="AK1121" s="185">
        <f ca="1">IF(AK1120=0,0,IF(SUM(OFFSET(AK1117,0,-1):OFFSET(AK1117,0,Prj_Len-AK$2))=0,0,Параметры!AK$31))</f>
        <v>0</v>
      </c>
      <c r="AL1121" s="185">
        <f ca="1">IF(AL1120=0,0,IF(SUM(OFFSET(AL1117,0,-1):OFFSET(AL1117,0,Prj_Len-AL$2))=0,0,Параметры!AL$31))</f>
        <v>0</v>
      </c>
      <c r="AM1121" s="185">
        <f ca="1">IF(AM1120=0,0,IF(SUM(OFFSET(AM1117,0,-1):OFFSET(AM1117,0,Prj_Len-AM$2))=0,0,Параметры!AM$31))</f>
        <v>0</v>
      </c>
      <c r="AN1121" s="185">
        <f ca="1">IF(AN1120=0,0,IF(SUM(OFFSET(AN1117,0,-1):OFFSET(AN1117,0,Prj_Len-AN$2))=0,0,Параметры!AN$31))</f>
        <v>0</v>
      </c>
      <c r="AO1121" s="185">
        <f ca="1">IF(AO1120=0,0,IF(SUM(OFFSET(AO1117,0,-1):OFFSET(AO1117,0,Prj_Len-AO$2))=0,0,Параметры!AO$31))</f>
        <v>0</v>
      </c>
      <c r="AP1121" s="185">
        <f ca="1">IF(AP1120=0,0,IF(SUM(OFFSET(AP1117,0,-1):OFFSET(AP1117,0,Prj_Len-AP$2))=0,0,Параметры!AP$31))</f>
        <v>0</v>
      </c>
      <c r="AQ1121" s="185">
        <f ca="1">IF(AQ1120=0,0,IF(SUM(OFFSET(AQ1117,0,-1):OFFSET(AQ1117,0,Prj_Len-AQ$2))=0,0,Параметры!AQ$31))</f>
        <v>0</v>
      </c>
      <c r="AR1121" s="185">
        <f ca="1">IF(AR1120=0,0,IF(SUM(OFFSET(AR1117,0,-1):OFFSET(AR1117,0,Prj_Len-AR$2))=0,0,Параметры!AR$31))</f>
        <v>0</v>
      </c>
      <c r="AS1121" s="185">
        <f ca="1">IF(AS1120=0,0,IF(SUM(OFFSET(AS1117,0,-1):OFFSET(AS1117,0,Prj_Len-AS$2))=0,0,Параметры!AS$31))</f>
        <v>0</v>
      </c>
      <c r="AT1121" s="185">
        <f ca="1">IF(AT1120=0,0,IF(SUM(OFFSET(AT1117,0,-1):OFFSET(AT1117,0,Prj_Len-AT$2))=0,0,Параметры!AT$31))</f>
        <v>0</v>
      </c>
      <c r="AU1121" s="185">
        <f ca="1">IF(AU1120=0,0,IF(SUM(OFFSET(AU1117,0,-1):OFFSET(AU1117,0,Prj_Len-AU$2))=0,0,Параметры!AU$31))</f>
        <v>0</v>
      </c>
      <c r="AV1121" s="185">
        <f ca="1">IF(AV1120=0,0,IF(SUM(OFFSET(AV1117,0,-1):OFFSET(AV1117,0,Prj_Len-AV$2))=0,0,Параметры!AV$31))</f>
        <v>0</v>
      </c>
      <c r="AW1121" s="185">
        <f ca="1">IF(AW1120=0,0,IF(SUM(OFFSET(AW1117,0,-1):OFFSET(AW1117,0,Prj_Len-AW$2))=0,0,Параметры!AW$31))</f>
        <v>0</v>
      </c>
      <c r="AX1121" s="185">
        <f ca="1">IF(AX1120=0,0,IF(SUM(OFFSET(AX1117,0,-1):OFFSET(AX1117,0,Prj_Len-AX$2))=0,0,Параметры!AX$31))</f>
        <v>0</v>
      </c>
      <c r="AY1121" s="185">
        <f ca="1">IF(AY1120=0,0,IF(SUM(OFFSET(AY1117,0,-1):OFFSET(AY1117,0,Prj_Len-AY$2))=0,0,Параметры!AY$31))</f>
        <v>0</v>
      </c>
      <c r="AZ1121" s="185">
        <f ca="1">IF(AZ1120=0,0,IF(SUM(OFFSET(AZ1117,0,-1):OFFSET(AZ1117,0,Prj_Len-AZ$2))=0,0,Параметры!AZ$31))</f>
        <v>0</v>
      </c>
      <c r="BA1121" s="185">
        <f ca="1">IF(BA1120=0,0,IF(SUM(OFFSET(BA1117,0,-1):OFFSET(BA1117,0,Prj_Len-BA$2))=0,0,Параметры!BA$31))</f>
        <v>0</v>
      </c>
      <c r="BB1121" s="185">
        <f ca="1">IF(BB1120=0,0,IF(SUM(OFFSET(BB1117,0,-1):OFFSET(BB1117,0,Prj_Len-BB$2))=0,0,Параметры!BB$31))</f>
        <v>0</v>
      </c>
      <c r="BC1121" s="185"/>
      <c r="BD1121" s="193">
        <f ca="1">SUM(G1121:BC1121)</f>
        <v>0</v>
      </c>
    </row>
    <row r="1122" spans="1:56" ht="14.4" thickTop="1" x14ac:dyDescent="0.3"/>
    <row r="1123" spans="1:56" hidden="1" x14ac:dyDescent="0.3">
      <c r="A1123" s="207" t="str">
        <f ca="1">Language!A$1530</f>
        <v>Долгосрочные займы</v>
      </c>
      <c r="B1123" s="196"/>
      <c r="C1123" s="196"/>
      <c r="D1123" s="197"/>
      <c r="E1123" s="197" t="s">
        <v>715</v>
      </c>
      <c r="F1123" s="197" t="s">
        <v>2217</v>
      </c>
      <c r="G1123" s="196"/>
      <c r="H1123" s="196"/>
      <c r="I1123" s="196"/>
      <c r="J1123" s="196"/>
      <c r="K1123" s="196"/>
      <c r="L1123" s="196"/>
      <c r="M1123" s="196"/>
      <c r="N1123" s="196"/>
      <c r="O1123" s="196"/>
      <c r="P1123" s="196"/>
      <c r="Q1123" s="196"/>
      <c r="R1123" s="196"/>
      <c r="S1123" s="196"/>
      <c r="T1123" s="196"/>
      <c r="U1123" s="196"/>
      <c r="V1123" s="196"/>
      <c r="W1123" s="196"/>
      <c r="X1123" s="196"/>
      <c r="Y1123" s="196"/>
      <c r="Z1123" s="196"/>
      <c r="AA1123" s="196"/>
      <c r="AB1123" s="196"/>
      <c r="AC1123" s="196"/>
      <c r="AD1123" s="196"/>
      <c r="AE1123" s="196"/>
      <c r="AF1123" s="196"/>
      <c r="AG1123" s="196"/>
      <c r="AH1123" s="196"/>
      <c r="AI1123" s="196"/>
      <c r="AJ1123" s="196"/>
      <c r="AK1123" s="196"/>
      <c r="AL1123" s="196"/>
      <c r="AM1123" s="196"/>
      <c r="AN1123" s="196"/>
      <c r="AO1123" s="196"/>
      <c r="AP1123" s="196"/>
      <c r="AQ1123" s="196"/>
      <c r="AR1123" s="196"/>
      <c r="AS1123" s="196"/>
      <c r="AT1123" s="196"/>
      <c r="AU1123" s="196"/>
      <c r="AV1123" s="196"/>
      <c r="AW1123" s="196"/>
      <c r="AX1123" s="196"/>
      <c r="AY1123" s="196"/>
      <c r="AZ1123" s="196"/>
      <c r="BA1123" s="196"/>
      <c r="BB1123" s="196"/>
      <c r="BC1123" s="196"/>
      <c r="BD1123" s="204"/>
    </row>
    <row r="1124" spans="1:56" hidden="1" x14ac:dyDescent="0.3"/>
    <row r="1125" spans="1:56" hidden="1" x14ac:dyDescent="0.3"/>
    <row r="1126" spans="1:56" hidden="1" x14ac:dyDescent="0.3">
      <c r="A1126" s="207" t="str">
        <f ca="1">Language!A$1531</f>
        <v>Краткосрочные займы</v>
      </c>
      <c r="B1126" s="196"/>
      <c r="C1126" s="196"/>
      <c r="D1126" s="197"/>
      <c r="E1126" s="197" t="s">
        <v>716</v>
      </c>
      <c r="F1126" s="197" t="s">
        <v>2218</v>
      </c>
      <c r="G1126" s="196"/>
      <c r="H1126" s="196"/>
      <c r="I1126" s="196"/>
      <c r="J1126" s="196"/>
      <c r="K1126" s="196"/>
      <c r="L1126" s="196"/>
      <c r="M1126" s="196"/>
      <c r="N1126" s="196"/>
      <c r="O1126" s="196"/>
      <c r="P1126" s="196"/>
      <c r="Q1126" s="196"/>
      <c r="R1126" s="196"/>
      <c r="S1126" s="196"/>
      <c r="T1126" s="196"/>
      <c r="U1126" s="196"/>
      <c r="V1126" s="196"/>
      <c r="W1126" s="196"/>
      <c r="X1126" s="196"/>
      <c r="Y1126" s="196"/>
      <c r="Z1126" s="196"/>
      <c r="AA1126" s="196"/>
      <c r="AB1126" s="196"/>
      <c r="AC1126" s="196"/>
      <c r="AD1126" s="196"/>
      <c r="AE1126" s="196"/>
      <c r="AF1126" s="196"/>
      <c r="AG1126" s="196"/>
      <c r="AH1126" s="196"/>
      <c r="AI1126" s="196"/>
      <c r="AJ1126" s="196"/>
      <c r="AK1126" s="196"/>
      <c r="AL1126" s="196"/>
      <c r="AM1126" s="196"/>
      <c r="AN1126" s="196"/>
      <c r="AO1126" s="196"/>
      <c r="AP1126" s="196"/>
      <c r="AQ1126" s="196"/>
      <c r="AR1126" s="196"/>
      <c r="AS1126" s="196"/>
      <c r="AT1126" s="196"/>
      <c r="AU1126" s="196"/>
      <c r="AV1126" s="196"/>
      <c r="AW1126" s="196"/>
      <c r="AX1126" s="196"/>
      <c r="AY1126" s="196"/>
      <c r="AZ1126" s="196"/>
      <c r="BA1126" s="196"/>
      <c r="BB1126" s="196"/>
      <c r="BC1126" s="196"/>
      <c r="BD1126" s="204"/>
    </row>
    <row r="1127" spans="1:56" hidden="1" x14ac:dyDescent="0.3"/>
    <row r="1128" spans="1:56" hidden="1" x14ac:dyDescent="0.3">
      <c r="E1128" s="170" t="s">
        <v>712</v>
      </c>
    </row>
    <row r="1129" spans="1:56" s="195" customFormat="1" collapsed="1" x14ac:dyDescent="0.3">
      <c r="A1129" s="195" t="str">
        <f ca="1">Language!A$1137</f>
        <v>Итого: Задолженность на конец периода</v>
      </c>
      <c r="B1129" s="169"/>
      <c r="C1129" s="194" t="str">
        <f t="shared" ref="C1129:C1138" ca="1" si="4260">CurName1</f>
        <v>руб.</v>
      </c>
      <c r="D1129" s="170"/>
      <c r="E1129" s="170"/>
      <c r="F1129" s="170" t="s">
        <v>741</v>
      </c>
      <c r="G1129" s="210">
        <f>G1134+G1135</f>
        <v>0</v>
      </c>
      <c r="H1129" s="210">
        <f t="shared" ref="H1129:K1129" si="4261">H1134+H1135</f>
        <v>0</v>
      </c>
      <c r="I1129" s="210">
        <f t="shared" si="4261"/>
        <v>0</v>
      </c>
      <c r="J1129" s="210">
        <f t="shared" si="4261"/>
        <v>0</v>
      </c>
      <c r="K1129" s="210">
        <f t="shared" si="4261"/>
        <v>0</v>
      </c>
      <c r="L1129" s="210">
        <f t="shared" ref="L1129:M1129" si="4262">L1134+L1135</f>
        <v>0</v>
      </c>
      <c r="M1129" s="210">
        <f t="shared" si="4262"/>
        <v>0</v>
      </c>
      <c r="N1129" s="210">
        <f t="shared" ref="N1129:O1129" si="4263">N1134+N1135</f>
        <v>0</v>
      </c>
      <c r="O1129" s="210">
        <f t="shared" si="4263"/>
        <v>0</v>
      </c>
      <c r="P1129" s="210">
        <f t="shared" ref="P1129:Q1129" si="4264">P1134+P1135</f>
        <v>0</v>
      </c>
      <c r="Q1129" s="210">
        <f t="shared" si="4264"/>
        <v>0</v>
      </c>
      <c r="R1129" s="210">
        <f t="shared" ref="R1129:S1129" si="4265">R1134+R1135</f>
        <v>0</v>
      </c>
      <c r="S1129" s="210">
        <f t="shared" si="4265"/>
        <v>0</v>
      </c>
      <c r="T1129" s="210">
        <f t="shared" ref="T1129:U1129" si="4266">T1134+T1135</f>
        <v>0</v>
      </c>
      <c r="U1129" s="210">
        <f t="shared" si="4266"/>
        <v>0</v>
      </c>
      <c r="V1129" s="210">
        <f t="shared" ref="V1129:W1129" si="4267">V1134+V1135</f>
        <v>0</v>
      </c>
      <c r="W1129" s="210">
        <f t="shared" si="4267"/>
        <v>0</v>
      </c>
      <c r="X1129" s="210">
        <f t="shared" ref="X1129:Y1129" si="4268">X1134+X1135</f>
        <v>0</v>
      </c>
      <c r="Y1129" s="210">
        <f t="shared" si="4268"/>
        <v>0</v>
      </c>
      <c r="Z1129" s="210">
        <f t="shared" ref="Z1129:AA1129" si="4269">Z1134+Z1135</f>
        <v>0</v>
      </c>
      <c r="AA1129" s="210">
        <f t="shared" si="4269"/>
        <v>0</v>
      </c>
      <c r="AB1129" s="210">
        <f t="shared" ref="AB1129:AC1129" si="4270">AB1134+AB1135</f>
        <v>0</v>
      </c>
      <c r="AC1129" s="210">
        <f t="shared" si="4270"/>
        <v>0</v>
      </c>
      <c r="AD1129" s="210">
        <f t="shared" ref="AD1129:AE1129" si="4271">AD1134+AD1135</f>
        <v>0</v>
      </c>
      <c r="AE1129" s="210">
        <f t="shared" si="4271"/>
        <v>0</v>
      </c>
      <c r="AF1129" s="210">
        <f t="shared" ref="AF1129:AG1129" si="4272">AF1134+AF1135</f>
        <v>0</v>
      </c>
      <c r="AG1129" s="210">
        <f t="shared" si="4272"/>
        <v>0</v>
      </c>
      <c r="AH1129" s="210">
        <f t="shared" ref="AH1129:AI1129" si="4273">AH1134+AH1135</f>
        <v>0</v>
      </c>
      <c r="AI1129" s="210">
        <f t="shared" si="4273"/>
        <v>0</v>
      </c>
      <c r="AJ1129" s="210">
        <f t="shared" ref="AJ1129:AK1129" si="4274">AJ1134+AJ1135</f>
        <v>0</v>
      </c>
      <c r="AK1129" s="210">
        <f t="shared" si="4274"/>
        <v>0</v>
      </c>
      <c r="AL1129" s="210">
        <f t="shared" ref="AL1129:AM1129" si="4275">AL1134+AL1135</f>
        <v>0</v>
      </c>
      <c r="AM1129" s="210">
        <f t="shared" si="4275"/>
        <v>0</v>
      </c>
      <c r="AN1129" s="210">
        <f t="shared" ref="AN1129:AO1129" si="4276">AN1134+AN1135</f>
        <v>0</v>
      </c>
      <c r="AO1129" s="210">
        <f t="shared" si="4276"/>
        <v>0</v>
      </c>
      <c r="AP1129" s="210">
        <f t="shared" ref="AP1129:AQ1129" si="4277">AP1134+AP1135</f>
        <v>0</v>
      </c>
      <c r="AQ1129" s="210">
        <f t="shared" si="4277"/>
        <v>0</v>
      </c>
      <c r="AR1129" s="210">
        <f t="shared" ref="AR1129:AS1129" si="4278">AR1134+AR1135</f>
        <v>0</v>
      </c>
      <c r="AS1129" s="210">
        <f t="shared" si="4278"/>
        <v>0</v>
      </c>
      <c r="AT1129" s="210">
        <f t="shared" ref="AT1129:AU1129" si="4279">AT1134+AT1135</f>
        <v>0</v>
      </c>
      <c r="AU1129" s="210">
        <f t="shared" si="4279"/>
        <v>0</v>
      </c>
      <c r="AV1129" s="210">
        <f t="shared" ref="AV1129:AW1129" si="4280">AV1134+AV1135</f>
        <v>0</v>
      </c>
      <c r="AW1129" s="210">
        <f t="shared" si="4280"/>
        <v>0</v>
      </c>
      <c r="AX1129" s="210">
        <f t="shared" ref="AX1129:AY1129" si="4281">AX1134+AX1135</f>
        <v>0</v>
      </c>
      <c r="AY1129" s="210">
        <f t="shared" si="4281"/>
        <v>0</v>
      </c>
      <c r="AZ1129" s="210">
        <f t="shared" ref="AZ1129:BA1129" si="4282">AZ1134+AZ1135</f>
        <v>0</v>
      </c>
      <c r="BA1129" s="210">
        <f t="shared" si="4282"/>
        <v>0</v>
      </c>
      <c r="BB1129" s="210">
        <f t="shared" ref="BB1129" si="4283">BB1134+BB1135</f>
        <v>0</v>
      </c>
      <c r="BC1129" s="169"/>
      <c r="BD1129" s="178"/>
    </row>
    <row r="1130" spans="1:56" s="195" customFormat="1" hidden="1" outlineLevel="1" x14ac:dyDescent="0.3">
      <c r="A1130" s="169" t="str">
        <f ca="1">Language!A1532</f>
        <v>Выдача займа</v>
      </c>
      <c r="B1130" s="169"/>
      <c r="C1130" s="194" t="str">
        <f t="shared" ca="1" si="4260"/>
        <v>руб.</v>
      </c>
      <c r="D1130" s="170"/>
      <c r="E1130" s="170"/>
      <c r="F1130" s="170" t="s">
        <v>1467</v>
      </c>
      <c r="G1130" s="177">
        <v>0</v>
      </c>
      <c r="H1130" s="177">
        <v>0</v>
      </c>
      <c r="I1130" s="177">
        <v>0</v>
      </c>
      <c r="J1130" s="177">
        <v>0</v>
      </c>
      <c r="K1130" s="177">
        <v>0</v>
      </c>
      <c r="L1130" s="177">
        <v>0</v>
      </c>
      <c r="M1130" s="177">
        <v>0</v>
      </c>
      <c r="N1130" s="177">
        <v>0</v>
      </c>
      <c r="O1130" s="177">
        <v>0</v>
      </c>
      <c r="P1130" s="177">
        <v>0</v>
      </c>
      <c r="Q1130" s="177">
        <v>0</v>
      </c>
      <c r="R1130" s="177">
        <v>0</v>
      </c>
      <c r="S1130" s="177">
        <v>0</v>
      </c>
      <c r="T1130" s="177">
        <v>0</v>
      </c>
      <c r="U1130" s="177">
        <v>0</v>
      </c>
      <c r="V1130" s="177">
        <v>0</v>
      </c>
      <c r="W1130" s="177">
        <v>0</v>
      </c>
      <c r="X1130" s="177">
        <v>0</v>
      </c>
      <c r="Y1130" s="177">
        <v>0</v>
      </c>
      <c r="Z1130" s="177">
        <v>0</v>
      </c>
      <c r="AA1130" s="177">
        <v>0</v>
      </c>
      <c r="AB1130" s="177">
        <v>0</v>
      </c>
      <c r="AC1130" s="177">
        <v>0</v>
      </c>
      <c r="AD1130" s="177">
        <v>0</v>
      </c>
      <c r="AE1130" s="177">
        <v>0</v>
      </c>
      <c r="AF1130" s="177">
        <v>0</v>
      </c>
      <c r="AG1130" s="177">
        <v>0</v>
      </c>
      <c r="AH1130" s="177">
        <v>0</v>
      </c>
      <c r="AI1130" s="177">
        <v>0</v>
      </c>
      <c r="AJ1130" s="177">
        <v>0</v>
      </c>
      <c r="AK1130" s="177">
        <v>0</v>
      </c>
      <c r="AL1130" s="177">
        <v>0</v>
      </c>
      <c r="AM1130" s="177">
        <v>0</v>
      </c>
      <c r="AN1130" s="177">
        <v>0</v>
      </c>
      <c r="AO1130" s="177">
        <v>0</v>
      </c>
      <c r="AP1130" s="177">
        <v>0</v>
      </c>
      <c r="AQ1130" s="177">
        <v>0</v>
      </c>
      <c r="AR1130" s="177">
        <v>0</v>
      </c>
      <c r="AS1130" s="177">
        <v>0</v>
      </c>
      <c r="AT1130" s="177">
        <v>0</v>
      </c>
      <c r="AU1130" s="177">
        <v>0</v>
      </c>
      <c r="AV1130" s="177">
        <v>0</v>
      </c>
      <c r="AW1130" s="177">
        <v>0</v>
      </c>
      <c r="AX1130" s="177">
        <v>0</v>
      </c>
      <c r="AY1130" s="177">
        <v>0</v>
      </c>
      <c r="AZ1130" s="177">
        <v>0</v>
      </c>
      <c r="BA1130" s="177">
        <v>0</v>
      </c>
      <c r="BB1130" s="177">
        <v>0</v>
      </c>
      <c r="BC1130" s="169"/>
      <c r="BD1130" s="183">
        <f>SUM(G1130:BC1130)</f>
        <v>0</v>
      </c>
    </row>
    <row r="1131" spans="1:56" s="195" customFormat="1" hidden="1" outlineLevel="1" x14ac:dyDescent="0.3">
      <c r="A1131" s="169" t="str">
        <f ca="1">Language!A1533</f>
        <v>Возврат займа</v>
      </c>
      <c r="B1131" s="169"/>
      <c r="C1131" s="194" t="str">
        <f t="shared" ca="1" si="4260"/>
        <v>руб.</v>
      </c>
      <c r="D1131" s="170"/>
      <c r="E1131" s="170"/>
      <c r="F1131" s="170" t="s">
        <v>1468</v>
      </c>
      <c r="G1131" s="177">
        <v>0</v>
      </c>
      <c r="H1131" s="177">
        <v>0</v>
      </c>
      <c r="I1131" s="177">
        <v>0</v>
      </c>
      <c r="J1131" s="177">
        <v>0</v>
      </c>
      <c r="K1131" s="177">
        <v>0</v>
      </c>
      <c r="L1131" s="177">
        <v>0</v>
      </c>
      <c r="M1131" s="177">
        <v>0</v>
      </c>
      <c r="N1131" s="177">
        <v>0</v>
      </c>
      <c r="O1131" s="177">
        <v>0</v>
      </c>
      <c r="P1131" s="177">
        <v>0</v>
      </c>
      <c r="Q1131" s="177">
        <v>0</v>
      </c>
      <c r="R1131" s="177">
        <v>0</v>
      </c>
      <c r="S1131" s="177">
        <v>0</v>
      </c>
      <c r="T1131" s="177">
        <v>0</v>
      </c>
      <c r="U1131" s="177">
        <v>0</v>
      </c>
      <c r="V1131" s="177">
        <v>0</v>
      </c>
      <c r="W1131" s="177">
        <v>0</v>
      </c>
      <c r="X1131" s="177">
        <v>0</v>
      </c>
      <c r="Y1131" s="177">
        <v>0</v>
      </c>
      <c r="Z1131" s="177">
        <v>0</v>
      </c>
      <c r="AA1131" s="177">
        <v>0</v>
      </c>
      <c r="AB1131" s="177">
        <v>0</v>
      </c>
      <c r="AC1131" s="177">
        <v>0</v>
      </c>
      <c r="AD1131" s="177">
        <v>0</v>
      </c>
      <c r="AE1131" s="177">
        <v>0</v>
      </c>
      <c r="AF1131" s="177">
        <v>0</v>
      </c>
      <c r="AG1131" s="177">
        <v>0</v>
      </c>
      <c r="AH1131" s="177">
        <v>0</v>
      </c>
      <c r="AI1131" s="177">
        <v>0</v>
      </c>
      <c r="AJ1131" s="177">
        <v>0</v>
      </c>
      <c r="AK1131" s="177">
        <v>0</v>
      </c>
      <c r="AL1131" s="177">
        <v>0</v>
      </c>
      <c r="AM1131" s="177">
        <v>0</v>
      </c>
      <c r="AN1131" s="177">
        <v>0</v>
      </c>
      <c r="AO1131" s="177">
        <v>0</v>
      </c>
      <c r="AP1131" s="177">
        <v>0</v>
      </c>
      <c r="AQ1131" s="177">
        <v>0</v>
      </c>
      <c r="AR1131" s="177">
        <v>0</v>
      </c>
      <c r="AS1131" s="177">
        <v>0</v>
      </c>
      <c r="AT1131" s="177">
        <v>0</v>
      </c>
      <c r="AU1131" s="177">
        <v>0</v>
      </c>
      <c r="AV1131" s="177">
        <v>0</v>
      </c>
      <c r="AW1131" s="177">
        <v>0</v>
      </c>
      <c r="AX1131" s="177">
        <v>0</v>
      </c>
      <c r="AY1131" s="177">
        <v>0</v>
      </c>
      <c r="AZ1131" s="177">
        <v>0</v>
      </c>
      <c r="BA1131" s="177">
        <v>0</v>
      </c>
      <c r="BB1131" s="177">
        <v>0</v>
      </c>
      <c r="BC1131" s="169"/>
      <c r="BD1131" s="183">
        <f>SUM(G1131:BC1131)</f>
        <v>0</v>
      </c>
    </row>
    <row r="1132" spans="1:56" s="195" customFormat="1" hidden="1" outlineLevel="1" x14ac:dyDescent="0.3">
      <c r="A1132" s="169" t="str">
        <f ca="1">Language!A$1140</f>
        <v>Проценты начисленные</v>
      </c>
      <c r="B1132" s="169"/>
      <c r="C1132" s="194" t="str">
        <f t="shared" ca="1" si="4260"/>
        <v>руб.</v>
      </c>
      <c r="D1132" s="170"/>
      <c r="E1132" s="170"/>
      <c r="F1132" s="170" t="s">
        <v>1469</v>
      </c>
      <c r="G1132" s="177">
        <v>0</v>
      </c>
      <c r="H1132" s="177">
        <v>0</v>
      </c>
      <c r="I1132" s="177">
        <v>0</v>
      </c>
      <c r="J1132" s="177">
        <v>0</v>
      </c>
      <c r="K1132" s="177">
        <v>0</v>
      </c>
      <c r="L1132" s="177">
        <v>0</v>
      </c>
      <c r="M1132" s="177">
        <v>0</v>
      </c>
      <c r="N1132" s="177">
        <v>0</v>
      </c>
      <c r="O1132" s="177">
        <v>0</v>
      </c>
      <c r="P1132" s="177">
        <v>0</v>
      </c>
      <c r="Q1132" s="177">
        <v>0</v>
      </c>
      <c r="R1132" s="177">
        <v>0</v>
      </c>
      <c r="S1132" s="177">
        <v>0</v>
      </c>
      <c r="T1132" s="177">
        <v>0</v>
      </c>
      <c r="U1132" s="177">
        <v>0</v>
      </c>
      <c r="V1132" s="177">
        <v>0</v>
      </c>
      <c r="W1132" s="177">
        <v>0</v>
      </c>
      <c r="X1132" s="177">
        <v>0</v>
      </c>
      <c r="Y1132" s="177">
        <v>0</v>
      </c>
      <c r="Z1132" s="177">
        <v>0</v>
      </c>
      <c r="AA1132" s="177">
        <v>0</v>
      </c>
      <c r="AB1132" s="177">
        <v>0</v>
      </c>
      <c r="AC1132" s="177">
        <v>0</v>
      </c>
      <c r="AD1132" s="177">
        <v>0</v>
      </c>
      <c r="AE1132" s="177">
        <v>0</v>
      </c>
      <c r="AF1132" s="177">
        <v>0</v>
      </c>
      <c r="AG1132" s="177">
        <v>0</v>
      </c>
      <c r="AH1132" s="177">
        <v>0</v>
      </c>
      <c r="AI1132" s="177">
        <v>0</v>
      </c>
      <c r="AJ1132" s="177">
        <v>0</v>
      </c>
      <c r="AK1132" s="177">
        <v>0</v>
      </c>
      <c r="AL1132" s="177">
        <v>0</v>
      </c>
      <c r="AM1132" s="177">
        <v>0</v>
      </c>
      <c r="AN1132" s="177">
        <v>0</v>
      </c>
      <c r="AO1132" s="177">
        <v>0</v>
      </c>
      <c r="AP1132" s="177">
        <v>0</v>
      </c>
      <c r="AQ1132" s="177">
        <v>0</v>
      </c>
      <c r="AR1132" s="177">
        <v>0</v>
      </c>
      <c r="AS1132" s="177">
        <v>0</v>
      </c>
      <c r="AT1132" s="177">
        <v>0</v>
      </c>
      <c r="AU1132" s="177">
        <v>0</v>
      </c>
      <c r="AV1132" s="177">
        <v>0</v>
      </c>
      <c r="AW1132" s="177">
        <v>0</v>
      </c>
      <c r="AX1132" s="177">
        <v>0</v>
      </c>
      <c r="AY1132" s="177">
        <v>0</v>
      </c>
      <c r="AZ1132" s="177">
        <v>0</v>
      </c>
      <c r="BA1132" s="177">
        <v>0</v>
      </c>
      <c r="BB1132" s="177">
        <v>0</v>
      </c>
      <c r="BC1132" s="169"/>
      <c r="BD1132" s="183">
        <f>SUM(G1132:BC1132)</f>
        <v>0</v>
      </c>
    </row>
    <row r="1133" spans="1:56" s="195" customFormat="1" hidden="1" outlineLevel="1" x14ac:dyDescent="0.3">
      <c r="A1133" s="169" t="str">
        <f ca="1">Language!A$1116</f>
        <v>Проценты полученные</v>
      </c>
      <c r="B1133" s="169"/>
      <c r="C1133" s="194" t="str">
        <f t="shared" ca="1" si="4260"/>
        <v>руб.</v>
      </c>
      <c r="D1133" s="170"/>
      <c r="E1133" s="170"/>
      <c r="F1133" s="170" t="s">
        <v>1470</v>
      </c>
      <c r="G1133" s="177">
        <v>0</v>
      </c>
      <c r="H1133" s="177">
        <v>0</v>
      </c>
      <c r="I1133" s="177">
        <v>0</v>
      </c>
      <c r="J1133" s="177">
        <v>0</v>
      </c>
      <c r="K1133" s="177">
        <v>0</v>
      </c>
      <c r="L1133" s="177">
        <v>0</v>
      </c>
      <c r="M1133" s="177">
        <v>0</v>
      </c>
      <c r="N1133" s="177">
        <v>0</v>
      </c>
      <c r="O1133" s="177">
        <v>0</v>
      </c>
      <c r="P1133" s="177">
        <v>0</v>
      </c>
      <c r="Q1133" s="177">
        <v>0</v>
      </c>
      <c r="R1133" s="177">
        <v>0</v>
      </c>
      <c r="S1133" s="177">
        <v>0</v>
      </c>
      <c r="T1133" s="177">
        <v>0</v>
      </c>
      <c r="U1133" s="177">
        <v>0</v>
      </c>
      <c r="V1133" s="177">
        <v>0</v>
      </c>
      <c r="W1133" s="177">
        <v>0</v>
      </c>
      <c r="X1133" s="177">
        <v>0</v>
      </c>
      <c r="Y1133" s="177">
        <v>0</v>
      </c>
      <c r="Z1133" s="177">
        <v>0</v>
      </c>
      <c r="AA1133" s="177">
        <v>0</v>
      </c>
      <c r="AB1133" s="177">
        <v>0</v>
      </c>
      <c r="AC1133" s="177">
        <v>0</v>
      </c>
      <c r="AD1133" s="177">
        <v>0</v>
      </c>
      <c r="AE1133" s="177">
        <v>0</v>
      </c>
      <c r="AF1133" s="177">
        <v>0</v>
      </c>
      <c r="AG1133" s="177">
        <v>0</v>
      </c>
      <c r="AH1133" s="177">
        <v>0</v>
      </c>
      <c r="AI1133" s="177">
        <v>0</v>
      </c>
      <c r="AJ1133" s="177">
        <v>0</v>
      </c>
      <c r="AK1133" s="177">
        <v>0</v>
      </c>
      <c r="AL1133" s="177">
        <v>0</v>
      </c>
      <c r="AM1133" s="177">
        <v>0</v>
      </c>
      <c r="AN1133" s="177">
        <v>0</v>
      </c>
      <c r="AO1133" s="177">
        <v>0</v>
      </c>
      <c r="AP1133" s="177">
        <v>0</v>
      </c>
      <c r="AQ1133" s="177">
        <v>0</v>
      </c>
      <c r="AR1133" s="177">
        <v>0</v>
      </c>
      <c r="AS1133" s="177">
        <v>0</v>
      </c>
      <c r="AT1133" s="177">
        <v>0</v>
      </c>
      <c r="AU1133" s="177">
        <v>0</v>
      </c>
      <c r="AV1133" s="177">
        <v>0</v>
      </c>
      <c r="AW1133" s="177">
        <v>0</v>
      </c>
      <c r="AX1133" s="177">
        <v>0</v>
      </c>
      <c r="AY1133" s="177">
        <v>0</v>
      </c>
      <c r="AZ1133" s="177">
        <v>0</v>
      </c>
      <c r="BA1133" s="177">
        <v>0</v>
      </c>
      <c r="BB1133" s="177">
        <v>0</v>
      </c>
      <c r="BC1133" s="169"/>
      <c r="BD1133" s="183">
        <f>SUM(G1133:BC1133)</f>
        <v>0</v>
      </c>
    </row>
    <row r="1134" spans="1:56" s="195" customFormat="1" hidden="1" outlineLevel="1" x14ac:dyDescent="0.3">
      <c r="A1134" s="169" t="str">
        <f ca="1">Language!A1534</f>
        <v>Долгосрочные займы на конец периода</v>
      </c>
      <c r="B1134" s="169"/>
      <c r="C1134" s="194" t="str">
        <f t="shared" ca="1" si="4260"/>
        <v>руб.</v>
      </c>
      <c r="D1134" s="170"/>
      <c r="E1134" s="170"/>
      <c r="F1134" s="170" t="s">
        <v>1116</v>
      </c>
      <c r="G1134" s="177">
        <v>0</v>
      </c>
      <c r="H1134" s="177">
        <v>0</v>
      </c>
      <c r="I1134" s="177">
        <v>0</v>
      </c>
      <c r="J1134" s="177">
        <v>0</v>
      </c>
      <c r="K1134" s="177">
        <v>0</v>
      </c>
      <c r="L1134" s="177">
        <v>0</v>
      </c>
      <c r="M1134" s="177">
        <v>0</v>
      </c>
      <c r="N1134" s="177">
        <v>0</v>
      </c>
      <c r="O1134" s="177">
        <v>0</v>
      </c>
      <c r="P1134" s="177">
        <v>0</v>
      </c>
      <c r="Q1134" s="177">
        <v>0</v>
      </c>
      <c r="R1134" s="177">
        <v>0</v>
      </c>
      <c r="S1134" s="177">
        <v>0</v>
      </c>
      <c r="T1134" s="177">
        <v>0</v>
      </c>
      <c r="U1134" s="177">
        <v>0</v>
      </c>
      <c r="V1134" s="177">
        <v>0</v>
      </c>
      <c r="W1134" s="177">
        <v>0</v>
      </c>
      <c r="X1134" s="177">
        <v>0</v>
      </c>
      <c r="Y1134" s="177">
        <v>0</v>
      </c>
      <c r="Z1134" s="177">
        <v>0</v>
      </c>
      <c r="AA1134" s="177">
        <v>0</v>
      </c>
      <c r="AB1134" s="177">
        <v>0</v>
      </c>
      <c r="AC1134" s="177">
        <v>0</v>
      </c>
      <c r="AD1134" s="177">
        <v>0</v>
      </c>
      <c r="AE1134" s="177">
        <v>0</v>
      </c>
      <c r="AF1134" s="177">
        <v>0</v>
      </c>
      <c r="AG1134" s="177">
        <v>0</v>
      </c>
      <c r="AH1134" s="177">
        <v>0</v>
      </c>
      <c r="AI1134" s="177">
        <v>0</v>
      </c>
      <c r="AJ1134" s="177">
        <v>0</v>
      </c>
      <c r="AK1134" s="177">
        <v>0</v>
      </c>
      <c r="AL1134" s="177">
        <v>0</v>
      </c>
      <c r="AM1134" s="177">
        <v>0</v>
      </c>
      <c r="AN1134" s="177">
        <v>0</v>
      </c>
      <c r="AO1134" s="177">
        <v>0</v>
      </c>
      <c r="AP1134" s="177">
        <v>0</v>
      </c>
      <c r="AQ1134" s="177">
        <v>0</v>
      </c>
      <c r="AR1134" s="177">
        <v>0</v>
      </c>
      <c r="AS1134" s="177">
        <v>0</v>
      </c>
      <c r="AT1134" s="177">
        <v>0</v>
      </c>
      <c r="AU1134" s="177">
        <v>0</v>
      </c>
      <c r="AV1134" s="177">
        <v>0</v>
      </c>
      <c r="AW1134" s="177">
        <v>0</v>
      </c>
      <c r="AX1134" s="177">
        <v>0</v>
      </c>
      <c r="AY1134" s="177">
        <v>0</v>
      </c>
      <c r="AZ1134" s="177">
        <v>0</v>
      </c>
      <c r="BA1134" s="177">
        <v>0</v>
      </c>
      <c r="BB1134" s="177">
        <v>0</v>
      </c>
      <c r="BC1134" s="169"/>
      <c r="BD1134" s="178"/>
    </row>
    <row r="1135" spans="1:56" s="195" customFormat="1" hidden="1" outlineLevel="1" x14ac:dyDescent="0.3">
      <c r="A1135" s="169" t="str">
        <f ca="1">Language!A1535</f>
        <v>Краткосрочные займы на конец периода</v>
      </c>
      <c r="B1135" s="169"/>
      <c r="C1135" s="194" t="str">
        <f t="shared" ca="1" si="4260"/>
        <v>руб.</v>
      </c>
      <c r="D1135" s="170"/>
      <c r="E1135" s="170"/>
      <c r="F1135" s="170" t="s">
        <v>1117</v>
      </c>
      <c r="G1135" s="177">
        <v>0</v>
      </c>
      <c r="H1135" s="177">
        <v>0</v>
      </c>
      <c r="I1135" s="177">
        <v>0</v>
      </c>
      <c r="J1135" s="177">
        <v>0</v>
      </c>
      <c r="K1135" s="177">
        <v>0</v>
      </c>
      <c r="L1135" s="177">
        <v>0</v>
      </c>
      <c r="M1135" s="177">
        <v>0</v>
      </c>
      <c r="N1135" s="177">
        <v>0</v>
      </c>
      <c r="O1135" s="177">
        <v>0</v>
      </c>
      <c r="P1135" s="177">
        <v>0</v>
      </c>
      <c r="Q1135" s="177">
        <v>0</v>
      </c>
      <c r="R1135" s="177">
        <v>0</v>
      </c>
      <c r="S1135" s="177">
        <v>0</v>
      </c>
      <c r="T1135" s="177">
        <v>0</v>
      </c>
      <c r="U1135" s="177">
        <v>0</v>
      </c>
      <c r="V1135" s="177">
        <v>0</v>
      </c>
      <c r="W1135" s="177">
        <v>0</v>
      </c>
      <c r="X1135" s="177">
        <v>0</v>
      </c>
      <c r="Y1135" s="177">
        <v>0</v>
      </c>
      <c r="Z1135" s="177">
        <v>0</v>
      </c>
      <c r="AA1135" s="177">
        <v>0</v>
      </c>
      <c r="AB1135" s="177">
        <v>0</v>
      </c>
      <c r="AC1135" s="177">
        <v>0</v>
      </c>
      <c r="AD1135" s="177">
        <v>0</v>
      </c>
      <c r="AE1135" s="177">
        <v>0</v>
      </c>
      <c r="AF1135" s="177">
        <v>0</v>
      </c>
      <c r="AG1135" s="177">
        <v>0</v>
      </c>
      <c r="AH1135" s="177">
        <v>0</v>
      </c>
      <c r="AI1135" s="177">
        <v>0</v>
      </c>
      <c r="AJ1135" s="177">
        <v>0</v>
      </c>
      <c r="AK1135" s="177">
        <v>0</v>
      </c>
      <c r="AL1135" s="177">
        <v>0</v>
      </c>
      <c r="AM1135" s="177">
        <v>0</v>
      </c>
      <c r="AN1135" s="177">
        <v>0</v>
      </c>
      <c r="AO1135" s="177">
        <v>0</v>
      </c>
      <c r="AP1135" s="177">
        <v>0</v>
      </c>
      <c r="AQ1135" s="177">
        <v>0</v>
      </c>
      <c r="AR1135" s="177">
        <v>0</v>
      </c>
      <c r="AS1135" s="177">
        <v>0</v>
      </c>
      <c r="AT1135" s="177">
        <v>0</v>
      </c>
      <c r="AU1135" s="177">
        <v>0</v>
      </c>
      <c r="AV1135" s="177">
        <v>0</v>
      </c>
      <c r="AW1135" s="177">
        <v>0</v>
      </c>
      <c r="AX1135" s="177">
        <v>0</v>
      </c>
      <c r="AY1135" s="177">
        <v>0</v>
      </c>
      <c r="AZ1135" s="177">
        <v>0</v>
      </c>
      <c r="BA1135" s="177">
        <v>0</v>
      </c>
      <c r="BB1135" s="177">
        <v>0</v>
      </c>
      <c r="BC1135" s="169"/>
      <c r="BD1135" s="178"/>
    </row>
    <row r="1136" spans="1:56" s="195" customFormat="1" hidden="1" outlineLevel="1" x14ac:dyDescent="0.3">
      <c r="A1136" s="169" t="str">
        <f ca="1">Language!A$1148</f>
        <v>Курсовые разницы</v>
      </c>
      <c r="B1136" s="169"/>
      <c r="C1136" s="194" t="str">
        <f t="shared" ca="1" si="4260"/>
        <v>руб.</v>
      </c>
      <c r="D1136" s="170"/>
      <c r="E1136" s="170"/>
      <c r="F1136" s="170" t="s">
        <v>740</v>
      </c>
      <c r="G1136" s="177">
        <f>-IF(G$2=1,0,SUM($F1130:G1130)-SUM($F1131:G1131)-G1134-G1135+SUM($F1132:G1132)-SUM($F1133:G1133)-(SUM($F1130:F1130)-SUM($F1131:F1131)-F1134-F1135+SUM($F1132:F1132)-SUM($F1133:F1133)))</f>
        <v>0</v>
      </c>
      <c r="H1136" s="177">
        <f>-IF(H$2=1,0,SUM($F1130:H1130)-SUM($F1131:H1131)-H1134-H1135+SUM($F1132:H1132)-SUM($F1133:H1133)-(SUM($F1130:G1130)-SUM($F1131:G1131)-G1134-G1135+SUM($F1132:G1132)-SUM($F1133:G1133)))</f>
        <v>0</v>
      </c>
      <c r="I1136" s="177">
        <f>-IF(I$2=1,0,SUM($F1130:I1130)-SUM($F1131:I1131)-I1134-I1135+SUM($F1132:I1132)-SUM($F1133:I1133)-(SUM($F1130:H1130)-SUM($F1131:H1131)-H1134-H1135+SUM($F1132:H1132)-SUM($F1133:H1133)))</f>
        <v>0</v>
      </c>
      <c r="J1136" s="177">
        <f>-IF(J$2=1,0,SUM($F1130:J1130)-SUM($F1131:J1131)-J1134-J1135+SUM($F1132:J1132)-SUM($F1133:J1133)-(SUM($F1130:I1130)-SUM($F1131:I1131)-I1134-I1135+SUM($F1132:I1132)-SUM($F1133:I1133)))</f>
        <v>0</v>
      </c>
      <c r="K1136" s="177">
        <f>-IF(K$2=1,0,SUM($F1130:K1130)-SUM($F1131:K1131)-K1134-K1135+SUM($F1132:K1132)-SUM($F1133:K1133)-(SUM($F1130:J1130)-SUM($F1131:J1131)-J1134-J1135+SUM($F1132:J1132)-SUM($F1133:J1133)))</f>
        <v>0</v>
      </c>
      <c r="L1136" s="177">
        <f>-IF(L$2=1,0,SUM($F1130:L1130)-SUM($F1131:L1131)-L1134-L1135+SUM($F1132:L1132)-SUM($F1133:L1133)-(SUM($F1130:K1130)-SUM($F1131:K1131)-K1134-K1135+SUM($F1132:K1132)-SUM($F1133:K1133)))</f>
        <v>0</v>
      </c>
      <c r="M1136" s="177">
        <f>-IF(M$2=1,0,SUM($F1130:M1130)-SUM($F1131:M1131)-M1134-M1135+SUM($F1132:M1132)-SUM($F1133:M1133)-(SUM($F1130:L1130)-SUM($F1131:L1131)-L1134-L1135+SUM($F1132:L1132)-SUM($F1133:L1133)))</f>
        <v>0</v>
      </c>
      <c r="N1136" s="177">
        <f>-IF(N$2=1,0,SUM($F1130:N1130)-SUM($F1131:N1131)-N1134-N1135+SUM($F1132:N1132)-SUM($F1133:N1133)-(SUM($F1130:M1130)-SUM($F1131:M1131)-M1134-M1135+SUM($F1132:M1132)-SUM($F1133:M1133)))</f>
        <v>0</v>
      </c>
      <c r="O1136" s="177">
        <f>-IF(O$2=1,0,SUM($F1130:O1130)-SUM($F1131:O1131)-O1134-O1135+SUM($F1132:O1132)-SUM($F1133:O1133)-(SUM($F1130:N1130)-SUM($F1131:N1131)-N1134-N1135+SUM($F1132:N1132)-SUM($F1133:N1133)))</f>
        <v>0</v>
      </c>
      <c r="P1136" s="177">
        <f>-IF(P$2=1,0,SUM($F1130:P1130)-SUM($F1131:P1131)-P1134-P1135+SUM($F1132:P1132)-SUM($F1133:P1133)-(SUM($F1130:O1130)-SUM($F1131:O1131)-O1134-O1135+SUM($F1132:O1132)-SUM($F1133:O1133)))</f>
        <v>0</v>
      </c>
      <c r="Q1136" s="177">
        <f>-IF(Q$2=1,0,SUM($F1130:Q1130)-SUM($F1131:Q1131)-Q1134-Q1135+SUM($F1132:Q1132)-SUM($F1133:Q1133)-(SUM($F1130:P1130)-SUM($F1131:P1131)-P1134-P1135+SUM($F1132:P1132)-SUM($F1133:P1133)))</f>
        <v>0</v>
      </c>
      <c r="R1136" s="177">
        <f>-IF(R$2=1,0,SUM($F1130:R1130)-SUM($F1131:R1131)-R1134-R1135+SUM($F1132:R1132)-SUM($F1133:R1133)-(SUM($F1130:Q1130)-SUM($F1131:Q1131)-Q1134-Q1135+SUM($F1132:Q1132)-SUM($F1133:Q1133)))</f>
        <v>0</v>
      </c>
      <c r="S1136" s="177">
        <f>-IF(S$2=1,0,SUM($F1130:S1130)-SUM($F1131:S1131)-S1134-S1135+SUM($F1132:S1132)-SUM($F1133:S1133)-(SUM($F1130:R1130)-SUM($F1131:R1131)-R1134-R1135+SUM($F1132:R1132)-SUM($F1133:R1133)))</f>
        <v>0</v>
      </c>
      <c r="T1136" s="177">
        <f>-IF(T$2=1,0,SUM($F1130:T1130)-SUM($F1131:T1131)-T1134-T1135+SUM($F1132:T1132)-SUM($F1133:T1133)-(SUM($F1130:S1130)-SUM($F1131:S1131)-S1134-S1135+SUM($F1132:S1132)-SUM($F1133:S1133)))</f>
        <v>0</v>
      </c>
      <c r="U1136" s="177">
        <f>-IF(U$2=1,0,SUM($F1130:U1130)-SUM($F1131:U1131)-U1134-U1135+SUM($F1132:U1132)-SUM($F1133:U1133)-(SUM($F1130:T1130)-SUM($F1131:T1131)-T1134-T1135+SUM($F1132:T1132)-SUM($F1133:T1133)))</f>
        <v>0</v>
      </c>
      <c r="V1136" s="177">
        <f>-IF(V$2=1,0,SUM($F1130:V1130)-SUM($F1131:V1131)-V1134-V1135+SUM($F1132:V1132)-SUM($F1133:V1133)-(SUM($F1130:U1130)-SUM($F1131:U1131)-U1134-U1135+SUM($F1132:U1132)-SUM($F1133:U1133)))</f>
        <v>0</v>
      </c>
      <c r="W1136" s="177">
        <f>-IF(W$2=1,0,SUM($F1130:W1130)-SUM($F1131:W1131)-W1134-W1135+SUM($F1132:W1132)-SUM($F1133:W1133)-(SUM($F1130:V1130)-SUM($F1131:V1131)-V1134-V1135+SUM($F1132:V1132)-SUM($F1133:V1133)))</f>
        <v>0</v>
      </c>
      <c r="X1136" s="177">
        <f>-IF(X$2=1,0,SUM($F1130:X1130)-SUM($F1131:X1131)-X1134-X1135+SUM($F1132:X1132)-SUM($F1133:X1133)-(SUM($F1130:W1130)-SUM($F1131:W1131)-W1134-W1135+SUM($F1132:W1132)-SUM($F1133:W1133)))</f>
        <v>0</v>
      </c>
      <c r="Y1136" s="177">
        <f>-IF(Y$2=1,0,SUM($F1130:Y1130)-SUM($F1131:Y1131)-Y1134-Y1135+SUM($F1132:Y1132)-SUM($F1133:Y1133)-(SUM($F1130:X1130)-SUM($F1131:X1131)-X1134-X1135+SUM($F1132:X1132)-SUM($F1133:X1133)))</f>
        <v>0</v>
      </c>
      <c r="Z1136" s="177">
        <f>-IF(Z$2=1,0,SUM($F1130:Z1130)-SUM($F1131:Z1131)-Z1134-Z1135+SUM($F1132:Z1132)-SUM($F1133:Z1133)-(SUM($F1130:Y1130)-SUM($F1131:Y1131)-Y1134-Y1135+SUM($F1132:Y1132)-SUM($F1133:Y1133)))</f>
        <v>0</v>
      </c>
      <c r="AA1136" s="177">
        <f>-IF(AA$2=1,0,SUM($F1130:AA1130)-SUM($F1131:AA1131)-AA1134-AA1135+SUM($F1132:AA1132)-SUM($F1133:AA1133)-(SUM($F1130:Z1130)-SUM($F1131:Z1131)-Z1134-Z1135+SUM($F1132:Z1132)-SUM($F1133:Z1133)))</f>
        <v>0</v>
      </c>
      <c r="AB1136" s="177">
        <f>-IF(AB$2=1,0,SUM($F1130:AB1130)-SUM($F1131:AB1131)-AB1134-AB1135+SUM($F1132:AB1132)-SUM($F1133:AB1133)-(SUM($F1130:AA1130)-SUM($F1131:AA1131)-AA1134-AA1135+SUM($F1132:AA1132)-SUM($F1133:AA1133)))</f>
        <v>0</v>
      </c>
      <c r="AC1136" s="177">
        <f>-IF(AC$2=1,0,SUM($F1130:AC1130)-SUM($F1131:AC1131)-AC1134-AC1135+SUM($F1132:AC1132)-SUM($F1133:AC1133)-(SUM($F1130:AB1130)-SUM($F1131:AB1131)-AB1134-AB1135+SUM($F1132:AB1132)-SUM($F1133:AB1133)))</f>
        <v>0</v>
      </c>
      <c r="AD1136" s="177">
        <f>-IF(AD$2=1,0,SUM($F1130:AD1130)-SUM($F1131:AD1131)-AD1134-AD1135+SUM($F1132:AD1132)-SUM($F1133:AD1133)-(SUM($F1130:AC1130)-SUM($F1131:AC1131)-AC1134-AC1135+SUM($F1132:AC1132)-SUM($F1133:AC1133)))</f>
        <v>0</v>
      </c>
      <c r="AE1136" s="177">
        <f>-IF(AE$2=1,0,SUM($F1130:AE1130)-SUM($F1131:AE1131)-AE1134-AE1135+SUM($F1132:AE1132)-SUM($F1133:AE1133)-(SUM($F1130:AD1130)-SUM($F1131:AD1131)-AD1134-AD1135+SUM($F1132:AD1132)-SUM($F1133:AD1133)))</f>
        <v>0</v>
      </c>
      <c r="AF1136" s="177">
        <f>-IF(AF$2=1,0,SUM($F1130:AF1130)-SUM($F1131:AF1131)-AF1134-AF1135+SUM($F1132:AF1132)-SUM($F1133:AF1133)-(SUM($F1130:AE1130)-SUM($F1131:AE1131)-AE1134-AE1135+SUM($F1132:AE1132)-SUM($F1133:AE1133)))</f>
        <v>0</v>
      </c>
      <c r="AG1136" s="177">
        <f>-IF(AG$2=1,0,SUM($F1130:AG1130)-SUM($F1131:AG1131)-AG1134-AG1135+SUM($F1132:AG1132)-SUM($F1133:AG1133)-(SUM($F1130:AF1130)-SUM($F1131:AF1131)-AF1134-AF1135+SUM($F1132:AF1132)-SUM($F1133:AF1133)))</f>
        <v>0</v>
      </c>
      <c r="AH1136" s="177">
        <f>-IF(AH$2=1,0,SUM($F1130:AH1130)-SUM($F1131:AH1131)-AH1134-AH1135+SUM($F1132:AH1132)-SUM($F1133:AH1133)-(SUM($F1130:AG1130)-SUM($F1131:AG1131)-AG1134-AG1135+SUM($F1132:AG1132)-SUM($F1133:AG1133)))</f>
        <v>0</v>
      </c>
      <c r="AI1136" s="177">
        <f>-IF(AI$2=1,0,SUM($F1130:AI1130)-SUM($F1131:AI1131)-AI1134-AI1135+SUM($F1132:AI1132)-SUM($F1133:AI1133)-(SUM($F1130:AH1130)-SUM($F1131:AH1131)-AH1134-AH1135+SUM($F1132:AH1132)-SUM($F1133:AH1133)))</f>
        <v>0</v>
      </c>
      <c r="AJ1136" s="177">
        <f>-IF(AJ$2=1,0,SUM($F1130:AJ1130)-SUM($F1131:AJ1131)-AJ1134-AJ1135+SUM($F1132:AJ1132)-SUM($F1133:AJ1133)-(SUM($F1130:AI1130)-SUM($F1131:AI1131)-AI1134-AI1135+SUM($F1132:AI1132)-SUM($F1133:AI1133)))</f>
        <v>0</v>
      </c>
      <c r="AK1136" s="177">
        <f>-IF(AK$2=1,0,SUM($F1130:AK1130)-SUM($F1131:AK1131)-AK1134-AK1135+SUM($F1132:AK1132)-SUM($F1133:AK1133)-(SUM($F1130:AJ1130)-SUM($F1131:AJ1131)-AJ1134-AJ1135+SUM($F1132:AJ1132)-SUM($F1133:AJ1133)))</f>
        <v>0</v>
      </c>
      <c r="AL1136" s="177">
        <f>-IF(AL$2=1,0,SUM($F1130:AL1130)-SUM($F1131:AL1131)-AL1134-AL1135+SUM($F1132:AL1132)-SUM($F1133:AL1133)-(SUM($F1130:AK1130)-SUM($F1131:AK1131)-AK1134-AK1135+SUM($F1132:AK1132)-SUM($F1133:AK1133)))</f>
        <v>0</v>
      </c>
      <c r="AM1136" s="177">
        <f>-IF(AM$2=1,0,SUM($F1130:AM1130)-SUM($F1131:AM1131)-AM1134-AM1135+SUM($F1132:AM1132)-SUM($F1133:AM1133)-(SUM($F1130:AL1130)-SUM($F1131:AL1131)-AL1134-AL1135+SUM($F1132:AL1132)-SUM($F1133:AL1133)))</f>
        <v>0</v>
      </c>
      <c r="AN1136" s="177">
        <f>-IF(AN$2=1,0,SUM($F1130:AN1130)-SUM($F1131:AN1131)-AN1134-AN1135+SUM($F1132:AN1132)-SUM($F1133:AN1133)-(SUM($F1130:AM1130)-SUM($F1131:AM1131)-AM1134-AM1135+SUM($F1132:AM1132)-SUM($F1133:AM1133)))</f>
        <v>0</v>
      </c>
      <c r="AO1136" s="177">
        <f>-IF(AO$2=1,0,SUM($F1130:AO1130)-SUM($F1131:AO1131)-AO1134-AO1135+SUM($F1132:AO1132)-SUM($F1133:AO1133)-(SUM($F1130:AN1130)-SUM($F1131:AN1131)-AN1134-AN1135+SUM($F1132:AN1132)-SUM($F1133:AN1133)))</f>
        <v>0</v>
      </c>
      <c r="AP1136" s="177">
        <f>-IF(AP$2=1,0,SUM($F1130:AP1130)-SUM($F1131:AP1131)-AP1134-AP1135+SUM($F1132:AP1132)-SUM($F1133:AP1133)-(SUM($F1130:AO1130)-SUM($F1131:AO1131)-AO1134-AO1135+SUM($F1132:AO1132)-SUM($F1133:AO1133)))</f>
        <v>0</v>
      </c>
      <c r="AQ1136" s="177">
        <f>-IF(AQ$2=1,0,SUM($F1130:AQ1130)-SUM($F1131:AQ1131)-AQ1134-AQ1135+SUM($F1132:AQ1132)-SUM($F1133:AQ1133)-(SUM($F1130:AP1130)-SUM($F1131:AP1131)-AP1134-AP1135+SUM($F1132:AP1132)-SUM($F1133:AP1133)))</f>
        <v>0</v>
      </c>
      <c r="AR1136" s="177">
        <f>-IF(AR$2=1,0,SUM($F1130:AR1130)-SUM($F1131:AR1131)-AR1134-AR1135+SUM($F1132:AR1132)-SUM($F1133:AR1133)-(SUM($F1130:AQ1130)-SUM($F1131:AQ1131)-AQ1134-AQ1135+SUM($F1132:AQ1132)-SUM($F1133:AQ1133)))</f>
        <v>0</v>
      </c>
      <c r="AS1136" s="177">
        <f>-IF(AS$2=1,0,SUM($F1130:AS1130)-SUM($F1131:AS1131)-AS1134-AS1135+SUM($F1132:AS1132)-SUM($F1133:AS1133)-(SUM($F1130:AR1130)-SUM($F1131:AR1131)-AR1134-AR1135+SUM($F1132:AR1132)-SUM($F1133:AR1133)))</f>
        <v>0</v>
      </c>
      <c r="AT1136" s="177">
        <f>-IF(AT$2=1,0,SUM($F1130:AT1130)-SUM($F1131:AT1131)-AT1134-AT1135+SUM($F1132:AT1132)-SUM($F1133:AT1133)-(SUM($F1130:AS1130)-SUM($F1131:AS1131)-AS1134-AS1135+SUM($F1132:AS1132)-SUM($F1133:AS1133)))</f>
        <v>0</v>
      </c>
      <c r="AU1136" s="177">
        <f>-IF(AU$2=1,0,SUM($F1130:AU1130)-SUM($F1131:AU1131)-AU1134-AU1135+SUM($F1132:AU1132)-SUM($F1133:AU1133)-(SUM($F1130:AT1130)-SUM($F1131:AT1131)-AT1134-AT1135+SUM($F1132:AT1132)-SUM($F1133:AT1133)))</f>
        <v>0</v>
      </c>
      <c r="AV1136" s="177">
        <f>-IF(AV$2=1,0,SUM($F1130:AV1130)-SUM($F1131:AV1131)-AV1134-AV1135+SUM($F1132:AV1132)-SUM($F1133:AV1133)-(SUM($F1130:AU1130)-SUM($F1131:AU1131)-AU1134-AU1135+SUM($F1132:AU1132)-SUM($F1133:AU1133)))</f>
        <v>0</v>
      </c>
      <c r="AW1136" s="177">
        <f>-IF(AW$2=1,0,SUM($F1130:AW1130)-SUM($F1131:AW1131)-AW1134-AW1135+SUM($F1132:AW1132)-SUM($F1133:AW1133)-(SUM($F1130:AV1130)-SUM($F1131:AV1131)-AV1134-AV1135+SUM($F1132:AV1132)-SUM($F1133:AV1133)))</f>
        <v>0</v>
      </c>
      <c r="AX1136" s="177">
        <f>-IF(AX$2=1,0,SUM($F1130:AX1130)-SUM($F1131:AX1131)-AX1134-AX1135+SUM($F1132:AX1132)-SUM($F1133:AX1133)-(SUM($F1130:AW1130)-SUM($F1131:AW1131)-AW1134-AW1135+SUM($F1132:AW1132)-SUM($F1133:AW1133)))</f>
        <v>0</v>
      </c>
      <c r="AY1136" s="177">
        <f>-IF(AY$2=1,0,SUM($F1130:AY1130)-SUM($F1131:AY1131)-AY1134-AY1135+SUM($F1132:AY1132)-SUM($F1133:AY1133)-(SUM($F1130:AX1130)-SUM($F1131:AX1131)-AX1134-AX1135+SUM($F1132:AX1132)-SUM($F1133:AX1133)))</f>
        <v>0</v>
      </c>
      <c r="AZ1136" s="177">
        <f>-IF(AZ$2=1,0,SUM($F1130:AZ1130)-SUM($F1131:AZ1131)-AZ1134-AZ1135+SUM($F1132:AZ1132)-SUM($F1133:AZ1133)-(SUM($F1130:AY1130)-SUM($F1131:AY1131)-AY1134-AY1135+SUM($F1132:AY1132)-SUM($F1133:AY1133)))</f>
        <v>0</v>
      </c>
      <c r="BA1136" s="177">
        <f>-IF(BA$2=1,0,SUM($F1130:BA1130)-SUM($F1131:BA1131)-BA1134-BA1135+SUM($F1132:BA1132)-SUM($F1133:BA1133)-(SUM($F1130:AZ1130)-SUM($F1131:AZ1131)-AZ1134-AZ1135+SUM($F1132:AZ1132)-SUM($F1133:AZ1133)))</f>
        <v>0</v>
      </c>
      <c r="BB1136" s="177">
        <f>-IF(BB$2=1,0,SUM($F1130:BB1130)-SUM($F1131:BB1131)-BB1134-BB1135+SUM($F1132:BB1132)-SUM($F1133:BB1133)-(SUM($F1130:BA1130)-SUM($F1131:BA1131)-BA1134-BA1135+SUM($F1132:BA1132)-SUM($F1133:BA1133)))</f>
        <v>0</v>
      </c>
      <c r="BC1136" s="169"/>
      <c r="BD1136" s="183">
        <f>SUM(G1136:BC1136)</f>
        <v>0</v>
      </c>
    </row>
    <row r="1137" spans="1:56" s="195" customFormat="1" x14ac:dyDescent="0.3">
      <c r="A1137" s="169"/>
      <c r="B1137" s="169"/>
      <c r="C1137" s="194"/>
      <c r="D1137" s="170"/>
      <c r="E1137" s="170"/>
      <c r="F1137" s="170"/>
      <c r="G1137" s="177"/>
      <c r="H1137" s="177"/>
      <c r="I1137" s="177"/>
      <c r="J1137" s="177"/>
      <c r="K1137" s="177"/>
      <c r="L1137" s="177"/>
      <c r="M1137" s="177"/>
      <c r="N1137" s="177"/>
      <c r="O1137" s="177"/>
      <c r="P1137" s="177"/>
      <c r="Q1137" s="177"/>
      <c r="R1137" s="177"/>
      <c r="S1137" s="177"/>
      <c r="T1137" s="177"/>
      <c r="U1137" s="177"/>
      <c r="V1137" s="177"/>
      <c r="W1137" s="177"/>
      <c r="X1137" s="177"/>
      <c r="Y1137" s="177"/>
      <c r="Z1137" s="177"/>
      <c r="AA1137" s="177"/>
      <c r="AB1137" s="177"/>
      <c r="AC1137" s="177"/>
      <c r="AD1137" s="177"/>
      <c r="AE1137" s="177"/>
      <c r="AF1137" s="177"/>
      <c r="AG1137" s="177"/>
      <c r="AH1137" s="177"/>
      <c r="AI1137" s="177"/>
      <c r="AJ1137" s="177"/>
      <c r="AK1137" s="177"/>
      <c r="AL1137" s="177"/>
      <c r="AM1137" s="177"/>
      <c r="AN1137" s="177"/>
      <c r="AO1137" s="177"/>
      <c r="AP1137" s="177"/>
      <c r="AQ1137" s="177"/>
      <c r="AR1137" s="177"/>
      <c r="AS1137" s="177"/>
      <c r="AT1137" s="177"/>
      <c r="AU1137" s="177"/>
      <c r="AV1137" s="177"/>
      <c r="AW1137" s="177"/>
      <c r="AX1137" s="177"/>
      <c r="AY1137" s="177"/>
      <c r="AZ1137" s="177"/>
      <c r="BA1137" s="177"/>
      <c r="BB1137" s="177"/>
      <c r="BC1137" s="169"/>
      <c r="BD1137" s="183"/>
    </row>
    <row r="1138" spans="1:56" s="195" customFormat="1" x14ac:dyDescent="0.3">
      <c r="A1138" s="171" t="str">
        <f ca="1">Language!A$1149</f>
        <v>Справочно: Остаток денег на счете</v>
      </c>
      <c r="B1138" s="171"/>
      <c r="C1138" s="229" t="str">
        <f t="shared" ca="1" si="4260"/>
        <v>руб.</v>
      </c>
      <c r="D1138" s="186"/>
      <c r="E1138" s="186"/>
      <c r="F1138" s="186" t="s">
        <v>741</v>
      </c>
      <c r="G1138" s="178">
        <f ca="1">OFFSET(Результаты!$F$155,0,G$2) * Параметры!G$64</f>
        <v>211558334</v>
      </c>
      <c r="H1138" s="178">
        <f ca="1">OFFSET(Результаты!$F$155,0,H$2) * Параметры!H$64</f>
        <v>209900000.33333334</v>
      </c>
      <c r="I1138" s="178">
        <f ca="1">OFFSET(Результаты!$F$155,0,I$2) * Параметры!I$64</f>
        <v>73241667.666666687</v>
      </c>
      <c r="J1138" s="178">
        <f ca="1">OFFSET(Результаты!$F$155,0,J$2) * Параметры!J$64</f>
        <v>54850001.000000015</v>
      </c>
      <c r="K1138" s="178">
        <f ca="1">OFFSET(Результаты!$F$155,0,K$2) * Параметры!K$64</f>
        <v>37825001.000000015</v>
      </c>
      <c r="L1138" s="178">
        <f ca="1">OFFSET(Результаты!$F$155,0,L$2) * Параметры!L$64</f>
        <v>18922075.939581752</v>
      </c>
      <c r="M1138" s="178">
        <f ca="1">OFFSET(Результаты!$F$155,0,M$2) * Параметры!M$64</f>
        <v>10035157.655486684</v>
      </c>
      <c r="N1138" s="178">
        <f ca="1">OFFSET(Результаты!$F$155,0,N$2) * Параметры!N$64</f>
        <v>1803117.7469090838</v>
      </c>
      <c r="O1138" s="178">
        <f ca="1">OFFSET(Результаты!$F$155,0,O$2) * Параметры!O$64</f>
        <v>135850.18460357562</v>
      </c>
      <c r="P1138" s="178">
        <f ca="1">OFFSET(Результаты!$F$155,0,P$2) * Параметры!P$64</f>
        <v>570756.51280933339</v>
      </c>
      <c r="Q1138" s="178">
        <f ca="1">OFFSET(Результаты!$F$155,0,Q$2) * Параметры!Q$64</f>
        <v>1678995.0735216746</v>
      </c>
      <c r="R1138" s="178">
        <f ca="1">OFFSET(Результаты!$F$155,0,R$2) * Параметры!R$64</f>
        <v>1258387.9910802324</v>
      </c>
      <c r="S1138" s="178">
        <f ca="1">OFFSET(Результаты!$F$155,0,S$2) * Параметры!S$64</f>
        <v>4195962.9793404434</v>
      </c>
      <c r="T1138" s="178">
        <f ca="1">OFFSET(Результаты!$F$155,0,T$2) * Параметры!T$64</f>
        <v>7190278.8295381945</v>
      </c>
      <c r="U1138" s="178">
        <f ca="1">OFFSET(Результаты!$F$155,0,U$2) * Параметры!U$64</f>
        <v>8502154.6642358396</v>
      </c>
      <c r="V1138" s="178">
        <f ca="1">OFFSET(Результаты!$F$155,0,V$2) * Параметры!V$64</f>
        <v>8709132.3037550822</v>
      </c>
      <c r="W1138" s="178">
        <f ca="1">OFFSET(Результаты!$F$155,0,W$2) * Параметры!W$64</f>
        <v>6389939.6174345631</v>
      </c>
      <c r="X1138" s="178">
        <f ca="1">OFFSET(Результаты!$F$155,0,X$2) * Параметры!X$64</f>
        <v>7403374.5238080397</v>
      </c>
      <c r="Y1138" s="178">
        <f ca="1">OFFSET(Результаты!$F$155,0,Y$2) * Параметры!Y$64</f>
        <v>10106979.386210134</v>
      </c>
      <c r="Z1138" s="178">
        <f ca="1">OFFSET(Результаты!$F$155,0,Z$2) * Параметры!Z$64</f>
        <v>15493939.599454354</v>
      </c>
      <c r="AA1138" s="178">
        <f ca="1">OFFSET(Результаты!$F$155,0,AA$2) * Параметры!AA$64</f>
        <v>17515439.877663791</v>
      </c>
      <c r="AB1138" s="178">
        <f ca="1">OFFSET(Результаты!$F$155,0,AB$2) * Параметры!AB$64</f>
        <v>15099582.513774911</v>
      </c>
      <c r="AC1138" s="178">
        <f ca="1">OFFSET(Результаты!$F$155,0,AC$2) * Параметры!AC$64</f>
        <v>11112415.430962546</v>
      </c>
      <c r="AD1138" s="178">
        <f ca="1">OFFSET(Результаты!$F$155,0,AD$2) * Параметры!AD$64</f>
        <v>7839105.4893916994</v>
      </c>
      <c r="AE1138" s="178">
        <f ca="1">OFFSET(Результаты!$F$155,0,AE$2) * Параметры!AE$64</f>
        <v>8728260.0437648036</v>
      </c>
      <c r="AF1138" s="178">
        <f ca="1">OFFSET(Результаты!$F$155,0,AF$2) * Параметры!AF$64</f>
        <v>9859169.7441609651</v>
      </c>
      <c r="AG1138" s="178">
        <f ca="1">OFFSET(Результаты!$F$155,0,AG$2) * Параметры!AG$64</f>
        <v>9319070.7895265855</v>
      </c>
      <c r="AH1138" s="178">
        <f ca="1">OFFSET(Результаты!$F$155,0,AH$2) * Параметры!AH$64</f>
        <v>8744402.8974499758</v>
      </c>
      <c r="AI1138" s="178">
        <f ca="1">OFFSET(Результаты!$F$155,0,AI$2) * Параметры!AI$64</f>
        <v>5503977.5388145335</v>
      </c>
      <c r="AJ1138" s="178">
        <f ca="1">OFFSET(Результаты!$F$155,0,AJ$2) * Параметры!AJ$64</f>
        <v>5787504.4368513366</v>
      </c>
      <c r="AK1138" s="178">
        <f ca="1">OFFSET(Результаты!$F$155,0,AK$2) * Параметры!AK$64</f>
        <v>10959753.53609027</v>
      </c>
      <c r="AL1138" s="178">
        <f ca="1">OFFSET(Результаты!$F$155,0,AL$2) * Параметры!AL$64</f>
        <v>19007889.742280588</v>
      </c>
      <c r="AM1138" s="178">
        <f ca="1">OFFSET(Результаты!$F$155,0,AM$2) * Параметры!AM$64</f>
        <v>23564410.121870339</v>
      </c>
      <c r="AN1138" s="178">
        <f ca="1">OFFSET(Результаты!$F$155,0,AN$2) * Параметры!AN$64</f>
        <v>23470717.332530722</v>
      </c>
      <c r="AO1138" s="178">
        <f ca="1">OFFSET(Результаты!$F$155,0,AO$2) * Параметры!AO$64</f>
        <v>21688456.476480868</v>
      </c>
      <c r="AP1138" s="178">
        <f ca="1">OFFSET(Результаты!$F$155,0,AP$2) * Параметры!AP$64</f>
        <v>20588220.835185394</v>
      </c>
      <c r="AQ1138" s="178">
        <f ca="1">OFFSET(Результаты!$F$155,0,AQ$2) * Параметры!AQ$64</f>
        <v>23863615.329147782</v>
      </c>
      <c r="AR1138" s="178">
        <f ca="1">OFFSET(Результаты!$F$155,0,AR$2) * Параметры!AR$64</f>
        <v>27395863.172472563</v>
      </c>
      <c r="AS1138" s="178">
        <f ca="1">OFFSET(Результаты!$F$155,0,AS$2) * Параметры!AS$64</f>
        <v>29185094.160840191</v>
      </c>
      <c r="AT1138" s="178">
        <f ca="1">OFFSET(Результаты!$F$155,0,AT$2) * Параметры!AT$64</f>
        <v>30801615.03373757</v>
      </c>
      <c r="AU1138" s="178">
        <f ca="1">OFFSET(Результаты!$F$155,0,AU$2) * Параметры!AU$64</f>
        <v>29366028.012790773</v>
      </c>
      <c r="AV1138" s="178">
        <f ca="1">OFFSET(Результаты!$F$155,0,AV$2) * Параметры!AV$64</f>
        <v>31416261.187906794</v>
      </c>
      <c r="AW1138" s="178">
        <f ca="1">OFFSET(Результаты!$F$155,0,AW$2) * Параметры!AW$64</f>
        <v>38390010.034551747</v>
      </c>
      <c r="AX1138" s="178">
        <f ca="1">OFFSET(Результаты!$F$155,0,AX$2) * Параметры!AX$64</f>
        <v>52207195.144730501</v>
      </c>
      <c r="AY1138" s="178">
        <f ca="1">OFFSET(Результаты!$F$155,0,AY$2) * Параметры!AY$64</f>
        <v>66317974.899262965</v>
      </c>
      <c r="AZ1138" s="178">
        <f ca="1">OFFSET(Результаты!$F$155,0,AZ$2) * Параметры!AZ$64</f>
        <v>75394082.460915953</v>
      </c>
      <c r="BA1138" s="178">
        <f ca="1">OFFSET(Результаты!$F$155,0,BA$2) * Параметры!BA$64</f>
        <v>82489057.141627178</v>
      </c>
      <c r="BB1138" s="178">
        <f ca="1">OFFSET(Результаты!$F$155,0,BB$2) * Параметры!BB$64</f>
        <v>90837475.22270827</v>
      </c>
      <c r="BC1138" s="171"/>
      <c r="BD1138" s="183"/>
    </row>
    <row r="1139" spans="1:56" x14ac:dyDescent="0.3">
      <c r="A1139" s="196"/>
      <c r="B1139" s="196"/>
      <c r="C1139" s="196"/>
      <c r="D1139" s="197"/>
      <c r="E1139" s="197" t="s">
        <v>3323</v>
      </c>
      <c r="F1139" s="197"/>
      <c r="G1139" s="196"/>
      <c r="H1139" s="196"/>
      <c r="I1139" s="196"/>
      <c r="J1139" s="196"/>
      <c r="K1139" s="196"/>
      <c r="L1139" s="196"/>
      <c r="M1139" s="196"/>
      <c r="N1139" s="196"/>
      <c r="O1139" s="196"/>
      <c r="P1139" s="196"/>
      <c r="Q1139" s="196"/>
      <c r="R1139" s="196"/>
      <c r="S1139" s="196"/>
      <c r="T1139" s="196"/>
      <c r="U1139" s="196"/>
      <c r="V1139" s="196"/>
      <c r="W1139" s="196"/>
      <c r="X1139" s="196"/>
      <c r="Y1139" s="196"/>
      <c r="Z1139" s="196"/>
      <c r="AA1139" s="196"/>
      <c r="AB1139" s="196"/>
      <c r="AC1139" s="196"/>
      <c r="AD1139" s="196"/>
      <c r="AE1139" s="196"/>
      <c r="AF1139" s="196"/>
      <c r="AG1139" s="196"/>
      <c r="AH1139" s="196"/>
      <c r="AI1139" s="196"/>
      <c r="AJ1139" s="196"/>
      <c r="AK1139" s="196"/>
      <c r="AL1139" s="196"/>
      <c r="AM1139" s="196"/>
      <c r="AN1139" s="196"/>
      <c r="AO1139" s="196"/>
      <c r="AP1139" s="196"/>
      <c r="AQ1139" s="196"/>
      <c r="AR1139" s="196"/>
      <c r="AS1139" s="196"/>
      <c r="AT1139" s="196"/>
      <c r="AU1139" s="196"/>
      <c r="AV1139" s="196"/>
      <c r="AW1139" s="196"/>
      <c r="AX1139" s="196"/>
      <c r="AY1139" s="196"/>
      <c r="AZ1139" s="196"/>
      <c r="BA1139" s="196"/>
      <c r="BB1139" s="196"/>
      <c r="BC1139" s="196"/>
      <c r="BD1139" s="204"/>
    </row>
    <row r="1140" spans="1:56" ht="25.05" hidden="1" customHeight="1" x14ac:dyDescent="0.3"/>
    <row r="1141" spans="1:56" hidden="1" x14ac:dyDescent="0.3"/>
    <row r="1142" spans="1:56" s="168" customFormat="1" ht="25.5" hidden="1" customHeight="1" thickBot="1" x14ac:dyDescent="0.35">
      <c r="A1142" s="330" t="str">
        <f ca="1">Language!A$1081</f>
        <v>ПРОЧИЕ ДОХОДЫ И РАСХОДЫ</v>
      </c>
      <c r="B1142" s="331"/>
      <c r="C1142" s="332"/>
      <c r="D1142" s="333"/>
      <c r="E1142" s="333" t="s">
        <v>1435</v>
      </c>
      <c r="F1142" s="333"/>
      <c r="G1142" s="334" t="str">
        <f ca="1">Параметры!G$34</f>
        <v>янв.25</v>
      </c>
      <c r="H1142" s="334" t="str">
        <f ca="1">Параметры!H$34</f>
        <v>фев.25</v>
      </c>
      <c r="I1142" s="334" t="str">
        <f ca="1">Параметры!I$34</f>
        <v>мар.25</v>
      </c>
      <c r="J1142" s="334" t="str">
        <f ca="1">Параметры!J$34</f>
        <v>апр.25</v>
      </c>
      <c r="K1142" s="334" t="str">
        <f ca="1">Параметры!K$34</f>
        <v>май.25</v>
      </c>
      <c r="L1142" s="334" t="str">
        <f ca="1">Параметры!L$34</f>
        <v>июн.25</v>
      </c>
      <c r="M1142" s="335" t="str">
        <f ca="1">Параметры!M$34</f>
        <v>июл.25</v>
      </c>
      <c r="N1142" s="335" t="str">
        <f ca="1">Параметры!N$34</f>
        <v>авг.25</v>
      </c>
      <c r="O1142" s="335" t="str">
        <f ca="1">Параметры!O$34</f>
        <v>сен.25</v>
      </c>
      <c r="P1142" s="335" t="str">
        <f ca="1">Параметры!P$34</f>
        <v>окт.25</v>
      </c>
      <c r="Q1142" s="335" t="str">
        <f ca="1">Параметры!Q$34</f>
        <v>ноя.25</v>
      </c>
      <c r="R1142" s="335" t="str">
        <f ca="1">Параметры!R$34</f>
        <v>дек.25</v>
      </c>
      <c r="S1142" s="335" t="str">
        <f ca="1">Параметры!S$34</f>
        <v>янв.26</v>
      </c>
      <c r="T1142" s="335" t="str">
        <f ca="1">Параметры!T$34</f>
        <v>фев.26</v>
      </c>
      <c r="U1142" s="335" t="str">
        <f ca="1">Параметры!U$34</f>
        <v>мар.26</v>
      </c>
      <c r="V1142" s="335" t="str">
        <f ca="1">Параметры!V$34</f>
        <v>апр.26</v>
      </c>
      <c r="W1142" s="335" t="str">
        <f ca="1">Параметры!W$34</f>
        <v>май.26</v>
      </c>
      <c r="X1142" s="335" t="str">
        <f ca="1">Параметры!X$34</f>
        <v>июн.26</v>
      </c>
      <c r="Y1142" s="335" t="str">
        <f ca="1">Параметры!Y$34</f>
        <v>июл.26</v>
      </c>
      <c r="Z1142" s="335" t="str">
        <f ca="1">Параметры!Z$34</f>
        <v>авг.26</v>
      </c>
      <c r="AA1142" s="335" t="str">
        <f ca="1">Параметры!AA$34</f>
        <v>сен.26</v>
      </c>
      <c r="AB1142" s="335" t="str">
        <f ca="1">Параметры!AB$34</f>
        <v>окт.26</v>
      </c>
      <c r="AC1142" s="335" t="str">
        <f ca="1">Параметры!AC$34</f>
        <v>ноя.26</v>
      </c>
      <c r="AD1142" s="335" t="str">
        <f ca="1">Параметры!AD$34</f>
        <v>дек.26</v>
      </c>
      <c r="AE1142" s="335" t="str">
        <f ca="1">Параметры!AE$34</f>
        <v>янв.27</v>
      </c>
      <c r="AF1142" s="335" t="str">
        <f ca="1">Параметры!AF$34</f>
        <v>фев.27</v>
      </c>
      <c r="AG1142" s="335" t="str">
        <f ca="1">Параметры!AG$34</f>
        <v>мар.27</v>
      </c>
      <c r="AH1142" s="335" t="str">
        <f ca="1">Параметры!AH$34</f>
        <v>апр.27</v>
      </c>
      <c r="AI1142" s="335" t="str">
        <f ca="1">Параметры!AI$34</f>
        <v>май.27</v>
      </c>
      <c r="AJ1142" s="335" t="str">
        <f ca="1">Параметры!AJ$34</f>
        <v>июн.27</v>
      </c>
      <c r="AK1142" s="335" t="str">
        <f ca="1">Параметры!AK$34</f>
        <v>июл.27</v>
      </c>
      <c r="AL1142" s="335" t="str">
        <f ca="1">Параметры!AL$34</f>
        <v>авг.27</v>
      </c>
      <c r="AM1142" s="335" t="str">
        <f ca="1">Параметры!AM$34</f>
        <v>сен.27</v>
      </c>
      <c r="AN1142" s="335" t="str">
        <f ca="1">Параметры!AN$34</f>
        <v>окт.27</v>
      </c>
      <c r="AO1142" s="335" t="str">
        <f ca="1">Параметры!AO$34</f>
        <v>ноя.27</v>
      </c>
      <c r="AP1142" s="335" t="str">
        <f ca="1">Параметры!AP$34</f>
        <v>дек.27</v>
      </c>
      <c r="AQ1142" s="335" t="str">
        <f ca="1">Параметры!AQ$34</f>
        <v>янв.28</v>
      </c>
      <c r="AR1142" s="335" t="str">
        <f ca="1">Параметры!AR$34</f>
        <v>фев.28</v>
      </c>
      <c r="AS1142" s="335" t="str">
        <f ca="1">Параметры!AS$34</f>
        <v>мар.28</v>
      </c>
      <c r="AT1142" s="335" t="str">
        <f ca="1">Параметры!AT$34</f>
        <v>апр.28</v>
      </c>
      <c r="AU1142" s="335" t="str">
        <f ca="1">Параметры!AU$34</f>
        <v>май.28</v>
      </c>
      <c r="AV1142" s="335" t="str">
        <f ca="1">Параметры!AV$34</f>
        <v>июн.28</v>
      </c>
      <c r="AW1142" s="335" t="str">
        <f ca="1">Параметры!AW$34</f>
        <v>июл.28</v>
      </c>
      <c r="AX1142" s="335" t="str">
        <f ca="1">Параметры!AX$34</f>
        <v>авг.28</v>
      </c>
      <c r="AY1142" s="335" t="str">
        <f ca="1">Параметры!AY$34</f>
        <v>сен.28</v>
      </c>
      <c r="AZ1142" s="335" t="str">
        <f ca="1">Параметры!AZ$34</f>
        <v>окт.28</v>
      </c>
      <c r="BA1142" s="335" t="str">
        <f ca="1">Параметры!BA$34</f>
        <v>ноя.28</v>
      </c>
      <c r="BB1142" s="335" t="str">
        <f ca="1">Параметры!BB$34</f>
        <v>дек.28</v>
      </c>
      <c r="BC1142" s="335"/>
      <c r="BD1142" s="336" t="str">
        <f ca="1">Language!$A$1473</f>
        <v>ИТОГО</v>
      </c>
    </row>
    <row r="1143" spans="1:56" hidden="1" x14ac:dyDescent="0.3">
      <c r="E1143" s="170" t="s">
        <v>642</v>
      </c>
      <c r="F1143" s="170" t="s">
        <v>643</v>
      </c>
    </row>
    <row r="1144" spans="1:56" hidden="1" x14ac:dyDescent="0.3">
      <c r="A1144" s="283" t="str">
        <f ca="1">Language!A$1082</f>
        <v>Шаблон прочих доходов</v>
      </c>
      <c r="C1144" s="163"/>
      <c r="D1144" s="174">
        <v>1</v>
      </c>
      <c r="F1144" s="170" t="s">
        <v>1442</v>
      </c>
      <c r="G1144" s="177"/>
      <c r="H1144" s="177"/>
      <c r="I1144" s="177"/>
      <c r="J1144" s="177"/>
      <c r="K1144" s="177"/>
      <c r="L1144" s="177"/>
      <c r="M1144" s="177"/>
      <c r="N1144" s="177"/>
      <c r="O1144" s="177"/>
      <c r="P1144" s="177"/>
      <c r="Q1144" s="177"/>
      <c r="R1144" s="177"/>
      <c r="S1144" s="177"/>
      <c r="T1144" s="177"/>
      <c r="U1144" s="177"/>
      <c r="V1144" s="177"/>
      <c r="W1144" s="177"/>
      <c r="X1144" s="177"/>
      <c r="Y1144" s="177"/>
      <c r="Z1144" s="177"/>
      <c r="AA1144" s="177"/>
      <c r="AB1144" s="177"/>
      <c r="AC1144" s="177"/>
      <c r="AD1144" s="177"/>
      <c r="AE1144" s="177"/>
      <c r="AF1144" s="177"/>
      <c r="AG1144" s="177"/>
      <c r="AH1144" s="177"/>
      <c r="AI1144" s="177"/>
      <c r="AJ1144" s="177"/>
      <c r="AK1144" s="177"/>
      <c r="AL1144" s="177"/>
      <c r="AM1144" s="177"/>
      <c r="AN1144" s="177"/>
      <c r="AO1144" s="177"/>
      <c r="AP1144" s="177"/>
      <c r="AQ1144" s="177"/>
      <c r="AR1144" s="177"/>
      <c r="AS1144" s="177"/>
      <c r="AT1144" s="177"/>
      <c r="AU1144" s="177"/>
      <c r="AV1144" s="177"/>
      <c r="AW1144" s="177"/>
      <c r="AX1144" s="177"/>
      <c r="AY1144" s="177"/>
      <c r="AZ1144" s="177"/>
      <c r="BA1144" s="177"/>
      <c r="BB1144" s="177"/>
      <c r="BC1144" s="177"/>
      <c r="BD1144" s="178"/>
    </row>
    <row r="1145" spans="1:56" hidden="1" x14ac:dyDescent="0.3">
      <c r="A1145" s="175" t="str">
        <f ca="1">Language!A$1083</f>
        <v>прочие доходы (без НДС)</v>
      </c>
      <c r="C1145" s="176" t="str">
        <f ca="1">CHOOSE(D1145,CurName1,CurName2,CurName3)</f>
        <v>руб.</v>
      </c>
      <c r="D1145" s="174">
        <f>D1144</f>
        <v>1</v>
      </c>
      <c r="E1145" s="170" t="s">
        <v>992</v>
      </c>
      <c r="F1145" s="170" t="s">
        <v>742</v>
      </c>
      <c r="G1145" s="297">
        <v>0</v>
      </c>
      <c r="H1145" s="297">
        <v>0</v>
      </c>
      <c r="I1145" s="297">
        <v>0</v>
      </c>
      <c r="J1145" s="297">
        <v>0</v>
      </c>
      <c r="K1145" s="297">
        <v>0</v>
      </c>
      <c r="L1145" s="297">
        <v>0</v>
      </c>
      <c r="M1145" s="297">
        <v>0</v>
      </c>
      <c r="N1145" s="297">
        <v>0</v>
      </c>
      <c r="O1145" s="297">
        <v>0</v>
      </c>
      <c r="P1145" s="297">
        <v>0</v>
      </c>
      <c r="Q1145" s="297">
        <v>0</v>
      </c>
      <c r="R1145" s="297">
        <v>0</v>
      </c>
      <c r="S1145" s="297">
        <v>0</v>
      </c>
      <c r="T1145" s="297">
        <v>0</v>
      </c>
      <c r="U1145" s="297">
        <v>0</v>
      </c>
      <c r="V1145" s="297">
        <v>0</v>
      </c>
      <c r="W1145" s="297">
        <v>0</v>
      </c>
      <c r="X1145" s="297">
        <v>0</v>
      </c>
      <c r="Y1145" s="297">
        <v>0</v>
      </c>
      <c r="Z1145" s="297">
        <v>0</v>
      </c>
      <c r="AA1145" s="297">
        <v>0</v>
      </c>
      <c r="AB1145" s="297">
        <v>0</v>
      </c>
      <c r="AC1145" s="297">
        <v>0</v>
      </c>
      <c r="AD1145" s="297">
        <v>0</v>
      </c>
      <c r="AE1145" s="297">
        <v>0</v>
      </c>
      <c r="AF1145" s="297">
        <v>0</v>
      </c>
      <c r="AG1145" s="297">
        <v>0</v>
      </c>
      <c r="AH1145" s="297">
        <v>0</v>
      </c>
      <c r="AI1145" s="297">
        <v>0</v>
      </c>
      <c r="AJ1145" s="297">
        <v>0</v>
      </c>
      <c r="AK1145" s="297">
        <v>0</v>
      </c>
      <c r="AL1145" s="297">
        <v>0</v>
      </c>
      <c r="AM1145" s="297">
        <v>0</v>
      </c>
      <c r="AN1145" s="297">
        <v>0</v>
      </c>
      <c r="AO1145" s="297">
        <v>0</v>
      </c>
      <c r="AP1145" s="297">
        <v>0</v>
      </c>
      <c r="AQ1145" s="297">
        <v>0</v>
      </c>
      <c r="AR1145" s="297">
        <v>0</v>
      </c>
      <c r="AS1145" s="297">
        <v>0</v>
      </c>
      <c r="AT1145" s="297">
        <v>0</v>
      </c>
      <c r="AU1145" s="297">
        <v>0</v>
      </c>
      <c r="AV1145" s="297">
        <v>0</v>
      </c>
      <c r="AW1145" s="297">
        <v>0</v>
      </c>
      <c r="AX1145" s="297">
        <v>0</v>
      </c>
      <c r="AY1145" s="297">
        <v>0</v>
      </c>
      <c r="AZ1145" s="297">
        <v>0</v>
      </c>
      <c r="BA1145" s="297">
        <v>0</v>
      </c>
      <c r="BB1145" s="297">
        <v>0</v>
      </c>
      <c r="BC1145" s="177"/>
      <c r="BD1145" s="178">
        <f>SUM(G1145:BC1145)</f>
        <v>0</v>
      </c>
    </row>
    <row r="1146" spans="1:56" s="170" customFormat="1" hidden="1" x14ac:dyDescent="0.3">
      <c r="A1146" s="184" t="str">
        <f ca="1">Language!A$1084</f>
        <v>ставка НДС</v>
      </c>
      <c r="B1146" s="203"/>
      <c r="C1146" s="163" t="s">
        <v>1</v>
      </c>
      <c r="D1146" s="174"/>
      <c r="F1146" s="170" t="s">
        <v>2344</v>
      </c>
      <c r="G1146" s="290">
        <f>IF(G$2=1,Параметры!G$72,IF(F1146=Параметры!F$72,Параметры!F$72,F1146))</f>
        <v>0</v>
      </c>
      <c r="H1146" s="290">
        <f>IF(H$2=1,Параметры!H$72,IF(G1146=Параметры!G$72,Параметры!G$72,G1146))</f>
        <v>0</v>
      </c>
      <c r="I1146" s="290">
        <f>IF(I$2=1,Параметры!I$72,IF(H1146=Параметры!H$72,Параметры!H$72,H1146))</f>
        <v>0</v>
      </c>
      <c r="J1146" s="290">
        <f>IF(J$2=1,Параметры!J$72,IF(I1146=Параметры!I$72,Параметры!I$72,I1146))</f>
        <v>0</v>
      </c>
      <c r="K1146" s="290">
        <f>IF(K$2=1,Параметры!K$72,IF(J1146=Параметры!J$72,Параметры!J$72,J1146))</f>
        <v>0</v>
      </c>
      <c r="L1146" s="290">
        <f>IF(L$2=1,Параметры!L$72,IF(K1146=Параметры!K$72,Параметры!K$72,K1146))</f>
        <v>0</v>
      </c>
      <c r="M1146" s="290">
        <f>IF(M$2=1,Параметры!M$72,IF(L1146=Параметры!L$72,Параметры!L$72,L1146))</f>
        <v>0</v>
      </c>
      <c r="N1146" s="290">
        <f>IF(N$2=1,Параметры!N$72,IF(M1146=Параметры!M$72,Параметры!M$72,M1146))</f>
        <v>0</v>
      </c>
      <c r="O1146" s="290">
        <f>IF(O$2=1,Параметры!O$72,IF(N1146=Параметры!N$72,Параметры!N$72,N1146))</f>
        <v>0</v>
      </c>
      <c r="P1146" s="290">
        <f>IF(P$2=1,Параметры!P$72,IF(O1146=Параметры!O$72,Параметры!O$72,O1146))</f>
        <v>0</v>
      </c>
      <c r="Q1146" s="290">
        <f>IF(Q$2=1,Параметры!Q$72,IF(P1146=Параметры!P$72,Параметры!P$72,P1146))</f>
        <v>0</v>
      </c>
      <c r="R1146" s="290">
        <f>IF(R$2=1,Параметры!R$72,IF(Q1146=Параметры!Q$72,Параметры!Q$72,Q1146))</f>
        <v>0</v>
      </c>
      <c r="S1146" s="290">
        <f>IF(S$2=1,Параметры!S$72,IF(R1146=Параметры!R$72,Параметры!R$72,R1146))</f>
        <v>0</v>
      </c>
      <c r="T1146" s="290">
        <f>IF(T$2=1,Параметры!T$72,IF(S1146=Параметры!S$72,Параметры!S$72,S1146))</f>
        <v>0</v>
      </c>
      <c r="U1146" s="290">
        <f>IF(U$2=1,Параметры!U$72,IF(T1146=Параметры!T$72,Параметры!T$72,T1146))</f>
        <v>0</v>
      </c>
      <c r="V1146" s="290">
        <f>IF(V$2=1,Параметры!V$72,IF(U1146=Параметры!U$72,Параметры!U$72,U1146))</f>
        <v>0</v>
      </c>
      <c r="W1146" s="290">
        <f>IF(W$2=1,Параметры!W$72,IF(V1146=Параметры!V$72,Параметры!V$72,V1146))</f>
        <v>0</v>
      </c>
      <c r="X1146" s="290">
        <f>IF(X$2=1,Параметры!X$72,IF(W1146=Параметры!W$72,Параметры!W$72,W1146))</f>
        <v>0</v>
      </c>
      <c r="Y1146" s="290">
        <f>IF(Y$2=1,Параметры!Y$72,IF(X1146=Параметры!X$72,Параметры!X$72,X1146))</f>
        <v>0</v>
      </c>
      <c r="Z1146" s="290">
        <f>IF(Z$2=1,Параметры!Z$72,IF(Y1146=Параметры!Y$72,Параметры!Y$72,Y1146))</f>
        <v>0</v>
      </c>
      <c r="AA1146" s="290">
        <f>IF(AA$2=1,Параметры!AA$72,IF(Z1146=Параметры!Z$72,Параметры!Z$72,Z1146))</f>
        <v>0</v>
      </c>
      <c r="AB1146" s="290">
        <f>IF(AB$2=1,Параметры!AB$72,IF(AA1146=Параметры!AA$72,Параметры!AA$72,AA1146))</f>
        <v>0</v>
      </c>
      <c r="AC1146" s="290">
        <f>IF(AC$2=1,Параметры!AC$72,IF(AB1146=Параметры!AB$72,Параметры!AB$72,AB1146))</f>
        <v>0</v>
      </c>
      <c r="AD1146" s="290">
        <f>IF(AD$2=1,Параметры!AD$72,IF(AC1146=Параметры!AC$72,Параметры!AC$72,AC1146))</f>
        <v>0</v>
      </c>
      <c r="AE1146" s="290">
        <f>IF(AE$2=1,Параметры!AE$72,IF(AD1146=Параметры!AD$72,Параметры!AD$72,AD1146))</f>
        <v>0</v>
      </c>
      <c r="AF1146" s="290">
        <f>IF(AF$2=1,Параметры!AF$72,IF(AE1146=Параметры!AE$72,Параметры!AE$72,AE1146))</f>
        <v>0</v>
      </c>
      <c r="AG1146" s="290">
        <f>IF(AG$2=1,Параметры!AG$72,IF(AF1146=Параметры!AF$72,Параметры!AF$72,AF1146))</f>
        <v>0</v>
      </c>
      <c r="AH1146" s="290">
        <f>IF(AH$2=1,Параметры!AH$72,IF(AG1146=Параметры!AG$72,Параметры!AG$72,AG1146))</f>
        <v>0</v>
      </c>
      <c r="AI1146" s="290">
        <f>IF(AI$2=1,Параметры!AI$72,IF(AH1146=Параметры!AH$72,Параметры!AH$72,AH1146))</f>
        <v>0</v>
      </c>
      <c r="AJ1146" s="290">
        <f>IF(AJ$2=1,Параметры!AJ$72,IF(AI1146=Параметры!AI$72,Параметры!AI$72,AI1146))</f>
        <v>0</v>
      </c>
      <c r="AK1146" s="290">
        <f>IF(AK$2=1,Параметры!AK$72,IF(AJ1146=Параметры!AJ$72,Параметры!AJ$72,AJ1146))</f>
        <v>0</v>
      </c>
      <c r="AL1146" s="290">
        <f>IF(AL$2=1,Параметры!AL$72,IF(AK1146=Параметры!AK$72,Параметры!AK$72,AK1146))</f>
        <v>0</v>
      </c>
      <c r="AM1146" s="290">
        <f>IF(AM$2=1,Параметры!AM$72,IF(AL1146=Параметры!AL$72,Параметры!AL$72,AL1146))</f>
        <v>0</v>
      </c>
      <c r="AN1146" s="290">
        <f>IF(AN$2=1,Параметры!AN$72,IF(AM1146=Параметры!AM$72,Параметры!AM$72,AM1146))</f>
        <v>0</v>
      </c>
      <c r="AO1146" s="290">
        <f>IF(AO$2=1,Параметры!AO$72,IF(AN1146=Параметры!AN$72,Параметры!AN$72,AN1146))</f>
        <v>0</v>
      </c>
      <c r="AP1146" s="290">
        <f>IF(AP$2=1,Параметры!AP$72,IF(AO1146=Параметры!AO$72,Параметры!AO$72,AO1146))</f>
        <v>0</v>
      </c>
      <c r="AQ1146" s="290">
        <f>IF(AQ$2=1,Параметры!AQ$72,IF(AP1146=Параметры!AP$72,Параметры!AP$72,AP1146))</f>
        <v>0</v>
      </c>
      <c r="AR1146" s="290">
        <f>IF(AR$2=1,Параметры!AR$72,IF(AQ1146=Параметры!AQ$72,Параметры!AQ$72,AQ1146))</f>
        <v>0</v>
      </c>
      <c r="AS1146" s="290">
        <f>IF(AS$2=1,Параметры!AS$72,IF(AR1146=Параметры!AR$72,Параметры!AR$72,AR1146))</f>
        <v>0</v>
      </c>
      <c r="AT1146" s="290">
        <f>IF(AT$2=1,Параметры!AT$72,IF(AS1146=Параметры!AS$72,Параметры!AS$72,AS1146))</f>
        <v>0</v>
      </c>
      <c r="AU1146" s="290">
        <f>IF(AU$2=1,Параметры!AU$72,IF(AT1146=Параметры!AT$72,Параметры!AT$72,AT1146))</f>
        <v>0</v>
      </c>
      <c r="AV1146" s="290">
        <f>IF(AV$2=1,Параметры!AV$72,IF(AU1146=Параметры!AU$72,Параметры!AU$72,AU1146))</f>
        <v>0</v>
      </c>
      <c r="AW1146" s="290">
        <f>IF(AW$2=1,Параметры!AW$72,IF(AV1146=Параметры!AV$72,Параметры!AV$72,AV1146))</f>
        <v>0</v>
      </c>
      <c r="AX1146" s="290">
        <f>IF(AX$2=1,Параметры!AX$72,IF(AW1146=Параметры!AW$72,Параметры!AW$72,AW1146))</f>
        <v>0</v>
      </c>
      <c r="AY1146" s="290">
        <f>IF(AY$2=1,Параметры!AY$72,IF(AX1146=Параметры!AX$72,Параметры!AX$72,AX1146))</f>
        <v>0</v>
      </c>
      <c r="AZ1146" s="290">
        <f>IF(AZ$2=1,Параметры!AZ$72,IF(AY1146=Параметры!AY$72,Параметры!AY$72,AY1146))</f>
        <v>0</v>
      </c>
      <c r="BA1146" s="290">
        <f>IF(BA$2=1,Параметры!BA$72,IF(AZ1146=Параметры!AZ$72,Параметры!AZ$72,AZ1146))</f>
        <v>0</v>
      </c>
      <c r="BB1146" s="290">
        <f>IF(BB$2=1,Параметры!BB$72,IF(BA1146=Параметры!BA$72,Параметры!BA$72,BA1146))</f>
        <v>0</v>
      </c>
      <c r="BC1146" s="190"/>
      <c r="BD1146" s="186"/>
    </row>
    <row r="1147" spans="1:56" s="170" customFormat="1" hidden="1" x14ac:dyDescent="0.3">
      <c r="A1147" s="184" t="str">
        <f ca="1">Language!A$1085</f>
        <v>НДС</v>
      </c>
      <c r="B1147" s="203"/>
      <c r="C1147" s="163" t="str">
        <f ca="1">CHOOSE(D1147,CurName1,CurName2,CurName3)</f>
        <v>руб.</v>
      </c>
      <c r="D1147" s="174">
        <f>D1144</f>
        <v>1</v>
      </c>
      <c r="E1147" s="170" t="s">
        <v>785</v>
      </c>
      <c r="F1147" s="170" t="s">
        <v>743</v>
      </c>
      <c r="G1147" s="185">
        <f>G1145*G1146</f>
        <v>0</v>
      </c>
      <c r="H1147" s="185">
        <f t="shared" ref="H1147:K1147" si="4284">H1145*H1146</f>
        <v>0</v>
      </c>
      <c r="I1147" s="185">
        <f t="shared" si="4284"/>
        <v>0</v>
      </c>
      <c r="J1147" s="185">
        <f t="shared" si="4284"/>
        <v>0</v>
      </c>
      <c r="K1147" s="185">
        <f t="shared" si="4284"/>
        <v>0</v>
      </c>
      <c r="L1147" s="185">
        <f t="shared" ref="L1147:M1147" si="4285">L1145*L1146</f>
        <v>0</v>
      </c>
      <c r="M1147" s="185">
        <f t="shared" si="4285"/>
        <v>0</v>
      </c>
      <c r="N1147" s="185">
        <f t="shared" ref="N1147:O1147" si="4286">N1145*N1146</f>
        <v>0</v>
      </c>
      <c r="O1147" s="185">
        <f t="shared" si="4286"/>
        <v>0</v>
      </c>
      <c r="P1147" s="185">
        <f t="shared" ref="P1147:Q1147" si="4287">P1145*P1146</f>
        <v>0</v>
      </c>
      <c r="Q1147" s="185">
        <f t="shared" si="4287"/>
        <v>0</v>
      </c>
      <c r="R1147" s="185">
        <f t="shared" ref="R1147:S1147" si="4288">R1145*R1146</f>
        <v>0</v>
      </c>
      <c r="S1147" s="185">
        <f t="shared" si="4288"/>
        <v>0</v>
      </c>
      <c r="T1147" s="185">
        <f t="shared" ref="T1147:U1147" si="4289">T1145*T1146</f>
        <v>0</v>
      </c>
      <c r="U1147" s="185">
        <f t="shared" si="4289"/>
        <v>0</v>
      </c>
      <c r="V1147" s="185">
        <f t="shared" ref="V1147:W1147" si="4290">V1145*V1146</f>
        <v>0</v>
      </c>
      <c r="W1147" s="185">
        <f t="shared" si="4290"/>
        <v>0</v>
      </c>
      <c r="X1147" s="185">
        <f t="shared" ref="X1147:Y1147" si="4291">X1145*X1146</f>
        <v>0</v>
      </c>
      <c r="Y1147" s="185">
        <f t="shared" si="4291"/>
        <v>0</v>
      </c>
      <c r="Z1147" s="185">
        <f t="shared" ref="Z1147:AA1147" si="4292">Z1145*Z1146</f>
        <v>0</v>
      </c>
      <c r="AA1147" s="185">
        <f t="shared" si="4292"/>
        <v>0</v>
      </c>
      <c r="AB1147" s="185">
        <f t="shared" ref="AB1147:AC1147" si="4293">AB1145*AB1146</f>
        <v>0</v>
      </c>
      <c r="AC1147" s="185">
        <f t="shared" si="4293"/>
        <v>0</v>
      </c>
      <c r="AD1147" s="185">
        <f t="shared" ref="AD1147:AE1147" si="4294">AD1145*AD1146</f>
        <v>0</v>
      </c>
      <c r="AE1147" s="185">
        <f t="shared" si="4294"/>
        <v>0</v>
      </c>
      <c r="AF1147" s="185">
        <f t="shared" ref="AF1147:AG1147" si="4295">AF1145*AF1146</f>
        <v>0</v>
      </c>
      <c r="AG1147" s="185">
        <f t="shared" si="4295"/>
        <v>0</v>
      </c>
      <c r="AH1147" s="185">
        <f t="shared" ref="AH1147:AI1147" si="4296">AH1145*AH1146</f>
        <v>0</v>
      </c>
      <c r="AI1147" s="185">
        <f t="shared" si="4296"/>
        <v>0</v>
      </c>
      <c r="AJ1147" s="185">
        <f t="shared" ref="AJ1147:AK1147" si="4297">AJ1145*AJ1146</f>
        <v>0</v>
      </c>
      <c r="AK1147" s="185">
        <f t="shared" si="4297"/>
        <v>0</v>
      </c>
      <c r="AL1147" s="185">
        <f t="shared" ref="AL1147:AM1147" si="4298">AL1145*AL1146</f>
        <v>0</v>
      </c>
      <c r="AM1147" s="185">
        <f t="shared" si="4298"/>
        <v>0</v>
      </c>
      <c r="AN1147" s="185">
        <f t="shared" ref="AN1147:AO1147" si="4299">AN1145*AN1146</f>
        <v>0</v>
      </c>
      <c r="AO1147" s="185">
        <f t="shared" si="4299"/>
        <v>0</v>
      </c>
      <c r="AP1147" s="185">
        <f t="shared" ref="AP1147:AQ1147" si="4300">AP1145*AP1146</f>
        <v>0</v>
      </c>
      <c r="AQ1147" s="185">
        <f t="shared" si="4300"/>
        <v>0</v>
      </c>
      <c r="AR1147" s="185">
        <f t="shared" ref="AR1147:AS1147" si="4301">AR1145*AR1146</f>
        <v>0</v>
      </c>
      <c r="AS1147" s="185">
        <f t="shared" si="4301"/>
        <v>0</v>
      </c>
      <c r="AT1147" s="185">
        <f t="shared" ref="AT1147:AU1147" si="4302">AT1145*AT1146</f>
        <v>0</v>
      </c>
      <c r="AU1147" s="185">
        <f t="shared" si="4302"/>
        <v>0</v>
      </c>
      <c r="AV1147" s="185">
        <f t="shared" ref="AV1147:AW1147" si="4303">AV1145*AV1146</f>
        <v>0</v>
      </c>
      <c r="AW1147" s="185">
        <f t="shared" si="4303"/>
        <v>0</v>
      </c>
      <c r="AX1147" s="185">
        <f t="shared" ref="AX1147:AY1147" si="4304">AX1145*AX1146</f>
        <v>0</v>
      </c>
      <c r="AY1147" s="185">
        <f t="shared" si="4304"/>
        <v>0</v>
      </c>
      <c r="AZ1147" s="185">
        <f t="shared" ref="AZ1147:BA1147" si="4305">AZ1145*AZ1146</f>
        <v>0</v>
      </c>
      <c r="BA1147" s="185">
        <f t="shared" si="4305"/>
        <v>0</v>
      </c>
      <c r="BB1147" s="185">
        <f t="shared" ref="BB1147" si="4306">BB1145*BB1146</f>
        <v>0</v>
      </c>
      <c r="BC1147" s="185"/>
      <c r="BD1147" s="193">
        <f>SUM(G1147:BC1147)</f>
        <v>0</v>
      </c>
    </row>
    <row r="1148" spans="1:56" hidden="1" x14ac:dyDescent="0.3">
      <c r="A1148" s="283" t="str">
        <f ca="1">Language!A$1086</f>
        <v>Шаблон прочих расходов</v>
      </c>
      <c r="C1148" s="163"/>
      <c r="D1148" s="174">
        <v>1</v>
      </c>
      <c r="F1148" s="170" t="s">
        <v>1443</v>
      </c>
      <c r="G1148" s="177"/>
      <c r="H1148" s="177"/>
      <c r="I1148" s="177"/>
      <c r="J1148" s="177"/>
      <c r="K1148" s="177"/>
      <c r="L1148" s="177"/>
      <c r="M1148" s="177"/>
      <c r="N1148" s="177"/>
      <c r="O1148" s="177"/>
      <c r="P1148" s="177"/>
      <c r="Q1148" s="177"/>
      <c r="R1148" s="177"/>
      <c r="S1148" s="177"/>
      <c r="T1148" s="177"/>
      <c r="U1148" s="177"/>
      <c r="V1148" s="177"/>
      <c r="W1148" s="177"/>
      <c r="X1148" s="177"/>
      <c r="Y1148" s="177"/>
      <c r="Z1148" s="177"/>
      <c r="AA1148" s="177"/>
      <c r="AB1148" s="177"/>
      <c r="AC1148" s="177"/>
      <c r="AD1148" s="177"/>
      <c r="AE1148" s="177"/>
      <c r="AF1148" s="177"/>
      <c r="AG1148" s="177"/>
      <c r="AH1148" s="177"/>
      <c r="AI1148" s="177"/>
      <c r="AJ1148" s="177"/>
      <c r="AK1148" s="177"/>
      <c r="AL1148" s="177"/>
      <c r="AM1148" s="177"/>
      <c r="AN1148" s="177"/>
      <c r="AO1148" s="177"/>
      <c r="AP1148" s="177"/>
      <c r="AQ1148" s="177"/>
      <c r="AR1148" s="177"/>
      <c r="AS1148" s="177"/>
      <c r="AT1148" s="177"/>
      <c r="AU1148" s="177"/>
      <c r="AV1148" s="177"/>
      <c r="AW1148" s="177"/>
      <c r="AX1148" s="177"/>
      <c r="AY1148" s="177"/>
      <c r="AZ1148" s="177"/>
      <c r="BA1148" s="177"/>
      <c r="BB1148" s="177"/>
      <c r="BC1148" s="177"/>
      <c r="BD1148" s="178"/>
    </row>
    <row r="1149" spans="1:56" hidden="1" x14ac:dyDescent="0.3">
      <c r="A1149" s="175" t="str">
        <f ca="1">Language!A$1087</f>
        <v>прочие расходы (без НДС)</v>
      </c>
      <c r="C1149" s="176" t="str">
        <f ca="1">CHOOSE(D1149,CurName1,CurName2,CurName3)</f>
        <v>руб.</v>
      </c>
      <c r="D1149" s="174">
        <f>D1148</f>
        <v>1</v>
      </c>
      <c r="E1149" s="170" t="s">
        <v>1444</v>
      </c>
      <c r="F1149" s="170" t="s">
        <v>742</v>
      </c>
      <c r="G1149" s="297">
        <v>0</v>
      </c>
      <c r="H1149" s="297">
        <v>0</v>
      </c>
      <c r="I1149" s="297">
        <v>0</v>
      </c>
      <c r="J1149" s="297">
        <v>0</v>
      </c>
      <c r="K1149" s="297">
        <v>0</v>
      </c>
      <c r="L1149" s="297">
        <v>0</v>
      </c>
      <c r="M1149" s="297">
        <v>0</v>
      </c>
      <c r="N1149" s="297">
        <v>0</v>
      </c>
      <c r="O1149" s="297">
        <v>0</v>
      </c>
      <c r="P1149" s="297">
        <v>0</v>
      </c>
      <c r="Q1149" s="297">
        <v>0</v>
      </c>
      <c r="R1149" s="297">
        <v>0</v>
      </c>
      <c r="S1149" s="297">
        <v>0</v>
      </c>
      <c r="T1149" s="297">
        <v>0</v>
      </c>
      <c r="U1149" s="297">
        <v>0</v>
      </c>
      <c r="V1149" s="297">
        <v>0</v>
      </c>
      <c r="W1149" s="297">
        <v>0</v>
      </c>
      <c r="X1149" s="297">
        <v>0</v>
      </c>
      <c r="Y1149" s="297">
        <v>0</v>
      </c>
      <c r="Z1149" s="297">
        <v>0</v>
      </c>
      <c r="AA1149" s="297">
        <v>0</v>
      </c>
      <c r="AB1149" s="297">
        <v>0</v>
      </c>
      <c r="AC1149" s="297">
        <v>0</v>
      </c>
      <c r="AD1149" s="297">
        <v>0</v>
      </c>
      <c r="AE1149" s="297">
        <v>0</v>
      </c>
      <c r="AF1149" s="297">
        <v>0</v>
      </c>
      <c r="AG1149" s="297">
        <v>0</v>
      </c>
      <c r="AH1149" s="297">
        <v>0</v>
      </c>
      <c r="AI1149" s="297">
        <v>0</v>
      </c>
      <c r="AJ1149" s="297">
        <v>0</v>
      </c>
      <c r="AK1149" s="297">
        <v>0</v>
      </c>
      <c r="AL1149" s="297">
        <v>0</v>
      </c>
      <c r="AM1149" s="297">
        <v>0</v>
      </c>
      <c r="AN1149" s="297">
        <v>0</v>
      </c>
      <c r="AO1149" s="297">
        <v>0</v>
      </c>
      <c r="AP1149" s="297">
        <v>0</v>
      </c>
      <c r="AQ1149" s="297">
        <v>0</v>
      </c>
      <c r="AR1149" s="297">
        <v>0</v>
      </c>
      <c r="AS1149" s="297">
        <v>0</v>
      </c>
      <c r="AT1149" s="297">
        <v>0</v>
      </c>
      <c r="AU1149" s="297">
        <v>0</v>
      </c>
      <c r="AV1149" s="297">
        <v>0</v>
      </c>
      <c r="AW1149" s="297">
        <v>0</v>
      </c>
      <c r="AX1149" s="297">
        <v>0</v>
      </c>
      <c r="AY1149" s="297">
        <v>0</v>
      </c>
      <c r="AZ1149" s="297">
        <v>0</v>
      </c>
      <c r="BA1149" s="297">
        <v>0</v>
      </c>
      <c r="BB1149" s="297">
        <v>0</v>
      </c>
      <c r="BC1149" s="177"/>
      <c r="BD1149" s="178">
        <f>SUM(G1149:BC1149)</f>
        <v>0</v>
      </c>
    </row>
    <row r="1150" spans="1:56" s="170" customFormat="1" hidden="1" x14ac:dyDescent="0.3">
      <c r="A1150" s="184" t="str">
        <f ca="1">Language!A$1088</f>
        <v>ставка НДС</v>
      </c>
      <c r="B1150" s="203"/>
      <c r="C1150" s="163" t="s">
        <v>1</v>
      </c>
      <c r="D1150" s="174"/>
      <c r="F1150" s="170" t="s">
        <v>2344</v>
      </c>
      <c r="G1150" s="290">
        <f>IF(G$2=1,Параметры!G$72,IF(F1150=Параметры!F$72,Параметры!F$72,F1150))</f>
        <v>0</v>
      </c>
      <c r="H1150" s="290">
        <f>IF(H$2=1,Параметры!H$72,IF(G1150=Параметры!G$72,Параметры!G$72,G1150))</f>
        <v>0</v>
      </c>
      <c r="I1150" s="290">
        <f>IF(I$2=1,Параметры!I$72,IF(H1150=Параметры!H$72,Параметры!H$72,H1150))</f>
        <v>0</v>
      </c>
      <c r="J1150" s="290">
        <f>IF(J$2=1,Параметры!J$72,IF(I1150=Параметры!I$72,Параметры!I$72,I1150))</f>
        <v>0</v>
      </c>
      <c r="K1150" s="290">
        <f>IF(K$2=1,Параметры!K$72,IF(J1150=Параметры!J$72,Параметры!J$72,J1150))</f>
        <v>0</v>
      </c>
      <c r="L1150" s="290">
        <f>IF(L$2=1,Параметры!L$72,IF(K1150=Параметры!K$72,Параметры!K$72,K1150))</f>
        <v>0</v>
      </c>
      <c r="M1150" s="290">
        <f>IF(M$2=1,Параметры!M$72,IF(L1150=Параметры!L$72,Параметры!L$72,L1150))</f>
        <v>0</v>
      </c>
      <c r="N1150" s="290">
        <f>IF(N$2=1,Параметры!N$72,IF(M1150=Параметры!M$72,Параметры!M$72,M1150))</f>
        <v>0</v>
      </c>
      <c r="O1150" s="290">
        <f>IF(O$2=1,Параметры!O$72,IF(N1150=Параметры!N$72,Параметры!N$72,N1150))</f>
        <v>0</v>
      </c>
      <c r="P1150" s="290">
        <f>IF(P$2=1,Параметры!P$72,IF(O1150=Параметры!O$72,Параметры!O$72,O1150))</f>
        <v>0</v>
      </c>
      <c r="Q1150" s="290">
        <f>IF(Q$2=1,Параметры!Q$72,IF(P1150=Параметры!P$72,Параметры!P$72,P1150))</f>
        <v>0</v>
      </c>
      <c r="R1150" s="290">
        <f>IF(R$2=1,Параметры!R$72,IF(Q1150=Параметры!Q$72,Параметры!Q$72,Q1150))</f>
        <v>0</v>
      </c>
      <c r="S1150" s="290">
        <f>IF(S$2=1,Параметры!S$72,IF(R1150=Параметры!R$72,Параметры!R$72,R1150))</f>
        <v>0</v>
      </c>
      <c r="T1150" s="290">
        <f>IF(T$2=1,Параметры!T$72,IF(S1150=Параметры!S$72,Параметры!S$72,S1150))</f>
        <v>0</v>
      </c>
      <c r="U1150" s="290">
        <f>IF(U$2=1,Параметры!U$72,IF(T1150=Параметры!T$72,Параметры!T$72,T1150))</f>
        <v>0</v>
      </c>
      <c r="V1150" s="290">
        <f>IF(V$2=1,Параметры!V$72,IF(U1150=Параметры!U$72,Параметры!U$72,U1150))</f>
        <v>0</v>
      </c>
      <c r="W1150" s="290">
        <f>IF(W$2=1,Параметры!W$72,IF(V1150=Параметры!V$72,Параметры!V$72,V1150))</f>
        <v>0</v>
      </c>
      <c r="X1150" s="290">
        <f>IF(X$2=1,Параметры!X$72,IF(W1150=Параметры!W$72,Параметры!W$72,W1150))</f>
        <v>0</v>
      </c>
      <c r="Y1150" s="290">
        <f>IF(Y$2=1,Параметры!Y$72,IF(X1150=Параметры!X$72,Параметры!X$72,X1150))</f>
        <v>0</v>
      </c>
      <c r="Z1150" s="290">
        <f>IF(Z$2=1,Параметры!Z$72,IF(Y1150=Параметры!Y$72,Параметры!Y$72,Y1150))</f>
        <v>0</v>
      </c>
      <c r="AA1150" s="290">
        <f>IF(AA$2=1,Параметры!AA$72,IF(Z1150=Параметры!Z$72,Параметры!Z$72,Z1150))</f>
        <v>0</v>
      </c>
      <c r="AB1150" s="290">
        <f>IF(AB$2=1,Параметры!AB$72,IF(AA1150=Параметры!AA$72,Параметры!AA$72,AA1150))</f>
        <v>0</v>
      </c>
      <c r="AC1150" s="290">
        <f>IF(AC$2=1,Параметры!AC$72,IF(AB1150=Параметры!AB$72,Параметры!AB$72,AB1150))</f>
        <v>0</v>
      </c>
      <c r="AD1150" s="290">
        <f>IF(AD$2=1,Параметры!AD$72,IF(AC1150=Параметры!AC$72,Параметры!AC$72,AC1150))</f>
        <v>0</v>
      </c>
      <c r="AE1150" s="290">
        <f>IF(AE$2=1,Параметры!AE$72,IF(AD1150=Параметры!AD$72,Параметры!AD$72,AD1150))</f>
        <v>0</v>
      </c>
      <c r="AF1150" s="290">
        <f>IF(AF$2=1,Параметры!AF$72,IF(AE1150=Параметры!AE$72,Параметры!AE$72,AE1150))</f>
        <v>0</v>
      </c>
      <c r="AG1150" s="290">
        <f>IF(AG$2=1,Параметры!AG$72,IF(AF1150=Параметры!AF$72,Параметры!AF$72,AF1150))</f>
        <v>0</v>
      </c>
      <c r="AH1150" s="290">
        <f>IF(AH$2=1,Параметры!AH$72,IF(AG1150=Параметры!AG$72,Параметры!AG$72,AG1150))</f>
        <v>0</v>
      </c>
      <c r="AI1150" s="290">
        <f>IF(AI$2=1,Параметры!AI$72,IF(AH1150=Параметры!AH$72,Параметры!AH$72,AH1150))</f>
        <v>0</v>
      </c>
      <c r="AJ1150" s="290">
        <f>IF(AJ$2=1,Параметры!AJ$72,IF(AI1150=Параметры!AI$72,Параметры!AI$72,AI1150))</f>
        <v>0</v>
      </c>
      <c r="AK1150" s="290">
        <f>IF(AK$2=1,Параметры!AK$72,IF(AJ1150=Параметры!AJ$72,Параметры!AJ$72,AJ1150))</f>
        <v>0</v>
      </c>
      <c r="AL1150" s="290">
        <f>IF(AL$2=1,Параметры!AL$72,IF(AK1150=Параметры!AK$72,Параметры!AK$72,AK1150))</f>
        <v>0</v>
      </c>
      <c r="AM1150" s="290">
        <f>IF(AM$2=1,Параметры!AM$72,IF(AL1150=Параметры!AL$72,Параметры!AL$72,AL1150))</f>
        <v>0</v>
      </c>
      <c r="AN1150" s="290">
        <f>IF(AN$2=1,Параметры!AN$72,IF(AM1150=Параметры!AM$72,Параметры!AM$72,AM1150))</f>
        <v>0</v>
      </c>
      <c r="AO1150" s="290">
        <f>IF(AO$2=1,Параметры!AO$72,IF(AN1150=Параметры!AN$72,Параметры!AN$72,AN1150))</f>
        <v>0</v>
      </c>
      <c r="AP1150" s="290">
        <f>IF(AP$2=1,Параметры!AP$72,IF(AO1150=Параметры!AO$72,Параметры!AO$72,AO1150))</f>
        <v>0</v>
      </c>
      <c r="AQ1150" s="290">
        <f>IF(AQ$2=1,Параметры!AQ$72,IF(AP1150=Параметры!AP$72,Параметры!AP$72,AP1150))</f>
        <v>0</v>
      </c>
      <c r="AR1150" s="290">
        <f>IF(AR$2=1,Параметры!AR$72,IF(AQ1150=Параметры!AQ$72,Параметры!AQ$72,AQ1150))</f>
        <v>0</v>
      </c>
      <c r="AS1150" s="290">
        <f>IF(AS$2=1,Параметры!AS$72,IF(AR1150=Параметры!AR$72,Параметры!AR$72,AR1150))</f>
        <v>0</v>
      </c>
      <c r="AT1150" s="290">
        <f>IF(AT$2=1,Параметры!AT$72,IF(AS1150=Параметры!AS$72,Параметры!AS$72,AS1150))</f>
        <v>0</v>
      </c>
      <c r="AU1150" s="290">
        <f>IF(AU$2=1,Параметры!AU$72,IF(AT1150=Параметры!AT$72,Параметры!AT$72,AT1150))</f>
        <v>0</v>
      </c>
      <c r="AV1150" s="290">
        <f>IF(AV$2=1,Параметры!AV$72,IF(AU1150=Параметры!AU$72,Параметры!AU$72,AU1150))</f>
        <v>0</v>
      </c>
      <c r="AW1150" s="290">
        <f>IF(AW$2=1,Параметры!AW$72,IF(AV1150=Параметры!AV$72,Параметры!AV$72,AV1150))</f>
        <v>0</v>
      </c>
      <c r="AX1150" s="290">
        <f>IF(AX$2=1,Параметры!AX$72,IF(AW1150=Параметры!AW$72,Параметры!AW$72,AW1150))</f>
        <v>0</v>
      </c>
      <c r="AY1150" s="290">
        <f>IF(AY$2=1,Параметры!AY$72,IF(AX1150=Параметры!AX$72,Параметры!AX$72,AX1150))</f>
        <v>0</v>
      </c>
      <c r="AZ1150" s="290">
        <f>IF(AZ$2=1,Параметры!AZ$72,IF(AY1150=Параметры!AY$72,Параметры!AY$72,AY1150))</f>
        <v>0</v>
      </c>
      <c r="BA1150" s="290">
        <f>IF(BA$2=1,Параметры!BA$72,IF(AZ1150=Параметры!AZ$72,Параметры!AZ$72,AZ1150))</f>
        <v>0</v>
      </c>
      <c r="BB1150" s="290">
        <f>IF(BB$2=1,Параметры!BB$72,IF(BA1150=Параметры!BA$72,Параметры!BA$72,BA1150))</f>
        <v>0</v>
      </c>
      <c r="BC1150" s="190"/>
      <c r="BD1150" s="186"/>
    </row>
    <row r="1151" spans="1:56" s="170" customFormat="1" hidden="1" x14ac:dyDescent="0.3">
      <c r="A1151" s="184" t="str">
        <f ca="1">Language!A$1089</f>
        <v>НДС</v>
      </c>
      <c r="B1151" s="203"/>
      <c r="C1151" s="163" t="str">
        <f ca="1">CHOOSE(D1151,CurName1,CurName2,CurName3)</f>
        <v>руб.</v>
      </c>
      <c r="D1151" s="174">
        <f>D1148</f>
        <v>1</v>
      </c>
      <c r="E1151" s="170" t="s">
        <v>785</v>
      </c>
      <c r="F1151" s="170" t="s">
        <v>743</v>
      </c>
      <c r="G1151" s="185">
        <f>G1149*G1150</f>
        <v>0</v>
      </c>
      <c r="H1151" s="185">
        <f t="shared" ref="H1151" si="4307">H1149*H1150</f>
        <v>0</v>
      </c>
      <c r="I1151" s="185">
        <f t="shared" ref="I1151" si="4308">I1149*I1150</f>
        <v>0</v>
      </c>
      <c r="J1151" s="185">
        <f t="shared" ref="J1151" si="4309">J1149*J1150</f>
        <v>0</v>
      </c>
      <c r="K1151" s="185">
        <f t="shared" ref="K1151:L1151" si="4310">K1149*K1150</f>
        <v>0</v>
      </c>
      <c r="L1151" s="185">
        <f t="shared" si="4310"/>
        <v>0</v>
      </c>
      <c r="M1151" s="185">
        <f t="shared" ref="M1151:N1151" si="4311">M1149*M1150</f>
        <v>0</v>
      </c>
      <c r="N1151" s="185">
        <f t="shared" si="4311"/>
        <v>0</v>
      </c>
      <c r="O1151" s="185">
        <f t="shared" ref="O1151:P1151" si="4312">O1149*O1150</f>
        <v>0</v>
      </c>
      <c r="P1151" s="185">
        <f t="shared" si="4312"/>
        <v>0</v>
      </c>
      <c r="Q1151" s="185">
        <f t="shared" ref="Q1151:R1151" si="4313">Q1149*Q1150</f>
        <v>0</v>
      </c>
      <c r="R1151" s="185">
        <f t="shared" si="4313"/>
        <v>0</v>
      </c>
      <c r="S1151" s="185">
        <f t="shared" ref="S1151:T1151" si="4314">S1149*S1150</f>
        <v>0</v>
      </c>
      <c r="T1151" s="185">
        <f t="shared" si="4314"/>
        <v>0</v>
      </c>
      <c r="U1151" s="185">
        <f t="shared" ref="U1151:V1151" si="4315">U1149*U1150</f>
        <v>0</v>
      </c>
      <c r="V1151" s="185">
        <f t="shared" si="4315"/>
        <v>0</v>
      </c>
      <c r="W1151" s="185">
        <f t="shared" ref="W1151:X1151" si="4316">W1149*W1150</f>
        <v>0</v>
      </c>
      <c r="X1151" s="185">
        <f t="shared" si="4316"/>
        <v>0</v>
      </c>
      <c r="Y1151" s="185">
        <f t="shared" ref="Y1151:Z1151" si="4317">Y1149*Y1150</f>
        <v>0</v>
      </c>
      <c r="Z1151" s="185">
        <f t="shared" si="4317"/>
        <v>0</v>
      </c>
      <c r="AA1151" s="185">
        <f t="shared" ref="AA1151:AB1151" si="4318">AA1149*AA1150</f>
        <v>0</v>
      </c>
      <c r="AB1151" s="185">
        <f t="shared" si="4318"/>
        <v>0</v>
      </c>
      <c r="AC1151" s="185">
        <f t="shared" ref="AC1151:AD1151" si="4319">AC1149*AC1150</f>
        <v>0</v>
      </c>
      <c r="AD1151" s="185">
        <f t="shared" si="4319"/>
        <v>0</v>
      </c>
      <c r="AE1151" s="185">
        <f t="shared" ref="AE1151:AF1151" si="4320">AE1149*AE1150</f>
        <v>0</v>
      </c>
      <c r="AF1151" s="185">
        <f t="shared" si="4320"/>
        <v>0</v>
      </c>
      <c r="AG1151" s="185">
        <f t="shared" ref="AG1151:AH1151" si="4321">AG1149*AG1150</f>
        <v>0</v>
      </c>
      <c r="AH1151" s="185">
        <f t="shared" si="4321"/>
        <v>0</v>
      </c>
      <c r="AI1151" s="185">
        <f t="shared" ref="AI1151:AJ1151" si="4322">AI1149*AI1150</f>
        <v>0</v>
      </c>
      <c r="AJ1151" s="185">
        <f t="shared" si="4322"/>
        <v>0</v>
      </c>
      <c r="AK1151" s="185">
        <f t="shared" ref="AK1151:AL1151" si="4323">AK1149*AK1150</f>
        <v>0</v>
      </c>
      <c r="AL1151" s="185">
        <f t="shared" si="4323"/>
        <v>0</v>
      </c>
      <c r="AM1151" s="185">
        <f t="shared" ref="AM1151:AN1151" si="4324">AM1149*AM1150</f>
        <v>0</v>
      </c>
      <c r="AN1151" s="185">
        <f t="shared" si="4324"/>
        <v>0</v>
      </c>
      <c r="AO1151" s="185">
        <f t="shared" ref="AO1151:AP1151" si="4325">AO1149*AO1150</f>
        <v>0</v>
      </c>
      <c r="AP1151" s="185">
        <f t="shared" si="4325"/>
        <v>0</v>
      </c>
      <c r="AQ1151" s="185">
        <f t="shared" ref="AQ1151:AR1151" si="4326">AQ1149*AQ1150</f>
        <v>0</v>
      </c>
      <c r="AR1151" s="185">
        <f t="shared" si="4326"/>
        <v>0</v>
      </c>
      <c r="AS1151" s="185">
        <f t="shared" ref="AS1151:AT1151" si="4327">AS1149*AS1150</f>
        <v>0</v>
      </c>
      <c r="AT1151" s="185">
        <f t="shared" si="4327"/>
        <v>0</v>
      </c>
      <c r="AU1151" s="185">
        <f t="shared" ref="AU1151:AV1151" si="4328">AU1149*AU1150</f>
        <v>0</v>
      </c>
      <c r="AV1151" s="185">
        <f t="shared" si="4328"/>
        <v>0</v>
      </c>
      <c r="AW1151" s="185">
        <f t="shared" ref="AW1151:AX1151" si="4329">AW1149*AW1150</f>
        <v>0</v>
      </c>
      <c r="AX1151" s="185">
        <f t="shared" si="4329"/>
        <v>0</v>
      </c>
      <c r="AY1151" s="185">
        <f t="shared" ref="AY1151:AZ1151" si="4330">AY1149*AY1150</f>
        <v>0</v>
      </c>
      <c r="AZ1151" s="185">
        <f t="shared" si="4330"/>
        <v>0</v>
      </c>
      <c r="BA1151" s="185">
        <f t="shared" ref="BA1151:BB1151" si="4331">BA1149*BA1150</f>
        <v>0</v>
      </c>
      <c r="BB1151" s="185">
        <f t="shared" si="4331"/>
        <v>0</v>
      </c>
      <c r="BC1151" s="185"/>
      <c r="BD1151" s="193">
        <f>SUM(G1151:BC1151)</f>
        <v>0</v>
      </c>
    </row>
    <row r="1152" spans="1:56" hidden="1" x14ac:dyDescent="0.3"/>
    <row r="1153" spans="1:56" hidden="1" x14ac:dyDescent="0.3">
      <c r="A1153" s="207" t="str">
        <f ca="1">Language!A$1090</f>
        <v>Прочие доходы</v>
      </c>
      <c r="B1153" s="196"/>
      <c r="C1153" s="196"/>
      <c r="D1153" s="197"/>
      <c r="E1153" s="197" t="s">
        <v>715</v>
      </c>
      <c r="F1153" s="197" t="s">
        <v>2217</v>
      </c>
      <c r="G1153" s="196"/>
      <c r="H1153" s="196"/>
      <c r="I1153" s="196"/>
      <c r="J1153" s="196"/>
      <c r="K1153" s="196"/>
      <c r="L1153" s="196"/>
      <c r="M1153" s="196"/>
      <c r="N1153" s="196"/>
      <c r="O1153" s="196"/>
      <c r="P1153" s="196"/>
      <c r="Q1153" s="196"/>
      <c r="R1153" s="196"/>
      <c r="S1153" s="196"/>
      <c r="T1153" s="196"/>
      <c r="U1153" s="196"/>
      <c r="V1153" s="196"/>
      <c r="W1153" s="196"/>
      <c r="X1153" s="196"/>
      <c r="Y1153" s="196"/>
      <c r="Z1153" s="196"/>
      <c r="AA1153" s="196"/>
      <c r="AB1153" s="196"/>
      <c r="AC1153" s="196"/>
      <c r="AD1153" s="196"/>
      <c r="AE1153" s="196"/>
      <c r="AF1153" s="196"/>
      <c r="AG1153" s="196"/>
      <c r="AH1153" s="196"/>
      <c r="AI1153" s="196"/>
      <c r="AJ1153" s="196"/>
      <c r="AK1153" s="196"/>
      <c r="AL1153" s="196"/>
      <c r="AM1153" s="196"/>
      <c r="AN1153" s="196"/>
      <c r="AO1153" s="196"/>
      <c r="AP1153" s="196"/>
      <c r="AQ1153" s="196"/>
      <c r="AR1153" s="196"/>
      <c r="AS1153" s="196"/>
      <c r="AT1153" s="196"/>
      <c r="AU1153" s="196"/>
      <c r="AV1153" s="196"/>
      <c r="AW1153" s="196"/>
      <c r="AX1153" s="196"/>
      <c r="AY1153" s="196"/>
      <c r="AZ1153" s="196"/>
      <c r="BA1153" s="196"/>
      <c r="BB1153" s="196"/>
      <c r="BC1153" s="196"/>
      <c r="BD1153" s="204"/>
    </row>
    <row r="1154" spans="1:56" hidden="1" x14ac:dyDescent="0.3"/>
    <row r="1155" spans="1:56" hidden="1" x14ac:dyDescent="0.3"/>
    <row r="1156" spans="1:56" hidden="1" x14ac:dyDescent="0.3">
      <c r="A1156" s="207" t="str">
        <f ca="1">Language!A$1091</f>
        <v>Прочие расходы</v>
      </c>
      <c r="B1156" s="196"/>
      <c r="C1156" s="196"/>
      <c r="D1156" s="197"/>
      <c r="E1156" s="197" t="s">
        <v>716</v>
      </c>
      <c r="F1156" s="197" t="s">
        <v>2218</v>
      </c>
      <c r="G1156" s="196"/>
      <c r="H1156" s="196"/>
      <c r="I1156" s="196"/>
      <c r="J1156" s="196"/>
      <c r="K1156" s="196"/>
      <c r="L1156" s="196"/>
      <c r="M1156" s="196"/>
      <c r="N1156" s="196"/>
      <c r="O1156" s="196"/>
      <c r="P1156" s="196"/>
      <c r="Q1156" s="196"/>
      <c r="R1156" s="196"/>
      <c r="S1156" s="196"/>
      <c r="T1156" s="196"/>
      <c r="U1156" s="196"/>
      <c r="V1156" s="196"/>
      <c r="W1156" s="196"/>
      <c r="X1156" s="196"/>
      <c r="Y1156" s="196"/>
      <c r="Z1156" s="196"/>
      <c r="AA1156" s="196"/>
      <c r="AB1156" s="196"/>
      <c r="AC1156" s="196"/>
      <c r="AD1156" s="196"/>
      <c r="AE1156" s="196"/>
      <c r="AF1156" s="196"/>
      <c r="AG1156" s="196"/>
      <c r="AH1156" s="196"/>
      <c r="AI1156" s="196"/>
      <c r="AJ1156" s="196"/>
      <c r="AK1156" s="196"/>
      <c r="AL1156" s="196"/>
      <c r="AM1156" s="196"/>
      <c r="AN1156" s="196"/>
      <c r="AO1156" s="196"/>
      <c r="AP1156" s="196"/>
      <c r="AQ1156" s="196"/>
      <c r="AR1156" s="196"/>
      <c r="AS1156" s="196"/>
      <c r="AT1156" s="196"/>
      <c r="AU1156" s="196"/>
      <c r="AV1156" s="196"/>
      <c r="AW1156" s="196"/>
      <c r="AX1156" s="196"/>
      <c r="AY1156" s="196"/>
      <c r="AZ1156" s="196"/>
      <c r="BA1156" s="196"/>
      <c r="BB1156" s="196"/>
      <c r="BC1156" s="196"/>
      <c r="BD1156" s="204"/>
    </row>
    <row r="1157" spans="1:56" hidden="1" x14ac:dyDescent="0.3"/>
    <row r="1158" spans="1:56" hidden="1" x14ac:dyDescent="0.3">
      <c r="E1158" s="170" t="s">
        <v>712</v>
      </c>
    </row>
    <row r="1159" spans="1:56" s="195" customFormat="1" hidden="1" collapsed="1" x14ac:dyDescent="0.3">
      <c r="A1159" s="169" t="str">
        <f ca="1">Language!A$1092</f>
        <v>Итого: прочие доходы (с НДС)</v>
      </c>
      <c r="B1159" s="169"/>
      <c r="C1159" s="194" t="str">
        <f t="shared" ref="C1159:C1164" ca="1" si="4332">CurName1</f>
        <v>руб.</v>
      </c>
      <c r="D1159" s="174">
        <v>1</v>
      </c>
      <c r="E1159" s="170"/>
      <c r="F1159" s="170" t="s">
        <v>740</v>
      </c>
      <c r="G1159" s="177">
        <f>G1160+G1161</f>
        <v>0</v>
      </c>
      <c r="H1159" s="177">
        <f t="shared" ref="H1159:K1159" si="4333">H1160+H1161</f>
        <v>0</v>
      </c>
      <c r="I1159" s="177">
        <f t="shared" si="4333"/>
        <v>0</v>
      </c>
      <c r="J1159" s="177">
        <f t="shared" si="4333"/>
        <v>0</v>
      </c>
      <c r="K1159" s="177">
        <f t="shared" si="4333"/>
        <v>0</v>
      </c>
      <c r="L1159" s="177">
        <f t="shared" ref="L1159:M1159" si="4334">L1160+L1161</f>
        <v>0</v>
      </c>
      <c r="M1159" s="177">
        <f t="shared" si="4334"/>
        <v>0</v>
      </c>
      <c r="N1159" s="177">
        <f t="shared" ref="N1159:O1159" si="4335">N1160+N1161</f>
        <v>0</v>
      </c>
      <c r="O1159" s="177">
        <f t="shared" si="4335"/>
        <v>0</v>
      </c>
      <c r="P1159" s="177">
        <f t="shared" ref="P1159:Q1159" si="4336">P1160+P1161</f>
        <v>0</v>
      </c>
      <c r="Q1159" s="177">
        <f t="shared" si="4336"/>
        <v>0</v>
      </c>
      <c r="R1159" s="177">
        <f t="shared" ref="R1159:S1159" si="4337">R1160+R1161</f>
        <v>0</v>
      </c>
      <c r="S1159" s="177">
        <f t="shared" si="4337"/>
        <v>0</v>
      </c>
      <c r="T1159" s="177">
        <f t="shared" ref="T1159:U1159" si="4338">T1160+T1161</f>
        <v>0</v>
      </c>
      <c r="U1159" s="177">
        <f t="shared" si="4338"/>
        <v>0</v>
      </c>
      <c r="V1159" s="177">
        <f t="shared" ref="V1159:W1159" si="4339">V1160+V1161</f>
        <v>0</v>
      </c>
      <c r="W1159" s="177">
        <f t="shared" si="4339"/>
        <v>0</v>
      </c>
      <c r="X1159" s="177">
        <f t="shared" ref="X1159:Y1159" si="4340">X1160+X1161</f>
        <v>0</v>
      </c>
      <c r="Y1159" s="177">
        <f t="shared" si="4340"/>
        <v>0</v>
      </c>
      <c r="Z1159" s="177">
        <f t="shared" ref="Z1159:AA1159" si="4341">Z1160+Z1161</f>
        <v>0</v>
      </c>
      <c r="AA1159" s="177">
        <f t="shared" si="4341"/>
        <v>0</v>
      </c>
      <c r="AB1159" s="177">
        <f t="shared" ref="AB1159:AC1159" si="4342">AB1160+AB1161</f>
        <v>0</v>
      </c>
      <c r="AC1159" s="177">
        <f t="shared" si="4342"/>
        <v>0</v>
      </c>
      <c r="AD1159" s="177">
        <f t="shared" ref="AD1159:AE1159" si="4343">AD1160+AD1161</f>
        <v>0</v>
      </c>
      <c r="AE1159" s="177">
        <f t="shared" si="4343"/>
        <v>0</v>
      </c>
      <c r="AF1159" s="177">
        <f t="shared" ref="AF1159:AG1159" si="4344">AF1160+AF1161</f>
        <v>0</v>
      </c>
      <c r="AG1159" s="177">
        <f t="shared" si="4344"/>
        <v>0</v>
      </c>
      <c r="AH1159" s="177">
        <f t="shared" ref="AH1159:AI1159" si="4345">AH1160+AH1161</f>
        <v>0</v>
      </c>
      <c r="AI1159" s="177">
        <f t="shared" si="4345"/>
        <v>0</v>
      </c>
      <c r="AJ1159" s="177">
        <f t="shared" ref="AJ1159:AK1159" si="4346">AJ1160+AJ1161</f>
        <v>0</v>
      </c>
      <c r="AK1159" s="177">
        <f t="shared" si="4346"/>
        <v>0</v>
      </c>
      <c r="AL1159" s="177">
        <f t="shared" ref="AL1159:AM1159" si="4347">AL1160+AL1161</f>
        <v>0</v>
      </c>
      <c r="AM1159" s="177">
        <f t="shared" si="4347"/>
        <v>0</v>
      </c>
      <c r="AN1159" s="177">
        <f t="shared" ref="AN1159:AO1159" si="4348">AN1160+AN1161</f>
        <v>0</v>
      </c>
      <c r="AO1159" s="177">
        <f t="shared" si="4348"/>
        <v>0</v>
      </c>
      <c r="AP1159" s="177">
        <f t="shared" ref="AP1159:AQ1159" si="4349">AP1160+AP1161</f>
        <v>0</v>
      </c>
      <c r="AQ1159" s="177">
        <f t="shared" si="4349"/>
        <v>0</v>
      </c>
      <c r="AR1159" s="177">
        <f t="shared" ref="AR1159:AS1159" si="4350">AR1160+AR1161</f>
        <v>0</v>
      </c>
      <c r="AS1159" s="177">
        <f t="shared" si="4350"/>
        <v>0</v>
      </c>
      <c r="AT1159" s="177">
        <f t="shared" ref="AT1159:AU1159" si="4351">AT1160+AT1161</f>
        <v>0</v>
      </c>
      <c r="AU1159" s="177">
        <f t="shared" si="4351"/>
        <v>0</v>
      </c>
      <c r="AV1159" s="177">
        <f t="shared" ref="AV1159:AW1159" si="4352">AV1160+AV1161</f>
        <v>0</v>
      </c>
      <c r="AW1159" s="177">
        <f t="shared" si="4352"/>
        <v>0</v>
      </c>
      <c r="AX1159" s="177">
        <f t="shared" ref="AX1159:AY1159" si="4353">AX1160+AX1161</f>
        <v>0</v>
      </c>
      <c r="AY1159" s="177">
        <f t="shared" si="4353"/>
        <v>0</v>
      </c>
      <c r="AZ1159" s="177">
        <f t="shared" ref="AZ1159:BA1159" si="4354">AZ1160+AZ1161</f>
        <v>0</v>
      </c>
      <c r="BA1159" s="177">
        <f t="shared" si="4354"/>
        <v>0</v>
      </c>
      <c r="BB1159" s="177">
        <f t="shared" ref="BB1159" si="4355">BB1160+BB1161</f>
        <v>0</v>
      </c>
      <c r="BC1159" s="169"/>
      <c r="BD1159" s="178"/>
    </row>
    <row r="1160" spans="1:56" hidden="1" outlineLevel="1" x14ac:dyDescent="0.3">
      <c r="A1160" s="175" t="str">
        <f ca="1">Language!A$1093</f>
        <v>прочие доходы (без НДС)</v>
      </c>
      <c r="C1160" s="194" t="str">
        <f t="shared" ca="1" si="4332"/>
        <v>руб.</v>
      </c>
      <c r="D1160" s="174">
        <v>1</v>
      </c>
      <c r="F1160" s="170" t="s">
        <v>1448</v>
      </c>
      <c r="G1160" s="177">
        <v>0</v>
      </c>
      <c r="H1160" s="177">
        <v>0</v>
      </c>
      <c r="I1160" s="177">
        <v>0</v>
      </c>
      <c r="J1160" s="177">
        <v>0</v>
      </c>
      <c r="K1160" s="177">
        <v>0</v>
      </c>
      <c r="L1160" s="177">
        <v>0</v>
      </c>
      <c r="M1160" s="177">
        <v>0</v>
      </c>
      <c r="N1160" s="177">
        <v>0</v>
      </c>
      <c r="O1160" s="177">
        <v>0</v>
      </c>
      <c r="P1160" s="177">
        <v>0</v>
      </c>
      <c r="Q1160" s="177">
        <v>0</v>
      </c>
      <c r="R1160" s="177">
        <v>0</v>
      </c>
      <c r="S1160" s="177">
        <v>0</v>
      </c>
      <c r="T1160" s="177">
        <v>0</v>
      </c>
      <c r="U1160" s="177">
        <v>0</v>
      </c>
      <c r="V1160" s="177">
        <v>0</v>
      </c>
      <c r="W1160" s="177">
        <v>0</v>
      </c>
      <c r="X1160" s="177">
        <v>0</v>
      </c>
      <c r="Y1160" s="177">
        <v>0</v>
      </c>
      <c r="Z1160" s="177">
        <v>0</v>
      </c>
      <c r="AA1160" s="177">
        <v>0</v>
      </c>
      <c r="AB1160" s="177">
        <v>0</v>
      </c>
      <c r="AC1160" s="177">
        <v>0</v>
      </c>
      <c r="AD1160" s="177">
        <v>0</v>
      </c>
      <c r="AE1160" s="177">
        <v>0</v>
      </c>
      <c r="AF1160" s="177">
        <v>0</v>
      </c>
      <c r="AG1160" s="177">
        <v>0</v>
      </c>
      <c r="AH1160" s="177">
        <v>0</v>
      </c>
      <c r="AI1160" s="177">
        <v>0</v>
      </c>
      <c r="AJ1160" s="177">
        <v>0</v>
      </c>
      <c r="AK1160" s="177">
        <v>0</v>
      </c>
      <c r="AL1160" s="177">
        <v>0</v>
      </c>
      <c r="AM1160" s="177">
        <v>0</v>
      </c>
      <c r="AN1160" s="177">
        <v>0</v>
      </c>
      <c r="AO1160" s="177">
        <v>0</v>
      </c>
      <c r="AP1160" s="177">
        <v>0</v>
      </c>
      <c r="AQ1160" s="177">
        <v>0</v>
      </c>
      <c r="AR1160" s="177">
        <v>0</v>
      </c>
      <c r="AS1160" s="177">
        <v>0</v>
      </c>
      <c r="AT1160" s="177">
        <v>0</v>
      </c>
      <c r="AU1160" s="177">
        <v>0</v>
      </c>
      <c r="AV1160" s="177">
        <v>0</v>
      </c>
      <c r="AW1160" s="177">
        <v>0</v>
      </c>
      <c r="AX1160" s="177">
        <v>0</v>
      </c>
      <c r="AY1160" s="177">
        <v>0</v>
      </c>
      <c r="AZ1160" s="177">
        <v>0</v>
      </c>
      <c r="BA1160" s="177">
        <v>0</v>
      </c>
      <c r="BB1160" s="177">
        <v>0</v>
      </c>
      <c r="BD1160" s="178">
        <f>SUM(G1160:BC1160)</f>
        <v>0</v>
      </c>
    </row>
    <row r="1161" spans="1:56" hidden="1" outlineLevel="1" x14ac:dyDescent="0.3">
      <c r="A1161" s="175" t="str">
        <f ca="1">Language!A$1094</f>
        <v>НДС</v>
      </c>
      <c r="C1161" s="194" t="str">
        <f t="shared" ca="1" si="4332"/>
        <v>руб.</v>
      </c>
      <c r="D1161" s="174">
        <v>1</v>
      </c>
      <c r="F1161" s="170" t="s">
        <v>1111</v>
      </c>
      <c r="G1161" s="177">
        <v>0</v>
      </c>
      <c r="H1161" s="177">
        <v>0</v>
      </c>
      <c r="I1161" s="177">
        <v>0</v>
      </c>
      <c r="J1161" s="177">
        <v>0</v>
      </c>
      <c r="K1161" s="177">
        <v>0</v>
      </c>
      <c r="L1161" s="177">
        <v>0</v>
      </c>
      <c r="M1161" s="177">
        <v>0</v>
      </c>
      <c r="N1161" s="177">
        <v>0</v>
      </c>
      <c r="O1161" s="177">
        <v>0</v>
      </c>
      <c r="P1161" s="177">
        <v>0</v>
      </c>
      <c r="Q1161" s="177">
        <v>0</v>
      </c>
      <c r="R1161" s="177">
        <v>0</v>
      </c>
      <c r="S1161" s="177">
        <v>0</v>
      </c>
      <c r="T1161" s="177">
        <v>0</v>
      </c>
      <c r="U1161" s="177">
        <v>0</v>
      </c>
      <c r="V1161" s="177">
        <v>0</v>
      </c>
      <c r="W1161" s="177">
        <v>0</v>
      </c>
      <c r="X1161" s="177">
        <v>0</v>
      </c>
      <c r="Y1161" s="177">
        <v>0</v>
      </c>
      <c r="Z1161" s="177">
        <v>0</v>
      </c>
      <c r="AA1161" s="177">
        <v>0</v>
      </c>
      <c r="AB1161" s="177">
        <v>0</v>
      </c>
      <c r="AC1161" s="177">
        <v>0</v>
      </c>
      <c r="AD1161" s="177">
        <v>0</v>
      </c>
      <c r="AE1161" s="177">
        <v>0</v>
      </c>
      <c r="AF1161" s="177">
        <v>0</v>
      </c>
      <c r="AG1161" s="177">
        <v>0</v>
      </c>
      <c r="AH1161" s="177">
        <v>0</v>
      </c>
      <c r="AI1161" s="177">
        <v>0</v>
      </c>
      <c r="AJ1161" s="177">
        <v>0</v>
      </c>
      <c r="AK1161" s="177">
        <v>0</v>
      </c>
      <c r="AL1161" s="177">
        <v>0</v>
      </c>
      <c r="AM1161" s="177">
        <v>0</v>
      </c>
      <c r="AN1161" s="177">
        <v>0</v>
      </c>
      <c r="AO1161" s="177">
        <v>0</v>
      </c>
      <c r="AP1161" s="177">
        <v>0</v>
      </c>
      <c r="AQ1161" s="177">
        <v>0</v>
      </c>
      <c r="AR1161" s="177">
        <v>0</v>
      </c>
      <c r="AS1161" s="177">
        <v>0</v>
      </c>
      <c r="AT1161" s="177">
        <v>0</v>
      </c>
      <c r="AU1161" s="177">
        <v>0</v>
      </c>
      <c r="AV1161" s="177">
        <v>0</v>
      </c>
      <c r="AW1161" s="177">
        <v>0</v>
      </c>
      <c r="AX1161" s="177">
        <v>0</v>
      </c>
      <c r="AY1161" s="177">
        <v>0</v>
      </c>
      <c r="AZ1161" s="177">
        <v>0</v>
      </c>
      <c r="BA1161" s="177">
        <v>0</v>
      </c>
      <c r="BB1161" s="177">
        <v>0</v>
      </c>
      <c r="BD1161" s="178">
        <f>SUM(G1161:BC1161)</f>
        <v>0</v>
      </c>
    </row>
    <row r="1162" spans="1:56" hidden="1" collapsed="1" x14ac:dyDescent="0.3">
      <c r="A1162" s="169" t="str">
        <f ca="1">Language!A$1095</f>
        <v>Итого: прочие расходы (с НДС)</v>
      </c>
      <c r="C1162" s="194" t="str">
        <f t="shared" ca="1" si="4332"/>
        <v>руб.</v>
      </c>
      <c r="D1162" s="174">
        <v>1</v>
      </c>
      <c r="F1162" s="170" t="s">
        <v>740</v>
      </c>
      <c r="G1162" s="177">
        <f>G1163+G1164</f>
        <v>0</v>
      </c>
      <c r="H1162" s="177">
        <f t="shared" ref="H1162:K1162" si="4356">H1163+H1164</f>
        <v>0</v>
      </c>
      <c r="I1162" s="177">
        <f t="shared" si="4356"/>
        <v>0</v>
      </c>
      <c r="J1162" s="177">
        <f t="shared" si="4356"/>
        <v>0</v>
      </c>
      <c r="K1162" s="177">
        <f t="shared" si="4356"/>
        <v>0</v>
      </c>
      <c r="L1162" s="177">
        <f t="shared" ref="L1162:M1162" si="4357">L1163+L1164</f>
        <v>0</v>
      </c>
      <c r="M1162" s="177">
        <f t="shared" si="4357"/>
        <v>0</v>
      </c>
      <c r="N1162" s="177">
        <f t="shared" ref="N1162:O1162" si="4358">N1163+N1164</f>
        <v>0</v>
      </c>
      <c r="O1162" s="177">
        <f t="shared" si="4358"/>
        <v>0</v>
      </c>
      <c r="P1162" s="177">
        <f t="shared" ref="P1162:Q1162" si="4359">P1163+P1164</f>
        <v>0</v>
      </c>
      <c r="Q1162" s="177">
        <f t="shared" si="4359"/>
        <v>0</v>
      </c>
      <c r="R1162" s="177">
        <f t="shared" ref="R1162:S1162" si="4360">R1163+R1164</f>
        <v>0</v>
      </c>
      <c r="S1162" s="177">
        <f t="shared" si="4360"/>
        <v>0</v>
      </c>
      <c r="T1162" s="177">
        <f t="shared" ref="T1162:U1162" si="4361">T1163+T1164</f>
        <v>0</v>
      </c>
      <c r="U1162" s="177">
        <f t="shared" si="4361"/>
        <v>0</v>
      </c>
      <c r="V1162" s="177">
        <f t="shared" ref="V1162:W1162" si="4362">V1163+V1164</f>
        <v>0</v>
      </c>
      <c r="W1162" s="177">
        <f t="shared" si="4362"/>
        <v>0</v>
      </c>
      <c r="X1162" s="177">
        <f t="shared" ref="X1162:Y1162" si="4363">X1163+X1164</f>
        <v>0</v>
      </c>
      <c r="Y1162" s="177">
        <f t="shared" si="4363"/>
        <v>0</v>
      </c>
      <c r="Z1162" s="177">
        <f t="shared" ref="Z1162:AA1162" si="4364">Z1163+Z1164</f>
        <v>0</v>
      </c>
      <c r="AA1162" s="177">
        <f t="shared" si="4364"/>
        <v>0</v>
      </c>
      <c r="AB1162" s="177">
        <f t="shared" ref="AB1162:AC1162" si="4365">AB1163+AB1164</f>
        <v>0</v>
      </c>
      <c r="AC1162" s="177">
        <f t="shared" si="4365"/>
        <v>0</v>
      </c>
      <c r="AD1162" s="177">
        <f t="shared" ref="AD1162:AE1162" si="4366">AD1163+AD1164</f>
        <v>0</v>
      </c>
      <c r="AE1162" s="177">
        <f t="shared" si="4366"/>
        <v>0</v>
      </c>
      <c r="AF1162" s="177">
        <f t="shared" ref="AF1162:AG1162" si="4367">AF1163+AF1164</f>
        <v>0</v>
      </c>
      <c r="AG1162" s="177">
        <f t="shared" si="4367"/>
        <v>0</v>
      </c>
      <c r="AH1162" s="177">
        <f t="shared" ref="AH1162:AI1162" si="4368">AH1163+AH1164</f>
        <v>0</v>
      </c>
      <c r="AI1162" s="177">
        <f t="shared" si="4368"/>
        <v>0</v>
      </c>
      <c r="AJ1162" s="177">
        <f t="shared" ref="AJ1162:AK1162" si="4369">AJ1163+AJ1164</f>
        <v>0</v>
      </c>
      <c r="AK1162" s="177">
        <f t="shared" si="4369"/>
        <v>0</v>
      </c>
      <c r="AL1162" s="177">
        <f t="shared" ref="AL1162:AM1162" si="4370">AL1163+AL1164</f>
        <v>0</v>
      </c>
      <c r="AM1162" s="177">
        <f t="shared" si="4370"/>
        <v>0</v>
      </c>
      <c r="AN1162" s="177">
        <f t="shared" ref="AN1162:AO1162" si="4371">AN1163+AN1164</f>
        <v>0</v>
      </c>
      <c r="AO1162" s="177">
        <f t="shared" si="4371"/>
        <v>0</v>
      </c>
      <c r="AP1162" s="177">
        <f t="shared" ref="AP1162:AQ1162" si="4372">AP1163+AP1164</f>
        <v>0</v>
      </c>
      <c r="AQ1162" s="177">
        <f t="shared" si="4372"/>
        <v>0</v>
      </c>
      <c r="AR1162" s="177">
        <f t="shared" ref="AR1162:AS1162" si="4373">AR1163+AR1164</f>
        <v>0</v>
      </c>
      <c r="AS1162" s="177">
        <f t="shared" si="4373"/>
        <v>0</v>
      </c>
      <c r="AT1162" s="177">
        <f t="shared" ref="AT1162:AU1162" si="4374">AT1163+AT1164</f>
        <v>0</v>
      </c>
      <c r="AU1162" s="177">
        <f t="shared" si="4374"/>
        <v>0</v>
      </c>
      <c r="AV1162" s="177">
        <f t="shared" ref="AV1162:AW1162" si="4375">AV1163+AV1164</f>
        <v>0</v>
      </c>
      <c r="AW1162" s="177">
        <f t="shared" si="4375"/>
        <v>0</v>
      </c>
      <c r="AX1162" s="177">
        <f t="shared" ref="AX1162:AY1162" si="4376">AX1163+AX1164</f>
        <v>0</v>
      </c>
      <c r="AY1162" s="177">
        <f t="shared" si="4376"/>
        <v>0</v>
      </c>
      <c r="AZ1162" s="177">
        <f t="shared" ref="AZ1162:BA1162" si="4377">AZ1163+AZ1164</f>
        <v>0</v>
      </c>
      <c r="BA1162" s="177">
        <f t="shared" si="4377"/>
        <v>0</v>
      </c>
      <c r="BB1162" s="177">
        <f t="shared" ref="BB1162" si="4378">BB1163+BB1164</f>
        <v>0</v>
      </c>
      <c r="BD1162" s="178"/>
    </row>
    <row r="1163" spans="1:56" hidden="1" outlineLevel="1" x14ac:dyDescent="0.3">
      <c r="A1163" s="175" t="str">
        <f ca="1">Language!A$1096</f>
        <v>прочие расходы (без НДС)</v>
      </c>
      <c r="C1163" s="194" t="str">
        <f t="shared" ca="1" si="4332"/>
        <v>руб.</v>
      </c>
      <c r="D1163" s="174">
        <v>1</v>
      </c>
      <c r="F1163" s="170" t="s">
        <v>1449</v>
      </c>
      <c r="G1163" s="177">
        <v>0</v>
      </c>
      <c r="H1163" s="177">
        <v>0</v>
      </c>
      <c r="I1163" s="177">
        <v>0</v>
      </c>
      <c r="J1163" s="177">
        <v>0</v>
      </c>
      <c r="K1163" s="177">
        <v>0</v>
      </c>
      <c r="L1163" s="177">
        <v>0</v>
      </c>
      <c r="M1163" s="177">
        <v>0</v>
      </c>
      <c r="N1163" s="177">
        <v>0</v>
      </c>
      <c r="O1163" s="177">
        <v>0</v>
      </c>
      <c r="P1163" s="177">
        <v>0</v>
      </c>
      <c r="Q1163" s="177">
        <v>0</v>
      </c>
      <c r="R1163" s="177">
        <v>0</v>
      </c>
      <c r="S1163" s="177">
        <v>0</v>
      </c>
      <c r="T1163" s="177">
        <v>0</v>
      </c>
      <c r="U1163" s="177">
        <v>0</v>
      </c>
      <c r="V1163" s="177">
        <v>0</v>
      </c>
      <c r="W1163" s="177">
        <v>0</v>
      </c>
      <c r="X1163" s="177">
        <v>0</v>
      </c>
      <c r="Y1163" s="177">
        <v>0</v>
      </c>
      <c r="Z1163" s="177">
        <v>0</v>
      </c>
      <c r="AA1163" s="177">
        <v>0</v>
      </c>
      <c r="AB1163" s="177">
        <v>0</v>
      </c>
      <c r="AC1163" s="177">
        <v>0</v>
      </c>
      <c r="AD1163" s="177">
        <v>0</v>
      </c>
      <c r="AE1163" s="177">
        <v>0</v>
      </c>
      <c r="AF1163" s="177">
        <v>0</v>
      </c>
      <c r="AG1163" s="177">
        <v>0</v>
      </c>
      <c r="AH1163" s="177">
        <v>0</v>
      </c>
      <c r="AI1163" s="177">
        <v>0</v>
      </c>
      <c r="AJ1163" s="177">
        <v>0</v>
      </c>
      <c r="AK1163" s="177">
        <v>0</v>
      </c>
      <c r="AL1163" s="177">
        <v>0</v>
      </c>
      <c r="AM1163" s="177">
        <v>0</v>
      </c>
      <c r="AN1163" s="177">
        <v>0</v>
      </c>
      <c r="AO1163" s="177">
        <v>0</v>
      </c>
      <c r="AP1163" s="177">
        <v>0</v>
      </c>
      <c r="AQ1163" s="177">
        <v>0</v>
      </c>
      <c r="AR1163" s="177">
        <v>0</v>
      </c>
      <c r="AS1163" s="177">
        <v>0</v>
      </c>
      <c r="AT1163" s="177">
        <v>0</v>
      </c>
      <c r="AU1163" s="177">
        <v>0</v>
      </c>
      <c r="AV1163" s="177">
        <v>0</v>
      </c>
      <c r="AW1163" s="177">
        <v>0</v>
      </c>
      <c r="AX1163" s="177">
        <v>0</v>
      </c>
      <c r="AY1163" s="177">
        <v>0</v>
      </c>
      <c r="AZ1163" s="177">
        <v>0</v>
      </c>
      <c r="BA1163" s="177">
        <v>0</v>
      </c>
      <c r="BB1163" s="177">
        <v>0</v>
      </c>
      <c r="BD1163" s="178">
        <f>SUM(G1163:BC1163)</f>
        <v>0</v>
      </c>
    </row>
    <row r="1164" spans="1:56" hidden="1" outlineLevel="1" x14ac:dyDescent="0.3">
      <c r="A1164" s="175" t="str">
        <f ca="1">Language!A$1097</f>
        <v>НДС</v>
      </c>
      <c r="C1164" s="194" t="str">
        <f t="shared" ca="1" si="4332"/>
        <v>руб.</v>
      </c>
      <c r="D1164" s="174">
        <v>1</v>
      </c>
      <c r="F1164" s="170" t="s">
        <v>1112</v>
      </c>
      <c r="G1164" s="177">
        <v>0</v>
      </c>
      <c r="H1164" s="177">
        <v>0</v>
      </c>
      <c r="I1164" s="177">
        <v>0</v>
      </c>
      <c r="J1164" s="177">
        <v>0</v>
      </c>
      <c r="K1164" s="177">
        <v>0</v>
      </c>
      <c r="L1164" s="177">
        <v>0</v>
      </c>
      <c r="M1164" s="177">
        <v>0</v>
      </c>
      <c r="N1164" s="177">
        <v>0</v>
      </c>
      <c r="O1164" s="177">
        <v>0</v>
      </c>
      <c r="P1164" s="177">
        <v>0</v>
      </c>
      <c r="Q1164" s="177">
        <v>0</v>
      </c>
      <c r="R1164" s="177">
        <v>0</v>
      </c>
      <c r="S1164" s="177">
        <v>0</v>
      </c>
      <c r="T1164" s="177">
        <v>0</v>
      </c>
      <c r="U1164" s="177">
        <v>0</v>
      </c>
      <c r="V1164" s="177">
        <v>0</v>
      </c>
      <c r="W1164" s="177">
        <v>0</v>
      </c>
      <c r="X1164" s="177">
        <v>0</v>
      </c>
      <c r="Y1164" s="177">
        <v>0</v>
      </c>
      <c r="Z1164" s="177">
        <v>0</v>
      </c>
      <c r="AA1164" s="177">
        <v>0</v>
      </c>
      <c r="AB1164" s="177">
        <v>0</v>
      </c>
      <c r="AC1164" s="177">
        <v>0</v>
      </c>
      <c r="AD1164" s="177">
        <v>0</v>
      </c>
      <c r="AE1164" s="177">
        <v>0</v>
      </c>
      <c r="AF1164" s="177">
        <v>0</v>
      </c>
      <c r="AG1164" s="177">
        <v>0</v>
      </c>
      <c r="AH1164" s="177">
        <v>0</v>
      </c>
      <c r="AI1164" s="177">
        <v>0</v>
      </c>
      <c r="AJ1164" s="177">
        <v>0</v>
      </c>
      <c r="AK1164" s="177">
        <v>0</v>
      </c>
      <c r="AL1164" s="177">
        <v>0</v>
      </c>
      <c r="AM1164" s="177">
        <v>0</v>
      </c>
      <c r="AN1164" s="177">
        <v>0</v>
      </c>
      <c r="AO1164" s="177">
        <v>0</v>
      </c>
      <c r="AP1164" s="177">
        <v>0</v>
      </c>
      <c r="AQ1164" s="177">
        <v>0</v>
      </c>
      <c r="AR1164" s="177">
        <v>0</v>
      </c>
      <c r="AS1164" s="177">
        <v>0</v>
      </c>
      <c r="AT1164" s="177">
        <v>0</v>
      </c>
      <c r="AU1164" s="177">
        <v>0</v>
      </c>
      <c r="AV1164" s="177">
        <v>0</v>
      </c>
      <c r="AW1164" s="177">
        <v>0</v>
      </c>
      <c r="AX1164" s="177">
        <v>0</v>
      </c>
      <c r="AY1164" s="177">
        <v>0</v>
      </c>
      <c r="AZ1164" s="177">
        <v>0</v>
      </c>
      <c r="BA1164" s="177">
        <v>0</v>
      </c>
      <c r="BB1164" s="177">
        <v>0</v>
      </c>
      <c r="BD1164" s="178">
        <f>SUM(G1164:BC1164)</f>
        <v>0</v>
      </c>
    </row>
    <row r="1165" spans="1:56" hidden="1" x14ac:dyDescent="0.3">
      <c r="A1165" s="196"/>
      <c r="B1165" s="196"/>
      <c r="C1165" s="196"/>
      <c r="D1165" s="197"/>
      <c r="E1165" s="197" t="s">
        <v>1436</v>
      </c>
      <c r="F1165" s="197"/>
      <c r="G1165" s="196"/>
      <c r="H1165" s="196"/>
      <c r="I1165" s="196"/>
      <c r="J1165" s="196"/>
      <c r="K1165" s="196"/>
      <c r="L1165" s="196"/>
      <c r="M1165" s="196"/>
      <c r="N1165" s="196"/>
      <c r="O1165" s="196"/>
      <c r="P1165" s="196"/>
      <c r="Q1165" s="196"/>
      <c r="R1165" s="196"/>
      <c r="S1165" s="196"/>
      <c r="T1165" s="196"/>
      <c r="U1165" s="196"/>
      <c r="V1165" s="196"/>
      <c r="W1165" s="196"/>
      <c r="X1165" s="196"/>
      <c r="Y1165" s="196"/>
      <c r="Z1165" s="196"/>
      <c r="AA1165" s="196"/>
      <c r="AB1165" s="196"/>
      <c r="AC1165" s="196"/>
      <c r="AD1165" s="196"/>
      <c r="AE1165" s="196"/>
      <c r="AF1165" s="196"/>
      <c r="AG1165" s="196"/>
      <c r="AH1165" s="196"/>
      <c r="AI1165" s="196"/>
      <c r="AJ1165" s="196"/>
      <c r="AK1165" s="196"/>
      <c r="AL1165" s="196"/>
      <c r="AM1165" s="196"/>
      <c r="AN1165" s="196"/>
      <c r="AO1165" s="196"/>
      <c r="AP1165" s="196"/>
      <c r="AQ1165" s="196"/>
      <c r="AR1165" s="196"/>
      <c r="AS1165" s="196"/>
      <c r="AT1165" s="196"/>
      <c r="AU1165" s="196"/>
      <c r="AV1165" s="196"/>
      <c r="AW1165" s="196"/>
      <c r="AX1165" s="196"/>
      <c r="AY1165" s="196"/>
      <c r="AZ1165" s="196"/>
      <c r="BA1165" s="196"/>
      <c r="BB1165" s="196"/>
      <c r="BC1165" s="196"/>
      <c r="BD1165" s="204"/>
    </row>
    <row r="1166" spans="1:56" hidden="1" x14ac:dyDescent="0.3"/>
    <row r="1168" spans="1:56" s="168" customFormat="1" ht="25.5" customHeight="1" thickBot="1" x14ac:dyDescent="0.35">
      <c r="A1168" s="330" t="str">
        <f ca="1">Language!A$1098</f>
        <v>СОБСТВЕННЫЙ КАПИТАЛ</v>
      </c>
      <c r="B1168" s="331"/>
      <c r="C1168" s="332"/>
      <c r="D1168" s="333"/>
      <c r="E1168" s="333" t="s">
        <v>892</v>
      </c>
      <c r="F1168" s="333"/>
      <c r="G1168" s="334" t="str">
        <f ca="1">Параметры!G$34</f>
        <v>янв.25</v>
      </c>
      <c r="H1168" s="334" t="str">
        <f ca="1">Параметры!H$34</f>
        <v>фев.25</v>
      </c>
      <c r="I1168" s="334" t="str">
        <f ca="1">Параметры!I$34</f>
        <v>мар.25</v>
      </c>
      <c r="J1168" s="334" t="str">
        <f ca="1">Параметры!J$34</f>
        <v>апр.25</v>
      </c>
      <c r="K1168" s="334" t="str">
        <f ca="1">Параметры!K$34</f>
        <v>май.25</v>
      </c>
      <c r="L1168" s="334" t="str">
        <f ca="1">Параметры!L$34</f>
        <v>июн.25</v>
      </c>
      <c r="M1168" s="335" t="str">
        <f ca="1">Параметры!M$34</f>
        <v>июл.25</v>
      </c>
      <c r="N1168" s="335" t="str">
        <f ca="1">Параметры!N$34</f>
        <v>авг.25</v>
      </c>
      <c r="O1168" s="335" t="str">
        <f ca="1">Параметры!O$34</f>
        <v>сен.25</v>
      </c>
      <c r="P1168" s="335" t="str">
        <f ca="1">Параметры!P$34</f>
        <v>окт.25</v>
      </c>
      <c r="Q1168" s="335" t="str">
        <f ca="1">Параметры!Q$34</f>
        <v>ноя.25</v>
      </c>
      <c r="R1168" s="335" t="str">
        <f ca="1">Параметры!R$34</f>
        <v>дек.25</v>
      </c>
      <c r="S1168" s="335" t="str">
        <f ca="1">Параметры!S$34</f>
        <v>янв.26</v>
      </c>
      <c r="T1168" s="335" t="str">
        <f ca="1">Параметры!T$34</f>
        <v>фев.26</v>
      </c>
      <c r="U1168" s="335" t="str">
        <f ca="1">Параметры!U$34</f>
        <v>мар.26</v>
      </c>
      <c r="V1168" s="335" t="str">
        <f ca="1">Параметры!V$34</f>
        <v>апр.26</v>
      </c>
      <c r="W1168" s="335" t="str">
        <f ca="1">Параметры!W$34</f>
        <v>май.26</v>
      </c>
      <c r="X1168" s="335" t="str">
        <f ca="1">Параметры!X$34</f>
        <v>июн.26</v>
      </c>
      <c r="Y1168" s="335" t="str">
        <f ca="1">Параметры!Y$34</f>
        <v>июл.26</v>
      </c>
      <c r="Z1168" s="335" t="str">
        <f ca="1">Параметры!Z$34</f>
        <v>авг.26</v>
      </c>
      <c r="AA1168" s="335" t="str">
        <f ca="1">Параметры!AA$34</f>
        <v>сен.26</v>
      </c>
      <c r="AB1168" s="335" t="str">
        <f ca="1">Параметры!AB$34</f>
        <v>окт.26</v>
      </c>
      <c r="AC1168" s="335" t="str">
        <f ca="1">Параметры!AC$34</f>
        <v>ноя.26</v>
      </c>
      <c r="AD1168" s="335" t="str">
        <f ca="1">Параметры!AD$34</f>
        <v>дек.26</v>
      </c>
      <c r="AE1168" s="335" t="str">
        <f ca="1">Параметры!AE$34</f>
        <v>янв.27</v>
      </c>
      <c r="AF1168" s="335" t="str">
        <f ca="1">Параметры!AF$34</f>
        <v>фев.27</v>
      </c>
      <c r="AG1168" s="335" t="str">
        <f ca="1">Параметры!AG$34</f>
        <v>мар.27</v>
      </c>
      <c r="AH1168" s="335" t="str">
        <f ca="1">Параметры!AH$34</f>
        <v>апр.27</v>
      </c>
      <c r="AI1168" s="335" t="str">
        <f ca="1">Параметры!AI$34</f>
        <v>май.27</v>
      </c>
      <c r="AJ1168" s="335" t="str">
        <f ca="1">Параметры!AJ$34</f>
        <v>июн.27</v>
      </c>
      <c r="AK1168" s="335" t="str">
        <f ca="1">Параметры!AK$34</f>
        <v>июл.27</v>
      </c>
      <c r="AL1168" s="335" t="str">
        <f ca="1">Параметры!AL$34</f>
        <v>авг.27</v>
      </c>
      <c r="AM1168" s="335" t="str">
        <f ca="1">Параметры!AM$34</f>
        <v>сен.27</v>
      </c>
      <c r="AN1168" s="335" t="str">
        <f ca="1">Параметры!AN$34</f>
        <v>окт.27</v>
      </c>
      <c r="AO1168" s="335" t="str">
        <f ca="1">Параметры!AO$34</f>
        <v>ноя.27</v>
      </c>
      <c r="AP1168" s="335" t="str">
        <f ca="1">Параметры!AP$34</f>
        <v>дек.27</v>
      </c>
      <c r="AQ1168" s="335" t="str">
        <f ca="1">Параметры!AQ$34</f>
        <v>янв.28</v>
      </c>
      <c r="AR1168" s="335" t="str">
        <f ca="1">Параметры!AR$34</f>
        <v>фев.28</v>
      </c>
      <c r="AS1168" s="335" t="str">
        <f ca="1">Параметры!AS$34</f>
        <v>мар.28</v>
      </c>
      <c r="AT1168" s="335" t="str">
        <f ca="1">Параметры!AT$34</f>
        <v>апр.28</v>
      </c>
      <c r="AU1168" s="335" t="str">
        <f ca="1">Параметры!AU$34</f>
        <v>май.28</v>
      </c>
      <c r="AV1168" s="335" t="str">
        <f ca="1">Параметры!AV$34</f>
        <v>июн.28</v>
      </c>
      <c r="AW1168" s="335" t="str">
        <f ca="1">Параметры!AW$34</f>
        <v>июл.28</v>
      </c>
      <c r="AX1168" s="335" t="str">
        <f ca="1">Параметры!AX$34</f>
        <v>авг.28</v>
      </c>
      <c r="AY1168" s="335" t="str">
        <f ca="1">Параметры!AY$34</f>
        <v>сен.28</v>
      </c>
      <c r="AZ1168" s="335" t="str">
        <f ca="1">Параметры!AZ$34</f>
        <v>окт.28</v>
      </c>
      <c r="BA1168" s="335" t="str">
        <f ca="1">Параметры!BA$34</f>
        <v>ноя.28</v>
      </c>
      <c r="BB1168" s="335" t="str">
        <f ca="1">Параметры!BB$34</f>
        <v>дек.28</v>
      </c>
      <c r="BC1168" s="335"/>
      <c r="BD1168" s="336" t="str">
        <f ca="1">Language!$A$1473</f>
        <v>ИТОГО</v>
      </c>
    </row>
    <row r="1169" spans="1:56" ht="14.4" hidden="1" thickTop="1" x14ac:dyDescent="0.3">
      <c r="A1169" s="195"/>
      <c r="E1169" s="170" t="s">
        <v>642</v>
      </c>
      <c r="F1169" s="170" t="s">
        <v>714</v>
      </c>
    </row>
    <row r="1170" spans="1:56" ht="14.4" hidden="1" thickTop="1" x14ac:dyDescent="0.3">
      <c r="A1170" s="283" t="str">
        <f ca="1">Language!A$1099</f>
        <v>Шаблон</v>
      </c>
      <c r="B1170" s="172"/>
      <c r="C1170" s="173"/>
      <c r="D1170" s="174">
        <v>1</v>
      </c>
      <c r="F1170" s="170" t="s">
        <v>849</v>
      </c>
    </row>
    <row r="1171" spans="1:56" ht="14.4" hidden="1" thickTop="1" x14ac:dyDescent="0.3">
      <c r="A1171" s="175" t="str">
        <f ca="1">Language!A$1100</f>
        <v>вложение собственных средств</v>
      </c>
      <c r="C1171" s="176" t="str">
        <f t="shared" ref="C1171" ca="1" si="4379">CHOOSE(D1171,CurName1,CurName2,CurName3)</f>
        <v>руб.</v>
      </c>
      <c r="D1171" s="174">
        <f>D1170</f>
        <v>1</v>
      </c>
      <c r="E1171" s="170" t="s">
        <v>772</v>
      </c>
      <c r="F1171" s="170" t="s">
        <v>742</v>
      </c>
      <c r="G1171" s="296">
        <v>0</v>
      </c>
      <c r="H1171" s="296">
        <v>0</v>
      </c>
      <c r="I1171" s="296">
        <v>0</v>
      </c>
      <c r="J1171" s="296">
        <v>0</v>
      </c>
      <c r="K1171" s="296">
        <v>0</v>
      </c>
      <c r="L1171" s="296">
        <v>0</v>
      </c>
      <c r="M1171" s="296">
        <v>0</v>
      </c>
      <c r="N1171" s="296">
        <v>0</v>
      </c>
      <c r="O1171" s="296">
        <v>0</v>
      </c>
      <c r="P1171" s="296">
        <v>0</v>
      </c>
      <c r="Q1171" s="296">
        <v>0</v>
      </c>
      <c r="R1171" s="296">
        <v>0</v>
      </c>
      <c r="S1171" s="296">
        <v>0</v>
      </c>
      <c r="T1171" s="296">
        <v>0</v>
      </c>
      <c r="U1171" s="296">
        <v>0</v>
      </c>
      <c r="V1171" s="296">
        <v>0</v>
      </c>
      <c r="W1171" s="296">
        <v>0</v>
      </c>
      <c r="X1171" s="296">
        <v>0</v>
      </c>
      <c r="Y1171" s="296">
        <v>0</v>
      </c>
      <c r="Z1171" s="296">
        <v>0</v>
      </c>
      <c r="AA1171" s="296">
        <v>0</v>
      </c>
      <c r="AB1171" s="296">
        <v>0</v>
      </c>
      <c r="AC1171" s="296">
        <v>0</v>
      </c>
      <c r="AD1171" s="296">
        <v>0</v>
      </c>
      <c r="AE1171" s="296">
        <v>0</v>
      </c>
      <c r="AF1171" s="296">
        <v>0</v>
      </c>
      <c r="AG1171" s="296">
        <v>0</v>
      </c>
      <c r="AH1171" s="296">
        <v>0</v>
      </c>
      <c r="AI1171" s="296">
        <v>0</v>
      </c>
      <c r="AJ1171" s="296">
        <v>0</v>
      </c>
      <c r="AK1171" s="296">
        <v>0</v>
      </c>
      <c r="AL1171" s="296">
        <v>0</v>
      </c>
      <c r="AM1171" s="296">
        <v>0</v>
      </c>
      <c r="AN1171" s="296">
        <v>0</v>
      </c>
      <c r="AO1171" s="296">
        <v>0</v>
      </c>
      <c r="AP1171" s="296">
        <v>0</v>
      </c>
      <c r="AQ1171" s="296">
        <v>0</v>
      </c>
      <c r="AR1171" s="296">
        <v>0</v>
      </c>
      <c r="AS1171" s="296">
        <v>0</v>
      </c>
      <c r="AT1171" s="296">
        <v>0</v>
      </c>
      <c r="AU1171" s="296">
        <v>0</v>
      </c>
      <c r="AV1171" s="296">
        <v>0</v>
      </c>
      <c r="AW1171" s="296">
        <v>0</v>
      </c>
      <c r="AX1171" s="296">
        <v>0</v>
      </c>
      <c r="AY1171" s="296">
        <v>0</v>
      </c>
      <c r="AZ1171" s="296">
        <v>0</v>
      </c>
      <c r="BA1171" s="296">
        <v>0</v>
      </c>
      <c r="BB1171" s="296">
        <v>0</v>
      </c>
      <c r="BC1171" s="202"/>
      <c r="BD1171" s="178">
        <f>SUM(G1171:BC1171)</f>
        <v>0</v>
      </c>
    </row>
    <row r="1172" spans="1:56" ht="14.4" thickTop="1" x14ac:dyDescent="0.3">
      <c r="B1172" s="230"/>
      <c r="C1172" s="223"/>
      <c r="D1172" s="174"/>
      <c r="G1172" s="224"/>
      <c r="H1172" s="224"/>
      <c r="I1172" s="224"/>
      <c r="J1172" s="224"/>
      <c r="K1172" s="224"/>
      <c r="L1172" s="224"/>
      <c r="M1172" s="224"/>
      <c r="N1172" s="224"/>
      <c r="O1172" s="224"/>
      <c r="P1172" s="224"/>
      <c r="Q1172" s="224"/>
      <c r="R1172" s="224"/>
      <c r="S1172" s="224"/>
      <c r="T1172" s="224"/>
      <c r="U1172" s="224"/>
      <c r="V1172" s="224"/>
      <c r="W1172" s="224"/>
      <c r="X1172" s="224"/>
      <c r="Y1172" s="224"/>
      <c r="Z1172" s="224"/>
      <c r="AA1172" s="224"/>
      <c r="AB1172" s="224"/>
      <c r="AC1172" s="224"/>
      <c r="AD1172" s="224"/>
      <c r="AE1172" s="224"/>
      <c r="AF1172" s="224"/>
      <c r="AG1172" s="224"/>
      <c r="AH1172" s="224"/>
      <c r="AI1172" s="224"/>
      <c r="AJ1172" s="224"/>
      <c r="AK1172" s="224"/>
      <c r="AL1172" s="224"/>
      <c r="AM1172" s="224"/>
      <c r="AN1172" s="224"/>
      <c r="AO1172" s="224"/>
      <c r="AP1172" s="224"/>
      <c r="AQ1172" s="224"/>
      <c r="AR1172" s="224"/>
      <c r="AS1172" s="224"/>
      <c r="AT1172" s="224"/>
      <c r="AU1172" s="224"/>
      <c r="AV1172" s="224"/>
      <c r="AW1172" s="224"/>
      <c r="AX1172" s="224"/>
      <c r="AY1172" s="224"/>
      <c r="AZ1172" s="224"/>
      <c r="BA1172" s="224"/>
      <c r="BB1172" s="224"/>
      <c r="BC1172" s="224"/>
      <c r="BD1172" s="225"/>
    </row>
    <row r="1173" spans="1:56" hidden="1" x14ac:dyDescent="0.3">
      <c r="E1173" s="170" t="s">
        <v>717</v>
      </c>
      <c r="F1173" s="170" t="s">
        <v>3410</v>
      </c>
    </row>
    <row r="1174" spans="1:56" x14ac:dyDescent="0.3">
      <c r="A1174" s="283" t="s">
        <v>801</v>
      </c>
      <c r="B1174" s="172"/>
      <c r="C1174" s="173"/>
      <c r="D1174" s="174">
        <v>1</v>
      </c>
      <c r="F1174" s="170" t="s">
        <v>3416</v>
      </c>
    </row>
    <row r="1175" spans="1:56" x14ac:dyDescent="0.3">
      <c r="A1175" s="175" t="str">
        <f ca="1">Language!A$1100</f>
        <v>вложение собственных средств</v>
      </c>
      <c r="C1175" s="176" t="str">
        <f t="shared" ref="C1175" ca="1" si="4380">CHOOSE(D1175,CurName1,CurName2,CurName3)</f>
        <v>руб.</v>
      </c>
      <c r="D1175" s="174">
        <f>D1174</f>
        <v>1</v>
      </c>
      <c r="E1175" s="170" t="s">
        <v>772</v>
      </c>
      <c r="F1175" s="170" t="s">
        <v>740</v>
      </c>
      <c r="G1175" s="296">
        <v>0</v>
      </c>
      <c r="H1175" s="296">
        <v>0</v>
      </c>
      <c r="I1175" s="296">
        <v>0</v>
      </c>
      <c r="J1175" s="296">
        <v>0</v>
      </c>
      <c r="K1175" s="296">
        <v>0</v>
      </c>
      <c r="L1175" s="296">
        <v>0</v>
      </c>
      <c r="M1175" s="296">
        <v>0</v>
      </c>
      <c r="N1175" s="296">
        <v>0</v>
      </c>
      <c r="O1175" s="296">
        <v>0</v>
      </c>
      <c r="P1175" s="296">
        <v>0</v>
      </c>
      <c r="Q1175" s="296">
        <v>0</v>
      </c>
      <c r="R1175" s="296">
        <v>0</v>
      </c>
      <c r="S1175" s="296">
        <v>0</v>
      </c>
      <c r="T1175" s="296">
        <v>0</v>
      </c>
      <c r="U1175" s="296">
        <v>0</v>
      </c>
      <c r="V1175" s="296">
        <v>0</v>
      </c>
      <c r="W1175" s="296">
        <v>0</v>
      </c>
      <c r="X1175" s="296">
        <v>0</v>
      </c>
      <c r="Y1175" s="296">
        <v>0</v>
      </c>
      <c r="Z1175" s="296">
        <v>0</v>
      </c>
      <c r="AA1175" s="296">
        <v>0</v>
      </c>
      <c r="AB1175" s="296">
        <v>0</v>
      </c>
      <c r="AC1175" s="296">
        <v>0</v>
      </c>
      <c r="AD1175" s="296">
        <v>0</v>
      </c>
      <c r="AE1175" s="296">
        <v>0</v>
      </c>
      <c r="AF1175" s="296">
        <v>0</v>
      </c>
      <c r="AG1175" s="296">
        <v>0</v>
      </c>
      <c r="AH1175" s="296">
        <v>0</v>
      </c>
      <c r="AI1175" s="296">
        <v>0</v>
      </c>
      <c r="AJ1175" s="296">
        <v>0</v>
      </c>
      <c r="AK1175" s="296">
        <v>0</v>
      </c>
      <c r="AL1175" s="296">
        <v>0</v>
      </c>
      <c r="AM1175" s="296">
        <v>0</v>
      </c>
      <c r="AN1175" s="296">
        <v>0</v>
      </c>
      <c r="AO1175" s="296">
        <v>0</v>
      </c>
      <c r="AP1175" s="296">
        <v>0</v>
      </c>
      <c r="AQ1175" s="296">
        <v>0</v>
      </c>
      <c r="AR1175" s="296">
        <v>0</v>
      </c>
      <c r="AS1175" s="296">
        <v>0</v>
      </c>
      <c r="AT1175" s="296">
        <v>0</v>
      </c>
      <c r="AU1175" s="296">
        <v>0</v>
      </c>
      <c r="AV1175" s="296">
        <v>0</v>
      </c>
      <c r="AW1175" s="296">
        <v>0</v>
      </c>
      <c r="AX1175" s="296">
        <v>0</v>
      </c>
      <c r="AY1175" s="296">
        <v>0</v>
      </c>
      <c r="AZ1175" s="296">
        <v>0</v>
      </c>
      <c r="BA1175" s="296">
        <v>0</v>
      </c>
      <c r="BB1175" s="296">
        <v>0</v>
      </c>
      <c r="BC1175" s="202"/>
      <c r="BD1175" s="178">
        <f>SUM(G1175:BC1175)</f>
        <v>0</v>
      </c>
    </row>
    <row r="1176" spans="1:56" x14ac:dyDescent="0.3">
      <c r="E1176" s="170" t="s">
        <v>712</v>
      </c>
    </row>
    <row r="1177" spans="1:56" x14ac:dyDescent="0.3">
      <c r="A1177" s="195" t="str">
        <f ca="1">Language!A$1101</f>
        <v>Итого: Вложение собственных средств</v>
      </c>
      <c r="C1177" s="194" t="str">
        <f ca="1">CurName1</f>
        <v>руб.</v>
      </c>
      <c r="F1177" s="170" t="s">
        <v>1114</v>
      </c>
      <c r="G1177" s="210">
        <f t="shared" ref="G1177:BB1177" si="4381">SUM(G$1175)</f>
        <v>0</v>
      </c>
      <c r="H1177" s="210">
        <f t="shared" si="4381"/>
        <v>0</v>
      </c>
      <c r="I1177" s="210">
        <f t="shared" si="4381"/>
        <v>0</v>
      </c>
      <c r="J1177" s="210">
        <f t="shared" si="4381"/>
        <v>0</v>
      </c>
      <c r="K1177" s="210">
        <f t="shared" si="4381"/>
        <v>0</v>
      </c>
      <c r="L1177" s="210">
        <f t="shared" si="4381"/>
        <v>0</v>
      </c>
      <c r="M1177" s="210">
        <f t="shared" si="4381"/>
        <v>0</v>
      </c>
      <c r="N1177" s="210">
        <f t="shared" si="4381"/>
        <v>0</v>
      </c>
      <c r="O1177" s="210">
        <f t="shared" si="4381"/>
        <v>0</v>
      </c>
      <c r="P1177" s="210">
        <f t="shared" si="4381"/>
        <v>0</v>
      </c>
      <c r="Q1177" s="210">
        <f t="shared" si="4381"/>
        <v>0</v>
      </c>
      <c r="R1177" s="210">
        <f t="shared" si="4381"/>
        <v>0</v>
      </c>
      <c r="S1177" s="210">
        <f t="shared" si="4381"/>
        <v>0</v>
      </c>
      <c r="T1177" s="210">
        <f t="shared" si="4381"/>
        <v>0</v>
      </c>
      <c r="U1177" s="210">
        <f t="shared" si="4381"/>
        <v>0</v>
      </c>
      <c r="V1177" s="210">
        <f t="shared" si="4381"/>
        <v>0</v>
      </c>
      <c r="W1177" s="210">
        <f t="shared" si="4381"/>
        <v>0</v>
      </c>
      <c r="X1177" s="210">
        <f t="shared" si="4381"/>
        <v>0</v>
      </c>
      <c r="Y1177" s="210">
        <f t="shared" si="4381"/>
        <v>0</v>
      </c>
      <c r="Z1177" s="210">
        <f t="shared" si="4381"/>
        <v>0</v>
      </c>
      <c r="AA1177" s="210">
        <f t="shared" si="4381"/>
        <v>0</v>
      </c>
      <c r="AB1177" s="210">
        <f t="shared" si="4381"/>
        <v>0</v>
      </c>
      <c r="AC1177" s="210">
        <f t="shared" si="4381"/>
        <v>0</v>
      </c>
      <c r="AD1177" s="210">
        <f t="shared" si="4381"/>
        <v>0</v>
      </c>
      <c r="AE1177" s="210">
        <f t="shared" si="4381"/>
        <v>0</v>
      </c>
      <c r="AF1177" s="210">
        <f t="shared" si="4381"/>
        <v>0</v>
      </c>
      <c r="AG1177" s="210">
        <f t="shared" si="4381"/>
        <v>0</v>
      </c>
      <c r="AH1177" s="210">
        <f t="shared" si="4381"/>
        <v>0</v>
      </c>
      <c r="AI1177" s="210">
        <f t="shared" si="4381"/>
        <v>0</v>
      </c>
      <c r="AJ1177" s="210">
        <f t="shared" si="4381"/>
        <v>0</v>
      </c>
      <c r="AK1177" s="210">
        <f t="shared" si="4381"/>
        <v>0</v>
      </c>
      <c r="AL1177" s="210">
        <f t="shared" si="4381"/>
        <v>0</v>
      </c>
      <c r="AM1177" s="210">
        <f t="shared" si="4381"/>
        <v>0</v>
      </c>
      <c r="AN1177" s="210">
        <f t="shared" si="4381"/>
        <v>0</v>
      </c>
      <c r="AO1177" s="210">
        <f t="shared" si="4381"/>
        <v>0</v>
      </c>
      <c r="AP1177" s="210">
        <f t="shared" si="4381"/>
        <v>0</v>
      </c>
      <c r="AQ1177" s="210">
        <f t="shared" si="4381"/>
        <v>0</v>
      </c>
      <c r="AR1177" s="210">
        <f t="shared" si="4381"/>
        <v>0</v>
      </c>
      <c r="AS1177" s="210">
        <f t="shared" si="4381"/>
        <v>0</v>
      </c>
      <c r="AT1177" s="210">
        <f t="shared" si="4381"/>
        <v>0</v>
      </c>
      <c r="AU1177" s="210">
        <f t="shared" si="4381"/>
        <v>0</v>
      </c>
      <c r="AV1177" s="210">
        <f t="shared" si="4381"/>
        <v>0</v>
      </c>
      <c r="AW1177" s="210">
        <f t="shared" si="4381"/>
        <v>0</v>
      </c>
      <c r="AX1177" s="210">
        <f t="shared" si="4381"/>
        <v>0</v>
      </c>
      <c r="AY1177" s="210">
        <f t="shared" si="4381"/>
        <v>0</v>
      </c>
      <c r="AZ1177" s="210">
        <f t="shared" si="4381"/>
        <v>0</v>
      </c>
      <c r="BA1177" s="210">
        <f t="shared" si="4381"/>
        <v>0</v>
      </c>
      <c r="BB1177" s="210">
        <f t="shared" si="4381"/>
        <v>0</v>
      </c>
      <c r="BC1177" s="195"/>
      <c r="BD1177" s="211">
        <f>SUM(G1177:BC1177)</f>
        <v>0</v>
      </c>
    </row>
    <row r="1178" spans="1:56" x14ac:dyDescent="0.3">
      <c r="A1178" s="169" t="str">
        <f ca="1">Language!A$1102</f>
        <v>Акционерный капитал (с учетом начального баланса)</v>
      </c>
      <c r="C1178" s="194" t="str">
        <f ca="1">CurName1</f>
        <v>руб.</v>
      </c>
      <c r="F1178" s="170" t="s">
        <v>741</v>
      </c>
      <c r="G1178" s="177">
        <f>G1177 + IF(G$2&gt;1, F1178,Старт!$B41)</f>
        <v>0</v>
      </c>
      <c r="H1178" s="177">
        <f>H1177 + IF(H$2&gt;1, G1178,Старт!$B41)</f>
        <v>0</v>
      </c>
      <c r="I1178" s="177">
        <f>I1177 + IF(I$2&gt;1, H1178,Старт!$B41)</f>
        <v>0</v>
      </c>
      <c r="J1178" s="177">
        <f>J1177 + IF(J$2&gt;1, I1178,Старт!$B41)</f>
        <v>0</v>
      </c>
      <c r="K1178" s="177">
        <f>K1177 + IF(K$2&gt;1, J1178,Старт!$B41)</f>
        <v>0</v>
      </c>
      <c r="L1178" s="177">
        <f>L1177 + IF(L$2&gt;1, K1178,Старт!$B41)</f>
        <v>0</v>
      </c>
      <c r="M1178" s="177">
        <f>M1177 + IF(M$2&gt;1, L1178,Старт!$B41)</f>
        <v>0</v>
      </c>
      <c r="N1178" s="177">
        <f>N1177 + IF(N$2&gt;1, M1178,Старт!$B41)</f>
        <v>0</v>
      </c>
      <c r="O1178" s="177">
        <f>O1177 + IF(O$2&gt;1, N1178,Старт!$B41)</f>
        <v>0</v>
      </c>
      <c r="P1178" s="177">
        <f>P1177 + IF(P$2&gt;1, O1178,Старт!$B41)</f>
        <v>0</v>
      </c>
      <c r="Q1178" s="177">
        <f>Q1177 + IF(Q$2&gt;1, P1178,Старт!$B41)</f>
        <v>0</v>
      </c>
      <c r="R1178" s="177">
        <f>R1177 + IF(R$2&gt;1, Q1178,Старт!$B41)</f>
        <v>0</v>
      </c>
      <c r="S1178" s="177">
        <f>S1177 + IF(S$2&gt;1, R1178,Старт!$B41)</f>
        <v>0</v>
      </c>
      <c r="T1178" s="177">
        <f>T1177 + IF(T$2&gt;1, S1178,Старт!$B41)</f>
        <v>0</v>
      </c>
      <c r="U1178" s="177">
        <f>U1177 + IF(U$2&gt;1, T1178,Старт!$B41)</f>
        <v>0</v>
      </c>
      <c r="V1178" s="177">
        <f>V1177 + IF(V$2&gt;1, U1178,Старт!$B41)</f>
        <v>0</v>
      </c>
      <c r="W1178" s="177">
        <f>W1177 + IF(W$2&gt;1, V1178,Старт!$B41)</f>
        <v>0</v>
      </c>
      <c r="X1178" s="177">
        <f>X1177 + IF(X$2&gt;1, W1178,Старт!$B41)</f>
        <v>0</v>
      </c>
      <c r="Y1178" s="177">
        <f>Y1177 + IF(Y$2&gt;1, X1178,Старт!$B41)</f>
        <v>0</v>
      </c>
      <c r="Z1178" s="177">
        <f>Z1177 + IF(Z$2&gt;1, Y1178,Старт!$B41)</f>
        <v>0</v>
      </c>
      <c r="AA1178" s="177">
        <f>AA1177 + IF(AA$2&gt;1, Z1178,Старт!$B41)</f>
        <v>0</v>
      </c>
      <c r="AB1178" s="177">
        <f>AB1177 + IF(AB$2&gt;1, AA1178,Старт!$B41)</f>
        <v>0</v>
      </c>
      <c r="AC1178" s="177">
        <f>AC1177 + IF(AC$2&gt;1, AB1178,Старт!$B41)</f>
        <v>0</v>
      </c>
      <c r="AD1178" s="177">
        <f>AD1177 + IF(AD$2&gt;1, AC1178,Старт!$B41)</f>
        <v>0</v>
      </c>
      <c r="AE1178" s="177">
        <f>AE1177 + IF(AE$2&gt;1, AD1178,Старт!$B41)</f>
        <v>0</v>
      </c>
      <c r="AF1178" s="177">
        <f>AF1177 + IF(AF$2&gt;1, AE1178,Старт!$B41)</f>
        <v>0</v>
      </c>
      <c r="AG1178" s="177">
        <f>AG1177 + IF(AG$2&gt;1, AF1178,Старт!$B41)</f>
        <v>0</v>
      </c>
      <c r="AH1178" s="177">
        <f>AH1177 + IF(AH$2&gt;1, AG1178,Старт!$B41)</f>
        <v>0</v>
      </c>
      <c r="AI1178" s="177">
        <f>AI1177 + IF(AI$2&gt;1, AH1178,Старт!$B41)</f>
        <v>0</v>
      </c>
      <c r="AJ1178" s="177">
        <f>AJ1177 + IF(AJ$2&gt;1, AI1178,Старт!$B41)</f>
        <v>0</v>
      </c>
      <c r="AK1178" s="177">
        <f>AK1177 + IF(AK$2&gt;1, AJ1178,Старт!$B41)</f>
        <v>0</v>
      </c>
      <c r="AL1178" s="177">
        <f>AL1177 + IF(AL$2&gt;1, AK1178,Старт!$B41)</f>
        <v>0</v>
      </c>
      <c r="AM1178" s="177">
        <f>AM1177 + IF(AM$2&gt;1, AL1178,Старт!$B41)</f>
        <v>0</v>
      </c>
      <c r="AN1178" s="177">
        <f>AN1177 + IF(AN$2&gt;1, AM1178,Старт!$B41)</f>
        <v>0</v>
      </c>
      <c r="AO1178" s="177">
        <f>AO1177 + IF(AO$2&gt;1, AN1178,Старт!$B41)</f>
        <v>0</v>
      </c>
      <c r="AP1178" s="177">
        <f>AP1177 + IF(AP$2&gt;1, AO1178,Старт!$B41)</f>
        <v>0</v>
      </c>
      <c r="AQ1178" s="177">
        <f>AQ1177 + IF(AQ$2&gt;1, AP1178,Старт!$B41)</f>
        <v>0</v>
      </c>
      <c r="AR1178" s="177">
        <f>AR1177 + IF(AR$2&gt;1, AQ1178,Старт!$B41)</f>
        <v>0</v>
      </c>
      <c r="AS1178" s="177">
        <f>AS1177 + IF(AS$2&gt;1, AR1178,Старт!$B41)</f>
        <v>0</v>
      </c>
      <c r="AT1178" s="177">
        <f>AT1177 + IF(AT$2&gt;1, AS1178,Старт!$B41)</f>
        <v>0</v>
      </c>
      <c r="AU1178" s="177">
        <f>AU1177 + IF(AU$2&gt;1, AT1178,Старт!$B41)</f>
        <v>0</v>
      </c>
      <c r="AV1178" s="177">
        <f>AV1177 + IF(AV$2&gt;1, AU1178,Старт!$B41)</f>
        <v>0</v>
      </c>
      <c r="AW1178" s="177">
        <f>AW1177 + IF(AW$2&gt;1, AV1178,Старт!$B41)</f>
        <v>0</v>
      </c>
      <c r="AX1178" s="177">
        <f>AX1177 + IF(AX$2&gt;1, AW1178,Старт!$B41)</f>
        <v>0</v>
      </c>
      <c r="AY1178" s="177">
        <f>AY1177 + IF(AY$2&gt;1, AX1178,Старт!$B41)</f>
        <v>0</v>
      </c>
      <c r="AZ1178" s="177">
        <f>AZ1177 + IF(AZ$2&gt;1, AY1178,Старт!$B41)</f>
        <v>0</v>
      </c>
      <c r="BA1178" s="177">
        <f>BA1177 + IF(BA$2&gt;1, AZ1178,Старт!$B41)</f>
        <v>0</v>
      </c>
      <c r="BB1178" s="177">
        <f>BB1177 + IF(BB$2&gt;1, BA1178,Старт!$B41)</f>
        <v>0</v>
      </c>
      <c r="BD1178" s="178"/>
    </row>
    <row r="1179" spans="1:56" x14ac:dyDescent="0.3">
      <c r="C1179" s="194"/>
      <c r="G1179" s="177"/>
      <c r="H1179" s="177"/>
      <c r="I1179" s="177"/>
      <c r="J1179" s="177"/>
      <c r="K1179" s="177"/>
      <c r="L1179" s="177"/>
      <c r="M1179" s="177"/>
      <c r="N1179" s="177"/>
      <c r="O1179" s="177"/>
      <c r="P1179" s="177"/>
      <c r="Q1179" s="177"/>
      <c r="R1179" s="177"/>
      <c r="S1179" s="177"/>
      <c r="T1179" s="177"/>
      <c r="U1179" s="177"/>
      <c r="V1179" s="177"/>
      <c r="W1179" s="177"/>
      <c r="X1179" s="177"/>
      <c r="Y1179" s="177"/>
      <c r="Z1179" s="177"/>
      <c r="AA1179" s="177"/>
      <c r="AB1179" s="177"/>
      <c r="AC1179" s="177"/>
      <c r="AD1179" s="177"/>
      <c r="AE1179" s="177"/>
      <c r="AF1179" s="177"/>
      <c r="AG1179" s="177"/>
      <c r="AH1179" s="177"/>
      <c r="AI1179" s="177"/>
      <c r="AJ1179" s="177"/>
      <c r="AK1179" s="177"/>
      <c r="AL1179" s="177"/>
      <c r="AM1179" s="177"/>
      <c r="AN1179" s="177"/>
      <c r="AO1179" s="177"/>
      <c r="AP1179" s="177"/>
      <c r="AQ1179" s="177"/>
      <c r="AR1179" s="177"/>
      <c r="AS1179" s="177"/>
      <c r="AT1179" s="177"/>
      <c r="AU1179" s="177"/>
      <c r="AV1179" s="177"/>
      <c r="AW1179" s="177"/>
      <c r="AX1179" s="177"/>
      <c r="AY1179" s="177"/>
      <c r="AZ1179" s="177"/>
      <c r="BA1179" s="177"/>
      <c r="BB1179" s="177"/>
      <c r="BD1179" s="178"/>
    </row>
    <row r="1180" spans="1:56" x14ac:dyDescent="0.3">
      <c r="A1180" s="169" t="str">
        <f ca="1">Language!A$1103</f>
        <v>Выплата дивидендов</v>
      </c>
      <c r="C1180" s="194" t="str">
        <f t="shared" ref="C1180:C1185" ca="1" si="4382">CurName1</f>
        <v>руб.</v>
      </c>
      <c r="F1180" s="170" t="s">
        <v>740</v>
      </c>
      <c r="G1180" s="296">
        <v>0</v>
      </c>
      <c r="H1180" s="296">
        <v>0</v>
      </c>
      <c r="I1180" s="296">
        <v>0</v>
      </c>
      <c r="J1180" s="296">
        <v>0</v>
      </c>
      <c r="K1180" s="296">
        <v>0</v>
      </c>
      <c r="L1180" s="296">
        <v>0</v>
      </c>
      <c r="M1180" s="296">
        <v>0</v>
      </c>
      <c r="N1180" s="296">
        <v>0</v>
      </c>
      <c r="O1180" s="296">
        <v>0</v>
      </c>
      <c r="P1180" s="296">
        <v>0</v>
      </c>
      <c r="Q1180" s="296">
        <v>0</v>
      </c>
      <c r="R1180" s="296">
        <v>0</v>
      </c>
      <c r="S1180" s="296">
        <v>0</v>
      </c>
      <c r="T1180" s="296">
        <v>0</v>
      </c>
      <c r="U1180" s="296">
        <v>0</v>
      </c>
      <c r="V1180" s="296">
        <v>0</v>
      </c>
      <c r="W1180" s="296">
        <v>0</v>
      </c>
      <c r="X1180" s="296">
        <v>0</v>
      </c>
      <c r="Y1180" s="296">
        <v>0</v>
      </c>
      <c r="Z1180" s="296">
        <v>0</v>
      </c>
      <c r="AA1180" s="296">
        <v>0</v>
      </c>
      <c r="AB1180" s="296">
        <v>0</v>
      </c>
      <c r="AC1180" s="296">
        <v>0</v>
      </c>
      <c r="AD1180" s="296">
        <v>0</v>
      </c>
      <c r="AE1180" s="296">
        <v>0</v>
      </c>
      <c r="AF1180" s="296">
        <v>0</v>
      </c>
      <c r="AG1180" s="296">
        <v>0</v>
      </c>
      <c r="AH1180" s="296">
        <v>0</v>
      </c>
      <c r="AI1180" s="296">
        <v>0</v>
      </c>
      <c r="AJ1180" s="296">
        <v>0</v>
      </c>
      <c r="AK1180" s="296">
        <v>0</v>
      </c>
      <c r="AL1180" s="296">
        <v>0</v>
      </c>
      <c r="AM1180" s="296">
        <v>0</v>
      </c>
      <c r="AN1180" s="296">
        <v>0</v>
      </c>
      <c r="AO1180" s="296">
        <v>0</v>
      </c>
      <c r="AP1180" s="296">
        <v>0</v>
      </c>
      <c r="AQ1180" s="296">
        <v>0</v>
      </c>
      <c r="AR1180" s="296">
        <v>0</v>
      </c>
      <c r="AS1180" s="296">
        <v>0</v>
      </c>
      <c r="AT1180" s="296">
        <v>0</v>
      </c>
      <c r="AU1180" s="296">
        <v>0</v>
      </c>
      <c r="AV1180" s="296">
        <v>0</v>
      </c>
      <c r="AW1180" s="296">
        <v>0</v>
      </c>
      <c r="AX1180" s="296">
        <v>0</v>
      </c>
      <c r="AY1180" s="296">
        <v>0</v>
      </c>
      <c r="AZ1180" s="296">
        <v>0</v>
      </c>
      <c r="BA1180" s="296">
        <v>0</v>
      </c>
      <c r="BB1180" s="296">
        <v>0</v>
      </c>
      <c r="BC1180" s="202"/>
      <c r="BD1180" s="178">
        <f>SUM(G1180:BC1180)</f>
        <v>0</v>
      </c>
    </row>
    <row r="1181" spans="1:56" x14ac:dyDescent="0.3">
      <c r="C1181" s="194"/>
      <c r="G1181" s="177"/>
      <c r="H1181" s="177"/>
      <c r="I1181" s="177"/>
      <c r="J1181" s="177"/>
      <c r="K1181" s="177"/>
      <c r="L1181" s="177"/>
      <c r="M1181" s="177"/>
      <c r="N1181" s="177"/>
      <c r="O1181" s="177"/>
      <c r="P1181" s="177"/>
      <c r="Q1181" s="177"/>
      <c r="R1181" s="177"/>
      <c r="S1181" s="177"/>
      <c r="T1181" s="177"/>
      <c r="U1181" s="177"/>
      <c r="V1181" s="177"/>
      <c r="W1181" s="177"/>
      <c r="X1181" s="177"/>
      <c r="Y1181" s="177"/>
      <c r="Z1181" s="177"/>
      <c r="AA1181" s="177"/>
      <c r="AB1181" s="177"/>
      <c r="AC1181" s="177"/>
      <c r="AD1181" s="177"/>
      <c r="AE1181" s="177"/>
      <c r="AF1181" s="177"/>
      <c r="AG1181" s="177"/>
      <c r="AH1181" s="177"/>
      <c r="AI1181" s="177"/>
      <c r="AJ1181" s="177"/>
      <c r="AK1181" s="177"/>
      <c r="AL1181" s="177"/>
      <c r="AM1181" s="177"/>
      <c r="AN1181" s="177"/>
      <c r="AO1181" s="177"/>
      <c r="AP1181" s="177"/>
      <c r="AQ1181" s="177"/>
      <c r="AR1181" s="177"/>
      <c r="AS1181" s="177"/>
      <c r="AT1181" s="177"/>
      <c r="AU1181" s="177"/>
      <c r="AV1181" s="177"/>
      <c r="AW1181" s="177"/>
      <c r="AX1181" s="177"/>
      <c r="AY1181" s="177"/>
      <c r="AZ1181" s="177"/>
      <c r="BA1181" s="177"/>
      <c r="BB1181" s="177"/>
      <c r="BD1181" s="178"/>
    </row>
    <row r="1182" spans="1:56" s="195" customFormat="1" collapsed="1" x14ac:dyDescent="0.3">
      <c r="A1182" s="171" t="str">
        <f ca="1">Language!A$1149</f>
        <v>Справочно: Остаток денег на счете</v>
      </c>
      <c r="B1182" s="171"/>
      <c r="C1182" s="229" t="str">
        <f t="shared" ca="1" si="4382"/>
        <v>руб.</v>
      </c>
      <c r="D1182" s="186"/>
      <c r="E1182" s="186"/>
      <c r="F1182" s="186" t="s">
        <v>741</v>
      </c>
      <c r="G1182" s="178">
        <f ca="1">OFFSET(Результаты!$F$155,0,G$2) * Параметры!G$64</f>
        <v>211558334</v>
      </c>
      <c r="H1182" s="178">
        <f ca="1">OFFSET(Результаты!$F$155,0,H$2) * Параметры!H$64</f>
        <v>209900000.33333334</v>
      </c>
      <c r="I1182" s="178">
        <f ca="1">OFFSET(Результаты!$F$155,0,I$2) * Параметры!I$64</f>
        <v>73241667.666666687</v>
      </c>
      <c r="J1182" s="178">
        <f ca="1">OFFSET(Результаты!$F$155,0,J$2) * Параметры!J$64</f>
        <v>54850001.000000015</v>
      </c>
      <c r="K1182" s="178">
        <f ca="1">OFFSET(Результаты!$F$155,0,K$2) * Параметры!K$64</f>
        <v>37825001.000000015</v>
      </c>
      <c r="L1182" s="178">
        <f ca="1">OFFSET(Результаты!$F$155,0,L$2) * Параметры!L$64</f>
        <v>18922075.939581752</v>
      </c>
      <c r="M1182" s="178">
        <f ca="1">OFFSET(Результаты!$F$155,0,M$2) * Параметры!M$64</f>
        <v>10035157.655486684</v>
      </c>
      <c r="N1182" s="178">
        <f ca="1">OFFSET(Результаты!$F$155,0,N$2) * Параметры!N$64</f>
        <v>1803117.7469090838</v>
      </c>
      <c r="O1182" s="178">
        <f ca="1">OFFSET(Результаты!$F$155,0,O$2) * Параметры!O$64</f>
        <v>135850.18460357562</v>
      </c>
      <c r="P1182" s="178">
        <f ca="1">OFFSET(Результаты!$F$155,0,P$2) * Параметры!P$64</f>
        <v>570756.51280933339</v>
      </c>
      <c r="Q1182" s="178">
        <f ca="1">OFFSET(Результаты!$F$155,0,Q$2) * Параметры!Q$64</f>
        <v>1678995.0735216746</v>
      </c>
      <c r="R1182" s="178">
        <f ca="1">OFFSET(Результаты!$F$155,0,R$2) * Параметры!R$64</f>
        <v>1258387.9910802324</v>
      </c>
      <c r="S1182" s="178">
        <f ca="1">OFFSET(Результаты!$F$155,0,S$2) * Параметры!S$64</f>
        <v>4195962.9793404434</v>
      </c>
      <c r="T1182" s="178">
        <f ca="1">OFFSET(Результаты!$F$155,0,T$2) * Параметры!T$64</f>
        <v>7190278.8295381945</v>
      </c>
      <c r="U1182" s="178">
        <f ca="1">OFFSET(Результаты!$F$155,0,U$2) * Параметры!U$64</f>
        <v>8502154.6642358396</v>
      </c>
      <c r="V1182" s="178">
        <f ca="1">OFFSET(Результаты!$F$155,0,V$2) * Параметры!V$64</f>
        <v>8709132.3037550822</v>
      </c>
      <c r="W1182" s="178">
        <f ca="1">OFFSET(Результаты!$F$155,0,W$2) * Параметры!W$64</f>
        <v>6389939.6174345631</v>
      </c>
      <c r="X1182" s="178">
        <f ca="1">OFFSET(Результаты!$F$155,0,X$2) * Параметры!X$64</f>
        <v>7403374.5238080397</v>
      </c>
      <c r="Y1182" s="178">
        <f ca="1">OFFSET(Результаты!$F$155,0,Y$2) * Параметры!Y$64</f>
        <v>10106979.386210134</v>
      </c>
      <c r="Z1182" s="178">
        <f ca="1">OFFSET(Результаты!$F$155,0,Z$2) * Параметры!Z$64</f>
        <v>15493939.599454354</v>
      </c>
      <c r="AA1182" s="178">
        <f ca="1">OFFSET(Результаты!$F$155,0,AA$2) * Параметры!AA$64</f>
        <v>17515439.877663791</v>
      </c>
      <c r="AB1182" s="178">
        <f ca="1">OFFSET(Результаты!$F$155,0,AB$2) * Параметры!AB$64</f>
        <v>15099582.513774911</v>
      </c>
      <c r="AC1182" s="178">
        <f ca="1">OFFSET(Результаты!$F$155,0,AC$2) * Параметры!AC$64</f>
        <v>11112415.430962546</v>
      </c>
      <c r="AD1182" s="178">
        <f ca="1">OFFSET(Результаты!$F$155,0,AD$2) * Параметры!AD$64</f>
        <v>7839105.4893916994</v>
      </c>
      <c r="AE1182" s="178">
        <f ca="1">OFFSET(Результаты!$F$155,0,AE$2) * Параметры!AE$64</f>
        <v>8728260.0437648036</v>
      </c>
      <c r="AF1182" s="178">
        <f ca="1">OFFSET(Результаты!$F$155,0,AF$2) * Параметры!AF$64</f>
        <v>9859169.7441609651</v>
      </c>
      <c r="AG1182" s="178">
        <f ca="1">OFFSET(Результаты!$F$155,0,AG$2) * Параметры!AG$64</f>
        <v>9319070.7895265855</v>
      </c>
      <c r="AH1182" s="178">
        <f ca="1">OFFSET(Результаты!$F$155,0,AH$2) * Параметры!AH$64</f>
        <v>8744402.8974499758</v>
      </c>
      <c r="AI1182" s="178">
        <f ca="1">OFFSET(Результаты!$F$155,0,AI$2) * Параметры!AI$64</f>
        <v>5503977.5388145335</v>
      </c>
      <c r="AJ1182" s="178">
        <f ca="1">OFFSET(Результаты!$F$155,0,AJ$2) * Параметры!AJ$64</f>
        <v>5787504.4368513366</v>
      </c>
      <c r="AK1182" s="178">
        <f ca="1">OFFSET(Результаты!$F$155,0,AK$2) * Параметры!AK$64</f>
        <v>10959753.53609027</v>
      </c>
      <c r="AL1182" s="178">
        <f ca="1">OFFSET(Результаты!$F$155,0,AL$2) * Параметры!AL$64</f>
        <v>19007889.742280588</v>
      </c>
      <c r="AM1182" s="178">
        <f ca="1">OFFSET(Результаты!$F$155,0,AM$2) * Параметры!AM$64</f>
        <v>23564410.121870339</v>
      </c>
      <c r="AN1182" s="178">
        <f ca="1">OFFSET(Результаты!$F$155,0,AN$2) * Параметры!AN$64</f>
        <v>23470717.332530722</v>
      </c>
      <c r="AO1182" s="178">
        <f ca="1">OFFSET(Результаты!$F$155,0,AO$2) * Параметры!AO$64</f>
        <v>21688456.476480868</v>
      </c>
      <c r="AP1182" s="178">
        <f ca="1">OFFSET(Результаты!$F$155,0,AP$2) * Параметры!AP$64</f>
        <v>20588220.835185394</v>
      </c>
      <c r="AQ1182" s="178">
        <f ca="1">OFFSET(Результаты!$F$155,0,AQ$2) * Параметры!AQ$64</f>
        <v>23863615.329147782</v>
      </c>
      <c r="AR1182" s="178">
        <f ca="1">OFFSET(Результаты!$F$155,0,AR$2) * Параметры!AR$64</f>
        <v>27395863.172472563</v>
      </c>
      <c r="AS1182" s="178">
        <f ca="1">OFFSET(Результаты!$F$155,0,AS$2) * Параметры!AS$64</f>
        <v>29185094.160840191</v>
      </c>
      <c r="AT1182" s="178">
        <f ca="1">OFFSET(Результаты!$F$155,0,AT$2) * Параметры!AT$64</f>
        <v>30801615.03373757</v>
      </c>
      <c r="AU1182" s="178">
        <f ca="1">OFFSET(Результаты!$F$155,0,AU$2) * Параметры!AU$64</f>
        <v>29366028.012790773</v>
      </c>
      <c r="AV1182" s="178">
        <f ca="1">OFFSET(Результаты!$F$155,0,AV$2) * Параметры!AV$64</f>
        <v>31416261.187906794</v>
      </c>
      <c r="AW1182" s="178">
        <f ca="1">OFFSET(Результаты!$F$155,0,AW$2) * Параметры!AW$64</f>
        <v>38390010.034551747</v>
      </c>
      <c r="AX1182" s="178">
        <f ca="1">OFFSET(Результаты!$F$155,0,AX$2) * Параметры!AX$64</f>
        <v>52207195.144730501</v>
      </c>
      <c r="AY1182" s="178">
        <f ca="1">OFFSET(Результаты!$F$155,0,AY$2) * Параметры!AY$64</f>
        <v>66317974.899262965</v>
      </c>
      <c r="AZ1182" s="178">
        <f ca="1">OFFSET(Результаты!$F$155,0,AZ$2) * Параметры!AZ$64</f>
        <v>75394082.460915953</v>
      </c>
      <c r="BA1182" s="178">
        <f ca="1">OFFSET(Результаты!$F$155,0,BA$2) * Параметры!BA$64</f>
        <v>82489057.141627178</v>
      </c>
      <c r="BB1182" s="178">
        <f ca="1">OFFSET(Результаты!$F$155,0,BB$2) * Параметры!BB$64</f>
        <v>90837475.22270827</v>
      </c>
      <c r="BC1182" s="171"/>
      <c r="BD1182" s="183"/>
    </row>
    <row r="1183" spans="1:56" s="195" customFormat="1" hidden="1" outlineLevel="1" x14ac:dyDescent="0.3">
      <c r="A1183" s="171" t="str">
        <f ca="1">Language!A$1150</f>
        <v>Справочно: Суммарный денежный поток за период</v>
      </c>
      <c r="B1183" s="171"/>
      <c r="C1183" s="229" t="str">
        <f t="shared" ca="1" si="4382"/>
        <v>руб.</v>
      </c>
      <c r="D1183" s="186"/>
      <c r="E1183" s="186"/>
      <c r="F1183" s="170" t="s">
        <v>740</v>
      </c>
      <c r="G1183" s="178">
        <f ca="1">OFFSET(Результаты!$F$153,0,G$2) * Параметры!G$64</f>
        <v>211558334</v>
      </c>
      <c r="H1183" s="178">
        <f ca="1">OFFSET(Результаты!$F$153,0,H$2) * Параметры!H$64</f>
        <v>-1658333.6666666667</v>
      </c>
      <c r="I1183" s="178">
        <f ca="1">OFFSET(Результаты!$F$153,0,I$2) * Параметры!I$64</f>
        <v>-136658332.66666666</v>
      </c>
      <c r="J1183" s="178">
        <f ca="1">OFFSET(Результаты!$F$153,0,J$2) * Параметры!J$64</f>
        <v>-18391666.666666668</v>
      </c>
      <c r="K1183" s="178">
        <f ca="1">OFFSET(Результаты!$F$153,0,K$2) * Параметры!K$64</f>
        <v>-17025000</v>
      </c>
      <c r="L1183" s="178">
        <f ca="1">OFFSET(Результаты!$F$153,0,L$2) * Параметры!L$64</f>
        <v>-18902925.060418263</v>
      </c>
      <c r="M1183" s="178">
        <f ca="1">OFFSET(Результаты!$F$153,0,M$2) * Параметры!M$64</f>
        <v>-8886918.2840950675</v>
      </c>
      <c r="N1183" s="178">
        <f ca="1">OFFSET(Результаты!$F$153,0,N$2) * Параметры!N$64</f>
        <v>-8232039.9085776005</v>
      </c>
      <c r="O1183" s="178">
        <f ca="1">OFFSET(Результаты!$F$153,0,O$2) * Параметры!O$64</f>
        <v>-1667267.5623055082</v>
      </c>
      <c r="P1183" s="178">
        <f ca="1">OFFSET(Результаты!$F$153,0,P$2) * Параметры!P$64</f>
        <v>434906.32820575777</v>
      </c>
      <c r="Q1183" s="178">
        <f ca="1">OFFSET(Результаты!$F$153,0,Q$2) * Параметры!Q$64</f>
        <v>1108238.5607123412</v>
      </c>
      <c r="R1183" s="178">
        <f ca="1">OFFSET(Результаты!$F$153,0,R$2) * Параметры!R$64</f>
        <v>-420607.08244144218</v>
      </c>
      <c r="S1183" s="178">
        <f ca="1">OFFSET(Результаты!$F$153,0,S$2) * Параметры!S$64</f>
        <v>2937574.9882602114</v>
      </c>
      <c r="T1183" s="178">
        <f ca="1">OFFSET(Результаты!$F$153,0,T$2) * Параметры!T$64</f>
        <v>2994315.8501977511</v>
      </c>
      <c r="U1183" s="178">
        <f ca="1">OFFSET(Результаты!$F$153,0,U$2) * Параметры!U$64</f>
        <v>1311875.8346976452</v>
      </c>
      <c r="V1183" s="178">
        <f ca="1">OFFSET(Результаты!$F$153,0,V$2) * Параметры!V$64</f>
        <v>206977.63951924257</v>
      </c>
      <c r="W1183" s="178">
        <f ca="1">OFFSET(Результаты!$F$153,0,W$2) * Параметры!W$64</f>
        <v>-2319192.6863205186</v>
      </c>
      <c r="X1183" s="178">
        <f ca="1">OFFSET(Результаты!$F$153,0,X$2) * Параметры!X$64</f>
        <v>1013434.9063734766</v>
      </c>
      <c r="Y1183" s="178">
        <f ca="1">OFFSET(Результаты!$F$153,0,Y$2) * Параметры!Y$64</f>
        <v>2703604.8624020945</v>
      </c>
      <c r="Z1183" s="178">
        <f ca="1">OFFSET(Результаты!$F$153,0,Z$2) * Параметры!Z$64</f>
        <v>5386960.2132442202</v>
      </c>
      <c r="AA1183" s="178">
        <f ca="1">OFFSET(Результаты!$F$153,0,AA$2) * Параметры!AA$64</f>
        <v>2021500.2782094367</v>
      </c>
      <c r="AB1183" s="178">
        <f ca="1">OFFSET(Результаты!$F$153,0,AB$2) * Параметры!AB$64</f>
        <v>-2415857.3638888802</v>
      </c>
      <c r="AC1183" s="178">
        <f ca="1">OFFSET(Результаты!$F$153,0,AC$2) * Параметры!AC$64</f>
        <v>-3987167.0828123656</v>
      </c>
      <c r="AD1183" s="178">
        <f ca="1">OFFSET(Результаты!$F$153,0,AD$2) * Параметры!AD$64</f>
        <v>-3273309.9415708464</v>
      </c>
      <c r="AE1183" s="178">
        <f ca="1">OFFSET(Результаты!$F$153,0,AE$2) * Параметры!AE$64</f>
        <v>889154.55437310413</v>
      </c>
      <c r="AF1183" s="178">
        <f ca="1">OFFSET(Результаты!$F$153,0,AF$2) * Параметры!AF$64</f>
        <v>1130909.7003961615</v>
      </c>
      <c r="AG1183" s="178">
        <f ca="1">OFFSET(Результаты!$F$153,0,AG$2) * Параметры!AG$64</f>
        <v>-540098.95463437866</v>
      </c>
      <c r="AH1183" s="178">
        <f ca="1">OFFSET(Результаты!$F$153,0,AH$2) * Параметры!AH$64</f>
        <v>-574667.89207660966</v>
      </c>
      <c r="AI1183" s="178">
        <f ca="1">OFFSET(Результаты!$F$153,0,AI$2) * Параметры!AI$64</f>
        <v>-3240425.3586354423</v>
      </c>
      <c r="AJ1183" s="178">
        <f ca="1">OFFSET(Результаты!$F$153,0,AJ$2) * Параметры!AJ$64</f>
        <v>283526.89803680312</v>
      </c>
      <c r="AK1183" s="178">
        <f ca="1">OFFSET(Результаты!$F$153,0,AK$2) * Параметры!AK$64</f>
        <v>5172249.099238934</v>
      </c>
      <c r="AL1183" s="178">
        <f ca="1">OFFSET(Результаты!$F$153,0,AL$2) * Параметры!AL$64</f>
        <v>8048136.2061903197</v>
      </c>
      <c r="AM1183" s="178">
        <f ca="1">OFFSET(Результаты!$F$153,0,AM$2) * Параметры!AM$64</f>
        <v>4556520.3795897495</v>
      </c>
      <c r="AN1183" s="178">
        <f ca="1">OFFSET(Результаты!$F$153,0,AN$2) * Параметры!AN$64</f>
        <v>-93692.789339616895</v>
      </c>
      <c r="AO1183" s="178">
        <f ca="1">OFFSET(Результаты!$F$153,0,AO$2) * Параметры!AO$64</f>
        <v>-1782260.8560498543</v>
      </c>
      <c r="AP1183" s="178">
        <f ca="1">OFFSET(Результаты!$F$153,0,AP$2) * Параметры!AP$64</f>
        <v>-1100235.641295475</v>
      </c>
      <c r="AQ1183" s="178">
        <f ca="1">OFFSET(Результаты!$F$153,0,AQ$2) * Параметры!AQ$64</f>
        <v>3275394.4939623885</v>
      </c>
      <c r="AR1183" s="178">
        <f ca="1">OFFSET(Результаты!$F$153,0,AR$2) * Параметры!AR$64</f>
        <v>3532247.8433247805</v>
      </c>
      <c r="AS1183" s="178">
        <f ca="1">OFFSET(Результаты!$F$153,0,AS$2) * Параметры!AS$64</f>
        <v>1789230.9883676264</v>
      </c>
      <c r="AT1183" s="178">
        <f ca="1">OFFSET(Результаты!$F$153,0,AT$2) * Параметры!AT$64</f>
        <v>1616520.8728973772</v>
      </c>
      <c r="AU1183" s="178">
        <f ca="1">OFFSET(Результаты!$F$153,0,AU$2) * Параметры!AU$64</f>
        <v>-1435587.0209467961</v>
      </c>
      <c r="AV1183" s="178">
        <f ca="1">OFFSET(Результаты!$F$153,0,AV$2) * Параметры!AV$64</f>
        <v>2050233.175116023</v>
      </c>
      <c r="AW1183" s="178">
        <f ca="1">OFFSET(Результаты!$F$153,0,AW$2) * Параметры!AW$64</f>
        <v>6973748.8466449548</v>
      </c>
      <c r="AX1183" s="178">
        <f ca="1">OFFSET(Результаты!$F$153,0,AX$2) * Параметры!AX$64</f>
        <v>13817185.110178754</v>
      </c>
      <c r="AY1183" s="178">
        <f ca="1">OFFSET(Результаты!$F$153,0,AY$2) * Параметры!AY$64</f>
        <v>14110779.75453246</v>
      </c>
      <c r="AZ1183" s="178">
        <f ca="1">OFFSET(Результаты!$F$153,0,AZ$2) * Параметры!AZ$64</f>
        <v>9076107.5616529956</v>
      </c>
      <c r="BA1183" s="178">
        <f ca="1">OFFSET(Результаты!$F$153,0,BA$2) * Параметры!BA$64</f>
        <v>7094974.6807112303</v>
      </c>
      <c r="BB1183" s="178">
        <f ca="1">OFFSET(Результаты!$F$153,0,BB$2) * Параметры!BB$64</f>
        <v>8348418.0810810896</v>
      </c>
      <c r="BC1183" s="171"/>
      <c r="BD1183" s="178">
        <f ca="1">SUM(G1183:BC1183)</f>
        <v>90837475.22270827</v>
      </c>
    </row>
    <row r="1184" spans="1:56" s="195" customFormat="1" hidden="1" outlineLevel="1" x14ac:dyDescent="0.3">
      <c r="A1184" s="171" t="str">
        <f ca="1">Language!A$1151</f>
        <v>Справочно: Денежные потоки от инвестиционной деятельности</v>
      </c>
      <c r="B1184" s="171"/>
      <c r="C1184" s="229" t="str">
        <f t="shared" ca="1" si="4382"/>
        <v>руб.</v>
      </c>
      <c r="D1184" s="186"/>
      <c r="E1184" s="186"/>
      <c r="F1184" s="170" t="s">
        <v>740</v>
      </c>
      <c r="G1184" s="178">
        <f ca="1">OFFSET(Результаты!$F$144,0,G$2) * Параметры!G$64</f>
        <v>-291667</v>
      </c>
      <c r="H1184" s="178">
        <f ca="1">OFFSET(Результаты!$F$144,0,H$2) * Параметры!H$64</f>
        <v>-1658333.6666666667</v>
      </c>
      <c r="I1184" s="178">
        <f ca="1">OFFSET(Результаты!$F$144,0,I$2) * Параметры!I$64</f>
        <v>-136658332.66666666</v>
      </c>
      <c r="J1184" s="178">
        <f ca="1">OFFSET(Результаты!$F$144,0,J$2) * Параметры!J$64</f>
        <v>-18391666.666666668</v>
      </c>
      <c r="K1184" s="178">
        <f ca="1">OFFSET(Результаты!$F$144,0,K$2) * Параметры!K$64</f>
        <v>-17025000</v>
      </c>
      <c r="L1184" s="178">
        <f ca="1">OFFSET(Результаты!$F$144,0,L$2) * Параметры!L$64</f>
        <v>-17825000</v>
      </c>
      <c r="M1184" s="178">
        <f ca="1">OFFSET(Результаты!$F$144,0,M$2) * Параметры!M$64</f>
        <v>-10000000</v>
      </c>
      <c r="N1184" s="178">
        <f ca="1">OFFSET(Результаты!$F$144,0,N$2) * Параметры!N$64</f>
        <v>-10000000</v>
      </c>
      <c r="O1184" s="178">
        <f ca="1">OFFSET(Результаты!$F$144,0,O$2) * Параметры!O$64</f>
        <v>0</v>
      </c>
      <c r="P1184" s="178">
        <f ca="1">OFFSET(Результаты!$F$144,0,P$2) * Параметры!P$64</f>
        <v>0</v>
      </c>
      <c r="Q1184" s="178">
        <f ca="1">OFFSET(Результаты!$F$144,0,Q$2) * Параметры!Q$64</f>
        <v>0</v>
      </c>
      <c r="R1184" s="178">
        <f ca="1">OFFSET(Результаты!$F$144,0,R$2) * Параметры!R$64</f>
        <v>0</v>
      </c>
      <c r="S1184" s="178">
        <f ca="1">OFFSET(Результаты!$F$144,0,S$2) * Параметры!S$64</f>
        <v>0</v>
      </c>
      <c r="T1184" s="178">
        <f ca="1">OFFSET(Результаты!$F$144,0,T$2) * Параметры!T$64</f>
        <v>0</v>
      </c>
      <c r="U1184" s="178">
        <f ca="1">OFFSET(Результаты!$F$144,0,U$2) * Параметры!U$64</f>
        <v>0</v>
      </c>
      <c r="V1184" s="178">
        <f ca="1">OFFSET(Результаты!$F$144,0,V$2) * Параметры!V$64</f>
        <v>0</v>
      </c>
      <c r="W1184" s="178">
        <f ca="1">OFFSET(Результаты!$F$144,0,W$2) * Параметры!W$64</f>
        <v>0</v>
      </c>
      <c r="X1184" s="178">
        <f ca="1">OFFSET(Результаты!$F$144,0,X$2) * Параметры!X$64</f>
        <v>0</v>
      </c>
      <c r="Y1184" s="178">
        <f ca="1">OFFSET(Результаты!$F$144,0,Y$2) * Параметры!Y$64</f>
        <v>0</v>
      </c>
      <c r="Z1184" s="178">
        <f ca="1">OFFSET(Результаты!$F$144,0,Z$2) * Параметры!Z$64</f>
        <v>0</v>
      </c>
      <c r="AA1184" s="178">
        <f ca="1">OFFSET(Результаты!$F$144,0,AA$2) * Параметры!AA$64</f>
        <v>0</v>
      </c>
      <c r="AB1184" s="178">
        <f ca="1">OFFSET(Результаты!$F$144,0,AB$2) * Параметры!AB$64</f>
        <v>0</v>
      </c>
      <c r="AC1184" s="178">
        <f ca="1">OFFSET(Результаты!$F$144,0,AC$2) * Параметры!AC$64</f>
        <v>0</v>
      </c>
      <c r="AD1184" s="178">
        <f ca="1">OFFSET(Результаты!$F$144,0,AD$2) * Параметры!AD$64</f>
        <v>0</v>
      </c>
      <c r="AE1184" s="178">
        <f ca="1">OFFSET(Результаты!$F$144,0,AE$2) * Параметры!AE$64</f>
        <v>0</v>
      </c>
      <c r="AF1184" s="178">
        <f ca="1">OFFSET(Результаты!$F$144,0,AF$2) * Параметры!AF$64</f>
        <v>0</v>
      </c>
      <c r="AG1184" s="178">
        <f ca="1">OFFSET(Результаты!$F$144,0,AG$2) * Параметры!AG$64</f>
        <v>0</v>
      </c>
      <c r="AH1184" s="178">
        <f ca="1">OFFSET(Результаты!$F$144,0,AH$2) * Параметры!AH$64</f>
        <v>0</v>
      </c>
      <c r="AI1184" s="178">
        <f ca="1">OFFSET(Результаты!$F$144,0,AI$2) * Параметры!AI$64</f>
        <v>0</v>
      </c>
      <c r="AJ1184" s="178">
        <f ca="1">OFFSET(Результаты!$F$144,0,AJ$2) * Параметры!AJ$64</f>
        <v>0</v>
      </c>
      <c r="AK1184" s="178">
        <f ca="1">OFFSET(Результаты!$F$144,0,AK$2) * Параметры!AK$64</f>
        <v>0</v>
      </c>
      <c r="AL1184" s="178">
        <f ca="1">OFFSET(Результаты!$F$144,0,AL$2) * Параметры!AL$64</f>
        <v>0</v>
      </c>
      <c r="AM1184" s="178">
        <f ca="1">OFFSET(Результаты!$F$144,0,AM$2) * Параметры!AM$64</f>
        <v>0</v>
      </c>
      <c r="AN1184" s="178">
        <f ca="1">OFFSET(Результаты!$F$144,0,AN$2) * Параметры!AN$64</f>
        <v>0</v>
      </c>
      <c r="AO1184" s="178">
        <f ca="1">OFFSET(Результаты!$F$144,0,AO$2) * Параметры!AO$64</f>
        <v>0</v>
      </c>
      <c r="AP1184" s="178">
        <f ca="1">OFFSET(Результаты!$F$144,0,AP$2) * Параметры!AP$64</f>
        <v>0</v>
      </c>
      <c r="AQ1184" s="178">
        <f ca="1">OFFSET(Результаты!$F$144,0,AQ$2) * Параметры!AQ$64</f>
        <v>0</v>
      </c>
      <c r="AR1184" s="178">
        <f ca="1">OFFSET(Результаты!$F$144,0,AR$2) * Параметры!AR$64</f>
        <v>0</v>
      </c>
      <c r="AS1184" s="178">
        <f ca="1">OFFSET(Результаты!$F$144,0,AS$2) * Параметры!AS$64</f>
        <v>0</v>
      </c>
      <c r="AT1184" s="178">
        <f ca="1">OFFSET(Результаты!$F$144,0,AT$2) * Параметры!AT$64</f>
        <v>0</v>
      </c>
      <c r="AU1184" s="178">
        <f ca="1">OFFSET(Результаты!$F$144,0,AU$2) * Параметры!AU$64</f>
        <v>0</v>
      </c>
      <c r="AV1184" s="178">
        <f ca="1">OFFSET(Результаты!$F$144,0,AV$2) * Параметры!AV$64</f>
        <v>0</v>
      </c>
      <c r="AW1184" s="178">
        <f ca="1">OFFSET(Результаты!$F$144,0,AW$2) * Параметры!AW$64</f>
        <v>0</v>
      </c>
      <c r="AX1184" s="178">
        <f ca="1">OFFSET(Результаты!$F$144,0,AX$2) * Параметры!AX$64</f>
        <v>0</v>
      </c>
      <c r="AY1184" s="178">
        <f ca="1">OFFSET(Результаты!$F$144,0,AY$2) * Параметры!AY$64</f>
        <v>0</v>
      </c>
      <c r="AZ1184" s="178">
        <f ca="1">OFFSET(Результаты!$F$144,0,AZ$2) * Параметры!AZ$64</f>
        <v>0</v>
      </c>
      <c r="BA1184" s="178">
        <f ca="1">OFFSET(Результаты!$F$144,0,BA$2) * Параметры!BA$64</f>
        <v>0</v>
      </c>
      <c r="BB1184" s="178">
        <f ca="1">OFFSET(Результаты!$F$144,0,BB$2) * Параметры!BB$64</f>
        <v>0</v>
      </c>
      <c r="BC1184" s="171"/>
      <c r="BD1184" s="178">
        <f ca="1">SUM(G1184:BC1184)</f>
        <v>-211849999.99999997</v>
      </c>
    </row>
    <row r="1185" spans="1:56" s="195" customFormat="1" hidden="1" outlineLevel="1" x14ac:dyDescent="0.3">
      <c r="A1185" s="171" t="str">
        <f ca="1">Language!A$1152</f>
        <v>Справочно: Денежные потоки от операционной деятельности</v>
      </c>
      <c r="B1185" s="171"/>
      <c r="C1185" s="229" t="str">
        <f t="shared" ca="1" si="4382"/>
        <v>руб.</v>
      </c>
      <c r="D1185" s="186"/>
      <c r="E1185" s="186"/>
      <c r="F1185" s="170" t="s">
        <v>740</v>
      </c>
      <c r="G1185" s="178">
        <f ca="1">OFFSET(Результаты!$F$135,0,G$2) * Параметры!G$64</f>
        <v>0</v>
      </c>
      <c r="H1185" s="178">
        <f ca="1">OFFSET(Результаты!$F$135,0,H$2) * Параметры!H$64</f>
        <v>0</v>
      </c>
      <c r="I1185" s="178">
        <f ca="1">OFFSET(Результаты!$F$135,0,I$2) * Параметры!I$64</f>
        <v>0</v>
      </c>
      <c r="J1185" s="178">
        <f ca="1">OFFSET(Результаты!$F$135,0,J$2) * Параметры!J$64</f>
        <v>0</v>
      </c>
      <c r="K1185" s="178">
        <f ca="1">OFFSET(Результаты!$F$135,0,K$2) * Параметры!K$64</f>
        <v>0</v>
      </c>
      <c r="L1185" s="178">
        <f ca="1">OFFSET(Результаты!$F$135,0,L$2) * Параметры!L$64</f>
        <v>-1077925.0604182645</v>
      </c>
      <c r="M1185" s="178">
        <f ca="1">OFFSET(Результаты!$F$135,0,M$2) * Параметры!M$64</f>
        <v>2113081.7159049334</v>
      </c>
      <c r="N1185" s="178">
        <f ca="1">OFFSET(Результаты!$F$135,0,N$2) * Параметры!N$64</f>
        <v>3767960.091422399</v>
      </c>
      <c r="O1185" s="178">
        <f ca="1">OFFSET(Результаты!$F$135,0,O$2) * Параметры!O$64</f>
        <v>1332732.4376944918</v>
      </c>
      <c r="P1185" s="178">
        <f ca="1">OFFSET(Результаты!$F$135,0,P$2) * Параметры!P$64</f>
        <v>3434906.3282057578</v>
      </c>
      <c r="Q1185" s="178">
        <f ca="1">OFFSET(Результаты!$F$135,0,Q$2) * Параметры!Q$64</f>
        <v>4108238.5607123412</v>
      </c>
      <c r="R1185" s="178">
        <f ca="1">OFFSET(Результаты!$F$135,0,R$2) * Параметры!R$64</f>
        <v>3579392.9175585578</v>
      </c>
      <c r="S1185" s="178">
        <f ca="1">OFFSET(Результаты!$F$135,0,S$2) * Параметры!S$64</f>
        <v>6937574.9882602114</v>
      </c>
      <c r="T1185" s="178">
        <f ca="1">OFFSET(Результаты!$F$135,0,T$2) * Параметры!T$64</f>
        <v>6994315.8501977511</v>
      </c>
      <c r="U1185" s="178">
        <f ca="1">OFFSET(Результаты!$F$135,0,U$2) * Параметры!U$64</f>
        <v>5311875.8346976452</v>
      </c>
      <c r="V1185" s="178">
        <f ca="1">OFFSET(Результаты!$F$135,0,V$2) * Параметры!V$64</f>
        <v>5206977.6395192426</v>
      </c>
      <c r="W1185" s="178">
        <f ca="1">OFFSET(Результаты!$F$135,0,W$2) * Параметры!W$64</f>
        <v>2680807.3136794814</v>
      </c>
      <c r="X1185" s="178">
        <f ca="1">OFFSET(Результаты!$F$135,0,X$2) * Параметры!X$64</f>
        <v>6013434.9063734766</v>
      </c>
      <c r="Y1185" s="178">
        <f ca="1">OFFSET(Результаты!$F$135,0,Y$2) * Параметры!Y$64</f>
        <v>10703604.862402095</v>
      </c>
      <c r="Z1185" s="178">
        <f ca="1">OFFSET(Результаты!$F$135,0,Z$2) * Параметры!Z$64</f>
        <v>13386960.21324422</v>
      </c>
      <c r="AA1185" s="178">
        <f ca="1">OFFSET(Результаты!$F$135,0,AA$2) * Параметры!AA$64</f>
        <v>10021500.278209437</v>
      </c>
      <c r="AB1185" s="178">
        <f ca="1">OFFSET(Результаты!$F$135,0,AB$2) * Параметры!AB$64</f>
        <v>5584142.6361111198</v>
      </c>
      <c r="AC1185" s="178">
        <f ca="1">OFFSET(Результаты!$F$135,0,AC$2) * Параметры!AC$64</f>
        <v>4012832.9171876344</v>
      </c>
      <c r="AD1185" s="178">
        <f ca="1">OFFSET(Результаты!$F$135,0,AD$2) * Параметры!AD$64</f>
        <v>4726690.0584291536</v>
      </c>
      <c r="AE1185" s="178">
        <f ca="1">OFFSET(Результаты!$F$135,0,AE$2) * Параметры!AE$64</f>
        <v>8889154.5543731041</v>
      </c>
      <c r="AF1185" s="178">
        <f ca="1">OFFSET(Результаты!$F$135,0,AF$2) * Параметры!AF$64</f>
        <v>9130909.7003961615</v>
      </c>
      <c r="AG1185" s="178">
        <f ca="1">OFFSET(Результаты!$F$135,0,AG$2) * Параметры!AG$64</f>
        <v>7459901.0453656213</v>
      </c>
      <c r="AH1185" s="178">
        <f ca="1">OFFSET(Результаты!$F$135,0,AH$2) * Параметры!AH$64</f>
        <v>7425332.1079233903</v>
      </c>
      <c r="AI1185" s="178">
        <f ca="1">OFFSET(Результаты!$F$135,0,AI$2) * Параметры!AI$64</f>
        <v>4759574.6413645577</v>
      </c>
      <c r="AJ1185" s="178">
        <f ca="1">OFFSET(Результаты!$F$135,0,AJ$2) * Параметры!AJ$64</f>
        <v>8283526.8980368031</v>
      </c>
      <c r="AK1185" s="178">
        <f ca="1">OFFSET(Результаты!$F$135,0,AK$2) * Параметры!AK$64</f>
        <v>13172249.099238934</v>
      </c>
      <c r="AL1185" s="178">
        <f ca="1">OFFSET(Результаты!$F$135,0,AL$2) * Параметры!AL$64</f>
        <v>16048136.20619032</v>
      </c>
      <c r="AM1185" s="178">
        <f ca="1">OFFSET(Результаты!$F$135,0,AM$2) * Параметры!AM$64</f>
        <v>12556520.37958975</v>
      </c>
      <c r="AN1185" s="178">
        <f ca="1">OFFSET(Результаты!$F$135,0,AN$2) * Параметры!AN$64</f>
        <v>7906307.2106603831</v>
      </c>
      <c r="AO1185" s="178">
        <f ca="1">OFFSET(Результаты!$F$135,0,AO$2) * Параметры!AO$64</f>
        <v>6217739.1439501457</v>
      </c>
      <c r="AP1185" s="178">
        <f ca="1">OFFSET(Результаты!$F$135,0,AP$2) * Параметры!AP$64</f>
        <v>6899764.358704525</v>
      </c>
      <c r="AQ1185" s="178">
        <f ca="1">OFFSET(Результаты!$F$135,0,AQ$2) * Параметры!AQ$64</f>
        <v>11275394.493962388</v>
      </c>
      <c r="AR1185" s="178">
        <f ca="1">OFFSET(Результаты!$F$135,0,AR$2) * Параметры!AR$64</f>
        <v>11532247.84332478</v>
      </c>
      <c r="AS1185" s="178">
        <f ca="1">OFFSET(Результаты!$F$135,0,AS$2) * Параметры!AS$64</f>
        <v>9789230.9883676264</v>
      </c>
      <c r="AT1185" s="178">
        <f ca="1">OFFSET(Результаты!$F$135,0,AT$2) * Параметры!AT$64</f>
        <v>9616520.8728973772</v>
      </c>
      <c r="AU1185" s="178">
        <f ca="1">OFFSET(Результаты!$F$135,0,AU$2) * Параметры!AU$64</f>
        <v>6564412.9790532039</v>
      </c>
      <c r="AV1185" s="178">
        <f ca="1">OFFSET(Результаты!$F$135,0,AV$2) * Параметры!AV$64</f>
        <v>10050233.175116023</v>
      </c>
      <c r="AW1185" s="178">
        <f ca="1">OFFSET(Результаты!$F$135,0,AW$2) * Параметры!AW$64</f>
        <v>14973748.846644955</v>
      </c>
      <c r="AX1185" s="178">
        <f ca="1">OFFSET(Результаты!$F$135,0,AX$2) * Параметры!AX$64</f>
        <v>17892186.110178754</v>
      </c>
      <c r="AY1185" s="178">
        <f ca="1">OFFSET(Результаты!$F$135,0,AY$2) * Параметры!AY$64</f>
        <v>14110779.75453246</v>
      </c>
      <c r="AZ1185" s="178">
        <f ca="1">OFFSET(Результаты!$F$135,0,AZ$2) * Параметры!AZ$64</f>
        <v>9076107.5616529956</v>
      </c>
      <c r="BA1185" s="178">
        <f ca="1">OFFSET(Результаты!$F$135,0,BA$2) * Параметры!BA$64</f>
        <v>7094974.6807112303</v>
      </c>
      <c r="BB1185" s="178">
        <f ca="1">OFFSET(Результаты!$F$135,0,BB$2) * Параметры!BB$64</f>
        <v>8348418.0810810896</v>
      </c>
      <c r="BC1185" s="171"/>
      <c r="BD1185" s="178">
        <f ca="1">SUM(G1185:BC1185)</f>
        <v>337912475.22270823</v>
      </c>
    </row>
    <row r="1186" spans="1:56" x14ac:dyDescent="0.3">
      <c r="A1186" s="196"/>
      <c r="B1186" s="196"/>
      <c r="C1186" s="196"/>
      <c r="D1186" s="197"/>
      <c r="E1186" s="197" t="s">
        <v>713</v>
      </c>
      <c r="F1186" s="197"/>
      <c r="G1186" s="196"/>
      <c r="H1186" s="196"/>
      <c r="I1186" s="196"/>
      <c r="J1186" s="196"/>
      <c r="K1186" s="196"/>
      <c r="L1186" s="196"/>
      <c r="M1186" s="196"/>
      <c r="N1186" s="196"/>
      <c r="O1186" s="196"/>
      <c r="P1186" s="196"/>
      <c r="Q1186" s="196"/>
      <c r="R1186" s="196"/>
      <c r="S1186" s="196"/>
      <c r="T1186" s="196"/>
      <c r="U1186" s="196"/>
      <c r="V1186" s="196"/>
      <c r="W1186" s="196"/>
      <c r="X1186" s="196"/>
      <c r="Y1186" s="196"/>
      <c r="Z1186" s="196"/>
      <c r="AA1186" s="196"/>
      <c r="AB1186" s="196"/>
      <c r="AC1186" s="196"/>
      <c r="AD1186" s="196"/>
      <c r="AE1186" s="196"/>
      <c r="AF1186" s="196"/>
      <c r="AG1186" s="196"/>
      <c r="AH1186" s="196"/>
      <c r="AI1186" s="196"/>
      <c r="AJ1186" s="196"/>
      <c r="AK1186" s="196"/>
      <c r="AL1186" s="196"/>
      <c r="AM1186" s="196"/>
      <c r="AN1186" s="196"/>
      <c r="AO1186" s="196"/>
      <c r="AP1186" s="196"/>
      <c r="AQ1186" s="196"/>
      <c r="AR1186" s="196"/>
      <c r="AS1186" s="196"/>
      <c r="AT1186" s="196"/>
      <c r="AU1186" s="196"/>
      <c r="AV1186" s="196"/>
      <c r="AW1186" s="196"/>
      <c r="AX1186" s="196"/>
      <c r="AY1186" s="196"/>
      <c r="AZ1186" s="196"/>
      <c r="BA1186" s="196"/>
      <c r="BB1186" s="196"/>
      <c r="BC1186" s="196"/>
      <c r="BD1186" s="204"/>
    </row>
    <row r="1189" spans="1:56" s="168" customFormat="1" ht="25.5" customHeight="1" thickBot="1" x14ac:dyDescent="0.35">
      <c r="A1189" s="330" t="str">
        <f ca="1">Language!A$1104</f>
        <v>ПОЛУЧЕННЫЕ КРЕДИТЫ И ЗАЙМЫ</v>
      </c>
      <c r="B1189" s="331"/>
      <c r="C1189" s="332"/>
      <c r="D1189" s="333"/>
      <c r="E1189" s="333" t="s">
        <v>893</v>
      </c>
      <c r="F1189" s="333" t="s">
        <v>3412</v>
      </c>
      <c r="G1189" s="334" t="str">
        <f ca="1">Параметры!G$34</f>
        <v>янв.25</v>
      </c>
      <c r="H1189" s="334" t="str">
        <f ca="1">Параметры!H$34</f>
        <v>фев.25</v>
      </c>
      <c r="I1189" s="334" t="str">
        <f ca="1">Параметры!I$34</f>
        <v>мар.25</v>
      </c>
      <c r="J1189" s="334" t="str">
        <f ca="1">Параметры!J$34</f>
        <v>апр.25</v>
      </c>
      <c r="K1189" s="334" t="str">
        <f ca="1">Параметры!K$34</f>
        <v>май.25</v>
      </c>
      <c r="L1189" s="334" t="str">
        <f ca="1">Параметры!L$34</f>
        <v>июн.25</v>
      </c>
      <c r="M1189" s="335" t="str">
        <f ca="1">Параметры!M$34</f>
        <v>июл.25</v>
      </c>
      <c r="N1189" s="335" t="str">
        <f ca="1">Параметры!N$34</f>
        <v>авг.25</v>
      </c>
      <c r="O1189" s="335" t="str">
        <f ca="1">Параметры!O$34</f>
        <v>сен.25</v>
      </c>
      <c r="P1189" s="335" t="str">
        <f ca="1">Параметры!P$34</f>
        <v>окт.25</v>
      </c>
      <c r="Q1189" s="335" t="str">
        <f ca="1">Параметры!Q$34</f>
        <v>ноя.25</v>
      </c>
      <c r="R1189" s="335" t="str">
        <f ca="1">Параметры!R$34</f>
        <v>дек.25</v>
      </c>
      <c r="S1189" s="335" t="str">
        <f ca="1">Параметры!S$34</f>
        <v>янв.26</v>
      </c>
      <c r="T1189" s="335" t="str">
        <f ca="1">Параметры!T$34</f>
        <v>фев.26</v>
      </c>
      <c r="U1189" s="335" t="str">
        <f ca="1">Параметры!U$34</f>
        <v>мар.26</v>
      </c>
      <c r="V1189" s="335" t="str">
        <f ca="1">Параметры!V$34</f>
        <v>апр.26</v>
      </c>
      <c r="W1189" s="335" t="str">
        <f ca="1">Параметры!W$34</f>
        <v>май.26</v>
      </c>
      <c r="X1189" s="335" t="str">
        <f ca="1">Параметры!X$34</f>
        <v>июн.26</v>
      </c>
      <c r="Y1189" s="335" t="str">
        <f ca="1">Параметры!Y$34</f>
        <v>июл.26</v>
      </c>
      <c r="Z1189" s="335" t="str">
        <f ca="1">Параметры!Z$34</f>
        <v>авг.26</v>
      </c>
      <c r="AA1189" s="335" t="str">
        <f ca="1">Параметры!AA$34</f>
        <v>сен.26</v>
      </c>
      <c r="AB1189" s="335" t="str">
        <f ca="1">Параметры!AB$34</f>
        <v>окт.26</v>
      </c>
      <c r="AC1189" s="335" t="str">
        <f ca="1">Параметры!AC$34</f>
        <v>ноя.26</v>
      </c>
      <c r="AD1189" s="335" t="str">
        <f ca="1">Параметры!AD$34</f>
        <v>дек.26</v>
      </c>
      <c r="AE1189" s="335" t="str">
        <f ca="1">Параметры!AE$34</f>
        <v>янв.27</v>
      </c>
      <c r="AF1189" s="335" t="str">
        <f ca="1">Параметры!AF$34</f>
        <v>фев.27</v>
      </c>
      <c r="AG1189" s="335" t="str">
        <f ca="1">Параметры!AG$34</f>
        <v>мар.27</v>
      </c>
      <c r="AH1189" s="335" t="str">
        <f ca="1">Параметры!AH$34</f>
        <v>апр.27</v>
      </c>
      <c r="AI1189" s="335" t="str">
        <f ca="1">Параметры!AI$34</f>
        <v>май.27</v>
      </c>
      <c r="AJ1189" s="335" t="str">
        <f ca="1">Параметры!AJ$34</f>
        <v>июн.27</v>
      </c>
      <c r="AK1189" s="335" t="str">
        <f ca="1">Параметры!AK$34</f>
        <v>июл.27</v>
      </c>
      <c r="AL1189" s="335" t="str">
        <f ca="1">Параметры!AL$34</f>
        <v>авг.27</v>
      </c>
      <c r="AM1189" s="335" t="str">
        <f ca="1">Параметры!AM$34</f>
        <v>сен.27</v>
      </c>
      <c r="AN1189" s="335" t="str">
        <f ca="1">Параметры!AN$34</f>
        <v>окт.27</v>
      </c>
      <c r="AO1189" s="335" t="str">
        <f ca="1">Параметры!AO$34</f>
        <v>ноя.27</v>
      </c>
      <c r="AP1189" s="335" t="str">
        <f ca="1">Параметры!AP$34</f>
        <v>дек.27</v>
      </c>
      <c r="AQ1189" s="335" t="str">
        <f ca="1">Параметры!AQ$34</f>
        <v>янв.28</v>
      </c>
      <c r="AR1189" s="335" t="str">
        <f ca="1">Параметры!AR$34</f>
        <v>фев.28</v>
      </c>
      <c r="AS1189" s="335" t="str">
        <f ca="1">Параметры!AS$34</f>
        <v>мар.28</v>
      </c>
      <c r="AT1189" s="335" t="str">
        <f ca="1">Параметры!AT$34</f>
        <v>апр.28</v>
      </c>
      <c r="AU1189" s="335" t="str">
        <f ca="1">Параметры!AU$34</f>
        <v>май.28</v>
      </c>
      <c r="AV1189" s="335" t="str">
        <f ca="1">Параметры!AV$34</f>
        <v>июн.28</v>
      </c>
      <c r="AW1189" s="335" t="str">
        <f ca="1">Параметры!AW$34</f>
        <v>июл.28</v>
      </c>
      <c r="AX1189" s="335" t="str">
        <f ca="1">Параметры!AX$34</f>
        <v>авг.28</v>
      </c>
      <c r="AY1189" s="335" t="str">
        <f ca="1">Параметры!AY$34</f>
        <v>сен.28</v>
      </c>
      <c r="AZ1189" s="335" t="str">
        <f ca="1">Параметры!AZ$34</f>
        <v>окт.28</v>
      </c>
      <c r="BA1189" s="335" t="str">
        <f ca="1">Параметры!BA$34</f>
        <v>ноя.28</v>
      </c>
      <c r="BB1189" s="335" t="str">
        <f ca="1">Параметры!BB$34</f>
        <v>дек.28</v>
      </c>
      <c r="BC1189" s="335"/>
      <c r="BD1189" s="336" t="str">
        <f ca="1">Language!$A$1473</f>
        <v>ИТОГО</v>
      </c>
    </row>
    <row r="1190" spans="1:56" ht="14.4" hidden="1" thickTop="1" x14ac:dyDescent="0.3">
      <c r="A1190" s="195"/>
      <c r="E1190" s="170" t="s">
        <v>642</v>
      </c>
      <c r="F1190" s="170" t="s">
        <v>643</v>
      </c>
    </row>
    <row r="1191" spans="1:56" ht="14.4" hidden="1" thickTop="1" x14ac:dyDescent="0.3">
      <c r="A1191" s="283" t="str">
        <f ca="1">Language!A$1105</f>
        <v>Шаблон долгосрочного кредита</v>
      </c>
      <c r="B1191" s="205"/>
      <c r="C1191" s="176" t="str">
        <f t="shared" ref="C1191" ca="1" si="4383">CHOOSE(D1191,CurName1,CurName2,CurName3)</f>
        <v>руб.</v>
      </c>
      <c r="D1191" s="174">
        <v>1</v>
      </c>
      <c r="F1191" s="170" t="s">
        <v>2199</v>
      </c>
    </row>
    <row r="1192" spans="1:56" ht="14.4" hidden="1" thickTop="1" x14ac:dyDescent="0.3">
      <c r="A1192" s="175" t="str">
        <f ca="1">Language!A$1106</f>
        <v>ставка процентов по кредиту</v>
      </c>
      <c r="B1192" s="303">
        <v>0.1</v>
      </c>
      <c r="C1192" s="176" t="str">
        <f ca="1">Language!$A$480</f>
        <v>% в год</v>
      </c>
      <c r="D1192" s="174"/>
      <c r="E1192" s="170" t="s">
        <v>1534</v>
      </c>
      <c r="F1192" s="170" t="s">
        <v>749</v>
      </c>
      <c r="G1192" s="304">
        <f>B1192</f>
        <v>0.1</v>
      </c>
      <c r="H1192" s="304">
        <f t="shared" ref="H1192:BB1192" si="4384">G1192</f>
        <v>0.1</v>
      </c>
      <c r="I1192" s="304">
        <f t="shared" si="4384"/>
        <v>0.1</v>
      </c>
      <c r="J1192" s="304">
        <f t="shared" si="4384"/>
        <v>0.1</v>
      </c>
      <c r="K1192" s="304">
        <f t="shared" si="4384"/>
        <v>0.1</v>
      </c>
      <c r="L1192" s="304">
        <f t="shared" si="4384"/>
        <v>0.1</v>
      </c>
      <c r="M1192" s="304">
        <f t="shared" si="4384"/>
        <v>0.1</v>
      </c>
      <c r="N1192" s="304">
        <f t="shared" si="4384"/>
        <v>0.1</v>
      </c>
      <c r="O1192" s="304">
        <f t="shared" si="4384"/>
        <v>0.1</v>
      </c>
      <c r="P1192" s="304">
        <f t="shared" si="4384"/>
        <v>0.1</v>
      </c>
      <c r="Q1192" s="304">
        <f t="shared" si="4384"/>
        <v>0.1</v>
      </c>
      <c r="R1192" s="304">
        <f t="shared" si="4384"/>
        <v>0.1</v>
      </c>
      <c r="S1192" s="304">
        <f t="shared" si="4384"/>
        <v>0.1</v>
      </c>
      <c r="T1192" s="304">
        <f t="shared" si="4384"/>
        <v>0.1</v>
      </c>
      <c r="U1192" s="304">
        <f t="shared" si="4384"/>
        <v>0.1</v>
      </c>
      <c r="V1192" s="304">
        <f t="shared" si="4384"/>
        <v>0.1</v>
      </c>
      <c r="W1192" s="304">
        <f t="shared" si="4384"/>
        <v>0.1</v>
      </c>
      <c r="X1192" s="304">
        <f t="shared" si="4384"/>
        <v>0.1</v>
      </c>
      <c r="Y1192" s="304">
        <f t="shared" si="4384"/>
        <v>0.1</v>
      </c>
      <c r="Z1192" s="304">
        <f t="shared" si="4384"/>
        <v>0.1</v>
      </c>
      <c r="AA1192" s="304">
        <f t="shared" si="4384"/>
        <v>0.1</v>
      </c>
      <c r="AB1192" s="304">
        <f t="shared" si="4384"/>
        <v>0.1</v>
      </c>
      <c r="AC1192" s="304">
        <f t="shared" si="4384"/>
        <v>0.1</v>
      </c>
      <c r="AD1192" s="304">
        <f t="shared" si="4384"/>
        <v>0.1</v>
      </c>
      <c r="AE1192" s="304">
        <f t="shared" si="4384"/>
        <v>0.1</v>
      </c>
      <c r="AF1192" s="304">
        <f t="shared" si="4384"/>
        <v>0.1</v>
      </c>
      <c r="AG1192" s="304">
        <f t="shared" si="4384"/>
        <v>0.1</v>
      </c>
      <c r="AH1192" s="304">
        <f t="shared" si="4384"/>
        <v>0.1</v>
      </c>
      <c r="AI1192" s="304">
        <f t="shared" si="4384"/>
        <v>0.1</v>
      </c>
      <c r="AJ1192" s="304">
        <f t="shared" si="4384"/>
        <v>0.1</v>
      </c>
      <c r="AK1192" s="304">
        <f t="shared" si="4384"/>
        <v>0.1</v>
      </c>
      <c r="AL1192" s="304">
        <f t="shared" si="4384"/>
        <v>0.1</v>
      </c>
      <c r="AM1192" s="304">
        <f t="shared" si="4384"/>
        <v>0.1</v>
      </c>
      <c r="AN1192" s="304">
        <f t="shared" si="4384"/>
        <v>0.1</v>
      </c>
      <c r="AO1192" s="304">
        <f t="shared" si="4384"/>
        <v>0.1</v>
      </c>
      <c r="AP1192" s="304">
        <f t="shared" si="4384"/>
        <v>0.1</v>
      </c>
      <c r="AQ1192" s="304">
        <f t="shared" si="4384"/>
        <v>0.1</v>
      </c>
      <c r="AR1192" s="304">
        <f t="shared" si="4384"/>
        <v>0.1</v>
      </c>
      <c r="AS1192" s="304">
        <f t="shared" si="4384"/>
        <v>0.1</v>
      </c>
      <c r="AT1192" s="304">
        <f t="shared" si="4384"/>
        <v>0.1</v>
      </c>
      <c r="AU1192" s="304">
        <f t="shared" si="4384"/>
        <v>0.1</v>
      </c>
      <c r="AV1192" s="304">
        <f t="shared" si="4384"/>
        <v>0.1</v>
      </c>
      <c r="AW1192" s="304">
        <f t="shared" si="4384"/>
        <v>0.1</v>
      </c>
      <c r="AX1192" s="304">
        <f t="shared" si="4384"/>
        <v>0.1</v>
      </c>
      <c r="AY1192" s="304">
        <f t="shared" si="4384"/>
        <v>0.1</v>
      </c>
      <c r="AZ1192" s="304">
        <f t="shared" si="4384"/>
        <v>0.1</v>
      </c>
      <c r="BA1192" s="304">
        <f t="shared" si="4384"/>
        <v>0.1</v>
      </c>
      <c r="BB1192" s="304">
        <f t="shared" si="4384"/>
        <v>0.1</v>
      </c>
      <c r="BC1192" s="226"/>
    </row>
    <row r="1193" spans="1:56" ht="14.4" hidden="1" thickTop="1" x14ac:dyDescent="0.3">
      <c r="A1193" s="175" t="str">
        <f ca="1">Language!A$1107</f>
        <v>отсрочка выплаты процентов</v>
      </c>
      <c r="B1193" s="292">
        <v>0</v>
      </c>
      <c r="C1193" s="176" t="str">
        <f ca="1">Language!$A$1484</f>
        <v>периодов</v>
      </c>
      <c r="D1193" s="174"/>
      <c r="F1193" s="170" t="s">
        <v>753</v>
      </c>
    </row>
    <row r="1194" spans="1:56" ht="14.4" hidden="1" thickTop="1" x14ac:dyDescent="0.3">
      <c r="A1194" s="175" t="str">
        <f ca="1">Language!A$1108</f>
        <v>капитализация невыплаченных процентов</v>
      </c>
      <c r="B1194" s="305">
        <v>1</v>
      </c>
      <c r="C1194" s="176" t="str">
        <f ca="1">IF(B1194=1,Language!$A$1475,Language!$A$1476)</f>
        <v>Да</v>
      </c>
      <c r="D1194" s="174"/>
      <c r="F1194" s="170" t="s">
        <v>2351</v>
      </c>
    </row>
    <row r="1195" spans="1:56" ht="14.4" hidden="1" thickTop="1" x14ac:dyDescent="0.3">
      <c r="A1195" s="175" t="str">
        <f ca="1">Language!A$1109</f>
        <v>срок кредитования</v>
      </c>
      <c r="B1195" s="227">
        <f ca="1">IF(OFFSET(G1198,0,Prj_Len-1)&gt;0,"-",BD1202/12)</f>
        <v>0</v>
      </c>
      <c r="C1195" s="228" t="str">
        <f ca="1">Language!A$48</f>
        <v>лет</v>
      </c>
      <c r="D1195" s="174"/>
      <c r="F1195" s="170" t="s">
        <v>753</v>
      </c>
    </row>
    <row r="1196" spans="1:56" ht="14.4" hidden="1" thickTop="1" x14ac:dyDescent="0.3">
      <c r="A1196" s="175" t="str">
        <f ca="1">Language!A$1110</f>
        <v>поступление денег от кредита</v>
      </c>
      <c r="C1196" s="176" t="str">
        <f t="shared" ref="C1196:C1200" ca="1" si="4385">CHOOSE(D1196,CurName1,CurName2,CurName3)</f>
        <v>руб.</v>
      </c>
      <c r="D1196" s="174">
        <f>D1191</f>
        <v>1</v>
      </c>
      <c r="E1196" s="170" t="s">
        <v>1463</v>
      </c>
      <c r="F1196" s="170" t="s">
        <v>742</v>
      </c>
      <c r="G1196" s="296">
        <v>0</v>
      </c>
      <c r="H1196" s="296">
        <v>0</v>
      </c>
      <c r="I1196" s="296">
        <v>0</v>
      </c>
      <c r="J1196" s="296">
        <v>0</v>
      </c>
      <c r="K1196" s="296">
        <v>0</v>
      </c>
      <c r="L1196" s="296">
        <v>0</v>
      </c>
      <c r="M1196" s="296">
        <v>0</v>
      </c>
      <c r="N1196" s="296">
        <v>0</v>
      </c>
      <c r="O1196" s="296">
        <v>0</v>
      </c>
      <c r="P1196" s="296">
        <v>0</v>
      </c>
      <c r="Q1196" s="296">
        <v>0</v>
      </c>
      <c r="R1196" s="296">
        <v>0</v>
      </c>
      <c r="S1196" s="296">
        <v>0</v>
      </c>
      <c r="T1196" s="296">
        <v>0</v>
      </c>
      <c r="U1196" s="296">
        <v>0</v>
      </c>
      <c r="V1196" s="296">
        <v>0</v>
      </c>
      <c r="W1196" s="296">
        <v>0</v>
      </c>
      <c r="X1196" s="296">
        <v>0</v>
      </c>
      <c r="Y1196" s="296">
        <v>0</v>
      </c>
      <c r="Z1196" s="296">
        <v>0</v>
      </c>
      <c r="AA1196" s="296">
        <v>0</v>
      </c>
      <c r="AB1196" s="296">
        <v>0</v>
      </c>
      <c r="AC1196" s="296">
        <v>0</v>
      </c>
      <c r="AD1196" s="296">
        <v>0</v>
      </c>
      <c r="AE1196" s="296">
        <v>0</v>
      </c>
      <c r="AF1196" s="296">
        <v>0</v>
      </c>
      <c r="AG1196" s="296">
        <v>0</v>
      </c>
      <c r="AH1196" s="296">
        <v>0</v>
      </c>
      <c r="AI1196" s="296">
        <v>0</v>
      </c>
      <c r="AJ1196" s="296">
        <v>0</v>
      </c>
      <c r="AK1196" s="296">
        <v>0</v>
      </c>
      <c r="AL1196" s="296">
        <v>0</v>
      </c>
      <c r="AM1196" s="296">
        <v>0</v>
      </c>
      <c r="AN1196" s="296">
        <v>0</v>
      </c>
      <c r="AO1196" s="296">
        <v>0</v>
      </c>
      <c r="AP1196" s="296">
        <v>0</v>
      </c>
      <c r="AQ1196" s="296">
        <v>0</v>
      </c>
      <c r="AR1196" s="296">
        <v>0</v>
      </c>
      <c r="AS1196" s="296">
        <v>0</v>
      </c>
      <c r="AT1196" s="296">
        <v>0</v>
      </c>
      <c r="AU1196" s="296">
        <v>0</v>
      </c>
      <c r="AV1196" s="296">
        <v>0</v>
      </c>
      <c r="AW1196" s="296">
        <v>0</v>
      </c>
      <c r="AX1196" s="296">
        <v>0</v>
      </c>
      <c r="AY1196" s="296">
        <v>0</v>
      </c>
      <c r="AZ1196" s="296">
        <v>0</v>
      </c>
      <c r="BA1196" s="296">
        <v>0</v>
      </c>
      <c r="BB1196" s="296">
        <v>0</v>
      </c>
      <c r="BC1196" s="202"/>
      <c r="BD1196" s="178">
        <f>SUM(G1196:BC1196)</f>
        <v>0</v>
      </c>
    </row>
    <row r="1197" spans="1:56" ht="14.4" hidden="1" thickTop="1" x14ac:dyDescent="0.3">
      <c r="A1197" s="175" t="str">
        <f ca="1">Language!A$1111</f>
        <v>погашение кредита</v>
      </c>
      <c r="C1197" s="176" t="str">
        <f t="shared" ca="1" si="4385"/>
        <v>руб.</v>
      </c>
      <c r="D1197" s="174">
        <f>D1191</f>
        <v>1</v>
      </c>
      <c r="E1197" s="170" t="s">
        <v>1464</v>
      </c>
      <c r="F1197" s="170" t="s">
        <v>742</v>
      </c>
      <c r="G1197" s="296">
        <v>0</v>
      </c>
      <c r="H1197" s="296">
        <v>0</v>
      </c>
      <c r="I1197" s="296">
        <v>0</v>
      </c>
      <c r="J1197" s="296">
        <v>0</v>
      </c>
      <c r="K1197" s="296">
        <v>0</v>
      </c>
      <c r="L1197" s="296">
        <v>0</v>
      </c>
      <c r="M1197" s="296">
        <v>0</v>
      </c>
      <c r="N1197" s="296">
        <v>0</v>
      </c>
      <c r="O1197" s="296">
        <v>0</v>
      </c>
      <c r="P1197" s="296">
        <v>0</v>
      </c>
      <c r="Q1197" s="296">
        <v>0</v>
      </c>
      <c r="R1197" s="296">
        <v>0</v>
      </c>
      <c r="S1197" s="296">
        <v>0</v>
      </c>
      <c r="T1197" s="296">
        <v>0</v>
      </c>
      <c r="U1197" s="296">
        <v>0</v>
      </c>
      <c r="V1197" s="296">
        <v>0</v>
      </c>
      <c r="W1197" s="296">
        <v>0</v>
      </c>
      <c r="X1197" s="296">
        <v>0</v>
      </c>
      <c r="Y1197" s="296">
        <v>0</v>
      </c>
      <c r="Z1197" s="296">
        <v>0</v>
      </c>
      <c r="AA1197" s="296">
        <v>0</v>
      </c>
      <c r="AB1197" s="296">
        <v>0</v>
      </c>
      <c r="AC1197" s="296">
        <v>0</v>
      </c>
      <c r="AD1197" s="296">
        <v>0</v>
      </c>
      <c r="AE1197" s="296">
        <v>0</v>
      </c>
      <c r="AF1197" s="296">
        <v>0</v>
      </c>
      <c r="AG1197" s="296">
        <v>0</v>
      </c>
      <c r="AH1197" s="296">
        <v>0</v>
      </c>
      <c r="AI1197" s="296">
        <v>0</v>
      </c>
      <c r="AJ1197" s="296">
        <v>0</v>
      </c>
      <c r="AK1197" s="296">
        <v>0</v>
      </c>
      <c r="AL1197" s="296">
        <v>0</v>
      </c>
      <c r="AM1197" s="296">
        <v>0</v>
      </c>
      <c r="AN1197" s="296">
        <v>0</v>
      </c>
      <c r="AO1197" s="296">
        <v>0</v>
      </c>
      <c r="AP1197" s="296">
        <v>0</v>
      </c>
      <c r="AQ1197" s="296">
        <v>0</v>
      </c>
      <c r="AR1197" s="296">
        <v>0</v>
      </c>
      <c r="AS1197" s="296">
        <v>0</v>
      </c>
      <c r="AT1197" s="296">
        <v>0</v>
      </c>
      <c r="AU1197" s="296">
        <v>0</v>
      </c>
      <c r="AV1197" s="296">
        <v>0</v>
      </c>
      <c r="AW1197" s="296">
        <v>0</v>
      </c>
      <c r="AX1197" s="296">
        <v>0</v>
      </c>
      <c r="AY1197" s="296">
        <v>0</v>
      </c>
      <c r="AZ1197" s="296">
        <v>0</v>
      </c>
      <c r="BA1197" s="296">
        <v>0</v>
      </c>
      <c r="BB1197" s="296">
        <v>0</v>
      </c>
      <c r="BC1197" s="202"/>
      <c r="BD1197" s="178">
        <f>SUM(G1197:BC1197)</f>
        <v>0</v>
      </c>
    </row>
    <row r="1198" spans="1:56" ht="14.4" hidden="1" thickTop="1" x14ac:dyDescent="0.3">
      <c r="A1198" s="181" t="str">
        <f ca="1">Language!A$1112</f>
        <v>задолженность по кредиту</v>
      </c>
      <c r="B1198" s="176"/>
      <c r="C1198" s="176" t="str">
        <f t="shared" ca="1" si="4385"/>
        <v>руб.</v>
      </c>
      <c r="D1198" s="174">
        <f>D1191</f>
        <v>1</v>
      </c>
      <c r="E1198" s="170" t="s">
        <v>1039</v>
      </c>
      <c r="F1198" s="170" t="s">
        <v>749</v>
      </c>
      <c r="G1198" s="182">
        <f>SUM($G1199:G1199)-SUM($G1200:G1200)+SUM($G1196:G1196)-SUM($G1197:G1197)</f>
        <v>0</v>
      </c>
      <c r="H1198" s="182">
        <f>SUM($G1199:H1199)-SUM($G1200:H1200)+SUM($G1196:H1196)-SUM($G1197:H1197)</f>
        <v>0</v>
      </c>
      <c r="I1198" s="182">
        <f>SUM($G1199:I1199)-SUM($G1200:I1200)+SUM($G1196:I1196)-SUM($G1197:I1197)</f>
        <v>0</v>
      </c>
      <c r="J1198" s="182">
        <f>SUM($G1199:J1199)-SUM($G1200:J1200)+SUM($G1196:J1196)-SUM($G1197:J1197)</f>
        <v>0</v>
      </c>
      <c r="K1198" s="182">
        <f>SUM($G1199:K1199)-SUM($G1200:K1200)+SUM($G1196:K1196)-SUM($G1197:K1197)</f>
        <v>0</v>
      </c>
      <c r="L1198" s="182">
        <f>SUM($G1199:L1199)-SUM($G1200:L1200)+SUM($G1196:L1196)-SUM($G1197:L1197)</f>
        <v>0</v>
      </c>
      <c r="M1198" s="182">
        <f>SUM($G1199:M1199)-SUM($G1200:M1200)+SUM($G1196:M1196)-SUM($G1197:M1197)</f>
        <v>0</v>
      </c>
      <c r="N1198" s="182">
        <f>SUM($G1199:N1199)-SUM($G1200:N1200)+SUM($G1196:N1196)-SUM($G1197:N1197)</f>
        <v>0</v>
      </c>
      <c r="O1198" s="182">
        <f>SUM($G1199:O1199)-SUM($G1200:O1200)+SUM($G1196:O1196)-SUM($G1197:O1197)</f>
        <v>0</v>
      </c>
      <c r="P1198" s="182">
        <f>SUM($G1199:P1199)-SUM($G1200:P1200)+SUM($G1196:P1196)-SUM($G1197:P1197)</f>
        <v>0</v>
      </c>
      <c r="Q1198" s="182">
        <f>SUM($G1199:Q1199)-SUM($G1200:Q1200)+SUM($G1196:Q1196)-SUM($G1197:Q1197)</f>
        <v>0</v>
      </c>
      <c r="R1198" s="182">
        <f>SUM($G1199:R1199)-SUM($G1200:R1200)+SUM($G1196:R1196)-SUM($G1197:R1197)</f>
        <v>0</v>
      </c>
      <c r="S1198" s="182">
        <f>SUM($G1199:S1199)-SUM($G1200:S1200)+SUM($G1196:S1196)-SUM($G1197:S1197)</f>
        <v>0</v>
      </c>
      <c r="T1198" s="182">
        <f>SUM($G1199:T1199)-SUM($G1200:T1200)+SUM($G1196:T1196)-SUM($G1197:T1197)</f>
        <v>0</v>
      </c>
      <c r="U1198" s="182">
        <f>SUM($G1199:U1199)-SUM($G1200:U1200)+SUM($G1196:U1196)-SUM($G1197:U1197)</f>
        <v>0</v>
      </c>
      <c r="V1198" s="182">
        <f>SUM($G1199:V1199)-SUM($G1200:V1200)+SUM($G1196:V1196)-SUM($G1197:V1197)</f>
        <v>0</v>
      </c>
      <c r="W1198" s="182">
        <f>SUM($G1199:W1199)-SUM($G1200:W1200)+SUM($G1196:W1196)-SUM($G1197:W1197)</f>
        <v>0</v>
      </c>
      <c r="X1198" s="182">
        <f>SUM($G1199:X1199)-SUM($G1200:X1200)+SUM($G1196:X1196)-SUM($G1197:X1197)</f>
        <v>0</v>
      </c>
      <c r="Y1198" s="182">
        <f>SUM($G1199:Y1199)-SUM($G1200:Y1200)+SUM($G1196:Y1196)-SUM($G1197:Y1197)</f>
        <v>0</v>
      </c>
      <c r="Z1198" s="182">
        <f>SUM($G1199:Z1199)-SUM($G1200:Z1200)+SUM($G1196:Z1196)-SUM($G1197:Z1197)</f>
        <v>0</v>
      </c>
      <c r="AA1198" s="182">
        <f>SUM($G1199:AA1199)-SUM($G1200:AA1200)+SUM($G1196:AA1196)-SUM($G1197:AA1197)</f>
        <v>0</v>
      </c>
      <c r="AB1198" s="182">
        <f>SUM($G1199:AB1199)-SUM($G1200:AB1200)+SUM($G1196:AB1196)-SUM($G1197:AB1197)</f>
        <v>0</v>
      </c>
      <c r="AC1198" s="182">
        <f>SUM($G1199:AC1199)-SUM($G1200:AC1200)+SUM($G1196:AC1196)-SUM($G1197:AC1197)</f>
        <v>0</v>
      </c>
      <c r="AD1198" s="182">
        <f>SUM($G1199:AD1199)-SUM($G1200:AD1200)+SUM($G1196:AD1196)-SUM($G1197:AD1197)</f>
        <v>0</v>
      </c>
      <c r="AE1198" s="182">
        <f>SUM($G1199:AE1199)-SUM($G1200:AE1200)+SUM($G1196:AE1196)-SUM($G1197:AE1197)</f>
        <v>0</v>
      </c>
      <c r="AF1198" s="182">
        <f>SUM($G1199:AF1199)-SUM($G1200:AF1200)+SUM($G1196:AF1196)-SUM($G1197:AF1197)</f>
        <v>0</v>
      </c>
      <c r="AG1198" s="182">
        <f>SUM($G1199:AG1199)-SUM($G1200:AG1200)+SUM($G1196:AG1196)-SUM($G1197:AG1197)</f>
        <v>0</v>
      </c>
      <c r="AH1198" s="182">
        <f>SUM($G1199:AH1199)-SUM($G1200:AH1200)+SUM($G1196:AH1196)-SUM($G1197:AH1197)</f>
        <v>0</v>
      </c>
      <c r="AI1198" s="182">
        <f>SUM($G1199:AI1199)-SUM($G1200:AI1200)+SUM($G1196:AI1196)-SUM($G1197:AI1197)</f>
        <v>0</v>
      </c>
      <c r="AJ1198" s="182">
        <f>SUM($G1199:AJ1199)-SUM($G1200:AJ1200)+SUM($G1196:AJ1196)-SUM($G1197:AJ1197)</f>
        <v>0</v>
      </c>
      <c r="AK1198" s="182">
        <f>SUM($G1199:AK1199)-SUM($G1200:AK1200)+SUM($G1196:AK1196)-SUM($G1197:AK1197)</f>
        <v>0</v>
      </c>
      <c r="AL1198" s="182">
        <f>SUM($G1199:AL1199)-SUM($G1200:AL1200)+SUM($G1196:AL1196)-SUM($G1197:AL1197)</f>
        <v>0</v>
      </c>
      <c r="AM1198" s="182">
        <f>SUM($G1199:AM1199)-SUM($G1200:AM1200)+SUM($G1196:AM1196)-SUM($G1197:AM1197)</f>
        <v>0</v>
      </c>
      <c r="AN1198" s="182">
        <f>SUM($G1199:AN1199)-SUM($G1200:AN1200)+SUM($G1196:AN1196)-SUM($G1197:AN1197)</f>
        <v>0</v>
      </c>
      <c r="AO1198" s="182">
        <f>SUM($G1199:AO1199)-SUM($G1200:AO1200)+SUM($G1196:AO1196)-SUM($G1197:AO1197)</f>
        <v>0</v>
      </c>
      <c r="AP1198" s="182">
        <f>SUM($G1199:AP1199)-SUM($G1200:AP1200)+SUM($G1196:AP1196)-SUM($G1197:AP1197)</f>
        <v>0</v>
      </c>
      <c r="AQ1198" s="182">
        <f>SUM($G1199:AQ1199)-SUM($G1200:AQ1200)+SUM($G1196:AQ1196)-SUM($G1197:AQ1197)</f>
        <v>0</v>
      </c>
      <c r="AR1198" s="182">
        <f>SUM($G1199:AR1199)-SUM($G1200:AR1200)+SUM($G1196:AR1196)-SUM($G1197:AR1197)</f>
        <v>0</v>
      </c>
      <c r="AS1198" s="182">
        <f>SUM($G1199:AS1199)-SUM($G1200:AS1200)+SUM($G1196:AS1196)-SUM($G1197:AS1197)</f>
        <v>0</v>
      </c>
      <c r="AT1198" s="182">
        <f>SUM($G1199:AT1199)-SUM($G1200:AT1200)+SUM($G1196:AT1196)-SUM($G1197:AT1197)</f>
        <v>0</v>
      </c>
      <c r="AU1198" s="182">
        <f>SUM($G1199:AU1199)-SUM($G1200:AU1200)+SUM($G1196:AU1196)-SUM($G1197:AU1197)</f>
        <v>0</v>
      </c>
      <c r="AV1198" s="182">
        <f>SUM($G1199:AV1199)-SUM($G1200:AV1200)+SUM($G1196:AV1196)-SUM($G1197:AV1197)</f>
        <v>0</v>
      </c>
      <c r="AW1198" s="182">
        <f>SUM($G1199:AW1199)-SUM($G1200:AW1200)+SUM($G1196:AW1196)-SUM($G1197:AW1197)</f>
        <v>0</v>
      </c>
      <c r="AX1198" s="182">
        <f>SUM($G1199:AX1199)-SUM($G1200:AX1200)+SUM($G1196:AX1196)-SUM($G1197:AX1197)</f>
        <v>0</v>
      </c>
      <c r="AY1198" s="182">
        <f>SUM($G1199:AY1199)-SUM($G1200:AY1200)+SUM($G1196:AY1196)-SUM($G1197:AY1197)</f>
        <v>0</v>
      </c>
      <c r="AZ1198" s="182">
        <f>SUM($G1199:AZ1199)-SUM($G1200:AZ1200)+SUM($G1196:AZ1196)-SUM($G1197:AZ1197)</f>
        <v>0</v>
      </c>
      <c r="BA1198" s="182">
        <f>SUM($G1199:BA1199)-SUM($G1200:BA1200)+SUM($G1196:BA1196)-SUM($G1197:BA1197)</f>
        <v>0</v>
      </c>
      <c r="BB1198" s="182">
        <f>SUM($G1199:BB1199)-SUM($G1200:BB1200)+SUM($G1196:BB1196)-SUM($G1197:BB1197)</f>
        <v>0</v>
      </c>
      <c r="BC1198" s="182"/>
      <c r="BD1198" s="183"/>
    </row>
    <row r="1199" spans="1:56" ht="14.4" hidden="1" thickTop="1" x14ac:dyDescent="0.3">
      <c r="A1199" s="181" t="str">
        <f ca="1">Language!A$1113</f>
        <v>начисленные проценты</v>
      </c>
      <c r="B1199" s="173"/>
      <c r="C1199" s="176" t="str">
        <f t="shared" ca="1" si="4385"/>
        <v>руб.</v>
      </c>
      <c r="D1199" s="174">
        <f>D1191</f>
        <v>1</v>
      </c>
      <c r="E1199" s="170" t="s">
        <v>1465</v>
      </c>
      <c r="F1199" s="170" t="s">
        <v>742</v>
      </c>
      <c r="G1199" s="182">
        <f>MAX((SUM($G1196:G1196)-SUM($G1197:G1197)+IF(AND($B1194=1,G$2&gt;1),SUM($F1199:F1199)-SUM($F1200:F1200),0)), 0) * G1192/12*Параметры!G$31</f>
        <v>0</v>
      </c>
      <c r="H1199" s="182">
        <f>MAX((SUM($G1196:H1196)-SUM($G1197:H1197)+IF(AND($B1194=1,H$2&gt;1),SUM($F1199:G1199)-SUM($F1200:G1200),0)), 0) * H1192/12*Параметры!H$31</f>
        <v>0</v>
      </c>
      <c r="I1199" s="182">
        <f>MAX((SUM($G1196:I1196)-SUM($G1197:I1197)+IF(AND($B1194=1,I$2&gt;1),SUM($F1199:H1199)-SUM($F1200:H1200),0)), 0) * I1192/12*Параметры!I$31</f>
        <v>0</v>
      </c>
      <c r="J1199" s="182">
        <f>MAX((SUM($G1196:J1196)-SUM($G1197:J1197)+IF(AND($B1194=1,J$2&gt;1),SUM($F1199:I1199)-SUM($F1200:I1200),0)), 0) * J1192/12*Параметры!J$31</f>
        <v>0</v>
      </c>
      <c r="K1199" s="182">
        <f>MAX((SUM($G1196:K1196)-SUM($G1197:K1197)+IF(AND($B1194=1,K$2&gt;1),SUM($F1199:J1199)-SUM($F1200:J1200),0)), 0) * K1192/12*Параметры!K$31</f>
        <v>0</v>
      </c>
      <c r="L1199" s="182">
        <f>MAX((SUM($G1196:L1196)-SUM($G1197:L1197)+IF(AND($B1194=1,L$2&gt;1),SUM($F1199:K1199)-SUM($F1200:K1200),0)), 0) * L1192/12*Параметры!L$31</f>
        <v>0</v>
      </c>
      <c r="M1199" s="182">
        <f>MAX((SUM($G1196:M1196)-SUM($G1197:M1197)+IF(AND($B1194=1,M$2&gt;1),SUM($F1199:L1199)-SUM($F1200:L1200),0)), 0) * M1192/12*Параметры!M$31</f>
        <v>0</v>
      </c>
      <c r="N1199" s="182">
        <f>MAX((SUM($G1196:N1196)-SUM($G1197:N1197)+IF(AND($B1194=1,N$2&gt;1),SUM($F1199:M1199)-SUM($F1200:M1200),0)), 0) * N1192/12*Параметры!N$31</f>
        <v>0</v>
      </c>
      <c r="O1199" s="182">
        <f>MAX((SUM($G1196:O1196)-SUM($G1197:O1197)+IF(AND($B1194=1,O$2&gt;1),SUM($F1199:N1199)-SUM($F1200:N1200),0)), 0) * O1192/12*Параметры!O$31</f>
        <v>0</v>
      </c>
      <c r="P1199" s="182">
        <f>MAX((SUM($G1196:P1196)-SUM($G1197:P1197)+IF(AND($B1194=1,P$2&gt;1),SUM($F1199:O1199)-SUM($F1200:O1200),0)), 0) * P1192/12*Параметры!P$31</f>
        <v>0</v>
      </c>
      <c r="Q1199" s="182">
        <f>MAX((SUM($G1196:Q1196)-SUM($G1197:Q1197)+IF(AND($B1194=1,Q$2&gt;1),SUM($F1199:P1199)-SUM($F1200:P1200),0)), 0) * Q1192/12*Параметры!Q$31</f>
        <v>0</v>
      </c>
      <c r="R1199" s="182">
        <f>MAX((SUM($G1196:R1196)-SUM($G1197:R1197)+IF(AND($B1194=1,R$2&gt;1),SUM($F1199:Q1199)-SUM($F1200:Q1200),0)), 0) * R1192/12*Параметры!R$31</f>
        <v>0</v>
      </c>
      <c r="S1199" s="182">
        <f>MAX((SUM($G1196:S1196)-SUM($G1197:S1197)+IF(AND($B1194=1,S$2&gt;1),SUM($F1199:R1199)-SUM($F1200:R1200),0)), 0) * S1192/12*Параметры!S$31</f>
        <v>0</v>
      </c>
      <c r="T1199" s="182">
        <f>MAX((SUM($G1196:T1196)-SUM($G1197:T1197)+IF(AND($B1194=1,T$2&gt;1),SUM($F1199:S1199)-SUM($F1200:S1200),0)), 0) * T1192/12*Параметры!T$31</f>
        <v>0</v>
      </c>
      <c r="U1199" s="182">
        <f>MAX((SUM($G1196:U1196)-SUM($G1197:U1197)+IF(AND($B1194=1,U$2&gt;1),SUM($F1199:T1199)-SUM($F1200:T1200),0)), 0) * U1192/12*Параметры!U$31</f>
        <v>0</v>
      </c>
      <c r="V1199" s="182">
        <f>MAX((SUM($G1196:V1196)-SUM($G1197:V1197)+IF(AND($B1194=1,V$2&gt;1),SUM($F1199:U1199)-SUM($F1200:U1200),0)), 0) * V1192/12*Параметры!V$31</f>
        <v>0</v>
      </c>
      <c r="W1199" s="182">
        <f>MAX((SUM($G1196:W1196)-SUM($G1197:W1197)+IF(AND($B1194=1,W$2&gt;1),SUM($F1199:V1199)-SUM($F1200:V1200),0)), 0) * W1192/12*Параметры!W$31</f>
        <v>0</v>
      </c>
      <c r="X1199" s="182">
        <f>MAX((SUM($G1196:X1196)-SUM($G1197:X1197)+IF(AND($B1194=1,X$2&gt;1),SUM($F1199:W1199)-SUM($F1200:W1200),0)), 0) * X1192/12*Параметры!X$31</f>
        <v>0</v>
      </c>
      <c r="Y1199" s="182">
        <f>MAX((SUM($G1196:Y1196)-SUM($G1197:Y1197)+IF(AND($B1194=1,Y$2&gt;1),SUM($F1199:X1199)-SUM($F1200:X1200),0)), 0) * Y1192/12*Параметры!Y$31</f>
        <v>0</v>
      </c>
      <c r="Z1199" s="182">
        <f>MAX((SUM($G1196:Z1196)-SUM($G1197:Z1197)+IF(AND($B1194=1,Z$2&gt;1),SUM($F1199:Y1199)-SUM($F1200:Y1200),0)), 0) * Z1192/12*Параметры!Z$31</f>
        <v>0</v>
      </c>
      <c r="AA1199" s="182">
        <f>MAX((SUM($G1196:AA1196)-SUM($G1197:AA1197)+IF(AND($B1194=1,AA$2&gt;1),SUM($F1199:Z1199)-SUM($F1200:Z1200),0)), 0) * AA1192/12*Параметры!AA$31</f>
        <v>0</v>
      </c>
      <c r="AB1199" s="182">
        <f>MAX((SUM($G1196:AB1196)-SUM($G1197:AB1197)+IF(AND($B1194=1,AB$2&gt;1),SUM($F1199:AA1199)-SUM($F1200:AA1200),0)), 0) * AB1192/12*Параметры!AB$31</f>
        <v>0</v>
      </c>
      <c r="AC1199" s="182">
        <f>MAX((SUM($G1196:AC1196)-SUM($G1197:AC1197)+IF(AND($B1194=1,AC$2&gt;1),SUM($F1199:AB1199)-SUM($F1200:AB1200),0)), 0) * AC1192/12*Параметры!AC$31</f>
        <v>0</v>
      </c>
      <c r="AD1199" s="182">
        <f>MAX((SUM($G1196:AD1196)-SUM($G1197:AD1197)+IF(AND($B1194=1,AD$2&gt;1),SUM($F1199:AC1199)-SUM($F1200:AC1200),0)), 0) * AD1192/12*Параметры!AD$31</f>
        <v>0</v>
      </c>
      <c r="AE1199" s="182">
        <f>MAX((SUM($G1196:AE1196)-SUM($G1197:AE1197)+IF(AND($B1194=1,AE$2&gt;1),SUM($F1199:AD1199)-SUM($F1200:AD1200),0)), 0) * AE1192/12*Параметры!AE$31</f>
        <v>0</v>
      </c>
      <c r="AF1199" s="182">
        <f>MAX((SUM($G1196:AF1196)-SUM($G1197:AF1197)+IF(AND($B1194=1,AF$2&gt;1),SUM($F1199:AE1199)-SUM($F1200:AE1200),0)), 0) * AF1192/12*Параметры!AF$31</f>
        <v>0</v>
      </c>
      <c r="AG1199" s="182">
        <f>MAX((SUM($G1196:AG1196)-SUM($G1197:AG1197)+IF(AND($B1194=1,AG$2&gt;1),SUM($F1199:AF1199)-SUM($F1200:AF1200),0)), 0) * AG1192/12*Параметры!AG$31</f>
        <v>0</v>
      </c>
      <c r="AH1199" s="182">
        <f>MAX((SUM($G1196:AH1196)-SUM($G1197:AH1197)+IF(AND($B1194=1,AH$2&gt;1),SUM($F1199:AG1199)-SUM($F1200:AG1200),0)), 0) * AH1192/12*Параметры!AH$31</f>
        <v>0</v>
      </c>
      <c r="AI1199" s="182">
        <f>MAX((SUM($G1196:AI1196)-SUM($G1197:AI1197)+IF(AND($B1194=1,AI$2&gt;1),SUM($F1199:AH1199)-SUM($F1200:AH1200),0)), 0) * AI1192/12*Параметры!AI$31</f>
        <v>0</v>
      </c>
      <c r="AJ1199" s="182">
        <f>MAX((SUM($G1196:AJ1196)-SUM($G1197:AJ1197)+IF(AND($B1194=1,AJ$2&gt;1),SUM($F1199:AI1199)-SUM($F1200:AI1200),0)), 0) * AJ1192/12*Параметры!AJ$31</f>
        <v>0</v>
      </c>
      <c r="AK1199" s="182">
        <f>MAX((SUM($G1196:AK1196)-SUM($G1197:AK1197)+IF(AND($B1194=1,AK$2&gt;1),SUM($F1199:AJ1199)-SUM($F1200:AJ1200),0)), 0) * AK1192/12*Параметры!AK$31</f>
        <v>0</v>
      </c>
      <c r="AL1199" s="182">
        <f>MAX((SUM($G1196:AL1196)-SUM($G1197:AL1197)+IF(AND($B1194=1,AL$2&gt;1),SUM($F1199:AK1199)-SUM($F1200:AK1200),0)), 0) * AL1192/12*Параметры!AL$31</f>
        <v>0</v>
      </c>
      <c r="AM1199" s="182">
        <f>MAX((SUM($G1196:AM1196)-SUM($G1197:AM1197)+IF(AND($B1194=1,AM$2&gt;1),SUM($F1199:AL1199)-SUM($F1200:AL1200),0)), 0) * AM1192/12*Параметры!AM$31</f>
        <v>0</v>
      </c>
      <c r="AN1199" s="182">
        <f>MAX((SUM($G1196:AN1196)-SUM($G1197:AN1197)+IF(AND($B1194=1,AN$2&gt;1),SUM($F1199:AM1199)-SUM($F1200:AM1200),0)), 0) * AN1192/12*Параметры!AN$31</f>
        <v>0</v>
      </c>
      <c r="AO1199" s="182">
        <f>MAX((SUM($G1196:AO1196)-SUM($G1197:AO1197)+IF(AND($B1194=1,AO$2&gt;1),SUM($F1199:AN1199)-SUM($F1200:AN1200),0)), 0) * AO1192/12*Параметры!AO$31</f>
        <v>0</v>
      </c>
      <c r="AP1199" s="182">
        <f>MAX((SUM($G1196:AP1196)-SUM($G1197:AP1197)+IF(AND($B1194=1,AP$2&gt;1),SUM($F1199:AO1199)-SUM($F1200:AO1200),0)), 0) * AP1192/12*Параметры!AP$31</f>
        <v>0</v>
      </c>
      <c r="AQ1199" s="182">
        <f>MAX((SUM($G1196:AQ1196)-SUM($G1197:AQ1197)+IF(AND($B1194=1,AQ$2&gt;1),SUM($F1199:AP1199)-SUM($F1200:AP1200),0)), 0) * AQ1192/12*Параметры!AQ$31</f>
        <v>0</v>
      </c>
      <c r="AR1199" s="182">
        <f>MAX((SUM($G1196:AR1196)-SUM($G1197:AR1197)+IF(AND($B1194=1,AR$2&gt;1),SUM($F1199:AQ1199)-SUM($F1200:AQ1200),0)), 0) * AR1192/12*Параметры!AR$31</f>
        <v>0</v>
      </c>
      <c r="AS1199" s="182">
        <f>MAX((SUM($G1196:AS1196)-SUM($G1197:AS1197)+IF(AND($B1194=1,AS$2&gt;1),SUM($F1199:AR1199)-SUM($F1200:AR1200),0)), 0) * AS1192/12*Параметры!AS$31</f>
        <v>0</v>
      </c>
      <c r="AT1199" s="182">
        <f>MAX((SUM($G1196:AT1196)-SUM($G1197:AT1197)+IF(AND($B1194=1,AT$2&gt;1),SUM($F1199:AS1199)-SUM($F1200:AS1200),0)), 0) * AT1192/12*Параметры!AT$31</f>
        <v>0</v>
      </c>
      <c r="AU1199" s="182">
        <f>MAX((SUM($G1196:AU1196)-SUM($G1197:AU1197)+IF(AND($B1194=1,AU$2&gt;1),SUM($F1199:AT1199)-SUM($F1200:AT1200),0)), 0) * AU1192/12*Параметры!AU$31</f>
        <v>0</v>
      </c>
      <c r="AV1199" s="182">
        <f>MAX((SUM($G1196:AV1196)-SUM($G1197:AV1197)+IF(AND($B1194=1,AV$2&gt;1),SUM($F1199:AU1199)-SUM($F1200:AU1200),0)), 0) * AV1192/12*Параметры!AV$31</f>
        <v>0</v>
      </c>
      <c r="AW1199" s="182">
        <f>MAX((SUM($G1196:AW1196)-SUM($G1197:AW1197)+IF(AND($B1194=1,AW$2&gt;1),SUM($F1199:AV1199)-SUM($F1200:AV1200),0)), 0) * AW1192/12*Параметры!AW$31</f>
        <v>0</v>
      </c>
      <c r="AX1199" s="182">
        <f>MAX((SUM($G1196:AX1196)-SUM($G1197:AX1197)+IF(AND($B1194=1,AX$2&gt;1),SUM($F1199:AW1199)-SUM($F1200:AW1200),0)), 0) * AX1192/12*Параметры!AX$31</f>
        <v>0</v>
      </c>
      <c r="AY1199" s="182">
        <f>MAX((SUM($G1196:AY1196)-SUM($G1197:AY1197)+IF(AND($B1194=1,AY$2&gt;1),SUM($F1199:AX1199)-SUM($F1200:AX1200),0)), 0) * AY1192/12*Параметры!AY$31</f>
        <v>0</v>
      </c>
      <c r="AZ1199" s="182">
        <f>MAX((SUM($G1196:AZ1196)-SUM($G1197:AZ1197)+IF(AND($B1194=1,AZ$2&gt;1),SUM($F1199:AY1199)-SUM($F1200:AY1200),0)), 0) * AZ1192/12*Параметры!AZ$31</f>
        <v>0</v>
      </c>
      <c r="BA1199" s="182">
        <f>MAX((SUM($G1196:BA1196)-SUM($G1197:BA1197)+IF(AND($B1194=1,BA$2&gt;1),SUM($F1199:AZ1199)-SUM($F1200:AZ1200),0)), 0) * BA1192/12*Параметры!BA$31</f>
        <v>0</v>
      </c>
      <c r="BB1199" s="182">
        <f>MAX((SUM($G1196:BB1196)-SUM($G1197:BB1197)+IF(AND($B1194=1,BB$2&gt;1),SUM($F1199:BA1199)-SUM($F1200:BA1200),0)), 0) * BB1192/12*Параметры!BB$31</f>
        <v>0</v>
      </c>
      <c r="BC1199" s="182"/>
      <c r="BD1199" s="183">
        <f>SUM(G1199:BC1199)</f>
        <v>0</v>
      </c>
    </row>
    <row r="1200" spans="1:56" ht="14.4" hidden="1" thickTop="1" x14ac:dyDescent="0.3">
      <c r="A1200" s="184" t="str">
        <f ca="1">Language!A$1114</f>
        <v>выплаченные проценты</v>
      </c>
      <c r="B1200" s="170"/>
      <c r="C1200" s="163" t="str">
        <f t="shared" ca="1" si="4385"/>
        <v>руб.</v>
      </c>
      <c r="D1200" s="174">
        <f>D1191</f>
        <v>1</v>
      </c>
      <c r="E1200" s="170" t="s">
        <v>1466</v>
      </c>
      <c r="F1200" s="170" t="s">
        <v>2348</v>
      </c>
      <c r="G1200" s="289">
        <f t="shared" ref="G1200:K1200" si="4386">IF(G$2&gt;=G1201+$B1193,G1199,0)</f>
        <v>0</v>
      </c>
      <c r="H1200" s="289">
        <f t="shared" si="4386"/>
        <v>0</v>
      </c>
      <c r="I1200" s="289">
        <f t="shared" si="4386"/>
        <v>0</v>
      </c>
      <c r="J1200" s="289">
        <f t="shared" si="4386"/>
        <v>0</v>
      </c>
      <c r="K1200" s="289">
        <f t="shared" si="4386"/>
        <v>0</v>
      </c>
      <c r="L1200" s="289">
        <f t="shared" ref="L1200:M1200" si="4387">IF(L$2&gt;=L1201+$B1193,L1199,0)</f>
        <v>0</v>
      </c>
      <c r="M1200" s="289">
        <f t="shared" si="4387"/>
        <v>0</v>
      </c>
      <c r="N1200" s="289">
        <f t="shared" ref="N1200:O1200" si="4388">IF(N$2&gt;=N1201+$B1193,N1199,0)</f>
        <v>0</v>
      </c>
      <c r="O1200" s="289">
        <f t="shared" si="4388"/>
        <v>0</v>
      </c>
      <c r="P1200" s="289">
        <f t="shared" ref="P1200:Q1200" si="4389">IF(P$2&gt;=P1201+$B1193,P1199,0)</f>
        <v>0</v>
      </c>
      <c r="Q1200" s="289">
        <f t="shared" si="4389"/>
        <v>0</v>
      </c>
      <c r="R1200" s="289">
        <f t="shared" ref="R1200:S1200" si="4390">IF(R$2&gt;=R1201+$B1193,R1199,0)</f>
        <v>0</v>
      </c>
      <c r="S1200" s="289">
        <f t="shared" si="4390"/>
        <v>0</v>
      </c>
      <c r="T1200" s="289">
        <f t="shared" ref="T1200:U1200" si="4391">IF(T$2&gt;=T1201+$B1193,T1199,0)</f>
        <v>0</v>
      </c>
      <c r="U1200" s="289">
        <f t="shared" si="4391"/>
        <v>0</v>
      </c>
      <c r="V1200" s="289">
        <f t="shared" ref="V1200:W1200" si="4392">IF(V$2&gt;=V1201+$B1193,V1199,0)</f>
        <v>0</v>
      </c>
      <c r="W1200" s="289">
        <f t="shared" si="4392"/>
        <v>0</v>
      </c>
      <c r="X1200" s="289">
        <f t="shared" ref="X1200:Y1200" si="4393">IF(X$2&gt;=X1201+$B1193,X1199,0)</f>
        <v>0</v>
      </c>
      <c r="Y1200" s="289">
        <f t="shared" si="4393"/>
        <v>0</v>
      </c>
      <c r="Z1200" s="289">
        <f t="shared" ref="Z1200:AA1200" si="4394">IF(Z$2&gt;=Z1201+$B1193,Z1199,0)</f>
        <v>0</v>
      </c>
      <c r="AA1200" s="289">
        <f t="shared" si="4394"/>
        <v>0</v>
      </c>
      <c r="AB1200" s="289">
        <f t="shared" ref="AB1200:AC1200" si="4395">IF(AB$2&gt;=AB1201+$B1193,AB1199,0)</f>
        <v>0</v>
      </c>
      <c r="AC1200" s="289">
        <f t="shared" si="4395"/>
        <v>0</v>
      </c>
      <c r="AD1200" s="289">
        <f t="shared" ref="AD1200:AE1200" si="4396">IF(AD$2&gt;=AD1201+$B1193,AD1199,0)</f>
        <v>0</v>
      </c>
      <c r="AE1200" s="289">
        <f t="shared" si="4396"/>
        <v>0</v>
      </c>
      <c r="AF1200" s="289">
        <f t="shared" ref="AF1200:AG1200" si="4397">IF(AF$2&gt;=AF1201+$B1193,AF1199,0)</f>
        <v>0</v>
      </c>
      <c r="AG1200" s="289">
        <f t="shared" si="4397"/>
        <v>0</v>
      </c>
      <c r="AH1200" s="289">
        <f t="shared" ref="AH1200:AI1200" si="4398">IF(AH$2&gt;=AH1201+$B1193,AH1199,0)</f>
        <v>0</v>
      </c>
      <c r="AI1200" s="289">
        <f t="shared" si="4398"/>
        <v>0</v>
      </c>
      <c r="AJ1200" s="289">
        <f t="shared" ref="AJ1200:AK1200" si="4399">IF(AJ$2&gt;=AJ1201+$B1193,AJ1199,0)</f>
        <v>0</v>
      </c>
      <c r="AK1200" s="289">
        <f t="shared" si="4399"/>
        <v>0</v>
      </c>
      <c r="AL1200" s="289">
        <f t="shared" ref="AL1200:AM1200" si="4400">IF(AL$2&gt;=AL1201+$B1193,AL1199,0)</f>
        <v>0</v>
      </c>
      <c r="AM1200" s="289">
        <f t="shared" si="4400"/>
        <v>0</v>
      </c>
      <c r="AN1200" s="289">
        <f t="shared" ref="AN1200:AO1200" si="4401">IF(AN$2&gt;=AN1201+$B1193,AN1199,0)</f>
        <v>0</v>
      </c>
      <c r="AO1200" s="289">
        <f t="shared" si="4401"/>
        <v>0</v>
      </c>
      <c r="AP1200" s="289">
        <f t="shared" ref="AP1200:AQ1200" si="4402">IF(AP$2&gt;=AP1201+$B1193,AP1199,0)</f>
        <v>0</v>
      </c>
      <c r="AQ1200" s="289">
        <f t="shared" si="4402"/>
        <v>0</v>
      </c>
      <c r="AR1200" s="289">
        <f t="shared" ref="AR1200:AS1200" si="4403">IF(AR$2&gt;=AR1201+$B1193,AR1199,0)</f>
        <v>0</v>
      </c>
      <c r="AS1200" s="289">
        <f t="shared" si="4403"/>
        <v>0</v>
      </c>
      <c r="AT1200" s="289">
        <f t="shared" ref="AT1200:AU1200" si="4404">IF(AT$2&gt;=AT1201+$B1193,AT1199,0)</f>
        <v>0</v>
      </c>
      <c r="AU1200" s="289">
        <f t="shared" si="4404"/>
        <v>0</v>
      </c>
      <c r="AV1200" s="289">
        <f t="shared" ref="AV1200:AW1200" si="4405">IF(AV$2&gt;=AV1201+$B1193,AV1199,0)</f>
        <v>0</v>
      </c>
      <c r="AW1200" s="289">
        <f t="shared" si="4405"/>
        <v>0</v>
      </c>
      <c r="AX1200" s="289">
        <f t="shared" ref="AX1200:AY1200" si="4406">IF(AX$2&gt;=AX1201+$B1193,AX1199,0)</f>
        <v>0</v>
      </c>
      <c r="AY1200" s="289">
        <f t="shared" si="4406"/>
        <v>0</v>
      </c>
      <c r="AZ1200" s="289">
        <f t="shared" ref="AZ1200:BA1200" si="4407">IF(AZ$2&gt;=AZ1201+$B1193,AZ1199,0)</f>
        <v>0</v>
      </c>
      <c r="BA1200" s="289">
        <f t="shared" si="4407"/>
        <v>0</v>
      </c>
      <c r="BB1200" s="289">
        <f t="shared" ref="BB1200" si="4408">IF(BB$2&gt;=BB1201+$B1193,BB1199,0)</f>
        <v>0</v>
      </c>
      <c r="BC1200" s="188"/>
      <c r="BD1200" s="193">
        <f>SUM(G1200:BC1200)</f>
        <v>0</v>
      </c>
    </row>
    <row r="1201" spans="1:56" ht="14.4" hidden="1" thickTop="1" x14ac:dyDescent="0.3">
      <c r="A1201" s="184" t="str">
        <f ca="1">Language!A$1117</f>
        <v>период начала кредитования</v>
      </c>
      <c r="B1201" s="170"/>
      <c r="C1201" s="163" t="str">
        <f ca="1">Language!$A$1480</f>
        <v>период</v>
      </c>
      <c r="F1201" s="170" t="s">
        <v>1537</v>
      </c>
      <c r="G1201" s="185">
        <f>IF(AND(G$2=1,G1196&gt;0),1,IF(AND(F1201=0,G1196&lt;&gt;0,SUM($E1196:F1196)=0),G$2,IF(G$2=1,0,F1201)))</f>
        <v>0</v>
      </c>
      <c r="H1201" s="185">
        <f>IF(AND(H$2=1,H1196&gt;0),1,IF(AND(G1201=0,H1196&lt;&gt;0,SUM($E1196:G1196)=0),H$2,IF(H$2=1,0,G1201)))</f>
        <v>0</v>
      </c>
      <c r="I1201" s="185">
        <f>IF(AND(I$2=1,I1196&gt;0),1,IF(AND(H1201=0,I1196&lt;&gt;0,SUM($E1196:H1196)=0),I$2,IF(I$2=1,0,H1201)))</f>
        <v>0</v>
      </c>
      <c r="J1201" s="185">
        <f>IF(AND(J$2=1,J1196&gt;0),1,IF(AND(I1201=0,J1196&lt;&gt;0,SUM($E1196:I1196)=0),J$2,IF(J$2=1,0,I1201)))</f>
        <v>0</v>
      </c>
      <c r="K1201" s="185">
        <f>IF(AND(K$2=1,K1196&gt;0),1,IF(AND(J1201=0,K1196&lt;&gt;0,SUM($E1196:J1196)=0),K$2,IF(K$2=1,0,J1201)))</f>
        <v>0</v>
      </c>
      <c r="L1201" s="185">
        <f>IF(AND(L$2=1,L1196&gt;0),1,IF(AND(K1201=0,L1196&lt;&gt;0,SUM($E1196:K1196)=0),L$2,IF(L$2=1,0,K1201)))</f>
        <v>0</v>
      </c>
      <c r="M1201" s="185">
        <f>IF(AND(M$2=1,M1196&gt;0),1,IF(AND(L1201=0,M1196&lt;&gt;0,SUM($E1196:L1196)=0),M$2,IF(M$2=1,0,L1201)))</f>
        <v>0</v>
      </c>
      <c r="N1201" s="185">
        <f>IF(AND(N$2=1,N1196&gt;0),1,IF(AND(M1201=0,N1196&lt;&gt;0,SUM($E1196:M1196)=0),N$2,IF(N$2=1,0,M1201)))</f>
        <v>0</v>
      </c>
      <c r="O1201" s="185">
        <f>IF(AND(O$2=1,O1196&gt;0),1,IF(AND(N1201=0,O1196&lt;&gt;0,SUM($E1196:N1196)=0),O$2,IF(O$2=1,0,N1201)))</f>
        <v>0</v>
      </c>
      <c r="P1201" s="185">
        <f>IF(AND(P$2=1,P1196&gt;0),1,IF(AND(O1201=0,P1196&lt;&gt;0,SUM($E1196:O1196)=0),P$2,IF(P$2=1,0,O1201)))</f>
        <v>0</v>
      </c>
      <c r="Q1201" s="185">
        <f>IF(AND(Q$2=1,Q1196&gt;0),1,IF(AND(P1201=0,Q1196&lt;&gt;0,SUM($E1196:P1196)=0),Q$2,IF(Q$2=1,0,P1201)))</f>
        <v>0</v>
      </c>
      <c r="R1201" s="185">
        <f>IF(AND(R$2=1,R1196&gt;0),1,IF(AND(Q1201=0,R1196&lt;&gt;0,SUM($E1196:Q1196)=0),R$2,IF(R$2=1,0,Q1201)))</f>
        <v>0</v>
      </c>
      <c r="S1201" s="185">
        <f>IF(AND(S$2=1,S1196&gt;0),1,IF(AND(R1201=0,S1196&lt;&gt;0,SUM($E1196:R1196)=0),S$2,IF(S$2=1,0,R1201)))</f>
        <v>0</v>
      </c>
      <c r="T1201" s="185">
        <f>IF(AND(T$2=1,T1196&gt;0),1,IF(AND(S1201=0,T1196&lt;&gt;0,SUM($E1196:S1196)=0),T$2,IF(T$2=1,0,S1201)))</f>
        <v>0</v>
      </c>
      <c r="U1201" s="185">
        <f>IF(AND(U$2=1,U1196&gt;0),1,IF(AND(T1201=0,U1196&lt;&gt;0,SUM($E1196:T1196)=0),U$2,IF(U$2=1,0,T1201)))</f>
        <v>0</v>
      </c>
      <c r="V1201" s="185">
        <f>IF(AND(V$2=1,V1196&gt;0),1,IF(AND(U1201=0,V1196&lt;&gt;0,SUM($E1196:U1196)=0),V$2,IF(V$2=1,0,U1201)))</f>
        <v>0</v>
      </c>
      <c r="W1201" s="185">
        <f>IF(AND(W$2=1,W1196&gt;0),1,IF(AND(V1201=0,W1196&lt;&gt;0,SUM($E1196:V1196)=0),W$2,IF(W$2=1,0,V1201)))</f>
        <v>0</v>
      </c>
      <c r="X1201" s="185">
        <f>IF(AND(X$2=1,X1196&gt;0),1,IF(AND(W1201=0,X1196&lt;&gt;0,SUM($E1196:W1196)=0),X$2,IF(X$2=1,0,W1201)))</f>
        <v>0</v>
      </c>
      <c r="Y1201" s="185">
        <f>IF(AND(Y$2=1,Y1196&gt;0),1,IF(AND(X1201=0,Y1196&lt;&gt;0,SUM($E1196:X1196)=0),Y$2,IF(Y$2=1,0,X1201)))</f>
        <v>0</v>
      </c>
      <c r="Z1201" s="185">
        <f>IF(AND(Z$2=1,Z1196&gt;0),1,IF(AND(Y1201=0,Z1196&lt;&gt;0,SUM($E1196:Y1196)=0),Z$2,IF(Z$2=1,0,Y1201)))</f>
        <v>0</v>
      </c>
      <c r="AA1201" s="185">
        <f>IF(AND(AA$2=1,AA1196&gt;0),1,IF(AND(Z1201=0,AA1196&lt;&gt;0,SUM($E1196:Z1196)=0),AA$2,IF(AA$2=1,0,Z1201)))</f>
        <v>0</v>
      </c>
      <c r="AB1201" s="185">
        <f>IF(AND(AB$2=1,AB1196&gt;0),1,IF(AND(AA1201=0,AB1196&lt;&gt;0,SUM($E1196:AA1196)=0),AB$2,IF(AB$2=1,0,AA1201)))</f>
        <v>0</v>
      </c>
      <c r="AC1201" s="185">
        <f>IF(AND(AC$2=1,AC1196&gt;0),1,IF(AND(AB1201=0,AC1196&lt;&gt;0,SUM($E1196:AB1196)=0),AC$2,IF(AC$2=1,0,AB1201)))</f>
        <v>0</v>
      </c>
      <c r="AD1201" s="185">
        <f>IF(AND(AD$2=1,AD1196&gt;0),1,IF(AND(AC1201=0,AD1196&lt;&gt;0,SUM($E1196:AC1196)=0),AD$2,IF(AD$2=1,0,AC1201)))</f>
        <v>0</v>
      </c>
      <c r="AE1201" s="185">
        <f>IF(AND(AE$2=1,AE1196&gt;0),1,IF(AND(AD1201=0,AE1196&lt;&gt;0,SUM($E1196:AD1196)=0),AE$2,IF(AE$2=1,0,AD1201)))</f>
        <v>0</v>
      </c>
      <c r="AF1201" s="185">
        <f>IF(AND(AF$2=1,AF1196&gt;0),1,IF(AND(AE1201=0,AF1196&lt;&gt;0,SUM($E1196:AE1196)=0),AF$2,IF(AF$2=1,0,AE1201)))</f>
        <v>0</v>
      </c>
      <c r="AG1201" s="185">
        <f>IF(AND(AG$2=1,AG1196&gt;0),1,IF(AND(AF1201=0,AG1196&lt;&gt;0,SUM($E1196:AF1196)=0),AG$2,IF(AG$2=1,0,AF1201)))</f>
        <v>0</v>
      </c>
      <c r="AH1201" s="185">
        <f>IF(AND(AH$2=1,AH1196&gt;0),1,IF(AND(AG1201=0,AH1196&lt;&gt;0,SUM($E1196:AG1196)=0),AH$2,IF(AH$2=1,0,AG1201)))</f>
        <v>0</v>
      </c>
      <c r="AI1201" s="185">
        <f>IF(AND(AI$2=1,AI1196&gt;0),1,IF(AND(AH1201=0,AI1196&lt;&gt;0,SUM($E1196:AH1196)=0),AI$2,IF(AI$2=1,0,AH1201)))</f>
        <v>0</v>
      </c>
      <c r="AJ1201" s="185">
        <f>IF(AND(AJ$2=1,AJ1196&gt;0),1,IF(AND(AI1201=0,AJ1196&lt;&gt;0,SUM($E1196:AI1196)=0),AJ$2,IF(AJ$2=1,0,AI1201)))</f>
        <v>0</v>
      </c>
      <c r="AK1201" s="185">
        <f>IF(AND(AK$2=1,AK1196&gt;0),1,IF(AND(AJ1201=0,AK1196&lt;&gt;0,SUM($E1196:AJ1196)=0),AK$2,IF(AK$2=1,0,AJ1201)))</f>
        <v>0</v>
      </c>
      <c r="AL1201" s="185">
        <f>IF(AND(AL$2=1,AL1196&gt;0),1,IF(AND(AK1201=0,AL1196&lt;&gt;0,SUM($E1196:AK1196)=0),AL$2,IF(AL$2=1,0,AK1201)))</f>
        <v>0</v>
      </c>
      <c r="AM1201" s="185">
        <f>IF(AND(AM$2=1,AM1196&gt;0),1,IF(AND(AL1201=0,AM1196&lt;&gt;0,SUM($E1196:AL1196)=0),AM$2,IF(AM$2=1,0,AL1201)))</f>
        <v>0</v>
      </c>
      <c r="AN1201" s="185">
        <f>IF(AND(AN$2=1,AN1196&gt;0),1,IF(AND(AM1201=0,AN1196&lt;&gt;0,SUM($E1196:AM1196)=0),AN$2,IF(AN$2=1,0,AM1201)))</f>
        <v>0</v>
      </c>
      <c r="AO1201" s="185">
        <f>IF(AND(AO$2=1,AO1196&gt;0),1,IF(AND(AN1201=0,AO1196&lt;&gt;0,SUM($E1196:AN1196)=0),AO$2,IF(AO$2=1,0,AN1201)))</f>
        <v>0</v>
      </c>
      <c r="AP1201" s="185">
        <f>IF(AND(AP$2=1,AP1196&gt;0),1,IF(AND(AO1201=0,AP1196&lt;&gt;0,SUM($E1196:AO1196)=0),AP$2,IF(AP$2=1,0,AO1201)))</f>
        <v>0</v>
      </c>
      <c r="AQ1201" s="185">
        <f>IF(AND(AQ$2=1,AQ1196&gt;0),1,IF(AND(AP1201=0,AQ1196&lt;&gt;0,SUM($E1196:AP1196)=0),AQ$2,IF(AQ$2=1,0,AP1201)))</f>
        <v>0</v>
      </c>
      <c r="AR1201" s="185">
        <f>IF(AND(AR$2=1,AR1196&gt;0),1,IF(AND(AQ1201=0,AR1196&lt;&gt;0,SUM($E1196:AQ1196)=0),AR$2,IF(AR$2=1,0,AQ1201)))</f>
        <v>0</v>
      </c>
      <c r="AS1201" s="185">
        <f>IF(AND(AS$2=1,AS1196&gt;0),1,IF(AND(AR1201=0,AS1196&lt;&gt;0,SUM($E1196:AR1196)=0),AS$2,IF(AS$2=1,0,AR1201)))</f>
        <v>0</v>
      </c>
      <c r="AT1201" s="185">
        <f>IF(AND(AT$2=1,AT1196&gt;0),1,IF(AND(AS1201=0,AT1196&lt;&gt;0,SUM($E1196:AS1196)=0),AT$2,IF(AT$2=1,0,AS1201)))</f>
        <v>0</v>
      </c>
      <c r="AU1201" s="185">
        <f>IF(AND(AU$2=1,AU1196&gt;0),1,IF(AND(AT1201=0,AU1196&lt;&gt;0,SUM($E1196:AT1196)=0),AU$2,IF(AU$2=1,0,AT1201)))</f>
        <v>0</v>
      </c>
      <c r="AV1201" s="185">
        <f>IF(AND(AV$2=1,AV1196&gt;0),1,IF(AND(AU1201=0,AV1196&lt;&gt;0,SUM($E1196:AU1196)=0),AV$2,IF(AV$2=1,0,AU1201)))</f>
        <v>0</v>
      </c>
      <c r="AW1201" s="185">
        <f>IF(AND(AW$2=1,AW1196&gt;0),1,IF(AND(AV1201=0,AW1196&lt;&gt;0,SUM($E1196:AV1196)=0),AW$2,IF(AW$2=1,0,AV1201)))</f>
        <v>0</v>
      </c>
      <c r="AX1201" s="185">
        <f>IF(AND(AX$2=1,AX1196&gt;0),1,IF(AND(AW1201=0,AX1196&lt;&gt;0,SUM($E1196:AW1196)=0),AX$2,IF(AX$2=1,0,AW1201)))</f>
        <v>0</v>
      </c>
      <c r="AY1201" s="185">
        <f>IF(AND(AY$2=1,AY1196&gt;0),1,IF(AND(AX1201=0,AY1196&lt;&gt;0,SUM($E1196:AX1196)=0),AY$2,IF(AY$2=1,0,AX1201)))</f>
        <v>0</v>
      </c>
      <c r="AZ1201" s="185">
        <f>IF(AND(AZ$2=1,AZ1196&gt;0),1,IF(AND(AY1201=0,AZ1196&lt;&gt;0,SUM($E1196:AY1196)=0),AZ$2,IF(AZ$2=1,0,AY1201)))</f>
        <v>0</v>
      </c>
      <c r="BA1201" s="185">
        <f>IF(AND(BA$2=1,BA1196&gt;0),1,IF(AND(AZ1201=0,BA1196&lt;&gt;0,SUM($E1196:AZ1196)=0),BA$2,IF(BA$2=1,0,AZ1201)))</f>
        <v>0</v>
      </c>
      <c r="BB1201" s="185">
        <f>IF(AND(BB$2=1,BB1196&gt;0),1,IF(AND(BA1201=0,BB1196&lt;&gt;0,SUM($E1196:BA1196)=0),BB$2,IF(BB$2=1,0,BA1201)))</f>
        <v>0</v>
      </c>
      <c r="BC1201" s="185"/>
      <c r="BD1201" s="193"/>
    </row>
    <row r="1202" spans="1:56" ht="14.4" hidden="1" thickTop="1" x14ac:dyDescent="0.3">
      <c r="A1202" s="184" t="str">
        <f ca="1">Language!A$1109</f>
        <v>срок кредитования</v>
      </c>
      <c r="B1202" s="170"/>
      <c r="C1202" s="163" t="str">
        <f ca="1">Language!A$46</f>
        <v>мес.</v>
      </c>
      <c r="F1202" s="170" t="s">
        <v>743</v>
      </c>
      <c r="G1202" s="185">
        <f ca="1">IF(G1201=0,0,IF(SUM(OFFSET(G1198,0,-1):OFFSET(G1198,0,Prj_Len-G$2))=0,0,Параметры!G$31))</f>
        <v>0</v>
      </c>
      <c r="H1202" s="185">
        <f ca="1">IF(H1201=0,0,IF(SUM(OFFSET(H1198,0,-1):OFFSET(H1198,0,Prj_Len-H$2))=0,0,Параметры!H$31))</f>
        <v>0</v>
      </c>
      <c r="I1202" s="185">
        <f ca="1">IF(I1201=0,0,IF(SUM(OFFSET(I1198,0,-1):OFFSET(I1198,0,Prj_Len-I$2))=0,0,Параметры!I$31))</f>
        <v>0</v>
      </c>
      <c r="J1202" s="185">
        <f ca="1">IF(J1201=0,0,IF(SUM(OFFSET(J1198,0,-1):OFFSET(J1198,0,Prj_Len-J$2))=0,0,Параметры!J$31))</f>
        <v>0</v>
      </c>
      <c r="K1202" s="185">
        <f ca="1">IF(K1201=0,0,IF(SUM(OFFSET(K1198,0,-1):OFFSET(K1198,0,Prj_Len-K$2))=0,0,Параметры!K$31))</f>
        <v>0</v>
      </c>
      <c r="L1202" s="185">
        <f ca="1">IF(L1201=0,0,IF(SUM(OFFSET(L1198,0,-1):OFFSET(L1198,0,Prj_Len-L$2))=0,0,Параметры!L$31))</f>
        <v>0</v>
      </c>
      <c r="M1202" s="185">
        <f ca="1">IF(M1201=0,0,IF(SUM(OFFSET(M1198,0,-1):OFFSET(M1198,0,Prj_Len-M$2))=0,0,Параметры!M$31))</f>
        <v>0</v>
      </c>
      <c r="N1202" s="185">
        <f ca="1">IF(N1201=0,0,IF(SUM(OFFSET(N1198,0,-1):OFFSET(N1198,0,Prj_Len-N$2))=0,0,Параметры!N$31))</f>
        <v>0</v>
      </c>
      <c r="O1202" s="185">
        <f ca="1">IF(O1201=0,0,IF(SUM(OFFSET(O1198,0,-1):OFFSET(O1198,0,Prj_Len-O$2))=0,0,Параметры!O$31))</f>
        <v>0</v>
      </c>
      <c r="P1202" s="185">
        <f ca="1">IF(P1201=0,0,IF(SUM(OFFSET(P1198,0,-1):OFFSET(P1198,0,Prj_Len-P$2))=0,0,Параметры!P$31))</f>
        <v>0</v>
      </c>
      <c r="Q1202" s="185">
        <f ca="1">IF(Q1201=0,0,IF(SUM(OFFSET(Q1198,0,-1):OFFSET(Q1198,0,Prj_Len-Q$2))=0,0,Параметры!Q$31))</f>
        <v>0</v>
      </c>
      <c r="R1202" s="185">
        <f ca="1">IF(R1201=0,0,IF(SUM(OFFSET(R1198,0,-1):OFFSET(R1198,0,Prj_Len-R$2))=0,0,Параметры!R$31))</f>
        <v>0</v>
      </c>
      <c r="S1202" s="185">
        <f ca="1">IF(S1201=0,0,IF(SUM(OFFSET(S1198,0,-1):OFFSET(S1198,0,Prj_Len-S$2))=0,0,Параметры!S$31))</f>
        <v>0</v>
      </c>
      <c r="T1202" s="185">
        <f ca="1">IF(T1201=0,0,IF(SUM(OFFSET(T1198,0,-1):OFFSET(T1198,0,Prj_Len-T$2))=0,0,Параметры!T$31))</f>
        <v>0</v>
      </c>
      <c r="U1202" s="185">
        <f ca="1">IF(U1201=0,0,IF(SUM(OFFSET(U1198,0,-1):OFFSET(U1198,0,Prj_Len-U$2))=0,0,Параметры!U$31))</f>
        <v>0</v>
      </c>
      <c r="V1202" s="185">
        <f ca="1">IF(V1201=0,0,IF(SUM(OFFSET(V1198,0,-1):OFFSET(V1198,0,Prj_Len-V$2))=0,0,Параметры!V$31))</f>
        <v>0</v>
      </c>
      <c r="W1202" s="185">
        <f ca="1">IF(W1201=0,0,IF(SUM(OFFSET(W1198,0,-1):OFFSET(W1198,0,Prj_Len-W$2))=0,0,Параметры!W$31))</f>
        <v>0</v>
      </c>
      <c r="X1202" s="185">
        <f ca="1">IF(X1201=0,0,IF(SUM(OFFSET(X1198,0,-1):OFFSET(X1198,0,Prj_Len-X$2))=0,0,Параметры!X$31))</f>
        <v>0</v>
      </c>
      <c r="Y1202" s="185">
        <f ca="1">IF(Y1201=0,0,IF(SUM(OFFSET(Y1198,0,-1):OFFSET(Y1198,0,Prj_Len-Y$2))=0,0,Параметры!Y$31))</f>
        <v>0</v>
      </c>
      <c r="Z1202" s="185">
        <f ca="1">IF(Z1201=0,0,IF(SUM(OFFSET(Z1198,0,-1):OFFSET(Z1198,0,Prj_Len-Z$2))=0,0,Параметры!Z$31))</f>
        <v>0</v>
      </c>
      <c r="AA1202" s="185">
        <f ca="1">IF(AA1201=0,0,IF(SUM(OFFSET(AA1198,0,-1):OFFSET(AA1198,0,Prj_Len-AA$2))=0,0,Параметры!AA$31))</f>
        <v>0</v>
      </c>
      <c r="AB1202" s="185">
        <f ca="1">IF(AB1201=0,0,IF(SUM(OFFSET(AB1198,0,-1):OFFSET(AB1198,0,Prj_Len-AB$2))=0,0,Параметры!AB$31))</f>
        <v>0</v>
      </c>
      <c r="AC1202" s="185">
        <f ca="1">IF(AC1201=0,0,IF(SUM(OFFSET(AC1198,0,-1):OFFSET(AC1198,0,Prj_Len-AC$2))=0,0,Параметры!AC$31))</f>
        <v>0</v>
      </c>
      <c r="AD1202" s="185">
        <f ca="1">IF(AD1201=0,0,IF(SUM(OFFSET(AD1198,0,-1):OFFSET(AD1198,0,Prj_Len-AD$2))=0,0,Параметры!AD$31))</f>
        <v>0</v>
      </c>
      <c r="AE1202" s="185">
        <f ca="1">IF(AE1201=0,0,IF(SUM(OFFSET(AE1198,0,-1):OFFSET(AE1198,0,Prj_Len-AE$2))=0,0,Параметры!AE$31))</f>
        <v>0</v>
      </c>
      <c r="AF1202" s="185">
        <f ca="1">IF(AF1201=0,0,IF(SUM(OFFSET(AF1198,0,-1):OFFSET(AF1198,0,Prj_Len-AF$2))=0,0,Параметры!AF$31))</f>
        <v>0</v>
      </c>
      <c r="AG1202" s="185">
        <f ca="1">IF(AG1201=0,0,IF(SUM(OFFSET(AG1198,0,-1):OFFSET(AG1198,0,Prj_Len-AG$2))=0,0,Параметры!AG$31))</f>
        <v>0</v>
      </c>
      <c r="AH1202" s="185">
        <f ca="1">IF(AH1201=0,0,IF(SUM(OFFSET(AH1198,0,-1):OFFSET(AH1198,0,Prj_Len-AH$2))=0,0,Параметры!AH$31))</f>
        <v>0</v>
      </c>
      <c r="AI1202" s="185">
        <f ca="1">IF(AI1201=0,0,IF(SUM(OFFSET(AI1198,0,-1):OFFSET(AI1198,0,Prj_Len-AI$2))=0,0,Параметры!AI$31))</f>
        <v>0</v>
      </c>
      <c r="AJ1202" s="185">
        <f ca="1">IF(AJ1201=0,0,IF(SUM(OFFSET(AJ1198,0,-1):OFFSET(AJ1198,0,Prj_Len-AJ$2))=0,0,Параметры!AJ$31))</f>
        <v>0</v>
      </c>
      <c r="AK1202" s="185">
        <f ca="1">IF(AK1201=0,0,IF(SUM(OFFSET(AK1198,0,-1):OFFSET(AK1198,0,Prj_Len-AK$2))=0,0,Параметры!AK$31))</f>
        <v>0</v>
      </c>
      <c r="AL1202" s="185">
        <f ca="1">IF(AL1201=0,0,IF(SUM(OFFSET(AL1198,0,-1):OFFSET(AL1198,0,Prj_Len-AL$2))=0,0,Параметры!AL$31))</f>
        <v>0</v>
      </c>
      <c r="AM1202" s="185">
        <f ca="1">IF(AM1201=0,0,IF(SUM(OFFSET(AM1198,0,-1):OFFSET(AM1198,0,Prj_Len-AM$2))=0,0,Параметры!AM$31))</f>
        <v>0</v>
      </c>
      <c r="AN1202" s="185">
        <f ca="1">IF(AN1201=0,0,IF(SUM(OFFSET(AN1198,0,-1):OFFSET(AN1198,0,Prj_Len-AN$2))=0,0,Параметры!AN$31))</f>
        <v>0</v>
      </c>
      <c r="AO1202" s="185">
        <f ca="1">IF(AO1201=0,0,IF(SUM(OFFSET(AO1198,0,-1):OFFSET(AO1198,0,Prj_Len-AO$2))=0,0,Параметры!AO$31))</f>
        <v>0</v>
      </c>
      <c r="AP1202" s="185">
        <f ca="1">IF(AP1201=0,0,IF(SUM(OFFSET(AP1198,0,-1):OFFSET(AP1198,0,Prj_Len-AP$2))=0,0,Параметры!AP$31))</f>
        <v>0</v>
      </c>
      <c r="AQ1202" s="185">
        <f ca="1">IF(AQ1201=0,0,IF(SUM(OFFSET(AQ1198,0,-1):OFFSET(AQ1198,0,Prj_Len-AQ$2))=0,0,Параметры!AQ$31))</f>
        <v>0</v>
      </c>
      <c r="AR1202" s="185">
        <f ca="1">IF(AR1201=0,0,IF(SUM(OFFSET(AR1198,0,-1):OFFSET(AR1198,0,Prj_Len-AR$2))=0,0,Параметры!AR$31))</f>
        <v>0</v>
      </c>
      <c r="AS1202" s="185">
        <f ca="1">IF(AS1201=0,0,IF(SUM(OFFSET(AS1198,0,-1):OFFSET(AS1198,0,Prj_Len-AS$2))=0,0,Параметры!AS$31))</f>
        <v>0</v>
      </c>
      <c r="AT1202" s="185">
        <f ca="1">IF(AT1201=0,0,IF(SUM(OFFSET(AT1198,0,-1):OFFSET(AT1198,0,Prj_Len-AT$2))=0,0,Параметры!AT$31))</f>
        <v>0</v>
      </c>
      <c r="AU1202" s="185">
        <f ca="1">IF(AU1201=0,0,IF(SUM(OFFSET(AU1198,0,-1):OFFSET(AU1198,0,Prj_Len-AU$2))=0,0,Параметры!AU$31))</f>
        <v>0</v>
      </c>
      <c r="AV1202" s="185">
        <f ca="1">IF(AV1201=0,0,IF(SUM(OFFSET(AV1198,0,-1):OFFSET(AV1198,0,Prj_Len-AV$2))=0,0,Параметры!AV$31))</f>
        <v>0</v>
      </c>
      <c r="AW1202" s="185">
        <f ca="1">IF(AW1201=0,0,IF(SUM(OFFSET(AW1198,0,-1):OFFSET(AW1198,0,Prj_Len-AW$2))=0,0,Параметры!AW$31))</f>
        <v>0</v>
      </c>
      <c r="AX1202" s="185">
        <f ca="1">IF(AX1201=0,0,IF(SUM(OFFSET(AX1198,0,-1):OFFSET(AX1198,0,Prj_Len-AX$2))=0,0,Параметры!AX$31))</f>
        <v>0</v>
      </c>
      <c r="AY1202" s="185">
        <f ca="1">IF(AY1201=0,0,IF(SUM(OFFSET(AY1198,0,-1):OFFSET(AY1198,0,Prj_Len-AY$2))=0,0,Параметры!AY$31))</f>
        <v>0</v>
      </c>
      <c r="AZ1202" s="185">
        <f ca="1">IF(AZ1201=0,0,IF(SUM(OFFSET(AZ1198,0,-1):OFFSET(AZ1198,0,Prj_Len-AZ$2))=0,0,Параметры!AZ$31))</f>
        <v>0</v>
      </c>
      <c r="BA1202" s="185">
        <f ca="1">IF(BA1201=0,0,IF(SUM(OFFSET(BA1198,0,-1):OFFSET(BA1198,0,Prj_Len-BA$2))=0,0,Параметры!BA$31))</f>
        <v>0</v>
      </c>
      <c r="BB1202" s="185">
        <f ca="1">IF(BB1201=0,0,IF(SUM(OFFSET(BB1198,0,-1):OFFSET(BB1198,0,Prj_Len-BB$2))=0,0,Параметры!BB$31))</f>
        <v>0</v>
      </c>
      <c r="BC1202" s="185"/>
      <c r="BD1202" s="193">
        <f ca="1">SUM(G1202:BC1202)</f>
        <v>0</v>
      </c>
    </row>
    <row r="1203" spans="1:56" ht="14.4" hidden="1" thickTop="1" x14ac:dyDescent="0.3">
      <c r="A1203" s="184" t="str">
        <f ca="1">Language!A$1118</f>
        <v>отнесение процентов на стоимость основных средств</v>
      </c>
      <c r="B1203" s="288">
        <v>0</v>
      </c>
      <c r="C1203" s="163" t="str">
        <f ca="1">IF(B1203=1,Language!$A$1475,Language!$A$1476)</f>
        <v>Нет</v>
      </c>
      <c r="D1203" s="174">
        <v>1</v>
      </c>
      <c r="E1203" s="170" t="s">
        <v>1553</v>
      </c>
      <c r="F1203" s="170" t="s">
        <v>2352</v>
      </c>
      <c r="G1203" s="185">
        <f>IF($B1203=1,IF(G$2&lt;$B1206,G1199,0),0)*CHOOSE($D1191,1,Параметры!G$53,Параметры!G$59)</f>
        <v>0</v>
      </c>
      <c r="H1203" s="185">
        <f>IF($B1203=1,IF(H$2&lt;$B1206,H1199,0),0)*CHOOSE($D1191,1,Параметры!H$53,Параметры!H$59)</f>
        <v>0</v>
      </c>
      <c r="I1203" s="185">
        <f>IF($B1203=1,IF(I$2&lt;$B1206,I1199,0),0)*CHOOSE($D1191,1,Параметры!I$53,Параметры!I$59)</f>
        <v>0</v>
      </c>
      <c r="J1203" s="185">
        <f>IF($B1203=1,IF(J$2&lt;$B1206,J1199,0),0)*CHOOSE($D1191,1,Параметры!J$53,Параметры!J$59)</f>
        <v>0</v>
      </c>
      <c r="K1203" s="185">
        <f>IF($B1203=1,IF(K$2&lt;$B1206,K1199,0),0)*CHOOSE($D1191,1,Параметры!K$53,Параметры!K$59)</f>
        <v>0</v>
      </c>
      <c r="L1203" s="185">
        <f>IF($B1203=1,IF(L$2&lt;$B1206,L1199,0),0)*CHOOSE($D1191,1,Параметры!L$53,Параметры!L$59)</f>
        <v>0</v>
      </c>
      <c r="M1203" s="185">
        <f>IF($B1203=1,IF(M$2&lt;$B1206,M1199,0),0)*CHOOSE($D1191,1,Параметры!M$53,Параметры!M$59)</f>
        <v>0</v>
      </c>
      <c r="N1203" s="185">
        <f>IF($B1203=1,IF(N$2&lt;$B1206,N1199,0),0)*CHOOSE($D1191,1,Параметры!N$53,Параметры!N$59)</f>
        <v>0</v>
      </c>
      <c r="O1203" s="185">
        <f>IF($B1203=1,IF(O$2&lt;$B1206,O1199,0),0)*CHOOSE($D1191,1,Параметры!O$53,Параметры!O$59)</f>
        <v>0</v>
      </c>
      <c r="P1203" s="185">
        <f>IF($B1203=1,IF(P$2&lt;$B1206,P1199,0),0)*CHOOSE($D1191,1,Параметры!P$53,Параметры!P$59)</f>
        <v>0</v>
      </c>
      <c r="Q1203" s="185">
        <f>IF($B1203=1,IF(Q$2&lt;$B1206,Q1199,0),0)*CHOOSE($D1191,1,Параметры!Q$53,Параметры!Q$59)</f>
        <v>0</v>
      </c>
      <c r="R1203" s="185">
        <f>IF($B1203=1,IF(R$2&lt;$B1206,R1199,0),0)*CHOOSE($D1191,1,Параметры!R$53,Параметры!R$59)</f>
        <v>0</v>
      </c>
      <c r="S1203" s="185">
        <f>IF($B1203=1,IF(S$2&lt;$B1206,S1199,0),0)*CHOOSE($D1191,1,Параметры!S$53,Параметры!S$59)</f>
        <v>0</v>
      </c>
      <c r="T1203" s="185">
        <f>IF($B1203=1,IF(T$2&lt;$B1206,T1199,0),0)*CHOOSE($D1191,1,Параметры!T$53,Параметры!T$59)</f>
        <v>0</v>
      </c>
      <c r="U1203" s="185">
        <f>IF($B1203=1,IF(U$2&lt;$B1206,U1199,0),0)*CHOOSE($D1191,1,Параметры!U$53,Параметры!U$59)</f>
        <v>0</v>
      </c>
      <c r="V1203" s="185">
        <f>IF($B1203=1,IF(V$2&lt;$B1206,V1199,0),0)*CHOOSE($D1191,1,Параметры!V$53,Параметры!V$59)</f>
        <v>0</v>
      </c>
      <c r="W1203" s="185">
        <f>IF($B1203=1,IF(W$2&lt;$B1206,W1199,0),0)*CHOOSE($D1191,1,Параметры!W$53,Параметры!W$59)</f>
        <v>0</v>
      </c>
      <c r="X1203" s="185">
        <f>IF($B1203=1,IF(X$2&lt;$B1206,X1199,0),0)*CHOOSE($D1191,1,Параметры!X$53,Параметры!X$59)</f>
        <v>0</v>
      </c>
      <c r="Y1203" s="185">
        <f>IF($B1203=1,IF(Y$2&lt;$B1206,Y1199,0),0)*CHOOSE($D1191,1,Параметры!Y$53,Параметры!Y$59)</f>
        <v>0</v>
      </c>
      <c r="Z1203" s="185">
        <f>IF($B1203=1,IF(Z$2&lt;$B1206,Z1199,0),0)*CHOOSE($D1191,1,Параметры!Z$53,Параметры!Z$59)</f>
        <v>0</v>
      </c>
      <c r="AA1203" s="185">
        <f>IF($B1203=1,IF(AA$2&lt;$B1206,AA1199,0),0)*CHOOSE($D1191,1,Параметры!AA$53,Параметры!AA$59)</f>
        <v>0</v>
      </c>
      <c r="AB1203" s="185">
        <f>IF($B1203=1,IF(AB$2&lt;$B1206,AB1199,0),0)*CHOOSE($D1191,1,Параметры!AB$53,Параметры!AB$59)</f>
        <v>0</v>
      </c>
      <c r="AC1203" s="185">
        <f>IF($B1203=1,IF(AC$2&lt;$B1206,AC1199,0),0)*CHOOSE($D1191,1,Параметры!AC$53,Параметры!AC$59)</f>
        <v>0</v>
      </c>
      <c r="AD1203" s="185">
        <f>IF($B1203=1,IF(AD$2&lt;$B1206,AD1199,0),0)*CHOOSE($D1191,1,Параметры!AD$53,Параметры!AD$59)</f>
        <v>0</v>
      </c>
      <c r="AE1203" s="185">
        <f>IF($B1203=1,IF(AE$2&lt;$B1206,AE1199,0),0)*CHOOSE($D1191,1,Параметры!AE$53,Параметры!AE$59)</f>
        <v>0</v>
      </c>
      <c r="AF1203" s="185">
        <f>IF($B1203=1,IF(AF$2&lt;$B1206,AF1199,0),0)*CHOOSE($D1191,1,Параметры!AF$53,Параметры!AF$59)</f>
        <v>0</v>
      </c>
      <c r="AG1203" s="185">
        <f>IF($B1203=1,IF(AG$2&lt;$B1206,AG1199,0),0)*CHOOSE($D1191,1,Параметры!AG$53,Параметры!AG$59)</f>
        <v>0</v>
      </c>
      <c r="AH1203" s="185">
        <f>IF($B1203=1,IF(AH$2&lt;$B1206,AH1199,0),0)*CHOOSE($D1191,1,Параметры!AH$53,Параметры!AH$59)</f>
        <v>0</v>
      </c>
      <c r="AI1203" s="185">
        <f>IF($B1203=1,IF(AI$2&lt;$B1206,AI1199,0),0)*CHOOSE($D1191,1,Параметры!AI$53,Параметры!AI$59)</f>
        <v>0</v>
      </c>
      <c r="AJ1203" s="185">
        <f>IF($B1203=1,IF(AJ$2&lt;$B1206,AJ1199,0),0)*CHOOSE($D1191,1,Параметры!AJ$53,Параметры!AJ$59)</f>
        <v>0</v>
      </c>
      <c r="AK1203" s="185">
        <f>IF($B1203=1,IF(AK$2&lt;$B1206,AK1199,0),0)*CHOOSE($D1191,1,Параметры!AK$53,Параметры!AK$59)</f>
        <v>0</v>
      </c>
      <c r="AL1203" s="185">
        <f>IF($B1203=1,IF(AL$2&lt;$B1206,AL1199,0),0)*CHOOSE($D1191,1,Параметры!AL$53,Параметры!AL$59)</f>
        <v>0</v>
      </c>
      <c r="AM1203" s="185">
        <f>IF($B1203=1,IF(AM$2&lt;$B1206,AM1199,0),0)*CHOOSE($D1191,1,Параметры!AM$53,Параметры!AM$59)</f>
        <v>0</v>
      </c>
      <c r="AN1203" s="185">
        <f>IF($B1203=1,IF(AN$2&lt;$B1206,AN1199,0),0)*CHOOSE($D1191,1,Параметры!AN$53,Параметры!AN$59)</f>
        <v>0</v>
      </c>
      <c r="AO1203" s="185">
        <f>IF($B1203=1,IF(AO$2&lt;$B1206,AO1199,0),0)*CHOOSE($D1191,1,Параметры!AO$53,Параметры!AO$59)</f>
        <v>0</v>
      </c>
      <c r="AP1203" s="185">
        <f>IF($B1203=1,IF(AP$2&lt;$B1206,AP1199,0),0)*CHOOSE($D1191,1,Параметры!AP$53,Параметры!AP$59)</f>
        <v>0</v>
      </c>
      <c r="AQ1203" s="185">
        <f>IF($B1203=1,IF(AQ$2&lt;$B1206,AQ1199,0),0)*CHOOSE($D1191,1,Параметры!AQ$53,Параметры!AQ$59)</f>
        <v>0</v>
      </c>
      <c r="AR1203" s="185">
        <f>IF($B1203=1,IF(AR$2&lt;$B1206,AR1199,0),0)*CHOOSE($D1191,1,Параметры!AR$53,Параметры!AR$59)</f>
        <v>0</v>
      </c>
      <c r="AS1203" s="185">
        <f>IF($B1203=1,IF(AS$2&lt;$B1206,AS1199,0),0)*CHOOSE($D1191,1,Параметры!AS$53,Параметры!AS$59)</f>
        <v>0</v>
      </c>
      <c r="AT1203" s="185">
        <f>IF($B1203=1,IF(AT$2&lt;$B1206,AT1199,0),0)*CHOOSE($D1191,1,Параметры!AT$53,Параметры!AT$59)</f>
        <v>0</v>
      </c>
      <c r="AU1203" s="185">
        <f>IF($B1203=1,IF(AU$2&lt;$B1206,AU1199,0),0)*CHOOSE($D1191,1,Параметры!AU$53,Параметры!AU$59)</f>
        <v>0</v>
      </c>
      <c r="AV1203" s="185">
        <f>IF($B1203=1,IF(AV$2&lt;$B1206,AV1199,0),0)*CHOOSE($D1191,1,Параметры!AV$53,Параметры!AV$59)</f>
        <v>0</v>
      </c>
      <c r="AW1203" s="185">
        <f>IF($B1203=1,IF(AW$2&lt;$B1206,AW1199,0),0)*CHOOSE($D1191,1,Параметры!AW$53,Параметры!AW$59)</f>
        <v>0</v>
      </c>
      <c r="AX1203" s="185">
        <f>IF($B1203=1,IF(AX$2&lt;$B1206,AX1199,0),0)*CHOOSE($D1191,1,Параметры!AX$53,Параметры!AX$59)</f>
        <v>0</v>
      </c>
      <c r="AY1203" s="185">
        <f>IF($B1203=1,IF(AY$2&lt;$B1206,AY1199,0),0)*CHOOSE($D1191,1,Параметры!AY$53,Параметры!AY$59)</f>
        <v>0</v>
      </c>
      <c r="AZ1203" s="185">
        <f>IF($B1203=1,IF(AZ$2&lt;$B1206,AZ1199,0),0)*CHOOSE($D1191,1,Параметры!AZ$53,Параметры!AZ$59)</f>
        <v>0</v>
      </c>
      <c r="BA1203" s="185">
        <f>IF($B1203=1,IF(BA$2&lt;$B1206,BA1199,0),0)*CHOOSE($D1191,1,Параметры!BA$53,Параметры!BA$59)</f>
        <v>0</v>
      </c>
      <c r="BB1203" s="185">
        <f>IF($B1203=1,IF(BB$2&lt;$B1206,BB1199,0),0)*CHOOSE($D1191,1,Параметры!BB$53,Параметры!BB$59)</f>
        <v>0</v>
      </c>
      <c r="BC1203" s="185"/>
      <c r="BD1203" s="193">
        <f>SUM(G1203:BC1203)</f>
        <v>0</v>
      </c>
    </row>
    <row r="1204" spans="1:56" ht="14.4" hidden="1" thickTop="1" x14ac:dyDescent="0.3">
      <c r="A1204" s="184" t="str">
        <f ca="1">Language!A$1119</f>
        <v>незавершенные инвестиции</v>
      </c>
      <c r="B1204" s="212"/>
      <c r="C1204" s="163" t="str">
        <f ca="1">CurName1</f>
        <v>руб.</v>
      </c>
      <c r="D1204" s="174">
        <v>1</v>
      </c>
      <c r="E1204" s="170" t="s">
        <v>1557</v>
      </c>
      <c r="F1204" s="170" t="s">
        <v>747</v>
      </c>
      <c r="G1204" s="185">
        <f>SUM($G1203:G1203)-G1205</f>
        <v>0</v>
      </c>
      <c r="H1204" s="185">
        <f>SUM($G1203:H1203)-H1205</f>
        <v>0</v>
      </c>
      <c r="I1204" s="185">
        <f>SUM($G1203:I1203)-I1205</f>
        <v>0</v>
      </c>
      <c r="J1204" s="185">
        <f>SUM($G1203:J1203)-J1205</f>
        <v>0</v>
      </c>
      <c r="K1204" s="185">
        <f>SUM($G1203:K1203)-K1205</f>
        <v>0</v>
      </c>
      <c r="L1204" s="185">
        <f>SUM($G1203:L1203)-L1205</f>
        <v>0</v>
      </c>
      <c r="M1204" s="185">
        <f>SUM($G1203:M1203)-M1205</f>
        <v>0</v>
      </c>
      <c r="N1204" s="185">
        <f>SUM($G1203:N1203)-N1205</f>
        <v>0</v>
      </c>
      <c r="O1204" s="185">
        <f>SUM($G1203:O1203)-O1205</f>
        <v>0</v>
      </c>
      <c r="P1204" s="185">
        <f>SUM($G1203:P1203)-P1205</f>
        <v>0</v>
      </c>
      <c r="Q1204" s="185">
        <f>SUM($G1203:Q1203)-Q1205</f>
        <v>0</v>
      </c>
      <c r="R1204" s="185">
        <f>SUM($G1203:R1203)-R1205</f>
        <v>0</v>
      </c>
      <c r="S1204" s="185">
        <f>SUM($G1203:S1203)-S1205</f>
        <v>0</v>
      </c>
      <c r="T1204" s="185">
        <f>SUM($G1203:T1203)-T1205</f>
        <v>0</v>
      </c>
      <c r="U1204" s="185">
        <f>SUM($G1203:U1203)-U1205</f>
        <v>0</v>
      </c>
      <c r="V1204" s="185">
        <f>SUM($G1203:V1203)-V1205</f>
        <v>0</v>
      </c>
      <c r="W1204" s="185">
        <f>SUM($G1203:W1203)-W1205</f>
        <v>0</v>
      </c>
      <c r="X1204" s="185">
        <f>SUM($G1203:X1203)-X1205</f>
        <v>0</v>
      </c>
      <c r="Y1204" s="185">
        <f>SUM($G1203:Y1203)-Y1205</f>
        <v>0</v>
      </c>
      <c r="Z1204" s="185">
        <f>SUM($G1203:Z1203)-Z1205</f>
        <v>0</v>
      </c>
      <c r="AA1204" s="185">
        <f>SUM($G1203:AA1203)-AA1205</f>
        <v>0</v>
      </c>
      <c r="AB1204" s="185">
        <f>SUM($G1203:AB1203)-AB1205</f>
        <v>0</v>
      </c>
      <c r="AC1204" s="185">
        <f>SUM($G1203:AC1203)-AC1205</f>
        <v>0</v>
      </c>
      <c r="AD1204" s="185">
        <f>SUM($G1203:AD1203)-AD1205</f>
        <v>0</v>
      </c>
      <c r="AE1204" s="185">
        <f>SUM($G1203:AE1203)-AE1205</f>
        <v>0</v>
      </c>
      <c r="AF1204" s="185">
        <f>SUM($G1203:AF1203)-AF1205</f>
        <v>0</v>
      </c>
      <c r="AG1204" s="185">
        <f>SUM($G1203:AG1203)-AG1205</f>
        <v>0</v>
      </c>
      <c r="AH1204" s="185">
        <f>SUM($G1203:AH1203)-AH1205</f>
        <v>0</v>
      </c>
      <c r="AI1204" s="185">
        <f>SUM($G1203:AI1203)-AI1205</f>
        <v>0</v>
      </c>
      <c r="AJ1204" s="185">
        <f>SUM($G1203:AJ1203)-AJ1205</f>
        <v>0</v>
      </c>
      <c r="AK1204" s="185">
        <f>SUM($G1203:AK1203)-AK1205</f>
        <v>0</v>
      </c>
      <c r="AL1204" s="185">
        <f>SUM($G1203:AL1203)-AL1205</f>
        <v>0</v>
      </c>
      <c r="AM1204" s="185">
        <f>SUM($G1203:AM1203)-AM1205</f>
        <v>0</v>
      </c>
      <c r="AN1204" s="185">
        <f>SUM($G1203:AN1203)-AN1205</f>
        <v>0</v>
      </c>
      <c r="AO1204" s="185">
        <f>SUM($G1203:AO1203)-AO1205</f>
        <v>0</v>
      </c>
      <c r="AP1204" s="185">
        <f>SUM($G1203:AP1203)-AP1205</f>
        <v>0</v>
      </c>
      <c r="AQ1204" s="185">
        <f>SUM($G1203:AQ1203)-AQ1205</f>
        <v>0</v>
      </c>
      <c r="AR1204" s="185">
        <f>SUM($G1203:AR1203)-AR1205</f>
        <v>0</v>
      </c>
      <c r="AS1204" s="185">
        <f>SUM($G1203:AS1203)-AS1205</f>
        <v>0</v>
      </c>
      <c r="AT1204" s="185">
        <f>SUM($G1203:AT1203)-AT1205</f>
        <v>0</v>
      </c>
      <c r="AU1204" s="185">
        <f>SUM($G1203:AU1203)-AU1205</f>
        <v>0</v>
      </c>
      <c r="AV1204" s="185">
        <f>SUM($G1203:AV1203)-AV1205</f>
        <v>0</v>
      </c>
      <c r="AW1204" s="185">
        <f>SUM($G1203:AW1203)-AW1205</f>
        <v>0</v>
      </c>
      <c r="AX1204" s="185">
        <f>SUM($G1203:AX1203)-AX1205</f>
        <v>0</v>
      </c>
      <c r="AY1204" s="185">
        <f>SUM($G1203:AY1203)-AY1205</f>
        <v>0</v>
      </c>
      <c r="AZ1204" s="185">
        <f>SUM($G1203:AZ1203)-AZ1205</f>
        <v>0</v>
      </c>
      <c r="BA1204" s="185">
        <f>SUM($G1203:BA1203)-BA1205</f>
        <v>0</v>
      </c>
      <c r="BB1204" s="185">
        <f>SUM($G1203:BB1203)-BB1205</f>
        <v>0</v>
      </c>
      <c r="BC1204" s="185"/>
      <c r="BD1204" s="193"/>
    </row>
    <row r="1205" spans="1:56" ht="14.4" hidden="1" thickTop="1" x14ac:dyDescent="0.3">
      <c r="A1205" s="184" t="str">
        <f ca="1">Language!A$1120</f>
        <v>проценты в стоимости основных средств</v>
      </c>
      <c r="B1205" s="212"/>
      <c r="C1205" s="163" t="str">
        <f ca="1">CurName1</f>
        <v>руб.</v>
      </c>
      <c r="F1205" s="170" t="s">
        <v>747</v>
      </c>
      <c r="G1205" s="185">
        <f>IF($B1203=1,IF(G$2&gt;=$B1206,SUM($F1203:F1203),0),0)</f>
        <v>0</v>
      </c>
      <c r="H1205" s="185">
        <f>IF($B1203=1,IF(H$2&gt;=$B1206,SUM($F1203:G1203),0),0)</f>
        <v>0</v>
      </c>
      <c r="I1205" s="185">
        <f>IF($B1203=1,IF(I$2&gt;=$B1206,SUM($F1203:H1203),0),0)</f>
        <v>0</v>
      </c>
      <c r="J1205" s="185">
        <f>IF($B1203=1,IF(J$2&gt;=$B1206,SUM($F1203:I1203),0),0)</f>
        <v>0</v>
      </c>
      <c r="K1205" s="185">
        <f>IF($B1203=1,IF(K$2&gt;=$B1206,SUM($F1203:J1203),0),0)</f>
        <v>0</v>
      </c>
      <c r="L1205" s="185">
        <f>IF($B1203=1,IF(L$2&gt;=$B1206,SUM($F1203:K1203),0),0)</f>
        <v>0</v>
      </c>
      <c r="M1205" s="185">
        <f>IF($B1203=1,IF(M$2&gt;=$B1206,SUM($F1203:L1203),0),0)</f>
        <v>0</v>
      </c>
      <c r="N1205" s="185">
        <f>IF($B1203=1,IF(N$2&gt;=$B1206,SUM($F1203:M1203),0),0)</f>
        <v>0</v>
      </c>
      <c r="O1205" s="185">
        <f>IF($B1203=1,IF(O$2&gt;=$B1206,SUM($F1203:N1203),0),0)</f>
        <v>0</v>
      </c>
      <c r="P1205" s="185">
        <f>IF($B1203=1,IF(P$2&gt;=$B1206,SUM($F1203:O1203),0),0)</f>
        <v>0</v>
      </c>
      <c r="Q1205" s="185">
        <f>IF($B1203=1,IF(Q$2&gt;=$B1206,SUM($F1203:P1203),0),0)</f>
        <v>0</v>
      </c>
      <c r="R1205" s="185">
        <f>IF($B1203=1,IF(R$2&gt;=$B1206,SUM($F1203:Q1203),0),0)</f>
        <v>0</v>
      </c>
      <c r="S1205" s="185">
        <f>IF($B1203=1,IF(S$2&gt;=$B1206,SUM($F1203:R1203),0),0)</f>
        <v>0</v>
      </c>
      <c r="T1205" s="185">
        <f>IF($B1203=1,IF(T$2&gt;=$B1206,SUM($F1203:S1203),0),0)</f>
        <v>0</v>
      </c>
      <c r="U1205" s="185">
        <f>IF($B1203=1,IF(U$2&gt;=$B1206,SUM($F1203:T1203),0),0)</f>
        <v>0</v>
      </c>
      <c r="V1205" s="185">
        <f>IF($B1203=1,IF(V$2&gt;=$B1206,SUM($F1203:U1203),0),0)</f>
        <v>0</v>
      </c>
      <c r="W1205" s="185">
        <f>IF($B1203=1,IF(W$2&gt;=$B1206,SUM($F1203:V1203),0),0)</f>
        <v>0</v>
      </c>
      <c r="X1205" s="185">
        <f>IF($B1203=1,IF(X$2&gt;=$B1206,SUM($F1203:W1203),0),0)</f>
        <v>0</v>
      </c>
      <c r="Y1205" s="185">
        <f>IF($B1203=1,IF(Y$2&gt;=$B1206,SUM($F1203:X1203),0),0)</f>
        <v>0</v>
      </c>
      <c r="Z1205" s="185">
        <f>IF($B1203=1,IF(Z$2&gt;=$B1206,SUM($F1203:Y1203),0),0)</f>
        <v>0</v>
      </c>
      <c r="AA1205" s="185">
        <f>IF($B1203=1,IF(AA$2&gt;=$B1206,SUM($F1203:Z1203),0),0)</f>
        <v>0</v>
      </c>
      <c r="AB1205" s="185">
        <f>IF($B1203=1,IF(AB$2&gt;=$B1206,SUM($F1203:AA1203),0),0)</f>
        <v>0</v>
      </c>
      <c r="AC1205" s="185">
        <f>IF($B1203=1,IF(AC$2&gt;=$B1206,SUM($F1203:AB1203),0),0)</f>
        <v>0</v>
      </c>
      <c r="AD1205" s="185">
        <f>IF($B1203=1,IF(AD$2&gt;=$B1206,SUM($F1203:AC1203),0),0)</f>
        <v>0</v>
      </c>
      <c r="AE1205" s="185">
        <f>IF($B1203=1,IF(AE$2&gt;=$B1206,SUM($F1203:AD1203),0),0)</f>
        <v>0</v>
      </c>
      <c r="AF1205" s="185">
        <f>IF($B1203=1,IF(AF$2&gt;=$B1206,SUM($F1203:AE1203),0),0)</f>
        <v>0</v>
      </c>
      <c r="AG1205" s="185">
        <f>IF($B1203=1,IF(AG$2&gt;=$B1206,SUM($F1203:AF1203),0),0)</f>
        <v>0</v>
      </c>
      <c r="AH1205" s="185">
        <f>IF($B1203=1,IF(AH$2&gt;=$B1206,SUM($F1203:AG1203),0),0)</f>
        <v>0</v>
      </c>
      <c r="AI1205" s="185">
        <f>IF($B1203=1,IF(AI$2&gt;=$B1206,SUM($F1203:AH1203),0),0)</f>
        <v>0</v>
      </c>
      <c r="AJ1205" s="185">
        <f>IF($B1203=1,IF(AJ$2&gt;=$B1206,SUM($F1203:AI1203),0),0)</f>
        <v>0</v>
      </c>
      <c r="AK1205" s="185">
        <f>IF($B1203=1,IF(AK$2&gt;=$B1206,SUM($F1203:AJ1203),0),0)</f>
        <v>0</v>
      </c>
      <c r="AL1205" s="185">
        <f>IF($B1203=1,IF(AL$2&gt;=$B1206,SUM($F1203:AK1203),0),0)</f>
        <v>0</v>
      </c>
      <c r="AM1205" s="185">
        <f>IF($B1203=1,IF(AM$2&gt;=$B1206,SUM($F1203:AL1203),0),0)</f>
        <v>0</v>
      </c>
      <c r="AN1205" s="185">
        <f>IF($B1203=1,IF(AN$2&gt;=$B1206,SUM($F1203:AM1203),0),0)</f>
        <v>0</v>
      </c>
      <c r="AO1205" s="185">
        <f>IF($B1203=1,IF(AO$2&gt;=$B1206,SUM($F1203:AN1203),0),0)</f>
        <v>0</v>
      </c>
      <c r="AP1205" s="185">
        <f>IF($B1203=1,IF(AP$2&gt;=$B1206,SUM($F1203:AO1203),0),0)</f>
        <v>0</v>
      </c>
      <c r="AQ1205" s="185">
        <f>IF($B1203=1,IF(AQ$2&gt;=$B1206,SUM($F1203:AP1203),0),0)</f>
        <v>0</v>
      </c>
      <c r="AR1205" s="185">
        <f>IF($B1203=1,IF(AR$2&gt;=$B1206,SUM($F1203:AQ1203),0),0)</f>
        <v>0</v>
      </c>
      <c r="AS1205" s="185">
        <f>IF($B1203=1,IF(AS$2&gt;=$B1206,SUM($F1203:AR1203),0),0)</f>
        <v>0</v>
      </c>
      <c r="AT1205" s="185">
        <f>IF($B1203=1,IF(AT$2&gt;=$B1206,SUM($F1203:AS1203),0),0)</f>
        <v>0</v>
      </c>
      <c r="AU1205" s="185">
        <f>IF($B1203=1,IF(AU$2&gt;=$B1206,SUM($F1203:AT1203),0),0)</f>
        <v>0</v>
      </c>
      <c r="AV1205" s="185">
        <f>IF($B1203=1,IF(AV$2&gt;=$B1206,SUM($F1203:AU1203),0),0)</f>
        <v>0</v>
      </c>
      <c r="AW1205" s="185">
        <f>IF($B1203=1,IF(AW$2&gt;=$B1206,SUM($F1203:AV1203),0),0)</f>
        <v>0</v>
      </c>
      <c r="AX1205" s="185">
        <f>IF($B1203=1,IF(AX$2&gt;=$B1206,SUM($F1203:AW1203),0),0)</f>
        <v>0</v>
      </c>
      <c r="AY1205" s="185">
        <f>IF($B1203=1,IF(AY$2&gt;=$B1206,SUM($F1203:AX1203),0),0)</f>
        <v>0</v>
      </c>
      <c r="AZ1205" s="185">
        <f>IF($B1203=1,IF(AZ$2&gt;=$B1206,SUM($F1203:AY1203),0),0)</f>
        <v>0</v>
      </c>
      <c r="BA1205" s="185">
        <f>IF($B1203=1,IF(BA$2&gt;=$B1206,SUM($F1203:AZ1203),0),0)</f>
        <v>0</v>
      </c>
      <c r="BB1205" s="185">
        <f>IF($B1203=1,IF(BB$2&gt;=$B1206,SUM($F1203:BA1203),0),0)</f>
        <v>0</v>
      </c>
      <c r="BC1205" s="185"/>
      <c r="BD1205" s="193"/>
    </row>
    <row r="1206" spans="1:56" ht="14.4" hidden="1" thickTop="1" x14ac:dyDescent="0.3">
      <c r="A1206" s="184" t="str">
        <f ca="1">Language!A$1121</f>
        <v>период ввода основных средств</v>
      </c>
      <c r="B1206" s="288">
        <f>Prj_Invest+1</f>
        <v>7</v>
      </c>
      <c r="C1206" s="163" t="str">
        <f ca="1">Language!$A$1480</f>
        <v>период</v>
      </c>
      <c r="F1206" s="170" t="s">
        <v>2343</v>
      </c>
      <c r="G1206" s="185"/>
      <c r="H1206" s="185"/>
      <c r="I1206" s="185"/>
      <c r="J1206" s="185"/>
      <c r="K1206" s="185"/>
      <c r="L1206" s="185"/>
      <c r="M1206" s="185"/>
      <c r="N1206" s="185"/>
      <c r="O1206" s="185"/>
      <c r="P1206" s="185"/>
      <c r="Q1206" s="185"/>
      <c r="R1206" s="185"/>
      <c r="S1206" s="185"/>
      <c r="T1206" s="185"/>
      <c r="U1206" s="185"/>
      <c r="V1206" s="185"/>
      <c r="W1206" s="185"/>
      <c r="X1206" s="185"/>
      <c r="Y1206" s="185"/>
      <c r="Z1206" s="185"/>
      <c r="AA1206" s="185"/>
      <c r="AB1206" s="185"/>
      <c r="AC1206" s="185"/>
      <c r="AD1206" s="185"/>
      <c r="AE1206" s="185"/>
      <c r="AF1206" s="185"/>
      <c r="AG1206" s="185"/>
      <c r="AH1206" s="185"/>
      <c r="AI1206" s="185"/>
      <c r="AJ1206" s="185"/>
      <c r="AK1206" s="185"/>
      <c r="AL1206" s="185"/>
      <c r="AM1206" s="185"/>
      <c r="AN1206" s="185"/>
      <c r="AO1206" s="185"/>
      <c r="AP1206" s="185"/>
      <c r="AQ1206" s="185"/>
      <c r="AR1206" s="185"/>
      <c r="AS1206" s="185"/>
      <c r="AT1206" s="185"/>
      <c r="AU1206" s="185"/>
      <c r="AV1206" s="185"/>
      <c r="AW1206" s="185"/>
      <c r="AX1206" s="185"/>
      <c r="AY1206" s="185"/>
      <c r="AZ1206" s="185"/>
      <c r="BA1206" s="185"/>
      <c r="BB1206" s="185"/>
      <c r="BC1206" s="185"/>
      <c r="BD1206" s="193"/>
    </row>
    <row r="1207" spans="1:56" ht="14.4" hidden="1" thickTop="1" x14ac:dyDescent="0.3">
      <c r="A1207" s="184" t="str">
        <f ca="1">Language!A$1122</f>
        <v>срок амортизации основных средств</v>
      </c>
      <c r="B1207" s="288">
        <v>10</v>
      </c>
      <c r="C1207" s="163" t="str">
        <f ca="1">Language!A$48</f>
        <v>лет</v>
      </c>
      <c r="F1207" s="170" t="s">
        <v>2343</v>
      </c>
      <c r="G1207" s="185"/>
      <c r="H1207" s="185"/>
      <c r="I1207" s="185"/>
      <c r="J1207" s="185"/>
      <c r="K1207" s="185"/>
      <c r="L1207" s="185"/>
      <c r="M1207" s="185"/>
      <c r="N1207" s="185"/>
      <c r="O1207" s="185"/>
      <c r="P1207" s="185"/>
      <c r="Q1207" s="185"/>
      <c r="R1207" s="185"/>
      <c r="S1207" s="185"/>
      <c r="T1207" s="185"/>
      <c r="U1207" s="185"/>
      <c r="V1207" s="185"/>
      <c r="W1207" s="185"/>
      <c r="X1207" s="185"/>
      <c r="Y1207" s="185"/>
      <c r="Z1207" s="185"/>
      <c r="AA1207" s="185"/>
      <c r="AB1207" s="185"/>
      <c r="AC1207" s="185"/>
      <c r="AD1207" s="185"/>
      <c r="AE1207" s="185"/>
      <c r="AF1207" s="185"/>
      <c r="AG1207" s="185"/>
      <c r="AH1207" s="185"/>
      <c r="AI1207" s="185"/>
      <c r="AJ1207" s="185"/>
      <c r="AK1207" s="185"/>
      <c r="AL1207" s="185"/>
      <c r="AM1207" s="185"/>
      <c r="AN1207" s="185"/>
      <c r="AO1207" s="185"/>
      <c r="AP1207" s="185"/>
      <c r="AQ1207" s="185"/>
      <c r="AR1207" s="185"/>
      <c r="AS1207" s="185"/>
      <c r="AT1207" s="185"/>
      <c r="AU1207" s="185"/>
      <c r="AV1207" s="185"/>
      <c r="AW1207" s="185"/>
      <c r="AX1207" s="185"/>
      <c r="AY1207" s="185"/>
      <c r="AZ1207" s="185"/>
      <c r="BA1207" s="185"/>
      <c r="BB1207" s="185"/>
      <c r="BC1207" s="185"/>
      <c r="BD1207" s="193"/>
    </row>
    <row r="1208" spans="1:56" ht="14.4" hidden="1" thickTop="1" x14ac:dyDescent="0.3">
      <c r="A1208" s="184" t="str">
        <f ca="1">Language!A$1123</f>
        <v>списание процентов на затраты</v>
      </c>
      <c r="B1208" s="212"/>
      <c r="C1208" s="163" t="str">
        <f ca="1">CurName1</f>
        <v>руб.</v>
      </c>
      <c r="D1208" s="174">
        <v>1</v>
      </c>
      <c r="E1208" s="170" t="s">
        <v>1042</v>
      </c>
      <c r="F1208" s="170" t="s">
        <v>743</v>
      </c>
      <c r="G1208" s="185">
        <f>IF($B1207=0,0,MIN(G1205/$B1207/12*Параметры!G$31,IF(G$2&gt;1,F1209+G1205-F1203,G1205)))</f>
        <v>0</v>
      </c>
      <c r="H1208" s="185">
        <f>IF($B1207=0,0,MIN(H1205/$B1207/12*Параметры!H$31,IF(H$2&gt;1,G1209+H1205-G1205,H1205)))</f>
        <v>0</v>
      </c>
      <c r="I1208" s="185">
        <f>IF($B1207=0,0,MIN(I1205/$B1207/12*Параметры!I$31,IF(I$2&gt;1,H1209+I1205-H1205,I1205)))</f>
        <v>0</v>
      </c>
      <c r="J1208" s="185">
        <f>IF($B1207=0,0,MIN(J1205/$B1207/12*Параметры!J$31,IF(J$2&gt;1,I1209+J1205-I1205,J1205)))</f>
        <v>0</v>
      </c>
      <c r="K1208" s="185">
        <f>IF($B1207=0,0,MIN(K1205/$B1207/12*Параметры!K$31,IF(K$2&gt;1,J1209+K1205-J1205,K1205)))</f>
        <v>0</v>
      </c>
      <c r="L1208" s="185">
        <f>IF($B1207=0,0,MIN(L1205/$B1207/12*Параметры!L$31,IF(L$2&gt;1,K1209+L1205-K1205,L1205)))</f>
        <v>0</v>
      </c>
      <c r="M1208" s="185">
        <f>IF($B1207=0,0,MIN(M1205/$B1207/12*Параметры!M$31,IF(M$2&gt;1,L1209+M1205-L1205,M1205)))</f>
        <v>0</v>
      </c>
      <c r="N1208" s="185">
        <f>IF($B1207=0,0,MIN(N1205/$B1207/12*Параметры!N$31,IF(N$2&gt;1,M1209+N1205-M1205,N1205)))</f>
        <v>0</v>
      </c>
      <c r="O1208" s="185">
        <f>IF($B1207=0,0,MIN(O1205/$B1207/12*Параметры!O$31,IF(O$2&gt;1,N1209+O1205-N1205,O1205)))</f>
        <v>0</v>
      </c>
      <c r="P1208" s="185">
        <f>IF($B1207=0,0,MIN(P1205/$B1207/12*Параметры!P$31,IF(P$2&gt;1,O1209+P1205-O1205,P1205)))</f>
        <v>0</v>
      </c>
      <c r="Q1208" s="185">
        <f>IF($B1207=0,0,MIN(Q1205/$B1207/12*Параметры!Q$31,IF(Q$2&gt;1,P1209+Q1205-P1205,Q1205)))</f>
        <v>0</v>
      </c>
      <c r="R1208" s="185">
        <f>IF($B1207=0,0,MIN(R1205/$B1207/12*Параметры!R$31,IF(R$2&gt;1,Q1209+R1205-Q1205,R1205)))</f>
        <v>0</v>
      </c>
      <c r="S1208" s="185">
        <f>IF($B1207=0,0,MIN(S1205/$B1207/12*Параметры!S$31,IF(S$2&gt;1,R1209+S1205-R1205,S1205)))</f>
        <v>0</v>
      </c>
      <c r="T1208" s="185">
        <f>IF($B1207=0,0,MIN(T1205/$B1207/12*Параметры!T$31,IF(T$2&gt;1,S1209+T1205-S1205,T1205)))</f>
        <v>0</v>
      </c>
      <c r="U1208" s="185">
        <f>IF($B1207=0,0,MIN(U1205/$B1207/12*Параметры!U$31,IF(U$2&gt;1,T1209+U1205-T1205,U1205)))</f>
        <v>0</v>
      </c>
      <c r="V1208" s="185">
        <f>IF($B1207=0,0,MIN(V1205/$B1207/12*Параметры!V$31,IF(V$2&gt;1,U1209+V1205-U1205,V1205)))</f>
        <v>0</v>
      </c>
      <c r="W1208" s="185">
        <f>IF($B1207=0,0,MIN(W1205/$B1207/12*Параметры!W$31,IF(W$2&gt;1,V1209+W1205-V1205,W1205)))</f>
        <v>0</v>
      </c>
      <c r="X1208" s="185">
        <f>IF($B1207=0,0,MIN(X1205/$B1207/12*Параметры!X$31,IF(X$2&gt;1,W1209+X1205-W1205,X1205)))</f>
        <v>0</v>
      </c>
      <c r="Y1208" s="185">
        <f>IF($B1207=0,0,MIN(Y1205/$B1207/12*Параметры!Y$31,IF(Y$2&gt;1,X1209+Y1205-X1205,Y1205)))</f>
        <v>0</v>
      </c>
      <c r="Z1208" s="185">
        <f>IF($B1207=0,0,MIN(Z1205/$B1207/12*Параметры!Z$31,IF(Z$2&gt;1,Y1209+Z1205-Y1205,Z1205)))</f>
        <v>0</v>
      </c>
      <c r="AA1208" s="185">
        <f>IF($B1207=0,0,MIN(AA1205/$B1207/12*Параметры!AA$31,IF(AA$2&gt;1,Z1209+AA1205-Z1205,AA1205)))</f>
        <v>0</v>
      </c>
      <c r="AB1208" s="185">
        <f>IF($B1207=0,0,MIN(AB1205/$B1207/12*Параметры!AB$31,IF(AB$2&gt;1,AA1209+AB1205-AA1205,AB1205)))</f>
        <v>0</v>
      </c>
      <c r="AC1208" s="185">
        <f>IF($B1207=0,0,MIN(AC1205/$B1207/12*Параметры!AC$31,IF(AC$2&gt;1,AB1209+AC1205-AB1205,AC1205)))</f>
        <v>0</v>
      </c>
      <c r="AD1208" s="185">
        <f>IF($B1207=0,0,MIN(AD1205/$B1207/12*Параметры!AD$31,IF(AD$2&gt;1,AC1209+AD1205-AC1205,AD1205)))</f>
        <v>0</v>
      </c>
      <c r="AE1208" s="185">
        <f>IF($B1207=0,0,MIN(AE1205/$B1207/12*Параметры!AE$31,IF(AE$2&gt;1,AD1209+AE1205-AD1205,AE1205)))</f>
        <v>0</v>
      </c>
      <c r="AF1208" s="185">
        <f>IF($B1207=0,0,MIN(AF1205/$B1207/12*Параметры!AF$31,IF(AF$2&gt;1,AE1209+AF1205-AE1205,AF1205)))</f>
        <v>0</v>
      </c>
      <c r="AG1208" s="185">
        <f>IF($B1207=0,0,MIN(AG1205/$B1207/12*Параметры!AG$31,IF(AG$2&gt;1,AF1209+AG1205-AF1205,AG1205)))</f>
        <v>0</v>
      </c>
      <c r="AH1208" s="185">
        <f>IF($B1207=0,0,MIN(AH1205/$B1207/12*Параметры!AH$31,IF(AH$2&gt;1,AG1209+AH1205-AG1205,AH1205)))</f>
        <v>0</v>
      </c>
      <c r="AI1208" s="185">
        <f>IF($B1207=0,0,MIN(AI1205/$B1207/12*Параметры!AI$31,IF(AI$2&gt;1,AH1209+AI1205-AH1205,AI1205)))</f>
        <v>0</v>
      </c>
      <c r="AJ1208" s="185">
        <f>IF($B1207=0,0,MIN(AJ1205/$B1207/12*Параметры!AJ$31,IF(AJ$2&gt;1,AI1209+AJ1205-AI1205,AJ1205)))</f>
        <v>0</v>
      </c>
      <c r="AK1208" s="185">
        <f>IF($B1207=0,0,MIN(AK1205/$B1207/12*Параметры!AK$31,IF(AK$2&gt;1,AJ1209+AK1205-AJ1205,AK1205)))</f>
        <v>0</v>
      </c>
      <c r="AL1208" s="185">
        <f>IF($B1207=0,0,MIN(AL1205/$B1207/12*Параметры!AL$31,IF(AL$2&gt;1,AK1209+AL1205-AK1205,AL1205)))</f>
        <v>0</v>
      </c>
      <c r="AM1208" s="185">
        <f>IF($B1207=0,0,MIN(AM1205/$B1207/12*Параметры!AM$31,IF(AM$2&gt;1,AL1209+AM1205-AL1205,AM1205)))</f>
        <v>0</v>
      </c>
      <c r="AN1208" s="185">
        <f>IF($B1207=0,0,MIN(AN1205/$B1207/12*Параметры!AN$31,IF(AN$2&gt;1,AM1209+AN1205-AM1205,AN1205)))</f>
        <v>0</v>
      </c>
      <c r="AO1208" s="185">
        <f>IF($B1207=0,0,MIN(AO1205/$B1207/12*Параметры!AO$31,IF(AO$2&gt;1,AN1209+AO1205-AN1205,AO1205)))</f>
        <v>0</v>
      </c>
      <c r="AP1208" s="185">
        <f>IF($B1207=0,0,MIN(AP1205/$B1207/12*Параметры!AP$31,IF(AP$2&gt;1,AO1209+AP1205-AO1205,AP1205)))</f>
        <v>0</v>
      </c>
      <c r="AQ1208" s="185">
        <f>IF($B1207=0,0,MIN(AQ1205/$B1207/12*Параметры!AQ$31,IF(AQ$2&gt;1,AP1209+AQ1205-AP1205,AQ1205)))</f>
        <v>0</v>
      </c>
      <c r="AR1208" s="185">
        <f>IF($B1207=0,0,MIN(AR1205/$B1207/12*Параметры!AR$31,IF(AR$2&gt;1,AQ1209+AR1205-AQ1205,AR1205)))</f>
        <v>0</v>
      </c>
      <c r="AS1208" s="185">
        <f>IF($B1207=0,0,MIN(AS1205/$B1207/12*Параметры!AS$31,IF(AS$2&gt;1,AR1209+AS1205-AR1205,AS1205)))</f>
        <v>0</v>
      </c>
      <c r="AT1208" s="185">
        <f>IF($B1207=0,0,MIN(AT1205/$B1207/12*Параметры!AT$31,IF(AT$2&gt;1,AS1209+AT1205-AS1205,AT1205)))</f>
        <v>0</v>
      </c>
      <c r="AU1208" s="185">
        <f>IF($B1207=0,0,MIN(AU1205/$B1207/12*Параметры!AU$31,IF(AU$2&gt;1,AT1209+AU1205-AT1205,AU1205)))</f>
        <v>0</v>
      </c>
      <c r="AV1208" s="185">
        <f>IF($B1207=0,0,MIN(AV1205/$B1207/12*Параметры!AV$31,IF(AV$2&gt;1,AU1209+AV1205-AU1205,AV1205)))</f>
        <v>0</v>
      </c>
      <c r="AW1208" s="185">
        <f>IF($B1207=0,0,MIN(AW1205/$B1207/12*Параметры!AW$31,IF(AW$2&gt;1,AV1209+AW1205-AV1205,AW1205)))</f>
        <v>0</v>
      </c>
      <c r="AX1208" s="185">
        <f>IF($B1207=0,0,MIN(AX1205/$B1207/12*Параметры!AX$31,IF(AX$2&gt;1,AW1209+AX1205-AW1205,AX1205)))</f>
        <v>0</v>
      </c>
      <c r="AY1208" s="185">
        <f>IF($B1207=0,0,MIN(AY1205/$B1207/12*Параметры!AY$31,IF(AY$2&gt;1,AX1209+AY1205-AX1205,AY1205)))</f>
        <v>0</v>
      </c>
      <c r="AZ1208" s="185">
        <f>IF($B1207=0,0,MIN(AZ1205/$B1207/12*Параметры!AZ$31,IF(AZ$2&gt;1,AY1209+AZ1205-AY1205,AZ1205)))</f>
        <v>0</v>
      </c>
      <c r="BA1208" s="185">
        <f>IF($B1207=0,0,MIN(BA1205/$B1207/12*Параметры!BA$31,IF(BA$2&gt;1,AZ1209+BA1205-AZ1205,BA1205)))</f>
        <v>0</v>
      </c>
      <c r="BB1208" s="185">
        <f>IF($B1207=0,0,MIN(BB1205/$B1207/12*Параметры!BB$31,IF(BB$2&gt;1,BA1209+BB1205-BA1205,BB1205)))</f>
        <v>0</v>
      </c>
      <c r="BC1208" s="185"/>
      <c r="BD1208" s="193">
        <f>SUM(G1208:BC1208)</f>
        <v>0</v>
      </c>
    </row>
    <row r="1209" spans="1:56" ht="14.4" hidden="1" thickTop="1" x14ac:dyDescent="0.3">
      <c r="A1209" s="184" t="str">
        <f ca="1">Language!A$1124</f>
        <v>балансовая стоимость</v>
      </c>
      <c r="B1209" s="212"/>
      <c r="C1209" s="163" t="str">
        <f ca="1">CurName1</f>
        <v>руб.</v>
      </c>
      <c r="D1209" s="174">
        <v>1</v>
      </c>
      <c r="E1209" s="170" t="s">
        <v>1040</v>
      </c>
      <c r="F1209" s="170" t="s">
        <v>747</v>
      </c>
      <c r="G1209" s="185">
        <f>IF(G$2&gt;=$B1206,G1205-SUM($G1208:G1208),0)</f>
        <v>0</v>
      </c>
      <c r="H1209" s="185">
        <f>IF(H$2&gt;=$B1206,H1205-SUM($G1208:H1208),0)</f>
        <v>0</v>
      </c>
      <c r="I1209" s="185">
        <f>IF(I$2&gt;=$B1206,I1205-SUM($G1208:I1208),0)</f>
        <v>0</v>
      </c>
      <c r="J1209" s="185">
        <f>IF(J$2&gt;=$B1206,J1205-SUM($G1208:J1208),0)</f>
        <v>0</v>
      </c>
      <c r="K1209" s="185">
        <f>IF(K$2&gt;=$B1206,K1205-SUM($G1208:K1208),0)</f>
        <v>0</v>
      </c>
      <c r="L1209" s="185">
        <f>IF(L$2&gt;=$B1206,L1205-SUM($G1208:L1208),0)</f>
        <v>0</v>
      </c>
      <c r="M1209" s="185">
        <f>IF(M$2&gt;=$B1206,M1205-SUM($G1208:M1208),0)</f>
        <v>0</v>
      </c>
      <c r="N1209" s="185">
        <f>IF(N$2&gt;=$B1206,N1205-SUM($G1208:N1208),0)</f>
        <v>0</v>
      </c>
      <c r="O1209" s="185">
        <f>IF(O$2&gt;=$B1206,O1205-SUM($G1208:O1208),0)</f>
        <v>0</v>
      </c>
      <c r="P1209" s="185">
        <f>IF(P$2&gt;=$B1206,P1205-SUM($G1208:P1208),0)</f>
        <v>0</v>
      </c>
      <c r="Q1209" s="185">
        <f>IF(Q$2&gt;=$B1206,Q1205-SUM($G1208:Q1208),0)</f>
        <v>0</v>
      </c>
      <c r="R1209" s="185">
        <f>IF(R$2&gt;=$B1206,R1205-SUM($G1208:R1208),0)</f>
        <v>0</v>
      </c>
      <c r="S1209" s="185">
        <f>IF(S$2&gt;=$B1206,S1205-SUM($G1208:S1208),0)</f>
        <v>0</v>
      </c>
      <c r="T1209" s="185">
        <f>IF(T$2&gt;=$B1206,T1205-SUM($G1208:T1208),0)</f>
        <v>0</v>
      </c>
      <c r="U1209" s="185">
        <f>IF(U$2&gt;=$B1206,U1205-SUM($G1208:U1208),0)</f>
        <v>0</v>
      </c>
      <c r="V1209" s="185">
        <f>IF(V$2&gt;=$B1206,V1205-SUM($G1208:V1208),0)</f>
        <v>0</v>
      </c>
      <c r="W1209" s="185">
        <f>IF(W$2&gt;=$B1206,W1205-SUM($G1208:W1208),0)</f>
        <v>0</v>
      </c>
      <c r="X1209" s="185">
        <f>IF(X$2&gt;=$B1206,X1205-SUM($G1208:X1208),0)</f>
        <v>0</v>
      </c>
      <c r="Y1209" s="185">
        <f>IF(Y$2&gt;=$B1206,Y1205-SUM($G1208:Y1208),0)</f>
        <v>0</v>
      </c>
      <c r="Z1209" s="185">
        <f>IF(Z$2&gt;=$B1206,Z1205-SUM($G1208:Z1208),0)</f>
        <v>0</v>
      </c>
      <c r="AA1209" s="185">
        <f>IF(AA$2&gt;=$B1206,AA1205-SUM($G1208:AA1208),0)</f>
        <v>0</v>
      </c>
      <c r="AB1209" s="185">
        <f>IF(AB$2&gt;=$B1206,AB1205-SUM($G1208:AB1208),0)</f>
        <v>0</v>
      </c>
      <c r="AC1209" s="185">
        <f>IF(AC$2&gt;=$B1206,AC1205-SUM($G1208:AC1208),0)</f>
        <v>0</v>
      </c>
      <c r="AD1209" s="185">
        <f>IF(AD$2&gt;=$B1206,AD1205-SUM($G1208:AD1208),0)</f>
        <v>0</v>
      </c>
      <c r="AE1209" s="185">
        <f>IF(AE$2&gt;=$B1206,AE1205-SUM($G1208:AE1208),0)</f>
        <v>0</v>
      </c>
      <c r="AF1209" s="185">
        <f>IF(AF$2&gt;=$B1206,AF1205-SUM($G1208:AF1208),0)</f>
        <v>0</v>
      </c>
      <c r="AG1209" s="185">
        <f>IF(AG$2&gt;=$B1206,AG1205-SUM($G1208:AG1208),0)</f>
        <v>0</v>
      </c>
      <c r="AH1209" s="185">
        <f>IF(AH$2&gt;=$B1206,AH1205-SUM($G1208:AH1208),0)</f>
        <v>0</v>
      </c>
      <c r="AI1209" s="185">
        <f>IF(AI$2&gt;=$B1206,AI1205-SUM($G1208:AI1208),0)</f>
        <v>0</v>
      </c>
      <c r="AJ1209" s="185">
        <f>IF(AJ$2&gt;=$B1206,AJ1205-SUM($G1208:AJ1208),0)</f>
        <v>0</v>
      </c>
      <c r="AK1209" s="185">
        <f>IF(AK$2&gt;=$B1206,AK1205-SUM($G1208:AK1208),0)</f>
        <v>0</v>
      </c>
      <c r="AL1209" s="185">
        <f>IF(AL$2&gt;=$B1206,AL1205-SUM($G1208:AL1208),0)</f>
        <v>0</v>
      </c>
      <c r="AM1209" s="185">
        <f>IF(AM$2&gt;=$B1206,AM1205-SUM($G1208:AM1208),0)</f>
        <v>0</v>
      </c>
      <c r="AN1209" s="185">
        <f>IF(AN$2&gt;=$B1206,AN1205-SUM($G1208:AN1208),0)</f>
        <v>0</v>
      </c>
      <c r="AO1209" s="185">
        <f>IF(AO$2&gt;=$B1206,AO1205-SUM($G1208:AO1208),0)</f>
        <v>0</v>
      </c>
      <c r="AP1209" s="185">
        <f>IF(AP$2&gt;=$B1206,AP1205-SUM($G1208:AP1208),0)</f>
        <v>0</v>
      </c>
      <c r="AQ1209" s="185">
        <f>IF(AQ$2&gt;=$B1206,AQ1205-SUM($G1208:AQ1208),0)</f>
        <v>0</v>
      </c>
      <c r="AR1209" s="185">
        <f>IF(AR$2&gt;=$B1206,AR1205-SUM($G1208:AR1208),0)</f>
        <v>0</v>
      </c>
      <c r="AS1209" s="185">
        <f>IF(AS$2&gt;=$B1206,AS1205-SUM($G1208:AS1208),0)</f>
        <v>0</v>
      </c>
      <c r="AT1209" s="185">
        <f>IF(AT$2&gt;=$B1206,AT1205-SUM($G1208:AT1208),0)</f>
        <v>0</v>
      </c>
      <c r="AU1209" s="185">
        <f>IF(AU$2&gt;=$B1206,AU1205-SUM($G1208:AU1208),0)</f>
        <v>0</v>
      </c>
      <c r="AV1209" s="185">
        <f>IF(AV$2&gt;=$B1206,AV1205-SUM($G1208:AV1208),0)</f>
        <v>0</v>
      </c>
      <c r="AW1209" s="185">
        <f>IF(AW$2&gt;=$B1206,AW1205-SUM($G1208:AW1208),0)</f>
        <v>0</v>
      </c>
      <c r="AX1209" s="185">
        <f>IF(AX$2&gt;=$B1206,AX1205-SUM($G1208:AX1208),0)</f>
        <v>0</v>
      </c>
      <c r="AY1209" s="185">
        <f>IF(AY$2&gt;=$B1206,AY1205-SUM($G1208:AY1208),0)</f>
        <v>0</v>
      </c>
      <c r="AZ1209" s="185">
        <f>IF(AZ$2&gt;=$B1206,AZ1205-SUM($G1208:AZ1208),0)</f>
        <v>0</v>
      </c>
      <c r="BA1209" s="185">
        <f>IF(BA$2&gt;=$B1206,BA1205-SUM($G1208:BA1208),0)</f>
        <v>0</v>
      </c>
      <c r="BB1209" s="185">
        <f>IF(BB$2&gt;=$B1206,BB1205-SUM($G1208:BB1208),0)</f>
        <v>0</v>
      </c>
      <c r="BC1209" s="185"/>
      <c r="BD1209" s="193"/>
    </row>
    <row r="1210" spans="1:56" ht="14.4" hidden="1" thickTop="1" x14ac:dyDescent="0.3">
      <c r="A1210" s="283" t="str">
        <f ca="1">Language!A$1125</f>
        <v>Шаблон краткосрочного кредита</v>
      </c>
      <c r="B1210" s="205"/>
      <c r="C1210" s="176" t="str">
        <f t="shared" ref="C1210" ca="1" si="4409">CHOOSE(D1210,CurName1,CurName2,CurName3)</f>
        <v>руб.</v>
      </c>
      <c r="D1210" s="174">
        <v>1</v>
      </c>
      <c r="F1210" s="170" t="s">
        <v>2200</v>
      </c>
    </row>
    <row r="1211" spans="1:56" ht="14.4" hidden="1" thickTop="1" x14ac:dyDescent="0.3">
      <c r="A1211" s="175" t="str">
        <f ca="1">Language!A$1126</f>
        <v>ставка процентов по кредиту</v>
      </c>
      <c r="B1211" s="303">
        <v>0.1</v>
      </c>
      <c r="C1211" s="176" t="str">
        <f ca="1">Language!$A$480</f>
        <v>% в год</v>
      </c>
      <c r="D1211" s="174"/>
      <c r="E1211" s="170" t="s">
        <v>1534</v>
      </c>
      <c r="F1211" s="170" t="s">
        <v>749</v>
      </c>
      <c r="G1211" s="304">
        <f>B1211</f>
        <v>0.1</v>
      </c>
      <c r="H1211" s="304">
        <f t="shared" ref="H1211:BB1211" si="4410">G1211</f>
        <v>0.1</v>
      </c>
      <c r="I1211" s="304">
        <f t="shared" si="4410"/>
        <v>0.1</v>
      </c>
      <c r="J1211" s="304">
        <f t="shared" si="4410"/>
        <v>0.1</v>
      </c>
      <c r="K1211" s="304">
        <f t="shared" si="4410"/>
        <v>0.1</v>
      </c>
      <c r="L1211" s="304">
        <f t="shared" si="4410"/>
        <v>0.1</v>
      </c>
      <c r="M1211" s="304">
        <f t="shared" si="4410"/>
        <v>0.1</v>
      </c>
      <c r="N1211" s="304">
        <f t="shared" si="4410"/>
        <v>0.1</v>
      </c>
      <c r="O1211" s="304">
        <f t="shared" si="4410"/>
        <v>0.1</v>
      </c>
      <c r="P1211" s="304">
        <f t="shared" si="4410"/>
        <v>0.1</v>
      </c>
      <c r="Q1211" s="304">
        <f t="shared" si="4410"/>
        <v>0.1</v>
      </c>
      <c r="R1211" s="304">
        <f t="shared" si="4410"/>
        <v>0.1</v>
      </c>
      <c r="S1211" s="304">
        <f t="shared" si="4410"/>
        <v>0.1</v>
      </c>
      <c r="T1211" s="304">
        <f t="shared" si="4410"/>
        <v>0.1</v>
      </c>
      <c r="U1211" s="304">
        <f t="shared" si="4410"/>
        <v>0.1</v>
      </c>
      <c r="V1211" s="304">
        <f t="shared" si="4410"/>
        <v>0.1</v>
      </c>
      <c r="W1211" s="304">
        <f t="shared" si="4410"/>
        <v>0.1</v>
      </c>
      <c r="X1211" s="304">
        <f t="shared" si="4410"/>
        <v>0.1</v>
      </c>
      <c r="Y1211" s="304">
        <f t="shared" si="4410"/>
        <v>0.1</v>
      </c>
      <c r="Z1211" s="304">
        <f t="shared" si="4410"/>
        <v>0.1</v>
      </c>
      <c r="AA1211" s="304">
        <f t="shared" si="4410"/>
        <v>0.1</v>
      </c>
      <c r="AB1211" s="304">
        <f t="shared" si="4410"/>
        <v>0.1</v>
      </c>
      <c r="AC1211" s="304">
        <f t="shared" si="4410"/>
        <v>0.1</v>
      </c>
      <c r="AD1211" s="304">
        <f t="shared" si="4410"/>
        <v>0.1</v>
      </c>
      <c r="AE1211" s="304">
        <f t="shared" si="4410"/>
        <v>0.1</v>
      </c>
      <c r="AF1211" s="304">
        <f t="shared" si="4410"/>
        <v>0.1</v>
      </c>
      <c r="AG1211" s="304">
        <f t="shared" si="4410"/>
        <v>0.1</v>
      </c>
      <c r="AH1211" s="304">
        <f t="shared" si="4410"/>
        <v>0.1</v>
      </c>
      <c r="AI1211" s="304">
        <f t="shared" si="4410"/>
        <v>0.1</v>
      </c>
      <c r="AJ1211" s="304">
        <f t="shared" si="4410"/>
        <v>0.1</v>
      </c>
      <c r="AK1211" s="304">
        <f t="shared" si="4410"/>
        <v>0.1</v>
      </c>
      <c r="AL1211" s="304">
        <f t="shared" si="4410"/>
        <v>0.1</v>
      </c>
      <c r="AM1211" s="304">
        <f t="shared" si="4410"/>
        <v>0.1</v>
      </c>
      <c r="AN1211" s="304">
        <f t="shared" si="4410"/>
        <v>0.1</v>
      </c>
      <c r="AO1211" s="304">
        <f t="shared" si="4410"/>
        <v>0.1</v>
      </c>
      <c r="AP1211" s="304">
        <f t="shared" si="4410"/>
        <v>0.1</v>
      </c>
      <c r="AQ1211" s="304">
        <f t="shared" si="4410"/>
        <v>0.1</v>
      </c>
      <c r="AR1211" s="304">
        <f t="shared" si="4410"/>
        <v>0.1</v>
      </c>
      <c r="AS1211" s="304">
        <f t="shared" si="4410"/>
        <v>0.1</v>
      </c>
      <c r="AT1211" s="304">
        <f t="shared" si="4410"/>
        <v>0.1</v>
      </c>
      <c r="AU1211" s="304">
        <f t="shared" si="4410"/>
        <v>0.1</v>
      </c>
      <c r="AV1211" s="304">
        <f t="shared" si="4410"/>
        <v>0.1</v>
      </c>
      <c r="AW1211" s="304">
        <f t="shared" si="4410"/>
        <v>0.1</v>
      </c>
      <c r="AX1211" s="304">
        <f t="shared" si="4410"/>
        <v>0.1</v>
      </c>
      <c r="AY1211" s="304">
        <f t="shared" si="4410"/>
        <v>0.1</v>
      </c>
      <c r="AZ1211" s="304">
        <f t="shared" si="4410"/>
        <v>0.1</v>
      </c>
      <c r="BA1211" s="304">
        <f t="shared" si="4410"/>
        <v>0.1</v>
      </c>
      <c r="BB1211" s="304">
        <f t="shared" si="4410"/>
        <v>0.1</v>
      </c>
      <c r="BC1211" s="226"/>
    </row>
    <row r="1212" spans="1:56" ht="14.4" hidden="1" thickTop="1" x14ac:dyDescent="0.3">
      <c r="A1212" s="175" t="str">
        <f ca="1">Language!A$1127</f>
        <v>отсрочка выплаты процентов</v>
      </c>
      <c r="B1212" s="292">
        <v>0</v>
      </c>
      <c r="C1212" s="176" t="str">
        <f ca="1">Language!$A$1484</f>
        <v>периодов</v>
      </c>
      <c r="D1212" s="174"/>
      <c r="F1212" s="170" t="s">
        <v>753</v>
      </c>
    </row>
    <row r="1213" spans="1:56" ht="14.4" hidden="1" thickTop="1" x14ac:dyDescent="0.3">
      <c r="A1213" s="175" t="str">
        <f ca="1">Language!A$1128</f>
        <v>капитализация невыплаченных процентов</v>
      </c>
      <c r="B1213" s="305">
        <v>1</v>
      </c>
      <c r="C1213" s="176" t="str">
        <f ca="1">IF(B1213=1,Language!$A$1475,Language!$A$1476)</f>
        <v>Да</v>
      </c>
      <c r="D1213" s="174"/>
      <c r="F1213" s="170" t="s">
        <v>2351</v>
      </c>
    </row>
    <row r="1214" spans="1:56" ht="14.4" hidden="1" thickTop="1" x14ac:dyDescent="0.3">
      <c r="A1214" s="175" t="str">
        <f ca="1">Language!A$1109</f>
        <v>срок кредитования</v>
      </c>
      <c r="B1214" s="227">
        <f ca="1">IF(OFFSET(G1217,0,Prj_Len-1)&gt;0,"-",BD1221/12)</f>
        <v>0</v>
      </c>
      <c r="C1214" s="228" t="str">
        <f ca="1">Language!A$48</f>
        <v>лет</v>
      </c>
      <c r="D1214" s="174"/>
      <c r="F1214" s="170" t="s">
        <v>753</v>
      </c>
    </row>
    <row r="1215" spans="1:56" ht="14.4" hidden="1" thickTop="1" x14ac:dyDescent="0.3">
      <c r="A1215" s="175" t="str">
        <f ca="1">Language!A$1129</f>
        <v>поступление денег от кредита</v>
      </c>
      <c r="C1215" s="176" t="str">
        <f t="shared" ref="C1215:C1216" ca="1" si="4411">CHOOSE(D1215,CurName1,CurName2,CurName3)</f>
        <v>руб.</v>
      </c>
      <c r="D1215" s="174">
        <f>D1210</f>
        <v>1</v>
      </c>
      <c r="E1215" s="170" t="s">
        <v>1463</v>
      </c>
      <c r="F1215" s="170" t="s">
        <v>742</v>
      </c>
      <c r="G1215" s="296">
        <v>0</v>
      </c>
      <c r="H1215" s="296">
        <v>0</v>
      </c>
      <c r="I1215" s="296">
        <v>0</v>
      </c>
      <c r="J1215" s="296">
        <v>0</v>
      </c>
      <c r="K1215" s="296">
        <v>0</v>
      </c>
      <c r="L1215" s="296">
        <v>0</v>
      </c>
      <c r="M1215" s="296">
        <v>0</v>
      </c>
      <c r="N1215" s="296">
        <v>0</v>
      </c>
      <c r="O1215" s="296">
        <v>0</v>
      </c>
      <c r="P1215" s="296">
        <v>0</v>
      </c>
      <c r="Q1215" s="296">
        <v>0</v>
      </c>
      <c r="R1215" s="296">
        <v>0</v>
      </c>
      <c r="S1215" s="296">
        <v>0</v>
      </c>
      <c r="T1215" s="296">
        <v>0</v>
      </c>
      <c r="U1215" s="296">
        <v>0</v>
      </c>
      <c r="V1215" s="296">
        <v>0</v>
      </c>
      <c r="W1215" s="296">
        <v>0</v>
      </c>
      <c r="X1215" s="296">
        <v>0</v>
      </c>
      <c r="Y1215" s="296">
        <v>0</v>
      </c>
      <c r="Z1215" s="296">
        <v>0</v>
      </c>
      <c r="AA1215" s="296">
        <v>0</v>
      </c>
      <c r="AB1215" s="296">
        <v>0</v>
      </c>
      <c r="AC1215" s="296">
        <v>0</v>
      </c>
      <c r="AD1215" s="296">
        <v>0</v>
      </c>
      <c r="AE1215" s="296">
        <v>0</v>
      </c>
      <c r="AF1215" s="296">
        <v>0</v>
      </c>
      <c r="AG1215" s="296">
        <v>0</v>
      </c>
      <c r="AH1215" s="296">
        <v>0</v>
      </c>
      <c r="AI1215" s="296">
        <v>0</v>
      </c>
      <c r="AJ1215" s="296">
        <v>0</v>
      </c>
      <c r="AK1215" s="296">
        <v>0</v>
      </c>
      <c r="AL1215" s="296">
        <v>0</v>
      </c>
      <c r="AM1215" s="296">
        <v>0</v>
      </c>
      <c r="AN1215" s="296">
        <v>0</v>
      </c>
      <c r="AO1215" s="296">
        <v>0</v>
      </c>
      <c r="AP1215" s="296">
        <v>0</v>
      </c>
      <c r="AQ1215" s="296">
        <v>0</v>
      </c>
      <c r="AR1215" s="296">
        <v>0</v>
      </c>
      <c r="AS1215" s="296">
        <v>0</v>
      </c>
      <c r="AT1215" s="296">
        <v>0</v>
      </c>
      <c r="AU1215" s="296">
        <v>0</v>
      </c>
      <c r="AV1215" s="296">
        <v>0</v>
      </c>
      <c r="AW1215" s="296">
        <v>0</v>
      </c>
      <c r="AX1215" s="296">
        <v>0</v>
      </c>
      <c r="AY1215" s="296">
        <v>0</v>
      </c>
      <c r="AZ1215" s="296">
        <v>0</v>
      </c>
      <c r="BA1215" s="296">
        <v>0</v>
      </c>
      <c r="BB1215" s="296">
        <v>0</v>
      </c>
      <c r="BC1215" s="202"/>
      <c r="BD1215" s="178">
        <f>SUM(G1215:BC1215)</f>
        <v>0</v>
      </c>
    </row>
    <row r="1216" spans="1:56" ht="14.4" hidden="1" thickTop="1" x14ac:dyDescent="0.3">
      <c r="A1216" s="175" t="str">
        <f ca="1">Language!A$1130</f>
        <v>погашение кредита</v>
      </c>
      <c r="C1216" s="176" t="str">
        <f t="shared" ca="1" si="4411"/>
        <v>руб.</v>
      </c>
      <c r="D1216" s="174">
        <f>D1210</f>
        <v>1</v>
      </c>
      <c r="E1216" s="170" t="s">
        <v>1464</v>
      </c>
      <c r="F1216" s="170" t="s">
        <v>742</v>
      </c>
      <c r="G1216" s="296">
        <v>0</v>
      </c>
      <c r="H1216" s="296">
        <v>0</v>
      </c>
      <c r="I1216" s="296">
        <v>0</v>
      </c>
      <c r="J1216" s="296">
        <v>0</v>
      </c>
      <c r="K1216" s="296">
        <v>0</v>
      </c>
      <c r="L1216" s="296">
        <v>0</v>
      </c>
      <c r="M1216" s="296">
        <v>0</v>
      </c>
      <c r="N1216" s="296">
        <v>0</v>
      </c>
      <c r="O1216" s="296">
        <v>0</v>
      </c>
      <c r="P1216" s="296">
        <v>0</v>
      </c>
      <c r="Q1216" s="296">
        <v>0</v>
      </c>
      <c r="R1216" s="296">
        <v>0</v>
      </c>
      <c r="S1216" s="296">
        <v>0</v>
      </c>
      <c r="T1216" s="296">
        <v>0</v>
      </c>
      <c r="U1216" s="296">
        <v>0</v>
      </c>
      <c r="V1216" s="296">
        <v>0</v>
      </c>
      <c r="W1216" s="296">
        <v>0</v>
      </c>
      <c r="X1216" s="296">
        <v>0</v>
      </c>
      <c r="Y1216" s="296">
        <v>0</v>
      </c>
      <c r="Z1216" s="296">
        <v>0</v>
      </c>
      <c r="AA1216" s="296">
        <v>0</v>
      </c>
      <c r="AB1216" s="296">
        <v>0</v>
      </c>
      <c r="AC1216" s="296">
        <v>0</v>
      </c>
      <c r="AD1216" s="296">
        <v>0</v>
      </c>
      <c r="AE1216" s="296">
        <v>0</v>
      </c>
      <c r="AF1216" s="296">
        <v>0</v>
      </c>
      <c r="AG1216" s="296">
        <v>0</v>
      </c>
      <c r="AH1216" s="296">
        <v>0</v>
      </c>
      <c r="AI1216" s="296">
        <v>0</v>
      </c>
      <c r="AJ1216" s="296">
        <v>0</v>
      </c>
      <c r="AK1216" s="296">
        <v>0</v>
      </c>
      <c r="AL1216" s="296">
        <v>0</v>
      </c>
      <c r="AM1216" s="296">
        <v>0</v>
      </c>
      <c r="AN1216" s="296">
        <v>0</v>
      </c>
      <c r="AO1216" s="296">
        <v>0</v>
      </c>
      <c r="AP1216" s="296">
        <v>0</v>
      </c>
      <c r="AQ1216" s="296">
        <v>0</v>
      </c>
      <c r="AR1216" s="296">
        <v>0</v>
      </c>
      <c r="AS1216" s="296">
        <v>0</v>
      </c>
      <c r="AT1216" s="296">
        <v>0</v>
      </c>
      <c r="AU1216" s="296">
        <v>0</v>
      </c>
      <c r="AV1216" s="296">
        <v>0</v>
      </c>
      <c r="AW1216" s="296">
        <v>0</v>
      </c>
      <c r="AX1216" s="296">
        <v>0</v>
      </c>
      <c r="AY1216" s="296">
        <v>0</v>
      </c>
      <c r="AZ1216" s="296">
        <v>0</v>
      </c>
      <c r="BA1216" s="296">
        <v>0</v>
      </c>
      <c r="BB1216" s="296">
        <v>0</v>
      </c>
      <c r="BC1216" s="202"/>
      <c r="BD1216" s="178">
        <f>SUM(G1216:BC1216)</f>
        <v>0</v>
      </c>
    </row>
    <row r="1217" spans="1:56" ht="14.4" hidden="1" thickTop="1" x14ac:dyDescent="0.3">
      <c r="A1217" s="181" t="str">
        <f ca="1">Language!A$1131</f>
        <v>задолженность по кредиту</v>
      </c>
      <c r="B1217" s="176"/>
      <c r="C1217" s="176" t="str">
        <f ca="1">CHOOSE(D1217,CurName1,CurName2,CurName3)</f>
        <v>руб.</v>
      </c>
      <c r="D1217" s="174">
        <f>D1210</f>
        <v>1</v>
      </c>
      <c r="E1217" s="170" t="s">
        <v>1039</v>
      </c>
      <c r="F1217" s="170" t="s">
        <v>749</v>
      </c>
      <c r="G1217" s="182">
        <f>SUM($G1218:G1218)-SUM($G1219:G1219)+SUM($G1215:G1215)-SUM($G1216:G1216)</f>
        <v>0</v>
      </c>
      <c r="H1217" s="182">
        <f>SUM($G1218:H1218)-SUM($G1219:H1219)+SUM($G1215:H1215)-SUM($G1216:H1216)</f>
        <v>0</v>
      </c>
      <c r="I1217" s="182">
        <f>SUM($G1218:I1218)-SUM($G1219:I1219)+SUM($G1215:I1215)-SUM($G1216:I1216)</f>
        <v>0</v>
      </c>
      <c r="J1217" s="182">
        <f>SUM($G1218:J1218)-SUM($G1219:J1219)+SUM($G1215:J1215)-SUM($G1216:J1216)</f>
        <v>0</v>
      </c>
      <c r="K1217" s="182">
        <f>SUM($G1218:K1218)-SUM($G1219:K1219)+SUM($G1215:K1215)-SUM($G1216:K1216)</f>
        <v>0</v>
      </c>
      <c r="L1217" s="182">
        <f>SUM($G1218:L1218)-SUM($G1219:L1219)+SUM($G1215:L1215)-SUM($G1216:L1216)</f>
        <v>0</v>
      </c>
      <c r="M1217" s="182">
        <f>SUM($G1218:M1218)-SUM($G1219:M1219)+SUM($G1215:M1215)-SUM($G1216:M1216)</f>
        <v>0</v>
      </c>
      <c r="N1217" s="182">
        <f>SUM($G1218:N1218)-SUM($G1219:N1219)+SUM($G1215:N1215)-SUM($G1216:N1216)</f>
        <v>0</v>
      </c>
      <c r="O1217" s="182">
        <f>SUM($G1218:O1218)-SUM($G1219:O1219)+SUM($G1215:O1215)-SUM($G1216:O1216)</f>
        <v>0</v>
      </c>
      <c r="P1217" s="182">
        <f>SUM($G1218:P1218)-SUM($G1219:P1219)+SUM($G1215:P1215)-SUM($G1216:P1216)</f>
        <v>0</v>
      </c>
      <c r="Q1217" s="182">
        <f>SUM($G1218:Q1218)-SUM($G1219:Q1219)+SUM($G1215:Q1215)-SUM($G1216:Q1216)</f>
        <v>0</v>
      </c>
      <c r="R1217" s="182">
        <f>SUM($G1218:R1218)-SUM($G1219:R1219)+SUM($G1215:R1215)-SUM($G1216:R1216)</f>
        <v>0</v>
      </c>
      <c r="S1217" s="182">
        <f>SUM($G1218:S1218)-SUM($G1219:S1219)+SUM($G1215:S1215)-SUM($G1216:S1216)</f>
        <v>0</v>
      </c>
      <c r="T1217" s="182">
        <f>SUM($G1218:T1218)-SUM($G1219:T1219)+SUM($G1215:T1215)-SUM($G1216:T1216)</f>
        <v>0</v>
      </c>
      <c r="U1217" s="182">
        <f>SUM($G1218:U1218)-SUM($G1219:U1219)+SUM($G1215:U1215)-SUM($G1216:U1216)</f>
        <v>0</v>
      </c>
      <c r="V1217" s="182">
        <f>SUM($G1218:V1218)-SUM($G1219:V1219)+SUM($G1215:V1215)-SUM($G1216:V1216)</f>
        <v>0</v>
      </c>
      <c r="W1217" s="182">
        <f>SUM($G1218:W1218)-SUM($G1219:W1219)+SUM($G1215:W1215)-SUM($G1216:W1216)</f>
        <v>0</v>
      </c>
      <c r="X1217" s="182">
        <f>SUM($G1218:X1218)-SUM($G1219:X1219)+SUM($G1215:X1215)-SUM($G1216:X1216)</f>
        <v>0</v>
      </c>
      <c r="Y1217" s="182">
        <f>SUM($G1218:Y1218)-SUM($G1219:Y1219)+SUM($G1215:Y1215)-SUM($G1216:Y1216)</f>
        <v>0</v>
      </c>
      <c r="Z1217" s="182">
        <f>SUM($G1218:Z1218)-SUM($G1219:Z1219)+SUM($G1215:Z1215)-SUM($G1216:Z1216)</f>
        <v>0</v>
      </c>
      <c r="AA1217" s="182">
        <f>SUM($G1218:AA1218)-SUM($G1219:AA1219)+SUM($G1215:AA1215)-SUM($G1216:AA1216)</f>
        <v>0</v>
      </c>
      <c r="AB1217" s="182">
        <f>SUM($G1218:AB1218)-SUM($G1219:AB1219)+SUM($G1215:AB1215)-SUM($G1216:AB1216)</f>
        <v>0</v>
      </c>
      <c r="AC1217" s="182">
        <f>SUM($G1218:AC1218)-SUM($G1219:AC1219)+SUM($G1215:AC1215)-SUM($G1216:AC1216)</f>
        <v>0</v>
      </c>
      <c r="AD1217" s="182">
        <f>SUM($G1218:AD1218)-SUM($G1219:AD1219)+SUM($G1215:AD1215)-SUM($G1216:AD1216)</f>
        <v>0</v>
      </c>
      <c r="AE1217" s="182">
        <f>SUM($G1218:AE1218)-SUM($G1219:AE1219)+SUM($G1215:AE1215)-SUM($G1216:AE1216)</f>
        <v>0</v>
      </c>
      <c r="AF1217" s="182">
        <f>SUM($G1218:AF1218)-SUM($G1219:AF1219)+SUM($G1215:AF1215)-SUM($G1216:AF1216)</f>
        <v>0</v>
      </c>
      <c r="AG1217" s="182">
        <f>SUM($G1218:AG1218)-SUM($G1219:AG1219)+SUM($G1215:AG1215)-SUM($G1216:AG1216)</f>
        <v>0</v>
      </c>
      <c r="AH1217" s="182">
        <f>SUM($G1218:AH1218)-SUM($G1219:AH1219)+SUM($G1215:AH1215)-SUM($G1216:AH1216)</f>
        <v>0</v>
      </c>
      <c r="AI1217" s="182">
        <f>SUM($G1218:AI1218)-SUM($G1219:AI1219)+SUM($G1215:AI1215)-SUM($G1216:AI1216)</f>
        <v>0</v>
      </c>
      <c r="AJ1217" s="182">
        <f>SUM($G1218:AJ1218)-SUM($G1219:AJ1219)+SUM($G1215:AJ1215)-SUM($G1216:AJ1216)</f>
        <v>0</v>
      </c>
      <c r="AK1217" s="182">
        <f>SUM($G1218:AK1218)-SUM($G1219:AK1219)+SUM($G1215:AK1215)-SUM($G1216:AK1216)</f>
        <v>0</v>
      </c>
      <c r="AL1217" s="182">
        <f>SUM($G1218:AL1218)-SUM($G1219:AL1219)+SUM($G1215:AL1215)-SUM($G1216:AL1216)</f>
        <v>0</v>
      </c>
      <c r="AM1217" s="182">
        <f>SUM($G1218:AM1218)-SUM($G1219:AM1219)+SUM($G1215:AM1215)-SUM($G1216:AM1216)</f>
        <v>0</v>
      </c>
      <c r="AN1217" s="182">
        <f>SUM($G1218:AN1218)-SUM($G1219:AN1219)+SUM($G1215:AN1215)-SUM($G1216:AN1216)</f>
        <v>0</v>
      </c>
      <c r="AO1217" s="182">
        <f>SUM($G1218:AO1218)-SUM($G1219:AO1219)+SUM($G1215:AO1215)-SUM($G1216:AO1216)</f>
        <v>0</v>
      </c>
      <c r="AP1217" s="182">
        <f>SUM($G1218:AP1218)-SUM($G1219:AP1219)+SUM($G1215:AP1215)-SUM($G1216:AP1216)</f>
        <v>0</v>
      </c>
      <c r="AQ1217" s="182">
        <f>SUM($G1218:AQ1218)-SUM($G1219:AQ1219)+SUM($G1215:AQ1215)-SUM($G1216:AQ1216)</f>
        <v>0</v>
      </c>
      <c r="AR1217" s="182">
        <f>SUM($G1218:AR1218)-SUM($G1219:AR1219)+SUM($G1215:AR1215)-SUM($G1216:AR1216)</f>
        <v>0</v>
      </c>
      <c r="AS1217" s="182">
        <f>SUM($G1218:AS1218)-SUM($G1219:AS1219)+SUM($G1215:AS1215)-SUM($G1216:AS1216)</f>
        <v>0</v>
      </c>
      <c r="AT1217" s="182">
        <f>SUM($G1218:AT1218)-SUM($G1219:AT1219)+SUM($G1215:AT1215)-SUM($G1216:AT1216)</f>
        <v>0</v>
      </c>
      <c r="AU1217" s="182">
        <f>SUM($G1218:AU1218)-SUM($G1219:AU1219)+SUM($G1215:AU1215)-SUM($G1216:AU1216)</f>
        <v>0</v>
      </c>
      <c r="AV1217" s="182">
        <f>SUM($G1218:AV1218)-SUM($G1219:AV1219)+SUM($G1215:AV1215)-SUM($G1216:AV1216)</f>
        <v>0</v>
      </c>
      <c r="AW1217" s="182">
        <f>SUM($G1218:AW1218)-SUM($G1219:AW1219)+SUM($G1215:AW1215)-SUM($G1216:AW1216)</f>
        <v>0</v>
      </c>
      <c r="AX1217" s="182">
        <f>SUM($G1218:AX1218)-SUM($G1219:AX1219)+SUM($G1215:AX1215)-SUM($G1216:AX1216)</f>
        <v>0</v>
      </c>
      <c r="AY1217" s="182">
        <f>SUM($G1218:AY1218)-SUM($G1219:AY1219)+SUM($G1215:AY1215)-SUM($G1216:AY1216)</f>
        <v>0</v>
      </c>
      <c r="AZ1217" s="182">
        <f>SUM($G1218:AZ1218)-SUM($G1219:AZ1219)+SUM($G1215:AZ1215)-SUM($G1216:AZ1216)</f>
        <v>0</v>
      </c>
      <c r="BA1217" s="182">
        <f>SUM($G1218:BA1218)-SUM($G1219:BA1219)+SUM($G1215:BA1215)-SUM($G1216:BA1216)</f>
        <v>0</v>
      </c>
      <c r="BB1217" s="182">
        <f>SUM($G1218:BB1218)-SUM($G1219:BB1219)+SUM($G1215:BB1215)-SUM($G1216:BB1216)</f>
        <v>0</v>
      </c>
      <c r="BC1217" s="182"/>
      <c r="BD1217" s="183"/>
    </row>
    <row r="1218" spans="1:56" ht="14.4" hidden="1" thickTop="1" x14ac:dyDescent="0.3">
      <c r="A1218" s="181" t="str">
        <f ca="1">Language!A$1132</f>
        <v>начисленные проценты</v>
      </c>
      <c r="B1218" s="173"/>
      <c r="C1218" s="176" t="str">
        <f t="shared" ref="C1218:C1219" ca="1" si="4412">CHOOSE(D1218,CurName1,CurName2,CurName3)</f>
        <v>руб.</v>
      </c>
      <c r="D1218" s="174">
        <f>D1210</f>
        <v>1</v>
      </c>
      <c r="E1218" s="170" t="s">
        <v>1465</v>
      </c>
      <c r="F1218" s="170" t="s">
        <v>742</v>
      </c>
      <c r="G1218" s="182">
        <f>MAX((SUM($G1215:G1215)-SUM($G1216:G1216)+IF(AND($B1213=1,G$2&gt;1),SUM($F1218:F1218)-SUM($F1219:F1219),0)), 0) * G1211/12*Параметры!G$31</f>
        <v>0</v>
      </c>
      <c r="H1218" s="182">
        <f>MAX((SUM($G1215:H1215)-SUM($G1216:H1216)+IF(AND($B1213=1,H$2&gt;1),SUM($F1218:G1218)-SUM($F1219:G1219),0)), 0) * H1211/12*Параметры!H$31</f>
        <v>0</v>
      </c>
      <c r="I1218" s="182">
        <f>MAX((SUM($G1215:I1215)-SUM($G1216:I1216)+IF(AND($B1213=1,I$2&gt;1),SUM($F1218:H1218)-SUM($F1219:H1219),0)), 0) * I1211/12*Параметры!I$31</f>
        <v>0</v>
      </c>
      <c r="J1218" s="182">
        <f>MAX((SUM($G1215:J1215)-SUM($G1216:J1216)+IF(AND($B1213=1,J$2&gt;1),SUM($F1218:I1218)-SUM($F1219:I1219),0)), 0) * J1211/12*Параметры!J$31</f>
        <v>0</v>
      </c>
      <c r="K1218" s="182">
        <f>MAX((SUM($G1215:K1215)-SUM($G1216:K1216)+IF(AND($B1213=1,K$2&gt;1),SUM($F1218:J1218)-SUM($F1219:J1219),0)), 0) * K1211/12*Параметры!K$31</f>
        <v>0</v>
      </c>
      <c r="L1218" s="182">
        <f>MAX((SUM($G1215:L1215)-SUM($G1216:L1216)+IF(AND($B1213=1,L$2&gt;1),SUM($F1218:K1218)-SUM($F1219:K1219),0)), 0) * L1211/12*Параметры!L$31</f>
        <v>0</v>
      </c>
      <c r="M1218" s="182">
        <f>MAX((SUM($G1215:M1215)-SUM($G1216:M1216)+IF(AND($B1213=1,M$2&gt;1),SUM($F1218:L1218)-SUM($F1219:L1219),0)), 0) * M1211/12*Параметры!M$31</f>
        <v>0</v>
      </c>
      <c r="N1218" s="182">
        <f>MAX((SUM($G1215:N1215)-SUM($G1216:N1216)+IF(AND($B1213=1,N$2&gt;1),SUM($F1218:M1218)-SUM($F1219:M1219),0)), 0) * N1211/12*Параметры!N$31</f>
        <v>0</v>
      </c>
      <c r="O1218" s="182">
        <f>MAX((SUM($G1215:O1215)-SUM($G1216:O1216)+IF(AND($B1213=1,O$2&gt;1),SUM($F1218:N1218)-SUM($F1219:N1219),0)), 0) * O1211/12*Параметры!O$31</f>
        <v>0</v>
      </c>
      <c r="P1218" s="182">
        <f>MAX((SUM($G1215:P1215)-SUM($G1216:P1216)+IF(AND($B1213=1,P$2&gt;1),SUM($F1218:O1218)-SUM($F1219:O1219),0)), 0) * P1211/12*Параметры!P$31</f>
        <v>0</v>
      </c>
      <c r="Q1218" s="182">
        <f>MAX((SUM($G1215:Q1215)-SUM($G1216:Q1216)+IF(AND($B1213=1,Q$2&gt;1),SUM($F1218:P1218)-SUM($F1219:P1219),0)), 0) * Q1211/12*Параметры!Q$31</f>
        <v>0</v>
      </c>
      <c r="R1218" s="182">
        <f>MAX((SUM($G1215:R1215)-SUM($G1216:R1216)+IF(AND($B1213=1,R$2&gt;1),SUM($F1218:Q1218)-SUM($F1219:Q1219),0)), 0) * R1211/12*Параметры!R$31</f>
        <v>0</v>
      </c>
      <c r="S1218" s="182">
        <f>MAX((SUM($G1215:S1215)-SUM($G1216:S1216)+IF(AND($B1213=1,S$2&gt;1),SUM($F1218:R1218)-SUM($F1219:R1219),0)), 0) * S1211/12*Параметры!S$31</f>
        <v>0</v>
      </c>
      <c r="T1218" s="182">
        <f>MAX((SUM($G1215:T1215)-SUM($G1216:T1216)+IF(AND($B1213=1,T$2&gt;1),SUM($F1218:S1218)-SUM($F1219:S1219),0)), 0) * T1211/12*Параметры!T$31</f>
        <v>0</v>
      </c>
      <c r="U1218" s="182">
        <f>MAX((SUM($G1215:U1215)-SUM($G1216:U1216)+IF(AND($B1213=1,U$2&gt;1),SUM($F1218:T1218)-SUM($F1219:T1219),0)), 0) * U1211/12*Параметры!U$31</f>
        <v>0</v>
      </c>
      <c r="V1218" s="182">
        <f>MAX((SUM($G1215:V1215)-SUM($G1216:V1216)+IF(AND($B1213=1,V$2&gt;1),SUM($F1218:U1218)-SUM($F1219:U1219),0)), 0) * V1211/12*Параметры!V$31</f>
        <v>0</v>
      </c>
      <c r="W1218" s="182">
        <f>MAX((SUM($G1215:W1215)-SUM($G1216:W1216)+IF(AND($B1213=1,W$2&gt;1),SUM($F1218:V1218)-SUM($F1219:V1219),0)), 0) * W1211/12*Параметры!W$31</f>
        <v>0</v>
      </c>
      <c r="X1218" s="182">
        <f>MAX((SUM($G1215:X1215)-SUM($G1216:X1216)+IF(AND($B1213=1,X$2&gt;1),SUM($F1218:W1218)-SUM($F1219:W1219),0)), 0) * X1211/12*Параметры!X$31</f>
        <v>0</v>
      </c>
      <c r="Y1218" s="182">
        <f>MAX((SUM($G1215:Y1215)-SUM($G1216:Y1216)+IF(AND($B1213=1,Y$2&gt;1),SUM($F1218:X1218)-SUM($F1219:X1219),0)), 0) * Y1211/12*Параметры!Y$31</f>
        <v>0</v>
      </c>
      <c r="Z1218" s="182">
        <f>MAX((SUM($G1215:Z1215)-SUM($G1216:Z1216)+IF(AND($B1213=1,Z$2&gt;1),SUM($F1218:Y1218)-SUM($F1219:Y1219),0)), 0) * Z1211/12*Параметры!Z$31</f>
        <v>0</v>
      </c>
      <c r="AA1218" s="182">
        <f>MAX((SUM($G1215:AA1215)-SUM($G1216:AA1216)+IF(AND($B1213=1,AA$2&gt;1),SUM($F1218:Z1218)-SUM($F1219:Z1219),0)), 0) * AA1211/12*Параметры!AA$31</f>
        <v>0</v>
      </c>
      <c r="AB1218" s="182">
        <f>MAX((SUM($G1215:AB1215)-SUM($G1216:AB1216)+IF(AND($B1213=1,AB$2&gt;1),SUM($F1218:AA1218)-SUM($F1219:AA1219),0)), 0) * AB1211/12*Параметры!AB$31</f>
        <v>0</v>
      </c>
      <c r="AC1218" s="182">
        <f>MAX((SUM($G1215:AC1215)-SUM($G1216:AC1216)+IF(AND($B1213=1,AC$2&gt;1),SUM($F1218:AB1218)-SUM($F1219:AB1219),0)), 0) * AC1211/12*Параметры!AC$31</f>
        <v>0</v>
      </c>
      <c r="AD1218" s="182">
        <f>MAX((SUM($G1215:AD1215)-SUM($G1216:AD1216)+IF(AND($B1213=1,AD$2&gt;1),SUM($F1218:AC1218)-SUM($F1219:AC1219),0)), 0) * AD1211/12*Параметры!AD$31</f>
        <v>0</v>
      </c>
      <c r="AE1218" s="182">
        <f>MAX((SUM($G1215:AE1215)-SUM($G1216:AE1216)+IF(AND($B1213=1,AE$2&gt;1),SUM($F1218:AD1218)-SUM($F1219:AD1219),0)), 0) * AE1211/12*Параметры!AE$31</f>
        <v>0</v>
      </c>
      <c r="AF1218" s="182">
        <f>MAX((SUM($G1215:AF1215)-SUM($G1216:AF1216)+IF(AND($B1213=1,AF$2&gt;1),SUM($F1218:AE1218)-SUM($F1219:AE1219),0)), 0) * AF1211/12*Параметры!AF$31</f>
        <v>0</v>
      </c>
      <c r="AG1218" s="182">
        <f>MAX((SUM($G1215:AG1215)-SUM($G1216:AG1216)+IF(AND($B1213=1,AG$2&gt;1),SUM($F1218:AF1218)-SUM($F1219:AF1219),0)), 0) * AG1211/12*Параметры!AG$31</f>
        <v>0</v>
      </c>
      <c r="AH1218" s="182">
        <f>MAX((SUM($G1215:AH1215)-SUM($G1216:AH1216)+IF(AND($B1213=1,AH$2&gt;1),SUM($F1218:AG1218)-SUM($F1219:AG1219),0)), 0) * AH1211/12*Параметры!AH$31</f>
        <v>0</v>
      </c>
      <c r="AI1218" s="182">
        <f>MAX((SUM($G1215:AI1215)-SUM($G1216:AI1216)+IF(AND($B1213=1,AI$2&gt;1),SUM($F1218:AH1218)-SUM($F1219:AH1219),0)), 0) * AI1211/12*Параметры!AI$31</f>
        <v>0</v>
      </c>
      <c r="AJ1218" s="182">
        <f>MAX((SUM($G1215:AJ1215)-SUM($G1216:AJ1216)+IF(AND($B1213=1,AJ$2&gt;1),SUM($F1218:AI1218)-SUM($F1219:AI1219),0)), 0) * AJ1211/12*Параметры!AJ$31</f>
        <v>0</v>
      </c>
      <c r="AK1218" s="182">
        <f>MAX((SUM($G1215:AK1215)-SUM($G1216:AK1216)+IF(AND($B1213=1,AK$2&gt;1),SUM($F1218:AJ1218)-SUM($F1219:AJ1219),0)), 0) * AK1211/12*Параметры!AK$31</f>
        <v>0</v>
      </c>
      <c r="AL1218" s="182">
        <f>MAX((SUM($G1215:AL1215)-SUM($G1216:AL1216)+IF(AND($B1213=1,AL$2&gt;1),SUM($F1218:AK1218)-SUM($F1219:AK1219),0)), 0) * AL1211/12*Параметры!AL$31</f>
        <v>0</v>
      </c>
      <c r="AM1218" s="182">
        <f>MAX((SUM($G1215:AM1215)-SUM($G1216:AM1216)+IF(AND($B1213=1,AM$2&gt;1),SUM($F1218:AL1218)-SUM($F1219:AL1219),0)), 0) * AM1211/12*Параметры!AM$31</f>
        <v>0</v>
      </c>
      <c r="AN1218" s="182">
        <f>MAX((SUM($G1215:AN1215)-SUM($G1216:AN1216)+IF(AND($B1213=1,AN$2&gt;1),SUM($F1218:AM1218)-SUM($F1219:AM1219),0)), 0) * AN1211/12*Параметры!AN$31</f>
        <v>0</v>
      </c>
      <c r="AO1218" s="182">
        <f>MAX((SUM($G1215:AO1215)-SUM($G1216:AO1216)+IF(AND($B1213=1,AO$2&gt;1),SUM($F1218:AN1218)-SUM($F1219:AN1219),0)), 0) * AO1211/12*Параметры!AO$31</f>
        <v>0</v>
      </c>
      <c r="AP1218" s="182">
        <f>MAX((SUM($G1215:AP1215)-SUM($G1216:AP1216)+IF(AND($B1213=1,AP$2&gt;1),SUM($F1218:AO1218)-SUM($F1219:AO1219),0)), 0) * AP1211/12*Параметры!AP$31</f>
        <v>0</v>
      </c>
      <c r="AQ1218" s="182">
        <f>MAX((SUM($G1215:AQ1215)-SUM($G1216:AQ1216)+IF(AND($B1213=1,AQ$2&gt;1),SUM($F1218:AP1218)-SUM($F1219:AP1219),0)), 0) * AQ1211/12*Параметры!AQ$31</f>
        <v>0</v>
      </c>
      <c r="AR1218" s="182">
        <f>MAX((SUM($G1215:AR1215)-SUM($G1216:AR1216)+IF(AND($B1213=1,AR$2&gt;1),SUM($F1218:AQ1218)-SUM($F1219:AQ1219),0)), 0) * AR1211/12*Параметры!AR$31</f>
        <v>0</v>
      </c>
      <c r="AS1218" s="182">
        <f>MAX((SUM($G1215:AS1215)-SUM($G1216:AS1216)+IF(AND($B1213=1,AS$2&gt;1),SUM($F1218:AR1218)-SUM($F1219:AR1219),0)), 0) * AS1211/12*Параметры!AS$31</f>
        <v>0</v>
      </c>
      <c r="AT1218" s="182">
        <f>MAX((SUM($G1215:AT1215)-SUM($G1216:AT1216)+IF(AND($B1213=1,AT$2&gt;1),SUM($F1218:AS1218)-SUM($F1219:AS1219),0)), 0) * AT1211/12*Параметры!AT$31</f>
        <v>0</v>
      </c>
      <c r="AU1218" s="182">
        <f>MAX((SUM($G1215:AU1215)-SUM($G1216:AU1216)+IF(AND($B1213=1,AU$2&gt;1),SUM($F1218:AT1218)-SUM($F1219:AT1219),0)), 0) * AU1211/12*Параметры!AU$31</f>
        <v>0</v>
      </c>
      <c r="AV1218" s="182">
        <f>MAX((SUM($G1215:AV1215)-SUM($G1216:AV1216)+IF(AND($B1213=1,AV$2&gt;1),SUM($F1218:AU1218)-SUM($F1219:AU1219),0)), 0) * AV1211/12*Параметры!AV$31</f>
        <v>0</v>
      </c>
      <c r="AW1218" s="182">
        <f>MAX((SUM($G1215:AW1215)-SUM($G1216:AW1216)+IF(AND($B1213=1,AW$2&gt;1),SUM($F1218:AV1218)-SUM($F1219:AV1219),0)), 0) * AW1211/12*Параметры!AW$31</f>
        <v>0</v>
      </c>
      <c r="AX1218" s="182">
        <f>MAX((SUM($G1215:AX1215)-SUM($G1216:AX1216)+IF(AND($B1213=1,AX$2&gt;1),SUM($F1218:AW1218)-SUM($F1219:AW1219),0)), 0) * AX1211/12*Параметры!AX$31</f>
        <v>0</v>
      </c>
      <c r="AY1218" s="182">
        <f>MAX((SUM($G1215:AY1215)-SUM($G1216:AY1216)+IF(AND($B1213=1,AY$2&gt;1),SUM($F1218:AX1218)-SUM($F1219:AX1219),0)), 0) * AY1211/12*Параметры!AY$31</f>
        <v>0</v>
      </c>
      <c r="AZ1218" s="182">
        <f>MAX((SUM($G1215:AZ1215)-SUM($G1216:AZ1216)+IF(AND($B1213=1,AZ$2&gt;1),SUM($F1218:AY1218)-SUM($F1219:AY1219),0)), 0) * AZ1211/12*Параметры!AZ$31</f>
        <v>0</v>
      </c>
      <c r="BA1218" s="182">
        <f>MAX((SUM($G1215:BA1215)-SUM($G1216:BA1216)+IF(AND($B1213=1,BA$2&gt;1),SUM($F1218:AZ1218)-SUM($F1219:AZ1219),0)), 0) * BA1211/12*Параметры!BA$31</f>
        <v>0</v>
      </c>
      <c r="BB1218" s="182">
        <f>MAX((SUM($G1215:BB1215)-SUM($G1216:BB1216)+IF(AND($B1213=1,BB$2&gt;1),SUM($F1218:BA1218)-SUM($F1219:BA1219),0)), 0) * BB1211/12*Параметры!BB$31</f>
        <v>0</v>
      </c>
      <c r="BC1218" s="182"/>
      <c r="BD1218" s="183">
        <f>SUM(G1218:BC1218)</f>
        <v>0</v>
      </c>
    </row>
    <row r="1219" spans="1:56" ht="14.4" hidden="1" thickTop="1" x14ac:dyDescent="0.3">
      <c r="A1219" s="184" t="str">
        <f ca="1">Language!A$1133</f>
        <v>выплаченные проценты</v>
      </c>
      <c r="B1219" s="170"/>
      <c r="C1219" s="163" t="str">
        <f t="shared" ca="1" si="4412"/>
        <v>руб.</v>
      </c>
      <c r="D1219" s="174">
        <f>D1210</f>
        <v>1</v>
      </c>
      <c r="E1219" s="170" t="s">
        <v>1466</v>
      </c>
      <c r="F1219" s="170" t="s">
        <v>2348</v>
      </c>
      <c r="G1219" s="289">
        <f t="shared" ref="G1219:K1219" si="4413">IF(G$2&gt;=G1220+$B1212,G1218,0)</f>
        <v>0</v>
      </c>
      <c r="H1219" s="289">
        <f t="shared" si="4413"/>
        <v>0</v>
      </c>
      <c r="I1219" s="289">
        <f t="shared" si="4413"/>
        <v>0</v>
      </c>
      <c r="J1219" s="289">
        <f t="shared" si="4413"/>
        <v>0</v>
      </c>
      <c r="K1219" s="289">
        <f t="shared" si="4413"/>
        <v>0</v>
      </c>
      <c r="L1219" s="289">
        <f t="shared" ref="L1219:M1219" si="4414">IF(L$2&gt;=L1220+$B1212,L1218,0)</f>
        <v>0</v>
      </c>
      <c r="M1219" s="289">
        <f t="shared" si="4414"/>
        <v>0</v>
      </c>
      <c r="N1219" s="289">
        <f t="shared" ref="N1219:O1219" si="4415">IF(N$2&gt;=N1220+$B1212,N1218,0)</f>
        <v>0</v>
      </c>
      <c r="O1219" s="289">
        <f t="shared" si="4415"/>
        <v>0</v>
      </c>
      <c r="P1219" s="289">
        <f t="shared" ref="P1219:Q1219" si="4416">IF(P$2&gt;=P1220+$B1212,P1218,0)</f>
        <v>0</v>
      </c>
      <c r="Q1219" s="289">
        <f t="shared" si="4416"/>
        <v>0</v>
      </c>
      <c r="R1219" s="289">
        <f t="shared" ref="R1219:S1219" si="4417">IF(R$2&gt;=R1220+$B1212,R1218,0)</f>
        <v>0</v>
      </c>
      <c r="S1219" s="289">
        <f t="shared" si="4417"/>
        <v>0</v>
      </c>
      <c r="T1219" s="289">
        <f t="shared" ref="T1219:U1219" si="4418">IF(T$2&gt;=T1220+$B1212,T1218,0)</f>
        <v>0</v>
      </c>
      <c r="U1219" s="289">
        <f t="shared" si="4418"/>
        <v>0</v>
      </c>
      <c r="V1219" s="289">
        <f t="shared" ref="V1219:W1219" si="4419">IF(V$2&gt;=V1220+$B1212,V1218,0)</f>
        <v>0</v>
      </c>
      <c r="W1219" s="289">
        <f t="shared" si="4419"/>
        <v>0</v>
      </c>
      <c r="X1219" s="289">
        <f t="shared" ref="X1219:Y1219" si="4420">IF(X$2&gt;=X1220+$B1212,X1218,0)</f>
        <v>0</v>
      </c>
      <c r="Y1219" s="289">
        <f t="shared" si="4420"/>
        <v>0</v>
      </c>
      <c r="Z1219" s="289">
        <f t="shared" ref="Z1219:AA1219" si="4421">IF(Z$2&gt;=Z1220+$B1212,Z1218,0)</f>
        <v>0</v>
      </c>
      <c r="AA1219" s="289">
        <f t="shared" si="4421"/>
        <v>0</v>
      </c>
      <c r="AB1219" s="289">
        <f t="shared" ref="AB1219:AC1219" si="4422">IF(AB$2&gt;=AB1220+$B1212,AB1218,0)</f>
        <v>0</v>
      </c>
      <c r="AC1219" s="289">
        <f t="shared" si="4422"/>
        <v>0</v>
      </c>
      <c r="AD1219" s="289">
        <f t="shared" ref="AD1219:AE1219" si="4423">IF(AD$2&gt;=AD1220+$B1212,AD1218,0)</f>
        <v>0</v>
      </c>
      <c r="AE1219" s="289">
        <f t="shared" si="4423"/>
        <v>0</v>
      </c>
      <c r="AF1219" s="289">
        <f t="shared" ref="AF1219:AG1219" si="4424">IF(AF$2&gt;=AF1220+$B1212,AF1218,0)</f>
        <v>0</v>
      </c>
      <c r="AG1219" s="289">
        <f t="shared" si="4424"/>
        <v>0</v>
      </c>
      <c r="AH1219" s="289">
        <f t="shared" ref="AH1219:AI1219" si="4425">IF(AH$2&gt;=AH1220+$B1212,AH1218,0)</f>
        <v>0</v>
      </c>
      <c r="AI1219" s="289">
        <f t="shared" si="4425"/>
        <v>0</v>
      </c>
      <c r="AJ1219" s="289">
        <f t="shared" ref="AJ1219:AK1219" si="4426">IF(AJ$2&gt;=AJ1220+$B1212,AJ1218,0)</f>
        <v>0</v>
      </c>
      <c r="AK1219" s="289">
        <f t="shared" si="4426"/>
        <v>0</v>
      </c>
      <c r="AL1219" s="289">
        <f t="shared" ref="AL1219:AM1219" si="4427">IF(AL$2&gt;=AL1220+$B1212,AL1218,0)</f>
        <v>0</v>
      </c>
      <c r="AM1219" s="289">
        <f t="shared" si="4427"/>
        <v>0</v>
      </c>
      <c r="AN1219" s="289">
        <f t="shared" ref="AN1219:AO1219" si="4428">IF(AN$2&gt;=AN1220+$B1212,AN1218,0)</f>
        <v>0</v>
      </c>
      <c r="AO1219" s="289">
        <f t="shared" si="4428"/>
        <v>0</v>
      </c>
      <c r="AP1219" s="289">
        <f t="shared" ref="AP1219:AQ1219" si="4429">IF(AP$2&gt;=AP1220+$B1212,AP1218,0)</f>
        <v>0</v>
      </c>
      <c r="AQ1219" s="289">
        <f t="shared" si="4429"/>
        <v>0</v>
      </c>
      <c r="AR1219" s="289">
        <f t="shared" ref="AR1219:AS1219" si="4430">IF(AR$2&gt;=AR1220+$B1212,AR1218,0)</f>
        <v>0</v>
      </c>
      <c r="AS1219" s="289">
        <f t="shared" si="4430"/>
        <v>0</v>
      </c>
      <c r="AT1219" s="289">
        <f t="shared" ref="AT1219:AU1219" si="4431">IF(AT$2&gt;=AT1220+$B1212,AT1218,0)</f>
        <v>0</v>
      </c>
      <c r="AU1219" s="289">
        <f t="shared" si="4431"/>
        <v>0</v>
      </c>
      <c r="AV1219" s="289">
        <f t="shared" ref="AV1219:AW1219" si="4432">IF(AV$2&gt;=AV1220+$B1212,AV1218,0)</f>
        <v>0</v>
      </c>
      <c r="AW1219" s="289">
        <f t="shared" si="4432"/>
        <v>0</v>
      </c>
      <c r="AX1219" s="289">
        <f t="shared" ref="AX1219:AY1219" si="4433">IF(AX$2&gt;=AX1220+$B1212,AX1218,0)</f>
        <v>0</v>
      </c>
      <c r="AY1219" s="289">
        <f t="shared" si="4433"/>
        <v>0</v>
      </c>
      <c r="AZ1219" s="289">
        <f t="shared" ref="AZ1219:BA1219" si="4434">IF(AZ$2&gt;=AZ1220+$B1212,AZ1218,0)</f>
        <v>0</v>
      </c>
      <c r="BA1219" s="289">
        <f t="shared" si="4434"/>
        <v>0</v>
      </c>
      <c r="BB1219" s="289">
        <f t="shared" ref="BB1219" si="4435">IF(BB$2&gt;=BB1220+$B1212,BB1218,0)</f>
        <v>0</v>
      </c>
      <c r="BC1219" s="188"/>
      <c r="BD1219" s="193">
        <f>SUM(G1219:BC1219)</f>
        <v>0</v>
      </c>
    </row>
    <row r="1220" spans="1:56" ht="14.4" hidden="1" thickTop="1" x14ac:dyDescent="0.3">
      <c r="A1220" s="184" t="str">
        <f ca="1">Language!A$1134</f>
        <v>период начала кредитования</v>
      </c>
      <c r="B1220" s="170"/>
      <c r="C1220" s="163" t="s">
        <v>3</v>
      </c>
      <c r="F1220" s="170" t="s">
        <v>1537</v>
      </c>
      <c r="G1220" s="185">
        <f>IF(AND(G$2=1,G1215&gt;0),1,IF(AND(F1220=0,G1215&lt;&gt;0,SUM($E1215:F1215)=0),G$2,IF(G$2=1,0,F1220)))</f>
        <v>0</v>
      </c>
      <c r="H1220" s="185">
        <f>IF(AND(H$2=1,H1215&gt;0),1,IF(AND(G1220=0,H1215&lt;&gt;0,SUM($E1215:G1215)=0),H$2,IF(H$2=1,0,G1220)))</f>
        <v>0</v>
      </c>
      <c r="I1220" s="185">
        <f>IF(AND(I$2=1,I1215&gt;0),1,IF(AND(H1220=0,I1215&lt;&gt;0,SUM($E1215:H1215)=0),I$2,IF(I$2=1,0,H1220)))</f>
        <v>0</v>
      </c>
      <c r="J1220" s="185">
        <f>IF(AND(J$2=1,J1215&gt;0),1,IF(AND(I1220=0,J1215&lt;&gt;0,SUM($E1215:I1215)=0),J$2,IF(J$2=1,0,I1220)))</f>
        <v>0</v>
      </c>
      <c r="K1220" s="185">
        <f>IF(AND(K$2=1,K1215&gt;0),1,IF(AND(J1220=0,K1215&lt;&gt;0,SUM($E1215:J1215)=0),K$2,IF(K$2=1,0,J1220)))</f>
        <v>0</v>
      </c>
      <c r="L1220" s="185">
        <f>IF(AND(L$2=1,L1215&gt;0),1,IF(AND(K1220=0,L1215&lt;&gt;0,SUM($E1215:K1215)=0),L$2,IF(L$2=1,0,K1220)))</f>
        <v>0</v>
      </c>
      <c r="M1220" s="185">
        <f>IF(AND(M$2=1,M1215&gt;0),1,IF(AND(L1220=0,M1215&lt;&gt;0,SUM($E1215:L1215)=0),M$2,IF(M$2=1,0,L1220)))</f>
        <v>0</v>
      </c>
      <c r="N1220" s="185">
        <f>IF(AND(N$2=1,N1215&gt;0),1,IF(AND(M1220=0,N1215&lt;&gt;0,SUM($E1215:M1215)=0),N$2,IF(N$2=1,0,M1220)))</f>
        <v>0</v>
      </c>
      <c r="O1220" s="185">
        <f>IF(AND(O$2=1,O1215&gt;0),1,IF(AND(N1220=0,O1215&lt;&gt;0,SUM($E1215:N1215)=0),O$2,IF(O$2=1,0,N1220)))</f>
        <v>0</v>
      </c>
      <c r="P1220" s="185">
        <f>IF(AND(P$2=1,P1215&gt;0),1,IF(AND(O1220=0,P1215&lt;&gt;0,SUM($E1215:O1215)=0),P$2,IF(P$2=1,0,O1220)))</f>
        <v>0</v>
      </c>
      <c r="Q1220" s="185">
        <f>IF(AND(Q$2=1,Q1215&gt;0),1,IF(AND(P1220=0,Q1215&lt;&gt;0,SUM($E1215:P1215)=0),Q$2,IF(Q$2=1,0,P1220)))</f>
        <v>0</v>
      </c>
      <c r="R1220" s="185">
        <f>IF(AND(R$2=1,R1215&gt;0),1,IF(AND(Q1220=0,R1215&lt;&gt;0,SUM($E1215:Q1215)=0),R$2,IF(R$2=1,0,Q1220)))</f>
        <v>0</v>
      </c>
      <c r="S1220" s="185">
        <f>IF(AND(S$2=1,S1215&gt;0),1,IF(AND(R1220=0,S1215&lt;&gt;0,SUM($E1215:R1215)=0),S$2,IF(S$2=1,0,R1220)))</f>
        <v>0</v>
      </c>
      <c r="T1220" s="185">
        <f>IF(AND(T$2=1,T1215&gt;0),1,IF(AND(S1220=0,T1215&lt;&gt;0,SUM($E1215:S1215)=0),T$2,IF(T$2=1,0,S1220)))</f>
        <v>0</v>
      </c>
      <c r="U1220" s="185">
        <f>IF(AND(U$2=1,U1215&gt;0),1,IF(AND(T1220=0,U1215&lt;&gt;0,SUM($E1215:T1215)=0),U$2,IF(U$2=1,0,T1220)))</f>
        <v>0</v>
      </c>
      <c r="V1220" s="185">
        <f>IF(AND(V$2=1,V1215&gt;0),1,IF(AND(U1220=0,V1215&lt;&gt;0,SUM($E1215:U1215)=0),V$2,IF(V$2=1,0,U1220)))</f>
        <v>0</v>
      </c>
      <c r="W1220" s="185">
        <f>IF(AND(W$2=1,W1215&gt;0),1,IF(AND(V1220=0,W1215&lt;&gt;0,SUM($E1215:V1215)=0),W$2,IF(W$2=1,0,V1220)))</f>
        <v>0</v>
      </c>
      <c r="X1220" s="185">
        <f>IF(AND(X$2=1,X1215&gt;0),1,IF(AND(W1220=0,X1215&lt;&gt;0,SUM($E1215:W1215)=0),X$2,IF(X$2=1,0,W1220)))</f>
        <v>0</v>
      </c>
      <c r="Y1220" s="185">
        <f>IF(AND(Y$2=1,Y1215&gt;0),1,IF(AND(X1220=0,Y1215&lt;&gt;0,SUM($E1215:X1215)=0),Y$2,IF(Y$2=1,0,X1220)))</f>
        <v>0</v>
      </c>
      <c r="Z1220" s="185">
        <f>IF(AND(Z$2=1,Z1215&gt;0),1,IF(AND(Y1220=0,Z1215&lt;&gt;0,SUM($E1215:Y1215)=0),Z$2,IF(Z$2=1,0,Y1220)))</f>
        <v>0</v>
      </c>
      <c r="AA1220" s="185">
        <f>IF(AND(AA$2=1,AA1215&gt;0),1,IF(AND(Z1220=0,AA1215&lt;&gt;0,SUM($E1215:Z1215)=0),AA$2,IF(AA$2=1,0,Z1220)))</f>
        <v>0</v>
      </c>
      <c r="AB1220" s="185">
        <f>IF(AND(AB$2=1,AB1215&gt;0),1,IF(AND(AA1220=0,AB1215&lt;&gt;0,SUM($E1215:AA1215)=0),AB$2,IF(AB$2=1,0,AA1220)))</f>
        <v>0</v>
      </c>
      <c r="AC1220" s="185">
        <f>IF(AND(AC$2=1,AC1215&gt;0),1,IF(AND(AB1220=0,AC1215&lt;&gt;0,SUM($E1215:AB1215)=0),AC$2,IF(AC$2=1,0,AB1220)))</f>
        <v>0</v>
      </c>
      <c r="AD1220" s="185">
        <f>IF(AND(AD$2=1,AD1215&gt;0),1,IF(AND(AC1220=0,AD1215&lt;&gt;0,SUM($E1215:AC1215)=0),AD$2,IF(AD$2=1,0,AC1220)))</f>
        <v>0</v>
      </c>
      <c r="AE1220" s="185">
        <f>IF(AND(AE$2=1,AE1215&gt;0),1,IF(AND(AD1220=0,AE1215&lt;&gt;0,SUM($E1215:AD1215)=0),AE$2,IF(AE$2=1,0,AD1220)))</f>
        <v>0</v>
      </c>
      <c r="AF1220" s="185">
        <f>IF(AND(AF$2=1,AF1215&gt;0),1,IF(AND(AE1220=0,AF1215&lt;&gt;0,SUM($E1215:AE1215)=0),AF$2,IF(AF$2=1,0,AE1220)))</f>
        <v>0</v>
      </c>
      <c r="AG1220" s="185">
        <f>IF(AND(AG$2=1,AG1215&gt;0),1,IF(AND(AF1220=0,AG1215&lt;&gt;0,SUM($E1215:AF1215)=0),AG$2,IF(AG$2=1,0,AF1220)))</f>
        <v>0</v>
      </c>
      <c r="AH1220" s="185">
        <f>IF(AND(AH$2=1,AH1215&gt;0),1,IF(AND(AG1220=0,AH1215&lt;&gt;0,SUM($E1215:AG1215)=0),AH$2,IF(AH$2=1,0,AG1220)))</f>
        <v>0</v>
      </c>
      <c r="AI1220" s="185">
        <f>IF(AND(AI$2=1,AI1215&gt;0),1,IF(AND(AH1220=0,AI1215&lt;&gt;0,SUM($E1215:AH1215)=0),AI$2,IF(AI$2=1,0,AH1220)))</f>
        <v>0</v>
      </c>
      <c r="AJ1220" s="185">
        <f>IF(AND(AJ$2=1,AJ1215&gt;0),1,IF(AND(AI1220=0,AJ1215&lt;&gt;0,SUM($E1215:AI1215)=0),AJ$2,IF(AJ$2=1,0,AI1220)))</f>
        <v>0</v>
      </c>
      <c r="AK1220" s="185">
        <f>IF(AND(AK$2=1,AK1215&gt;0),1,IF(AND(AJ1220=0,AK1215&lt;&gt;0,SUM($E1215:AJ1215)=0),AK$2,IF(AK$2=1,0,AJ1220)))</f>
        <v>0</v>
      </c>
      <c r="AL1220" s="185">
        <f>IF(AND(AL$2=1,AL1215&gt;0),1,IF(AND(AK1220=0,AL1215&lt;&gt;0,SUM($E1215:AK1215)=0),AL$2,IF(AL$2=1,0,AK1220)))</f>
        <v>0</v>
      </c>
      <c r="AM1220" s="185">
        <f>IF(AND(AM$2=1,AM1215&gt;0),1,IF(AND(AL1220=0,AM1215&lt;&gt;0,SUM($E1215:AL1215)=0),AM$2,IF(AM$2=1,0,AL1220)))</f>
        <v>0</v>
      </c>
      <c r="AN1220" s="185">
        <f>IF(AND(AN$2=1,AN1215&gt;0),1,IF(AND(AM1220=0,AN1215&lt;&gt;0,SUM($E1215:AM1215)=0),AN$2,IF(AN$2=1,0,AM1220)))</f>
        <v>0</v>
      </c>
      <c r="AO1220" s="185">
        <f>IF(AND(AO$2=1,AO1215&gt;0),1,IF(AND(AN1220=0,AO1215&lt;&gt;0,SUM($E1215:AN1215)=0),AO$2,IF(AO$2=1,0,AN1220)))</f>
        <v>0</v>
      </c>
      <c r="AP1220" s="185">
        <f>IF(AND(AP$2=1,AP1215&gt;0),1,IF(AND(AO1220=0,AP1215&lt;&gt;0,SUM($E1215:AO1215)=0),AP$2,IF(AP$2=1,0,AO1220)))</f>
        <v>0</v>
      </c>
      <c r="AQ1220" s="185">
        <f>IF(AND(AQ$2=1,AQ1215&gt;0),1,IF(AND(AP1220=0,AQ1215&lt;&gt;0,SUM($E1215:AP1215)=0),AQ$2,IF(AQ$2=1,0,AP1220)))</f>
        <v>0</v>
      </c>
      <c r="AR1220" s="185">
        <f>IF(AND(AR$2=1,AR1215&gt;0),1,IF(AND(AQ1220=0,AR1215&lt;&gt;0,SUM($E1215:AQ1215)=0),AR$2,IF(AR$2=1,0,AQ1220)))</f>
        <v>0</v>
      </c>
      <c r="AS1220" s="185">
        <f>IF(AND(AS$2=1,AS1215&gt;0),1,IF(AND(AR1220=0,AS1215&lt;&gt;0,SUM($E1215:AR1215)=0),AS$2,IF(AS$2=1,0,AR1220)))</f>
        <v>0</v>
      </c>
      <c r="AT1220" s="185">
        <f>IF(AND(AT$2=1,AT1215&gt;0),1,IF(AND(AS1220=0,AT1215&lt;&gt;0,SUM($E1215:AS1215)=0),AT$2,IF(AT$2=1,0,AS1220)))</f>
        <v>0</v>
      </c>
      <c r="AU1220" s="185">
        <f>IF(AND(AU$2=1,AU1215&gt;0),1,IF(AND(AT1220=0,AU1215&lt;&gt;0,SUM($E1215:AT1215)=0),AU$2,IF(AU$2=1,0,AT1220)))</f>
        <v>0</v>
      </c>
      <c r="AV1220" s="185">
        <f>IF(AND(AV$2=1,AV1215&gt;0),1,IF(AND(AU1220=0,AV1215&lt;&gt;0,SUM($E1215:AU1215)=0),AV$2,IF(AV$2=1,0,AU1220)))</f>
        <v>0</v>
      </c>
      <c r="AW1220" s="185">
        <f>IF(AND(AW$2=1,AW1215&gt;0),1,IF(AND(AV1220=0,AW1215&lt;&gt;0,SUM($E1215:AV1215)=0),AW$2,IF(AW$2=1,0,AV1220)))</f>
        <v>0</v>
      </c>
      <c r="AX1220" s="185">
        <f>IF(AND(AX$2=1,AX1215&gt;0),1,IF(AND(AW1220=0,AX1215&lt;&gt;0,SUM($E1215:AW1215)=0),AX$2,IF(AX$2=1,0,AW1220)))</f>
        <v>0</v>
      </c>
      <c r="AY1220" s="185">
        <f>IF(AND(AY$2=1,AY1215&gt;0),1,IF(AND(AX1220=0,AY1215&lt;&gt;0,SUM($E1215:AX1215)=0),AY$2,IF(AY$2=1,0,AX1220)))</f>
        <v>0</v>
      </c>
      <c r="AZ1220" s="185">
        <f>IF(AND(AZ$2=1,AZ1215&gt;0),1,IF(AND(AY1220=0,AZ1215&lt;&gt;0,SUM($E1215:AY1215)=0),AZ$2,IF(AZ$2=1,0,AY1220)))</f>
        <v>0</v>
      </c>
      <c r="BA1220" s="185">
        <f>IF(AND(BA$2=1,BA1215&gt;0),1,IF(AND(AZ1220=0,BA1215&lt;&gt;0,SUM($E1215:AZ1215)=0),BA$2,IF(BA$2=1,0,AZ1220)))</f>
        <v>0</v>
      </c>
      <c r="BB1220" s="185">
        <f>IF(AND(BB$2=1,BB1215&gt;0),1,IF(AND(BA1220=0,BB1215&lt;&gt;0,SUM($E1215:BA1215)=0),BB$2,IF(BB$2=1,0,BA1220)))</f>
        <v>0</v>
      </c>
      <c r="BC1220" s="185"/>
      <c r="BD1220" s="193"/>
    </row>
    <row r="1221" spans="1:56" ht="14.4" hidden="1" thickTop="1" x14ac:dyDescent="0.3">
      <c r="A1221" s="184" t="str">
        <f ca="1">Language!A$1109</f>
        <v>срок кредитования</v>
      </c>
      <c r="B1221" s="170"/>
      <c r="C1221" s="163" t="str">
        <f ca="1">Language!A$46</f>
        <v>мес.</v>
      </c>
      <c r="F1221" s="170" t="s">
        <v>743</v>
      </c>
      <c r="G1221" s="185">
        <f ca="1">IF(G1220=0,0,IF(SUM(OFFSET(G1217,0,-1):OFFSET(G1217,0,Prj_Len-G$2))=0,0,Параметры!G$31))</f>
        <v>0</v>
      </c>
      <c r="H1221" s="185">
        <f ca="1">IF(H1220=0,0,IF(SUM(OFFSET(H1217,0,-1):OFFSET(H1217,0,Prj_Len-H$2))=0,0,Параметры!H$31))</f>
        <v>0</v>
      </c>
      <c r="I1221" s="185">
        <f ca="1">IF(I1220=0,0,IF(SUM(OFFSET(I1217,0,-1):OFFSET(I1217,0,Prj_Len-I$2))=0,0,Параметры!I$31))</f>
        <v>0</v>
      </c>
      <c r="J1221" s="185">
        <f ca="1">IF(J1220=0,0,IF(SUM(OFFSET(J1217,0,-1):OFFSET(J1217,0,Prj_Len-J$2))=0,0,Параметры!J$31))</f>
        <v>0</v>
      </c>
      <c r="K1221" s="185">
        <f ca="1">IF(K1220=0,0,IF(SUM(OFFSET(K1217,0,-1):OFFSET(K1217,0,Prj_Len-K$2))=0,0,Параметры!K$31))</f>
        <v>0</v>
      </c>
      <c r="L1221" s="185">
        <f ca="1">IF(L1220=0,0,IF(SUM(OFFSET(L1217,0,-1):OFFSET(L1217,0,Prj_Len-L$2))=0,0,Параметры!L$31))</f>
        <v>0</v>
      </c>
      <c r="M1221" s="185">
        <f ca="1">IF(M1220=0,0,IF(SUM(OFFSET(M1217,0,-1):OFFSET(M1217,0,Prj_Len-M$2))=0,0,Параметры!M$31))</f>
        <v>0</v>
      </c>
      <c r="N1221" s="185">
        <f ca="1">IF(N1220=0,0,IF(SUM(OFFSET(N1217,0,-1):OFFSET(N1217,0,Prj_Len-N$2))=0,0,Параметры!N$31))</f>
        <v>0</v>
      </c>
      <c r="O1221" s="185">
        <f ca="1">IF(O1220=0,0,IF(SUM(OFFSET(O1217,0,-1):OFFSET(O1217,0,Prj_Len-O$2))=0,0,Параметры!O$31))</f>
        <v>0</v>
      </c>
      <c r="P1221" s="185">
        <f ca="1">IF(P1220=0,0,IF(SUM(OFFSET(P1217,0,-1):OFFSET(P1217,0,Prj_Len-P$2))=0,0,Параметры!P$31))</f>
        <v>0</v>
      </c>
      <c r="Q1221" s="185">
        <f ca="1">IF(Q1220=0,0,IF(SUM(OFFSET(Q1217,0,-1):OFFSET(Q1217,0,Prj_Len-Q$2))=0,0,Параметры!Q$31))</f>
        <v>0</v>
      </c>
      <c r="R1221" s="185">
        <f ca="1">IF(R1220=0,0,IF(SUM(OFFSET(R1217,0,-1):OFFSET(R1217,0,Prj_Len-R$2))=0,0,Параметры!R$31))</f>
        <v>0</v>
      </c>
      <c r="S1221" s="185">
        <f ca="1">IF(S1220=0,0,IF(SUM(OFFSET(S1217,0,-1):OFFSET(S1217,0,Prj_Len-S$2))=0,0,Параметры!S$31))</f>
        <v>0</v>
      </c>
      <c r="T1221" s="185">
        <f ca="1">IF(T1220=0,0,IF(SUM(OFFSET(T1217,0,-1):OFFSET(T1217,0,Prj_Len-T$2))=0,0,Параметры!T$31))</f>
        <v>0</v>
      </c>
      <c r="U1221" s="185">
        <f ca="1">IF(U1220=0,0,IF(SUM(OFFSET(U1217,0,-1):OFFSET(U1217,0,Prj_Len-U$2))=0,0,Параметры!U$31))</f>
        <v>0</v>
      </c>
      <c r="V1221" s="185">
        <f ca="1">IF(V1220=0,0,IF(SUM(OFFSET(V1217,0,-1):OFFSET(V1217,0,Prj_Len-V$2))=0,0,Параметры!V$31))</f>
        <v>0</v>
      </c>
      <c r="W1221" s="185">
        <f ca="1">IF(W1220=0,0,IF(SUM(OFFSET(W1217,0,-1):OFFSET(W1217,0,Prj_Len-W$2))=0,0,Параметры!W$31))</f>
        <v>0</v>
      </c>
      <c r="X1221" s="185">
        <f ca="1">IF(X1220=0,0,IF(SUM(OFFSET(X1217,0,-1):OFFSET(X1217,0,Prj_Len-X$2))=0,0,Параметры!X$31))</f>
        <v>0</v>
      </c>
      <c r="Y1221" s="185">
        <f ca="1">IF(Y1220=0,0,IF(SUM(OFFSET(Y1217,0,-1):OFFSET(Y1217,0,Prj_Len-Y$2))=0,0,Параметры!Y$31))</f>
        <v>0</v>
      </c>
      <c r="Z1221" s="185">
        <f ca="1">IF(Z1220=0,0,IF(SUM(OFFSET(Z1217,0,-1):OFFSET(Z1217,0,Prj_Len-Z$2))=0,0,Параметры!Z$31))</f>
        <v>0</v>
      </c>
      <c r="AA1221" s="185">
        <f ca="1">IF(AA1220=0,0,IF(SUM(OFFSET(AA1217,0,-1):OFFSET(AA1217,0,Prj_Len-AA$2))=0,0,Параметры!AA$31))</f>
        <v>0</v>
      </c>
      <c r="AB1221" s="185">
        <f ca="1">IF(AB1220=0,0,IF(SUM(OFFSET(AB1217,0,-1):OFFSET(AB1217,0,Prj_Len-AB$2))=0,0,Параметры!AB$31))</f>
        <v>0</v>
      </c>
      <c r="AC1221" s="185">
        <f ca="1">IF(AC1220=0,0,IF(SUM(OFFSET(AC1217,0,-1):OFFSET(AC1217,0,Prj_Len-AC$2))=0,0,Параметры!AC$31))</f>
        <v>0</v>
      </c>
      <c r="AD1221" s="185">
        <f ca="1">IF(AD1220=0,0,IF(SUM(OFFSET(AD1217,0,-1):OFFSET(AD1217,0,Prj_Len-AD$2))=0,0,Параметры!AD$31))</f>
        <v>0</v>
      </c>
      <c r="AE1221" s="185">
        <f ca="1">IF(AE1220=0,0,IF(SUM(OFFSET(AE1217,0,-1):OFFSET(AE1217,0,Prj_Len-AE$2))=0,0,Параметры!AE$31))</f>
        <v>0</v>
      </c>
      <c r="AF1221" s="185">
        <f ca="1">IF(AF1220=0,0,IF(SUM(OFFSET(AF1217,0,-1):OFFSET(AF1217,0,Prj_Len-AF$2))=0,0,Параметры!AF$31))</f>
        <v>0</v>
      </c>
      <c r="AG1221" s="185">
        <f ca="1">IF(AG1220=0,0,IF(SUM(OFFSET(AG1217,0,-1):OFFSET(AG1217,0,Prj_Len-AG$2))=0,0,Параметры!AG$31))</f>
        <v>0</v>
      </c>
      <c r="AH1221" s="185">
        <f ca="1">IF(AH1220=0,0,IF(SUM(OFFSET(AH1217,0,-1):OFFSET(AH1217,0,Prj_Len-AH$2))=0,0,Параметры!AH$31))</f>
        <v>0</v>
      </c>
      <c r="AI1221" s="185">
        <f ca="1">IF(AI1220=0,0,IF(SUM(OFFSET(AI1217,0,-1):OFFSET(AI1217,0,Prj_Len-AI$2))=0,0,Параметры!AI$31))</f>
        <v>0</v>
      </c>
      <c r="AJ1221" s="185">
        <f ca="1">IF(AJ1220=0,0,IF(SUM(OFFSET(AJ1217,0,-1):OFFSET(AJ1217,0,Prj_Len-AJ$2))=0,0,Параметры!AJ$31))</f>
        <v>0</v>
      </c>
      <c r="AK1221" s="185">
        <f ca="1">IF(AK1220=0,0,IF(SUM(OFFSET(AK1217,0,-1):OFFSET(AK1217,0,Prj_Len-AK$2))=0,0,Параметры!AK$31))</f>
        <v>0</v>
      </c>
      <c r="AL1221" s="185">
        <f ca="1">IF(AL1220=0,0,IF(SUM(OFFSET(AL1217,0,-1):OFFSET(AL1217,0,Prj_Len-AL$2))=0,0,Параметры!AL$31))</f>
        <v>0</v>
      </c>
      <c r="AM1221" s="185">
        <f ca="1">IF(AM1220=0,0,IF(SUM(OFFSET(AM1217,0,-1):OFFSET(AM1217,0,Prj_Len-AM$2))=0,0,Параметры!AM$31))</f>
        <v>0</v>
      </c>
      <c r="AN1221" s="185">
        <f ca="1">IF(AN1220=0,0,IF(SUM(OFFSET(AN1217,0,-1):OFFSET(AN1217,0,Prj_Len-AN$2))=0,0,Параметры!AN$31))</f>
        <v>0</v>
      </c>
      <c r="AO1221" s="185">
        <f ca="1">IF(AO1220=0,0,IF(SUM(OFFSET(AO1217,0,-1):OFFSET(AO1217,0,Prj_Len-AO$2))=0,0,Параметры!AO$31))</f>
        <v>0</v>
      </c>
      <c r="AP1221" s="185">
        <f ca="1">IF(AP1220=0,0,IF(SUM(OFFSET(AP1217,0,-1):OFFSET(AP1217,0,Prj_Len-AP$2))=0,0,Параметры!AP$31))</f>
        <v>0</v>
      </c>
      <c r="AQ1221" s="185">
        <f ca="1">IF(AQ1220=0,0,IF(SUM(OFFSET(AQ1217,0,-1):OFFSET(AQ1217,0,Prj_Len-AQ$2))=0,0,Параметры!AQ$31))</f>
        <v>0</v>
      </c>
      <c r="AR1221" s="185">
        <f ca="1">IF(AR1220=0,0,IF(SUM(OFFSET(AR1217,0,-1):OFFSET(AR1217,0,Prj_Len-AR$2))=0,0,Параметры!AR$31))</f>
        <v>0</v>
      </c>
      <c r="AS1221" s="185">
        <f ca="1">IF(AS1220=0,0,IF(SUM(OFFSET(AS1217,0,-1):OFFSET(AS1217,0,Prj_Len-AS$2))=0,0,Параметры!AS$31))</f>
        <v>0</v>
      </c>
      <c r="AT1221" s="185">
        <f ca="1">IF(AT1220=0,0,IF(SUM(OFFSET(AT1217,0,-1):OFFSET(AT1217,0,Prj_Len-AT$2))=0,0,Параметры!AT$31))</f>
        <v>0</v>
      </c>
      <c r="AU1221" s="185">
        <f ca="1">IF(AU1220=0,0,IF(SUM(OFFSET(AU1217,0,-1):OFFSET(AU1217,0,Prj_Len-AU$2))=0,0,Параметры!AU$31))</f>
        <v>0</v>
      </c>
      <c r="AV1221" s="185">
        <f ca="1">IF(AV1220=0,0,IF(SUM(OFFSET(AV1217,0,-1):OFFSET(AV1217,0,Prj_Len-AV$2))=0,0,Параметры!AV$31))</f>
        <v>0</v>
      </c>
      <c r="AW1221" s="185">
        <f ca="1">IF(AW1220=0,0,IF(SUM(OFFSET(AW1217,0,-1):OFFSET(AW1217,0,Prj_Len-AW$2))=0,0,Параметры!AW$31))</f>
        <v>0</v>
      </c>
      <c r="AX1221" s="185">
        <f ca="1">IF(AX1220=0,0,IF(SUM(OFFSET(AX1217,0,-1):OFFSET(AX1217,0,Prj_Len-AX$2))=0,0,Параметры!AX$31))</f>
        <v>0</v>
      </c>
      <c r="AY1221" s="185">
        <f ca="1">IF(AY1220=0,0,IF(SUM(OFFSET(AY1217,0,-1):OFFSET(AY1217,0,Prj_Len-AY$2))=0,0,Параметры!AY$31))</f>
        <v>0</v>
      </c>
      <c r="AZ1221" s="185">
        <f ca="1">IF(AZ1220=0,0,IF(SUM(OFFSET(AZ1217,0,-1):OFFSET(AZ1217,0,Prj_Len-AZ$2))=0,0,Параметры!AZ$31))</f>
        <v>0</v>
      </c>
      <c r="BA1221" s="185">
        <f ca="1">IF(BA1220=0,0,IF(SUM(OFFSET(BA1217,0,-1):OFFSET(BA1217,0,Prj_Len-BA$2))=0,0,Параметры!BA$31))</f>
        <v>0</v>
      </c>
      <c r="BB1221" s="185">
        <f ca="1">IF(BB1220=0,0,IF(SUM(OFFSET(BB1217,0,-1):OFFSET(BB1217,0,Prj_Len-BB$2))=0,0,Параметры!BB$31))</f>
        <v>0</v>
      </c>
      <c r="BC1221" s="185"/>
      <c r="BD1221" s="193">
        <f ca="1">SUM(G1221:BC1221)</f>
        <v>0</v>
      </c>
    </row>
    <row r="1222" spans="1:56" ht="14.4" thickTop="1" x14ac:dyDescent="0.3">
      <c r="A1222" s="244"/>
    </row>
    <row r="1223" spans="1:56" x14ac:dyDescent="0.3">
      <c r="A1223" s="207" t="str">
        <f ca="1">Language!A$1135</f>
        <v>Долгосрочные кредиты</v>
      </c>
      <c r="B1223" s="196"/>
      <c r="C1223" s="196"/>
      <c r="D1223" s="197"/>
      <c r="E1223" s="197" t="s">
        <v>715</v>
      </c>
      <c r="F1223" s="197" t="s">
        <v>3409</v>
      </c>
      <c r="G1223" s="196"/>
      <c r="H1223" s="196"/>
      <c r="I1223" s="196"/>
      <c r="J1223" s="196"/>
      <c r="K1223" s="196"/>
      <c r="L1223" s="196"/>
      <c r="M1223" s="196"/>
      <c r="N1223" s="196"/>
      <c r="O1223" s="196"/>
      <c r="P1223" s="196"/>
      <c r="Q1223" s="196"/>
      <c r="R1223" s="196"/>
      <c r="S1223" s="196"/>
      <c r="T1223" s="196"/>
      <c r="U1223" s="196"/>
      <c r="V1223" s="196"/>
      <c r="W1223" s="196"/>
      <c r="X1223" s="196"/>
      <c r="Y1223" s="196"/>
      <c r="Z1223" s="196"/>
      <c r="AA1223" s="196"/>
      <c r="AB1223" s="196"/>
      <c r="AC1223" s="196"/>
      <c r="AD1223" s="196"/>
      <c r="AE1223" s="196"/>
      <c r="AF1223" s="196"/>
      <c r="AG1223" s="196"/>
      <c r="AH1223" s="196"/>
      <c r="AI1223" s="196"/>
      <c r="AJ1223" s="196"/>
      <c r="AK1223" s="196"/>
      <c r="AL1223" s="196"/>
      <c r="AM1223" s="196"/>
      <c r="AN1223" s="196"/>
      <c r="AO1223" s="196"/>
      <c r="AP1223" s="196"/>
      <c r="AQ1223" s="196"/>
      <c r="AR1223" s="196"/>
      <c r="AS1223" s="196"/>
      <c r="AT1223" s="196"/>
      <c r="AU1223" s="196"/>
      <c r="AV1223" s="196"/>
      <c r="AW1223" s="196"/>
      <c r="AX1223" s="196"/>
      <c r="AY1223" s="196"/>
      <c r="AZ1223" s="196"/>
      <c r="BA1223" s="196"/>
      <c r="BB1223" s="196"/>
      <c r="BC1223" s="196"/>
      <c r="BD1223" s="204"/>
    </row>
    <row r="1225" spans="1:56" x14ac:dyDescent="0.3">
      <c r="A1225" s="283" t="s">
        <v>3482</v>
      </c>
      <c r="B1225" s="205"/>
      <c r="C1225" s="176" t="str">
        <f t="shared" ref="C1225" ca="1" si="4436">CHOOSE(D1225,CurName1,CurName2,CurName3)</f>
        <v>руб.</v>
      </c>
      <c r="D1225" s="174">
        <v>1</v>
      </c>
      <c r="F1225" s="170" t="s">
        <v>3483</v>
      </c>
    </row>
    <row r="1226" spans="1:56" x14ac:dyDescent="0.3">
      <c r="A1226" s="175" t="str">
        <f ca="1">Language!A$1106</f>
        <v>ставка процентов по кредиту</v>
      </c>
      <c r="B1226" s="303">
        <v>0.25</v>
      </c>
      <c r="C1226" s="176" t="str">
        <f ca="1">Language!$A$480</f>
        <v>% в год</v>
      </c>
      <c r="D1226" s="174"/>
      <c r="E1226" s="170" t="s">
        <v>1534</v>
      </c>
      <c r="F1226" s="170" t="s">
        <v>745</v>
      </c>
      <c r="G1226" s="304">
        <f>B1226</f>
        <v>0.25</v>
      </c>
      <c r="H1226" s="304">
        <f t="shared" ref="H1226" si="4437">G1226</f>
        <v>0.25</v>
      </c>
      <c r="I1226" s="304">
        <f t="shared" ref="I1226" si="4438">H1226</f>
        <v>0.25</v>
      </c>
      <c r="J1226" s="304">
        <f t="shared" ref="J1226" si="4439">I1226</f>
        <v>0.25</v>
      </c>
      <c r="K1226" s="304">
        <f t="shared" ref="K1226" si="4440">J1226</f>
        <v>0.25</v>
      </c>
      <c r="L1226" s="304">
        <f t="shared" ref="L1226" si="4441">K1226</f>
        <v>0.25</v>
      </c>
      <c r="M1226" s="304">
        <f t="shared" ref="M1226" si="4442">L1226</f>
        <v>0.25</v>
      </c>
      <c r="N1226" s="304">
        <f t="shared" ref="N1226" si="4443">M1226</f>
        <v>0.25</v>
      </c>
      <c r="O1226" s="304">
        <f t="shared" ref="O1226" si="4444">N1226</f>
        <v>0.25</v>
      </c>
      <c r="P1226" s="304">
        <f t="shared" ref="P1226" si="4445">O1226</f>
        <v>0.25</v>
      </c>
      <c r="Q1226" s="304">
        <f t="shared" ref="Q1226" si="4446">P1226</f>
        <v>0.25</v>
      </c>
      <c r="R1226" s="304">
        <f t="shared" ref="R1226" si="4447">Q1226</f>
        <v>0.25</v>
      </c>
      <c r="S1226" s="304">
        <f t="shared" ref="S1226" si="4448">R1226</f>
        <v>0.25</v>
      </c>
      <c r="T1226" s="304">
        <f t="shared" ref="T1226" si="4449">S1226</f>
        <v>0.25</v>
      </c>
      <c r="U1226" s="304">
        <f t="shared" ref="U1226" si="4450">T1226</f>
        <v>0.25</v>
      </c>
      <c r="V1226" s="304">
        <f t="shared" ref="V1226" si="4451">U1226</f>
        <v>0.25</v>
      </c>
      <c r="W1226" s="304">
        <f t="shared" ref="W1226" si="4452">V1226</f>
        <v>0.25</v>
      </c>
      <c r="X1226" s="304">
        <f t="shared" ref="X1226" si="4453">W1226</f>
        <v>0.25</v>
      </c>
      <c r="Y1226" s="304">
        <f t="shared" ref="Y1226" si="4454">X1226</f>
        <v>0.25</v>
      </c>
      <c r="Z1226" s="304">
        <f t="shared" ref="Z1226" si="4455">Y1226</f>
        <v>0.25</v>
      </c>
      <c r="AA1226" s="304">
        <f t="shared" ref="AA1226" si="4456">Z1226</f>
        <v>0.25</v>
      </c>
      <c r="AB1226" s="304">
        <f t="shared" ref="AB1226" si="4457">AA1226</f>
        <v>0.25</v>
      </c>
      <c r="AC1226" s="304">
        <f t="shared" ref="AC1226" si="4458">AB1226</f>
        <v>0.25</v>
      </c>
      <c r="AD1226" s="304">
        <f t="shared" ref="AD1226" si="4459">AC1226</f>
        <v>0.25</v>
      </c>
      <c r="AE1226" s="304">
        <f t="shared" ref="AE1226" si="4460">AD1226</f>
        <v>0.25</v>
      </c>
      <c r="AF1226" s="304">
        <f t="shared" ref="AF1226" si="4461">AE1226</f>
        <v>0.25</v>
      </c>
      <c r="AG1226" s="304">
        <f t="shared" ref="AG1226" si="4462">AF1226</f>
        <v>0.25</v>
      </c>
      <c r="AH1226" s="304">
        <f t="shared" ref="AH1226" si="4463">AG1226</f>
        <v>0.25</v>
      </c>
      <c r="AI1226" s="304">
        <f t="shared" ref="AI1226" si="4464">AH1226</f>
        <v>0.25</v>
      </c>
      <c r="AJ1226" s="304">
        <f t="shared" ref="AJ1226" si="4465">AI1226</f>
        <v>0.25</v>
      </c>
      <c r="AK1226" s="304">
        <f t="shared" ref="AK1226" si="4466">AJ1226</f>
        <v>0.25</v>
      </c>
      <c r="AL1226" s="304">
        <f t="shared" ref="AL1226" si="4467">AK1226</f>
        <v>0.25</v>
      </c>
      <c r="AM1226" s="304">
        <f t="shared" ref="AM1226" si="4468">AL1226</f>
        <v>0.25</v>
      </c>
      <c r="AN1226" s="304">
        <f t="shared" ref="AN1226" si="4469">AM1226</f>
        <v>0.25</v>
      </c>
      <c r="AO1226" s="304">
        <f t="shared" ref="AO1226" si="4470">AN1226</f>
        <v>0.25</v>
      </c>
      <c r="AP1226" s="304">
        <f t="shared" ref="AP1226" si="4471">AO1226</f>
        <v>0.25</v>
      </c>
      <c r="AQ1226" s="304">
        <f t="shared" ref="AQ1226" si="4472">AP1226</f>
        <v>0.25</v>
      </c>
      <c r="AR1226" s="304">
        <f t="shared" ref="AR1226" si="4473">AQ1226</f>
        <v>0.25</v>
      </c>
      <c r="AS1226" s="304">
        <f t="shared" ref="AS1226" si="4474">AR1226</f>
        <v>0.25</v>
      </c>
      <c r="AT1226" s="304">
        <f t="shared" ref="AT1226" si="4475">AS1226</f>
        <v>0.25</v>
      </c>
      <c r="AU1226" s="304">
        <f t="shared" ref="AU1226" si="4476">AT1226</f>
        <v>0.25</v>
      </c>
      <c r="AV1226" s="304">
        <f t="shared" ref="AV1226" si="4477">AU1226</f>
        <v>0.25</v>
      </c>
      <c r="AW1226" s="304">
        <f t="shared" ref="AW1226" si="4478">AV1226</f>
        <v>0.25</v>
      </c>
      <c r="AX1226" s="304">
        <f t="shared" ref="AX1226" si="4479">AW1226</f>
        <v>0.25</v>
      </c>
      <c r="AY1226" s="304">
        <f t="shared" ref="AY1226" si="4480">AX1226</f>
        <v>0.25</v>
      </c>
      <c r="AZ1226" s="304">
        <f t="shared" ref="AZ1226" si="4481">AY1226</f>
        <v>0.25</v>
      </c>
      <c r="BA1226" s="304">
        <f t="shared" ref="BA1226" si="4482">AZ1226</f>
        <v>0.25</v>
      </c>
      <c r="BB1226" s="304">
        <f t="shared" ref="BB1226" si="4483">BA1226</f>
        <v>0.25</v>
      </c>
      <c r="BC1226" s="226"/>
    </row>
    <row r="1227" spans="1:56" x14ac:dyDescent="0.3">
      <c r="A1227" s="175" t="str">
        <f ca="1">Language!A$1107</f>
        <v>отсрочка выплаты процентов</v>
      </c>
      <c r="B1227" s="292">
        <v>8</v>
      </c>
      <c r="C1227" s="176" t="str">
        <f ca="1">Language!$A$1484</f>
        <v>периодов</v>
      </c>
      <c r="D1227" s="174"/>
    </row>
    <row r="1228" spans="1:56" x14ac:dyDescent="0.3">
      <c r="A1228" s="175" t="str">
        <f ca="1">Language!A$1108</f>
        <v>капитализация невыплаченных процентов</v>
      </c>
      <c r="B1228" s="305">
        <v>0</v>
      </c>
      <c r="C1228" s="176" t="str">
        <f ca="1">IF(B1228=1,Language!$A$1475,Language!$A$1476)</f>
        <v>Нет</v>
      </c>
      <c r="D1228" s="174"/>
      <c r="F1228" s="170" t="s">
        <v>2347</v>
      </c>
    </row>
    <row r="1229" spans="1:56" x14ac:dyDescent="0.3">
      <c r="A1229" s="175" t="str">
        <f ca="1">Language!A$1109</f>
        <v>срок кредитования</v>
      </c>
      <c r="B1229" s="227" t="str">
        <f ca="1">IF(OFFSET(G1232,0,Prj_Len-1)&gt;0,"-",BD1236/12)</f>
        <v>-</v>
      </c>
      <c r="C1229" s="228" t="str">
        <f ca="1">Language!A$48</f>
        <v>лет</v>
      </c>
      <c r="D1229" s="174"/>
    </row>
    <row r="1230" spans="1:56" x14ac:dyDescent="0.3">
      <c r="A1230" s="175" t="str">
        <f ca="1">Language!A$1110</f>
        <v>поступление денег от кредита</v>
      </c>
      <c r="C1230" s="176" t="str">
        <f t="shared" ref="C1230:C1234" ca="1" si="4484">CHOOSE(D1230,CurName1,CurName2,CurName3)</f>
        <v>руб.</v>
      </c>
      <c r="D1230" s="174">
        <f>D1225</f>
        <v>1</v>
      </c>
      <c r="E1230" s="170" t="s">
        <v>1463</v>
      </c>
      <c r="F1230" s="170" t="s">
        <v>740</v>
      </c>
      <c r="G1230" s="296">
        <v>211850001</v>
      </c>
      <c r="H1230" s="296">
        <v>0</v>
      </c>
      <c r="I1230" s="296">
        <v>0</v>
      </c>
      <c r="J1230" s="296">
        <v>0</v>
      </c>
      <c r="K1230" s="296">
        <v>0</v>
      </c>
      <c r="L1230" s="296">
        <v>0</v>
      </c>
      <c r="M1230" s="296">
        <v>0</v>
      </c>
      <c r="N1230" s="296">
        <v>0</v>
      </c>
      <c r="O1230" s="296">
        <v>0</v>
      </c>
      <c r="P1230" s="296">
        <v>0</v>
      </c>
      <c r="Q1230" s="296">
        <v>0</v>
      </c>
      <c r="R1230" s="296">
        <v>0</v>
      </c>
      <c r="S1230" s="296">
        <v>0</v>
      </c>
      <c r="T1230" s="296">
        <v>0</v>
      </c>
      <c r="U1230" s="296">
        <v>0</v>
      </c>
      <c r="V1230" s="296">
        <v>0</v>
      </c>
      <c r="W1230" s="296">
        <v>0</v>
      </c>
      <c r="X1230" s="296">
        <v>0</v>
      </c>
      <c r="Y1230" s="296">
        <v>0</v>
      </c>
      <c r="Z1230" s="296">
        <v>0</v>
      </c>
      <c r="AA1230" s="296">
        <v>0</v>
      </c>
      <c r="AB1230" s="296">
        <v>0</v>
      </c>
      <c r="AC1230" s="296">
        <v>0</v>
      </c>
      <c r="AD1230" s="296">
        <v>0</v>
      </c>
      <c r="AE1230" s="296">
        <v>0</v>
      </c>
      <c r="AF1230" s="296">
        <v>0</v>
      </c>
      <c r="AG1230" s="296">
        <v>0</v>
      </c>
      <c r="AH1230" s="296">
        <v>0</v>
      </c>
      <c r="AI1230" s="296">
        <v>0</v>
      </c>
      <c r="AJ1230" s="296">
        <v>0</v>
      </c>
      <c r="AK1230" s="296">
        <v>0</v>
      </c>
      <c r="AL1230" s="296">
        <v>0</v>
      </c>
      <c r="AM1230" s="296">
        <v>0</v>
      </c>
      <c r="AN1230" s="296">
        <v>0</v>
      </c>
      <c r="AO1230" s="296">
        <v>0</v>
      </c>
      <c r="AP1230" s="296">
        <v>0</v>
      </c>
      <c r="AQ1230" s="296">
        <v>0</v>
      </c>
      <c r="AR1230" s="296">
        <v>0</v>
      </c>
      <c r="AS1230" s="296">
        <v>0</v>
      </c>
      <c r="AT1230" s="296">
        <v>0</v>
      </c>
      <c r="AU1230" s="296">
        <v>0</v>
      </c>
      <c r="AV1230" s="296">
        <v>0</v>
      </c>
      <c r="AW1230" s="296">
        <v>0</v>
      </c>
      <c r="AX1230" s="296">
        <v>0</v>
      </c>
      <c r="AY1230" s="296">
        <v>0</v>
      </c>
      <c r="AZ1230" s="296">
        <v>0</v>
      </c>
      <c r="BA1230" s="296">
        <v>0</v>
      </c>
      <c r="BB1230" s="296">
        <v>0</v>
      </c>
      <c r="BC1230" s="202"/>
      <c r="BD1230" s="178">
        <f>SUM(G1230:BC1230)</f>
        <v>211850001</v>
      </c>
    </row>
    <row r="1231" spans="1:56" x14ac:dyDescent="0.3">
      <c r="A1231" s="175" t="str">
        <f ca="1">Language!A$1111</f>
        <v>погашение кредита</v>
      </c>
      <c r="C1231" s="176" t="str">
        <f t="shared" ca="1" si="4484"/>
        <v>руб.</v>
      </c>
      <c r="D1231" s="174">
        <f>D1225</f>
        <v>1</v>
      </c>
      <c r="E1231" s="170" t="s">
        <v>1464</v>
      </c>
      <c r="F1231" s="170" t="s">
        <v>740</v>
      </c>
      <c r="G1231" s="296">
        <v>0</v>
      </c>
      <c r="H1231" s="296">
        <v>0</v>
      </c>
      <c r="I1231" s="296">
        <v>0</v>
      </c>
      <c r="J1231" s="296">
        <v>0</v>
      </c>
      <c r="K1231" s="296">
        <v>0</v>
      </c>
      <c r="L1231" s="296">
        <v>0</v>
      </c>
      <c r="M1231" s="296">
        <v>1000000</v>
      </c>
      <c r="N1231" s="296">
        <v>2000000</v>
      </c>
      <c r="O1231" s="296">
        <v>3000000</v>
      </c>
      <c r="P1231" s="296">
        <v>3000000</v>
      </c>
      <c r="Q1231" s="296">
        <v>3000000</v>
      </c>
      <c r="R1231" s="296">
        <v>4000000</v>
      </c>
      <c r="S1231" s="296">
        <v>4000000</v>
      </c>
      <c r="T1231" s="296">
        <v>4000000</v>
      </c>
      <c r="U1231" s="296">
        <v>4000000</v>
      </c>
      <c r="V1231" s="296">
        <v>5000000</v>
      </c>
      <c r="W1231" s="296">
        <v>5000000</v>
      </c>
      <c r="X1231" s="296">
        <v>5000000</v>
      </c>
      <c r="Y1231" s="296">
        <v>8000000</v>
      </c>
      <c r="Z1231" s="296">
        <v>8000000</v>
      </c>
      <c r="AA1231" s="296">
        <v>8000000</v>
      </c>
      <c r="AB1231" s="296">
        <v>8000000</v>
      </c>
      <c r="AC1231" s="296">
        <v>8000000</v>
      </c>
      <c r="AD1231" s="296">
        <v>8000000</v>
      </c>
      <c r="AE1231" s="296">
        <v>8000000</v>
      </c>
      <c r="AF1231" s="296">
        <v>8000000</v>
      </c>
      <c r="AG1231" s="296">
        <v>8000000</v>
      </c>
      <c r="AH1231" s="296">
        <v>8000000</v>
      </c>
      <c r="AI1231" s="296">
        <v>8000000</v>
      </c>
      <c r="AJ1231" s="296">
        <v>8000000</v>
      </c>
      <c r="AK1231" s="296">
        <v>8000000</v>
      </c>
      <c r="AL1231" s="296">
        <v>8000000</v>
      </c>
      <c r="AM1231" s="296">
        <v>8000000</v>
      </c>
      <c r="AN1231" s="296">
        <v>8000000</v>
      </c>
      <c r="AO1231" s="296">
        <v>8000000</v>
      </c>
      <c r="AP1231" s="296">
        <v>8000000</v>
      </c>
      <c r="AQ1231" s="296">
        <v>8000000</v>
      </c>
      <c r="AR1231" s="296">
        <v>8000000</v>
      </c>
      <c r="AS1231" s="296">
        <v>8000000</v>
      </c>
      <c r="AT1231" s="296">
        <v>8000000</v>
      </c>
      <c r="AU1231" s="296">
        <v>8000000</v>
      </c>
      <c r="AV1231" s="296">
        <v>8000000</v>
      </c>
      <c r="AW1231" s="296">
        <v>8000000</v>
      </c>
      <c r="AX1231" s="296">
        <v>4075001</v>
      </c>
      <c r="AY1231" s="296">
        <v>0</v>
      </c>
      <c r="AZ1231" s="296">
        <v>0</v>
      </c>
      <c r="BA1231" s="296">
        <v>0</v>
      </c>
      <c r="BB1231" s="296">
        <v>0</v>
      </c>
      <c r="BC1231" s="202"/>
      <c r="BD1231" s="178">
        <f>SUM(G1231:BC1231)</f>
        <v>247075001</v>
      </c>
    </row>
    <row r="1232" spans="1:56" x14ac:dyDescent="0.3">
      <c r="A1232" s="181" t="str">
        <f ca="1">Language!A$1112</f>
        <v>задолженность по кредиту</v>
      </c>
      <c r="B1232" s="176"/>
      <c r="C1232" s="176" t="str">
        <f t="shared" ca="1" si="4484"/>
        <v>руб.</v>
      </c>
      <c r="D1232" s="174">
        <f>D1225</f>
        <v>1</v>
      </c>
      <c r="E1232" s="170" t="s">
        <v>1039</v>
      </c>
      <c r="F1232" s="170" t="s">
        <v>745</v>
      </c>
      <c r="G1232" s="182">
        <f>SUM($G1233:G1233)-SUM($G1234:G1234)+SUM($G1230:G1230)-SUM($G1231:G1231)</f>
        <v>216263542.6875</v>
      </c>
      <c r="H1232" s="182">
        <f>SUM($G1233:H1233)-SUM($G1234:H1234)+SUM($G1230:H1230)-SUM($G1231:H1231)</f>
        <v>220677084.375</v>
      </c>
      <c r="I1232" s="182">
        <f>SUM($G1233:I1233)-SUM($G1234:I1234)+SUM($G1230:I1230)-SUM($G1231:I1231)</f>
        <v>225090626.0625</v>
      </c>
      <c r="J1232" s="182">
        <f>SUM($G1233:J1233)-SUM($G1234:J1234)+SUM($G1230:J1230)-SUM($G1231:J1231)</f>
        <v>229504167.75</v>
      </c>
      <c r="K1232" s="182">
        <f>SUM($G1233:K1233)-SUM($G1234:K1234)+SUM($G1230:K1230)-SUM($G1231:K1231)</f>
        <v>233917709.4375</v>
      </c>
      <c r="L1232" s="182">
        <f>SUM($G1233:L1233)-SUM($G1234:L1234)+SUM($G1230:L1230)-SUM($G1231:L1231)</f>
        <v>238331251.125</v>
      </c>
      <c r="M1232" s="182">
        <f>SUM($G1233:M1233)-SUM($G1234:M1234)+SUM($G1230:M1230)-SUM($G1231:M1231)</f>
        <v>241723959.47916666</v>
      </c>
      <c r="N1232" s="182">
        <f>SUM($G1233:N1233)-SUM($G1234:N1234)+SUM($G1230:N1230)-SUM($G1231:N1231)</f>
        <v>244075001.16666669</v>
      </c>
      <c r="O1232" s="182">
        <f>SUM($G1233:O1233)-SUM($G1234:O1234)+SUM($G1230:O1230)-SUM($G1231:O1231)</f>
        <v>241075001.16666669</v>
      </c>
      <c r="P1232" s="182">
        <f>SUM($G1233:P1233)-SUM($G1234:P1234)+SUM($G1230:P1230)-SUM($G1231:P1231)</f>
        <v>238075001.16666669</v>
      </c>
      <c r="Q1232" s="182">
        <f>SUM($G1233:Q1233)-SUM($G1234:Q1234)+SUM($G1230:Q1230)-SUM($G1231:Q1231)</f>
        <v>235075001.16666669</v>
      </c>
      <c r="R1232" s="182">
        <f>SUM($G1233:R1233)-SUM($G1234:R1234)+SUM($G1230:R1230)-SUM($G1231:R1231)</f>
        <v>231075001.16666669</v>
      </c>
      <c r="S1232" s="182">
        <f>SUM($G1233:S1233)-SUM($G1234:S1234)+SUM($G1230:S1230)-SUM($G1231:S1231)</f>
        <v>227075001.16666669</v>
      </c>
      <c r="T1232" s="182">
        <f>SUM($G1233:T1233)-SUM($G1234:T1234)+SUM($G1230:T1230)-SUM($G1231:T1231)</f>
        <v>223075001.16666669</v>
      </c>
      <c r="U1232" s="182">
        <f>SUM($G1233:U1233)-SUM($G1234:U1234)+SUM($G1230:U1230)-SUM($G1231:U1231)</f>
        <v>219075001.16666669</v>
      </c>
      <c r="V1232" s="182">
        <f>SUM($G1233:V1233)-SUM($G1234:V1234)+SUM($G1230:V1230)-SUM($G1231:V1231)</f>
        <v>214075001.16666669</v>
      </c>
      <c r="W1232" s="182">
        <f>SUM($G1233:W1233)-SUM($G1234:W1234)+SUM($G1230:W1230)-SUM($G1231:W1231)</f>
        <v>209075001.16666669</v>
      </c>
      <c r="X1232" s="182">
        <f>SUM($G1233:X1233)-SUM($G1234:X1234)+SUM($G1230:X1230)-SUM($G1231:X1231)</f>
        <v>204075001.16666669</v>
      </c>
      <c r="Y1232" s="182">
        <f>SUM($G1233:Y1233)-SUM($G1234:Y1234)+SUM($G1230:Y1230)-SUM($G1231:Y1231)</f>
        <v>196075001.16666669</v>
      </c>
      <c r="Z1232" s="182">
        <f>SUM($G1233:Z1233)-SUM($G1234:Z1234)+SUM($G1230:Z1230)-SUM($G1231:Z1231)</f>
        <v>188075001.16666669</v>
      </c>
      <c r="AA1232" s="182">
        <f>SUM($G1233:AA1233)-SUM($G1234:AA1234)+SUM($G1230:AA1230)-SUM($G1231:AA1231)</f>
        <v>180075001.16666669</v>
      </c>
      <c r="AB1232" s="182">
        <f>SUM($G1233:AB1233)-SUM($G1234:AB1234)+SUM($G1230:AB1230)-SUM($G1231:AB1231)</f>
        <v>172075001.16666669</v>
      </c>
      <c r="AC1232" s="182">
        <f>SUM($G1233:AC1233)-SUM($G1234:AC1234)+SUM($G1230:AC1230)-SUM($G1231:AC1231)</f>
        <v>164075001.16666669</v>
      </c>
      <c r="AD1232" s="182">
        <f>SUM($G1233:AD1233)-SUM($G1234:AD1234)+SUM($G1230:AD1230)-SUM($G1231:AD1231)</f>
        <v>156075001.16666669</v>
      </c>
      <c r="AE1232" s="182">
        <f>SUM($G1233:AE1233)-SUM($G1234:AE1234)+SUM($G1230:AE1230)-SUM($G1231:AE1231)</f>
        <v>148075001.16666669</v>
      </c>
      <c r="AF1232" s="182">
        <f>SUM($G1233:AF1233)-SUM($G1234:AF1234)+SUM($G1230:AF1230)-SUM($G1231:AF1231)</f>
        <v>140075001.16666669</v>
      </c>
      <c r="AG1232" s="182">
        <f>SUM($G1233:AG1233)-SUM($G1234:AG1234)+SUM($G1230:AG1230)-SUM($G1231:AG1231)</f>
        <v>132075001.16666669</v>
      </c>
      <c r="AH1232" s="182">
        <f>SUM($G1233:AH1233)-SUM($G1234:AH1234)+SUM($G1230:AH1230)-SUM($G1231:AH1231)</f>
        <v>124075001.16666669</v>
      </c>
      <c r="AI1232" s="182">
        <f>SUM($G1233:AI1233)-SUM($G1234:AI1234)+SUM($G1230:AI1230)-SUM($G1231:AI1231)</f>
        <v>116075001.16666669</v>
      </c>
      <c r="AJ1232" s="182">
        <f>SUM($G1233:AJ1233)-SUM($G1234:AJ1234)+SUM($G1230:AJ1230)-SUM($G1231:AJ1231)</f>
        <v>108075001.16666669</v>
      </c>
      <c r="AK1232" s="182">
        <f>SUM($G1233:AK1233)-SUM($G1234:AK1234)+SUM($G1230:AK1230)-SUM($G1231:AK1231)</f>
        <v>100075001.16666669</v>
      </c>
      <c r="AL1232" s="182">
        <f>SUM($G1233:AL1233)-SUM($G1234:AL1234)+SUM($G1230:AL1230)-SUM($G1231:AL1231)</f>
        <v>92075001.166666687</v>
      </c>
      <c r="AM1232" s="182">
        <f>SUM($G1233:AM1233)-SUM($G1234:AM1234)+SUM($G1230:AM1230)-SUM($G1231:AM1231)</f>
        <v>84075001.166666687</v>
      </c>
      <c r="AN1232" s="182">
        <f>SUM($G1233:AN1233)-SUM($G1234:AN1234)+SUM($G1230:AN1230)-SUM($G1231:AN1231)</f>
        <v>76075001.166666687</v>
      </c>
      <c r="AO1232" s="182">
        <f>SUM($G1233:AO1233)-SUM($G1234:AO1234)+SUM($G1230:AO1230)-SUM($G1231:AO1231)</f>
        <v>68075001.166666687</v>
      </c>
      <c r="AP1232" s="182">
        <f>SUM($G1233:AP1233)-SUM($G1234:AP1234)+SUM($G1230:AP1230)-SUM($G1231:AP1231)</f>
        <v>60075001.166666687</v>
      </c>
      <c r="AQ1232" s="182">
        <f>SUM($G1233:AQ1233)-SUM($G1234:AQ1234)+SUM($G1230:AQ1230)-SUM($G1231:AQ1231)</f>
        <v>52075001.166666687</v>
      </c>
      <c r="AR1232" s="182">
        <f>SUM($G1233:AR1233)-SUM($G1234:AR1234)+SUM($G1230:AR1230)-SUM($G1231:AR1231)</f>
        <v>44075001.166666687</v>
      </c>
      <c r="AS1232" s="182">
        <f>SUM($G1233:AS1233)-SUM($G1234:AS1234)+SUM($G1230:AS1230)-SUM($G1231:AS1231)</f>
        <v>36075001.166666687</v>
      </c>
      <c r="AT1232" s="182">
        <f>SUM($G1233:AT1233)-SUM($G1234:AT1234)+SUM($G1230:AT1230)-SUM($G1231:AT1231)</f>
        <v>28075001.166666687</v>
      </c>
      <c r="AU1232" s="182">
        <f>SUM($G1233:AU1233)-SUM($G1234:AU1234)+SUM($G1230:AU1230)-SUM($G1231:AU1231)</f>
        <v>20075001.166666687</v>
      </c>
      <c r="AV1232" s="182">
        <f>SUM($G1233:AV1233)-SUM($G1234:AV1234)+SUM($G1230:AV1230)-SUM($G1231:AV1231)</f>
        <v>12075001.166666687</v>
      </c>
      <c r="AW1232" s="182">
        <f>SUM($G1233:AW1233)-SUM($G1234:AW1234)+SUM($G1230:AW1230)-SUM($G1231:AW1231)</f>
        <v>4075001.1666666865</v>
      </c>
      <c r="AX1232" s="182">
        <f>SUM($G1233:AX1233)-SUM($G1234:AX1234)+SUM($G1230:AX1230)-SUM($G1231:AX1231)</f>
        <v>0.16666668653488159</v>
      </c>
      <c r="AY1232" s="182">
        <f>SUM($G1233:AY1233)-SUM($G1234:AY1234)+SUM($G1230:AY1230)-SUM($G1231:AY1231)</f>
        <v>0.16666668653488159</v>
      </c>
      <c r="AZ1232" s="182">
        <f>SUM($G1233:AZ1233)-SUM($G1234:AZ1234)+SUM($G1230:AZ1230)-SUM($G1231:AZ1231)</f>
        <v>0.16666668653488159</v>
      </c>
      <c r="BA1232" s="182">
        <f>SUM($G1233:BA1233)-SUM($G1234:BA1234)+SUM($G1230:BA1230)-SUM($G1231:BA1231)</f>
        <v>0.16666668653488159</v>
      </c>
      <c r="BB1232" s="182">
        <f>SUM($G1233:BB1233)-SUM($G1234:BB1234)+SUM($G1230:BB1230)-SUM($G1231:BB1231)</f>
        <v>0.16666668653488159</v>
      </c>
      <c r="BC1232" s="182"/>
      <c r="BD1232" s="183"/>
    </row>
    <row r="1233" spans="1:56" collapsed="1" x14ac:dyDescent="0.3">
      <c r="A1233" s="181" t="str">
        <f ca="1">Language!A$1113</f>
        <v>начисленные проценты</v>
      </c>
      <c r="B1233" s="173"/>
      <c r="C1233" s="176" t="str">
        <f t="shared" ca="1" si="4484"/>
        <v>руб.</v>
      </c>
      <c r="D1233" s="174">
        <f>D1225</f>
        <v>1</v>
      </c>
      <c r="E1233" s="170" t="s">
        <v>1465</v>
      </c>
      <c r="F1233" s="170" t="s">
        <v>740</v>
      </c>
      <c r="G1233" s="182">
        <f>MAX((SUM($G1230:G1230)-SUM($G1231:G1231)+IF(AND($B1228=1,G$2&gt;1),SUM($F1233:F1233)-SUM($F1234:F1234),0)), 0) * G1226/12*Параметры!G$31</f>
        <v>4413541.6875</v>
      </c>
      <c r="H1233" s="182">
        <f>MAX((SUM($G1230:H1230)-SUM($G1231:H1231)+IF(AND($B1228=1,H$2&gt;1),SUM($F1233:G1233)-SUM($F1234:G1234),0)), 0) * H1226/12*Параметры!H$31</f>
        <v>4413541.6875</v>
      </c>
      <c r="I1233" s="182">
        <f>MAX((SUM($G1230:I1230)-SUM($G1231:I1231)+IF(AND($B1228=1,I$2&gt;1),SUM($F1233:H1233)-SUM($F1234:H1234),0)), 0) * I1226/12*Параметры!I$31</f>
        <v>4413541.6875</v>
      </c>
      <c r="J1233" s="182">
        <f>MAX((SUM($G1230:J1230)-SUM($G1231:J1231)+IF(AND($B1228=1,J$2&gt;1),SUM($F1233:I1233)-SUM($F1234:I1234),0)), 0) * J1226/12*Параметры!J$31</f>
        <v>4413541.6875</v>
      </c>
      <c r="K1233" s="182">
        <f>MAX((SUM($G1230:K1230)-SUM($G1231:K1231)+IF(AND($B1228=1,K$2&gt;1),SUM($F1233:J1233)-SUM($F1234:J1234),0)), 0) * K1226/12*Параметры!K$31</f>
        <v>4413541.6875</v>
      </c>
      <c r="L1233" s="182">
        <f>MAX((SUM($G1230:L1230)-SUM($G1231:L1231)+IF(AND($B1228=1,L$2&gt;1),SUM($F1233:K1233)-SUM($F1234:K1234),0)), 0) * L1226/12*Параметры!L$31</f>
        <v>4413541.6875</v>
      </c>
      <c r="M1233" s="182">
        <f>MAX((SUM($G1230:M1230)-SUM($G1231:M1231)+IF(AND($B1228=1,M$2&gt;1),SUM($F1233:L1233)-SUM($F1234:L1234),0)), 0) * M1226/12*Параметры!M$31</f>
        <v>4392708.354166667</v>
      </c>
      <c r="N1233" s="182">
        <f>MAX((SUM($G1230:N1230)-SUM($G1231:N1231)+IF(AND($B1228=1,N$2&gt;1),SUM($F1233:M1233)-SUM($F1234:M1234),0)), 0) * N1226/12*Параметры!N$31</f>
        <v>4351041.6875</v>
      </c>
      <c r="O1233" s="182">
        <f>MAX((SUM($G1230:O1230)-SUM($G1231:O1231)+IF(AND($B1228=1,O$2&gt;1),SUM($F1233:N1233)-SUM($F1234:N1234),0)), 0) * O1226/12*Параметры!O$31</f>
        <v>4288541.6875</v>
      </c>
      <c r="P1233" s="182">
        <f>MAX((SUM($G1230:P1230)-SUM($G1231:P1231)+IF(AND($B1228=1,P$2&gt;1),SUM($F1233:O1233)-SUM($F1234:O1234),0)), 0) * P1226/12*Параметры!P$31</f>
        <v>4226041.6875</v>
      </c>
      <c r="Q1233" s="182">
        <f>MAX((SUM($G1230:Q1230)-SUM($G1231:Q1231)+IF(AND($B1228=1,Q$2&gt;1),SUM($F1233:P1233)-SUM($F1234:P1234),0)), 0) * Q1226/12*Параметры!Q$31</f>
        <v>4163541.6875</v>
      </c>
      <c r="R1233" s="182">
        <f>MAX((SUM($G1230:R1230)-SUM($G1231:R1231)+IF(AND($B1228=1,R$2&gt;1),SUM($F1233:Q1233)-SUM($F1234:Q1234),0)), 0) * R1226/12*Параметры!R$31</f>
        <v>4080208.3541666665</v>
      </c>
      <c r="S1233" s="182">
        <f>MAX((SUM($G1230:S1230)-SUM($G1231:S1231)+IF(AND($B1228=1,S$2&gt;1),SUM($F1233:R1233)-SUM($F1234:R1234),0)), 0) * S1226/12*Параметры!S$31</f>
        <v>3996875.0208333335</v>
      </c>
      <c r="T1233" s="182">
        <f>MAX((SUM($G1230:T1230)-SUM($G1231:T1231)+IF(AND($B1228=1,T$2&gt;1),SUM($F1233:S1233)-SUM($F1234:S1234),0)), 0) * T1226/12*Параметры!T$31</f>
        <v>3913541.6875</v>
      </c>
      <c r="U1233" s="182">
        <f>MAX((SUM($G1230:U1230)-SUM($G1231:U1231)+IF(AND($B1228=1,U$2&gt;1),SUM($F1233:T1233)-SUM($F1234:T1234),0)), 0) * U1226/12*Параметры!U$31</f>
        <v>3830208.3541666665</v>
      </c>
      <c r="V1233" s="182">
        <f>MAX((SUM($G1230:V1230)-SUM($G1231:V1231)+IF(AND($B1228=1,V$2&gt;1),SUM($F1233:U1233)-SUM($F1234:U1234),0)), 0) * V1226/12*Параметры!V$31</f>
        <v>3726041.6875</v>
      </c>
      <c r="W1233" s="182">
        <f>MAX((SUM($G1230:W1230)-SUM($G1231:W1231)+IF(AND($B1228=1,W$2&gt;1),SUM($F1233:V1233)-SUM($F1234:V1234),0)), 0) * W1226/12*Параметры!W$31</f>
        <v>3621875.0208333335</v>
      </c>
      <c r="X1233" s="182">
        <f>MAX((SUM($G1230:X1230)-SUM($G1231:X1231)+IF(AND($B1228=1,X$2&gt;1),SUM($F1233:W1233)-SUM($F1234:W1234),0)), 0) * X1226/12*Параметры!X$31</f>
        <v>3517708.3541666665</v>
      </c>
      <c r="Y1233" s="182">
        <f>MAX((SUM($G1230:Y1230)-SUM($G1231:Y1231)+IF(AND($B1228=1,Y$2&gt;1),SUM($F1233:X1233)-SUM($F1234:X1234),0)), 0) * Y1226/12*Параметры!Y$31</f>
        <v>3351041.6875</v>
      </c>
      <c r="Z1233" s="182">
        <f>MAX((SUM($G1230:Z1230)-SUM($G1231:Z1231)+IF(AND($B1228=1,Z$2&gt;1),SUM($F1233:Y1233)-SUM($F1234:Y1234),0)), 0) * Z1226/12*Параметры!Z$31</f>
        <v>3184375.0208333335</v>
      </c>
      <c r="AA1233" s="182">
        <f>MAX((SUM($G1230:AA1230)-SUM($G1231:AA1231)+IF(AND($B1228=1,AA$2&gt;1),SUM($F1233:Z1233)-SUM($F1234:Z1234),0)), 0) * AA1226/12*Параметры!AA$31</f>
        <v>3017708.3541666665</v>
      </c>
      <c r="AB1233" s="182">
        <f>MAX((SUM($G1230:AB1230)-SUM($G1231:AB1231)+IF(AND($B1228=1,AB$2&gt;1),SUM($F1233:AA1233)-SUM($F1234:AA1234),0)), 0) * AB1226/12*Параметры!AB$31</f>
        <v>2851041.6875</v>
      </c>
      <c r="AC1233" s="182">
        <f>MAX((SUM($G1230:AC1230)-SUM($G1231:AC1231)+IF(AND($B1228=1,AC$2&gt;1),SUM($F1233:AB1233)-SUM($F1234:AB1234),0)), 0) * AC1226/12*Параметры!AC$31</f>
        <v>2684375.0208333335</v>
      </c>
      <c r="AD1233" s="182">
        <f>MAX((SUM($G1230:AD1230)-SUM($G1231:AD1231)+IF(AND($B1228=1,AD$2&gt;1),SUM($F1233:AC1233)-SUM($F1234:AC1234),0)), 0) * AD1226/12*Параметры!AD$31</f>
        <v>2517708.3541666665</v>
      </c>
      <c r="AE1233" s="182">
        <f>MAX((SUM($G1230:AE1230)-SUM($G1231:AE1231)+IF(AND($B1228=1,AE$2&gt;1),SUM($F1233:AD1233)-SUM($F1234:AD1234),0)), 0) * AE1226/12*Параметры!AE$31</f>
        <v>2351041.6875</v>
      </c>
      <c r="AF1233" s="182">
        <f>MAX((SUM($G1230:AF1230)-SUM($G1231:AF1231)+IF(AND($B1228=1,AF$2&gt;1),SUM($F1233:AE1233)-SUM($F1234:AE1234),0)), 0) * AF1226/12*Параметры!AF$31</f>
        <v>2184375.0208333335</v>
      </c>
      <c r="AG1233" s="182">
        <f>MAX((SUM($G1230:AG1230)-SUM($G1231:AG1231)+IF(AND($B1228=1,AG$2&gt;1),SUM($F1233:AF1233)-SUM($F1234:AF1234),0)), 0) * AG1226/12*Параметры!AG$31</f>
        <v>2017708.3541666667</v>
      </c>
      <c r="AH1233" s="182">
        <f>MAX((SUM($G1230:AH1230)-SUM($G1231:AH1231)+IF(AND($B1228=1,AH$2&gt;1),SUM($F1233:AG1233)-SUM($F1234:AG1234),0)), 0) * AH1226/12*Параметры!AH$31</f>
        <v>1851041.6875</v>
      </c>
      <c r="AI1233" s="182">
        <f>MAX((SUM($G1230:AI1230)-SUM($G1231:AI1231)+IF(AND($B1228=1,AI$2&gt;1),SUM($F1233:AH1233)-SUM($F1234:AH1234),0)), 0) * AI1226/12*Параметры!AI$31</f>
        <v>1684375.0208333333</v>
      </c>
      <c r="AJ1233" s="182">
        <f>MAX((SUM($G1230:AJ1230)-SUM($G1231:AJ1231)+IF(AND($B1228=1,AJ$2&gt;1),SUM($F1233:AI1233)-SUM($F1234:AI1234),0)), 0) * AJ1226/12*Параметры!AJ$31</f>
        <v>1517708.3541666667</v>
      </c>
      <c r="AK1233" s="182">
        <f>MAX((SUM($G1230:AK1230)-SUM($G1231:AK1231)+IF(AND($B1228=1,AK$2&gt;1),SUM($F1233:AJ1233)-SUM($F1234:AJ1234),0)), 0) * AK1226/12*Параметры!AK$31</f>
        <v>1351041.6875</v>
      </c>
      <c r="AL1233" s="182">
        <f>MAX((SUM($G1230:AL1230)-SUM($G1231:AL1231)+IF(AND($B1228=1,AL$2&gt;1),SUM($F1233:AK1233)-SUM($F1234:AK1234),0)), 0) * AL1226/12*Параметры!AL$31</f>
        <v>1184375.0208333333</v>
      </c>
      <c r="AM1233" s="182">
        <f>MAX((SUM($G1230:AM1230)-SUM($G1231:AM1231)+IF(AND($B1228=1,AM$2&gt;1),SUM($F1233:AL1233)-SUM($F1234:AL1234),0)), 0) * AM1226/12*Параметры!AM$31</f>
        <v>1017708.3541666666</v>
      </c>
      <c r="AN1233" s="182">
        <f>MAX((SUM($G1230:AN1230)-SUM($G1231:AN1231)+IF(AND($B1228=1,AN$2&gt;1),SUM($F1233:AM1233)-SUM($F1234:AM1234),0)), 0) * AN1226/12*Параметры!AN$31</f>
        <v>851041.6875</v>
      </c>
      <c r="AO1233" s="182">
        <f>MAX((SUM($G1230:AO1230)-SUM($G1231:AO1231)+IF(AND($B1228=1,AO$2&gt;1),SUM($F1233:AN1233)-SUM($F1234:AN1234),0)), 0) * AO1226/12*Параметры!AO$31</f>
        <v>684375.02083333337</v>
      </c>
      <c r="AP1233" s="182">
        <f>MAX((SUM($G1230:AP1230)-SUM($G1231:AP1231)+IF(AND($B1228=1,AP$2&gt;1),SUM($F1233:AO1233)-SUM($F1234:AO1234),0)), 0) * AP1226/12*Параметры!AP$31</f>
        <v>517708.35416666669</v>
      </c>
      <c r="AQ1233" s="182">
        <f>MAX((SUM($G1230:AQ1230)-SUM($G1231:AQ1231)+IF(AND($B1228=1,AQ$2&gt;1),SUM($F1233:AP1233)-SUM($F1234:AP1234),0)), 0) * AQ1226/12*Параметры!AQ$31</f>
        <v>351041.6875</v>
      </c>
      <c r="AR1233" s="182">
        <f>MAX((SUM($G1230:AR1230)-SUM($G1231:AR1231)+IF(AND($B1228=1,AR$2&gt;1),SUM($F1233:AQ1233)-SUM($F1234:AQ1234),0)), 0) * AR1226/12*Параметры!AR$31</f>
        <v>184375.02083333334</v>
      </c>
      <c r="AS1233" s="182">
        <f>MAX((SUM($G1230:AS1230)-SUM($G1231:AS1231)+IF(AND($B1228=1,AS$2&gt;1),SUM($F1233:AR1233)-SUM($F1234:AR1234),0)), 0) * AS1226/12*Параметры!AS$31</f>
        <v>17708.354166666668</v>
      </c>
      <c r="AT1233" s="182">
        <f>MAX((SUM($G1230:AT1230)-SUM($G1231:AT1231)+IF(AND($B1228=1,AT$2&gt;1),SUM($F1233:AS1233)-SUM($F1234:AS1234),0)), 0) * AT1226/12*Параметры!AT$31</f>
        <v>0</v>
      </c>
      <c r="AU1233" s="182">
        <f>MAX((SUM($G1230:AU1230)-SUM($G1231:AU1231)+IF(AND($B1228=1,AU$2&gt;1),SUM($F1233:AT1233)-SUM($F1234:AT1234),0)), 0) * AU1226/12*Параметры!AU$31</f>
        <v>0</v>
      </c>
      <c r="AV1233" s="182">
        <f>MAX((SUM($G1230:AV1230)-SUM($G1231:AV1231)+IF(AND($B1228=1,AV$2&gt;1),SUM($F1233:AU1233)-SUM($F1234:AU1234),0)), 0) * AV1226/12*Параметры!AV$31</f>
        <v>0</v>
      </c>
      <c r="AW1233" s="182">
        <f>MAX((SUM($G1230:AW1230)-SUM($G1231:AW1231)+IF(AND($B1228=1,AW$2&gt;1),SUM($F1233:AV1233)-SUM($F1234:AV1234),0)), 0) * AW1226/12*Параметры!AW$31</f>
        <v>0</v>
      </c>
      <c r="AX1233" s="182">
        <f>MAX((SUM($G1230:AX1230)-SUM($G1231:AX1231)+IF(AND($B1228=1,AX$2&gt;1),SUM($F1233:AW1233)-SUM($F1234:AW1234),0)), 0) * AX1226/12*Параметры!AX$31</f>
        <v>0</v>
      </c>
      <c r="AY1233" s="182">
        <f>MAX((SUM($G1230:AY1230)-SUM($G1231:AY1231)+IF(AND($B1228=1,AY$2&gt;1),SUM($F1233:AX1233)-SUM($F1234:AX1234),0)), 0) * AY1226/12*Параметры!AY$31</f>
        <v>0</v>
      </c>
      <c r="AZ1233" s="182">
        <f>MAX((SUM($G1230:AZ1230)-SUM($G1231:AZ1231)+IF(AND($B1228=1,AZ$2&gt;1),SUM($F1233:AY1233)-SUM($F1234:AY1234),0)), 0) * AZ1226/12*Параметры!AZ$31</f>
        <v>0</v>
      </c>
      <c r="BA1233" s="182">
        <f>MAX((SUM($G1230:BA1230)-SUM($G1231:BA1231)+IF(AND($B1228=1,BA$2&gt;1),SUM($F1233:AZ1233)-SUM($F1234:AZ1234),0)), 0) * BA1226/12*Параметры!BA$31</f>
        <v>0</v>
      </c>
      <c r="BB1233" s="182">
        <f>MAX((SUM($G1230:BB1230)-SUM($G1231:BB1231)+IF(AND($B1228=1,BB$2&gt;1),SUM($F1233:BA1233)-SUM($F1234:BA1234),0)), 0) * BB1226/12*Параметры!BB$31</f>
        <v>0</v>
      </c>
      <c r="BC1233" s="182"/>
      <c r="BD1233" s="183">
        <f>SUM(G1233:BC1233)</f>
        <v>109961459.14583334</v>
      </c>
    </row>
    <row r="1234" spans="1:56" hidden="1" outlineLevel="1" x14ac:dyDescent="0.3">
      <c r="A1234" s="184" t="str">
        <f ca="1">Language!A$1114</f>
        <v>выплаченные проценты</v>
      </c>
      <c r="B1234" s="170"/>
      <c r="C1234" s="163" t="str">
        <f t="shared" ca="1" si="4484"/>
        <v>руб.</v>
      </c>
      <c r="D1234" s="174">
        <f>D1225</f>
        <v>1</v>
      </c>
      <c r="E1234" s="170" t="s">
        <v>1466</v>
      </c>
      <c r="F1234" s="170" t="s">
        <v>2353</v>
      </c>
      <c r="G1234" s="289">
        <f t="shared" ref="G1234:BB1234" si="4485">IF(G$2&gt;=G1235+$B1227,G1233,0)</f>
        <v>0</v>
      </c>
      <c r="H1234" s="289">
        <f t="shared" si="4485"/>
        <v>0</v>
      </c>
      <c r="I1234" s="289">
        <f t="shared" si="4485"/>
        <v>0</v>
      </c>
      <c r="J1234" s="289">
        <f t="shared" si="4485"/>
        <v>0</v>
      </c>
      <c r="K1234" s="289">
        <f t="shared" si="4485"/>
        <v>0</v>
      </c>
      <c r="L1234" s="289">
        <f t="shared" si="4485"/>
        <v>0</v>
      </c>
      <c r="M1234" s="289">
        <f t="shared" si="4485"/>
        <v>0</v>
      </c>
      <c r="N1234" s="289">
        <f t="shared" si="4485"/>
        <v>0</v>
      </c>
      <c r="O1234" s="289">
        <f t="shared" si="4485"/>
        <v>4288541.6875</v>
      </c>
      <c r="P1234" s="289">
        <f t="shared" si="4485"/>
        <v>4226041.6875</v>
      </c>
      <c r="Q1234" s="289">
        <f t="shared" si="4485"/>
        <v>4163541.6875</v>
      </c>
      <c r="R1234" s="289">
        <f t="shared" si="4485"/>
        <v>4080208.3541666665</v>
      </c>
      <c r="S1234" s="289">
        <f t="shared" si="4485"/>
        <v>3996875.0208333335</v>
      </c>
      <c r="T1234" s="289">
        <f t="shared" si="4485"/>
        <v>3913541.6875</v>
      </c>
      <c r="U1234" s="289">
        <f t="shared" si="4485"/>
        <v>3830208.3541666665</v>
      </c>
      <c r="V1234" s="289">
        <f t="shared" si="4485"/>
        <v>3726041.6875</v>
      </c>
      <c r="W1234" s="289">
        <f t="shared" si="4485"/>
        <v>3621875.0208333335</v>
      </c>
      <c r="X1234" s="289">
        <f t="shared" si="4485"/>
        <v>3517708.3541666665</v>
      </c>
      <c r="Y1234" s="289">
        <f t="shared" si="4485"/>
        <v>3351041.6875</v>
      </c>
      <c r="Z1234" s="289">
        <f t="shared" si="4485"/>
        <v>3184375.0208333335</v>
      </c>
      <c r="AA1234" s="289">
        <f t="shared" si="4485"/>
        <v>3017708.3541666665</v>
      </c>
      <c r="AB1234" s="289">
        <f t="shared" si="4485"/>
        <v>2851041.6875</v>
      </c>
      <c r="AC1234" s="289">
        <f t="shared" si="4485"/>
        <v>2684375.0208333335</v>
      </c>
      <c r="AD1234" s="289">
        <f t="shared" si="4485"/>
        <v>2517708.3541666665</v>
      </c>
      <c r="AE1234" s="289">
        <f t="shared" si="4485"/>
        <v>2351041.6875</v>
      </c>
      <c r="AF1234" s="289">
        <f t="shared" si="4485"/>
        <v>2184375.0208333335</v>
      </c>
      <c r="AG1234" s="289">
        <f t="shared" si="4485"/>
        <v>2017708.3541666667</v>
      </c>
      <c r="AH1234" s="289">
        <f t="shared" si="4485"/>
        <v>1851041.6875</v>
      </c>
      <c r="AI1234" s="289">
        <f t="shared" si="4485"/>
        <v>1684375.0208333333</v>
      </c>
      <c r="AJ1234" s="289">
        <f t="shared" si="4485"/>
        <v>1517708.3541666667</v>
      </c>
      <c r="AK1234" s="289">
        <f t="shared" si="4485"/>
        <v>1351041.6875</v>
      </c>
      <c r="AL1234" s="289">
        <f t="shared" si="4485"/>
        <v>1184375.0208333333</v>
      </c>
      <c r="AM1234" s="289">
        <f t="shared" si="4485"/>
        <v>1017708.3541666666</v>
      </c>
      <c r="AN1234" s="289">
        <f t="shared" si="4485"/>
        <v>851041.6875</v>
      </c>
      <c r="AO1234" s="289">
        <f t="shared" si="4485"/>
        <v>684375.02083333337</v>
      </c>
      <c r="AP1234" s="289">
        <f t="shared" si="4485"/>
        <v>517708.35416666669</v>
      </c>
      <c r="AQ1234" s="289">
        <f t="shared" si="4485"/>
        <v>351041.6875</v>
      </c>
      <c r="AR1234" s="289">
        <f t="shared" si="4485"/>
        <v>184375.02083333334</v>
      </c>
      <c r="AS1234" s="289">
        <f t="shared" si="4485"/>
        <v>17708.354166666668</v>
      </c>
      <c r="AT1234" s="289">
        <f t="shared" si="4485"/>
        <v>0</v>
      </c>
      <c r="AU1234" s="289">
        <f t="shared" si="4485"/>
        <v>0</v>
      </c>
      <c r="AV1234" s="289">
        <f t="shared" si="4485"/>
        <v>0</v>
      </c>
      <c r="AW1234" s="289">
        <f t="shared" si="4485"/>
        <v>0</v>
      </c>
      <c r="AX1234" s="289">
        <f t="shared" si="4485"/>
        <v>0</v>
      </c>
      <c r="AY1234" s="289">
        <f t="shared" si="4485"/>
        <v>0</v>
      </c>
      <c r="AZ1234" s="289">
        <f t="shared" si="4485"/>
        <v>0</v>
      </c>
      <c r="BA1234" s="289">
        <f t="shared" si="4485"/>
        <v>0</v>
      </c>
      <c r="BB1234" s="289">
        <f t="shared" si="4485"/>
        <v>0</v>
      </c>
      <c r="BC1234" s="188"/>
      <c r="BD1234" s="193">
        <f>SUM(G1234:BC1234)</f>
        <v>74736458.979166672</v>
      </c>
    </row>
    <row r="1235" spans="1:56" hidden="1" outlineLevel="1" x14ac:dyDescent="0.3">
      <c r="A1235" s="184" t="str">
        <f ca="1">Language!A$1117</f>
        <v>период начала кредитования</v>
      </c>
      <c r="B1235" s="170"/>
      <c r="C1235" s="163" t="str">
        <f ca="1">Language!$A$1480</f>
        <v>период</v>
      </c>
      <c r="F1235" s="170" t="s">
        <v>1541</v>
      </c>
      <c r="G1235" s="185">
        <f>IF(AND(G$2=1,G1230&gt;0),1,IF(AND(F1235=0,G1230&lt;&gt;0,SUM($E1230:F1230)=0),G$2,IF(G$2=1,0,F1235)))</f>
        <v>1</v>
      </c>
      <c r="H1235" s="185">
        <f>IF(AND(H$2=1,H1230&gt;0),1,IF(AND(G1235=0,H1230&lt;&gt;0,SUM($E1230:G1230)=0),H$2,IF(H$2=1,0,G1235)))</f>
        <v>1</v>
      </c>
      <c r="I1235" s="185">
        <f>IF(AND(I$2=1,I1230&gt;0),1,IF(AND(H1235=0,I1230&lt;&gt;0,SUM($E1230:H1230)=0),I$2,IF(I$2=1,0,H1235)))</f>
        <v>1</v>
      </c>
      <c r="J1235" s="185">
        <f>IF(AND(J$2=1,J1230&gt;0),1,IF(AND(I1235=0,J1230&lt;&gt;0,SUM($E1230:I1230)=0),J$2,IF(J$2=1,0,I1235)))</f>
        <v>1</v>
      </c>
      <c r="K1235" s="185">
        <f>IF(AND(K$2=1,K1230&gt;0),1,IF(AND(J1235=0,K1230&lt;&gt;0,SUM($E1230:J1230)=0),K$2,IF(K$2=1,0,J1235)))</f>
        <v>1</v>
      </c>
      <c r="L1235" s="185">
        <f>IF(AND(L$2=1,L1230&gt;0),1,IF(AND(K1235=0,L1230&lt;&gt;0,SUM($E1230:K1230)=0),L$2,IF(L$2=1,0,K1235)))</f>
        <v>1</v>
      </c>
      <c r="M1235" s="185">
        <f>IF(AND(M$2=1,M1230&gt;0),1,IF(AND(L1235=0,M1230&lt;&gt;0,SUM($E1230:L1230)=0),M$2,IF(M$2=1,0,L1235)))</f>
        <v>1</v>
      </c>
      <c r="N1235" s="185">
        <f>IF(AND(N$2=1,N1230&gt;0),1,IF(AND(M1235=0,N1230&lt;&gt;0,SUM($E1230:M1230)=0),N$2,IF(N$2=1,0,M1235)))</f>
        <v>1</v>
      </c>
      <c r="O1235" s="185">
        <f>IF(AND(O$2=1,O1230&gt;0),1,IF(AND(N1235=0,O1230&lt;&gt;0,SUM($E1230:N1230)=0),O$2,IF(O$2=1,0,N1235)))</f>
        <v>1</v>
      </c>
      <c r="P1235" s="185">
        <f>IF(AND(P$2=1,P1230&gt;0),1,IF(AND(O1235=0,P1230&lt;&gt;0,SUM($E1230:O1230)=0),P$2,IF(P$2=1,0,O1235)))</f>
        <v>1</v>
      </c>
      <c r="Q1235" s="185">
        <f>IF(AND(Q$2=1,Q1230&gt;0),1,IF(AND(P1235=0,Q1230&lt;&gt;0,SUM($E1230:P1230)=0),Q$2,IF(Q$2=1,0,P1235)))</f>
        <v>1</v>
      </c>
      <c r="R1235" s="185">
        <f>IF(AND(R$2=1,R1230&gt;0),1,IF(AND(Q1235=0,R1230&lt;&gt;0,SUM($E1230:Q1230)=0),R$2,IF(R$2=1,0,Q1235)))</f>
        <v>1</v>
      </c>
      <c r="S1235" s="185">
        <f>IF(AND(S$2=1,S1230&gt;0),1,IF(AND(R1235=0,S1230&lt;&gt;0,SUM($E1230:R1230)=0),S$2,IF(S$2=1,0,R1235)))</f>
        <v>1</v>
      </c>
      <c r="T1235" s="185">
        <f>IF(AND(T$2=1,T1230&gt;0),1,IF(AND(S1235=0,T1230&lt;&gt;0,SUM($E1230:S1230)=0),T$2,IF(T$2=1,0,S1235)))</f>
        <v>1</v>
      </c>
      <c r="U1235" s="185">
        <f>IF(AND(U$2=1,U1230&gt;0),1,IF(AND(T1235=0,U1230&lt;&gt;0,SUM($E1230:T1230)=0),U$2,IF(U$2=1,0,T1235)))</f>
        <v>1</v>
      </c>
      <c r="V1235" s="185">
        <f>IF(AND(V$2=1,V1230&gt;0),1,IF(AND(U1235=0,V1230&lt;&gt;0,SUM($E1230:U1230)=0),V$2,IF(V$2=1,0,U1235)))</f>
        <v>1</v>
      </c>
      <c r="W1235" s="185">
        <f>IF(AND(W$2=1,W1230&gt;0),1,IF(AND(V1235=0,W1230&lt;&gt;0,SUM($E1230:V1230)=0),W$2,IF(W$2=1,0,V1235)))</f>
        <v>1</v>
      </c>
      <c r="X1235" s="185">
        <f>IF(AND(X$2=1,X1230&gt;0),1,IF(AND(W1235=0,X1230&lt;&gt;0,SUM($E1230:W1230)=0),X$2,IF(X$2=1,0,W1235)))</f>
        <v>1</v>
      </c>
      <c r="Y1235" s="185">
        <f>IF(AND(Y$2=1,Y1230&gt;0),1,IF(AND(X1235=0,Y1230&lt;&gt;0,SUM($E1230:X1230)=0),Y$2,IF(Y$2=1,0,X1235)))</f>
        <v>1</v>
      </c>
      <c r="Z1235" s="185">
        <f>IF(AND(Z$2=1,Z1230&gt;0),1,IF(AND(Y1235=0,Z1230&lt;&gt;0,SUM($E1230:Y1230)=0),Z$2,IF(Z$2=1,0,Y1235)))</f>
        <v>1</v>
      </c>
      <c r="AA1235" s="185">
        <f>IF(AND(AA$2=1,AA1230&gt;0),1,IF(AND(Z1235=0,AA1230&lt;&gt;0,SUM($E1230:Z1230)=0),AA$2,IF(AA$2=1,0,Z1235)))</f>
        <v>1</v>
      </c>
      <c r="AB1235" s="185">
        <f>IF(AND(AB$2=1,AB1230&gt;0),1,IF(AND(AA1235=0,AB1230&lt;&gt;0,SUM($E1230:AA1230)=0),AB$2,IF(AB$2=1,0,AA1235)))</f>
        <v>1</v>
      </c>
      <c r="AC1235" s="185">
        <f>IF(AND(AC$2=1,AC1230&gt;0),1,IF(AND(AB1235=0,AC1230&lt;&gt;0,SUM($E1230:AB1230)=0),AC$2,IF(AC$2=1,0,AB1235)))</f>
        <v>1</v>
      </c>
      <c r="AD1235" s="185">
        <f>IF(AND(AD$2=1,AD1230&gt;0),1,IF(AND(AC1235=0,AD1230&lt;&gt;0,SUM($E1230:AC1230)=0),AD$2,IF(AD$2=1,0,AC1235)))</f>
        <v>1</v>
      </c>
      <c r="AE1235" s="185">
        <f>IF(AND(AE$2=1,AE1230&gt;0),1,IF(AND(AD1235=0,AE1230&lt;&gt;0,SUM($E1230:AD1230)=0),AE$2,IF(AE$2=1,0,AD1235)))</f>
        <v>1</v>
      </c>
      <c r="AF1235" s="185">
        <f>IF(AND(AF$2=1,AF1230&gt;0),1,IF(AND(AE1235=0,AF1230&lt;&gt;0,SUM($E1230:AE1230)=0),AF$2,IF(AF$2=1,0,AE1235)))</f>
        <v>1</v>
      </c>
      <c r="AG1235" s="185">
        <f>IF(AND(AG$2=1,AG1230&gt;0),1,IF(AND(AF1235=0,AG1230&lt;&gt;0,SUM($E1230:AF1230)=0),AG$2,IF(AG$2=1,0,AF1235)))</f>
        <v>1</v>
      </c>
      <c r="AH1235" s="185">
        <f>IF(AND(AH$2=1,AH1230&gt;0),1,IF(AND(AG1235=0,AH1230&lt;&gt;0,SUM($E1230:AG1230)=0),AH$2,IF(AH$2=1,0,AG1235)))</f>
        <v>1</v>
      </c>
      <c r="AI1235" s="185">
        <f>IF(AND(AI$2=1,AI1230&gt;0),1,IF(AND(AH1235=0,AI1230&lt;&gt;0,SUM($E1230:AH1230)=0),AI$2,IF(AI$2=1,0,AH1235)))</f>
        <v>1</v>
      </c>
      <c r="AJ1235" s="185">
        <f>IF(AND(AJ$2=1,AJ1230&gt;0),1,IF(AND(AI1235=0,AJ1230&lt;&gt;0,SUM($E1230:AI1230)=0),AJ$2,IF(AJ$2=1,0,AI1235)))</f>
        <v>1</v>
      </c>
      <c r="AK1235" s="185">
        <f>IF(AND(AK$2=1,AK1230&gt;0),1,IF(AND(AJ1235=0,AK1230&lt;&gt;0,SUM($E1230:AJ1230)=0),AK$2,IF(AK$2=1,0,AJ1235)))</f>
        <v>1</v>
      </c>
      <c r="AL1235" s="185">
        <f>IF(AND(AL$2=1,AL1230&gt;0),1,IF(AND(AK1235=0,AL1230&lt;&gt;0,SUM($E1230:AK1230)=0),AL$2,IF(AL$2=1,0,AK1235)))</f>
        <v>1</v>
      </c>
      <c r="AM1235" s="185">
        <f>IF(AND(AM$2=1,AM1230&gt;0),1,IF(AND(AL1235=0,AM1230&lt;&gt;0,SUM($E1230:AL1230)=0),AM$2,IF(AM$2=1,0,AL1235)))</f>
        <v>1</v>
      </c>
      <c r="AN1235" s="185">
        <f>IF(AND(AN$2=1,AN1230&gt;0),1,IF(AND(AM1235=0,AN1230&lt;&gt;0,SUM($E1230:AM1230)=0),AN$2,IF(AN$2=1,0,AM1235)))</f>
        <v>1</v>
      </c>
      <c r="AO1235" s="185">
        <f>IF(AND(AO$2=1,AO1230&gt;0),1,IF(AND(AN1235=0,AO1230&lt;&gt;0,SUM($E1230:AN1230)=0),AO$2,IF(AO$2=1,0,AN1235)))</f>
        <v>1</v>
      </c>
      <c r="AP1235" s="185">
        <f>IF(AND(AP$2=1,AP1230&gt;0),1,IF(AND(AO1235=0,AP1230&lt;&gt;0,SUM($E1230:AO1230)=0),AP$2,IF(AP$2=1,0,AO1235)))</f>
        <v>1</v>
      </c>
      <c r="AQ1235" s="185">
        <f>IF(AND(AQ$2=1,AQ1230&gt;0),1,IF(AND(AP1235=0,AQ1230&lt;&gt;0,SUM($E1230:AP1230)=0),AQ$2,IF(AQ$2=1,0,AP1235)))</f>
        <v>1</v>
      </c>
      <c r="AR1235" s="185">
        <f>IF(AND(AR$2=1,AR1230&gt;0),1,IF(AND(AQ1235=0,AR1230&lt;&gt;0,SUM($E1230:AQ1230)=0),AR$2,IF(AR$2=1,0,AQ1235)))</f>
        <v>1</v>
      </c>
      <c r="AS1235" s="185">
        <f>IF(AND(AS$2=1,AS1230&gt;0),1,IF(AND(AR1235=0,AS1230&lt;&gt;0,SUM($E1230:AR1230)=0),AS$2,IF(AS$2=1,0,AR1235)))</f>
        <v>1</v>
      </c>
      <c r="AT1235" s="185">
        <f>IF(AND(AT$2=1,AT1230&gt;0),1,IF(AND(AS1235=0,AT1230&lt;&gt;0,SUM($E1230:AS1230)=0),AT$2,IF(AT$2=1,0,AS1235)))</f>
        <v>1</v>
      </c>
      <c r="AU1235" s="185">
        <f>IF(AND(AU$2=1,AU1230&gt;0),1,IF(AND(AT1235=0,AU1230&lt;&gt;0,SUM($E1230:AT1230)=0),AU$2,IF(AU$2=1,0,AT1235)))</f>
        <v>1</v>
      </c>
      <c r="AV1235" s="185">
        <f>IF(AND(AV$2=1,AV1230&gt;0),1,IF(AND(AU1235=0,AV1230&lt;&gt;0,SUM($E1230:AU1230)=0),AV$2,IF(AV$2=1,0,AU1235)))</f>
        <v>1</v>
      </c>
      <c r="AW1235" s="185">
        <f>IF(AND(AW$2=1,AW1230&gt;0),1,IF(AND(AV1235=0,AW1230&lt;&gt;0,SUM($E1230:AV1230)=0),AW$2,IF(AW$2=1,0,AV1235)))</f>
        <v>1</v>
      </c>
      <c r="AX1235" s="185">
        <f>IF(AND(AX$2=1,AX1230&gt;0),1,IF(AND(AW1235=0,AX1230&lt;&gt;0,SUM($E1230:AW1230)=0),AX$2,IF(AX$2=1,0,AW1235)))</f>
        <v>1</v>
      </c>
      <c r="AY1235" s="185">
        <f>IF(AND(AY$2=1,AY1230&gt;0),1,IF(AND(AX1235=0,AY1230&lt;&gt;0,SUM($E1230:AX1230)=0),AY$2,IF(AY$2=1,0,AX1235)))</f>
        <v>1</v>
      </c>
      <c r="AZ1235" s="185">
        <f>IF(AND(AZ$2=1,AZ1230&gt;0),1,IF(AND(AY1235=0,AZ1230&lt;&gt;0,SUM($E1230:AY1230)=0),AZ$2,IF(AZ$2=1,0,AY1235)))</f>
        <v>1</v>
      </c>
      <c r="BA1235" s="185">
        <f>IF(AND(BA$2=1,BA1230&gt;0),1,IF(AND(AZ1235=0,BA1230&lt;&gt;0,SUM($E1230:AZ1230)=0),BA$2,IF(BA$2=1,0,AZ1235)))</f>
        <v>1</v>
      </c>
      <c r="BB1235" s="185">
        <f>IF(AND(BB$2=1,BB1230&gt;0),1,IF(AND(BA1235=0,BB1230&lt;&gt;0,SUM($E1230:BA1230)=0),BB$2,IF(BB$2=1,0,BA1235)))</f>
        <v>1</v>
      </c>
      <c r="BC1235" s="185"/>
      <c r="BD1235" s="193"/>
    </row>
    <row r="1236" spans="1:56" hidden="1" outlineLevel="1" x14ac:dyDescent="0.3">
      <c r="A1236" s="184" t="str">
        <f ca="1">Language!A$1109</f>
        <v>срок кредитования</v>
      </c>
      <c r="B1236" s="170"/>
      <c r="C1236" s="163" t="str">
        <f ca="1">Language!A$46</f>
        <v>мес.</v>
      </c>
      <c r="F1236" s="170" t="s">
        <v>740</v>
      </c>
      <c r="G1236" s="185">
        <f ca="1">IF(G1235=0,0,IF(SUM(OFFSET(G1232,0,-1):OFFSET(G1232,0,Prj_Len-G$2))=0,0,Параметры!G$31))</f>
        <v>1</v>
      </c>
      <c r="H1236" s="185">
        <f ca="1">IF(H1235=0,0,IF(SUM(OFFSET(H1232,0,-1):OFFSET(H1232,0,Prj_Len-H$2))=0,0,Параметры!H$31))</f>
        <v>1</v>
      </c>
      <c r="I1236" s="185">
        <f ca="1">IF(I1235=0,0,IF(SUM(OFFSET(I1232,0,-1):OFFSET(I1232,0,Prj_Len-I$2))=0,0,Параметры!I$31))</f>
        <v>1</v>
      </c>
      <c r="J1236" s="185">
        <f ca="1">IF(J1235=0,0,IF(SUM(OFFSET(J1232,0,-1):OFFSET(J1232,0,Prj_Len-J$2))=0,0,Параметры!J$31))</f>
        <v>1</v>
      </c>
      <c r="K1236" s="185">
        <f ca="1">IF(K1235=0,0,IF(SUM(OFFSET(K1232,0,-1):OFFSET(K1232,0,Prj_Len-K$2))=0,0,Параметры!K$31))</f>
        <v>1</v>
      </c>
      <c r="L1236" s="185">
        <f ca="1">IF(L1235=0,0,IF(SUM(OFFSET(L1232,0,-1):OFFSET(L1232,0,Prj_Len-L$2))=0,0,Параметры!L$31))</f>
        <v>1</v>
      </c>
      <c r="M1236" s="185">
        <f ca="1">IF(M1235=0,0,IF(SUM(OFFSET(M1232,0,-1):OFFSET(M1232,0,Prj_Len-M$2))=0,0,Параметры!M$31))</f>
        <v>1</v>
      </c>
      <c r="N1236" s="185">
        <f ca="1">IF(N1235=0,0,IF(SUM(OFFSET(N1232,0,-1):OFFSET(N1232,0,Prj_Len-N$2))=0,0,Параметры!N$31))</f>
        <v>1</v>
      </c>
      <c r="O1236" s="185">
        <f ca="1">IF(O1235=0,0,IF(SUM(OFFSET(O1232,0,-1):OFFSET(O1232,0,Prj_Len-O$2))=0,0,Параметры!O$31))</f>
        <v>1</v>
      </c>
      <c r="P1236" s="185">
        <f ca="1">IF(P1235=0,0,IF(SUM(OFFSET(P1232,0,-1):OFFSET(P1232,0,Prj_Len-P$2))=0,0,Параметры!P$31))</f>
        <v>1</v>
      </c>
      <c r="Q1236" s="185">
        <f ca="1">IF(Q1235=0,0,IF(SUM(OFFSET(Q1232,0,-1):OFFSET(Q1232,0,Prj_Len-Q$2))=0,0,Параметры!Q$31))</f>
        <v>1</v>
      </c>
      <c r="R1236" s="185">
        <f ca="1">IF(R1235=0,0,IF(SUM(OFFSET(R1232,0,-1):OFFSET(R1232,0,Prj_Len-R$2))=0,0,Параметры!R$31))</f>
        <v>1</v>
      </c>
      <c r="S1236" s="185">
        <f ca="1">IF(S1235=0,0,IF(SUM(OFFSET(S1232,0,-1):OFFSET(S1232,0,Prj_Len-S$2))=0,0,Параметры!S$31))</f>
        <v>1</v>
      </c>
      <c r="T1236" s="185">
        <f ca="1">IF(T1235=0,0,IF(SUM(OFFSET(T1232,0,-1):OFFSET(T1232,0,Prj_Len-T$2))=0,0,Параметры!T$31))</f>
        <v>1</v>
      </c>
      <c r="U1236" s="185">
        <f ca="1">IF(U1235=0,0,IF(SUM(OFFSET(U1232,0,-1):OFFSET(U1232,0,Prj_Len-U$2))=0,0,Параметры!U$31))</f>
        <v>1</v>
      </c>
      <c r="V1236" s="185">
        <f ca="1">IF(V1235=0,0,IF(SUM(OFFSET(V1232,0,-1):OFFSET(V1232,0,Prj_Len-V$2))=0,0,Параметры!V$31))</f>
        <v>1</v>
      </c>
      <c r="W1236" s="185">
        <f ca="1">IF(W1235=0,0,IF(SUM(OFFSET(W1232,0,-1):OFFSET(W1232,0,Prj_Len-W$2))=0,0,Параметры!W$31))</f>
        <v>1</v>
      </c>
      <c r="X1236" s="185">
        <f ca="1">IF(X1235=0,0,IF(SUM(OFFSET(X1232,0,-1):OFFSET(X1232,0,Prj_Len-X$2))=0,0,Параметры!X$31))</f>
        <v>1</v>
      </c>
      <c r="Y1236" s="185">
        <f ca="1">IF(Y1235=0,0,IF(SUM(OFFSET(Y1232,0,-1):OFFSET(Y1232,0,Prj_Len-Y$2))=0,0,Параметры!Y$31))</f>
        <v>1</v>
      </c>
      <c r="Z1236" s="185">
        <f ca="1">IF(Z1235=0,0,IF(SUM(OFFSET(Z1232,0,-1):OFFSET(Z1232,0,Prj_Len-Z$2))=0,0,Параметры!Z$31))</f>
        <v>1</v>
      </c>
      <c r="AA1236" s="185">
        <f ca="1">IF(AA1235=0,0,IF(SUM(OFFSET(AA1232,0,-1):OFFSET(AA1232,0,Prj_Len-AA$2))=0,0,Параметры!AA$31))</f>
        <v>1</v>
      </c>
      <c r="AB1236" s="185">
        <f ca="1">IF(AB1235=0,0,IF(SUM(OFFSET(AB1232,0,-1):OFFSET(AB1232,0,Prj_Len-AB$2))=0,0,Параметры!AB$31))</f>
        <v>1</v>
      </c>
      <c r="AC1236" s="185">
        <f ca="1">IF(AC1235=0,0,IF(SUM(OFFSET(AC1232,0,-1):OFFSET(AC1232,0,Prj_Len-AC$2))=0,0,Параметры!AC$31))</f>
        <v>1</v>
      </c>
      <c r="AD1236" s="185">
        <f ca="1">IF(AD1235=0,0,IF(SUM(OFFSET(AD1232,0,-1):OFFSET(AD1232,0,Prj_Len-AD$2))=0,0,Параметры!AD$31))</f>
        <v>1</v>
      </c>
      <c r="AE1236" s="185">
        <f ca="1">IF(AE1235=0,0,IF(SUM(OFFSET(AE1232,0,-1):OFFSET(AE1232,0,Prj_Len-AE$2))=0,0,Параметры!AE$31))</f>
        <v>1</v>
      </c>
      <c r="AF1236" s="185">
        <f ca="1">IF(AF1235=0,0,IF(SUM(OFFSET(AF1232,0,-1):OFFSET(AF1232,0,Prj_Len-AF$2))=0,0,Параметры!AF$31))</f>
        <v>1</v>
      </c>
      <c r="AG1236" s="185">
        <f ca="1">IF(AG1235=0,0,IF(SUM(OFFSET(AG1232,0,-1):OFFSET(AG1232,0,Prj_Len-AG$2))=0,0,Параметры!AG$31))</f>
        <v>1</v>
      </c>
      <c r="AH1236" s="185">
        <f ca="1">IF(AH1235=0,0,IF(SUM(OFFSET(AH1232,0,-1):OFFSET(AH1232,0,Prj_Len-AH$2))=0,0,Параметры!AH$31))</f>
        <v>1</v>
      </c>
      <c r="AI1236" s="185">
        <f ca="1">IF(AI1235=0,0,IF(SUM(OFFSET(AI1232,0,-1):OFFSET(AI1232,0,Prj_Len-AI$2))=0,0,Параметры!AI$31))</f>
        <v>1</v>
      </c>
      <c r="AJ1236" s="185">
        <f ca="1">IF(AJ1235=0,0,IF(SUM(OFFSET(AJ1232,0,-1):OFFSET(AJ1232,0,Prj_Len-AJ$2))=0,0,Параметры!AJ$31))</f>
        <v>1</v>
      </c>
      <c r="AK1236" s="185">
        <f ca="1">IF(AK1235=0,0,IF(SUM(OFFSET(AK1232,0,-1):OFFSET(AK1232,0,Prj_Len-AK$2))=0,0,Параметры!AK$31))</f>
        <v>1</v>
      </c>
      <c r="AL1236" s="185">
        <f ca="1">IF(AL1235=0,0,IF(SUM(OFFSET(AL1232,0,-1):OFFSET(AL1232,0,Prj_Len-AL$2))=0,0,Параметры!AL$31))</f>
        <v>1</v>
      </c>
      <c r="AM1236" s="185">
        <f ca="1">IF(AM1235=0,0,IF(SUM(OFFSET(AM1232,0,-1):OFFSET(AM1232,0,Prj_Len-AM$2))=0,0,Параметры!AM$31))</f>
        <v>1</v>
      </c>
      <c r="AN1236" s="185">
        <f ca="1">IF(AN1235=0,0,IF(SUM(OFFSET(AN1232,0,-1):OFFSET(AN1232,0,Prj_Len-AN$2))=0,0,Параметры!AN$31))</f>
        <v>1</v>
      </c>
      <c r="AO1236" s="185">
        <f ca="1">IF(AO1235=0,0,IF(SUM(OFFSET(AO1232,0,-1):OFFSET(AO1232,0,Prj_Len-AO$2))=0,0,Параметры!AO$31))</f>
        <v>1</v>
      </c>
      <c r="AP1236" s="185">
        <f ca="1">IF(AP1235=0,0,IF(SUM(OFFSET(AP1232,0,-1):OFFSET(AP1232,0,Prj_Len-AP$2))=0,0,Параметры!AP$31))</f>
        <v>1</v>
      </c>
      <c r="AQ1236" s="185">
        <f ca="1">IF(AQ1235=0,0,IF(SUM(OFFSET(AQ1232,0,-1):OFFSET(AQ1232,0,Prj_Len-AQ$2))=0,0,Параметры!AQ$31))</f>
        <v>1</v>
      </c>
      <c r="AR1236" s="185">
        <f ca="1">IF(AR1235=0,0,IF(SUM(OFFSET(AR1232,0,-1):OFFSET(AR1232,0,Prj_Len-AR$2))=0,0,Параметры!AR$31))</f>
        <v>1</v>
      </c>
      <c r="AS1236" s="185">
        <f ca="1">IF(AS1235=0,0,IF(SUM(OFFSET(AS1232,0,-1):OFFSET(AS1232,0,Prj_Len-AS$2))=0,0,Параметры!AS$31))</f>
        <v>1</v>
      </c>
      <c r="AT1236" s="185">
        <f ca="1">IF(AT1235=0,0,IF(SUM(OFFSET(AT1232,0,-1):OFFSET(AT1232,0,Prj_Len-AT$2))=0,0,Параметры!AT$31))</f>
        <v>1</v>
      </c>
      <c r="AU1236" s="185">
        <f ca="1">IF(AU1235=0,0,IF(SUM(OFFSET(AU1232,0,-1):OFFSET(AU1232,0,Prj_Len-AU$2))=0,0,Параметры!AU$31))</f>
        <v>1</v>
      </c>
      <c r="AV1236" s="185">
        <f ca="1">IF(AV1235=0,0,IF(SUM(OFFSET(AV1232,0,-1):OFFSET(AV1232,0,Prj_Len-AV$2))=0,0,Параметры!AV$31))</f>
        <v>1</v>
      </c>
      <c r="AW1236" s="185">
        <f ca="1">IF(AW1235=0,0,IF(SUM(OFFSET(AW1232,0,-1):OFFSET(AW1232,0,Prj_Len-AW$2))=0,0,Параметры!AW$31))</f>
        <v>1</v>
      </c>
      <c r="AX1236" s="185">
        <f ca="1">IF(AX1235=0,0,IF(SUM(OFFSET(AX1232,0,-1):OFFSET(AX1232,0,Prj_Len-AX$2))=0,0,Параметры!AX$31))</f>
        <v>1</v>
      </c>
      <c r="AY1236" s="185">
        <f ca="1">IF(AY1235=0,0,IF(SUM(OFFSET(AY1232,0,-1):OFFSET(AY1232,0,Prj_Len-AY$2))=0,0,Параметры!AY$31))</f>
        <v>1</v>
      </c>
      <c r="AZ1236" s="185">
        <f ca="1">IF(AZ1235=0,0,IF(SUM(OFFSET(AZ1232,0,-1):OFFSET(AZ1232,0,Prj_Len-AZ$2))=0,0,Параметры!AZ$31))</f>
        <v>1</v>
      </c>
      <c r="BA1236" s="185">
        <f ca="1">IF(BA1235=0,0,IF(SUM(OFFSET(BA1232,0,-1):OFFSET(BA1232,0,Prj_Len-BA$2))=0,0,Параметры!BA$31))</f>
        <v>1</v>
      </c>
      <c r="BB1236" s="185">
        <f ca="1">IF(BB1235=0,0,IF(SUM(OFFSET(BB1232,0,-1):OFFSET(BB1232,0,Prj_Len-BB$2))=0,0,Параметры!BB$31))</f>
        <v>1</v>
      </c>
      <c r="BC1236" s="185"/>
      <c r="BD1236" s="193">
        <f ca="1">SUM(G1236:BC1236)</f>
        <v>48</v>
      </c>
    </row>
    <row r="1237" spans="1:56" hidden="1" outlineLevel="1" x14ac:dyDescent="0.3">
      <c r="A1237" s="184" t="str">
        <f ca="1">Language!A$1118</f>
        <v>отнесение процентов на стоимость основных средств</v>
      </c>
      <c r="B1237" s="288">
        <v>0</v>
      </c>
      <c r="C1237" s="163" t="str">
        <f ca="1">IF(B1237=1,Language!$A$1475,Language!$A$1476)</f>
        <v>Нет</v>
      </c>
      <c r="D1237" s="174">
        <v>1</v>
      </c>
      <c r="E1237" s="170" t="s">
        <v>1553</v>
      </c>
      <c r="F1237" s="170" t="s">
        <v>3484</v>
      </c>
      <c r="G1237" s="185">
        <f>IF($B1237=1,IF(G$2&lt;$B1240,G1233,0),0)*CHOOSE($D1225,1,Параметры!G$53,Параметры!G$59)</f>
        <v>0</v>
      </c>
      <c r="H1237" s="185">
        <f>IF($B1237=1,IF(H$2&lt;$B1240,H1233,0),0)*CHOOSE($D1225,1,Параметры!H$53,Параметры!H$59)</f>
        <v>0</v>
      </c>
      <c r="I1237" s="185">
        <f>IF($B1237=1,IF(I$2&lt;$B1240,I1233,0),0)*CHOOSE($D1225,1,Параметры!I$53,Параметры!I$59)</f>
        <v>0</v>
      </c>
      <c r="J1237" s="185">
        <f>IF($B1237=1,IF(J$2&lt;$B1240,J1233,0),0)*CHOOSE($D1225,1,Параметры!J$53,Параметры!J$59)</f>
        <v>0</v>
      </c>
      <c r="K1237" s="185">
        <f>IF($B1237=1,IF(K$2&lt;$B1240,K1233,0),0)*CHOOSE($D1225,1,Параметры!K$53,Параметры!K$59)</f>
        <v>0</v>
      </c>
      <c r="L1237" s="185">
        <f>IF($B1237=1,IF(L$2&lt;$B1240,L1233,0),0)*CHOOSE($D1225,1,Параметры!L$53,Параметры!L$59)</f>
        <v>0</v>
      </c>
      <c r="M1237" s="185">
        <f>IF($B1237=1,IF(M$2&lt;$B1240,M1233,0),0)*CHOOSE($D1225,1,Параметры!M$53,Параметры!M$59)</f>
        <v>0</v>
      </c>
      <c r="N1237" s="185">
        <f>IF($B1237=1,IF(N$2&lt;$B1240,N1233,0),0)*CHOOSE($D1225,1,Параметры!N$53,Параметры!N$59)</f>
        <v>0</v>
      </c>
      <c r="O1237" s="185">
        <f>IF($B1237=1,IF(O$2&lt;$B1240,O1233,0),0)*CHOOSE($D1225,1,Параметры!O$53,Параметры!O$59)</f>
        <v>0</v>
      </c>
      <c r="P1237" s="185">
        <f>IF($B1237=1,IF(P$2&lt;$B1240,P1233,0),0)*CHOOSE($D1225,1,Параметры!P$53,Параметры!P$59)</f>
        <v>0</v>
      </c>
      <c r="Q1237" s="185">
        <f>IF($B1237=1,IF(Q$2&lt;$B1240,Q1233,0),0)*CHOOSE($D1225,1,Параметры!Q$53,Параметры!Q$59)</f>
        <v>0</v>
      </c>
      <c r="R1237" s="185">
        <f>IF($B1237=1,IF(R$2&lt;$B1240,R1233,0),0)*CHOOSE($D1225,1,Параметры!R$53,Параметры!R$59)</f>
        <v>0</v>
      </c>
      <c r="S1237" s="185">
        <f>IF($B1237=1,IF(S$2&lt;$B1240,S1233,0),0)*CHOOSE($D1225,1,Параметры!S$53,Параметры!S$59)</f>
        <v>0</v>
      </c>
      <c r="T1237" s="185">
        <f>IF($B1237=1,IF(T$2&lt;$B1240,T1233,0),0)*CHOOSE($D1225,1,Параметры!T$53,Параметры!T$59)</f>
        <v>0</v>
      </c>
      <c r="U1237" s="185">
        <f>IF($B1237=1,IF(U$2&lt;$B1240,U1233,0),0)*CHOOSE($D1225,1,Параметры!U$53,Параметры!U$59)</f>
        <v>0</v>
      </c>
      <c r="V1237" s="185">
        <f>IF($B1237=1,IF(V$2&lt;$B1240,V1233,0),0)*CHOOSE($D1225,1,Параметры!V$53,Параметры!V$59)</f>
        <v>0</v>
      </c>
      <c r="W1237" s="185">
        <f>IF($B1237=1,IF(W$2&lt;$B1240,W1233,0),0)*CHOOSE($D1225,1,Параметры!W$53,Параметры!W$59)</f>
        <v>0</v>
      </c>
      <c r="X1237" s="185">
        <f>IF($B1237=1,IF(X$2&lt;$B1240,X1233,0),0)*CHOOSE($D1225,1,Параметры!X$53,Параметры!X$59)</f>
        <v>0</v>
      </c>
      <c r="Y1237" s="185">
        <f>IF($B1237=1,IF(Y$2&lt;$B1240,Y1233,0),0)*CHOOSE($D1225,1,Параметры!Y$53,Параметры!Y$59)</f>
        <v>0</v>
      </c>
      <c r="Z1237" s="185">
        <f>IF($B1237=1,IF(Z$2&lt;$B1240,Z1233,0),0)*CHOOSE($D1225,1,Параметры!Z$53,Параметры!Z$59)</f>
        <v>0</v>
      </c>
      <c r="AA1237" s="185">
        <f>IF($B1237=1,IF(AA$2&lt;$B1240,AA1233,0),0)*CHOOSE($D1225,1,Параметры!AA$53,Параметры!AA$59)</f>
        <v>0</v>
      </c>
      <c r="AB1237" s="185">
        <f>IF($B1237=1,IF(AB$2&lt;$B1240,AB1233,0),0)*CHOOSE($D1225,1,Параметры!AB$53,Параметры!AB$59)</f>
        <v>0</v>
      </c>
      <c r="AC1237" s="185">
        <f>IF($B1237=1,IF(AC$2&lt;$B1240,AC1233,0),0)*CHOOSE($D1225,1,Параметры!AC$53,Параметры!AC$59)</f>
        <v>0</v>
      </c>
      <c r="AD1237" s="185">
        <f>IF($B1237=1,IF(AD$2&lt;$B1240,AD1233,0),0)*CHOOSE($D1225,1,Параметры!AD$53,Параметры!AD$59)</f>
        <v>0</v>
      </c>
      <c r="AE1237" s="185">
        <f>IF($B1237=1,IF(AE$2&lt;$B1240,AE1233,0),0)*CHOOSE($D1225,1,Параметры!AE$53,Параметры!AE$59)</f>
        <v>0</v>
      </c>
      <c r="AF1237" s="185">
        <f>IF($B1237=1,IF(AF$2&lt;$B1240,AF1233,0),0)*CHOOSE($D1225,1,Параметры!AF$53,Параметры!AF$59)</f>
        <v>0</v>
      </c>
      <c r="AG1237" s="185">
        <f>IF($B1237=1,IF(AG$2&lt;$B1240,AG1233,0),0)*CHOOSE($D1225,1,Параметры!AG$53,Параметры!AG$59)</f>
        <v>0</v>
      </c>
      <c r="AH1237" s="185">
        <f>IF($B1237=1,IF(AH$2&lt;$B1240,AH1233,0),0)*CHOOSE($D1225,1,Параметры!AH$53,Параметры!AH$59)</f>
        <v>0</v>
      </c>
      <c r="AI1237" s="185">
        <f>IF($B1237=1,IF(AI$2&lt;$B1240,AI1233,0),0)*CHOOSE($D1225,1,Параметры!AI$53,Параметры!AI$59)</f>
        <v>0</v>
      </c>
      <c r="AJ1237" s="185">
        <f>IF($B1237=1,IF(AJ$2&lt;$B1240,AJ1233,0),0)*CHOOSE($D1225,1,Параметры!AJ$53,Параметры!AJ$59)</f>
        <v>0</v>
      </c>
      <c r="AK1237" s="185">
        <f>IF($B1237=1,IF(AK$2&lt;$B1240,AK1233,0),0)*CHOOSE($D1225,1,Параметры!AK$53,Параметры!AK$59)</f>
        <v>0</v>
      </c>
      <c r="AL1237" s="185">
        <f>IF($B1237=1,IF(AL$2&lt;$B1240,AL1233,0),0)*CHOOSE($D1225,1,Параметры!AL$53,Параметры!AL$59)</f>
        <v>0</v>
      </c>
      <c r="AM1237" s="185">
        <f>IF($B1237=1,IF(AM$2&lt;$B1240,AM1233,0),0)*CHOOSE($D1225,1,Параметры!AM$53,Параметры!AM$59)</f>
        <v>0</v>
      </c>
      <c r="AN1237" s="185">
        <f>IF($B1237=1,IF(AN$2&lt;$B1240,AN1233,0),0)*CHOOSE($D1225,1,Параметры!AN$53,Параметры!AN$59)</f>
        <v>0</v>
      </c>
      <c r="AO1237" s="185">
        <f>IF($B1237=1,IF(AO$2&lt;$B1240,AO1233,0),0)*CHOOSE($D1225,1,Параметры!AO$53,Параметры!AO$59)</f>
        <v>0</v>
      </c>
      <c r="AP1237" s="185">
        <f>IF($B1237=1,IF(AP$2&lt;$B1240,AP1233,0),0)*CHOOSE($D1225,1,Параметры!AP$53,Параметры!AP$59)</f>
        <v>0</v>
      </c>
      <c r="AQ1237" s="185">
        <f>IF($B1237=1,IF(AQ$2&lt;$B1240,AQ1233,0),0)*CHOOSE($D1225,1,Параметры!AQ$53,Параметры!AQ$59)</f>
        <v>0</v>
      </c>
      <c r="AR1237" s="185">
        <f>IF($B1237=1,IF(AR$2&lt;$B1240,AR1233,0),0)*CHOOSE($D1225,1,Параметры!AR$53,Параметры!AR$59)</f>
        <v>0</v>
      </c>
      <c r="AS1237" s="185">
        <f>IF($B1237=1,IF(AS$2&lt;$B1240,AS1233,0),0)*CHOOSE($D1225,1,Параметры!AS$53,Параметры!AS$59)</f>
        <v>0</v>
      </c>
      <c r="AT1237" s="185">
        <f>IF($B1237=1,IF(AT$2&lt;$B1240,AT1233,0),0)*CHOOSE($D1225,1,Параметры!AT$53,Параметры!AT$59)</f>
        <v>0</v>
      </c>
      <c r="AU1237" s="185">
        <f>IF($B1237=1,IF(AU$2&lt;$B1240,AU1233,0),0)*CHOOSE($D1225,1,Параметры!AU$53,Параметры!AU$59)</f>
        <v>0</v>
      </c>
      <c r="AV1237" s="185">
        <f>IF($B1237=1,IF(AV$2&lt;$B1240,AV1233,0),0)*CHOOSE($D1225,1,Параметры!AV$53,Параметры!AV$59)</f>
        <v>0</v>
      </c>
      <c r="AW1237" s="185">
        <f>IF($B1237=1,IF(AW$2&lt;$B1240,AW1233,0),0)*CHOOSE($D1225,1,Параметры!AW$53,Параметры!AW$59)</f>
        <v>0</v>
      </c>
      <c r="AX1237" s="185">
        <f>IF($B1237=1,IF(AX$2&lt;$B1240,AX1233,0),0)*CHOOSE($D1225,1,Параметры!AX$53,Параметры!AX$59)</f>
        <v>0</v>
      </c>
      <c r="AY1237" s="185">
        <f>IF($B1237=1,IF(AY$2&lt;$B1240,AY1233,0),0)*CHOOSE($D1225,1,Параметры!AY$53,Параметры!AY$59)</f>
        <v>0</v>
      </c>
      <c r="AZ1237" s="185">
        <f>IF($B1237=1,IF(AZ$2&lt;$B1240,AZ1233,0),0)*CHOOSE($D1225,1,Параметры!AZ$53,Параметры!AZ$59)</f>
        <v>0</v>
      </c>
      <c r="BA1237" s="185">
        <f>IF($B1237=1,IF(BA$2&lt;$B1240,BA1233,0),0)*CHOOSE($D1225,1,Параметры!BA$53,Параметры!BA$59)</f>
        <v>0</v>
      </c>
      <c r="BB1237" s="185">
        <f>IF($B1237=1,IF(BB$2&lt;$B1240,BB1233,0),0)*CHOOSE($D1225,1,Параметры!BB$53,Параметры!BB$59)</f>
        <v>0</v>
      </c>
      <c r="BC1237" s="185"/>
      <c r="BD1237" s="193">
        <f>SUM(G1237:BC1237)</f>
        <v>0</v>
      </c>
    </row>
    <row r="1238" spans="1:56" hidden="1" outlineLevel="1" x14ac:dyDescent="0.3">
      <c r="A1238" s="184" t="str">
        <f ca="1">Language!A$1119</f>
        <v>незавершенные инвестиции</v>
      </c>
      <c r="B1238" s="212"/>
      <c r="C1238" s="163" t="str">
        <f ca="1">CurName1</f>
        <v>руб.</v>
      </c>
      <c r="D1238" s="174">
        <v>1</v>
      </c>
      <c r="E1238" s="170" t="s">
        <v>1557</v>
      </c>
      <c r="F1238" s="170" t="s">
        <v>741</v>
      </c>
      <c r="G1238" s="185">
        <f>SUM($G1237:G1237)-G1239</f>
        <v>0</v>
      </c>
      <c r="H1238" s="185">
        <f>SUM($G1237:H1237)-H1239</f>
        <v>0</v>
      </c>
      <c r="I1238" s="185">
        <f>SUM($G1237:I1237)-I1239</f>
        <v>0</v>
      </c>
      <c r="J1238" s="185">
        <f>SUM($G1237:J1237)-J1239</f>
        <v>0</v>
      </c>
      <c r="K1238" s="185">
        <f>SUM($G1237:K1237)-K1239</f>
        <v>0</v>
      </c>
      <c r="L1238" s="185">
        <f>SUM($G1237:L1237)-L1239</f>
        <v>0</v>
      </c>
      <c r="M1238" s="185">
        <f>SUM($G1237:M1237)-M1239</f>
        <v>0</v>
      </c>
      <c r="N1238" s="185">
        <f>SUM($G1237:N1237)-N1239</f>
        <v>0</v>
      </c>
      <c r="O1238" s="185">
        <f>SUM($G1237:O1237)-O1239</f>
        <v>0</v>
      </c>
      <c r="P1238" s="185">
        <f>SUM($G1237:P1237)-P1239</f>
        <v>0</v>
      </c>
      <c r="Q1238" s="185">
        <f>SUM($G1237:Q1237)-Q1239</f>
        <v>0</v>
      </c>
      <c r="R1238" s="185">
        <f>SUM($G1237:R1237)-R1239</f>
        <v>0</v>
      </c>
      <c r="S1238" s="185">
        <f>SUM($G1237:S1237)-S1239</f>
        <v>0</v>
      </c>
      <c r="T1238" s="185">
        <f>SUM($G1237:T1237)-T1239</f>
        <v>0</v>
      </c>
      <c r="U1238" s="185">
        <f>SUM($G1237:U1237)-U1239</f>
        <v>0</v>
      </c>
      <c r="V1238" s="185">
        <f>SUM($G1237:V1237)-V1239</f>
        <v>0</v>
      </c>
      <c r="W1238" s="185">
        <f>SUM($G1237:W1237)-W1239</f>
        <v>0</v>
      </c>
      <c r="X1238" s="185">
        <f>SUM($G1237:X1237)-X1239</f>
        <v>0</v>
      </c>
      <c r="Y1238" s="185">
        <f>SUM($G1237:Y1237)-Y1239</f>
        <v>0</v>
      </c>
      <c r="Z1238" s="185">
        <f>SUM($G1237:Z1237)-Z1239</f>
        <v>0</v>
      </c>
      <c r="AA1238" s="185">
        <f>SUM($G1237:AA1237)-AA1239</f>
        <v>0</v>
      </c>
      <c r="AB1238" s="185">
        <f>SUM($G1237:AB1237)-AB1239</f>
        <v>0</v>
      </c>
      <c r="AC1238" s="185">
        <f>SUM($G1237:AC1237)-AC1239</f>
        <v>0</v>
      </c>
      <c r="AD1238" s="185">
        <f>SUM($G1237:AD1237)-AD1239</f>
        <v>0</v>
      </c>
      <c r="AE1238" s="185">
        <f>SUM($G1237:AE1237)-AE1239</f>
        <v>0</v>
      </c>
      <c r="AF1238" s="185">
        <f>SUM($G1237:AF1237)-AF1239</f>
        <v>0</v>
      </c>
      <c r="AG1238" s="185">
        <f>SUM($G1237:AG1237)-AG1239</f>
        <v>0</v>
      </c>
      <c r="AH1238" s="185">
        <f>SUM($G1237:AH1237)-AH1239</f>
        <v>0</v>
      </c>
      <c r="AI1238" s="185">
        <f>SUM($G1237:AI1237)-AI1239</f>
        <v>0</v>
      </c>
      <c r="AJ1238" s="185">
        <f>SUM($G1237:AJ1237)-AJ1239</f>
        <v>0</v>
      </c>
      <c r="AK1238" s="185">
        <f>SUM($G1237:AK1237)-AK1239</f>
        <v>0</v>
      </c>
      <c r="AL1238" s="185">
        <f>SUM($G1237:AL1237)-AL1239</f>
        <v>0</v>
      </c>
      <c r="AM1238" s="185">
        <f>SUM($G1237:AM1237)-AM1239</f>
        <v>0</v>
      </c>
      <c r="AN1238" s="185">
        <f>SUM($G1237:AN1237)-AN1239</f>
        <v>0</v>
      </c>
      <c r="AO1238" s="185">
        <f>SUM($G1237:AO1237)-AO1239</f>
        <v>0</v>
      </c>
      <c r="AP1238" s="185">
        <f>SUM($G1237:AP1237)-AP1239</f>
        <v>0</v>
      </c>
      <c r="AQ1238" s="185">
        <f>SUM($G1237:AQ1237)-AQ1239</f>
        <v>0</v>
      </c>
      <c r="AR1238" s="185">
        <f>SUM($G1237:AR1237)-AR1239</f>
        <v>0</v>
      </c>
      <c r="AS1238" s="185">
        <f>SUM($G1237:AS1237)-AS1239</f>
        <v>0</v>
      </c>
      <c r="AT1238" s="185">
        <f>SUM($G1237:AT1237)-AT1239</f>
        <v>0</v>
      </c>
      <c r="AU1238" s="185">
        <f>SUM($G1237:AU1237)-AU1239</f>
        <v>0</v>
      </c>
      <c r="AV1238" s="185">
        <f>SUM($G1237:AV1237)-AV1239</f>
        <v>0</v>
      </c>
      <c r="AW1238" s="185">
        <f>SUM($G1237:AW1237)-AW1239</f>
        <v>0</v>
      </c>
      <c r="AX1238" s="185">
        <f>SUM($G1237:AX1237)-AX1239</f>
        <v>0</v>
      </c>
      <c r="AY1238" s="185">
        <f>SUM($G1237:AY1237)-AY1239</f>
        <v>0</v>
      </c>
      <c r="AZ1238" s="185">
        <f>SUM($G1237:AZ1237)-AZ1239</f>
        <v>0</v>
      </c>
      <c r="BA1238" s="185">
        <f>SUM($G1237:BA1237)-BA1239</f>
        <v>0</v>
      </c>
      <c r="BB1238" s="185">
        <f>SUM($G1237:BB1237)-BB1239</f>
        <v>0</v>
      </c>
      <c r="BC1238" s="185"/>
      <c r="BD1238" s="193"/>
    </row>
    <row r="1239" spans="1:56" hidden="1" outlineLevel="1" x14ac:dyDescent="0.3">
      <c r="A1239" s="184" t="str">
        <f ca="1">Language!A$1120</f>
        <v>проценты в стоимости основных средств</v>
      </c>
      <c r="B1239" s="212"/>
      <c r="C1239" s="163" t="str">
        <f ca="1">CurName1</f>
        <v>руб.</v>
      </c>
      <c r="F1239" s="170" t="s">
        <v>741</v>
      </c>
      <c r="G1239" s="185">
        <f>IF($B1237=1,IF(G$2&gt;=$B1240,SUM($F1237:F1237),0),0)</f>
        <v>0</v>
      </c>
      <c r="H1239" s="185">
        <f>IF($B1237=1,IF(H$2&gt;=$B1240,SUM($F1237:G1237),0),0)</f>
        <v>0</v>
      </c>
      <c r="I1239" s="185">
        <f>IF($B1237=1,IF(I$2&gt;=$B1240,SUM($F1237:H1237),0),0)</f>
        <v>0</v>
      </c>
      <c r="J1239" s="185">
        <f>IF($B1237=1,IF(J$2&gt;=$B1240,SUM($F1237:I1237),0),0)</f>
        <v>0</v>
      </c>
      <c r="K1239" s="185">
        <f>IF($B1237=1,IF(K$2&gt;=$B1240,SUM($F1237:J1237),0),0)</f>
        <v>0</v>
      </c>
      <c r="L1239" s="185">
        <f>IF($B1237=1,IF(L$2&gt;=$B1240,SUM($F1237:K1237),0),0)</f>
        <v>0</v>
      </c>
      <c r="M1239" s="185">
        <f>IF($B1237=1,IF(M$2&gt;=$B1240,SUM($F1237:L1237),0),0)</f>
        <v>0</v>
      </c>
      <c r="N1239" s="185">
        <f>IF($B1237=1,IF(N$2&gt;=$B1240,SUM($F1237:M1237),0),0)</f>
        <v>0</v>
      </c>
      <c r="O1239" s="185">
        <f>IF($B1237=1,IF(O$2&gt;=$B1240,SUM($F1237:N1237),0),0)</f>
        <v>0</v>
      </c>
      <c r="P1239" s="185">
        <f>IF($B1237=1,IF(P$2&gt;=$B1240,SUM($F1237:O1237),0),0)</f>
        <v>0</v>
      </c>
      <c r="Q1239" s="185">
        <f>IF($B1237=1,IF(Q$2&gt;=$B1240,SUM($F1237:P1237),0),0)</f>
        <v>0</v>
      </c>
      <c r="R1239" s="185">
        <f>IF($B1237=1,IF(R$2&gt;=$B1240,SUM($F1237:Q1237),0),0)</f>
        <v>0</v>
      </c>
      <c r="S1239" s="185">
        <f>IF($B1237=1,IF(S$2&gt;=$B1240,SUM($F1237:R1237),0),0)</f>
        <v>0</v>
      </c>
      <c r="T1239" s="185">
        <f>IF($B1237=1,IF(T$2&gt;=$B1240,SUM($F1237:S1237),0),0)</f>
        <v>0</v>
      </c>
      <c r="U1239" s="185">
        <f>IF($B1237=1,IF(U$2&gt;=$B1240,SUM($F1237:T1237),0),0)</f>
        <v>0</v>
      </c>
      <c r="V1239" s="185">
        <f>IF($B1237=1,IF(V$2&gt;=$B1240,SUM($F1237:U1237),0),0)</f>
        <v>0</v>
      </c>
      <c r="W1239" s="185">
        <f>IF($B1237=1,IF(W$2&gt;=$B1240,SUM($F1237:V1237),0),0)</f>
        <v>0</v>
      </c>
      <c r="X1239" s="185">
        <f>IF($B1237=1,IF(X$2&gt;=$B1240,SUM($F1237:W1237),0),0)</f>
        <v>0</v>
      </c>
      <c r="Y1239" s="185">
        <f>IF($B1237=1,IF(Y$2&gt;=$B1240,SUM($F1237:X1237),0),0)</f>
        <v>0</v>
      </c>
      <c r="Z1239" s="185">
        <f>IF($B1237=1,IF(Z$2&gt;=$B1240,SUM($F1237:Y1237),0),0)</f>
        <v>0</v>
      </c>
      <c r="AA1239" s="185">
        <f>IF($B1237=1,IF(AA$2&gt;=$B1240,SUM($F1237:Z1237),0),0)</f>
        <v>0</v>
      </c>
      <c r="AB1239" s="185">
        <f>IF($B1237=1,IF(AB$2&gt;=$B1240,SUM($F1237:AA1237),0),0)</f>
        <v>0</v>
      </c>
      <c r="AC1239" s="185">
        <f>IF($B1237=1,IF(AC$2&gt;=$B1240,SUM($F1237:AB1237),0),0)</f>
        <v>0</v>
      </c>
      <c r="AD1239" s="185">
        <f>IF($B1237=1,IF(AD$2&gt;=$B1240,SUM($F1237:AC1237),0),0)</f>
        <v>0</v>
      </c>
      <c r="AE1239" s="185">
        <f>IF($B1237=1,IF(AE$2&gt;=$B1240,SUM($F1237:AD1237),0),0)</f>
        <v>0</v>
      </c>
      <c r="AF1239" s="185">
        <f>IF($B1237=1,IF(AF$2&gt;=$B1240,SUM($F1237:AE1237),0),0)</f>
        <v>0</v>
      </c>
      <c r="AG1239" s="185">
        <f>IF($B1237=1,IF(AG$2&gt;=$B1240,SUM($F1237:AF1237),0),0)</f>
        <v>0</v>
      </c>
      <c r="AH1239" s="185">
        <f>IF($B1237=1,IF(AH$2&gt;=$B1240,SUM($F1237:AG1237),0),0)</f>
        <v>0</v>
      </c>
      <c r="AI1239" s="185">
        <f>IF($B1237=1,IF(AI$2&gt;=$B1240,SUM($F1237:AH1237),0),0)</f>
        <v>0</v>
      </c>
      <c r="AJ1239" s="185">
        <f>IF($B1237=1,IF(AJ$2&gt;=$B1240,SUM($F1237:AI1237),0),0)</f>
        <v>0</v>
      </c>
      <c r="AK1239" s="185">
        <f>IF($B1237=1,IF(AK$2&gt;=$B1240,SUM($F1237:AJ1237),0),0)</f>
        <v>0</v>
      </c>
      <c r="AL1239" s="185">
        <f>IF($B1237=1,IF(AL$2&gt;=$B1240,SUM($F1237:AK1237),0),0)</f>
        <v>0</v>
      </c>
      <c r="AM1239" s="185">
        <f>IF($B1237=1,IF(AM$2&gt;=$B1240,SUM($F1237:AL1237),0),0)</f>
        <v>0</v>
      </c>
      <c r="AN1239" s="185">
        <f>IF($B1237=1,IF(AN$2&gt;=$B1240,SUM($F1237:AM1237),0),0)</f>
        <v>0</v>
      </c>
      <c r="AO1239" s="185">
        <f>IF($B1237=1,IF(AO$2&gt;=$B1240,SUM($F1237:AN1237),0),0)</f>
        <v>0</v>
      </c>
      <c r="AP1239" s="185">
        <f>IF($B1237=1,IF(AP$2&gt;=$B1240,SUM($F1237:AO1237),0),0)</f>
        <v>0</v>
      </c>
      <c r="AQ1239" s="185">
        <f>IF($B1237=1,IF(AQ$2&gt;=$B1240,SUM($F1237:AP1237),0),0)</f>
        <v>0</v>
      </c>
      <c r="AR1239" s="185">
        <f>IF($B1237=1,IF(AR$2&gt;=$B1240,SUM($F1237:AQ1237),0),0)</f>
        <v>0</v>
      </c>
      <c r="AS1239" s="185">
        <f>IF($B1237=1,IF(AS$2&gt;=$B1240,SUM($F1237:AR1237),0),0)</f>
        <v>0</v>
      </c>
      <c r="AT1239" s="185">
        <f>IF($B1237=1,IF(AT$2&gt;=$B1240,SUM($F1237:AS1237),0),0)</f>
        <v>0</v>
      </c>
      <c r="AU1239" s="185">
        <f>IF($B1237=1,IF(AU$2&gt;=$B1240,SUM($F1237:AT1237),0),0)</f>
        <v>0</v>
      </c>
      <c r="AV1239" s="185">
        <f>IF($B1237=1,IF(AV$2&gt;=$B1240,SUM($F1237:AU1237),0),0)</f>
        <v>0</v>
      </c>
      <c r="AW1239" s="185">
        <f>IF($B1237=1,IF(AW$2&gt;=$B1240,SUM($F1237:AV1237),0),0)</f>
        <v>0</v>
      </c>
      <c r="AX1239" s="185">
        <f>IF($B1237=1,IF(AX$2&gt;=$B1240,SUM($F1237:AW1237),0),0)</f>
        <v>0</v>
      </c>
      <c r="AY1239" s="185">
        <f>IF($B1237=1,IF(AY$2&gt;=$B1240,SUM($F1237:AX1237),0),0)</f>
        <v>0</v>
      </c>
      <c r="AZ1239" s="185">
        <f>IF($B1237=1,IF(AZ$2&gt;=$B1240,SUM($F1237:AY1237),0),0)</f>
        <v>0</v>
      </c>
      <c r="BA1239" s="185">
        <f>IF($B1237=1,IF(BA$2&gt;=$B1240,SUM($F1237:AZ1237),0),0)</f>
        <v>0</v>
      </c>
      <c r="BB1239" s="185">
        <f>IF($B1237=1,IF(BB$2&gt;=$B1240,SUM($F1237:BA1237),0),0)</f>
        <v>0</v>
      </c>
      <c r="BC1239" s="185"/>
      <c r="BD1239" s="193"/>
    </row>
    <row r="1240" spans="1:56" hidden="1" outlineLevel="1" x14ac:dyDescent="0.3">
      <c r="A1240" s="184" t="str">
        <f ca="1">Language!A$1121</f>
        <v>период ввода основных средств</v>
      </c>
      <c r="B1240" s="288">
        <f>Prj_Invest+1</f>
        <v>7</v>
      </c>
      <c r="C1240" s="163" t="str">
        <f ca="1">Language!$A$1480</f>
        <v>период</v>
      </c>
      <c r="F1240" s="170" t="s">
        <v>2347</v>
      </c>
      <c r="G1240" s="185"/>
      <c r="H1240" s="185"/>
      <c r="I1240" s="185"/>
      <c r="J1240" s="185"/>
      <c r="K1240" s="185"/>
      <c r="L1240" s="185"/>
      <c r="M1240" s="185"/>
      <c r="N1240" s="185"/>
      <c r="O1240" s="185"/>
      <c r="P1240" s="185"/>
      <c r="Q1240" s="185"/>
      <c r="R1240" s="185"/>
      <c r="S1240" s="185"/>
      <c r="T1240" s="185"/>
      <c r="U1240" s="185"/>
      <c r="V1240" s="185"/>
      <c r="W1240" s="185"/>
      <c r="X1240" s="185"/>
      <c r="Y1240" s="185"/>
      <c r="Z1240" s="185"/>
      <c r="AA1240" s="185"/>
      <c r="AB1240" s="185"/>
      <c r="AC1240" s="185"/>
      <c r="AD1240" s="185"/>
      <c r="AE1240" s="185"/>
      <c r="AF1240" s="185"/>
      <c r="AG1240" s="185"/>
      <c r="AH1240" s="185"/>
      <c r="AI1240" s="185"/>
      <c r="AJ1240" s="185"/>
      <c r="AK1240" s="185"/>
      <c r="AL1240" s="185"/>
      <c r="AM1240" s="185"/>
      <c r="AN1240" s="185"/>
      <c r="AO1240" s="185"/>
      <c r="AP1240" s="185"/>
      <c r="AQ1240" s="185"/>
      <c r="AR1240" s="185"/>
      <c r="AS1240" s="185"/>
      <c r="AT1240" s="185"/>
      <c r="AU1240" s="185"/>
      <c r="AV1240" s="185"/>
      <c r="AW1240" s="185"/>
      <c r="AX1240" s="185"/>
      <c r="AY1240" s="185"/>
      <c r="AZ1240" s="185"/>
      <c r="BA1240" s="185"/>
      <c r="BB1240" s="185"/>
      <c r="BC1240" s="185"/>
      <c r="BD1240" s="193"/>
    </row>
    <row r="1241" spans="1:56" hidden="1" outlineLevel="1" x14ac:dyDescent="0.3">
      <c r="A1241" s="184" t="str">
        <f ca="1">Language!A$1122</f>
        <v>срок амортизации основных средств</v>
      </c>
      <c r="B1241" s="288">
        <v>10</v>
      </c>
      <c r="C1241" s="163" t="str">
        <f ca="1">Language!A$48</f>
        <v>лет</v>
      </c>
      <c r="F1241" s="170" t="s">
        <v>2347</v>
      </c>
      <c r="G1241" s="185"/>
      <c r="H1241" s="185"/>
      <c r="I1241" s="185"/>
      <c r="J1241" s="185"/>
      <c r="K1241" s="185"/>
      <c r="L1241" s="185"/>
      <c r="M1241" s="185"/>
      <c r="N1241" s="185"/>
      <c r="O1241" s="185"/>
      <c r="P1241" s="185"/>
      <c r="Q1241" s="185"/>
      <c r="R1241" s="185"/>
      <c r="S1241" s="185"/>
      <c r="T1241" s="185"/>
      <c r="U1241" s="185"/>
      <c r="V1241" s="185"/>
      <c r="W1241" s="185"/>
      <c r="X1241" s="185"/>
      <c r="Y1241" s="185"/>
      <c r="Z1241" s="185"/>
      <c r="AA1241" s="185"/>
      <c r="AB1241" s="185"/>
      <c r="AC1241" s="185"/>
      <c r="AD1241" s="185"/>
      <c r="AE1241" s="185"/>
      <c r="AF1241" s="185"/>
      <c r="AG1241" s="185"/>
      <c r="AH1241" s="185"/>
      <c r="AI1241" s="185"/>
      <c r="AJ1241" s="185"/>
      <c r="AK1241" s="185"/>
      <c r="AL1241" s="185"/>
      <c r="AM1241" s="185"/>
      <c r="AN1241" s="185"/>
      <c r="AO1241" s="185"/>
      <c r="AP1241" s="185"/>
      <c r="AQ1241" s="185"/>
      <c r="AR1241" s="185"/>
      <c r="AS1241" s="185"/>
      <c r="AT1241" s="185"/>
      <c r="AU1241" s="185"/>
      <c r="AV1241" s="185"/>
      <c r="AW1241" s="185"/>
      <c r="AX1241" s="185"/>
      <c r="AY1241" s="185"/>
      <c r="AZ1241" s="185"/>
      <c r="BA1241" s="185"/>
      <c r="BB1241" s="185"/>
      <c r="BC1241" s="185"/>
      <c r="BD1241" s="193"/>
    </row>
    <row r="1242" spans="1:56" hidden="1" outlineLevel="1" x14ac:dyDescent="0.3">
      <c r="A1242" s="184" t="str">
        <f ca="1">Language!A$1123</f>
        <v>списание процентов на затраты</v>
      </c>
      <c r="B1242" s="212"/>
      <c r="C1242" s="163" t="str">
        <f ca="1">CurName1</f>
        <v>руб.</v>
      </c>
      <c r="D1242" s="174">
        <v>1</v>
      </c>
      <c r="E1242" s="170" t="s">
        <v>1042</v>
      </c>
      <c r="F1242" s="170" t="s">
        <v>740</v>
      </c>
      <c r="G1242" s="185">
        <f>IF($B1241=0,0,MIN(G1239/$B1241/12*Параметры!G$31,IF(G$2&gt;1,F1243+G1239-F1237,G1239)))</f>
        <v>0</v>
      </c>
      <c r="H1242" s="185">
        <f>IF($B1241=0,0,MIN(H1239/$B1241/12*Параметры!H$31,IF(H$2&gt;1,G1243+H1239-G1239,H1239)))</f>
        <v>0</v>
      </c>
      <c r="I1242" s="185">
        <f>IF($B1241=0,0,MIN(I1239/$B1241/12*Параметры!I$31,IF(I$2&gt;1,H1243+I1239-H1239,I1239)))</f>
        <v>0</v>
      </c>
      <c r="J1242" s="185">
        <f>IF($B1241=0,0,MIN(J1239/$B1241/12*Параметры!J$31,IF(J$2&gt;1,I1243+J1239-I1239,J1239)))</f>
        <v>0</v>
      </c>
      <c r="K1242" s="185">
        <f>IF($B1241=0,0,MIN(K1239/$B1241/12*Параметры!K$31,IF(K$2&gt;1,J1243+K1239-J1239,K1239)))</f>
        <v>0</v>
      </c>
      <c r="L1242" s="185">
        <f>IF($B1241=0,0,MIN(L1239/$B1241/12*Параметры!L$31,IF(L$2&gt;1,K1243+L1239-K1239,L1239)))</f>
        <v>0</v>
      </c>
      <c r="M1242" s="185">
        <f>IF($B1241=0,0,MIN(M1239/$B1241/12*Параметры!M$31,IF(M$2&gt;1,L1243+M1239-L1239,M1239)))</f>
        <v>0</v>
      </c>
      <c r="N1242" s="185">
        <f>IF($B1241=0,0,MIN(N1239/$B1241/12*Параметры!N$31,IF(N$2&gt;1,M1243+N1239-M1239,N1239)))</f>
        <v>0</v>
      </c>
      <c r="O1242" s="185">
        <f>IF($B1241=0,0,MIN(O1239/$B1241/12*Параметры!O$31,IF(O$2&gt;1,N1243+O1239-N1239,O1239)))</f>
        <v>0</v>
      </c>
      <c r="P1242" s="185">
        <f>IF($B1241=0,0,MIN(P1239/$B1241/12*Параметры!P$31,IF(P$2&gt;1,O1243+P1239-O1239,P1239)))</f>
        <v>0</v>
      </c>
      <c r="Q1242" s="185">
        <f>IF($B1241=0,0,MIN(Q1239/$B1241/12*Параметры!Q$31,IF(Q$2&gt;1,P1243+Q1239-P1239,Q1239)))</f>
        <v>0</v>
      </c>
      <c r="R1242" s="185">
        <f>IF($B1241=0,0,MIN(R1239/$B1241/12*Параметры!R$31,IF(R$2&gt;1,Q1243+R1239-Q1239,R1239)))</f>
        <v>0</v>
      </c>
      <c r="S1242" s="185">
        <f>IF($B1241=0,0,MIN(S1239/$B1241/12*Параметры!S$31,IF(S$2&gt;1,R1243+S1239-R1239,S1239)))</f>
        <v>0</v>
      </c>
      <c r="T1242" s="185">
        <f>IF($B1241=0,0,MIN(T1239/$B1241/12*Параметры!T$31,IF(T$2&gt;1,S1243+T1239-S1239,T1239)))</f>
        <v>0</v>
      </c>
      <c r="U1242" s="185">
        <f>IF($B1241=0,0,MIN(U1239/$B1241/12*Параметры!U$31,IF(U$2&gt;1,T1243+U1239-T1239,U1239)))</f>
        <v>0</v>
      </c>
      <c r="V1242" s="185">
        <f>IF($B1241=0,0,MIN(V1239/$B1241/12*Параметры!V$31,IF(V$2&gt;1,U1243+V1239-U1239,V1239)))</f>
        <v>0</v>
      </c>
      <c r="W1242" s="185">
        <f>IF($B1241=0,0,MIN(W1239/$B1241/12*Параметры!W$31,IF(W$2&gt;1,V1243+W1239-V1239,W1239)))</f>
        <v>0</v>
      </c>
      <c r="X1242" s="185">
        <f>IF($B1241=0,0,MIN(X1239/$B1241/12*Параметры!X$31,IF(X$2&gt;1,W1243+X1239-W1239,X1239)))</f>
        <v>0</v>
      </c>
      <c r="Y1242" s="185">
        <f>IF($B1241=0,0,MIN(Y1239/$B1241/12*Параметры!Y$31,IF(Y$2&gt;1,X1243+Y1239-X1239,Y1239)))</f>
        <v>0</v>
      </c>
      <c r="Z1242" s="185">
        <f>IF($B1241=0,0,MIN(Z1239/$B1241/12*Параметры!Z$31,IF(Z$2&gt;1,Y1243+Z1239-Y1239,Z1239)))</f>
        <v>0</v>
      </c>
      <c r="AA1242" s="185">
        <f>IF($B1241=0,0,MIN(AA1239/$B1241/12*Параметры!AA$31,IF(AA$2&gt;1,Z1243+AA1239-Z1239,AA1239)))</f>
        <v>0</v>
      </c>
      <c r="AB1242" s="185">
        <f>IF($B1241=0,0,MIN(AB1239/$B1241/12*Параметры!AB$31,IF(AB$2&gt;1,AA1243+AB1239-AA1239,AB1239)))</f>
        <v>0</v>
      </c>
      <c r="AC1242" s="185">
        <f>IF($B1241=0,0,MIN(AC1239/$B1241/12*Параметры!AC$31,IF(AC$2&gt;1,AB1243+AC1239-AB1239,AC1239)))</f>
        <v>0</v>
      </c>
      <c r="AD1242" s="185">
        <f>IF($B1241=0,0,MIN(AD1239/$B1241/12*Параметры!AD$31,IF(AD$2&gt;1,AC1243+AD1239-AC1239,AD1239)))</f>
        <v>0</v>
      </c>
      <c r="AE1242" s="185">
        <f>IF($B1241=0,0,MIN(AE1239/$B1241/12*Параметры!AE$31,IF(AE$2&gt;1,AD1243+AE1239-AD1239,AE1239)))</f>
        <v>0</v>
      </c>
      <c r="AF1242" s="185">
        <f>IF($B1241=0,0,MIN(AF1239/$B1241/12*Параметры!AF$31,IF(AF$2&gt;1,AE1243+AF1239-AE1239,AF1239)))</f>
        <v>0</v>
      </c>
      <c r="AG1242" s="185">
        <f>IF($B1241=0,0,MIN(AG1239/$B1241/12*Параметры!AG$31,IF(AG$2&gt;1,AF1243+AG1239-AF1239,AG1239)))</f>
        <v>0</v>
      </c>
      <c r="AH1242" s="185">
        <f>IF($B1241=0,0,MIN(AH1239/$B1241/12*Параметры!AH$31,IF(AH$2&gt;1,AG1243+AH1239-AG1239,AH1239)))</f>
        <v>0</v>
      </c>
      <c r="AI1242" s="185">
        <f>IF($B1241=0,0,MIN(AI1239/$B1241/12*Параметры!AI$31,IF(AI$2&gt;1,AH1243+AI1239-AH1239,AI1239)))</f>
        <v>0</v>
      </c>
      <c r="AJ1242" s="185">
        <f>IF($B1241=0,0,MIN(AJ1239/$B1241/12*Параметры!AJ$31,IF(AJ$2&gt;1,AI1243+AJ1239-AI1239,AJ1239)))</f>
        <v>0</v>
      </c>
      <c r="AK1242" s="185">
        <f>IF($B1241=0,0,MIN(AK1239/$B1241/12*Параметры!AK$31,IF(AK$2&gt;1,AJ1243+AK1239-AJ1239,AK1239)))</f>
        <v>0</v>
      </c>
      <c r="AL1242" s="185">
        <f>IF($B1241=0,0,MIN(AL1239/$B1241/12*Параметры!AL$31,IF(AL$2&gt;1,AK1243+AL1239-AK1239,AL1239)))</f>
        <v>0</v>
      </c>
      <c r="AM1242" s="185">
        <f>IF($B1241=0,0,MIN(AM1239/$B1241/12*Параметры!AM$31,IF(AM$2&gt;1,AL1243+AM1239-AL1239,AM1239)))</f>
        <v>0</v>
      </c>
      <c r="AN1242" s="185">
        <f>IF($B1241=0,0,MIN(AN1239/$B1241/12*Параметры!AN$31,IF(AN$2&gt;1,AM1243+AN1239-AM1239,AN1239)))</f>
        <v>0</v>
      </c>
      <c r="AO1242" s="185">
        <f>IF($B1241=0,0,MIN(AO1239/$B1241/12*Параметры!AO$31,IF(AO$2&gt;1,AN1243+AO1239-AN1239,AO1239)))</f>
        <v>0</v>
      </c>
      <c r="AP1242" s="185">
        <f>IF($B1241=0,0,MIN(AP1239/$B1241/12*Параметры!AP$31,IF(AP$2&gt;1,AO1243+AP1239-AO1239,AP1239)))</f>
        <v>0</v>
      </c>
      <c r="AQ1242" s="185">
        <f>IF($B1241=0,0,MIN(AQ1239/$B1241/12*Параметры!AQ$31,IF(AQ$2&gt;1,AP1243+AQ1239-AP1239,AQ1239)))</f>
        <v>0</v>
      </c>
      <c r="AR1242" s="185">
        <f>IF($B1241=0,0,MIN(AR1239/$B1241/12*Параметры!AR$31,IF(AR$2&gt;1,AQ1243+AR1239-AQ1239,AR1239)))</f>
        <v>0</v>
      </c>
      <c r="AS1242" s="185">
        <f>IF($B1241=0,0,MIN(AS1239/$B1241/12*Параметры!AS$31,IF(AS$2&gt;1,AR1243+AS1239-AR1239,AS1239)))</f>
        <v>0</v>
      </c>
      <c r="AT1242" s="185">
        <f>IF($B1241=0,0,MIN(AT1239/$B1241/12*Параметры!AT$31,IF(AT$2&gt;1,AS1243+AT1239-AS1239,AT1239)))</f>
        <v>0</v>
      </c>
      <c r="AU1242" s="185">
        <f>IF($B1241=0,0,MIN(AU1239/$B1241/12*Параметры!AU$31,IF(AU$2&gt;1,AT1243+AU1239-AT1239,AU1239)))</f>
        <v>0</v>
      </c>
      <c r="AV1242" s="185">
        <f>IF($B1241=0,0,MIN(AV1239/$B1241/12*Параметры!AV$31,IF(AV$2&gt;1,AU1243+AV1239-AU1239,AV1239)))</f>
        <v>0</v>
      </c>
      <c r="AW1242" s="185">
        <f>IF($B1241=0,0,MIN(AW1239/$B1241/12*Параметры!AW$31,IF(AW$2&gt;1,AV1243+AW1239-AV1239,AW1239)))</f>
        <v>0</v>
      </c>
      <c r="AX1242" s="185">
        <f>IF($B1241=0,0,MIN(AX1239/$B1241/12*Параметры!AX$31,IF(AX$2&gt;1,AW1243+AX1239-AW1239,AX1239)))</f>
        <v>0</v>
      </c>
      <c r="AY1242" s="185">
        <f>IF($B1241=0,0,MIN(AY1239/$B1241/12*Параметры!AY$31,IF(AY$2&gt;1,AX1243+AY1239-AX1239,AY1239)))</f>
        <v>0</v>
      </c>
      <c r="AZ1242" s="185">
        <f>IF($B1241=0,0,MIN(AZ1239/$B1241/12*Параметры!AZ$31,IF(AZ$2&gt;1,AY1243+AZ1239-AY1239,AZ1239)))</f>
        <v>0</v>
      </c>
      <c r="BA1242" s="185">
        <f>IF($B1241=0,0,MIN(BA1239/$B1241/12*Параметры!BA$31,IF(BA$2&gt;1,AZ1243+BA1239-AZ1239,BA1239)))</f>
        <v>0</v>
      </c>
      <c r="BB1242" s="185">
        <f>IF($B1241=0,0,MIN(BB1239/$B1241/12*Параметры!BB$31,IF(BB$2&gt;1,BA1243+BB1239-BA1239,BB1239)))</f>
        <v>0</v>
      </c>
      <c r="BC1242" s="185"/>
      <c r="BD1242" s="193">
        <f>SUM(G1242:BC1242)</f>
        <v>0</v>
      </c>
    </row>
    <row r="1243" spans="1:56" hidden="1" outlineLevel="1" x14ac:dyDescent="0.3">
      <c r="A1243" s="184" t="str">
        <f ca="1">Language!A$1124</f>
        <v>балансовая стоимость</v>
      </c>
      <c r="B1243" s="212"/>
      <c r="C1243" s="163" t="str">
        <f ca="1">CurName1</f>
        <v>руб.</v>
      </c>
      <c r="D1243" s="174">
        <v>1</v>
      </c>
      <c r="E1243" s="170" t="s">
        <v>1040</v>
      </c>
      <c r="F1243" s="170" t="s">
        <v>741</v>
      </c>
      <c r="G1243" s="185">
        <f>IF(G$2&gt;=$B1240,G1239-SUM($G1242:G1242),0)</f>
        <v>0</v>
      </c>
      <c r="H1243" s="185">
        <f>IF(H$2&gt;=$B1240,H1239-SUM($G1242:H1242),0)</f>
        <v>0</v>
      </c>
      <c r="I1243" s="185">
        <f>IF(I$2&gt;=$B1240,I1239-SUM($G1242:I1242),0)</f>
        <v>0</v>
      </c>
      <c r="J1243" s="185">
        <f>IF(J$2&gt;=$B1240,J1239-SUM($G1242:J1242),0)</f>
        <v>0</v>
      </c>
      <c r="K1243" s="185">
        <f>IF(K$2&gt;=$B1240,K1239-SUM($G1242:K1242),0)</f>
        <v>0</v>
      </c>
      <c r="L1243" s="185">
        <f>IF(L$2&gt;=$B1240,L1239-SUM($G1242:L1242),0)</f>
        <v>0</v>
      </c>
      <c r="M1243" s="185">
        <f>IF(M$2&gt;=$B1240,M1239-SUM($G1242:M1242),0)</f>
        <v>0</v>
      </c>
      <c r="N1243" s="185">
        <f>IF(N$2&gt;=$B1240,N1239-SUM($G1242:N1242),0)</f>
        <v>0</v>
      </c>
      <c r="O1243" s="185">
        <f>IF(O$2&gt;=$B1240,O1239-SUM($G1242:O1242),0)</f>
        <v>0</v>
      </c>
      <c r="P1243" s="185">
        <f>IF(P$2&gt;=$B1240,P1239-SUM($G1242:P1242),0)</f>
        <v>0</v>
      </c>
      <c r="Q1243" s="185">
        <f>IF(Q$2&gt;=$B1240,Q1239-SUM($G1242:Q1242),0)</f>
        <v>0</v>
      </c>
      <c r="R1243" s="185">
        <f>IF(R$2&gt;=$B1240,R1239-SUM($G1242:R1242),0)</f>
        <v>0</v>
      </c>
      <c r="S1243" s="185">
        <f>IF(S$2&gt;=$B1240,S1239-SUM($G1242:S1242),0)</f>
        <v>0</v>
      </c>
      <c r="T1243" s="185">
        <f>IF(T$2&gt;=$B1240,T1239-SUM($G1242:T1242),0)</f>
        <v>0</v>
      </c>
      <c r="U1243" s="185">
        <f>IF(U$2&gt;=$B1240,U1239-SUM($G1242:U1242),0)</f>
        <v>0</v>
      </c>
      <c r="V1243" s="185">
        <f>IF(V$2&gt;=$B1240,V1239-SUM($G1242:V1242),0)</f>
        <v>0</v>
      </c>
      <c r="W1243" s="185">
        <f>IF(W$2&gt;=$B1240,W1239-SUM($G1242:W1242),0)</f>
        <v>0</v>
      </c>
      <c r="X1243" s="185">
        <f>IF(X$2&gt;=$B1240,X1239-SUM($G1242:X1242),0)</f>
        <v>0</v>
      </c>
      <c r="Y1243" s="185">
        <f>IF(Y$2&gt;=$B1240,Y1239-SUM($G1242:Y1242),0)</f>
        <v>0</v>
      </c>
      <c r="Z1243" s="185">
        <f>IF(Z$2&gt;=$B1240,Z1239-SUM($G1242:Z1242),0)</f>
        <v>0</v>
      </c>
      <c r="AA1243" s="185">
        <f>IF(AA$2&gt;=$B1240,AA1239-SUM($G1242:AA1242),0)</f>
        <v>0</v>
      </c>
      <c r="AB1243" s="185">
        <f>IF(AB$2&gt;=$B1240,AB1239-SUM($G1242:AB1242),0)</f>
        <v>0</v>
      </c>
      <c r="AC1243" s="185">
        <f>IF(AC$2&gt;=$B1240,AC1239-SUM($G1242:AC1242),0)</f>
        <v>0</v>
      </c>
      <c r="AD1243" s="185">
        <f>IF(AD$2&gt;=$B1240,AD1239-SUM($G1242:AD1242),0)</f>
        <v>0</v>
      </c>
      <c r="AE1243" s="185">
        <f>IF(AE$2&gt;=$B1240,AE1239-SUM($G1242:AE1242),0)</f>
        <v>0</v>
      </c>
      <c r="AF1243" s="185">
        <f>IF(AF$2&gt;=$B1240,AF1239-SUM($G1242:AF1242),0)</f>
        <v>0</v>
      </c>
      <c r="AG1243" s="185">
        <f>IF(AG$2&gt;=$B1240,AG1239-SUM($G1242:AG1242),0)</f>
        <v>0</v>
      </c>
      <c r="AH1243" s="185">
        <f>IF(AH$2&gt;=$B1240,AH1239-SUM($G1242:AH1242),0)</f>
        <v>0</v>
      </c>
      <c r="AI1243" s="185">
        <f>IF(AI$2&gt;=$B1240,AI1239-SUM($G1242:AI1242),0)</f>
        <v>0</v>
      </c>
      <c r="AJ1243" s="185">
        <f>IF(AJ$2&gt;=$B1240,AJ1239-SUM($G1242:AJ1242),0)</f>
        <v>0</v>
      </c>
      <c r="AK1243" s="185">
        <f>IF(AK$2&gt;=$B1240,AK1239-SUM($G1242:AK1242),0)</f>
        <v>0</v>
      </c>
      <c r="AL1243" s="185">
        <f>IF(AL$2&gt;=$B1240,AL1239-SUM($G1242:AL1242),0)</f>
        <v>0</v>
      </c>
      <c r="AM1243" s="185">
        <f>IF(AM$2&gt;=$B1240,AM1239-SUM($G1242:AM1242),0)</f>
        <v>0</v>
      </c>
      <c r="AN1243" s="185">
        <f>IF(AN$2&gt;=$B1240,AN1239-SUM($G1242:AN1242),0)</f>
        <v>0</v>
      </c>
      <c r="AO1243" s="185">
        <f>IF(AO$2&gt;=$B1240,AO1239-SUM($G1242:AO1242),0)</f>
        <v>0</v>
      </c>
      <c r="AP1243" s="185">
        <f>IF(AP$2&gt;=$B1240,AP1239-SUM($G1242:AP1242),0)</f>
        <v>0</v>
      </c>
      <c r="AQ1243" s="185">
        <f>IF(AQ$2&gt;=$B1240,AQ1239-SUM($G1242:AQ1242),0)</f>
        <v>0</v>
      </c>
      <c r="AR1243" s="185">
        <f>IF(AR$2&gt;=$B1240,AR1239-SUM($G1242:AR1242),0)</f>
        <v>0</v>
      </c>
      <c r="AS1243" s="185">
        <f>IF(AS$2&gt;=$B1240,AS1239-SUM($G1242:AS1242),0)</f>
        <v>0</v>
      </c>
      <c r="AT1243" s="185">
        <f>IF(AT$2&gt;=$B1240,AT1239-SUM($G1242:AT1242),0)</f>
        <v>0</v>
      </c>
      <c r="AU1243" s="185">
        <f>IF(AU$2&gt;=$B1240,AU1239-SUM($G1242:AU1242),0)</f>
        <v>0</v>
      </c>
      <c r="AV1243" s="185">
        <f>IF(AV$2&gt;=$B1240,AV1239-SUM($G1242:AV1242),0)</f>
        <v>0</v>
      </c>
      <c r="AW1243" s="185">
        <f>IF(AW$2&gt;=$B1240,AW1239-SUM($G1242:AW1242),0)</f>
        <v>0</v>
      </c>
      <c r="AX1243" s="185">
        <f>IF(AX$2&gt;=$B1240,AX1239-SUM($G1242:AX1242),0)</f>
        <v>0</v>
      </c>
      <c r="AY1243" s="185">
        <f>IF(AY$2&gt;=$B1240,AY1239-SUM($G1242:AY1242),0)</f>
        <v>0</v>
      </c>
      <c r="AZ1243" s="185">
        <f>IF(AZ$2&gt;=$B1240,AZ1239-SUM($G1242:AZ1242),0)</f>
        <v>0</v>
      </c>
      <c r="BA1243" s="185">
        <f>IF(BA$2&gt;=$B1240,BA1239-SUM($G1242:BA1242),0)</f>
        <v>0</v>
      </c>
      <c r="BB1243" s="185">
        <f>IF(BB$2&gt;=$B1240,BB1239-SUM($G1242:BB1242),0)</f>
        <v>0</v>
      </c>
      <c r="BC1243" s="185"/>
      <c r="BD1243" s="193"/>
    </row>
    <row r="1245" spans="1:56" hidden="1" x14ac:dyDescent="0.3">
      <c r="A1245" s="207" t="str">
        <f ca="1">Language!A$1136</f>
        <v>Краткосрочные кредиты</v>
      </c>
      <c r="B1245" s="196"/>
      <c r="C1245" s="196"/>
      <c r="D1245" s="197"/>
      <c r="E1245" s="197" t="s">
        <v>716</v>
      </c>
      <c r="F1245" s="197" t="s">
        <v>2218</v>
      </c>
      <c r="G1245" s="196"/>
      <c r="H1245" s="196"/>
      <c r="I1245" s="196"/>
      <c r="J1245" s="196"/>
      <c r="K1245" s="196"/>
      <c r="L1245" s="196"/>
      <c r="M1245" s="196"/>
      <c r="N1245" s="196"/>
      <c r="O1245" s="196"/>
      <c r="P1245" s="196"/>
      <c r="Q1245" s="196"/>
      <c r="R1245" s="196"/>
      <c r="S1245" s="196"/>
      <c r="T1245" s="196"/>
      <c r="U1245" s="196"/>
      <c r="V1245" s="196"/>
      <c r="W1245" s="196"/>
      <c r="X1245" s="196"/>
      <c r="Y1245" s="196"/>
      <c r="Z1245" s="196"/>
      <c r="AA1245" s="196"/>
      <c r="AB1245" s="196"/>
      <c r="AC1245" s="196"/>
      <c r="AD1245" s="196"/>
      <c r="AE1245" s="196"/>
      <c r="AF1245" s="196"/>
      <c r="AG1245" s="196"/>
      <c r="AH1245" s="196"/>
      <c r="AI1245" s="196"/>
      <c r="AJ1245" s="196"/>
      <c r="AK1245" s="196"/>
      <c r="AL1245" s="196"/>
      <c r="AM1245" s="196"/>
      <c r="AN1245" s="196"/>
      <c r="AO1245" s="196"/>
      <c r="AP1245" s="196"/>
      <c r="AQ1245" s="196"/>
      <c r="AR1245" s="196"/>
      <c r="AS1245" s="196"/>
      <c r="AT1245" s="196"/>
      <c r="AU1245" s="196"/>
      <c r="AV1245" s="196"/>
      <c r="AW1245" s="196"/>
      <c r="AX1245" s="196"/>
      <c r="AY1245" s="196"/>
      <c r="AZ1245" s="196"/>
      <c r="BA1245" s="196"/>
      <c r="BB1245" s="196"/>
      <c r="BC1245" s="196"/>
      <c r="BD1245" s="204"/>
    </row>
    <row r="1246" spans="1:56" hidden="1" x14ac:dyDescent="0.3"/>
    <row r="1247" spans="1:56" hidden="1" x14ac:dyDescent="0.3">
      <c r="E1247" s="170" t="s">
        <v>712</v>
      </c>
    </row>
    <row r="1248" spans="1:56" s="195" customFormat="1" collapsed="1" x14ac:dyDescent="0.3">
      <c r="A1248" s="195" t="str">
        <f ca="1">Language!A$1137</f>
        <v>Итого: Задолженность на конец периода</v>
      </c>
      <c r="B1248" s="169"/>
      <c r="C1248" s="194" t="str">
        <f t="shared" ref="C1248:C1261" ca="1" si="4486">CurName1</f>
        <v>руб.</v>
      </c>
      <c r="D1248" s="170"/>
      <c r="E1248" s="170"/>
      <c r="F1248" s="170" t="s">
        <v>741</v>
      </c>
      <c r="G1248" s="210">
        <f>G1253+G1254</f>
        <v>216263542.6875</v>
      </c>
      <c r="H1248" s="210">
        <f t="shared" ref="H1248:K1248" si="4487">H1253+H1254</f>
        <v>220677084.375</v>
      </c>
      <c r="I1248" s="210">
        <f t="shared" si="4487"/>
        <v>225090626.0625</v>
      </c>
      <c r="J1248" s="210">
        <f t="shared" si="4487"/>
        <v>229504167.75</v>
      </c>
      <c r="K1248" s="210">
        <f t="shared" si="4487"/>
        <v>233917709.4375</v>
      </c>
      <c r="L1248" s="210">
        <f t="shared" ref="L1248:M1248" si="4488">L1253+L1254</f>
        <v>238331251.125</v>
      </c>
      <c r="M1248" s="210">
        <f t="shared" si="4488"/>
        <v>241723959.47916666</v>
      </c>
      <c r="N1248" s="210">
        <f t="shared" ref="N1248:O1248" si="4489">N1253+N1254</f>
        <v>244075001.16666669</v>
      </c>
      <c r="O1248" s="210">
        <f t="shared" si="4489"/>
        <v>241075001.16666669</v>
      </c>
      <c r="P1248" s="210">
        <f t="shared" ref="P1248:Q1248" si="4490">P1253+P1254</f>
        <v>238075001.16666669</v>
      </c>
      <c r="Q1248" s="210">
        <f t="shared" si="4490"/>
        <v>235075001.16666669</v>
      </c>
      <c r="R1248" s="210">
        <f t="shared" ref="R1248:S1248" si="4491">R1253+R1254</f>
        <v>231075001.16666669</v>
      </c>
      <c r="S1248" s="210">
        <f t="shared" si="4491"/>
        <v>227075001.16666669</v>
      </c>
      <c r="T1248" s="210">
        <f t="shared" ref="T1248:U1248" si="4492">T1253+T1254</f>
        <v>223075001.16666669</v>
      </c>
      <c r="U1248" s="210">
        <f t="shared" si="4492"/>
        <v>219075001.16666669</v>
      </c>
      <c r="V1248" s="210">
        <f t="shared" ref="V1248:W1248" si="4493">V1253+V1254</f>
        <v>214075001.16666669</v>
      </c>
      <c r="W1248" s="210">
        <f t="shared" si="4493"/>
        <v>209075001.16666669</v>
      </c>
      <c r="X1248" s="210">
        <f t="shared" ref="X1248:Y1248" si="4494">X1253+X1254</f>
        <v>204075001.16666669</v>
      </c>
      <c r="Y1248" s="210">
        <f t="shared" si="4494"/>
        <v>196075001.16666669</v>
      </c>
      <c r="Z1248" s="210">
        <f t="shared" ref="Z1248:AA1248" si="4495">Z1253+Z1254</f>
        <v>188075001.16666669</v>
      </c>
      <c r="AA1248" s="210">
        <f t="shared" si="4495"/>
        <v>180075001.16666669</v>
      </c>
      <c r="AB1248" s="210">
        <f t="shared" ref="AB1248:AC1248" si="4496">AB1253+AB1254</f>
        <v>172075001.16666669</v>
      </c>
      <c r="AC1248" s="210">
        <f t="shared" si="4496"/>
        <v>164075001.16666669</v>
      </c>
      <c r="AD1248" s="210">
        <f t="shared" ref="AD1248:AE1248" si="4497">AD1253+AD1254</f>
        <v>156075001.16666669</v>
      </c>
      <c r="AE1248" s="210">
        <f t="shared" si="4497"/>
        <v>148075001.16666669</v>
      </c>
      <c r="AF1248" s="210">
        <f t="shared" ref="AF1248:AG1248" si="4498">AF1253+AF1254</f>
        <v>140075001.16666669</v>
      </c>
      <c r="AG1248" s="210">
        <f t="shared" si="4498"/>
        <v>132075001.16666669</v>
      </c>
      <c r="AH1248" s="210">
        <f t="shared" ref="AH1248:AI1248" si="4499">AH1253+AH1254</f>
        <v>124075001.16666669</v>
      </c>
      <c r="AI1248" s="210">
        <f t="shared" si="4499"/>
        <v>116075001.16666669</v>
      </c>
      <c r="AJ1248" s="210">
        <f t="shared" ref="AJ1248:AK1248" si="4500">AJ1253+AJ1254</f>
        <v>108075001.16666669</v>
      </c>
      <c r="AK1248" s="210">
        <f t="shared" si="4500"/>
        <v>100075001.16666669</v>
      </c>
      <c r="AL1248" s="210">
        <f t="shared" ref="AL1248:AM1248" si="4501">AL1253+AL1254</f>
        <v>92075001.166666687</v>
      </c>
      <c r="AM1248" s="210">
        <f t="shared" si="4501"/>
        <v>84075001.166666687</v>
      </c>
      <c r="AN1248" s="210">
        <f t="shared" ref="AN1248:AO1248" si="4502">AN1253+AN1254</f>
        <v>76075001.166666687</v>
      </c>
      <c r="AO1248" s="210">
        <f t="shared" si="4502"/>
        <v>68075001.166666687</v>
      </c>
      <c r="AP1248" s="210">
        <f t="shared" ref="AP1248:AQ1248" si="4503">AP1253+AP1254</f>
        <v>60075001.166666687</v>
      </c>
      <c r="AQ1248" s="210">
        <f t="shared" si="4503"/>
        <v>52075001.166666687</v>
      </c>
      <c r="AR1248" s="210">
        <f t="shared" ref="AR1248:AS1248" si="4504">AR1253+AR1254</f>
        <v>44075001.166666687</v>
      </c>
      <c r="AS1248" s="210">
        <f t="shared" si="4504"/>
        <v>36075001.166666687</v>
      </c>
      <c r="AT1248" s="210">
        <f t="shared" ref="AT1248:AU1248" si="4505">AT1253+AT1254</f>
        <v>28075001.166666687</v>
      </c>
      <c r="AU1248" s="210">
        <f t="shared" si="4505"/>
        <v>20075001.166666687</v>
      </c>
      <c r="AV1248" s="210">
        <f t="shared" ref="AV1248:AW1248" si="4506">AV1253+AV1254</f>
        <v>12075001.166666687</v>
      </c>
      <c r="AW1248" s="210">
        <f t="shared" si="4506"/>
        <v>4075001.1666666865</v>
      </c>
      <c r="AX1248" s="210">
        <f t="shared" ref="AX1248:AY1248" si="4507">AX1253+AX1254</f>
        <v>0.16666668653488159</v>
      </c>
      <c r="AY1248" s="210">
        <f t="shared" si="4507"/>
        <v>0.16666668653488159</v>
      </c>
      <c r="AZ1248" s="210">
        <f t="shared" ref="AZ1248:BA1248" si="4508">AZ1253+AZ1254</f>
        <v>0.16666668653488159</v>
      </c>
      <c r="BA1248" s="210">
        <f t="shared" si="4508"/>
        <v>0.16666668653488159</v>
      </c>
      <c r="BB1248" s="210">
        <f t="shared" ref="BB1248" si="4509">BB1253+BB1254</f>
        <v>0.16666668653488159</v>
      </c>
      <c r="BC1248" s="169"/>
      <c r="BD1248" s="178"/>
    </row>
    <row r="1249" spans="1:56" s="195" customFormat="1" hidden="1" outlineLevel="1" x14ac:dyDescent="0.3">
      <c r="A1249" s="169" t="str">
        <f ca="1">Language!A$1138</f>
        <v>Поступления кредитов</v>
      </c>
      <c r="B1249" s="169"/>
      <c r="C1249" s="194" t="str">
        <f t="shared" ca="1" si="4486"/>
        <v>руб.</v>
      </c>
      <c r="D1249" s="170"/>
      <c r="E1249" s="170"/>
      <c r="F1249" s="170" t="s">
        <v>1467</v>
      </c>
      <c r="G1249" s="177">
        <f t="shared" ref="G1249:AL1249" si="4510">SUM(G$1230)</f>
        <v>211850001</v>
      </c>
      <c r="H1249" s="177">
        <f t="shared" si="4510"/>
        <v>0</v>
      </c>
      <c r="I1249" s="177">
        <f t="shared" si="4510"/>
        <v>0</v>
      </c>
      <c r="J1249" s="177">
        <f t="shared" si="4510"/>
        <v>0</v>
      </c>
      <c r="K1249" s="177">
        <f t="shared" si="4510"/>
        <v>0</v>
      </c>
      <c r="L1249" s="177">
        <f t="shared" si="4510"/>
        <v>0</v>
      </c>
      <c r="M1249" s="177">
        <f t="shared" si="4510"/>
        <v>0</v>
      </c>
      <c r="N1249" s="177">
        <f t="shared" si="4510"/>
        <v>0</v>
      </c>
      <c r="O1249" s="177">
        <f t="shared" si="4510"/>
        <v>0</v>
      </c>
      <c r="P1249" s="177">
        <f t="shared" si="4510"/>
        <v>0</v>
      </c>
      <c r="Q1249" s="177">
        <f t="shared" si="4510"/>
        <v>0</v>
      </c>
      <c r="R1249" s="177">
        <f t="shared" si="4510"/>
        <v>0</v>
      </c>
      <c r="S1249" s="177">
        <f t="shared" si="4510"/>
        <v>0</v>
      </c>
      <c r="T1249" s="177">
        <f t="shared" si="4510"/>
        <v>0</v>
      </c>
      <c r="U1249" s="177">
        <f t="shared" si="4510"/>
        <v>0</v>
      </c>
      <c r="V1249" s="177">
        <f t="shared" si="4510"/>
        <v>0</v>
      </c>
      <c r="W1249" s="177">
        <f t="shared" si="4510"/>
        <v>0</v>
      </c>
      <c r="X1249" s="177">
        <f t="shared" si="4510"/>
        <v>0</v>
      </c>
      <c r="Y1249" s="177">
        <f t="shared" si="4510"/>
        <v>0</v>
      </c>
      <c r="Z1249" s="177">
        <f t="shared" si="4510"/>
        <v>0</v>
      </c>
      <c r="AA1249" s="177">
        <f t="shared" si="4510"/>
        <v>0</v>
      </c>
      <c r="AB1249" s="177">
        <f t="shared" si="4510"/>
        <v>0</v>
      </c>
      <c r="AC1249" s="177">
        <f t="shared" si="4510"/>
        <v>0</v>
      </c>
      <c r="AD1249" s="177">
        <f t="shared" si="4510"/>
        <v>0</v>
      </c>
      <c r="AE1249" s="177">
        <f t="shared" si="4510"/>
        <v>0</v>
      </c>
      <c r="AF1249" s="177">
        <f t="shared" si="4510"/>
        <v>0</v>
      </c>
      <c r="AG1249" s="177">
        <f t="shared" si="4510"/>
        <v>0</v>
      </c>
      <c r="AH1249" s="177">
        <f t="shared" si="4510"/>
        <v>0</v>
      </c>
      <c r="AI1249" s="177">
        <f t="shared" si="4510"/>
        <v>0</v>
      </c>
      <c r="AJ1249" s="177">
        <f t="shared" si="4510"/>
        <v>0</v>
      </c>
      <c r="AK1249" s="177">
        <f t="shared" si="4510"/>
        <v>0</v>
      </c>
      <c r="AL1249" s="177">
        <f t="shared" si="4510"/>
        <v>0</v>
      </c>
      <c r="AM1249" s="177">
        <f t="shared" ref="AM1249:BB1249" si="4511">SUM(AM$1230)</f>
        <v>0</v>
      </c>
      <c r="AN1249" s="177">
        <f t="shared" si="4511"/>
        <v>0</v>
      </c>
      <c r="AO1249" s="177">
        <f t="shared" si="4511"/>
        <v>0</v>
      </c>
      <c r="AP1249" s="177">
        <f t="shared" si="4511"/>
        <v>0</v>
      </c>
      <c r="AQ1249" s="177">
        <f t="shared" si="4511"/>
        <v>0</v>
      </c>
      <c r="AR1249" s="177">
        <f t="shared" si="4511"/>
        <v>0</v>
      </c>
      <c r="AS1249" s="177">
        <f t="shared" si="4511"/>
        <v>0</v>
      </c>
      <c r="AT1249" s="177">
        <f t="shared" si="4511"/>
        <v>0</v>
      </c>
      <c r="AU1249" s="177">
        <f t="shared" si="4511"/>
        <v>0</v>
      </c>
      <c r="AV1249" s="177">
        <f t="shared" si="4511"/>
        <v>0</v>
      </c>
      <c r="AW1249" s="177">
        <f t="shared" si="4511"/>
        <v>0</v>
      </c>
      <c r="AX1249" s="177">
        <f t="shared" si="4511"/>
        <v>0</v>
      </c>
      <c r="AY1249" s="177">
        <f t="shared" si="4511"/>
        <v>0</v>
      </c>
      <c r="AZ1249" s="177">
        <f t="shared" si="4511"/>
        <v>0</v>
      </c>
      <c r="BA1249" s="177">
        <f t="shared" si="4511"/>
        <v>0</v>
      </c>
      <c r="BB1249" s="177">
        <f t="shared" si="4511"/>
        <v>0</v>
      </c>
      <c r="BC1249" s="169"/>
      <c r="BD1249" s="183">
        <f>SUM(G1249:BC1249)</f>
        <v>211850001</v>
      </c>
    </row>
    <row r="1250" spans="1:56" s="195" customFormat="1" hidden="1" outlineLevel="1" x14ac:dyDescent="0.3">
      <c r="A1250" s="169" t="str">
        <f ca="1">Language!A$1139</f>
        <v>Выплата основного долга</v>
      </c>
      <c r="B1250" s="169"/>
      <c r="C1250" s="194" t="str">
        <f t="shared" ca="1" si="4486"/>
        <v>руб.</v>
      </c>
      <c r="D1250" s="170"/>
      <c r="E1250" s="170"/>
      <c r="F1250" s="170" t="s">
        <v>1468</v>
      </c>
      <c r="G1250" s="177">
        <f t="shared" ref="G1250:AL1250" si="4512">SUM(G$1231)</f>
        <v>0</v>
      </c>
      <c r="H1250" s="177">
        <f t="shared" si="4512"/>
        <v>0</v>
      </c>
      <c r="I1250" s="177">
        <f t="shared" si="4512"/>
        <v>0</v>
      </c>
      <c r="J1250" s="177">
        <f t="shared" si="4512"/>
        <v>0</v>
      </c>
      <c r="K1250" s="177">
        <f t="shared" si="4512"/>
        <v>0</v>
      </c>
      <c r="L1250" s="177">
        <f t="shared" si="4512"/>
        <v>0</v>
      </c>
      <c r="M1250" s="177">
        <f t="shared" si="4512"/>
        <v>1000000</v>
      </c>
      <c r="N1250" s="177">
        <f t="shared" si="4512"/>
        <v>2000000</v>
      </c>
      <c r="O1250" s="177">
        <f t="shared" si="4512"/>
        <v>3000000</v>
      </c>
      <c r="P1250" s="177">
        <f t="shared" si="4512"/>
        <v>3000000</v>
      </c>
      <c r="Q1250" s="177">
        <f t="shared" si="4512"/>
        <v>3000000</v>
      </c>
      <c r="R1250" s="177">
        <f t="shared" si="4512"/>
        <v>4000000</v>
      </c>
      <c r="S1250" s="177">
        <f t="shared" si="4512"/>
        <v>4000000</v>
      </c>
      <c r="T1250" s="177">
        <f t="shared" si="4512"/>
        <v>4000000</v>
      </c>
      <c r="U1250" s="177">
        <f t="shared" si="4512"/>
        <v>4000000</v>
      </c>
      <c r="V1250" s="177">
        <f t="shared" si="4512"/>
        <v>5000000</v>
      </c>
      <c r="W1250" s="177">
        <f t="shared" si="4512"/>
        <v>5000000</v>
      </c>
      <c r="X1250" s="177">
        <f t="shared" si="4512"/>
        <v>5000000</v>
      </c>
      <c r="Y1250" s="177">
        <f t="shared" si="4512"/>
        <v>8000000</v>
      </c>
      <c r="Z1250" s="177">
        <f t="shared" si="4512"/>
        <v>8000000</v>
      </c>
      <c r="AA1250" s="177">
        <f t="shared" si="4512"/>
        <v>8000000</v>
      </c>
      <c r="AB1250" s="177">
        <f t="shared" si="4512"/>
        <v>8000000</v>
      </c>
      <c r="AC1250" s="177">
        <f t="shared" si="4512"/>
        <v>8000000</v>
      </c>
      <c r="AD1250" s="177">
        <f t="shared" si="4512"/>
        <v>8000000</v>
      </c>
      <c r="AE1250" s="177">
        <f t="shared" si="4512"/>
        <v>8000000</v>
      </c>
      <c r="AF1250" s="177">
        <f t="shared" si="4512"/>
        <v>8000000</v>
      </c>
      <c r="AG1250" s="177">
        <f t="shared" si="4512"/>
        <v>8000000</v>
      </c>
      <c r="AH1250" s="177">
        <f t="shared" si="4512"/>
        <v>8000000</v>
      </c>
      <c r="AI1250" s="177">
        <f t="shared" si="4512"/>
        <v>8000000</v>
      </c>
      <c r="AJ1250" s="177">
        <f t="shared" si="4512"/>
        <v>8000000</v>
      </c>
      <c r="AK1250" s="177">
        <f t="shared" si="4512"/>
        <v>8000000</v>
      </c>
      <c r="AL1250" s="177">
        <f t="shared" si="4512"/>
        <v>8000000</v>
      </c>
      <c r="AM1250" s="177">
        <f t="shared" ref="AM1250:BB1250" si="4513">SUM(AM$1231)</f>
        <v>8000000</v>
      </c>
      <c r="AN1250" s="177">
        <f t="shared" si="4513"/>
        <v>8000000</v>
      </c>
      <c r="AO1250" s="177">
        <f t="shared" si="4513"/>
        <v>8000000</v>
      </c>
      <c r="AP1250" s="177">
        <f t="shared" si="4513"/>
        <v>8000000</v>
      </c>
      <c r="AQ1250" s="177">
        <f t="shared" si="4513"/>
        <v>8000000</v>
      </c>
      <c r="AR1250" s="177">
        <f t="shared" si="4513"/>
        <v>8000000</v>
      </c>
      <c r="AS1250" s="177">
        <f t="shared" si="4513"/>
        <v>8000000</v>
      </c>
      <c r="AT1250" s="177">
        <f t="shared" si="4513"/>
        <v>8000000</v>
      </c>
      <c r="AU1250" s="177">
        <f t="shared" si="4513"/>
        <v>8000000</v>
      </c>
      <c r="AV1250" s="177">
        <f t="shared" si="4513"/>
        <v>8000000</v>
      </c>
      <c r="AW1250" s="177">
        <f t="shared" si="4513"/>
        <v>8000000</v>
      </c>
      <c r="AX1250" s="177">
        <f t="shared" si="4513"/>
        <v>4075001</v>
      </c>
      <c r="AY1250" s="177">
        <f t="shared" si="4513"/>
        <v>0</v>
      </c>
      <c r="AZ1250" s="177">
        <f t="shared" si="4513"/>
        <v>0</v>
      </c>
      <c r="BA1250" s="177">
        <f t="shared" si="4513"/>
        <v>0</v>
      </c>
      <c r="BB1250" s="177">
        <f t="shared" si="4513"/>
        <v>0</v>
      </c>
      <c r="BC1250" s="169"/>
      <c r="BD1250" s="183">
        <f>SUM(G1250:BC1250)</f>
        <v>247075001</v>
      </c>
    </row>
    <row r="1251" spans="1:56" s="195" customFormat="1" hidden="1" outlineLevel="1" x14ac:dyDescent="0.3">
      <c r="A1251" s="169" t="str">
        <f ca="1">Language!A$1140</f>
        <v>Проценты начисленные</v>
      </c>
      <c r="B1251" s="169"/>
      <c r="C1251" s="194" t="str">
        <f t="shared" ca="1" si="4486"/>
        <v>руб.</v>
      </c>
      <c r="D1251" s="170"/>
      <c r="E1251" s="170"/>
      <c r="F1251" s="170" t="s">
        <v>1469</v>
      </c>
      <c r="G1251" s="177">
        <f t="shared" ref="G1251:AL1251" si="4514">SUM(G$1233)</f>
        <v>4413541.6875</v>
      </c>
      <c r="H1251" s="177">
        <f t="shared" si="4514"/>
        <v>4413541.6875</v>
      </c>
      <c r="I1251" s="177">
        <f t="shared" si="4514"/>
        <v>4413541.6875</v>
      </c>
      <c r="J1251" s="177">
        <f t="shared" si="4514"/>
        <v>4413541.6875</v>
      </c>
      <c r="K1251" s="177">
        <f t="shared" si="4514"/>
        <v>4413541.6875</v>
      </c>
      <c r="L1251" s="177">
        <f t="shared" si="4514"/>
        <v>4413541.6875</v>
      </c>
      <c r="M1251" s="177">
        <f t="shared" si="4514"/>
        <v>4392708.354166667</v>
      </c>
      <c r="N1251" s="177">
        <f t="shared" si="4514"/>
        <v>4351041.6875</v>
      </c>
      <c r="O1251" s="177">
        <f t="shared" si="4514"/>
        <v>4288541.6875</v>
      </c>
      <c r="P1251" s="177">
        <f t="shared" si="4514"/>
        <v>4226041.6875</v>
      </c>
      <c r="Q1251" s="177">
        <f t="shared" si="4514"/>
        <v>4163541.6875</v>
      </c>
      <c r="R1251" s="177">
        <f t="shared" si="4514"/>
        <v>4080208.3541666665</v>
      </c>
      <c r="S1251" s="177">
        <f t="shared" si="4514"/>
        <v>3996875.0208333335</v>
      </c>
      <c r="T1251" s="177">
        <f t="shared" si="4514"/>
        <v>3913541.6875</v>
      </c>
      <c r="U1251" s="177">
        <f t="shared" si="4514"/>
        <v>3830208.3541666665</v>
      </c>
      <c r="V1251" s="177">
        <f t="shared" si="4514"/>
        <v>3726041.6875</v>
      </c>
      <c r="W1251" s="177">
        <f t="shared" si="4514"/>
        <v>3621875.0208333335</v>
      </c>
      <c r="X1251" s="177">
        <f t="shared" si="4514"/>
        <v>3517708.3541666665</v>
      </c>
      <c r="Y1251" s="177">
        <f t="shared" si="4514"/>
        <v>3351041.6875</v>
      </c>
      <c r="Z1251" s="177">
        <f t="shared" si="4514"/>
        <v>3184375.0208333335</v>
      </c>
      <c r="AA1251" s="177">
        <f t="shared" si="4514"/>
        <v>3017708.3541666665</v>
      </c>
      <c r="AB1251" s="177">
        <f t="shared" si="4514"/>
        <v>2851041.6875</v>
      </c>
      <c r="AC1251" s="177">
        <f t="shared" si="4514"/>
        <v>2684375.0208333335</v>
      </c>
      <c r="AD1251" s="177">
        <f t="shared" si="4514"/>
        <v>2517708.3541666665</v>
      </c>
      <c r="AE1251" s="177">
        <f t="shared" si="4514"/>
        <v>2351041.6875</v>
      </c>
      <c r="AF1251" s="177">
        <f t="shared" si="4514"/>
        <v>2184375.0208333335</v>
      </c>
      <c r="AG1251" s="177">
        <f t="shared" si="4514"/>
        <v>2017708.3541666667</v>
      </c>
      <c r="AH1251" s="177">
        <f t="shared" si="4514"/>
        <v>1851041.6875</v>
      </c>
      <c r="AI1251" s="177">
        <f t="shared" si="4514"/>
        <v>1684375.0208333333</v>
      </c>
      <c r="AJ1251" s="177">
        <f t="shared" si="4514"/>
        <v>1517708.3541666667</v>
      </c>
      <c r="AK1251" s="177">
        <f t="shared" si="4514"/>
        <v>1351041.6875</v>
      </c>
      <c r="AL1251" s="177">
        <f t="shared" si="4514"/>
        <v>1184375.0208333333</v>
      </c>
      <c r="AM1251" s="177">
        <f t="shared" ref="AM1251:BB1251" si="4515">SUM(AM$1233)</f>
        <v>1017708.3541666666</v>
      </c>
      <c r="AN1251" s="177">
        <f t="shared" si="4515"/>
        <v>851041.6875</v>
      </c>
      <c r="AO1251" s="177">
        <f t="shared" si="4515"/>
        <v>684375.02083333337</v>
      </c>
      <c r="AP1251" s="177">
        <f t="shared" si="4515"/>
        <v>517708.35416666669</v>
      </c>
      <c r="AQ1251" s="177">
        <f t="shared" si="4515"/>
        <v>351041.6875</v>
      </c>
      <c r="AR1251" s="177">
        <f t="shared" si="4515"/>
        <v>184375.02083333334</v>
      </c>
      <c r="AS1251" s="177">
        <f t="shared" si="4515"/>
        <v>17708.354166666668</v>
      </c>
      <c r="AT1251" s="177">
        <f t="shared" si="4515"/>
        <v>0</v>
      </c>
      <c r="AU1251" s="177">
        <f t="shared" si="4515"/>
        <v>0</v>
      </c>
      <c r="AV1251" s="177">
        <f t="shared" si="4515"/>
        <v>0</v>
      </c>
      <c r="AW1251" s="177">
        <f t="shared" si="4515"/>
        <v>0</v>
      </c>
      <c r="AX1251" s="177">
        <f t="shared" si="4515"/>
        <v>0</v>
      </c>
      <c r="AY1251" s="177">
        <f t="shared" si="4515"/>
        <v>0</v>
      </c>
      <c r="AZ1251" s="177">
        <f t="shared" si="4515"/>
        <v>0</v>
      </c>
      <c r="BA1251" s="177">
        <f t="shared" si="4515"/>
        <v>0</v>
      </c>
      <c r="BB1251" s="177">
        <f t="shared" si="4515"/>
        <v>0</v>
      </c>
      <c r="BC1251" s="169"/>
      <c r="BD1251" s="183">
        <f>SUM(G1251:BC1251)</f>
        <v>109961459.14583334</v>
      </c>
    </row>
    <row r="1252" spans="1:56" s="195" customFormat="1" hidden="1" outlineLevel="1" x14ac:dyDescent="0.3">
      <c r="A1252" s="169" t="str">
        <f ca="1">Language!A$1141</f>
        <v>Проценты уплаченные</v>
      </c>
      <c r="B1252" s="169"/>
      <c r="C1252" s="194" t="str">
        <f t="shared" ca="1" si="4486"/>
        <v>руб.</v>
      </c>
      <c r="D1252" s="170"/>
      <c r="E1252" s="170"/>
      <c r="F1252" s="170" t="s">
        <v>1470</v>
      </c>
      <c r="G1252" s="177">
        <f t="shared" ref="G1252:AL1252" si="4516">SUM(G$1234)</f>
        <v>0</v>
      </c>
      <c r="H1252" s="177">
        <f t="shared" si="4516"/>
        <v>0</v>
      </c>
      <c r="I1252" s="177">
        <f t="shared" si="4516"/>
        <v>0</v>
      </c>
      <c r="J1252" s="177">
        <f t="shared" si="4516"/>
        <v>0</v>
      </c>
      <c r="K1252" s="177">
        <f t="shared" si="4516"/>
        <v>0</v>
      </c>
      <c r="L1252" s="177">
        <f t="shared" si="4516"/>
        <v>0</v>
      </c>
      <c r="M1252" s="177">
        <f t="shared" si="4516"/>
        <v>0</v>
      </c>
      <c r="N1252" s="177">
        <f t="shared" si="4516"/>
        <v>0</v>
      </c>
      <c r="O1252" s="177">
        <f t="shared" si="4516"/>
        <v>4288541.6875</v>
      </c>
      <c r="P1252" s="177">
        <f t="shared" si="4516"/>
        <v>4226041.6875</v>
      </c>
      <c r="Q1252" s="177">
        <f t="shared" si="4516"/>
        <v>4163541.6875</v>
      </c>
      <c r="R1252" s="177">
        <f t="shared" si="4516"/>
        <v>4080208.3541666665</v>
      </c>
      <c r="S1252" s="177">
        <f t="shared" si="4516"/>
        <v>3996875.0208333335</v>
      </c>
      <c r="T1252" s="177">
        <f t="shared" si="4516"/>
        <v>3913541.6875</v>
      </c>
      <c r="U1252" s="177">
        <f t="shared" si="4516"/>
        <v>3830208.3541666665</v>
      </c>
      <c r="V1252" s="177">
        <f t="shared" si="4516"/>
        <v>3726041.6875</v>
      </c>
      <c r="W1252" s="177">
        <f t="shared" si="4516"/>
        <v>3621875.0208333335</v>
      </c>
      <c r="X1252" s="177">
        <f t="shared" si="4516"/>
        <v>3517708.3541666665</v>
      </c>
      <c r="Y1252" s="177">
        <f t="shared" si="4516"/>
        <v>3351041.6875</v>
      </c>
      <c r="Z1252" s="177">
        <f t="shared" si="4516"/>
        <v>3184375.0208333335</v>
      </c>
      <c r="AA1252" s="177">
        <f t="shared" si="4516"/>
        <v>3017708.3541666665</v>
      </c>
      <c r="AB1252" s="177">
        <f t="shared" si="4516"/>
        <v>2851041.6875</v>
      </c>
      <c r="AC1252" s="177">
        <f t="shared" si="4516"/>
        <v>2684375.0208333335</v>
      </c>
      <c r="AD1252" s="177">
        <f t="shared" si="4516"/>
        <v>2517708.3541666665</v>
      </c>
      <c r="AE1252" s="177">
        <f t="shared" si="4516"/>
        <v>2351041.6875</v>
      </c>
      <c r="AF1252" s="177">
        <f t="shared" si="4516"/>
        <v>2184375.0208333335</v>
      </c>
      <c r="AG1252" s="177">
        <f t="shared" si="4516"/>
        <v>2017708.3541666667</v>
      </c>
      <c r="AH1252" s="177">
        <f t="shared" si="4516"/>
        <v>1851041.6875</v>
      </c>
      <c r="AI1252" s="177">
        <f t="shared" si="4516"/>
        <v>1684375.0208333333</v>
      </c>
      <c r="AJ1252" s="177">
        <f t="shared" si="4516"/>
        <v>1517708.3541666667</v>
      </c>
      <c r="AK1252" s="177">
        <f t="shared" si="4516"/>
        <v>1351041.6875</v>
      </c>
      <c r="AL1252" s="177">
        <f t="shared" si="4516"/>
        <v>1184375.0208333333</v>
      </c>
      <c r="AM1252" s="177">
        <f t="shared" ref="AM1252:BB1252" si="4517">SUM(AM$1234)</f>
        <v>1017708.3541666666</v>
      </c>
      <c r="AN1252" s="177">
        <f t="shared" si="4517"/>
        <v>851041.6875</v>
      </c>
      <c r="AO1252" s="177">
        <f t="shared" si="4517"/>
        <v>684375.02083333337</v>
      </c>
      <c r="AP1252" s="177">
        <f t="shared" si="4517"/>
        <v>517708.35416666669</v>
      </c>
      <c r="AQ1252" s="177">
        <f t="shared" si="4517"/>
        <v>351041.6875</v>
      </c>
      <c r="AR1252" s="177">
        <f t="shared" si="4517"/>
        <v>184375.02083333334</v>
      </c>
      <c r="AS1252" s="177">
        <f t="shared" si="4517"/>
        <v>17708.354166666668</v>
      </c>
      <c r="AT1252" s="177">
        <f t="shared" si="4517"/>
        <v>0</v>
      </c>
      <c r="AU1252" s="177">
        <f t="shared" si="4517"/>
        <v>0</v>
      </c>
      <c r="AV1252" s="177">
        <f t="shared" si="4517"/>
        <v>0</v>
      </c>
      <c r="AW1252" s="177">
        <f t="shared" si="4517"/>
        <v>0</v>
      </c>
      <c r="AX1252" s="177">
        <f t="shared" si="4517"/>
        <v>0</v>
      </c>
      <c r="AY1252" s="177">
        <f t="shared" si="4517"/>
        <v>0</v>
      </c>
      <c r="AZ1252" s="177">
        <f t="shared" si="4517"/>
        <v>0</v>
      </c>
      <c r="BA1252" s="177">
        <f t="shared" si="4517"/>
        <v>0</v>
      </c>
      <c r="BB1252" s="177">
        <f t="shared" si="4517"/>
        <v>0</v>
      </c>
      <c r="BC1252" s="169"/>
      <c r="BD1252" s="183">
        <f>SUM(G1252:BC1252)</f>
        <v>74736458.979166672</v>
      </c>
    </row>
    <row r="1253" spans="1:56" s="195" customFormat="1" hidden="1" outlineLevel="1" x14ac:dyDescent="0.3">
      <c r="A1253" s="169" t="str">
        <f ca="1">Language!A$1142</f>
        <v>Долгосрочные кредиты на конец периода</v>
      </c>
      <c r="B1253" s="169"/>
      <c r="C1253" s="194" t="str">
        <f t="shared" ca="1" si="4486"/>
        <v>руб.</v>
      </c>
      <c r="D1253" s="170"/>
      <c r="E1253" s="170"/>
      <c r="F1253" s="170" t="s">
        <v>1116</v>
      </c>
      <c r="G1253" s="177">
        <f t="shared" ref="G1253:AL1253" si="4518">SUM(G$1232)</f>
        <v>216263542.6875</v>
      </c>
      <c r="H1253" s="177">
        <f t="shared" si="4518"/>
        <v>220677084.375</v>
      </c>
      <c r="I1253" s="177">
        <f t="shared" si="4518"/>
        <v>225090626.0625</v>
      </c>
      <c r="J1253" s="177">
        <f t="shared" si="4518"/>
        <v>229504167.75</v>
      </c>
      <c r="K1253" s="177">
        <f t="shared" si="4518"/>
        <v>233917709.4375</v>
      </c>
      <c r="L1253" s="177">
        <f t="shared" si="4518"/>
        <v>238331251.125</v>
      </c>
      <c r="M1253" s="177">
        <f t="shared" si="4518"/>
        <v>241723959.47916666</v>
      </c>
      <c r="N1253" s="177">
        <f t="shared" si="4518"/>
        <v>244075001.16666669</v>
      </c>
      <c r="O1253" s="177">
        <f t="shared" si="4518"/>
        <v>241075001.16666669</v>
      </c>
      <c r="P1253" s="177">
        <f t="shared" si="4518"/>
        <v>238075001.16666669</v>
      </c>
      <c r="Q1253" s="177">
        <f t="shared" si="4518"/>
        <v>235075001.16666669</v>
      </c>
      <c r="R1253" s="177">
        <f t="shared" si="4518"/>
        <v>231075001.16666669</v>
      </c>
      <c r="S1253" s="177">
        <f t="shared" si="4518"/>
        <v>227075001.16666669</v>
      </c>
      <c r="T1253" s="177">
        <f t="shared" si="4518"/>
        <v>223075001.16666669</v>
      </c>
      <c r="U1253" s="177">
        <f t="shared" si="4518"/>
        <v>219075001.16666669</v>
      </c>
      <c r="V1253" s="177">
        <f t="shared" si="4518"/>
        <v>214075001.16666669</v>
      </c>
      <c r="W1253" s="177">
        <f t="shared" si="4518"/>
        <v>209075001.16666669</v>
      </c>
      <c r="X1253" s="177">
        <f t="shared" si="4518"/>
        <v>204075001.16666669</v>
      </c>
      <c r="Y1253" s="177">
        <f t="shared" si="4518"/>
        <v>196075001.16666669</v>
      </c>
      <c r="Z1253" s="177">
        <f t="shared" si="4518"/>
        <v>188075001.16666669</v>
      </c>
      <c r="AA1253" s="177">
        <f t="shared" si="4518"/>
        <v>180075001.16666669</v>
      </c>
      <c r="AB1253" s="177">
        <f t="shared" si="4518"/>
        <v>172075001.16666669</v>
      </c>
      <c r="AC1253" s="177">
        <f t="shared" si="4518"/>
        <v>164075001.16666669</v>
      </c>
      <c r="AD1253" s="177">
        <f t="shared" si="4518"/>
        <v>156075001.16666669</v>
      </c>
      <c r="AE1253" s="177">
        <f t="shared" si="4518"/>
        <v>148075001.16666669</v>
      </c>
      <c r="AF1253" s="177">
        <f t="shared" si="4518"/>
        <v>140075001.16666669</v>
      </c>
      <c r="AG1253" s="177">
        <f t="shared" si="4518"/>
        <v>132075001.16666669</v>
      </c>
      <c r="AH1253" s="177">
        <f t="shared" si="4518"/>
        <v>124075001.16666669</v>
      </c>
      <c r="AI1253" s="177">
        <f t="shared" si="4518"/>
        <v>116075001.16666669</v>
      </c>
      <c r="AJ1253" s="177">
        <f t="shared" si="4518"/>
        <v>108075001.16666669</v>
      </c>
      <c r="AK1253" s="177">
        <f t="shared" si="4518"/>
        <v>100075001.16666669</v>
      </c>
      <c r="AL1253" s="177">
        <f t="shared" si="4518"/>
        <v>92075001.166666687</v>
      </c>
      <c r="AM1253" s="177">
        <f t="shared" ref="AM1253:BB1253" si="4519">SUM(AM$1232)</f>
        <v>84075001.166666687</v>
      </c>
      <c r="AN1253" s="177">
        <f t="shared" si="4519"/>
        <v>76075001.166666687</v>
      </c>
      <c r="AO1253" s="177">
        <f t="shared" si="4519"/>
        <v>68075001.166666687</v>
      </c>
      <c r="AP1253" s="177">
        <f t="shared" si="4519"/>
        <v>60075001.166666687</v>
      </c>
      <c r="AQ1253" s="177">
        <f t="shared" si="4519"/>
        <v>52075001.166666687</v>
      </c>
      <c r="AR1253" s="177">
        <f t="shared" si="4519"/>
        <v>44075001.166666687</v>
      </c>
      <c r="AS1253" s="177">
        <f t="shared" si="4519"/>
        <v>36075001.166666687</v>
      </c>
      <c r="AT1253" s="177">
        <f t="shared" si="4519"/>
        <v>28075001.166666687</v>
      </c>
      <c r="AU1253" s="177">
        <f t="shared" si="4519"/>
        <v>20075001.166666687</v>
      </c>
      <c r="AV1253" s="177">
        <f t="shared" si="4519"/>
        <v>12075001.166666687</v>
      </c>
      <c r="AW1253" s="177">
        <f t="shared" si="4519"/>
        <v>4075001.1666666865</v>
      </c>
      <c r="AX1253" s="177">
        <f t="shared" si="4519"/>
        <v>0.16666668653488159</v>
      </c>
      <c r="AY1253" s="177">
        <f t="shared" si="4519"/>
        <v>0.16666668653488159</v>
      </c>
      <c r="AZ1253" s="177">
        <f t="shared" si="4519"/>
        <v>0.16666668653488159</v>
      </c>
      <c r="BA1253" s="177">
        <f t="shared" si="4519"/>
        <v>0.16666668653488159</v>
      </c>
      <c r="BB1253" s="177">
        <f t="shared" si="4519"/>
        <v>0.16666668653488159</v>
      </c>
      <c r="BC1253" s="169"/>
      <c r="BD1253" s="178"/>
    </row>
    <row r="1254" spans="1:56" s="195" customFormat="1" hidden="1" outlineLevel="1" x14ac:dyDescent="0.3">
      <c r="A1254" s="169" t="str">
        <f ca="1">Language!A$1143</f>
        <v>Краткосрочные кредиты на конец периода</v>
      </c>
      <c r="B1254" s="169"/>
      <c r="C1254" s="194" t="str">
        <f t="shared" ca="1" si="4486"/>
        <v>руб.</v>
      </c>
      <c r="D1254" s="170"/>
      <c r="E1254" s="170"/>
      <c r="F1254" s="170" t="s">
        <v>1117</v>
      </c>
      <c r="G1254" s="177">
        <v>0</v>
      </c>
      <c r="H1254" s="177">
        <v>0</v>
      </c>
      <c r="I1254" s="177">
        <v>0</v>
      </c>
      <c r="J1254" s="177">
        <v>0</v>
      </c>
      <c r="K1254" s="177">
        <v>0</v>
      </c>
      <c r="L1254" s="177">
        <v>0</v>
      </c>
      <c r="M1254" s="177">
        <v>0</v>
      </c>
      <c r="N1254" s="177">
        <v>0</v>
      </c>
      <c r="O1254" s="177">
        <v>0</v>
      </c>
      <c r="P1254" s="177">
        <v>0</v>
      </c>
      <c r="Q1254" s="177">
        <v>0</v>
      </c>
      <c r="R1254" s="177">
        <v>0</v>
      </c>
      <c r="S1254" s="177">
        <v>0</v>
      </c>
      <c r="T1254" s="177">
        <v>0</v>
      </c>
      <c r="U1254" s="177">
        <v>0</v>
      </c>
      <c r="V1254" s="177">
        <v>0</v>
      </c>
      <c r="W1254" s="177">
        <v>0</v>
      </c>
      <c r="X1254" s="177">
        <v>0</v>
      </c>
      <c r="Y1254" s="177">
        <v>0</v>
      </c>
      <c r="Z1254" s="177">
        <v>0</v>
      </c>
      <c r="AA1254" s="177">
        <v>0</v>
      </c>
      <c r="AB1254" s="177">
        <v>0</v>
      </c>
      <c r="AC1254" s="177">
        <v>0</v>
      </c>
      <c r="AD1254" s="177">
        <v>0</v>
      </c>
      <c r="AE1254" s="177">
        <v>0</v>
      </c>
      <c r="AF1254" s="177">
        <v>0</v>
      </c>
      <c r="AG1254" s="177">
        <v>0</v>
      </c>
      <c r="AH1254" s="177">
        <v>0</v>
      </c>
      <c r="AI1254" s="177">
        <v>0</v>
      </c>
      <c r="AJ1254" s="177">
        <v>0</v>
      </c>
      <c r="AK1254" s="177">
        <v>0</v>
      </c>
      <c r="AL1254" s="177">
        <v>0</v>
      </c>
      <c r="AM1254" s="177">
        <v>0</v>
      </c>
      <c r="AN1254" s="177">
        <v>0</v>
      </c>
      <c r="AO1254" s="177">
        <v>0</v>
      </c>
      <c r="AP1254" s="177">
        <v>0</v>
      </c>
      <c r="AQ1254" s="177">
        <v>0</v>
      </c>
      <c r="AR1254" s="177">
        <v>0</v>
      </c>
      <c r="AS1254" s="177">
        <v>0</v>
      </c>
      <c r="AT1254" s="177">
        <v>0</v>
      </c>
      <c r="AU1254" s="177">
        <v>0</v>
      </c>
      <c r="AV1254" s="177">
        <v>0</v>
      </c>
      <c r="AW1254" s="177">
        <v>0</v>
      </c>
      <c r="AX1254" s="177">
        <v>0</v>
      </c>
      <c r="AY1254" s="177">
        <v>0</v>
      </c>
      <c r="AZ1254" s="177">
        <v>0</v>
      </c>
      <c r="BA1254" s="177">
        <v>0</v>
      </c>
      <c r="BB1254" s="177">
        <v>0</v>
      </c>
      <c r="BC1254" s="169"/>
      <c r="BD1254" s="178"/>
    </row>
    <row r="1255" spans="1:56" s="195" customFormat="1" hidden="1" outlineLevel="1" x14ac:dyDescent="0.3">
      <c r="A1255" s="169" t="str">
        <f ca="1">Language!A$1144</f>
        <v>Отнесение процентов на стоимость основных средств</v>
      </c>
      <c r="B1255" s="169"/>
      <c r="C1255" s="194" t="str">
        <f t="shared" ca="1" si="4486"/>
        <v>руб.</v>
      </c>
      <c r="D1255" s="170"/>
      <c r="E1255" s="170"/>
      <c r="F1255" s="170" t="s">
        <v>1554</v>
      </c>
      <c r="G1255" s="177">
        <f t="shared" ref="G1255:AL1255" si="4520">SUM(G$1237)</f>
        <v>0</v>
      </c>
      <c r="H1255" s="177">
        <f t="shared" si="4520"/>
        <v>0</v>
      </c>
      <c r="I1255" s="177">
        <f t="shared" si="4520"/>
        <v>0</v>
      </c>
      <c r="J1255" s="177">
        <f t="shared" si="4520"/>
        <v>0</v>
      </c>
      <c r="K1255" s="177">
        <f t="shared" si="4520"/>
        <v>0</v>
      </c>
      <c r="L1255" s="177">
        <f t="shared" si="4520"/>
        <v>0</v>
      </c>
      <c r="M1255" s="177">
        <f t="shared" si="4520"/>
        <v>0</v>
      </c>
      <c r="N1255" s="177">
        <f t="shared" si="4520"/>
        <v>0</v>
      </c>
      <c r="O1255" s="177">
        <f t="shared" si="4520"/>
        <v>0</v>
      </c>
      <c r="P1255" s="177">
        <f t="shared" si="4520"/>
        <v>0</v>
      </c>
      <c r="Q1255" s="177">
        <f t="shared" si="4520"/>
        <v>0</v>
      </c>
      <c r="R1255" s="177">
        <f t="shared" si="4520"/>
        <v>0</v>
      </c>
      <c r="S1255" s="177">
        <f t="shared" si="4520"/>
        <v>0</v>
      </c>
      <c r="T1255" s="177">
        <f t="shared" si="4520"/>
        <v>0</v>
      </c>
      <c r="U1255" s="177">
        <f t="shared" si="4520"/>
        <v>0</v>
      </c>
      <c r="V1255" s="177">
        <f t="shared" si="4520"/>
        <v>0</v>
      </c>
      <c r="W1255" s="177">
        <f t="shared" si="4520"/>
        <v>0</v>
      </c>
      <c r="X1255" s="177">
        <f t="shared" si="4520"/>
        <v>0</v>
      </c>
      <c r="Y1255" s="177">
        <f t="shared" si="4520"/>
        <v>0</v>
      </c>
      <c r="Z1255" s="177">
        <f t="shared" si="4520"/>
        <v>0</v>
      </c>
      <c r="AA1255" s="177">
        <f t="shared" si="4520"/>
        <v>0</v>
      </c>
      <c r="AB1255" s="177">
        <f t="shared" si="4520"/>
        <v>0</v>
      </c>
      <c r="AC1255" s="177">
        <f t="shared" si="4520"/>
        <v>0</v>
      </c>
      <c r="AD1255" s="177">
        <f t="shared" si="4520"/>
        <v>0</v>
      </c>
      <c r="AE1255" s="177">
        <f t="shared" si="4520"/>
        <v>0</v>
      </c>
      <c r="AF1255" s="177">
        <f t="shared" si="4520"/>
        <v>0</v>
      </c>
      <c r="AG1255" s="177">
        <f t="shared" si="4520"/>
        <v>0</v>
      </c>
      <c r="AH1255" s="177">
        <f t="shared" si="4520"/>
        <v>0</v>
      </c>
      <c r="AI1255" s="177">
        <f t="shared" si="4520"/>
        <v>0</v>
      </c>
      <c r="AJ1255" s="177">
        <f t="shared" si="4520"/>
        <v>0</v>
      </c>
      <c r="AK1255" s="177">
        <f t="shared" si="4520"/>
        <v>0</v>
      </c>
      <c r="AL1255" s="177">
        <f t="shared" si="4520"/>
        <v>0</v>
      </c>
      <c r="AM1255" s="177">
        <f t="shared" ref="AM1255:BB1255" si="4521">SUM(AM$1237)</f>
        <v>0</v>
      </c>
      <c r="AN1255" s="177">
        <f t="shared" si="4521"/>
        <v>0</v>
      </c>
      <c r="AO1255" s="177">
        <f t="shared" si="4521"/>
        <v>0</v>
      </c>
      <c r="AP1255" s="177">
        <f t="shared" si="4521"/>
        <v>0</v>
      </c>
      <c r="AQ1255" s="177">
        <f t="shared" si="4521"/>
        <v>0</v>
      </c>
      <c r="AR1255" s="177">
        <f t="shared" si="4521"/>
        <v>0</v>
      </c>
      <c r="AS1255" s="177">
        <f t="shared" si="4521"/>
        <v>0</v>
      </c>
      <c r="AT1255" s="177">
        <f t="shared" si="4521"/>
        <v>0</v>
      </c>
      <c r="AU1255" s="177">
        <f t="shared" si="4521"/>
        <v>0</v>
      </c>
      <c r="AV1255" s="177">
        <f t="shared" si="4521"/>
        <v>0</v>
      </c>
      <c r="AW1255" s="177">
        <f t="shared" si="4521"/>
        <v>0</v>
      </c>
      <c r="AX1255" s="177">
        <f t="shared" si="4521"/>
        <v>0</v>
      </c>
      <c r="AY1255" s="177">
        <f t="shared" si="4521"/>
        <v>0</v>
      </c>
      <c r="AZ1255" s="177">
        <f t="shared" si="4521"/>
        <v>0</v>
      </c>
      <c r="BA1255" s="177">
        <f t="shared" si="4521"/>
        <v>0</v>
      </c>
      <c r="BB1255" s="177">
        <f t="shared" si="4521"/>
        <v>0</v>
      </c>
      <c r="BC1255" s="169"/>
      <c r="BD1255" s="183">
        <f>SUM(G1255:BC1255)</f>
        <v>0</v>
      </c>
    </row>
    <row r="1256" spans="1:56" s="195" customFormat="1" hidden="1" outlineLevel="1" x14ac:dyDescent="0.3">
      <c r="A1256" s="169" t="str">
        <f ca="1">Language!A$1145</f>
        <v>Незавершенные инвестиции</v>
      </c>
      <c r="B1256" s="169"/>
      <c r="C1256" s="194" t="str">
        <f t="shared" ca="1" si="4486"/>
        <v>руб.</v>
      </c>
      <c r="D1256" s="170"/>
      <c r="E1256" s="170"/>
      <c r="F1256" s="170" t="s">
        <v>1558</v>
      </c>
      <c r="G1256" s="177">
        <f t="shared" ref="G1256:AL1256" si="4522">SUM(G$1238)</f>
        <v>0</v>
      </c>
      <c r="H1256" s="177">
        <f t="shared" si="4522"/>
        <v>0</v>
      </c>
      <c r="I1256" s="177">
        <f t="shared" si="4522"/>
        <v>0</v>
      </c>
      <c r="J1256" s="177">
        <f t="shared" si="4522"/>
        <v>0</v>
      </c>
      <c r="K1256" s="177">
        <f t="shared" si="4522"/>
        <v>0</v>
      </c>
      <c r="L1256" s="177">
        <f t="shared" si="4522"/>
        <v>0</v>
      </c>
      <c r="M1256" s="177">
        <f t="shared" si="4522"/>
        <v>0</v>
      </c>
      <c r="N1256" s="177">
        <f t="shared" si="4522"/>
        <v>0</v>
      </c>
      <c r="O1256" s="177">
        <f t="shared" si="4522"/>
        <v>0</v>
      </c>
      <c r="P1256" s="177">
        <f t="shared" si="4522"/>
        <v>0</v>
      </c>
      <c r="Q1256" s="177">
        <f t="shared" si="4522"/>
        <v>0</v>
      </c>
      <c r="R1256" s="177">
        <f t="shared" si="4522"/>
        <v>0</v>
      </c>
      <c r="S1256" s="177">
        <f t="shared" si="4522"/>
        <v>0</v>
      </c>
      <c r="T1256" s="177">
        <f t="shared" si="4522"/>
        <v>0</v>
      </c>
      <c r="U1256" s="177">
        <f t="shared" si="4522"/>
        <v>0</v>
      </c>
      <c r="V1256" s="177">
        <f t="shared" si="4522"/>
        <v>0</v>
      </c>
      <c r="W1256" s="177">
        <f t="shared" si="4522"/>
        <v>0</v>
      </c>
      <c r="X1256" s="177">
        <f t="shared" si="4522"/>
        <v>0</v>
      </c>
      <c r="Y1256" s="177">
        <f t="shared" si="4522"/>
        <v>0</v>
      </c>
      <c r="Z1256" s="177">
        <f t="shared" si="4522"/>
        <v>0</v>
      </c>
      <c r="AA1256" s="177">
        <f t="shared" si="4522"/>
        <v>0</v>
      </c>
      <c r="AB1256" s="177">
        <f t="shared" si="4522"/>
        <v>0</v>
      </c>
      <c r="AC1256" s="177">
        <f t="shared" si="4522"/>
        <v>0</v>
      </c>
      <c r="AD1256" s="177">
        <f t="shared" si="4522"/>
        <v>0</v>
      </c>
      <c r="AE1256" s="177">
        <f t="shared" si="4522"/>
        <v>0</v>
      </c>
      <c r="AF1256" s="177">
        <f t="shared" si="4522"/>
        <v>0</v>
      </c>
      <c r="AG1256" s="177">
        <f t="shared" si="4522"/>
        <v>0</v>
      </c>
      <c r="AH1256" s="177">
        <f t="shared" si="4522"/>
        <v>0</v>
      </c>
      <c r="AI1256" s="177">
        <f t="shared" si="4522"/>
        <v>0</v>
      </c>
      <c r="AJ1256" s="177">
        <f t="shared" si="4522"/>
        <v>0</v>
      </c>
      <c r="AK1256" s="177">
        <f t="shared" si="4522"/>
        <v>0</v>
      </c>
      <c r="AL1256" s="177">
        <f t="shared" si="4522"/>
        <v>0</v>
      </c>
      <c r="AM1256" s="177">
        <f t="shared" ref="AM1256:BB1256" si="4523">SUM(AM$1238)</f>
        <v>0</v>
      </c>
      <c r="AN1256" s="177">
        <f t="shared" si="4523"/>
        <v>0</v>
      </c>
      <c r="AO1256" s="177">
        <f t="shared" si="4523"/>
        <v>0</v>
      </c>
      <c r="AP1256" s="177">
        <f t="shared" si="4523"/>
        <v>0</v>
      </c>
      <c r="AQ1256" s="177">
        <f t="shared" si="4523"/>
        <v>0</v>
      </c>
      <c r="AR1256" s="177">
        <f t="shared" si="4523"/>
        <v>0</v>
      </c>
      <c r="AS1256" s="177">
        <f t="shared" si="4523"/>
        <v>0</v>
      </c>
      <c r="AT1256" s="177">
        <f t="shared" si="4523"/>
        <v>0</v>
      </c>
      <c r="AU1256" s="177">
        <f t="shared" si="4523"/>
        <v>0</v>
      </c>
      <c r="AV1256" s="177">
        <f t="shared" si="4523"/>
        <v>0</v>
      </c>
      <c r="AW1256" s="177">
        <f t="shared" si="4523"/>
        <v>0</v>
      </c>
      <c r="AX1256" s="177">
        <f t="shared" si="4523"/>
        <v>0</v>
      </c>
      <c r="AY1256" s="177">
        <f t="shared" si="4523"/>
        <v>0</v>
      </c>
      <c r="AZ1256" s="177">
        <f t="shared" si="4523"/>
        <v>0</v>
      </c>
      <c r="BA1256" s="177">
        <f t="shared" si="4523"/>
        <v>0</v>
      </c>
      <c r="BB1256" s="177">
        <f t="shared" si="4523"/>
        <v>0</v>
      </c>
      <c r="BC1256" s="169"/>
      <c r="BD1256" s="183"/>
    </row>
    <row r="1257" spans="1:56" s="195" customFormat="1" hidden="1" outlineLevel="1" x14ac:dyDescent="0.3">
      <c r="A1257" s="169" t="str">
        <f ca="1">Language!A$1146</f>
        <v>Балансовая стоимость процентов в основных средствах</v>
      </c>
      <c r="B1257" s="169"/>
      <c r="C1257" s="194" t="str">
        <f t="shared" ca="1" si="4486"/>
        <v>руб.</v>
      </c>
      <c r="D1257" s="170"/>
      <c r="E1257" s="170"/>
      <c r="F1257" s="170" t="s">
        <v>1118</v>
      </c>
      <c r="G1257" s="177">
        <f t="shared" ref="G1257:AL1257" si="4524">SUM(G$1243)</f>
        <v>0</v>
      </c>
      <c r="H1257" s="177">
        <f t="shared" si="4524"/>
        <v>0</v>
      </c>
      <c r="I1257" s="177">
        <f t="shared" si="4524"/>
        <v>0</v>
      </c>
      <c r="J1257" s="177">
        <f t="shared" si="4524"/>
        <v>0</v>
      </c>
      <c r="K1257" s="177">
        <f t="shared" si="4524"/>
        <v>0</v>
      </c>
      <c r="L1257" s="177">
        <f t="shared" si="4524"/>
        <v>0</v>
      </c>
      <c r="M1257" s="177">
        <f t="shared" si="4524"/>
        <v>0</v>
      </c>
      <c r="N1257" s="177">
        <f t="shared" si="4524"/>
        <v>0</v>
      </c>
      <c r="O1257" s="177">
        <f t="shared" si="4524"/>
        <v>0</v>
      </c>
      <c r="P1257" s="177">
        <f t="shared" si="4524"/>
        <v>0</v>
      </c>
      <c r="Q1257" s="177">
        <f t="shared" si="4524"/>
        <v>0</v>
      </c>
      <c r="R1257" s="177">
        <f t="shared" si="4524"/>
        <v>0</v>
      </c>
      <c r="S1257" s="177">
        <f t="shared" si="4524"/>
        <v>0</v>
      </c>
      <c r="T1257" s="177">
        <f t="shared" si="4524"/>
        <v>0</v>
      </c>
      <c r="U1257" s="177">
        <f t="shared" si="4524"/>
        <v>0</v>
      </c>
      <c r="V1257" s="177">
        <f t="shared" si="4524"/>
        <v>0</v>
      </c>
      <c r="W1257" s="177">
        <f t="shared" si="4524"/>
        <v>0</v>
      </c>
      <c r="X1257" s="177">
        <f t="shared" si="4524"/>
        <v>0</v>
      </c>
      <c r="Y1257" s="177">
        <f t="shared" si="4524"/>
        <v>0</v>
      </c>
      <c r="Z1257" s="177">
        <f t="shared" si="4524"/>
        <v>0</v>
      </c>
      <c r="AA1257" s="177">
        <f t="shared" si="4524"/>
        <v>0</v>
      </c>
      <c r="AB1257" s="177">
        <f t="shared" si="4524"/>
        <v>0</v>
      </c>
      <c r="AC1257" s="177">
        <f t="shared" si="4524"/>
        <v>0</v>
      </c>
      <c r="AD1257" s="177">
        <f t="shared" si="4524"/>
        <v>0</v>
      </c>
      <c r="AE1257" s="177">
        <f t="shared" si="4524"/>
        <v>0</v>
      </c>
      <c r="AF1257" s="177">
        <f t="shared" si="4524"/>
        <v>0</v>
      </c>
      <c r="AG1257" s="177">
        <f t="shared" si="4524"/>
        <v>0</v>
      </c>
      <c r="AH1257" s="177">
        <f t="shared" si="4524"/>
        <v>0</v>
      </c>
      <c r="AI1257" s="177">
        <f t="shared" si="4524"/>
        <v>0</v>
      </c>
      <c r="AJ1257" s="177">
        <f t="shared" si="4524"/>
        <v>0</v>
      </c>
      <c r="AK1257" s="177">
        <f t="shared" si="4524"/>
        <v>0</v>
      </c>
      <c r="AL1257" s="177">
        <f t="shared" si="4524"/>
        <v>0</v>
      </c>
      <c r="AM1257" s="177">
        <f t="shared" ref="AM1257:BB1257" si="4525">SUM(AM$1243)</f>
        <v>0</v>
      </c>
      <c r="AN1257" s="177">
        <f t="shared" si="4525"/>
        <v>0</v>
      </c>
      <c r="AO1257" s="177">
        <f t="shared" si="4525"/>
        <v>0</v>
      </c>
      <c r="AP1257" s="177">
        <f t="shared" si="4525"/>
        <v>0</v>
      </c>
      <c r="AQ1257" s="177">
        <f t="shared" si="4525"/>
        <v>0</v>
      </c>
      <c r="AR1257" s="177">
        <f t="shared" si="4525"/>
        <v>0</v>
      </c>
      <c r="AS1257" s="177">
        <f t="shared" si="4525"/>
        <v>0</v>
      </c>
      <c r="AT1257" s="177">
        <f t="shared" si="4525"/>
        <v>0</v>
      </c>
      <c r="AU1257" s="177">
        <f t="shared" si="4525"/>
        <v>0</v>
      </c>
      <c r="AV1257" s="177">
        <f t="shared" si="4525"/>
        <v>0</v>
      </c>
      <c r="AW1257" s="177">
        <f t="shared" si="4525"/>
        <v>0</v>
      </c>
      <c r="AX1257" s="177">
        <f t="shared" si="4525"/>
        <v>0</v>
      </c>
      <c r="AY1257" s="177">
        <f t="shared" si="4525"/>
        <v>0</v>
      </c>
      <c r="AZ1257" s="177">
        <f t="shared" si="4525"/>
        <v>0</v>
      </c>
      <c r="BA1257" s="177">
        <f t="shared" si="4525"/>
        <v>0</v>
      </c>
      <c r="BB1257" s="177">
        <f t="shared" si="4525"/>
        <v>0</v>
      </c>
      <c r="BC1257" s="169"/>
      <c r="BD1257" s="178"/>
    </row>
    <row r="1258" spans="1:56" s="195" customFormat="1" hidden="1" outlineLevel="1" x14ac:dyDescent="0.3">
      <c r="A1258" s="169" t="str">
        <f ca="1">Language!A$1147</f>
        <v>Амортизация процентов в основных средствах</v>
      </c>
      <c r="B1258" s="169"/>
      <c r="C1258" s="194" t="str">
        <f t="shared" ca="1" si="4486"/>
        <v>руб.</v>
      </c>
      <c r="D1258" s="170"/>
      <c r="E1258" s="170"/>
      <c r="F1258" s="170" t="s">
        <v>1119</v>
      </c>
      <c r="G1258" s="177">
        <f t="shared" ref="G1258:AL1258" si="4526">SUM(G$1242)</f>
        <v>0</v>
      </c>
      <c r="H1258" s="177">
        <f t="shared" si="4526"/>
        <v>0</v>
      </c>
      <c r="I1258" s="177">
        <f t="shared" si="4526"/>
        <v>0</v>
      </c>
      <c r="J1258" s="177">
        <f t="shared" si="4526"/>
        <v>0</v>
      </c>
      <c r="K1258" s="177">
        <f t="shared" si="4526"/>
        <v>0</v>
      </c>
      <c r="L1258" s="177">
        <f t="shared" si="4526"/>
        <v>0</v>
      </c>
      <c r="M1258" s="177">
        <f t="shared" si="4526"/>
        <v>0</v>
      </c>
      <c r="N1258" s="177">
        <f t="shared" si="4526"/>
        <v>0</v>
      </c>
      <c r="O1258" s="177">
        <f t="shared" si="4526"/>
        <v>0</v>
      </c>
      <c r="P1258" s="177">
        <f t="shared" si="4526"/>
        <v>0</v>
      </c>
      <c r="Q1258" s="177">
        <f t="shared" si="4526"/>
        <v>0</v>
      </c>
      <c r="R1258" s="177">
        <f t="shared" si="4526"/>
        <v>0</v>
      </c>
      <c r="S1258" s="177">
        <f t="shared" si="4526"/>
        <v>0</v>
      </c>
      <c r="T1258" s="177">
        <f t="shared" si="4526"/>
        <v>0</v>
      </c>
      <c r="U1258" s="177">
        <f t="shared" si="4526"/>
        <v>0</v>
      </c>
      <c r="V1258" s="177">
        <f t="shared" si="4526"/>
        <v>0</v>
      </c>
      <c r="W1258" s="177">
        <f t="shared" si="4526"/>
        <v>0</v>
      </c>
      <c r="X1258" s="177">
        <f t="shared" si="4526"/>
        <v>0</v>
      </c>
      <c r="Y1258" s="177">
        <f t="shared" si="4526"/>
        <v>0</v>
      </c>
      <c r="Z1258" s="177">
        <f t="shared" si="4526"/>
        <v>0</v>
      </c>
      <c r="AA1258" s="177">
        <f t="shared" si="4526"/>
        <v>0</v>
      </c>
      <c r="AB1258" s="177">
        <f t="shared" si="4526"/>
        <v>0</v>
      </c>
      <c r="AC1258" s="177">
        <f t="shared" si="4526"/>
        <v>0</v>
      </c>
      <c r="AD1258" s="177">
        <f t="shared" si="4526"/>
        <v>0</v>
      </c>
      <c r="AE1258" s="177">
        <f t="shared" si="4526"/>
        <v>0</v>
      </c>
      <c r="AF1258" s="177">
        <f t="shared" si="4526"/>
        <v>0</v>
      </c>
      <c r="AG1258" s="177">
        <f t="shared" si="4526"/>
        <v>0</v>
      </c>
      <c r="AH1258" s="177">
        <f t="shared" si="4526"/>
        <v>0</v>
      </c>
      <c r="AI1258" s="177">
        <f t="shared" si="4526"/>
        <v>0</v>
      </c>
      <c r="AJ1258" s="177">
        <f t="shared" si="4526"/>
        <v>0</v>
      </c>
      <c r="AK1258" s="177">
        <f t="shared" si="4526"/>
        <v>0</v>
      </c>
      <c r="AL1258" s="177">
        <f t="shared" si="4526"/>
        <v>0</v>
      </c>
      <c r="AM1258" s="177">
        <f t="shared" ref="AM1258:BB1258" si="4527">SUM(AM$1242)</f>
        <v>0</v>
      </c>
      <c r="AN1258" s="177">
        <f t="shared" si="4527"/>
        <v>0</v>
      </c>
      <c r="AO1258" s="177">
        <f t="shared" si="4527"/>
        <v>0</v>
      </c>
      <c r="AP1258" s="177">
        <f t="shared" si="4527"/>
        <v>0</v>
      </c>
      <c r="AQ1258" s="177">
        <f t="shared" si="4527"/>
        <v>0</v>
      </c>
      <c r="AR1258" s="177">
        <f t="shared" si="4527"/>
        <v>0</v>
      </c>
      <c r="AS1258" s="177">
        <f t="shared" si="4527"/>
        <v>0</v>
      </c>
      <c r="AT1258" s="177">
        <f t="shared" si="4527"/>
        <v>0</v>
      </c>
      <c r="AU1258" s="177">
        <f t="shared" si="4527"/>
        <v>0</v>
      </c>
      <c r="AV1258" s="177">
        <f t="shared" si="4527"/>
        <v>0</v>
      </c>
      <c r="AW1258" s="177">
        <f t="shared" si="4527"/>
        <v>0</v>
      </c>
      <c r="AX1258" s="177">
        <f t="shared" si="4527"/>
        <v>0</v>
      </c>
      <c r="AY1258" s="177">
        <f t="shared" si="4527"/>
        <v>0</v>
      </c>
      <c r="AZ1258" s="177">
        <f t="shared" si="4527"/>
        <v>0</v>
      </c>
      <c r="BA1258" s="177">
        <f t="shared" si="4527"/>
        <v>0</v>
      </c>
      <c r="BB1258" s="177">
        <f t="shared" si="4527"/>
        <v>0</v>
      </c>
      <c r="BC1258" s="169"/>
      <c r="BD1258" s="183">
        <f>SUM(G1258:BC1258)</f>
        <v>0</v>
      </c>
    </row>
    <row r="1259" spans="1:56" s="195" customFormat="1" hidden="1" outlineLevel="1" x14ac:dyDescent="0.3">
      <c r="A1259" s="169" t="str">
        <f ca="1">Language!A$1148</f>
        <v>Курсовые разницы</v>
      </c>
      <c r="B1259" s="169"/>
      <c r="C1259" s="194" t="str">
        <f t="shared" ca="1" si="4486"/>
        <v>руб.</v>
      </c>
      <c r="D1259" s="170"/>
      <c r="E1259" s="170"/>
      <c r="F1259" s="170" t="s">
        <v>740</v>
      </c>
      <c r="G1259" s="177">
        <f>IF(G$2=1,0,SUM($F1249:G1249)-SUM($F1250:G1250)-G1253-G1254+SUM($F1251:G1251)-SUM($F1252:G1252)-(SUM($F1249:F1249)-SUM($F1250:F1250)-F1253-F1254+SUM($F1251:F1251)-SUM($F1252:F1252)))</f>
        <v>0</v>
      </c>
      <c r="H1259" s="177">
        <f>IF(H$2=1,0,SUM($F1249:H1249)-SUM($F1250:H1250)-H1253-H1254+SUM($F1251:H1251)-SUM($F1252:H1252)-(SUM($F1249:G1249)-SUM($F1250:G1250)-G1253-G1254+SUM($F1251:G1251)-SUM($F1252:G1252)))</f>
        <v>0</v>
      </c>
      <c r="I1259" s="177">
        <f>IF(I$2=1,0,SUM($F1249:I1249)-SUM($F1250:I1250)-I1253-I1254+SUM($F1251:I1251)-SUM($F1252:I1252)-(SUM($F1249:H1249)-SUM($F1250:H1250)-H1253-H1254+SUM($F1251:H1251)-SUM($F1252:H1252)))</f>
        <v>0</v>
      </c>
      <c r="J1259" s="177">
        <f>IF(J$2=1,0,SUM($F1249:J1249)-SUM($F1250:J1250)-J1253-J1254+SUM($F1251:J1251)-SUM($F1252:J1252)-(SUM($F1249:I1249)-SUM($F1250:I1250)-I1253-I1254+SUM($F1251:I1251)-SUM($F1252:I1252)))</f>
        <v>0</v>
      </c>
      <c r="K1259" s="177">
        <f>IF(K$2=1,0,SUM($F1249:K1249)-SUM($F1250:K1250)-K1253-K1254+SUM($F1251:K1251)-SUM($F1252:K1252)-(SUM($F1249:J1249)-SUM($F1250:J1250)-J1253-J1254+SUM($F1251:J1251)-SUM($F1252:J1252)))</f>
        <v>0</v>
      </c>
      <c r="L1259" s="177">
        <f>IF(L$2=1,0,SUM($F1249:L1249)-SUM($F1250:L1250)-L1253-L1254+SUM($F1251:L1251)-SUM($F1252:L1252)-(SUM($F1249:K1249)-SUM($F1250:K1250)-K1253-K1254+SUM($F1251:K1251)-SUM($F1252:K1252)))</f>
        <v>0</v>
      </c>
      <c r="M1259" s="177">
        <f>IF(M$2=1,0,SUM($F1249:M1249)-SUM($F1250:M1250)-M1253-M1254+SUM($F1251:M1251)-SUM($F1252:M1252)-(SUM($F1249:L1249)-SUM($F1250:L1250)-L1253-L1254+SUM($F1251:L1251)-SUM($F1252:L1252)))</f>
        <v>1.1175870895385742E-8</v>
      </c>
      <c r="N1259" s="177">
        <f>IF(N$2=1,0,SUM($F1249:N1249)-SUM($F1250:N1250)-N1253-N1254+SUM($F1251:N1251)-SUM($F1252:N1252)-(SUM($F1249:M1249)-SUM($F1250:M1250)-M1253-M1254+SUM($F1251:M1251)-SUM($F1252:M1252)))</f>
        <v>-2.6077032089233398E-8</v>
      </c>
      <c r="O1259" s="177">
        <f>IF(O$2=1,0,SUM($F1249:O1249)-SUM($F1250:O1250)-O1253-O1254+SUM($F1251:O1251)-SUM($F1252:O1252)-(SUM($F1249:N1249)-SUM($F1250:N1250)-N1253-N1254+SUM($F1251:N1251)-SUM($F1252:N1252)))</f>
        <v>0</v>
      </c>
      <c r="P1259" s="177">
        <f>IF(P$2=1,0,SUM($F1249:P1249)-SUM($F1250:P1250)-P1253-P1254+SUM($F1251:P1251)-SUM($F1252:P1252)-(SUM($F1249:O1249)-SUM($F1250:O1250)-O1253-O1254+SUM($F1251:O1251)-SUM($F1252:O1252)))</f>
        <v>0</v>
      </c>
      <c r="Q1259" s="177">
        <f>IF(Q$2=1,0,SUM($F1249:Q1249)-SUM($F1250:Q1250)-Q1253-Q1254+SUM($F1251:Q1251)-SUM($F1252:Q1252)-(SUM($F1249:P1249)-SUM($F1250:P1250)-P1253-P1254+SUM($F1251:P1251)-SUM($F1252:P1252)))</f>
        <v>0</v>
      </c>
      <c r="R1259" s="177">
        <f>IF(R$2=1,0,SUM($F1249:R1249)-SUM($F1250:R1250)-R1253-R1254+SUM($F1251:R1251)-SUM($F1252:R1252)-(SUM($F1249:Q1249)-SUM($F1250:Q1250)-Q1253-Q1254+SUM($F1251:Q1251)-SUM($F1252:Q1252)))</f>
        <v>-1.862645149230957E-9</v>
      </c>
      <c r="S1259" s="177">
        <f>IF(S$2=1,0,SUM($F1249:S1249)-SUM($F1250:S1250)-S1253-S1254+SUM($F1251:S1251)-SUM($F1252:S1252)-(SUM($F1249:R1249)-SUM($F1250:R1250)-R1253-R1254+SUM($F1251:R1251)-SUM($F1252:R1252)))</f>
        <v>1.862645149230957E-9</v>
      </c>
      <c r="T1259" s="177">
        <f>IF(T$2=1,0,SUM($F1249:T1249)-SUM($F1250:T1250)-T1253-T1254+SUM($F1251:T1251)-SUM($F1252:T1252)-(SUM($F1249:S1249)-SUM($F1250:S1250)-S1253-S1254+SUM($F1251:S1251)-SUM($F1252:S1252)))</f>
        <v>0</v>
      </c>
      <c r="U1259" s="177">
        <f>IF(U$2=1,0,SUM($F1249:U1249)-SUM($F1250:U1250)-U1253-U1254+SUM($F1251:U1251)-SUM($F1252:U1252)-(SUM($F1249:T1249)-SUM($F1250:T1250)-T1253-T1254+SUM($F1251:T1251)-SUM($F1252:T1252)))</f>
        <v>-3.7252902984619141E-9</v>
      </c>
      <c r="V1259" s="177">
        <f>IF(V$2=1,0,SUM($F1249:V1249)-SUM($F1250:V1250)-V1253-V1254+SUM($F1251:V1251)-SUM($F1252:V1252)-(SUM($F1249:U1249)-SUM($F1250:U1250)-U1253-U1254+SUM($F1251:U1251)-SUM($F1252:U1252)))</f>
        <v>7.4505805969238281E-9</v>
      </c>
      <c r="W1259" s="177">
        <f>IF(W$2=1,0,SUM($F1249:W1249)-SUM($F1250:W1250)-W1253-W1254+SUM($F1251:W1251)-SUM($F1252:W1252)-(SUM($F1249:V1249)-SUM($F1250:V1250)-V1253-V1254+SUM($F1251:V1251)-SUM($F1252:V1252)))</f>
        <v>-3.7252902984619141E-9</v>
      </c>
      <c r="X1259" s="177">
        <f>IF(X$2=1,0,SUM($F1249:X1249)-SUM($F1250:X1250)-X1253-X1254+SUM($F1251:X1251)-SUM($F1252:X1252)-(SUM($F1249:W1249)-SUM($F1250:W1250)-W1253-W1254+SUM($F1251:W1251)-SUM($F1252:W1252)))</f>
        <v>7.4505805969238281E-9</v>
      </c>
      <c r="Y1259" s="177">
        <f>IF(Y$2=1,0,SUM($F1249:Y1249)-SUM($F1250:Y1250)-Y1253-Y1254+SUM($F1251:Y1251)-SUM($F1252:Y1252)-(SUM($F1249:X1249)-SUM($F1250:X1250)-X1253-X1254+SUM($F1251:X1251)-SUM($F1252:X1252)))</f>
        <v>0</v>
      </c>
      <c r="Z1259" s="177">
        <f>IF(Z$2=1,0,SUM($F1249:Z1249)-SUM($F1250:Z1250)-Z1253-Z1254+SUM($F1251:Z1251)-SUM($F1252:Z1252)-(SUM($F1249:Y1249)-SUM($F1250:Y1250)-Y1253-Y1254+SUM($F1251:Y1251)-SUM($F1252:Y1252)))</f>
        <v>-7.4505805969238281E-9</v>
      </c>
      <c r="AA1259" s="177">
        <f>IF(AA$2=1,0,SUM($F1249:AA1249)-SUM($F1250:AA1250)-AA1253-AA1254+SUM($F1251:AA1251)-SUM($F1252:AA1252)-(SUM($F1249:Z1249)-SUM($F1250:Z1250)-Z1253-Z1254+SUM($F1251:Z1251)-SUM($F1252:Z1252)))</f>
        <v>7.4505805969238281E-9</v>
      </c>
      <c r="AB1259" s="177">
        <f>IF(AB$2=1,0,SUM($F1249:AB1249)-SUM($F1250:AB1250)-AB1253-AB1254+SUM($F1251:AB1251)-SUM($F1252:AB1252)-(SUM($F1249:AA1249)-SUM($F1250:AA1250)-AA1253-AA1254+SUM($F1251:AA1251)-SUM($F1252:AA1252)))</f>
        <v>0</v>
      </c>
      <c r="AC1259" s="177">
        <f>IF(AC$2=1,0,SUM($F1249:AC1249)-SUM($F1250:AC1250)-AC1253-AC1254+SUM($F1251:AC1251)-SUM($F1252:AC1252)-(SUM($F1249:AB1249)-SUM($F1250:AB1250)-AB1253-AB1254+SUM($F1251:AB1251)-SUM($F1252:AB1252)))</f>
        <v>-7.4505805969238281E-9</v>
      </c>
      <c r="AD1259" s="177">
        <f>IF(AD$2=1,0,SUM($F1249:AD1249)-SUM($F1250:AD1250)-AD1253-AD1254+SUM($F1251:AD1251)-SUM($F1252:AD1252)-(SUM($F1249:AC1249)-SUM($F1250:AC1250)-AC1253-AC1254+SUM($F1251:AC1251)-SUM($F1252:AC1252)))</f>
        <v>7.4505805969238281E-9</v>
      </c>
      <c r="AE1259" s="177">
        <f>IF(AE$2=1,0,SUM($F1249:AE1249)-SUM($F1250:AE1250)-AE1253-AE1254+SUM($F1251:AE1251)-SUM($F1252:AE1252)-(SUM($F1249:AD1249)-SUM($F1250:AD1250)-AD1253-AD1254+SUM($F1251:AD1251)-SUM($F1252:AD1252)))</f>
        <v>0</v>
      </c>
      <c r="AF1259" s="177">
        <f>IF(AF$2=1,0,SUM($F1249:AF1249)-SUM($F1250:AF1250)-AF1253-AF1254+SUM($F1251:AF1251)-SUM($F1252:AF1252)-(SUM($F1249:AE1249)-SUM($F1250:AE1250)-AE1253-AE1254+SUM($F1251:AE1251)-SUM($F1252:AE1252)))</f>
        <v>-7.4505805969238281E-9</v>
      </c>
      <c r="AG1259" s="177">
        <f>IF(AG$2=1,0,SUM($F1249:AG1249)-SUM($F1250:AG1250)-AG1253-AG1254+SUM($F1251:AG1251)-SUM($F1252:AG1252)-(SUM($F1249:AF1249)-SUM($F1250:AF1250)-AF1253-AF1254+SUM($F1251:AF1251)-SUM($F1252:AF1252)))</f>
        <v>7.4505805969238281E-9</v>
      </c>
      <c r="AH1259" s="177">
        <f>IF(AH$2=1,0,SUM($F1249:AH1249)-SUM($F1250:AH1250)-AH1253-AH1254+SUM($F1251:AH1251)-SUM($F1252:AH1252)-(SUM($F1249:AG1249)-SUM($F1250:AG1250)-AG1253-AG1254+SUM($F1251:AG1251)-SUM($F1252:AG1252)))</f>
        <v>0</v>
      </c>
      <c r="AI1259" s="177">
        <f>IF(AI$2=1,0,SUM($F1249:AI1249)-SUM($F1250:AI1250)-AI1253-AI1254+SUM($F1251:AI1251)-SUM($F1252:AI1252)-(SUM($F1249:AH1249)-SUM($F1250:AH1250)-AH1253-AH1254+SUM($F1251:AH1251)-SUM($F1252:AH1252)))</f>
        <v>-7.4505805969238281E-9</v>
      </c>
      <c r="AJ1259" s="177">
        <f>IF(AJ$2=1,0,SUM($F1249:AJ1249)-SUM($F1250:AJ1250)-AJ1253-AJ1254+SUM($F1251:AJ1251)-SUM($F1252:AJ1252)-(SUM($F1249:AI1249)-SUM($F1250:AI1250)-AI1253-AI1254+SUM($F1251:AI1251)-SUM($F1252:AI1252)))</f>
        <v>0</v>
      </c>
      <c r="AK1259" s="177">
        <f>IF(AK$2=1,0,SUM($F1249:AK1249)-SUM($F1250:AK1250)-AK1253-AK1254+SUM($F1251:AK1251)-SUM($F1252:AK1252)-(SUM($F1249:AJ1249)-SUM($F1250:AJ1250)-AJ1253-AJ1254+SUM($F1251:AJ1251)-SUM($F1252:AJ1252)))</f>
        <v>0</v>
      </c>
      <c r="AL1259" s="177">
        <f>IF(AL$2=1,0,SUM($F1249:AL1249)-SUM($F1250:AL1250)-AL1253-AL1254+SUM($F1251:AL1251)-SUM($F1252:AL1252)-(SUM($F1249:AK1249)-SUM($F1250:AK1250)-AK1253-AK1254+SUM($F1251:AK1251)-SUM($F1252:AK1252)))</f>
        <v>0</v>
      </c>
      <c r="AM1259" s="177">
        <f>IF(AM$2=1,0,SUM($F1249:AM1249)-SUM($F1250:AM1250)-AM1253-AM1254+SUM($F1251:AM1251)-SUM($F1252:AM1252)-(SUM($F1249:AL1249)-SUM($F1250:AL1250)-AL1253-AL1254+SUM($F1251:AL1251)-SUM($F1252:AL1252)))</f>
        <v>0</v>
      </c>
      <c r="AN1259" s="177">
        <f>IF(AN$2=1,0,SUM($F1249:AN1249)-SUM($F1250:AN1250)-AN1253-AN1254+SUM($F1251:AN1251)-SUM($F1252:AN1252)-(SUM($F1249:AM1249)-SUM($F1250:AM1250)-AM1253-AM1254+SUM($F1251:AM1251)-SUM($F1252:AM1252)))</f>
        <v>0</v>
      </c>
      <c r="AO1259" s="177">
        <f>IF(AO$2=1,0,SUM($F1249:AO1249)-SUM($F1250:AO1250)-AO1253-AO1254+SUM($F1251:AO1251)-SUM($F1252:AO1252)-(SUM($F1249:AN1249)-SUM($F1250:AN1250)-AN1253-AN1254+SUM($F1251:AN1251)-SUM($F1252:AN1252)))</f>
        <v>0</v>
      </c>
      <c r="AP1259" s="177">
        <f>IF(AP$2=1,0,SUM($F1249:AP1249)-SUM($F1250:AP1250)-AP1253-AP1254+SUM($F1251:AP1251)-SUM($F1252:AP1252)-(SUM($F1249:AO1249)-SUM($F1250:AO1250)-AO1253-AO1254+SUM($F1251:AO1251)-SUM($F1252:AO1252)))</f>
        <v>0</v>
      </c>
      <c r="AQ1259" s="177">
        <f>IF(AQ$2=1,0,SUM($F1249:AQ1249)-SUM($F1250:AQ1250)-AQ1253-AQ1254+SUM($F1251:AQ1251)-SUM($F1252:AQ1252)-(SUM($F1249:AP1249)-SUM($F1250:AP1250)-AP1253-AP1254+SUM($F1251:AP1251)-SUM($F1252:AP1252)))</f>
        <v>0</v>
      </c>
      <c r="AR1259" s="177">
        <f>IF(AR$2=1,0,SUM($F1249:AR1249)-SUM($F1250:AR1250)-AR1253-AR1254+SUM($F1251:AR1251)-SUM($F1252:AR1252)-(SUM($F1249:AQ1249)-SUM($F1250:AQ1250)-AQ1253-AQ1254+SUM($F1251:AQ1251)-SUM($F1252:AQ1252)))</f>
        <v>0</v>
      </c>
      <c r="AS1259" s="177">
        <f>IF(AS$2=1,0,SUM($F1249:AS1249)-SUM($F1250:AS1250)-AS1253-AS1254+SUM($F1251:AS1251)-SUM($F1252:AS1252)-(SUM($F1249:AR1249)-SUM($F1250:AR1250)-AR1253-AR1254+SUM($F1251:AR1251)-SUM($F1252:AR1252)))</f>
        <v>0</v>
      </c>
      <c r="AT1259" s="177">
        <f>IF(AT$2=1,0,SUM($F1249:AT1249)-SUM($F1250:AT1250)-AT1253-AT1254+SUM($F1251:AT1251)-SUM($F1252:AT1252)-(SUM($F1249:AS1249)-SUM($F1250:AS1250)-AS1253-AS1254+SUM($F1251:AS1251)-SUM($F1252:AS1252)))</f>
        <v>0</v>
      </c>
      <c r="AU1259" s="177">
        <f>IF(AU$2=1,0,SUM($F1249:AU1249)-SUM($F1250:AU1250)-AU1253-AU1254+SUM($F1251:AU1251)-SUM($F1252:AU1252)-(SUM($F1249:AT1249)-SUM($F1250:AT1250)-AT1253-AT1254+SUM($F1251:AT1251)-SUM($F1252:AT1252)))</f>
        <v>0</v>
      </c>
      <c r="AV1259" s="177">
        <f>IF(AV$2=1,0,SUM($F1249:AV1249)-SUM($F1250:AV1250)-AV1253-AV1254+SUM($F1251:AV1251)-SUM($F1252:AV1252)-(SUM($F1249:AU1249)-SUM($F1250:AU1250)-AU1253-AU1254+SUM($F1251:AU1251)-SUM($F1252:AU1252)))</f>
        <v>0</v>
      </c>
      <c r="AW1259" s="177">
        <f>IF(AW$2=1,0,SUM($F1249:AW1249)-SUM($F1250:AW1250)-AW1253-AW1254+SUM($F1251:AW1251)-SUM($F1252:AW1252)-(SUM($F1249:AV1249)-SUM($F1250:AV1250)-AV1253-AV1254+SUM($F1251:AV1251)-SUM($F1252:AV1252)))</f>
        <v>0</v>
      </c>
      <c r="AX1259" s="177">
        <f>IF(AX$2=1,0,SUM($F1249:AX1249)-SUM($F1250:AX1250)-AX1253-AX1254+SUM($F1251:AX1251)-SUM($F1252:AX1252)-(SUM($F1249:AW1249)-SUM($F1250:AW1250)-AW1253-AW1254+SUM($F1251:AW1251)-SUM($F1252:AW1252)))</f>
        <v>0</v>
      </c>
      <c r="AY1259" s="177">
        <f>IF(AY$2=1,0,SUM($F1249:AY1249)-SUM($F1250:AY1250)-AY1253-AY1254+SUM($F1251:AY1251)-SUM($F1252:AY1252)-(SUM($F1249:AX1249)-SUM($F1250:AX1250)-AX1253-AX1254+SUM($F1251:AX1251)-SUM($F1252:AX1252)))</f>
        <v>0</v>
      </c>
      <c r="AZ1259" s="177">
        <f>IF(AZ$2=1,0,SUM($F1249:AZ1249)-SUM($F1250:AZ1250)-AZ1253-AZ1254+SUM($F1251:AZ1251)-SUM($F1252:AZ1252)-(SUM($F1249:AY1249)-SUM($F1250:AY1250)-AY1253-AY1254+SUM($F1251:AY1251)-SUM($F1252:AY1252)))</f>
        <v>0</v>
      </c>
      <c r="BA1259" s="177">
        <f>IF(BA$2=1,0,SUM($F1249:BA1249)-SUM($F1250:BA1250)-BA1253-BA1254+SUM($F1251:BA1251)-SUM($F1252:BA1252)-(SUM($F1249:AZ1249)-SUM($F1250:AZ1250)-AZ1253-AZ1254+SUM($F1251:AZ1251)-SUM($F1252:AZ1252)))</f>
        <v>0</v>
      </c>
      <c r="BB1259" s="177">
        <f>IF(BB$2=1,0,SUM($F1249:BB1249)-SUM($F1250:BB1250)-BB1253-BB1254+SUM($F1251:BB1251)-SUM($F1252:BB1252)-(SUM($F1249:BA1249)-SUM($F1250:BA1250)-BA1253-BA1254+SUM($F1251:BA1251)-SUM($F1252:BA1252)))</f>
        <v>0</v>
      </c>
      <c r="BC1259" s="169"/>
      <c r="BD1259" s="183">
        <f>SUM(G1259:BC1259)</f>
        <v>-1.4901161193847656E-8</v>
      </c>
    </row>
    <row r="1260" spans="1:56" s="195" customFormat="1" x14ac:dyDescent="0.3">
      <c r="A1260" s="169"/>
      <c r="B1260" s="169"/>
      <c r="C1260" s="194"/>
      <c r="D1260" s="170"/>
      <c r="E1260" s="170"/>
      <c r="F1260" s="170"/>
      <c r="G1260" s="177"/>
      <c r="H1260" s="177"/>
      <c r="I1260" s="177"/>
      <c r="J1260" s="177"/>
      <c r="K1260" s="177"/>
      <c r="L1260" s="177"/>
      <c r="M1260" s="177"/>
      <c r="N1260" s="177"/>
      <c r="O1260" s="177"/>
      <c r="P1260" s="177"/>
      <c r="Q1260" s="177"/>
      <c r="R1260" s="177"/>
      <c r="S1260" s="177"/>
      <c r="T1260" s="177"/>
      <c r="U1260" s="177"/>
      <c r="V1260" s="177"/>
      <c r="W1260" s="177"/>
      <c r="X1260" s="177"/>
      <c r="Y1260" s="177"/>
      <c r="Z1260" s="177"/>
      <c r="AA1260" s="177"/>
      <c r="AB1260" s="177"/>
      <c r="AC1260" s="177"/>
      <c r="AD1260" s="177"/>
      <c r="AE1260" s="177"/>
      <c r="AF1260" s="177"/>
      <c r="AG1260" s="177"/>
      <c r="AH1260" s="177"/>
      <c r="AI1260" s="177"/>
      <c r="AJ1260" s="177"/>
      <c r="AK1260" s="177"/>
      <c r="AL1260" s="177"/>
      <c r="AM1260" s="177"/>
      <c r="AN1260" s="177"/>
      <c r="AO1260" s="177"/>
      <c r="AP1260" s="177"/>
      <c r="AQ1260" s="177"/>
      <c r="AR1260" s="177"/>
      <c r="AS1260" s="177"/>
      <c r="AT1260" s="177"/>
      <c r="AU1260" s="177"/>
      <c r="AV1260" s="177"/>
      <c r="AW1260" s="177"/>
      <c r="AX1260" s="177"/>
      <c r="AY1260" s="177"/>
      <c r="AZ1260" s="177"/>
      <c r="BA1260" s="177"/>
      <c r="BB1260" s="177"/>
      <c r="BC1260" s="169"/>
      <c r="BD1260" s="183"/>
    </row>
    <row r="1261" spans="1:56" s="195" customFormat="1" x14ac:dyDescent="0.3">
      <c r="A1261" s="171" t="str">
        <f ca="1">Language!A$1149</f>
        <v>Справочно: Остаток денег на счете</v>
      </c>
      <c r="B1261" s="171"/>
      <c r="C1261" s="229" t="str">
        <f t="shared" ca="1" si="4486"/>
        <v>руб.</v>
      </c>
      <c r="D1261" s="186"/>
      <c r="E1261" s="186"/>
      <c r="F1261" s="186" t="s">
        <v>741</v>
      </c>
      <c r="G1261" s="178">
        <f ca="1">OFFSET(Результаты!$F$155,0,G$2) * Параметры!G$64</f>
        <v>211558334</v>
      </c>
      <c r="H1261" s="178">
        <f ca="1">OFFSET(Результаты!$F$155,0,H$2) * Параметры!H$64</f>
        <v>209900000.33333334</v>
      </c>
      <c r="I1261" s="178">
        <f ca="1">OFFSET(Результаты!$F$155,0,I$2) * Параметры!I$64</f>
        <v>73241667.666666687</v>
      </c>
      <c r="J1261" s="178">
        <f ca="1">OFFSET(Результаты!$F$155,0,J$2) * Параметры!J$64</f>
        <v>54850001.000000015</v>
      </c>
      <c r="K1261" s="178">
        <f ca="1">OFFSET(Результаты!$F$155,0,K$2) * Параметры!K$64</f>
        <v>37825001.000000015</v>
      </c>
      <c r="L1261" s="178">
        <f ca="1">OFFSET(Результаты!$F$155,0,L$2) * Параметры!L$64</f>
        <v>18922075.939581752</v>
      </c>
      <c r="M1261" s="178">
        <f ca="1">OFFSET(Результаты!$F$155,0,M$2) * Параметры!M$64</f>
        <v>10035157.655486684</v>
      </c>
      <c r="N1261" s="178">
        <f ca="1">OFFSET(Результаты!$F$155,0,N$2) * Параметры!N$64</f>
        <v>1803117.7469090838</v>
      </c>
      <c r="O1261" s="178">
        <f ca="1">OFFSET(Результаты!$F$155,0,O$2) * Параметры!O$64</f>
        <v>135850.18460357562</v>
      </c>
      <c r="P1261" s="178">
        <f ca="1">OFFSET(Результаты!$F$155,0,P$2) * Параметры!P$64</f>
        <v>570756.51280933339</v>
      </c>
      <c r="Q1261" s="178">
        <f ca="1">OFFSET(Результаты!$F$155,0,Q$2) * Параметры!Q$64</f>
        <v>1678995.0735216746</v>
      </c>
      <c r="R1261" s="178">
        <f ca="1">OFFSET(Результаты!$F$155,0,R$2) * Параметры!R$64</f>
        <v>1258387.9910802324</v>
      </c>
      <c r="S1261" s="178">
        <f ca="1">OFFSET(Результаты!$F$155,0,S$2) * Параметры!S$64</f>
        <v>4195962.9793404434</v>
      </c>
      <c r="T1261" s="178">
        <f ca="1">OFFSET(Результаты!$F$155,0,T$2) * Параметры!T$64</f>
        <v>7190278.8295381945</v>
      </c>
      <c r="U1261" s="178">
        <f ca="1">OFFSET(Результаты!$F$155,0,U$2) * Параметры!U$64</f>
        <v>8502154.6642358396</v>
      </c>
      <c r="V1261" s="178">
        <f ca="1">OFFSET(Результаты!$F$155,0,V$2) * Параметры!V$64</f>
        <v>8709132.3037550822</v>
      </c>
      <c r="W1261" s="178">
        <f ca="1">OFFSET(Результаты!$F$155,0,W$2) * Параметры!W$64</f>
        <v>6389939.6174345631</v>
      </c>
      <c r="X1261" s="178">
        <f ca="1">OFFSET(Результаты!$F$155,0,X$2) * Параметры!X$64</f>
        <v>7403374.5238080397</v>
      </c>
      <c r="Y1261" s="178">
        <f ca="1">OFFSET(Результаты!$F$155,0,Y$2) * Параметры!Y$64</f>
        <v>10106979.386210134</v>
      </c>
      <c r="Z1261" s="178">
        <f ca="1">OFFSET(Результаты!$F$155,0,Z$2) * Параметры!Z$64</f>
        <v>15493939.599454354</v>
      </c>
      <c r="AA1261" s="178">
        <f ca="1">OFFSET(Результаты!$F$155,0,AA$2) * Параметры!AA$64</f>
        <v>17515439.877663791</v>
      </c>
      <c r="AB1261" s="178">
        <f ca="1">OFFSET(Результаты!$F$155,0,AB$2) * Параметры!AB$64</f>
        <v>15099582.513774911</v>
      </c>
      <c r="AC1261" s="178">
        <f ca="1">OFFSET(Результаты!$F$155,0,AC$2) * Параметры!AC$64</f>
        <v>11112415.430962546</v>
      </c>
      <c r="AD1261" s="178">
        <f ca="1">OFFSET(Результаты!$F$155,0,AD$2) * Параметры!AD$64</f>
        <v>7839105.4893916994</v>
      </c>
      <c r="AE1261" s="178">
        <f ca="1">OFFSET(Результаты!$F$155,0,AE$2) * Параметры!AE$64</f>
        <v>8728260.0437648036</v>
      </c>
      <c r="AF1261" s="178">
        <f ca="1">OFFSET(Результаты!$F$155,0,AF$2) * Параметры!AF$64</f>
        <v>9859169.7441609651</v>
      </c>
      <c r="AG1261" s="178">
        <f ca="1">OFFSET(Результаты!$F$155,0,AG$2) * Параметры!AG$64</f>
        <v>9319070.7895265855</v>
      </c>
      <c r="AH1261" s="178">
        <f ca="1">OFFSET(Результаты!$F$155,0,AH$2) * Параметры!AH$64</f>
        <v>8744402.8974499758</v>
      </c>
      <c r="AI1261" s="178">
        <f ca="1">OFFSET(Результаты!$F$155,0,AI$2) * Параметры!AI$64</f>
        <v>5503977.5388145335</v>
      </c>
      <c r="AJ1261" s="178">
        <f ca="1">OFFSET(Результаты!$F$155,0,AJ$2) * Параметры!AJ$64</f>
        <v>5787504.4368513366</v>
      </c>
      <c r="AK1261" s="178">
        <f ca="1">OFFSET(Результаты!$F$155,0,AK$2) * Параметры!AK$64</f>
        <v>10959753.53609027</v>
      </c>
      <c r="AL1261" s="178">
        <f ca="1">OFFSET(Результаты!$F$155,0,AL$2) * Параметры!AL$64</f>
        <v>19007889.742280588</v>
      </c>
      <c r="AM1261" s="178">
        <f ca="1">OFFSET(Результаты!$F$155,0,AM$2) * Параметры!AM$64</f>
        <v>23564410.121870339</v>
      </c>
      <c r="AN1261" s="178">
        <f ca="1">OFFSET(Результаты!$F$155,0,AN$2) * Параметры!AN$64</f>
        <v>23470717.332530722</v>
      </c>
      <c r="AO1261" s="178">
        <f ca="1">OFFSET(Результаты!$F$155,0,AO$2) * Параметры!AO$64</f>
        <v>21688456.476480868</v>
      </c>
      <c r="AP1261" s="178">
        <f ca="1">OFFSET(Результаты!$F$155,0,AP$2) * Параметры!AP$64</f>
        <v>20588220.835185394</v>
      </c>
      <c r="AQ1261" s="178">
        <f ca="1">OFFSET(Результаты!$F$155,0,AQ$2) * Параметры!AQ$64</f>
        <v>23863615.329147782</v>
      </c>
      <c r="AR1261" s="178">
        <f ca="1">OFFSET(Результаты!$F$155,0,AR$2) * Параметры!AR$64</f>
        <v>27395863.172472563</v>
      </c>
      <c r="AS1261" s="178">
        <f ca="1">OFFSET(Результаты!$F$155,0,AS$2) * Параметры!AS$64</f>
        <v>29185094.160840191</v>
      </c>
      <c r="AT1261" s="178">
        <f ca="1">OFFSET(Результаты!$F$155,0,AT$2) * Параметры!AT$64</f>
        <v>30801615.03373757</v>
      </c>
      <c r="AU1261" s="178">
        <f ca="1">OFFSET(Результаты!$F$155,0,AU$2) * Параметры!AU$64</f>
        <v>29366028.012790773</v>
      </c>
      <c r="AV1261" s="178">
        <f ca="1">OFFSET(Результаты!$F$155,0,AV$2) * Параметры!AV$64</f>
        <v>31416261.187906794</v>
      </c>
      <c r="AW1261" s="178">
        <f ca="1">OFFSET(Результаты!$F$155,0,AW$2) * Параметры!AW$64</f>
        <v>38390010.034551747</v>
      </c>
      <c r="AX1261" s="178">
        <f ca="1">OFFSET(Результаты!$F$155,0,AX$2) * Параметры!AX$64</f>
        <v>52207195.144730501</v>
      </c>
      <c r="AY1261" s="178">
        <f ca="1">OFFSET(Результаты!$F$155,0,AY$2) * Параметры!AY$64</f>
        <v>66317974.899262965</v>
      </c>
      <c r="AZ1261" s="178">
        <f ca="1">OFFSET(Результаты!$F$155,0,AZ$2) * Параметры!AZ$64</f>
        <v>75394082.460915953</v>
      </c>
      <c r="BA1261" s="178">
        <f ca="1">OFFSET(Результаты!$F$155,0,BA$2) * Параметры!BA$64</f>
        <v>82489057.141627178</v>
      </c>
      <c r="BB1261" s="178">
        <f ca="1">OFFSET(Результаты!$F$155,0,BB$2) * Параметры!BB$64</f>
        <v>90837475.22270827</v>
      </c>
      <c r="BC1261" s="171"/>
      <c r="BD1261" s="183"/>
    </row>
    <row r="1262" spans="1:56" s="195" customFormat="1" collapsed="1" x14ac:dyDescent="0.3">
      <c r="A1262" s="231" t="str">
        <f ca="1">Language!A$1153</f>
        <v>Покрытие выплаты долга, DSCR</v>
      </c>
      <c r="B1262" s="171"/>
      <c r="C1262" s="229" t="str">
        <f ca="1">Language!$A$1477</f>
        <v>раз</v>
      </c>
      <c r="D1262" s="186"/>
      <c r="E1262" s="186"/>
      <c r="F1262" s="186" t="s">
        <v>745</v>
      </c>
      <c r="G1262" s="232">
        <f ca="1">OFFSET(Результаты!$F$214,0,G$2)</f>
        <v>0</v>
      </c>
      <c r="H1262" s="232">
        <f ca="1">OFFSET(Результаты!$F$214,0,H$2)</f>
        <v>0</v>
      </c>
      <c r="I1262" s="232">
        <f ca="1">OFFSET(Результаты!$F$214,0,I$2)</f>
        <v>0</v>
      </c>
      <c r="J1262" s="232">
        <f ca="1">OFFSET(Результаты!$F$214,0,J$2)</f>
        <v>0</v>
      </c>
      <c r="K1262" s="232">
        <f ca="1">OFFSET(Результаты!$F$214,0,K$2)</f>
        <v>0</v>
      </c>
      <c r="L1262" s="232">
        <f ca="1">OFFSET(Результаты!$F$214,0,L$2)</f>
        <v>0</v>
      </c>
      <c r="M1262" s="232">
        <f ca="1">OFFSET(Результаты!$F$214,0,M$2)</f>
        <v>0</v>
      </c>
      <c r="N1262" s="232">
        <f ca="1">OFFSET(Результаты!$F$214,0,N$2)</f>
        <v>0</v>
      </c>
      <c r="O1262" s="232">
        <f ca="1">OFFSET(Результаты!$F$214,0,O$2)</f>
        <v>0.77124812702040157</v>
      </c>
      <c r="P1262" s="232">
        <f ca="1">OFFSET(Результаты!$F$214,0,P$2)</f>
        <v>1.0601859699976659</v>
      </c>
      <c r="Q1262" s="232">
        <f ca="1">OFFSET(Результаты!$F$214,0,Q$2)</f>
        <v>1.1547053970030159</v>
      </c>
      <c r="R1262" s="232">
        <f ca="1">OFFSET(Результаты!$F$214,0,R$2)</f>
        <v>0.94794601030002523</v>
      </c>
      <c r="S1262" s="232">
        <f ca="1">OFFSET(Результаты!$F$214,0,S$2)</f>
        <v>1.3673403649059523</v>
      </c>
      <c r="T1262" s="232">
        <f ca="1">OFFSET(Результаты!$F$214,0,T$2)</f>
        <v>1.3783787295803958</v>
      </c>
      <c r="U1262" s="232">
        <f ca="1">OFFSET(Результаты!$F$214,0,U$2)</f>
        <v>1.167540348271775</v>
      </c>
      <c r="V1262" s="232">
        <f ca="1">OFFSET(Результаты!$F$214,0,V$2)</f>
        <v>1.023719533659315</v>
      </c>
      <c r="W1262" s="232">
        <f ca="1">OFFSET(Результаты!$F$214,0,W$2)</f>
        <v>0.73101063507455466</v>
      </c>
      <c r="X1262" s="232">
        <f ca="1">OFFSET(Результаты!$F$214,0,X$2)</f>
        <v>1.1189797612497179</v>
      </c>
      <c r="Y1262" s="232">
        <f ca="1">OFFSET(Результаты!$F$214,0,Y$2)</f>
        <v>1.238181211630943</v>
      </c>
      <c r="Z1262" s="232">
        <f ca="1">OFFSET(Результаты!$F$214,0,Z$2)</f>
        <v>1.4816505350732458</v>
      </c>
      <c r="AA1262" s="232">
        <f ca="1">OFFSET(Результаты!$F$214,0,AA$2)</f>
        <v>1.1834773814324961</v>
      </c>
      <c r="AB1262" s="232">
        <f ca="1">OFFSET(Результаты!$F$214,0,AB$2)</f>
        <v>0.77736171019674005</v>
      </c>
      <c r="AC1262" s="232">
        <f ca="1">OFFSET(Результаты!$F$214,0,AC$2)</f>
        <v>0.62682261947583862</v>
      </c>
      <c r="AD1262" s="232">
        <f ca="1">OFFSET(Результаты!$F$214,0,AD$2)</f>
        <v>0.6887810698540523</v>
      </c>
      <c r="AE1262" s="232">
        <f ca="1">OFFSET(Результаты!$F$214,0,AE$2)</f>
        <v>1.0859000070927021</v>
      </c>
      <c r="AF1262" s="232">
        <f ca="1">OFFSET(Результаты!$F$214,0,AF$2)</f>
        <v>1.1110436033711202</v>
      </c>
      <c r="AG1262" s="232">
        <f ca="1">OFFSET(Результаты!$F$214,0,AG$2)</f>
        <v>0.94608557810432414</v>
      </c>
      <c r="AH1262" s="232">
        <f ca="1">OFFSET(Результаты!$F$214,0,AH$2)</f>
        <v>0.94166425132422227</v>
      </c>
      <c r="AI1262" s="232">
        <f ca="1">OFFSET(Результаты!$F$214,0,AI$2)</f>
        <v>0.66539654322921848</v>
      </c>
      <c r="AJ1262" s="232">
        <f ca="1">OFFSET(Результаты!$F$214,0,AJ$2)</f>
        <v>1.0297894080682437</v>
      </c>
      <c r="AK1262" s="232">
        <f ca="1">OFFSET(Результаты!$F$214,0,AK$2)</f>
        <v>1.5531200984969338</v>
      </c>
      <c r="AL1262" s="232">
        <f ca="1">OFFSET(Результаты!$F$214,0,AL$2)</f>
        <v>1.8762856686420544</v>
      </c>
      <c r="AM1262" s="232">
        <f ca="1">OFFSET(Результаты!$F$214,0,AM$2)</f>
        <v>1.5052858443225647</v>
      </c>
      <c r="AN1262" s="232">
        <f ca="1">OFFSET(Результаты!$F$214,0,AN$2)</f>
        <v>0.98941449010776483</v>
      </c>
      <c r="AO1262" s="232">
        <f ca="1">OFFSET(Результаты!$F$214,0,AO$2)</f>
        <v>0.79477384938187146</v>
      </c>
      <c r="AP1262" s="232">
        <f ca="1">OFFSET(Результаты!$F$214,0,AP$2)</f>
        <v>0.87082961806772075</v>
      </c>
      <c r="AQ1262" s="232">
        <f ca="1">OFFSET(Результаты!$F$214,0,AQ$2)</f>
        <v>1.392213883791894</v>
      </c>
      <c r="AR1262" s="232">
        <f ca="1">OFFSET(Результаты!$F$214,0,AR$2)</f>
        <v>1.431584309655098</v>
      </c>
      <c r="AS1262" s="232">
        <f ca="1">OFFSET(Результаты!$F$214,0,AS$2)</f>
        <v>1.2231598992295338</v>
      </c>
      <c r="AT1262" s="232">
        <f ca="1">OFFSET(Результаты!$F$214,0,AT$2)</f>
        <v>1.2020651091121721</v>
      </c>
      <c r="AU1262" s="232">
        <f ca="1">OFFSET(Результаты!$F$214,0,AU$2)</f>
        <v>0.82055162238165047</v>
      </c>
      <c r="AV1262" s="232">
        <f ca="1">OFFSET(Результаты!$F$214,0,AV$2)</f>
        <v>1.2562791468895029</v>
      </c>
      <c r="AW1262" s="232">
        <f ca="1">OFFSET(Результаты!$F$214,0,AW$2)</f>
        <v>1.8717186058306194</v>
      </c>
      <c r="AX1262" s="232">
        <f ca="1">OFFSET(Результаты!$F$214,0,AX$2)</f>
        <v>4.3907194403581133</v>
      </c>
      <c r="AY1262" s="232">
        <f ca="1">OFFSET(Результаты!$F$214,0,AY$2)</f>
        <v>0</v>
      </c>
      <c r="AZ1262" s="232">
        <f ca="1">OFFSET(Результаты!$F$214,0,AZ$2)</f>
        <v>0</v>
      </c>
      <c r="BA1262" s="232">
        <f ca="1">OFFSET(Результаты!$F$214,0,BA$2)</f>
        <v>0</v>
      </c>
      <c r="BB1262" s="232">
        <f ca="1">OFFSET(Результаты!$F$214,0,BB$2)</f>
        <v>0</v>
      </c>
      <c r="BC1262" s="171"/>
      <c r="BD1262" s="183"/>
    </row>
    <row r="1263" spans="1:56" s="195" customFormat="1" hidden="1" outlineLevel="1" x14ac:dyDescent="0.3">
      <c r="A1263" s="171" t="str">
        <f ca="1">Language!A$1150</f>
        <v>Справочно: Суммарный денежный поток за период</v>
      </c>
      <c r="B1263" s="171"/>
      <c r="C1263" s="229" t="str">
        <f t="shared" ref="C1263:C1265" ca="1" si="4528">CurName1</f>
        <v>руб.</v>
      </c>
      <c r="D1263" s="186"/>
      <c r="E1263" s="186"/>
      <c r="F1263" s="170" t="s">
        <v>740</v>
      </c>
      <c r="G1263" s="178">
        <f ca="1">OFFSET(Результаты!$F$153,0,G$2) * Параметры!G$64</f>
        <v>211558334</v>
      </c>
      <c r="H1263" s="178">
        <f ca="1">OFFSET(Результаты!$F$153,0,H$2) * Параметры!H$64</f>
        <v>-1658333.6666666667</v>
      </c>
      <c r="I1263" s="178">
        <f ca="1">OFFSET(Результаты!$F$153,0,I$2) * Параметры!I$64</f>
        <v>-136658332.66666666</v>
      </c>
      <c r="J1263" s="178">
        <f ca="1">OFFSET(Результаты!$F$153,0,J$2) * Параметры!J$64</f>
        <v>-18391666.666666668</v>
      </c>
      <c r="K1263" s="178">
        <f ca="1">OFFSET(Результаты!$F$153,0,K$2) * Параметры!K$64</f>
        <v>-17025000</v>
      </c>
      <c r="L1263" s="178">
        <f ca="1">OFFSET(Результаты!$F$153,0,L$2) * Параметры!L$64</f>
        <v>-18902925.060418263</v>
      </c>
      <c r="M1263" s="178">
        <f ca="1">OFFSET(Результаты!$F$153,0,M$2) * Параметры!M$64</f>
        <v>-8886918.2840950675</v>
      </c>
      <c r="N1263" s="178">
        <f ca="1">OFFSET(Результаты!$F$153,0,N$2) * Параметры!N$64</f>
        <v>-8232039.9085776005</v>
      </c>
      <c r="O1263" s="178">
        <f ca="1">OFFSET(Результаты!$F$153,0,O$2) * Параметры!O$64</f>
        <v>-1667267.5623055082</v>
      </c>
      <c r="P1263" s="178">
        <f ca="1">OFFSET(Результаты!$F$153,0,P$2) * Параметры!P$64</f>
        <v>434906.32820575777</v>
      </c>
      <c r="Q1263" s="178">
        <f ca="1">OFFSET(Результаты!$F$153,0,Q$2) * Параметры!Q$64</f>
        <v>1108238.5607123412</v>
      </c>
      <c r="R1263" s="178">
        <f ca="1">OFFSET(Результаты!$F$153,0,R$2) * Параметры!R$64</f>
        <v>-420607.08244144218</v>
      </c>
      <c r="S1263" s="178">
        <f ca="1">OFFSET(Результаты!$F$153,0,S$2) * Параметры!S$64</f>
        <v>2937574.9882602114</v>
      </c>
      <c r="T1263" s="178">
        <f ca="1">OFFSET(Результаты!$F$153,0,T$2) * Параметры!T$64</f>
        <v>2994315.8501977511</v>
      </c>
      <c r="U1263" s="178">
        <f ca="1">OFFSET(Результаты!$F$153,0,U$2) * Параметры!U$64</f>
        <v>1311875.8346976452</v>
      </c>
      <c r="V1263" s="178">
        <f ca="1">OFFSET(Результаты!$F$153,0,V$2) * Параметры!V$64</f>
        <v>206977.63951924257</v>
      </c>
      <c r="W1263" s="178">
        <f ca="1">OFFSET(Результаты!$F$153,0,W$2) * Параметры!W$64</f>
        <v>-2319192.6863205186</v>
      </c>
      <c r="X1263" s="178">
        <f ca="1">OFFSET(Результаты!$F$153,0,X$2) * Параметры!X$64</f>
        <v>1013434.9063734766</v>
      </c>
      <c r="Y1263" s="178">
        <f ca="1">OFFSET(Результаты!$F$153,0,Y$2) * Параметры!Y$64</f>
        <v>2703604.8624020945</v>
      </c>
      <c r="Z1263" s="178">
        <f ca="1">OFFSET(Результаты!$F$153,0,Z$2) * Параметры!Z$64</f>
        <v>5386960.2132442202</v>
      </c>
      <c r="AA1263" s="178">
        <f ca="1">OFFSET(Результаты!$F$153,0,AA$2) * Параметры!AA$64</f>
        <v>2021500.2782094367</v>
      </c>
      <c r="AB1263" s="178">
        <f ca="1">OFFSET(Результаты!$F$153,0,AB$2) * Параметры!AB$64</f>
        <v>-2415857.3638888802</v>
      </c>
      <c r="AC1263" s="178">
        <f ca="1">OFFSET(Результаты!$F$153,0,AC$2) * Параметры!AC$64</f>
        <v>-3987167.0828123656</v>
      </c>
      <c r="AD1263" s="178">
        <f ca="1">OFFSET(Результаты!$F$153,0,AD$2) * Параметры!AD$64</f>
        <v>-3273309.9415708464</v>
      </c>
      <c r="AE1263" s="178">
        <f ca="1">OFFSET(Результаты!$F$153,0,AE$2) * Параметры!AE$64</f>
        <v>889154.55437310413</v>
      </c>
      <c r="AF1263" s="178">
        <f ca="1">OFFSET(Результаты!$F$153,0,AF$2) * Параметры!AF$64</f>
        <v>1130909.7003961615</v>
      </c>
      <c r="AG1263" s="178">
        <f ca="1">OFFSET(Результаты!$F$153,0,AG$2) * Параметры!AG$64</f>
        <v>-540098.95463437866</v>
      </c>
      <c r="AH1263" s="178">
        <f ca="1">OFFSET(Результаты!$F$153,0,AH$2) * Параметры!AH$64</f>
        <v>-574667.89207660966</v>
      </c>
      <c r="AI1263" s="178">
        <f ca="1">OFFSET(Результаты!$F$153,0,AI$2) * Параметры!AI$64</f>
        <v>-3240425.3586354423</v>
      </c>
      <c r="AJ1263" s="178">
        <f ca="1">OFFSET(Результаты!$F$153,0,AJ$2) * Параметры!AJ$64</f>
        <v>283526.89803680312</v>
      </c>
      <c r="AK1263" s="178">
        <f ca="1">OFFSET(Результаты!$F$153,0,AK$2) * Параметры!AK$64</f>
        <v>5172249.099238934</v>
      </c>
      <c r="AL1263" s="178">
        <f ca="1">OFFSET(Результаты!$F$153,0,AL$2) * Параметры!AL$64</f>
        <v>8048136.2061903197</v>
      </c>
      <c r="AM1263" s="178">
        <f ca="1">OFFSET(Результаты!$F$153,0,AM$2) * Параметры!AM$64</f>
        <v>4556520.3795897495</v>
      </c>
      <c r="AN1263" s="178">
        <f ca="1">OFFSET(Результаты!$F$153,0,AN$2) * Параметры!AN$64</f>
        <v>-93692.789339616895</v>
      </c>
      <c r="AO1263" s="178">
        <f ca="1">OFFSET(Результаты!$F$153,0,AO$2) * Параметры!AO$64</f>
        <v>-1782260.8560498543</v>
      </c>
      <c r="AP1263" s="178">
        <f ca="1">OFFSET(Результаты!$F$153,0,AP$2) * Параметры!AP$64</f>
        <v>-1100235.641295475</v>
      </c>
      <c r="AQ1263" s="178">
        <f ca="1">OFFSET(Результаты!$F$153,0,AQ$2) * Параметры!AQ$64</f>
        <v>3275394.4939623885</v>
      </c>
      <c r="AR1263" s="178">
        <f ca="1">OFFSET(Результаты!$F$153,0,AR$2) * Параметры!AR$64</f>
        <v>3532247.8433247805</v>
      </c>
      <c r="AS1263" s="178">
        <f ca="1">OFFSET(Результаты!$F$153,0,AS$2) * Параметры!AS$64</f>
        <v>1789230.9883676264</v>
      </c>
      <c r="AT1263" s="178">
        <f ca="1">OFFSET(Результаты!$F$153,0,AT$2) * Параметры!AT$64</f>
        <v>1616520.8728973772</v>
      </c>
      <c r="AU1263" s="178">
        <f ca="1">OFFSET(Результаты!$F$153,0,AU$2) * Параметры!AU$64</f>
        <v>-1435587.0209467961</v>
      </c>
      <c r="AV1263" s="178">
        <f ca="1">OFFSET(Результаты!$F$153,0,AV$2) * Параметры!AV$64</f>
        <v>2050233.175116023</v>
      </c>
      <c r="AW1263" s="178">
        <f ca="1">OFFSET(Результаты!$F$153,0,AW$2) * Параметры!AW$64</f>
        <v>6973748.8466449548</v>
      </c>
      <c r="AX1263" s="178">
        <f ca="1">OFFSET(Результаты!$F$153,0,AX$2) * Параметры!AX$64</f>
        <v>13817185.110178754</v>
      </c>
      <c r="AY1263" s="178">
        <f ca="1">OFFSET(Результаты!$F$153,0,AY$2) * Параметры!AY$64</f>
        <v>14110779.75453246</v>
      </c>
      <c r="AZ1263" s="178">
        <f ca="1">OFFSET(Результаты!$F$153,0,AZ$2) * Параметры!AZ$64</f>
        <v>9076107.5616529956</v>
      </c>
      <c r="BA1263" s="178">
        <f ca="1">OFFSET(Результаты!$F$153,0,BA$2) * Параметры!BA$64</f>
        <v>7094974.6807112303</v>
      </c>
      <c r="BB1263" s="178">
        <f ca="1">OFFSET(Результаты!$F$153,0,BB$2) * Параметры!BB$64</f>
        <v>8348418.0810810896</v>
      </c>
      <c r="BC1263" s="171"/>
      <c r="BD1263" s="178">
        <f ca="1">SUM(G1263:BC1263)</f>
        <v>90837475.22270827</v>
      </c>
    </row>
    <row r="1264" spans="1:56" s="195" customFormat="1" hidden="1" outlineLevel="1" x14ac:dyDescent="0.3">
      <c r="A1264" s="171" t="str">
        <f ca="1">Language!A$1151</f>
        <v>Справочно: Денежные потоки от инвестиционной деятельности</v>
      </c>
      <c r="B1264" s="171"/>
      <c r="C1264" s="229" t="str">
        <f t="shared" ca="1" si="4528"/>
        <v>руб.</v>
      </c>
      <c r="D1264" s="186"/>
      <c r="E1264" s="186"/>
      <c r="F1264" s="170" t="s">
        <v>740</v>
      </c>
      <c r="G1264" s="178">
        <f ca="1">OFFSET(Результаты!$F$144,0,G$2) * Параметры!G$64</f>
        <v>-291667</v>
      </c>
      <c r="H1264" s="178">
        <f ca="1">OFFSET(Результаты!$F$144,0,H$2) * Параметры!H$64</f>
        <v>-1658333.6666666667</v>
      </c>
      <c r="I1264" s="178">
        <f ca="1">OFFSET(Результаты!$F$144,0,I$2) * Параметры!I$64</f>
        <v>-136658332.66666666</v>
      </c>
      <c r="J1264" s="178">
        <f ca="1">OFFSET(Результаты!$F$144,0,J$2) * Параметры!J$64</f>
        <v>-18391666.666666668</v>
      </c>
      <c r="K1264" s="178">
        <f ca="1">OFFSET(Результаты!$F$144,0,K$2) * Параметры!K$64</f>
        <v>-17025000</v>
      </c>
      <c r="L1264" s="178">
        <f ca="1">OFFSET(Результаты!$F$144,0,L$2) * Параметры!L$64</f>
        <v>-17825000</v>
      </c>
      <c r="M1264" s="178">
        <f ca="1">OFFSET(Результаты!$F$144,0,M$2) * Параметры!M$64</f>
        <v>-10000000</v>
      </c>
      <c r="N1264" s="178">
        <f ca="1">OFFSET(Результаты!$F$144,0,N$2) * Параметры!N$64</f>
        <v>-10000000</v>
      </c>
      <c r="O1264" s="178">
        <f ca="1">OFFSET(Результаты!$F$144,0,O$2) * Параметры!O$64</f>
        <v>0</v>
      </c>
      <c r="P1264" s="178">
        <f ca="1">OFFSET(Результаты!$F$144,0,P$2) * Параметры!P$64</f>
        <v>0</v>
      </c>
      <c r="Q1264" s="178">
        <f ca="1">OFFSET(Результаты!$F$144,0,Q$2) * Параметры!Q$64</f>
        <v>0</v>
      </c>
      <c r="R1264" s="178">
        <f ca="1">OFFSET(Результаты!$F$144,0,R$2) * Параметры!R$64</f>
        <v>0</v>
      </c>
      <c r="S1264" s="178">
        <f ca="1">OFFSET(Результаты!$F$144,0,S$2) * Параметры!S$64</f>
        <v>0</v>
      </c>
      <c r="T1264" s="178">
        <f ca="1">OFFSET(Результаты!$F$144,0,T$2) * Параметры!T$64</f>
        <v>0</v>
      </c>
      <c r="U1264" s="178">
        <f ca="1">OFFSET(Результаты!$F$144,0,U$2) * Параметры!U$64</f>
        <v>0</v>
      </c>
      <c r="V1264" s="178">
        <f ca="1">OFFSET(Результаты!$F$144,0,V$2) * Параметры!V$64</f>
        <v>0</v>
      </c>
      <c r="W1264" s="178">
        <f ca="1">OFFSET(Результаты!$F$144,0,W$2) * Параметры!W$64</f>
        <v>0</v>
      </c>
      <c r="X1264" s="178">
        <f ca="1">OFFSET(Результаты!$F$144,0,X$2) * Параметры!X$64</f>
        <v>0</v>
      </c>
      <c r="Y1264" s="178">
        <f ca="1">OFFSET(Результаты!$F$144,0,Y$2) * Параметры!Y$64</f>
        <v>0</v>
      </c>
      <c r="Z1264" s="178">
        <f ca="1">OFFSET(Результаты!$F$144,0,Z$2) * Параметры!Z$64</f>
        <v>0</v>
      </c>
      <c r="AA1264" s="178">
        <f ca="1">OFFSET(Результаты!$F$144,0,AA$2) * Параметры!AA$64</f>
        <v>0</v>
      </c>
      <c r="AB1264" s="178">
        <f ca="1">OFFSET(Результаты!$F$144,0,AB$2) * Параметры!AB$64</f>
        <v>0</v>
      </c>
      <c r="AC1264" s="178">
        <f ca="1">OFFSET(Результаты!$F$144,0,AC$2) * Параметры!AC$64</f>
        <v>0</v>
      </c>
      <c r="AD1264" s="178">
        <f ca="1">OFFSET(Результаты!$F$144,0,AD$2) * Параметры!AD$64</f>
        <v>0</v>
      </c>
      <c r="AE1264" s="178">
        <f ca="1">OFFSET(Результаты!$F$144,0,AE$2) * Параметры!AE$64</f>
        <v>0</v>
      </c>
      <c r="AF1264" s="178">
        <f ca="1">OFFSET(Результаты!$F$144,0,AF$2) * Параметры!AF$64</f>
        <v>0</v>
      </c>
      <c r="AG1264" s="178">
        <f ca="1">OFFSET(Результаты!$F$144,0,AG$2) * Параметры!AG$64</f>
        <v>0</v>
      </c>
      <c r="AH1264" s="178">
        <f ca="1">OFFSET(Результаты!$F$144,0,AH$2) * Параметры!AH$64</f>
        <v>0</v>
      </c>
      <c r="AI1264" s="178">
        <f ca="1">OFFSET(Результаты!$F$144,0,AI$2) * Параметры!AI$64</f>
        <v>0</v>
      </c>
      <c r="AJ1264" s="178">
        <f ca="1">OFFSET(Результаты!$F$144,0,AJ$2) * Параметры!AJ$64</f>
        <v>0</v>
      </c>
      <c r="AK1264" s="178">
        <f ca="1">OFFSET(Результаты!$F$144,0,AK$2) * Параметры!AK$64</f>
        <v>0</v>
      </c>
      <c r="AL1264" s="178">
        <f ca="1">OFFSET(Результаты!$F$144,0,AL$2) * Параметры!AL$64</f>
        <v>0</v>
      </c>
      <c r="AM1264" s="178">
        <f ca="1">OFFSET(Результаты!$F$144,0,AM$2) * Параметры!AM$64</f>
        <v>0</v>
      </c>
      <c r="AN1264" s="178">
        <f ca="1">OFFSET(Результаты!$F$144,0,AN$2) * Параметры!AN$64</f>
        <v>0</v>
      </c>
      <c r="AO1264" s="178">
        <f ca="1">OFFSET(Результаты!$F$144,0,AO$2) * Параметры!AO$64</f>
        <v>0</v>
      </c>
      <c r="AP1264" s="178">
        <f ca="1">OFFSET(Результаты!$F$144,0,AP$2) * Параметры!AP$64</f>
        <v>0</v>
      </c>
      <c r="AQ1264" s="178">
        <f ca="1">OFFSET(Результаты!$F$144,0,AQ$2) * Параметры!AQ$64</f>
        <v>0</v>
      </c>
      <c r="AR1264" s="178">
        <f ca="1">OFFSET(Результаты!$F$144,0,AR$2) * Параметры!AR$64</f>
        <v>0</v>
      </c>
      <c r="AS1264" s="178">
        <f ca="1">OFFSET(Результаты!$F$144,0,AS$2) * Параметры!AS$64</f>
        <v>0</v>
      </c>
      <c r="AT1264" s="178">
        <f ca="1">OFFSET(Результаты!$F$144,0,AT$2) * Параметры!AT$64</f>
        <v>0</v>
      </c>
      <c r="AU1264" s="178">
        <f ca="1">OFFSET(Результаты!$F$144,0,AU$2) * Параметры!AU$64</f>
        <v>0</v>
      </c>
      <c r="AV1264" s="178">
        <f ca="1">OFFSET(Результаты!$F$144,0,AV$2) * Параметры!AV$64</f>
        <v>0</v>
      </c>
      <c r="AW1264" s="178">
        <f ca="1">OFFSET(Результаты!$F$144,0,AW$2) * Параметры!AW$64</f>
        <v>0</v>
      </c>
      <c r="AX1264" s="178">
        <f ca="1">OFFSET(Результаты!$F$144,0,AX$2) * Параметры!AX$64</f>
        <v>0</v>
      </c>
      <c r="AY1264" s="178">
        <f ca="1">OFFSET(Результаты!$F$144,0,AY$2) * Параметры!AY$64</f>
        <v>0</v>
      </c>
      <c r="AZ1264" s="178">
        <f ca="1">OFFSET(Результаты!$F$144,0,AZ$2) * Параметры!AZ$64</f>
        <v>0</v>
      </c>
      <c r="BA1264" s="178">
        <f ca="1">OFFSET(Результаты!$F$144,0,BA$2) * Параметры!BA$64</f>
        <v>0</v>
      </c>
      <c r="BB1264" s="178">
        <f ca="1">OFFSET(Результаты!$F$144,0,BB$2) * Параметры!BB$64</f>
        <v>0</v>
      </c>
      <c r="BC1264" s="171"/>
      <c r="BD1264" s="178">
        <f ca="1">SUM(G1264:BC1264)</f>
        <v>-211849999.99999997</v>
      </c>
    </row>
    <row r="1265" spans="1:56" s="195" customFormat="1" hidden="1" outlineLevel="1" x14ac:dyDescent="0.3">
      <c r="A1265" s="171" t="str">
        <f ca="1">Language!A$1152</f>
        <v>Справочно: Денежные потоки от операционной деятельности</v>
      </c>
      <c r="B1265" s="171"/>
      <c r="C1265" s="229" t="str">
        <f t="shared" ca="1" si="4528"/>
        <v>руб.</v>
      </c>
      <c r="D1265" s="186"/>
      <c r="E1265" s="186"/>
      <c r="F1265" s="170" t="s">
        <v>740</v>
      </c>
      <c r="G1265" s="178">
        <f ca="1">OFFSET(Результаты!$F$135,0,G$2) * Параметры!G$64</f>
        <v>0</v>
      </c>
      <c r="H1265" s="178">
        <f ca="1">OFFSET(Результаты!$F$135,0,H$2) * Параметры!H$64</f>
        <v>0</v>
      </c>
      <c r="I1265" s="178">
        <f ca="1">OFFSET(Результаты!$F$135,0,I$2) * Параметры!I$64</f>
        <v>0</v>
      </c>
      <c r="J1265" s="178">
        <f ca="1">OFFSET(Результаты!$F$135,0,J$2) * Параметры!J$64</f>
        <v>0</v>
      </c>
      <c r="K1265" s="178">
        <f ca="1">OFFSET(Результаты!$F$135,0,K$2) * Параметры!K$64</f>
        <v>0</v>
      </c>
      <c r="L1265" s="178">
        <f ca="1">OFFSET(Результаты!$F$135,0,L$2) * Параметры!L$64</f>
        <v>-1077925.0604182645</v>
      </c>
      <c r="M1265" s="178">
        <f ca="1">OFFSET(Результаты!$F$135,0,M$2) * Параметры!M$64</f>
        <v>2113081.7159049334</v>
      </c>
      <c r="N1265" s="178">
        <f ca="1">OFFSET(Результаты!$F$135,0,N$2) * Параметры!N$64</f>
        <v>3767960.091422399</v>
      </c>
      <c r="O1265" s="178">
        <f ca="1">OFFSET(Результаты!$F$135,0,O$2) * Параметры!O$64</f>
        <v>1332732.4376944918</v>
      </c>
      <c r="P1265" s="178">
        <f ca="1">OFFSET(Результаты!$F$135,0,P$2) * Параметры!P$64</f>
        <v>3434906.3282057578</v>
      </c>
      <c r="Q1265" s="178">
        <f ca="1">OFFSET(Результаты!$F$135,0,Q$2) * Параметры!Q$64</f>
        <v>4108238.5607123412</v>
      </c>
      <c r="R1265" s="178">
        <f ca="1">OFFSET(Результаты!$F$135,0,R$2) * Параметры!R$64</f>
        <v>3579392.9175585578</v>
      </c>
      <c r="S1265" s="178">
        <f ca="1">OFFSET(Результаты!$F$135,0,S$2) * Параметры!S$64</f>
        <v>6937574.9882602114</v>
      </c>
      <c r="T1265" s="178">
        <f ca="1">OFFSET(Результаты!$F$135,0,T$2) * Параметры!T$64</f>
        <v>6994315.8501977511</v>
      </c>
      <c r="U1265" s="178">
        <f ca="1">OFFSET(Результаты!$F$135,0,U$2) * Параметры!U$64</f>
        <v>5311875.8346976452</v>
      </c>
      <c r="V1265" s="178">
        <f ca="1">OFFSET(Результаты!$F$135,0,V$2) * Параметры!V$64</f>
        <v>5206977.6395192426</v>
      </c>
      <c r="W1265" s="178">
        <f ca="1">OFFSET(Результаты!$F$135,0,W$2) * Параметры!W$64</f>
        <v>2680807.3136794814</v>
      </c>
      <c r="X1265" s="178">
        <f ca="1">OFFSET(Результаты!$F$135,0,X$2) * Параметры!X$64</f>
        <v>6013434.9063734766</v>
      </c>
      <c r="Y1265" s="178">
        <f ca="1">OFFSET(Результаты!$F$135,0,Y$2) * Параметры!Y$64</f>
        <v>10703604.862402095</v>
      </c>
      <c r="Z1265" s="178">
        <f ca="1">OFFSET(Результаты!$F$135,0,Z$2) * Параметры!Z$64</f>
        <v>13386960.21324422</v>
      </c>
      <c r="AA1265" s="178">
        <f ca="1">OFFSET(Результаты!$F$135,0,AA$2) * Параметры!AA$64</f>
        <v>10021500.278209437</v>
      </c>
      <c r="AB1265" s="178">
        <f ca="1">OFFSET(Результаты!$F$135,0,AB$2) * Параметры!AB$64</f>
        <v>5584142.6361111198</v>
      </c>
      <c r="AC1265" s="178">
        <f ca="1">OFFSET(Результаты!$F$135,0,AC$2) * Параметры!AC$64</f>
        <v>4012832.9171876344</v>
      </c>
      <c r="AD1265" s="178">
        <f ca="1">OFFSET(Результаты!$F$135,0,AD$2) * Параметры!AD$64</f>
        <v>4726690.0584291536</v>
      </c>
      <c r="AE1265" s="178">
        <f ca="1">OFFSET(Результаты!$F$135,0,AE$2) * Параметры!AE$64</f>
        <v>8889154.5543731041</v>
      </c>
      <c r="AF1265" s="178">
        <f ca="1">OFFSET(Результаты!$F$135,0,AF$2) * Параметры!AF$64</f>
        <v>9130909.7003961615</v>
      </c>
      <c r="AG1265" s="178">
        <f ca="1">OFFSET(Результаты!$F$135,0,AG$2) * Параметры!AG$64</f>
        <v>7459901.0453656213</v>
      </c>
      <c r="AH1265" s="178">
        <f ca="1">OFFSET(Результаты!$F$135,0,AH$2) * Параметры!AH$64</f>
        <v>7425332.1079233903</v>
      </c>
      <c r="AI1265" s="178">
        <f ca="1">OFFSET(Результаты!$F$135,0,AI$2) * Параметры!AI$64</f>
        <v>4759574.6413645577</v>
      </c>
      <c r="AJ1265" s="178">
        <f ca="1">OFFSET(Результаты!$F$135,0,AJ$2) * Параметры!AJ$64</f>
        <v>8283526.8980368031</v>
      </c>
      <c r="AK1265" s="178">
        <f ca="1">OFFSET(Результаты!$F$135,0,AK$2) * Параметры!AK$64</f>
        <v>13172249.099238934</v>
      </c>
      <c r="AL1265" s="178">
        <f ca="1">OFFSET(Результаты!$F$135,0,AL$2) * Параметры!AL$64</f>
        <v>16048136.20619032</v>
      </c>
      <c r="AM1265" s="178">
        <f ca="1">OFFSET(Результаты!$F$135,0,AM$2) * Параметры!AM$64</f>
        <v>12556520.37958975</v>
      </c>
      <c r="AN1265" s="178">
        <f ca="1">OFFSET(Результаты!$F$135,0,AN$2) * Параметры!AN$64</f>
        <v>7906307.2106603831</v>
      </c>
      <c r="AO1265" s="178">
        <f ca="1">OFFSET(Результаты!$F$135,0,AO$2) * Параметры!AO$64</f>
        <v>6217739.1439501457</v>
      </c>
      <c r="AP1265" s="178">
        <f ca="1">OFFSET(Результаты!$F$135,0,AP$2) * Параметры!AP$64</f>
        <v>6899764.358704525</v>
      </c>
      <c r="AQ1265" s="178">
        <f ca="1">OFFSET(Результаты!$F$135,0,AQ$2) * Параметры!AQ$64</f>
        <v>11275394.493962388</v>
      </c>
      <c r="AR1265" s="178">
        <f ca="1">OFFSET(Результаты!$F$135,0,AR$2) * Параметры!AR$64</f>
        <v>11532247.84332478</v>
      </c>
      <c r="AS1265" s="178">
        <f ca="1">OFFSET(Результаты!$F$135,0,AS$2) * Параметры!AS$64</f>
        <v>9789230.9883676264</v>
      </c>
      <c r="AT1265" s="178">
        <f ca="1">OFFSET(Результаты!$F$135,0,AT$2) * Параметры!AT$64</f>
        <v>9616520.8728973772</v>
      </c>
      <c r="AU1265" s="178">
        <f ca="1">OFFSET(Результаты!$F$135,0,AU$2) * Параметры!AU$64</f>
        <v>6564412.9790532039</v>
      </c>
      <c r="AV1265" s="178">
        <f ca="1">OFFSET(Результаты!$F$135,0,AV$2) * Параметры!AV$64</f>
        <v>10050233.175116023</v>
      </c>
      <c r="AW1265" s="178">
        <f ca="1">OFFSET(Результаты!$F$135,0,AW$2) * Параметры!AW$64</f>
        <v>14973748.846644955</v>
      </c>
      <c r="AX1265" s="178">
        <f ca="1">OFFSET(Результаты!$F$135,0,AX$2) * Параметры!AX$64</f>
        <v>17892186.110178754</v>
      </c>
      <c r="AY1265" s="178">
        <f ca="1">OFFSET(Результаты!$F$135,0,AY$2) * Параметры!AY$64</f>
        <v>14110779.75453246</v>
      </c>
      <c r="AZ1265" s="178">
        <f ca="1">OFFSET(Результаты!$F$135,0,AZ$2) * Параметры!AZ$64</f>
        <v>9076107.5616529956</v>
      </c>
      <c r="BA1265" s="178">
        <f ca="1">OFFSET(Результаты!$F$135,0,BA$2) * Параметры!BA$64</f>
        <v>7094974.6807112303</v>
      </c>
      <c r="BB1265" s="178">
        <f ca="1">OFFSET(Результаты!$F$135,0,BB$2) * Параметры!BB$64</f>
        <v>8348418.0810810896</v>
      </c>
      <c r="BC1265" s="171"/>
      <c r="BD1265" s="178">
        <f ca="1">SUM(G1265:BC1265)</f>
        <v>337912475.22270823</v>
      </c>
    </row>
    <row r="1266" spans="1:56" x14ac:dyDescent="0.3">
      <c r="A1266" s="196"/>
      <c r="B1266" s="196"/>
      <c r="C1266" s="196"/>
      <c r="D1266" s="197"/>
      <c r="E1266" s="197" t="s">
        <v>641</v>
      </c>
      <c r="F1266" s="197"/>
      <c r="G1266" s="196"/>
      <c r="H1266" s="196"/>
      <c r="I1266" s="196"/>
      <c r="J1266" s="196"/>
      <c r="K1266" s="196"/>
      <c r="L1266" s="196"/>
      <c r="M1266" s="196"/>
      <c r="N1266" s="196"/>
      <c r="O1266" s="196"/>
      <c r="P1266" s="196"/>
      <c r="Q1266" s="196"/>
      <c r="R1266" s="196"/>
      <c r="S1266" s="196"/>
      <c r="T1266" s="196"/>
      <c r="U1266" s="196"/>
      <c r="V1266" s="196"/>
      <c r="W1266" s="196"/>
      <c r="X1266" s="196"/>
      <c r="Y1266" s="196"/>
      <c r="Z1266" s="196"/>
      <c r="AA1266" s="196"/>
      <c r="AB1266" s="196"/>
      <c r="AC1266" s="196"/>
      <c r="AD1266" s="196"/>
      <c r="AE1266" s="196"/>
      <c r="AF1266" s="196"/>
      <c r="AG1266" s="196"/>
      <c r="AH1266" s="196"/>
      <c r="AI1266" s="196"/>
      <c r="AJ1266" s="196"/>
      <c r="AK1266" s="196"/>
      <c r="AL1266" s="196"/>
      <c r="AM1266" s="196"/>
      <c r="AN1266" s="196"/>
      <c r="AO1266" s="196"/>
      <c r="AP1266" s="196"/>
      <c r="AQ1266" s="196"/>
      <c r="AR1266" s="196"/>
      <c r="AS1266" s="196"/>
      <c r="AT1266" s="196"/>
      <c r="AU1266" s="196"/>
      <c r="AV1266" s="196"/>
      <c r="AW1266" s="196"/>
      <c r="AX1266" s="196"/>
      <c r="AY1266" s="196"/>
      <c r="AZ1266" s="196"/>
      <c r="BA1266" s="196"/>
      <c r="BB1266" s="196"/>
      <c r="BC1266" s="196"/>
      <c r="BD1266" s="204"/>
    </row>
    <row r="1269" spans="1:56" s="168" customFormat="1" ht="25.5" customHeight="1" thickBot="1" x14ac:dyDescent="0.35">
      <c r="A1269" s="330" t="str">
        <f ca="1">Language!A$1154</f>
        <v>НАЛОГОВЫЕ ПЛАТЕЖИ</v>
      </c>
      <c r="B1269" s="331"/>
      <c r="C1269" s="332"/>
      <c r="D1269" s="333"/>
      <c r="E1269" s="333" t="s">
        <v>981</v>
      </c>
      <c r="F1269" s="333"/>
      <c r="G1269" s="334" t="str">
        <f ca="1">Параметры!G$34</f>
        <v>янв.25</v>
      </c>
      <c r="H1269" s="334" t="str">
        <f ca="1">Параметры!H$34</f>
        <v>фев.25</v>
      </c>
      <c r="I1269" s="334" t="str">
        <f ca="1">Параметры!I$34</f>
        <v>мар.25</v>
      </c>
      <c r="J1269" s="334" t="str">
        <f ca="1">Параметры!J$34</f>
        <v>апр.25</v>
      </c>
      <c r="K1269" s="334" t="str">
        <f ca="1">Параметры!K$34</f>
        <v>май.25</v>
      </c>
      <c r="L1269" s="334" t="str">
        <f ca="1">Параметры!L$34</f>
        <v>июн.25</v>
      </c>
      <c r="M1269" s="335" t="str">
        <f ca="1">Параметры!M$34</f>
        <v>июл.25</v>
      </c>
      <c r="N1269" s="335" t="str">
        <f ca="1">Параметры!N$34</f>
        <v>авг.25</v>
      </c>
      <c r="O1269" s="335" t="str">
        <f ca="1">Параметры!O$34</f>
        <v>сен.25</v>
      </c>
      <c r="P1269" s="335" t="str">
        <f ca="1">Параметры!P$34</f>
        <v>окт.25</v>
      </c>
      <c r="Q1269" s="335" t="str">
        <f ca="1">Параметры!Q$34</f>
        <v>ноя.25</v>
      </c>
      <c r="R1269" s="335" t="str">
        <f ca="1">Параметры!R$34</f>
        <v>дек.25</v>
      </c>
      <c r="S1269" s="335" t="str">
        <f ca="1">Параметры!S$34</f>
        <v>янв.26</v>
      </c>
      <c r="T1269" s="335" t="str">
        <f ca="1">Параметры!T$34</f>
        <v>фев.26</v>
      </c>
      <c r="U1269" s="335" t="str">
        <f ca="1">Параметры!U$34</f>
        <v>мар.26</v>
      </c>
      <c r="V1269" s="335" t="str">
        <f ca="1">Параметры!V$34</f>
        <v>апр.26</v>
      </c>
      <c r="W1269" s="335" t="str">
        <f ca="1">Параметры!W$34</f>
        <v>май.26</v>
      </c>
      <c r="X1269" s="335" t="str">
        <f ca="1">Параметры!X$34</f>
        <v>июн.26</v>
      </c>
      <c r="Y1269" s="335" t="str">
        <f ca="1">Параметры!Y$34</f>
        <v>июл.26</v>
      </c>
      <c r="Z1269" s="335" t="str">
        <f ca="1">Параметры!Z$34</f>
        <v>авг.26</v>
      </c>
      <c r="AA1269" s="335" t="str">
        <f ca="1">Параметры!AA$34</f>
        <v>сен.26</v>
      </c>
      <c r="AB1269" s="335" t="str">
        <f ca="1">Параметры!AB$34</f>
        <v>окт.26</v>
      </c>
      <c r="AC1269" s="335" t="str">
        <f ca="1">Параметры!AC$34</f>
        <v>ноя.26</v>
      </c>
      <c r="AD1269" s="335" t="str">
        <f ca="1">Параметры!AD$34</f>
        <v>дек.26</v>
      </c>
      <c r="AE1269" s="335" t="str">
        <f ca="1">Параметры!AE$34</f>
        <v>янв.27</v>
      </c>
      <c r="AF1269" s="335" t="str">
        <f ca="1">Параметры!AF$34</f>
        <v>фев.27</v>
      </c>
      <c r="AG1269" s="335" t="str">
        <f ca="1">Параметры!AG$34</f>
        <v>мар.27</v>
      </c>
      <c r="AH1269" s="335" t="str">
        <f ca="1">Параметры!AH$34</f>
        <v>апр.27</v>
      </c>
      <c r="AI1269" s="335" t="str">
        <f ca="1">Параметры!AI$34</f>
        <v>май.27</v>
      </c>
      <c r="AJ1269" s="335" t="str">
        <f ca="1">Параметры!AJ$34</f>
        <v>июн.27</v>
      </c>
      <c r="AK1269" s="335" t="str">
        <f ca="1">Параметры!AK$34</f>
        <v>июл.27</v>
      </c>
      <c r="AL1269" s="335" t="str">
        <f ca="1">Параметры!AL$34</f>
        <v>авг.27</v>
      </c>
      <c r="AM1269" s="335" t="str">
        <f ca="1">Параметры!AM$34</f>
        <v>сен.27</v>
      </c>
      <c r="AN1269" s="335" t="str">
        <f ca="1">Параметры!AN$34</f>
        <v>окт.27</v>
      </c>
      <c r="AO1269" s="335" t="str">
        <f ca="1">Параметры!AO$34</f>
        <v>ноя.27</v>
      </c>
      <c r="AP1269" s="335" t="str">
        <f ca="1">Параметры!AP$34</f>
        <v>дек.27</v>
      </c>
      <c r="AQ1269" s="335" t="str">
        <f ca="1">Параметры!AQ$34</f>
        <v>янв.28</v>
      </c>
      <c r="AR1269" s="335" t="str">
        <f ca="1">Параметры!AR$34</f>
        <v>фев.28</v>
      </c>
      <c r="AS1269" s="335" t="str">
        <f ca="1">Параметры!AS$34</f>
        <v>мар.28</v>
      </c>
      <c r="AT1269" s="335" t="str">
        <f ca="1">Параметры!AT$34</f>
        <v>апр.28</v>
      </c>
      <c r="AU1269" s="335" t="str">
        <f ca="1">Параметры!AU$34</f>
        <v>май.28</v>
      </c>
      <c r="AV1269" s="335" t="str">
        <f ca="1">Параметры!AV$34</f>
        <v>июн.28</v>
      </c>
      <c r="AW1269" s="335" t="str">
        <f ca="1">Параметры!AW$34</f>
        <v>июл.28</v>
      </c>
      <c r="AX1269" s="335" t="str">
        <f ca="1">Параметры!AX$34</f>
        <v>авг.28</v>
      </c>
      <c r="AY1269" s="335" t="str">
        <f ca="1">Параметры!AY$34</f>
        <v>сен.28</v>
      </c>
      <c r="AZ1269" s="335" t="str">
        <f ca="1">Параметры!AZ$34</f>
        <v>окт.28</v>
      </c>
      <c r="BA1269" s="335" t="str">
        <f ca="1">Параметры!BA$34</f>
        <v>ноя.28</v>
      </c>
      <c r="BB1269" s="335" t="str">
        <f ca="1">Параметры!BB$34</f>
        <v>дек.28</v>
      </c>
      <c r="BC1269" s="335"/>
      <c r="BD1269" s="336" t="str">
        <f ca="1">Language!$A$1473</f>
        <v>ИТОГО</v>
      </c>
    </row>
    <row r="1270" spans="1:56" ht="14.4" hidden="1" thickTop="1" x14ac:dyDescent="0.3">
      <c r="E1270" s="170" t="s">
        <v>642</v>
      </c>
      <c r="F1270" s="170" t="s">
        <v>643</v>
      </c>
    </row>
    <row r="1271" spans="1:56" ht="14.4" hidden="1" thickTop="1" x14ac:dyDescent="0.3">
      <c r="A1271" s="283" t="str">
        <f ca="1">Language!A$1487</f>
        <v>Шаблон прочих налогов</v>
      </c>
      <c r="C1271" s="163"/>
      <c r="D1271" s="174">
        <v>1</v>
      </c>
      <c r="F1271" s="170" t="s">
        <v>846</v>
      </c>
      <c r="G1271" s="177"/>
      <c r="H1271" s="177"/>
      <c r="I1271" s="177"/>
      <c r="J1271" s="177"/>
      <c r="K1271" s="177"/>
      <c r="L1271" s="177"/>
      <c r="M1271" s="177"/>
      <c r="N1271" s="177"/>
      <c r="O1271" s="177"/>
      <c r="P1271" s="177"/>
      <c r="Q1271" s="177"/>
      <c r="R1271" s="177"/>
      <c r="S1271" s="177"/>
      <c r="T1271" s="177"/>
      <c r="U1271" s="177"/>
      <c r="V1271" s="177"/>
      <c r="W1271" s="177"/>
      <c r="X1271" s="177"/>
      <c r="Y1271" s="177"/>
      <c r="Z1271" s="177"/>
      <c r="AA1271" s="177"/>
      <c r="AB1271" s="177"/>
      <c r="AC1271" s="177"/>
      <c r="AD1271" s="177"/>
      <c r="AE1271" s="177"/>
      <c r="AF1271" s="177"/>
      <c r="AG1271" s="177"/>
      <c r="AH1271" s="177"/>
      <c r="AI1271" s="177"/>
      <c r="AJ1271" s="177"/>
      <c r="AK1271" s="177"/>
      <c r="AL1271" s="177"/>
      <c r="AM1271" s="177"/>
      <c r="AN1271" s="177"/>
      <c r="AO1271" s="177"/>
      <c r="AP1271" s="177"/>
      <c r="AQ1271" s="177"/>
      <c r="AR1271" s="177"/>
      <c r="AS1271" s="177"/>
      <c r="AT1271" s="177"/>
      <c r="AU1271" s="177"/>
      <c r="AV1271" s="177"/>
      <c r="AW1271" s="177"/>
      <c r="AX1271" s="177"/>
      <c r="AY1271" s="177"/>
      <c r="AZ1271" s="177"/>
      <c r="BA1271" s="177"/>
      <c r="BB1271" s="177"/>
      <c r="BC1271" s="177"/>
      <c r="BD1271" s="178"/>
    </row>
    <row r="1272" spans="1:56" ht="14.4" hidden="1" thickTop="1" x14ac:dyDescent="0.3">
      <c r="A1272" s="169" t="str">
        <f ca="1">Language!A$1208</f>
        <v>Облагаемая база</v>
      </c>
      <c r="C1272" s="176" t="str">
        <f ca="1">CHOOSE(D1272,CurName1,CurName2,CurName3)</f>
        <v>руб.</v>
      </c>
      <c r="D1272" s="174">
        <f>D1271</f>
        <v>1</v>
      </c>
      <c r="F1272" s="170" t="s">
        <v>742</v>
      </c>
      <c r="G1272" s="297">
        <f>IF(G$2=1,0,F1272)</f>
        <v>0</v>
      </c>
      <c r="H1272" s="297">
        <f t="shared" ref="H1272:BB1272" si="4529">IF(H$2=1,0,G1272)</f>
        <v>0</v>
      </c>
      <c r="I1272" s="297">
        <f t="shared" si="4529"/>
        <v>0</v>
      </c>
      <c r="J1272" s="297">
        <f t="shared" si="4529"/>
        <v>0</v>
      </c>
      <c r="K1272" s="297">
        <f t="shared" si="4529"/>
        <v>0</v>
      </c>
      <c r="L1272" s="297">
        <f t="shared" si="4529"/>
        <v>0</v>
      </c>
      <c r="M1272" s="297">
        <f t="shared" si="4529"/>
        <v>0</v>
      </c>
      <c r="N1272" s="297">
        <f t="shared" si="4529"/>
        <v>0</v>
      </c>
      <c r="O1272" s="297">
        <f t="shared" si="4529"/>
        <v>0</v>
      </c>
      <c r="P1272" s="297">
        <f t="shared" si="4529"/>
        <v>0</v>
      </c>
      <c r="Q1272" s="297">
        <f t="shared" si="4529"/>
        <v>0</v>
      </c>
      <c r="R1272" s="297">
        <f t="shared" si="4529"/>
        <v>0</v>
      </c>
      <c r="S1272" s="297">
        <f t="shared" si="4529"/>
        <v>0</v>
      </c>
      <c r="T1272" s="297">
        <f t="shared" si="4529"/>
        <v>0</v>
      </c>
      <c r="U1272" s="297">
        <f t="shared" si="4529"/>
        <v>0</v>
      </c>
      <c r="V1272" s="297">
        <f t="shared" si="4529"/>
        <v>0</v>
      </c>
      <c r="W1272" s="297">
        <f t="shared" si="4529"/>
        <v>0</v>
      </c>
      <c r="X1272" s="297">
        <f t="shared" si="4529"/>
        <v>0</v>
      </c>
      <c r="Y1272" s="297">
        <f t="shared" si="4529"/>
        <v>0</v>
      </c>
      <c r="Z1272" s="297">
        <f t="shared" si="4529"/>
        <v>0</v>
      </c>
      <c r="AA1272" s="297">
        <f t="shared" si="4529"/>
        <v>0</v>
      </c>
      <c r="AB1272" s="297">
        <f t="shared" si="4529"/>
        <v>0</v>
      </c>
      <c r="AC1272" s="297">
        <f t="shared" si="4529"/>
        <v>0</v>
      </c>
      <c r="AD1272" s="297">
        <f t="shared" si="4529"/>
        <v>0</v>
      </c>
      <c r="AE1272" s="297">
        <f t="shared" si="4529"/>
        <v>0</v>
      </c>
      <c r="AF1272" s="297">
        <f t="shared" si="4529"/>
        <v>0</v>
      </c>
      <c r="AG1272" s="297">
        <f t="shared" si="4529"/>
        <v>0</v>
      </c>
      <c r="AH1272" s="297">
        <f t="shared" si="4529"/>
        <v>0</v>
      </c>
      <c r="AI1272" s="297">
        <f t="shared" si="4529"/>
        <v>0</v>
      </c>
      <c r="AJ1272" s="297">
        <f t="shared" si="4529"/>
        <v>0</v>
      </c>
      <c r="AK1272" s="297">
        <f t="shared" si="4529"/>
        <v>0</v>
      </c>
      <c r="AL1272" s="297">
        <f t="shared" si="4529"/>
        <v>0</v>
      </c>
      <c r="AM1272" s="297">
        <f t="shared" si="4529"/>
        <v>0</v>
      </c>
      <c r="AN1272" s="297">
        <f t="shared" si="4529"/>
        <v>0</v>
      </c>
      <c r="AO1272" s="297">
        <f t="shared" si="4529"/>
        <v>0</v>
      </c>
      <c r="AP1272" s="297">
        <f t="shared" si="4529"/>
        <v>0</v>
      </c>
      <c r="AQ1272" s="297">
        <f t="shared" si="4529"/>
        <v>0</v>
      </c>
      <c r="AR1272" s="297">
        <f t="shared" si="4529"/>
        <v>0</v>
      </c>
      <c r="AS1272" s="297">
        <f t="shared" si="4529"/>
        <v>0</v>
      </c>
      <c r="AT1272" s="297">
        <f t="shared" si="4529"/>
        <v>0</v>
      </c>
      <c r="AU1272" s="297">
        <f t="shared" si="4529"/>
        <v>0</v>
      </c>
      <c r="AV1272" s="297">
        <f t="shared" si="4529"/>
        <v>0</v>
      </c>
      <c r="AW1272" s="297">
        <f t="shared" si="4529"/>
        <v>0</v>
      </c>
      <c r="AX1272" s="297">
        <f t="shared" si="4529"/>
        <v>0</v>
      </c>
      <c r="AY1272" s="297">
        <f t="shared" si="4529"/>
        <v>0</v>
      </c>
      <c r="AZ1272" s="297">
        <f t="shared" si="4529"/>
        <v>0</v>
      </c>
      <c r="BA1272" s="297">
        <f t="shared" si="4529"/>
        <v>0</v>
      </c>
      <c r="BB1272" s="297">
        <f t="shared" si="4529"/>
        <v>0</v>
      </c>
      <c r="BC1272" s="177"/>
      <c r="BD1272" s="178">
        <f>SUM(G1272:BC1272)</f>
        <v>0</v>
      </c>
    </row>
    <row r="1273" spans="1:56" s="173" customFormat="1" ht="14.4" hidden="1" thickTop="1" x14ac:dyDescent="0.3">
      <c r="A1273" s="233" t="str">
        <f ca="1">Language!A$452</f>
        <v>Ставка налога</v>
      </c>
      <c r="B1273" s="299">
        <v>0</v>
      </c>
      <c r="C1273" s="176" t="s">
        <v>1</v>
      </c>
      <c r="D1273" s="200"/>
      <c r="F1273" s="170" t="s">
        <v>2349</v>
      </c>
      <c r="G1273" s="306">
        <f>IF(G$2=1,$B1273,F1273)</f>
        <v>0</v>
      </c>
      <c r="H1273" s="306">
        <f t="shared" ref="H1273:BB1273" si="4530">IF(H$2=1,$B1273,G1273)</f>
        <v>0</v>
      </c>
      <c r="I1273" s="306">
        <f t="shared" si="4530"/>
        <v>0</v>
      </c>
      <c r="J1273" s="306">
        <f t="shared" si="4530"/>
        <v>0</v>
      </c>
      <c r="K1273" s="306">
        <f t="shared" si="4530"/>
        <v>0</v>
      </c>
      <c r="L1273" s="306">
        <f t="shared" si="4530"/>
        <v>0</v>
      </c>
      <c r="M1273" s="306">
        <f t="shared" si="4530"/>
        <v>0</v>
      </c>
      <c r="N1273" s="306">
        <f t="shared" si="4530"/>
        <v>0</v>
      </c>
      <c r="O1273" s="306">
        <f t="shared" si="4530"/>
        <v>0</v>
      </c>
      <c r="P1273" s="306">
        <f t="shared" si="4530"/>
        <v>0</v>
      </c>
      <c r="Q1273" s="306">
        <f t="shared" si="4530"/>
        <v>0</v>
      </c>
      <c r="R1273" s="306">
        <f t="shared" si="4530"/>
        <v>0</v>
      </c>
      <c r="S1273" s="306">
        <f t="shared" si="4530"/>
        <v>0</v>
      </c>
      <c r="T1273" s="306">
        <f t="shared" si="4530"/>
        <v>0</v>
      </c>
      <c r="U1273" s="306">
        <f t="shared" si="4530"/>
        <v>0</v>
      </c>
      <c r="V1273" s="306">
        <f t="shared" si="4530"/>
        <v>0</v>
      </c>
      <c r="W1273" s="306">
        <f t="shared" si="4530"/>
        <v>0</v>
      </c>
      <c r="X1273" s="306">
        <f t="shared" si="4530"/>
        <v>0</v>
      </c>
      <c r="Y1273" s="306">
        <f t="shared" si="4530"/>
        <v>0</v>
      </c>
      <c r="Z1273" s="306">
        <f t="shared" si="4530"/>
        <v>0</v>
      </c>
      <c r="AA1273" s="306">
        <f t="shared" si="4530"/>
        <v>0</v>
      </c>
      <c r="AB1273" s="306">
        <f t="shared" si="4530"/>
        <v>0</v>
      </c>
      <c r="AC1273" s="306">
        <f t="shared" si="4530"/>
        <v>0</v>
      </c>
      <c r="AD1273" s="306">
        <f t="shared" si="4530"/>
        <v>0</v>
      </c>
      <c r="AE1273" s="306">
        <f t="shared" si="4530"/>
        <v>0</v>
      </c>
      <c r="AF1273" s="306">
        <f t="shared" si="4530"/>
        <v>0</v>
      </c>
      <c r="AG1273" s="306">
        <f t="shared" si="4530"/>
        <v>0</v>
      </c>
      <c r="AH1273" s="306">
        <f t="shared" si="4530"/>
        <v>0</v>
      </c>
      <c r="AI1273" s="306">
        <f t="shared" si="4530"/>
        <v>0</v>
      </c>
      <c r="AJ1273" s="306">
        <f t="shared" si="4530"/>
        <v>0</v>
      </c>
      <c r="AK1273" s="306">
        <f t="shared" si="4530"/>
        <v>0</v>
      </c>
      <c r="AL1273" s="306">
        <f t="shared" si="4530"/>
        <v>0</v>
      </c>
      <c r="AM1273" s="306">
        <f t="shared" si="4530"/>
        <v>0</v>
      </c>
      <c r="AN1273" s="306">
        <f t="shared" si="4530"/>
        <v>0</v>
      </c>
      <c r="AO1273" s="306">
        <f t="shared" si="4530"/>
        <v>0</v>
      </c>
      <c r="AP1273" s="306">
        <f t="shared" si="4530"/>
        <v>0</v>
      </c>
      <c r="AQ1273" s="306">
        <f t="shared" si="4530"/>
        <v>0</v>
      </c>
      <c r="AR1273" s="306">
        <f t="shared" si="4530"/>
        <v>0</v>
      </c>
      <c r="AS1273" s="306">
        <f t="shared" si="4530"/>
        <v>0</v>
      </c>
      <c r="AT1273" s="306">
        <f t="shared" si="4530"/>
        <v>0</v>
      </c>
      <c r="AU1273" s="306">
        <f t="shared" si="4530"/>
        <v>0</v>
      </c>
      <c r="AV1273" s="306">
        <f t="shared" si="4530"/>
        <v>0</v>
      </c>
      <c r="AW1273" s="306">
        <f t="shared" si="4530"/>
        <v>0</v>
      </c>
      <c r="AX1273" s="306">
        <f t="shared" si="4530"/>
        <v>0</v>
      </c>
      <c r="AY1273" s="306">
        <f t="shared" si="4530"/>
        <v>0</v>
      </c>
      <c r="AZ1273" s="306">
        <f t="shared" si="4530"/>
        <v>0</v>
      </c>
      <c r="BA1273" s="306">
        <f t="shared" si="4530"/>
        <v>0</v>
      </c>
      <c r="BB1273" s="306">
        <f t="shared" si="4530"/>
        <v>0</v>
      </c>
      <c r="BC1273" s="234"/>
      <c r="BD1273" s="235"/>
    </row>
    <row r="1274" spans="1:56" ht="14.4" hidden="1" thickTop="1" x14ac:dyDescent="0.3">
      <c r="A1274" s="233" t="str">
        <f ca="1">Language!A$1489</f>
        <v>Начисленный налог</v>
      </c>
      <c r="B1274" s="236"/>
      <c r="C1274" s="176" t="str">
        <f ca="1">CHOOSE(D1274,CurName1,CurName2,CurName3)</f>
        <v>руб.</v>
      </c>
      <c r="D1274" s="174">
        <f>D1271</f>
        <v>1</v>
      </c>
      <c r="E1274" s="170" t="s">
        <v>2251</v>
      </c>
      <c r="F1274" s="170" t="s">
        <v>2341</v>
      </c>
      <c r="G1274" s="285">
        <f>G1272*G1273</f>
        <v>0</v>
      </c>
      <c r="H1274" s="285">
        <f t="shared" ref="H1274:K1274" si="4531">H1272*H1273</f>
        <v>0</v>
      </c>
      <c r="I1274" s="285">
        <f t="shared" si="4531"/>
        <v>0</v>
      </c>
      <c r="J1274" s="285">
        <f t="shared" si="4531"/>
        <v>0</v>
      </c>
      <c r="K1274" s="285">
        <f t="shared" si="4531"/>
        <v>0</v>
      </c>
      <c r="L1274" s="285">
        <f t="shared" ref="L1274:M1274" si="4532">L1272*L1273</f>
        <v>0</v>
      </c>
      <c r="M1274" s="285">
        <f t="shared" si="4532"/>
        <v>0</v>
      </c>
      <c r="N1274" s="285">
        <f t="shared" ref="N1274:O1274" si="4533">N1272*N1273</f>
        <v>0</v>
      </c>
      <c r="O1274" s="285">
        <f t="shared" si="4533"/>
        <v>0</v>
      </c>
      <c r="P1274" s="285">
        <f t="shared" ref="P1274:Q1274" si="4534">P1272*P1273</f>
        <v>0</v>
      </c>
      <c r="Q1274" s="285">
        <f t="shared" si="4534"/>
        <v>0</v>
      </c>
      <c r="R1274" s="285">
        <f t="shared" ref="R1274:S1274" si="4535">R1272*R1273</f>
        <v>0</v>
      </c>
      <c r="S1274" s="285">
        <f t="shared" si="4535"/>
        <v>0</v>
      </c>
      <c r="T1274" s="285">
        <f t="shared" ref="T1274:U1274" si="4536">T1272*T1273</f>
        <v>0</v>
      </c>
      <c r="U1274" s="285">
        <f t="shared" si="4536"/>
        <v>0</v>
      </c>
      <c r="V1274" s="285">
        <f t="shared" ref="V1274:W1274" si="4537">V1272*V1273</f>
        <v>0</v>
      </c>
      <c r="W1274" s="285">
        <f t="shared" si="4537"/>
        <v>0</v>
      </c>
      <c r="X1274" s="285">
        <f t="shared" ref="X1274:Y1274" si="4538">X1272*X1273</f>
        <v>0</v>
      </c>
      <c r="Y1274" s="285">
        <f t="shared" si="4538"/>
        <v>0</v>
      </c>
      <c r="Z1274" s="285">
        <f t="shared" ref="Z1274:AA1274" si="4539">Z1272*Z1273</f>
        <v>0</v>
      </c>
      <c r="AA1274" s="285">
        <f t="shared" si="4539"/>
        <v>0</v>
      </c>
      <c r="AB1274" s="285">
        <f t="shared" ref="AB1274:AC1274" si="4540">AB1272*AB1273</f>
        <v>0</v>
      </c>
      <c r="AC1274" s="285">
        <f t="shared" si="4540"/>
        <v>0</v>
      </c>
      <c r="AD1274" s="285">
        <f t="shared" ref="AD1274:AE1274" si="4541">AD1272*AD1273</f>
        <v>0</v>
      </c>
      <c r="AE1274" s="285">
        <f t="shared" si="4541"/>
        <v>0</v>
      </c>
      <c r="AF1274" s="285">
        <f t="shared" ref="AF1274:AG1274" si="4542">AF1272*AF1273</f>
        <v>0</v>
      </c>
      <c r="AG1274" s="285">
        <f t="shared" si="4542"/>
        <v>0</v>
      </c>
      <c r="AH1274" s="285">
        <f t="shared" ref="AH1274:AI1274" si="4543">AH1272*AH1273</f>
        <v>0</v>
      </c>
      <c r="AI1274" s="285">
        <f t="shared" si="4543"/>
        <v>0</v>
      </c>
      <c r="AJ1274" s="285">
        <f t="shared" ref="AJ1274:AK1274" si="4544">AJ1272*AJ1273</f>
        <v>0</v>
      </c>
      <c r="AK1274" s="285">
        <f t="shared" si="4544"/>
        <v>0</v>
      </c>
      <c r="AL1274" s="285">
        <f t="shared" ref="AL1274:AM1274" si="4545">AL1272*AL1273</f>
        <v>0</v>
      </c>
      <c r="AM1274" s="285">
        <f t="shared" si="4545"/>
        <v>0</v>
      </c>
      <c r="AN1274" s="285">
        <f t="shared" ref="AN1274:AO1274" si="4546">AN1272*AN1273</f>
        <v>0</v>
      </c>
      <c r="AO1274" s="285">
        <f t="shared" si="4546"/>
        <v>0</v>
      </c>
      <c r="AP1274" s="285">
        <f t="shared" ref="AP1274:AQ1274" si="4547">AP1272*AP1273</f>
        <v>0</v>
      </c>
      <c r="AQ1274" s="285">
        <f t="shared" si="4547"/>
        <v>0</v>
      </c>
      <c r="AR1274" s="285">
        <f t="shared" ref="AR1274:AS1274" si="4548">AR1272*AR1273</f>
        <v>0</v>
      </c>
      <c r="AS1274" s="285">
        <f t="shared" si="4548"/>
        <v>0</v>
      </c>
      <c r="AT1274" s="285">
        <f t="shared" ref="AT1274:AU1274" si="4549">AT1272*AT1273</f>
        <v>0</v>
      </c>
      <c r="AU1274" s="285">
        <f t="shared" si="4549"/>
        <v>0</v>
      </c>
      <c r="AV1274" s="285">
        <f t="shared" ref="AV1274:AW1274" si="4550">AV1272*AV1273</f>
        <v>0</v>
      </c>
      <c r="AW1274" s="285">
        <f t="shared" si="4550"/>
        <v>0</v>
      </c>
      <c r="AX1274" s="285">
        <f t="shared" ref="AX1274:AY1274" si="4551">AX1272*AX1273</f>
        <v>0</v>
      </c>
      <c r="AY1274" s="285">
        <f t="shared" si="4551"/>
        <v>0</v>
      </c>
      <c r="AZ1274" s="285">
        <f t="shared" ref="AZ1274:BA1274" si="4552">AZ1272*AZ1273</f>
        <v>0</v>
      </c>
      <c r="BA1274" s="285">
        <f t="shared" si="4552"/>
        <v>0</v>
      </c>
      <c r="BB1274" s="285">
        <f t="shared" ref="BB1274" si="4553">BB1272*BB1273</f>
        <v>0</v>
      </c>
      <c r="BC1274" s="177"/>
      <c r="BD1274" s="178">
        <f>SUM(G1274:BC1274)</f>
        <v>0</v>
      </c>
    </row>
    <row r="1275" spans="1:56" ht="14.4" hidden="1" thickTop="1" x14ac:dyDescent="0.3">
      <c r="A1275" s="184" t="str">
        <f ca="1">Language!A$1174</f>
        <v>задолженность по налогу</v>
      </c>
      <c r="B1275" s="200"/>
      <c r="C1275" s="163" t="str">
        <f ca="1">CHOOSE(D1275,CurName1,CurName2,CurName3)</f>
        <v>руб.</v>
      </c>
      <c r="D1275" s="174">
        <f>D1271</f>
        <v>1</v>
      </c>
      <c r="E1275" s="170" t="s">
        <v>2255</v>
      </c>
      <c r="F1275" s="170" t="s">
        <v>2342</v>
      </c>
      <c r="G1275" s="289">
        <f>IF(G$2=1,0,F1275)</f>
        <v>0</v>
      </c>
      <c r="H1275" s="289">
        <f t="shared" ref="H1275:BB1275" si="4554">IF(H$2=1,0,G1275)</f>
        <v>0</v>
      </c>
      <c r="I1275" s="289">
        <f t="shared" si="4554"/>
        <v>0</v>
      </c>
      <c r="J1275" s="289">
        <f t="shared" si="4554"/>
        <v>0</v>
      </c>
      <c r="K1275" s="289">
        <f t="shared" si="4554"/>
        <v>0</v>
      </c>
      <c r="L1275" s="289">
        <f t="shared" si="4554"/>
        <v>0</v>
      </c>
      <c r="M1275" s="289">
        <f t="shared" si="4554"/>
        <v>0</v>
      </c>
      <c r="N1275" s="289">
        <f t="shared" si="4554"/>
        <v>0</v>
      </c>
      <c r="O1275" s="289">
        <f t="shared" si="4554"/>
        <v>0</v>
      </c>
      <c r="P1275" s="289">
        <f t="shared" si="4554"/>
        <v>0</v>
      </c>
      <c r="Q1275" s="289">
        <f t="shared" si="4554"/>
        <v>0</v>
      </c>
      <c r="R1275" s="289">
        <f t="shared" si="4554"/>
        <v>0</v>
      </c>
      <c r="S1275" s="289">
        <f t="shared" si="4554"/>
        <v>0</v>
      </c>
      <c r="T1275" s="289">
        <f t="shared" si="4554"/>
        <v>0</v>
      </c>
      <c r="U1275" s="289">
        <f t="shared" si="4554"/>
        <v>0</v>
      </c>
      <c r="V1275" s="289">
        <f t="shared" si="4554"/>
        <v>0</v>
      </c>
      <c r="W1275" s="289">
        <f t="shared" si="4554"/>
        <v>0</v>
      </c>
      <c r="X1275" s="289">
        <f t="shared" si="4554"/>
        <v>0</v>
      </c>
      <c r="Y1275" s="289">
        <f t="shared" si="4554"/>
        <v>0</v>
      </c>
      <c r="Z1275" s="289">
        <f t="shared" si="4554"/>
        <v>0</v>
      </c>
      <c r="AA1275" s="289">
        <f t="shared" si="4554"/>
        <v>0</v>
      </c>
      <c r="AB1275" s="289">
        <f t="shared" si="4554"/>
        <v>0</v>
      </c>
      <c r="AC1275" s="289">
        <f t="shared" si="4554"/>
        <v>0</v>
      </c>
      <c r="AD1275" s="289">
        <f t="shared" si="4554"/>
        <v>0</v>
      </c>
      <c r="AE1275" s="289">
        <f t="shared" si="4554"/>
        <v>0</v>
      </c>
      <c r="AF1275" s="289">
        <f t="shared" si="4554"/>
        <v>0</v>
      </c>
      <c r="AG1275" s="289">
        <f t="shared" si="4554"/>
        <v>0</v>
      </c>
      <c r="AH1275" s="289">
        <f t="shared" si="4554"/>
        <v>0</v>
      </c>
      <c r="AI1275" s="289">
        <f t="shared" si="4554"/>
        <v>0</v>
      </c>
      <c r="AJ1275" s="289">
        <f t="shared" si="4554"/>
        <v>0</v>
      </c>
      <c r="AK1275" s="289">
        <f t="shared" si="4554"/>
        <v>0</v>
      </c>
      <c r="AL1275" s="289">
        <f t="shared" si="4554"/>
        <v>0</v>
      </c>
      <c r="AM1275" s="289">
        <f t="shared" si="4554"/>
        <v>0</v>
      </c>
      <c r="AN1275" s="289">
        <f t="shared" si="4554"/>
        <v>0</v>
      </c>
      <c r="AO1275" s="289">
        <f t="shared" si="4554"/>
        <v>0</v>
      </c>
      <c r="AP1275" s="289">
        <f t="shared" si="4554"/>
        <v>0</v>
      </c>
      <c r="AQ1275" s="289">
        <f t="shared" si="4554"/>
        <v>0</v>
      </c>
      <c r="AR1275" s="289">
        <f t="shared" si="4554"/>
        <v>0</v>
      </c>
      <c r="AS1275" s="289">
        <f t="shared" si="4554"/>
        <v>0</v>
      </c>
      <c r="AT1275" s="289">
        <f t="shared" si="4554"/>
        <v>0</v>
      </c>
      <c r="AU1275" s="289">
        <f t="shared" si="4554"/>
        <v>0</v>
      </c>
      <c r="AV1275" s="289">
        <f t="shared" si="4554"/>
        <v>0</v>
      </c>
      <c r="AW1275" s="289">
        <f t="shared" si="4554"/>
        <v>0</v>
      </c>
      <c r="AX1275" s="289">
        <f t="shared" si="4554"/>
        <v>0</v>
      </c>
      <c r="AY1275" s="289">
        <f t="shared" si="4554"/>
        <v>0</v>
      </c>
      <c r="AZ1275" s="289">
        <f t="shared" si="4554"/>
        <v>0</v>
      </c>
      <c r="BA1275" s="289">
        <f t="shared" si="4554"/>
        <v>0</v>
      </c>
      <c r="BB1275" s="289">
        <f t="shared" si="4554"/>
        <v>0</v>
      </c>
      <c r="BC1275" s="188"/>
      <c r="BD1275" s="178">
        <f>SUM(G1275:BC1275)</f>
        <v>0</v>
      </c>
    </row>
    <row r="1276" spans="1:56" ht="14.4" hidden="1" thickTop="1" x14ac:dyDescent="0.3">
      <c r="A1276" s="184" t="str">
        <f ca="1">Language!A$1490</f>
        <v>уплаченный налог</v>
      </c>
      <c r="B1276" s="195"/>
      <c r="C1276" s="163" t="str">
        <f ca="1">CHOOSE(D1276,CurName1,CurName2,CurName3)</f>
        <v>руб.</v>
      </c>
      <c r="D1276" s="174">
        <f>D1271</f>
        <v>1</v>
      </c>
      <c r="E1276" s="170" t="s">
        <v>2253</v>
      </c>
      <c r="F1276" s="170" t="s">
        <v>743</v>
      </c>
      <c r="G1276" s="185">
        <f>G1274-IF(G$2=1,G1275,G1275-F1275)</f>
        <v>0</v>
      </c>
      <c r="H1276" s="185">
        <f t="shared" ref="H1276" si="4555">H1274-IF(H$2=1,H1275,H1275-G1275)</f>
        <v>0</v>
      </c>
      <c r="I1276" s="185">
        <f t="shared" ref="I1276" si="4556">I1274-IF(I$2=1,I1275,I1275-H1275)</f>
        <v>0</v>
      </c>
      <c r="J1276" s="185">
        <f t="shared" ref="J1276" si="4557">J1274-IF(J$2=1,J1275,J1275-I1275)</f>
        <v>0</v>
      </c>
      <c r="K1276" s="185">
        <f t="shared" ref="K1276:BB1276" si="4558">K1274-IF(K$2=1,K1275,K1275-J1275)</f>
        <v>0</v>
      </c>
      <c r="L1276" s="185">
        <f t="shared" si="4558"/>
        <v>0</v>
      </c>
      <c r="M1276" s="185">
        <f t="shared" si="4558"/>
        <v>0</v>
      </c>
      <c r="N1276" s="185">
        <f t="shared" si="4558"/>
        <v>0</v>
      </c>
      <c r="O1276" s="185">
        <f t="shared" si="4558"/>
        <v>0</v>
      </c>
      <c r="P1276" s="185">
        <f t="shared" si="4558"/>
        <v>0</v>
      </c>
      <c r="Q1276" s="185">
        <f t="shared" si="4558"/>
        <v>0</v>
      </c>
      <c r="R1276" s="185">
        <f t="shared" si="4558"/>
        <v>0</v>
      </c>
      <c r="S1276" s="185">
        <f t="shared" si="4558"/>
        <v>0</v>
      </c>
      <c r="T1276" s="185">
        <f t="shared" si="4558"/>
        <v>0</v>
      </c>
      <c r="U1276" s="185">
        <f t="shared" si="4558"/>
        <v>0</v>
      </c>
      <c r="V1276" s="185">
        <f t="shared" si="4558"/>
        <v>0</v>
      </c>
      <c r="W1276" s="185">
        <f t="shared" si="4558"/>
        <v>0</v>
      </c>
      <c r="X1276" s="185">
        <f t="shared" si="4558"/>
        <v>0</v>
      </c>
      <c r="Y1276" s="185">
        <f t="shared" si="4558"/>
        <v>0</v>
      </c>
      <c r="Z1276" s="185">
        <f t="shared" si="4558"/>
        <v>0</v>
      </c>
      <c r="AA1276" s="185">
        <f t="shared" si="4558"/>
        <v>0</v>
      </c>
      <c r="AB1276" s="185">
        <f t="shared" si="4558"/>
        <v>0</v>
      </c>
      <c r="AC1276" s="185">
        <f t="shared" si="4558"/>
        <v>0</v>
      </c>
      <c r="AD1276" s="185">
        <f t="shared" si="4558"/>
        <v>0</v>
      </c>
      <c r="AE1276" s="185">
        <f t="shared" si="4558"/>
        <v>0</v>
      </c>
      <c r="AF1276" s="185">
        <f t="shared" si="4558"/>
        <v>0</v>
      </c>
      <c r="AG1276" s="185">
        <f t="shared" si="4558"/>
        <v>0</v>
      </c>
      <c r="AH1276" s="185">
        <f t="shared" si="4558"/>
        <v>0</v>
      </c>
      <c r="AI1276" s="185">
        <f t="shared" si="4558"/>
        <v>0</v>
      </c>
      <c r="AJ1276" s="185">
        <f t="shared" si="4558"/>
        <v>0</v>
      </c>
      <c r="AK1276" s="185">
        <f t="shared" si="4558"/>
        <v>0</v>
      </c>
      <c r="AL1276" s="185">
        <f t="shared" si="4558"/>
        <v>0</v>
      </c>
      <c r="AM1276" s="185">
        <f t="shared" si="4558"/>
        <v>0</v>
      </c>
      <c r="AN1276" s="185">
        <f t="shared" si="4558"/>
        <v>0</v>
      </c>
      <c r="AO1276" s="185">
        <f t="shared" si="4558"/>
        <v>0</v>
      </c>
      <c r="AP1276" s="185">
        <f t="shared" si="4558"/>
        <v>0</v>
      </c>
      <c r="AQ1276" s="185">
        <f t="shared" si="4558"/>
        <v>0</v>
      </c>
      <c r="AR1276" s="185">
        <f t="shared" si="4558"/>
        <v>0</v>
      </c>
      <c r="AS1276" s="185">
        <f t="shared" si="4558"/>
        <v>0</v>
      </c>
      <c r="AT1276" s="185">
        <f t="shared" si="4558"/>
        <v>0</v>
      </c>
      <c r="AU1276" s="185">
        <f t="shared" si="4558"/>
        <v>0</v>
      </c>
      <c r="AV1276" s="185">
        <f t="shared" si="4558"/>
        <v>0</v>
      </c>
      <c r="AW1276" s="185">
        <f t="shared" si="4558"/>
        <v>0</v>
      </c>
      <c r="AX1276" s="185">
        <f t="shared" si="4558"/>
        <v>0</v>
      </c>
      <c r="AY1276" s="185">
        <f t="shared" si="4558"/>
        <v>0</v>
      </c>
      <c r="AZ1276" s="185">
        <f t="shared" si="4558"/>
        <v>0</v>
      </c>
      <c r="BA1276" s="185">
        <f t="shared" si="4558"/>
        <v>0</v>
      </c>
      <c r="BB1276" s="185">
        <f t="shared" si="4558"/>
        <v>0</v>
      </c>
      <c r="BD1276" s="178">
        <f>SUM(G1276:BC1276)</f>
        <v>0</v>
      </c>
    </row>
    <row r="1277" spans="1:56" ht="14.4" hidden="1" thickTop="1" x14ac:dyDescent="0.3">
      <c r="A1277" s="283" t="str">
        <f ca="1">Language!A$1487</f>
        <v>Шаблон прочих налогов</v>
      </c>
      <c r="C1277" s="163"/>
      <c r="D1277" s="174">
        <v>1</v>
      </c>
      <c r="F1277" s="170" t="s">
        <v>847</v>
      </c>
      <c r="G1277" s="177"/>
      <c r="H1277" s="177"/>
      <c r="I1277" s="177"/>
      <c r="J1277" s="177"/>
      <c r="K1277" s="177"/>
      <c r="L1277" s="177"/>
      <c r="M1277" s="177"/>
      <c r="N1277" s="177"/>
      <c r="O1277" s="177"/>
      <c r="P1277" s="177"/>
      <c r="Q1277" s="177"/>
      <c r="R1277" s="177"/>
      <c r="S1277" s="177"/>
      <c r="T1277" s="177"/>
      <c r="U1277" s="177"/>
      <c r="V1277" s="177"/>
      <c r="W1277" s="177"/>
      <c r="X1277" s="177"/>
      <c r="Y1277" s="177"/>
      <c r="Z1277" s="177"/>
      <c r="AA1277" s="177"/>
      <c r="AB1277" s="177"/>
      <c r="AC1277" s="177"/>
      <c r="AD1277" s="177"/>
      <c r="AE1277" s="177"/>
      <c r="AF1277" s="177"/>
      <c r="AG1277" s="177"/>
      <c r="AH1277" s="177"/>
      <c r="AI1277" s="177"/>
      <c r="AJ1277" s="177"/>
      <c r="AK1277" s="177"/>
      <c r="AL1277" s="177"/>
      <c r="AM1277" s="177"/>
      <c r="AN1277" s="177"/>
      <c r="AO1277" s="177"/>
      <c r="AP1277" s="177"/>
      <c r="AQ1277" s="177"/>
      <c r="AR1277" s="177"/>
      <c r="AS1277" s="177"/>
      <c r="AT1277" s="177"/>
      <c r="AU1277" s="177"/>
      <c r="AV1277" s="177"/>
      <c r="AW1277" s="177"/>
      <c r="AX1277" s="177"/>
      <c r="AY1277" s="177"/>
      <c r="AZ1277" s="177"/>
      <c r="BA1277" s="177"/>
      <c r="BB1277" s="177"/>
      <c r="BC1277" s="177"/>
      <c r="BD1277" s="178"/>
    </row>
    <row r="1278" spans="1:56" ht="14.4" hidden="1" thickTop="1" x14ac:dyDescent="0.3">
      <c r="A1278" s="169" t="str">
        <f ca="1">Language!A$1208</f>
        <v>Облагаемая база</v>
      </c>
      <c r="C1278" s="292" t="str">
        <f ca="1">Language!$A$258</f>
        <v>ед.</v>
      </c>
      <c r="D1278" s="174">
        <f>D1277</f>
        <v>1</v>
      </c>
      <c r="F1278" s="170" t="s">
        <v>742</v>
      </c>
      <c r="G1278" s="297">
        <f>IF(G$2=1,0,F1278)</f>
        <v>0</v>
      </c>
      <c r="H1278" s="297">
        <f t="shared" ref="H1278:BB1278" si="4559">IF(H$2=1,0,G1278)</f>
        <v>0</v>
      </c>
      <c r="I1278" s="297">
        <f t="shared" si="4559"/>
        <v>0</v>
      </c>
      <c r="J1278" s="297">
        <f t="shared" si="4559"/>
        <v>0</v>
      </c>
      <c r="K1278" s="297">
        <f t="shared" si="4559"/>
        <v>0</v>
      </c>
      <c r="L1278" s="297">
        <f t="shared" si="4559"/>
        <v>0</v>
      </c>
      <c r="M1278" s="297">
        <f t="shared" si="4559"/>
        <v>0</v>
      </c>
      <c r="N1278" s="297">
        <f t="shared" si="4559"/>
        <v>0</v>
      </c>
      <c r="O1278" s="297">
        <f t="shared" si="4559"/>
        <v>0</v>
      </c>
      <c r="P1278" s="297">
        <f t="shared" si="4559"/>
        <v>0</v>
      </c>
      <c r="Q1278" s="297">
        <f t="shared" si="4559"/>
        <v>0</v>
      </c>
      <c r="R1278" s="297">
        <f t="shared" si="4559"/>
        <v>0</v>
      </c>
      <c r="S1278" s="297">
        <f t="shared" si="4559"/>
        <v>0</v>
      </c>
      <c r="T1278" s="297">
        <f t="shared" si="4559"/>
        <v>0</v>
      </c>
      <c r="U1278" s="297">
        <f t="shared" si="4559"/>
        <v>0</v>
      </c>
      <c r="V1278" s="297">
        <f t="shared" si="4559"/>
        <v>0</v>
      </c>
      <c r="W1278" s="297">
        <f t="shared" si="4559"/>
        <v>0</v>
      </c>
      <c r="X1278" s="297">
        <f t="shared" si="4559"/>
        <v>0</v>
      </c>
      <c r="Y1278" s="297">
        <f t="shared" si="4559"/>
        <v>0</v>
      </c>
      <c r="Z1278" s="297">
        <f t="shared" si="4559"/>
        <v>0</v>
      </c>
      <c r="AA1278" s="297">
        <f t="shared" si="4559"/>
        <v>0</v>
      </c>
      <c r="AB1278" s="297">
        <f t="shared" si="4559"/>
        <v>0</v>
      </c>
      <c r="AC1278" s="297">
        <f t="shared" si="4559"/>
        <v>0</v>
      </c>
      <c r="AD1278" s="297">
        <f t="shared" si="4559"/>
        <v>0</v>
      </c>
      <c r="AE1278" s="297">
        <f t="shared" si="4559"/>
        <v>0</v>
      </c>
      <c r="AF1278" s="297">
        <f t="shared" si="4559"/>
        <v>0</v>
      </c>
      <c r="AG1278" s="297">
        <f t="shared" si="4559"/>
        <v>0</v>
      </c>
      <c r="AH1278" s="297">
        <f t="shared" si="4559"/>
        <v>0</v>
      </c>
      <c r="AI1278" s="297">
        <f t="shared" si="4559"/>
        <v>0</v>
      </c>
      <c r="AJ1278" s="297">
        <f t="shared" si="4559"/>
        <v>0</v>
      </c>
      <c r="AK1278" s="297">
        <f t="shared" si="4559"/>
        <v>0</v>
      </c>
      <c r="AL1278" s="297">
        <f t="shared" si="4559"/>
        <v>0</v>
      </c>
      <c r="AM1278" s="297">
        <f t="shared" si="4559"/>
        <v>0</v>
      </c>
      <c r="AN1278" s="297">
        <f t="shared" si="4559"/>
        <v>0</v>
      </c>
      <c r="AO1278" s="297">
        <f t="shared" si="4559"/>
        <v>0</v>
      </c>
      <c r="AP1278" s="297">
        <f t="shared" si="4559"/>
        <v>0</v>
      </c>
      <c r="AQ1278" s="297">
        <f t="shared" si="4559"/>
        <v>0</v>
      </c>
      <c r="AR1278" s="297">
        <f t="shared" si="4559"/>
        <v>0</v>
      </c>
      <c r="AS1278" s="297">
        <f t="shared" si="4559"/>
        <v>0</v>
      </c>
      <c r="AT1278" s="297">
        <f t="shared" si="4559"/>
        <v>0</v>
      </c>
      <c r="AU1278" s="297">
        <f t="shared" si="4559"/>
        <v>0</v>
      </c>
      <c r="AV1278" s="297">
        <f t="shared" si="4559"/>
        <v>0</v>
      </c>
      <c r="AW1278" s="297">
        <f t="shared" si="4559"/>
        <v>0</v>
      </c>
      <c r="AX1278" s="297">
        <f t="shared" si="4559"/>
        <v>0</v>
      </c>
      <c r="AY1278" s="297">
        <f t="shared" si="4559"/>
        <v>0</v>
      </c>
      <c r="AZ1278" s="297">
        <f t="shared" si="4559"/>
        <v>0</v>
      </c>
      <c r="BA1278" s="297">
        <f t="shared" si="4559"/>
        <v>0</v>
      </c>
      <c r="BB1278" s="297">
        <f t="shared" si="4559"/>
        <v>0</v>
      </c>
      <c r="BC1278" s="177"/>
      <c r="BD1278" s="178">
        <f>SUM(G1278:BC1278)</f>
        <v>0</v>
      </c>
    </row>
    <row r="1279" spans="1:56" s="173" customFormat="1" ht="14.4" hidden="1" thickTop="1" x14ac:dyDescent="0.3">
      <c r="A1279" s="233" t="str">
        <f ca="1">Language!A$452&amp;", "&amp;C1279&amp;" за "&amp;C1278</f>
        <v>Ставка налога, руб. за ед. за ед.</v>
      </c>
      <c r="B1279" s="284">
        <v>0</v>
      </c>
      <c r="C1279" s="176" t="str">
        <f ca="1">CHOOSE(D1279,CurName1,CurName2,CurName3)&amp;" за "&amp;C1278</f>
        <v>руб. за ед.</v>
      </c>
      <c r="D1279" s="174">
        <f>D1277</f>
        <v>1</v>
      </c>
      <c r="F1279" s="170" t="s">
        <v>2349</v>
      </c>
      <c r="G1279" s="285">
        <f>IF(G$2=1,$B1279,F1279)</f>
        <v>0</v>
      </c>
      <c r="H1279" s="285">
        <f t="shared" ref="H1279:BB1279" si="4560">IF(H$2=1,$B1279,G1279)</f>
        <v>0</v>
      </c>
      <c r="I1279" s="285">
        <f t="shared" si="4560"/>
        <v>0</v>
      </c>
      <c r="J1279" s="285">
        <f t="shared" si="4560"/>
        <v>0</v>
      </c>
      <c r="K1279" s="285">
        <f t="shared" si="4560"/>
        <v>0</v>
      </c>
      <c r="L1279" s="285">
        <f t="shared" si="4560"/>
        <v>0</v>
      </c>
      <c r="M1279" s="285">
        <f t="shared" si="4560"/>
        <v>0</v>
      </c>
      <c r="N1279" s="285">
        <f t="shared" si="4560"/>
        <v>0</v>
      </c>
      <c r="O1279" s="285">
        <f t="shared" si="4560"/>
        <v>0</v>
      </c>
      <c r="P1279" s="285">
        <f t="shared" si="4560"/>
        <v>0</v>
      </c>
      <c r="Q1279" s="285">
        <f t="shared" si="4560"/>
        <v>0</v>
      </c>
      <c r="R1279" s="285">
        <f t="shared" si="4560"/>
        <v>0</v>
      </c>
      <c r="S1279" s="285">
        <f t="shared" si="4560"/>
        <v>0</v>
      </c>
      <c r="T1279" s="285">
        <f t="shared" si="4560"/>
        <v>0</v>
      </c>
      <c r="U1279" s="285">
        <f t="shared" si="4560"/>
        <v>0</v>
      </c>
      <c r="V1279" s="285">
        <f t="shared" si="4560"/>
        <v>0</v>
      </c>
      <c r="W1279" s="285">
        <f t="shared" si="4560"/>
        <v>0</v>
      </c>
      <c r="X1279" s="285">
        <f t="shared" si="4560"/>
        <v>0</v>
      </c>
      <c r="Y1279" s="285">
        <f t="shared" si="4560"/>
        <v>0</v>
      </c>
      <c r="Z1279" s="285">
        <f t="shared" si="4560"/>
        <v>0</v>
      </c>
      <c r="AA1279" s="285">
        <f t="shared" si="4560"/>
        <v>0</v>
      </c>
      <c r="AB1279" s="285">
        <f t="shared" si="4560"/>
        <v>0</v>
      </c>
      <c r="AC1279" s="285">
        <f t="shared" si="4560"/>
        <v>0</v>
      </c>
      <c r="AD1279" s="285">
        <f t="shared" si="4560"/>
        <v>0</v>
      </c>
      <c r="AE1279" s="285">
        <f t="shared" si="4560"/>
        <v>0</v>
      </c>
      <c r="AF1279" s="285">
        <f t="shared" si="4560"/>
        <v>0</v>
      </c>
      <c r="AG1279" s="285">
        <f t="shared" si="4560"/>
        <v>0</v>
      </c>
      <c r="AH1279" s="285">
        <f t="shared" si="4560"/>
        <v>0</v>
      </c>
      <c r="AI1279" s="285">
        <f t="shared" si="4560"/>
        <v>0</v>
      </c>
      <c r="AJ1279" s="285">
        <f t="shared" si="4560"/>
        <v>0</v>
      </c>
      <c r="AK1279" s="285">
        <f t="shared" si="4560"/>
        <v>0</v>
      </c>
      <c r="AL1279" s="285">
        <f t="shared" si="4560"/>
        <v>0</v>
      </c>
      <c r="AM1279" s="285">
        <f t="shared" si="4560"/>
        <v>0</v>
      </c>
      <c r="AN1279" s="285">
        <f t="shared" si="4560"/>
        <v>0</v>
      </c>
      <c r="AO1279" s="285">
        <f t="shared" si="4560"/>
        <v>0</v>
      </c>
      <c r="AP1279" s="285">
        <f t="shared" si="4560"/>
        <v>0</v>
      </c>
      <c r="AQ1279" s="285">
        <f t="shared" si="4560"/>
        <v>0</v>
      </c>
      <c r="AR1279" s="285">
        <f t="shared" si="4560"/>
        <v>0</v>
      </c>
      <c r="AS1279" s="285">
        <f t="shared" si="4560"/>
        <v>0</v>
      </c>
      <c r="AT1279" s="285">
        <f t="shared" si="4560"/>
        <v>0</v>
      </c>
      <c r="AU1279" s="285">
        <f t="shared" si="4560"/>
        <v>0</v>
      </c>
      <c r="AV1279" s="285">
        <f t="shared" si="4560"/>
        <v>0</v>
      </c>
      <c r="AW1279" s="285">
        <f t="shared" si="4560"/>
        <v>0</v>
      </c>
      <c r="AX1279" s="285">
        <f t="shared" si="4560"/>
        <v>0</v>
      </c>
      <c r="AY1279" s="285">
        <f t="shared" si="4560"/>
        <v>0</v>
      </c>
      <c r="AZ1279" s="285">
        <f t="shared" si="4560"/>
        <v>0</v>
      </c>
      <c r="BA1279" s="285">
        <f t="shared" si="4560"/>
        <v>0</v>
      </c>
      <c r="BB1279" s="285">
        <f t="shared" si="4560"/>
        <v>0</v>
      </c>
      <c r="BC1279" s="234"/>
      <c r="BD1279" s="235"/>
    </row>
    <row r="1280" spans="1:56" ht="14.4" hidden="1" thickTop="1" x14ac:dyDescent="0.3">
      <c r="A1280" s="233" t="str">
        <f ca="1">Language!A$1489</f>
        <v>Начисленный налог</v>
      </c>
      <c r="B1280" s="236"/>
      <c r="C1280" s="176" t="str">
        <f ca="1">CHOOSE(D1280,CurName1,CurName2,CurName3)</f>
        <v>руб.</v>
      </c>
      <c r="D1280" s="174">
        <f>D1277</f>
        <v>1</v>
      </c>
      <c r="E1280" s="170" t="s">
        <v>2251</v>
      </c>
      <c r="F1280" s="170" t="s">
        <v>2341</v>
      </c>
      <c r="G1280" s="285">
        <f>G1278*G1279</f>
        <v>0</v>
      </c>
      <c r="H1280" s="285">
        <f t="shared" ref="H1280" si="4561">H1278*H1279</f>
        <v>0</v>
      </c>
      <c r="I1280" s="285">
        <f t="shared" ref="I1280" si="4562">I1278*I1279</f>
        <v>0</v>
      </c>
      <c r="J1280" s="285">
        <f t="shared" ref="J1280" si="4563">J1278*J1279</f>
        <v>0</v>
      </c>
      <c r="K1280" s="285">
        <f t="shared" ref="K1280:L1280" si="4564">K1278*K1279</f>
        <v>0</v>
      </c>
      <c r="L1280" s="285">
        <f t="shared" si="4564"/>
        <v>0</v>
      </c>
      <c r="M1280" s="285">
        <f t="shared" ref="M1280:N1280" si="4565">M1278*M1279</f>
        <v>0</v>
      </c>
      <c r="N1280" s="285">
        <f t="shared" si="4565"/>
        <v>0</v>
      </c>
      <c r="O1280" s="285">
        <f t="shared" ref="O1280:P1280" si="4566">O1278*O1279</f>
        <v>0</v>
      </c>
      <c r="P1280" s="285">
        <f t="shared" si="4566"/>
        <v>0</v>
      </c>
      <c r="Q1280" s="285">
        <f t="shared" ref="Q1280:R1280" si="4567">Q1278*Q1279</f>
        <v>0</v>
      </c>
      <c r="R1280" s="285">
        <f t="shared" si="4567"/>
        <v>0</v>
      </c>
      <c r="S1280" s="285">
        <f t="shared" ref="S1280:T1280" si="4568">S1278*S1279</f>
        <v>0</v>
      </c>
      <c r="T1280" s="285">
        <f t="shared" si="4568"/>
        <v>0</v>
      </c>
      <c r="U1280" s="285">
        <f t="shared" ref="U1280:V1280" si="4569">U1278*U1279</f>
        <v>0</v>
      </c>
      <c r="V1280" s="285">
        <f t="shared" si="4569"/>
        <v>0</v>
      </c>
      <c r="W1280" s="285">
        <f t="shared" ref="W1280:X1280" si="4570">W1278*W1279</f>
        <v>0</v>
      </c>
      <c r="X1280" s="285">
        <f t="shared" si="4570"/>
        <v>0</v>
      </c>
      <c r="Y1280" s="285">
        <f t="shared" ref="Y1280:Z1280" si="4571">Y1278*Y1279</f>
        <v>0</v>
      </c>
      <c r="Z1280" s="285">
        <f t="shared" si="4571"/>
        <v>0</v>
      </c>
      <c r="AA1280" s="285">
        <f t="shared" ref="AA1280:AB1280" si="4572">AA1278*AA1279</f>
        <v>0</v>
      </c>
      <c r="AB1280" s="285">
        <f t="shared" si="4572"/>
        <v>0</v>
      </c>
      <c r="AC1280" s="285">
        <f t="shared" ref="AC1280:AD1280" si="4573">AC1278*AC1279</f>
        <v>0</v>
      </c>
      <c r="AD1280" s="285">
        <f t="shared" si="4573"/>
        <v>0</v>
      </c>
      <c r="AE1280" s="285">
        <f t="shared" ref="AE1280:AF1280" si="4574">AE1278*AE1279</f>
        <v>0</v>
      </c>
      <c r="AF1280" s="285">
        <f t="shared" si="4574"/>
        <v>0</v>
      </c>
      <c r="AG1280" s="285">
        <f t="shared" ref="AG1280:AH1280" si="4575">AG1278*AG1279</f>
        <v>0</v>
      </c>
      <c r="AH1280" s="285">
        <f t="shared" si="4575"/>
        <v>0</v>
      </c>
      <c r="AI1280" s="285">
        <f t="shared" ref="AI1280:AJ1280" si="4576">AI1278*AI1279</f>
        <v>0</v>
      </c>
      <c r="AJ1280" s="285">
        <f t="shared" si="4576"/>
        <v>0</v>
      </c>
      <c r="AK1280" s="285">
        <f t="shared" ref="AK1280:AL1280" si="4577">AK1278*AK1279</f>
        <v>0</v>
      </c>
      <c r="AL1280" s="285">
        <f t="shared" si="4577"/>
        <v>0</v>
      </c>
      <c r="AM1280" s="285">
        <f t="shared" ref="AM1280:AN1280" si="4578">AM1278*AM1279</f>
        <v>0</v>
      </c>
      <c r="AN1280" s="285">
        <f t="shared" si="4578"/>
        <v>0</v>
      </c>
      <c r="AO1280" s="285">
        <f t="shared" ref="AO1280:AP1280" si="4579">AO1278*AO1279</f>
        <v>0</v>
      </c>
      <c r="AP1280" s="285">
        <f t="shared" si="4579"/>
        <v>0</v>
      </c>
      <c r="AQ1280" s="285">
        <f t="shared" ref="AQ1280:AR1280" si="4580">AQ1278*AQ1279</f>
        <v>0</v>
      </c>
      <c r="AR1280" s="285">
        <f t="shared" si="4580"/>
        <v>0</v>
      </c>
      <c r="AS1280" s="285">
        <f t="shared" ref="AS1280:AT1280" si="4581">AS1278*AS1279</f>
        <v>0</v>
      </c>
      <c r="AT1280" s="285">
        <f t="shared" si="4581"/>
        <v>0</v>
      </c>
      <c r="AU1280" s="285">
        <f t="shared" ref="AU1280:AV1280" si="4582">AU1278*AU1279</f>
        <v>0</v>
      </c>
      <c r="AV1280" s="285">
        <f t="shared" si="4582"/>
        <v>0</v>
      </c>
      <c r="AW1280" s="285">
        <f t="shared" ref="AW1280:AX1280" si="4583">AW1278*AW1279</f>
        <v>0</v>
      </c>
      <c r="AX1280" s="285">
        <f t="shared" si="4583"/>
        <v>0</v>
      </c>
      <c r="AY1280" s="285">
        <f t="shared" ref="AY1280:AZ1280" si="4584">AY1278*AY1279</f>
        <v>0</v>
      </c>
      <c r="AZ1280" s="285">
        <f t="shared" si="4584"/>
        <v>0</v>
      </c>
      <c r="BA1280" s="285">
        <f t="shared" ref="BA1280:BB1280" si="4585">BA1278*BA1279</f>
        <v>0</v>
      </c>
      <c r="BB1280" s="285">
        <f t="shared" si="4585"/>
        <v>0</v>
      </c>
      <c r="BC1280" s="177"/>
      <c r="BD1280" s="178">
        <f>SUM(G1280:BC1280)</f>
        <v>0</v>
      </c>
    </row>
    <row r="1281" spans="1:56" ht="14.4" hidden="1" thickTop="1" x14ac:dyDescent="0.3">
      <c r="A1281" s="184" t="str">
        <f ca="1">Language!A$1174</f>
        <v>задолженность по налогу</v>
      </c>
      <c r="B1281" s="200"/>
      <c r="C1281" s="163" t="str">
        <f ca="1">CHOOSE(D1281,CurName1,CurName2,CurName3)</f>
        <v>руб.</v>
      </c>
      <c r="D1281" s="174">
        <f>D1277</f>
        <v>1</v>
      </c>
      <c r="E1281" s="170" t="s">
        <v>2255</v>
      </c>
      <c r="F1281" s="170" t="s">
        <v>2342</v>
      </c>
      <c r="G1281" s="289">
        <f>IF(G$2=1,0,F1281)</f>
        <v>0</v>
      </c>
      <c r="H1281" s="289">
        <f t="shared" ref="H1281:BB1281" si="4586">IF(H$2=1,0,G1281)</f>
        <v>0</v>
      </c>
      <c r="I1281" s="289">
        <f t="shared" si="4586"/>
        <v>0</v>
      </c>
      <c r="J1281" s="289">
        <f t="shared" si="4586"/>
        <v>0</v>
      </c>
      <c r="K1281" s="289">
        <f t="shared" si="4586"/>
        <v>0</v>
      </c>
      <c r="L1281" s="289">
        <f t="shared" si="4586"/>
        <v>0</v>
      </c>
      <c r="M1281" s="289">
        <f t="shared" si="4586"/>
        <v>0</v>
      </c>
      <c r="N1281" s="289">
        <f t="shared" si="4586"/>
        <v>0</v>
      </c>
      <c r="O1281" s="289">
        <f t="shared" si="4586"/>
        <v>0</v>
      </c>
      <c r="P1281" s="289">
        <f t="shared" si="4586"/>
        <v>0</v>
      </c>
      <c r="Q1281" s="289">
        <f t="shared" si="4586"/>
        <v>0</v>
      </c>
      <c r="R1281" s="289">
        <f t="shared" si="4586"/>
        <v>0</v>
      </c>
      <c r="S1281" s="289">
        <f t="shared" si="4586"/>
        <v>0</v>
      </c>
      <c r="T1281" s="289">
        <f t="shared" si="4586"/>
        <v>0</v>
      </c>
      <c r="U1281" s="289">
        <f t="shared" si="4586"/>
        <v>0</v>
      </c>
      <c r="V1281" s="289">
        <f t="shared" si="4586"/>
        <v>0</v>
      </c>
      <c r="W1281" s="289">
        <f t="shared" si="4586"/>
        <v>0</v>
      </c>
      <c r="X1281" s="289">
        <f t="shared" si="4586"/>
        <v>0</v>
      </c>
      <c r="Y1281" s="289">
        <f t="shared" si="4586"/>
        <v>0</v>
      </c>
      <c r="Z1281" s="289">
        <f t="shared" si="4586"/>
        <v>0</v>
      </c>
      <c r="AA1281" s="289">
        <f t="shared" si="4586"/>
        <v>0</v>
      </c>
      <c r="AB1281" s="289">
        <f t="shared" si="4586"/>
        <v>0</v>
      </c>
      <c r="AC1281" s="289">
        <f t="shared" si="4586"/>
        <v>0</v>
      </c>
      <c r="AD1281" s="289">
        <f t="shared" si="4586"/>
        <v>0</v>
      </c>
      <c r="AE1281" s="289">
        <f t="shared" si="4586"/>
        <v>0</v>
      </c>
      <c r="AF1281" s="289">
        <f t="shared" si="4586"/>
        <v>0</v>
      </c>
      <c r="AG1281" s="289">
        <f t="shared" si="4586"/>
        <v>0</v>
      </c>
      <c r="AH1281" s="289">
        <f t="shared" si="4586"/>
        <v>0</v>
      </c>
      <c r="AI1281" s="289">
        <f t="shared" si="4586"/>
        <v>0</v>
      </c>
      <c r="AJ1281" s="289">
        <f t="shared" si="4586"/>
        <v>0</v>
      </c>
      <c r="AK1281" s="289">
        <f t="shared" si="4586"/>
        <v>0</v>
      </c>
      <c r="AL1281" s="289">
        <f t="shared" si="4586"/>
        <v>0</v>
      </c>
      <c r="AM1281" s="289">
        <f t="shared" si="4586"/>
        <v>0</v>
      </c>
      <c r="AN1281" s="289">
        <f t="shared" si="4586"/>
        <v>0</v>
      </c>
      <c r="AO1281" s="289">
        <f t="shared" si="4586"/>
        <v>0</v>
      </c>
      <c r="AP1281" s="289">
        <f t="shared" si="4586"/>
        <v>0</v>
      </c>
      <c r="AQ1281" s="289">
        <f t="shared" si="4586"/>
        <v>0</v>
      </c>
      <c r="AR1281" s="289">
        <f t="shared" si="4586"/>
        <v>0</v>
      </c>
      <c r="AS1281" s="289">
        <f t="shared" si="4586"/>
        <v>0</v>
      </c>
      <c r="AT1281" s="289">
        <f t="shared" si="4586"/>
        <v>0</v>
      </c>
      <c r="AU1281" s="289">
        <f t="shared" si="4586"/>
        <v>0</v>
      </c>
      <c r="AV1281" s="289">
        <f t="shared" si="4586"/>
        <v>0</v>
      </c>
      <c r="AW1281" s="289">
        <f t="shared" si="4586"/>
        <v>0</v>
      </c>
      <c r="AX1281" s="289">
        <f t="shared" si="4586"/>
        <v>0</v>
      </c>
      <c r="AY1281" s="289">
        <f t="shared" si="4586"/>
        <v>0</v>
      </c>
      <c r="AZ1281" s="289">
        <f t="shared" si="4586"/>
        <v>0</v>
      </c>
      <c r="BA1281" s="289">
        <f t="shared" si="4586"/>
        <v>0</v>
      </c>
      <c r="BB1281" s="289">
        <f t="shared" si="4586"/>
        <v>0</v>
      </c>
      <c r="BC1281" s="188"/>
      <c r="BD1281" s="178">
        <f>SUM(G1281:BC1281)</f>
        <v>0</v>
      </c>
    </row>
    <row r="1282" spans="1:56" ht="14.4" hidden="1" thickTop="1" x14ac:dyDescent="0.3">
      <c r="A1282" s="184" t="str">
        <f ca="1">Language!A$1490</f>
        <v>уплаченный налог</v>
      </c>
      <c r="B1282" s="195"/>
      <c r="C1282" s="163" t="str">
        <f ca="1">CHOOSE(D1282,CurName1,CurName2,CurName3)</f>
        <v>руб.</v>
      </c>
      <c r="D1282" s="174">
        <f>D1277</f>
        <v>1</v>
      </c>
      <c r="E1282" s="170" t="s">
        <v>2253</v>
      </c>
      <c r="F1282" s="170" t="s">
        <v>743</v>
      </c>
      <c r="G1282" s="185">
        <f>G1280-IF(G$2=1,G1281,G1281-F1281)</f>
        <v>0</v>
      </c>
      <c r="H1282" s="185">
        <f t="shared" ref="H1282" si="4587">H1280-IF(H$2=1,H1281,H1281-G1281)</f>
        <v>0</v>
      </c>
      <c r="I1282" s="185">
        <f t="shared" ref="I1282" si="4588">I1280-IF(I$2=1,I1281,I1281-H1281)</f>
        <v>0</v>
      </c>
      <c r="J1282" s="185">
        <f t="shared" ref="J1282" si="4589">J1280-IF(J$2=1,J1281,J1281-I1281)</f>
        <v>0</v>
      </c>
      <c r="K1282" s="185">
        <f t="shared" ref="K1282:BB1282" si="4590">K1280-IF(K$2=1,K1281,K1281-J1281)</f>
        <v>0</v>
      </c>
      <c r="L1282" s="185">
        <f t="shared" si="4590"/>
        <v>0</v>
      </c>
      <c r="M1282" s="185">
        <f t="shared" si="4590"/>
        <v>0</v>
      </c>
      <c r="N1282" s="185">
        <f t="shared" si="4590"/>
        <v>0</v>
      </c>
      <c r="O1282" s="185">
        <f t="shared" si="4590"/>
        <v>0</v>
      </c>
      <c r="P1282" s="185">
        <f t="shared" si="4590"/>
        <v>0</v>
      </c>
      <c r="Q1282" s="185">
        <f t="shared" si="4590"/>
        <v>0</v>
      </c>
      <c r="R1282" s="185">
        <f t="shared" si="4590"/>
        <v>0</v>
      </c>
      <c r="S1282" s="185">
        <f t="shared" si="4590"/>
        <v>0</v>
      </c>
      <c r="T1282" s="185">
        <f t="shared" si="4590"/>
        <v>0</v>
      </c>
      <c r="U1282" s="185">
        <f t="shared" si="4590"/>
        <v>0</v>
      </c>
      <c r="V1282" s="185">
        <f t="shared" si="4590"/>
        <v>0</v>
      </c>
      <c r="W1282" s="185">
        <f t="shared" si="4590"/>
        <v>0</v>
      </c>
      <c r="X1282" s="185">
        <f t="shared" si="4590"/>
        <v>0</v>
      </c>
      <c r="Y1282" s="185">
        <f t="shared" si="4590"/>
        <v>0</v>
      </c>
      <c r="Z1282" s="185">
        <f t="shared" si="4590"/>
        <v>0</v>
      </c>
      <c r="AA1282" s="185">
        <f t="shared" si="4590"/>
        <v>0</v>
      </c>
      <c r="AB1282" s="185">
        <f t="shared" si="4590"/>
        <v>0</v>
      </c>
      <c r="AC1282" s="185">
        <f t="shared" si="4590"/>
        <v>0</v>
      </c>
      <c r="AD1282" s="185">
        <f t="shared" si="4590"/>
        <v>0</v>
      </c>
      <c r="AE1282" s="185">
        <f t="shared" si="4590"/>
        <v>0</v>
      </c>
      <c r="AF1282" s="185">
        <f t="shared" si="4590"/>
        <v>0</v>
      </c>
      <c r="AG1282" s="185">
        <f t="shared" si="4590"/>
        <v>0</v>
      </c>
      <c r="AH1282" s="185">
        <f t="shared" si="4590"/>
        <v>0</v>
      </c>
      <c r="AI1282" s="185">
        <f t="shared" si="4590"/>
        <v>0</v>
      </c>
      <c r="AJ1282" s="185">
        <f t="shared" si="4590"/>
        <v>0</v>
      </c>
      <c r="AK1282" s="185">
        <f t="shared" si="4590"/>
        <v>0</v>
      </c>
      <c r="AL1282" s="185">
        <f t="shared" si="4590"/>
        <v>0</v>
      </c>
      <c r="AM1282" s="185">
        <f t="shared" si="4590"/>
        <v>0</v>
      </c>
      <c r="AN1282" s="185">
        <f t="shared" si="4590"/>
        <v>0</v>
      </c>
      <c r="AO1282" s="185">
        <f t="shared" si="4590"/>
        <v>0</v>
      </c>
      <c r="AP1282" s="185">
        <f t="shared" si="4590"/>
        <v>0</v>
      </c>
      <c r="AQ1282" s="185">
        <f t="shared" si="4590"/>
        <v>0</v>
      </c>
      <c r="AR1282" s="185">
        <f t="shared" si="4590"/>
        <v>0</v>
      </c>
      <c r="AS1282" s="185">
        <f t="shared" si="4590"/>
        <v>0</v>
      </c>
      <c r="AT1282" s="185">
        <f t="shared" si="4590"/>
        <v>0</v>
      </c>
      <c r="AU1282" s="185">
        <f t="shared" si="4590"/>
        <v>0</v>
      </c>
      <c r="AV1282" s="185">
        <f t="shared" si="4590"/>
        <v>0</v>
      </c>
      <c r="AW1282" s="185">
        <f t="shared" si="4590"/>
        <v>0</v>
      </c>
      <c r="AX1282" s="185">
        <f t="shared" si="4590"/>
        <v>0</v>
      </c>
      <c r="AY1282" s="185">
        <f t="shared" si="4590"/>
        <v>0</v>
      </c>
      <c r="AZ1282" s="185">
        <f t="shared" si="4590"/>
        <v>0</v>
      </c>
      <c r="BA1282" s="185">
        <f t="shared" si="4590"/>
        <v>0</v>
      </c>
      <c r="BB1282" s="185">
        <f t="shared" si="4590"/>
        <v>0</v>
      </c>
      <c r="BD1282" s="178">
        <f>SUM(G1282:BC1282)</f>
        <v>0</v>
      </c>
    </row>
    <row r="1283" spans="1:56" ht="14.4" thickTop="1" x14ac:dyDescent="0.3">
      <c r="A1283" s="244"/>
    </row>
    <row r="1284" spans="1:56" hidden="1" x14ac:dyDescent="0.3">
      <c r="A1284" s="195" t="str">
        <f ca="1">Language!A$1488</f>
        <v>Прочие налоги</v>
      </c>
      <c r="E1284" s="170" t="s">
        <v>717</v>
      </c>
      <c r="F1284" s="170" t="s">
        <v>3411</v>
      </c>
    </row>
    <row r="1285" spans="1:56" hidden="1" x14ac:dyDescent="0.3"/>
    <row r="1286" spans="1:56" x14ac:dyDescent="0.3">
      <c r="E1286" s="170" t="s">
        <v>712</v>
      </c>
    </row>
    <row r="1287" spans="1:56" s="195" customFormat="1" collapsed="1" x14ac:dyDescent="0.3">
      <c r="A1287" s="195" t="str">
        <f ca="1">Language!A$1491</f>
        <v>Итого: прочие налоги</v>
      </c>
      <c r="B1287" s="169"/>
      <c r="C1287" s="194" t="str">
        <f t="shared" ref="C1287:C1289" ca="1" si="4591">CurName1</f>
        <v>руб.</v>
      </c>
      <c r="D1287" s="174">
        <v>1</v>
      </c>
      <c r="E1287" s="170"/>
      <c r="F1287" s="170" t="s">
        <v>2252</v>
      </c>
      <c r="G1287" s="210">
        <v>0</v>
      </c>
      <c r="H1287" s="210">
        <v>0</v>
      </c>
      <c r="I1287" s="210">
        <v>0</v>
      </c>
      <c r="J1287" s="210">
        <v>0</v>
      </c>
      <c r="K1287" s="210">
        <v>0</v>
      </c>
      <c r="L1287" s="210">
        <v>0</v>
      </c>
      <c r="M1287" s="210">
        <v>0</v>
      </c>
      <c r="N1287" s="210">
        <v>0</v>
      </c>
      <c r="O1287" s="210">
        <v>0</v>
      </c>
      <c r="P1287" s="210">
        <v>0</v>
      </c>
      <c r="Q1287" s="210">
        <v>0</v>
      </c>
      <c r="R1287" s="210">
        <v>0</v>
      </c>
      <c r="S1287" s="210">
        <v>0</v>
      </c>
      <c r="T1287" s="210">
        <v>0</v>
      </c>
      <c r="U1287" s="210">
        <v>0</v>
      </c>
      <c r="V1287" s="210">
        <v>0</v>
      </c>
      <c r="W1287" s="210">
        <v>0</v>
      </c>
      <c r="X1287" s="210">
        <v>0</v>
      </c>
      <c r="Y1287" s="210">
        <v>0</v>
      </c>
      <c r="Z1287" s="210">
        <v>0</v>
      </c>
      <c r="AA1287" s="210">
        <v>0</v>
      </c>
      <c r="AB1287" s="210">
        <v>0</v>
      </c>
      <c r="AC1287" s="210">
        <v>0</v>
      </c>
      <c r="AD1287" s="210">
        <v>0</v>
      </c>
      <c r="AE1287" s="210">
        <v>0</v>
      </c>
      <c r="AF1287" s="210">
        <v>0</v>
      </c>
      <c r="AG1287" s="210">
        <v>0</v>
      </c>
      <c r="AH1287" s="210">
        <v>0</v>
      </c>
      <c r="AI1287" s="210">
        <v>0</v>
      </c>
      <c r="AJ1287" s="210">
        <v>0</v>
      </c>
      <c r="AK1287" s="210">
        <v>0</v>
      </c>
      <c r="AL1287" s="210">
        <v>0</v>
      </c>
      <c r="AM1287" s="210">
        <v>0</v>
      </c>
      <c r="AN1287" s="210">
        <v>0</v>
      </c>
      <c r="AO1287" s="210">
        <v>0</v>
      </c>
      <c r="AP1287" s="210">
        <v>0</v>
      </c>
      <c r="AQ1287" s="210">
        <v>0</v>
      </c>
      <c r="AR1287" s="210">
        <v>0</v>
      </c>
      <c r="AS1287" s="210">
        <v>0</v>
      </c>
      <c r="AT1287" s="210">
        <v>0</v>
      </c>
      <c r="AU1287" s="210">
        <v>0</v>
      </c>
      <c r="AV1287" s="210">
        <v>0</v>
      </c>
      <c r="AW1287" s="210">
        <v>0</v>
      </c>
      <c r="AX1287" s="210">
        <v>0</v>
      </c>
      <c r="AY1287" s="210">
        <v>0</v>
      </c>
      <c r="AZ1287" s="210">
        <v>0</v>
      </c>
      <c r="BA1287" s="210">
        <v>0</v>
      </c>
      <c r="BB1287" s="210">
        <v>0</v>
      </c>
      <c r="BD1287" s="211">
        <f>SUM(G1287:BC1287)</f>
        <v>0</v>
      </c>
    </row>
    <row r="1288" spans="1:56" hidden="1" outlineLevel="1" x14ac:dyDescent="0.3">
      <c r="A1288" s="175" t="str">
        <f ca="1">Language!A1493</f>
        <v>уплаченные налоги</v>
      </c>
      <c r="C1288" s="194" t="str">
        <f t="shared" ca="1" si="4591"/>
        <v>руб.</v>
      </c>
      <c r="D1288" s="174">
        <v>1</v>
      </c>
      <c r="F1288" s="170" t="s">
        <v>2254</v>
      </c>
      <c r="G1288" s="177">
        <v>0</v>
      </c>
      <c r="H1288" s="177">
        <v>0</v>
      </c>
      <c r="I1288" s="177">
        <v>0</v>
      </c>
      <c r="J1288" s="177">
        <v>0</v>
      </c>
      <c r="K1288" s="177">
        <v>0</v>
      </c>
      <c r="L1288" s="177">
        <v>0</v>
      </c>
      <c r="M1288" s="177">
        <v>0</v>
      </c>
      <c r="N1288" s="177">
        <v>0</v>
      </c>
      <c r="O1288" s="177">
        <v>0</v>
      </c>
      <c r="P1288" s="177">
        <v>0</v>
      </c>
      <c r="Q1288" s="177">
        <v>0</v>
      </c>
      <c r="R1288" s="177">
        <v>0</v>
      </c>
      <c r="S1288" s="177">
        <v>0</v>
      </c>
      <c r="T1288" s="177">
        <v>0</v>
      </c>
      <c r="U1288" s="177">
        <v>0</v>
      </c>
      <c r="V1288" s="177">
        <v>0</v>
      </c>
      <c r="W1288" s="177">
        <v>0</v>
      </c>
      <c r="X1288" s="177">
        <v>0</v>
      </c>
      <c r="Y1288" s="177">
        <v>0</v>
      </c>
      <c r="Z1288" s="177">
        <v>0</v>
      </c>
      <c r="AA1288" s="177">
        <v>0</v>
      </c>
      <c r="AB1288" s="177">
        <v>0</v>
      </c>
      <c r="AC1288" s="177">
        <v>0</v>
      </c>
      <c r="AD1288" s="177">
        <v>0</v>
      </c>
      <c r="AE1288" s="177">
        <v>0</v>
      </c>
      <c r="AF1288" s="177">
        <v>0</v>
      </c>
      <c r="AG1288" s="177">
        <v>0</v>
      </c>
      <c r="AH1288" s="177">
        <v>0</v>
      </c>
      <c r="AI1288" s="177">
        <v>0</v>
      </c>
      <c r="AJ1288" s="177">
        <v>0</v>
      </c>
      <c r="AK1288" s="177">
        <v>0</v>
      </c>
      <c r="AL1288" s="177">
        <v>0</v>
      </c>
      <c r="AM1288" s="177">
        <v>0</v>
      </c>
      <c r="AN1288" s="177">
        <v>0</v>
      </c>
      <c r="AO1288" s="177">
        <v>0</v>
      </c>
      <c r="AP1288" s="177">
        <v>0</v>
      </c>
      <c r="AQ1288" s="177">
        <v>0</v>
      </c>
      <c r="AR1288" s="177">
        <v>0</v>
      </c>
      <c r="AS1288" s="177">
        <v>0</v>
      </c>
      <c r="AT1288" s="177">
        <v>0</v>
      </c>
      <c r="AU1288" s="177">
        <v>0</v>
      </c>
      <c r="AV1288" s="177">
        <v>0</v>
      </c>
      <c r="AW1288" s="177">
        <v>0</v>
      </c>
      <c r="AX1288" s="177">
        <v>0</v>
      </c>
      <c r="AY1288" s="177">
        <v>0</v>
      </c>
      <c r="AZ1288" s="177">
        <v>0</v>
      </c>
      <c r="BA1288" s="177">
        <v>0</v>
      </c>
      <c r="BB1288" s="177">
        <v>0</v>
      </c>
      <c r="BD1288" s="178">
        <f>SUM(G1288:BC1288)</f>
        <v>0</v>
      </c>
    </row>
    <row r="1289" spans="1:56" hidden="1" outlineLevel="1" x14ac:dyDescent="0.3">
      <c r="A1289" s="175" t="str">
        <f ca="1">Language!A1494</f>
        <v>задолженность по налогам</v>
      </c>
      <c r="C1289" s="194" t="str">
        <f t="shared" ca="1" si="4591"/>
        <v>руб.</v>
      </c>
      <c r="D1289" s="174">
        <v>1</v>
      </c>
      <c r="F1289" s="170" t="s">
        <v>2256</v>
      </c>
      <c r="G1289" s="177">
        <v>0</v>
      </c>
      <c r="H1289" s="177">
        <v>0</v>
      </c>
      <c r="I1289" s="177">
        <v>0</v>
      </c>
      <c r="J1289" s="177">
        <v>0</v>
      </c>
      <c r="K1289" s="177">
        <v>0</v>
      </c>
      <c r="L1289" s="177">
        <v>0</v>
      </c>
      <c r="M1289" s="177">
        <v>0</v>
      </c>
      <c r="N1289" s="177">
        <v>0</v>
      </c>
      <c r="O1289" s="177">
        <v>0</v>
      </c>
      <c r="P1289" s="177">
        <v>0</v>
      </c>
      <c r="Q1289" s="177">
        <v>0</v>
      </c>
      <c r="R1289" s="177">
        <v>0</v>
      </c>
      <c r="S1289" s="177">
        <v>0</v>
      </c>
      <c r="T1289" s="177">
        <v>0</v>
      </c>
      <c r="U1289" s="177">
        <v>0</v>
      </c>
      <c r="V1289" s="177">
        <v>0</v>
      </c>
      <c r="W1289" s="177">
        <v>0</v>
      </c>
      <c r="X1289" s="177">
        <v>0</v>
      </c>
      <c r="Y1289" s="177">
        <v>0</v>
      </c>
      <c r="Z1289" s="177">
        <v>0</v>
      </c>
      <c r="AA1289" s="177">
        <v>0</v>
      </c>
      <c r="AB1289" s="177">
        <v>0</v>
      </c>
      <c r="AC1289" s="177">
        <v>0</v>
      </c>
      <c r="AD1289" s="177">
        <v>0</v>
      </c>
      <c r="AE1289" s="177">
        <v>0</v>
      </c>
      <c r="AF1289" s="177">
        <v>0</v>
      </c>
      <c r="AG1289" s="177">
        <v>0</v>
      </c>
      <c r="AH1289" s="177">
        <v>0</v>
      </c>
      <c r="AI1289" s="177">
        <v>0</v>
      </c>
      <c r="AJ1289" s="177">
        <v>0</v>
      </c>
      <c r="AK1289" s="177">
        <v>0</v>
      </c>
      <c r="AL1289" s="177">
        <v>0</v>
      </c>
      <c r="AM1289" s="177">
        <v>0</v>
      </c>
      <c r="AN1289" s="177">
        <v>0</v>
      </c>
      <c r="AO1289" s="177">
        <v>0</v>
      </c>
      <c r="AP1289" s="177">
        <v>0</v>
      </c>
      <c r="AQ1289" s="177">
        <v>0</v>
      </c>
      <c r="AR1289" s="177">
        <v>0</v>
      </c>
      <c r="AS1289" s="177">
        <v>0</v>
      </c>
      <c r="AT1289" s="177">
        <v>0</v>
      </c>
      <c r="AU1289" s="177">
        <v>0</v>
      </c>
      <c r="AV1289" s="177">
        <v>0</v>
      </c>
      <c r="AW1289" s="177">
        <v>0</v>
      </c>
      <c r="AX1289" s="177">
        <v>0</v>
      </c>
      <c r="AY1289" s="177">
        <v>0</v>
      </c>
      <c r="AZ1289" s="177">
        <v>0</v>
      </c>
      <c r="BA1289" s="177">
        <v>0</v>
      </c>
      <c r="BB1289" s="177">
        <v>0</v>
      </c>
    </row>
    <row r="1290" spans="1:56" x14ac:dyDescent="0.3">
      <c r="A1290" s="237"/>
      <c r="B1290" s="237"/>
      <c r="C1290" s="237"/>
      <c r="D1290" s="238"/>
      <c r="E1290" s="238"/>
      <c r="F1290" s="238"/>
      <c r="G1290" s="237"/>
      <c r="H1290" s="237"/>
      <c r="I1290" s="237"/>
      <c r="J1290" s="237"/>
      <c r="K1290" s="237"/>
      <c r="L1290" s="237"/>
      <c r="M1290" s="237"/>
      <c r="N1290" s="237"/>
      <c r="O1290" s="237"/>
      <c r="P1290" s="237"/>
      <c r="Q1290" s="237"/>
      <c r="R1290" s="237"/>
      <c r="S1290" s="237"/>
      <c r="T1290" s="237"/>
      <c r="U1290" s="237"/>
      <c r="V1290" s="237"/>
      <c r="W1290" s="237"/>
      <c r="X1290" s="237"/>
      <c r="Y1290" s="237"/>
      <c r="Z1290" s="237"/>
      <c r="AA1290" s="237"/>
      <c r="AB1290" s="237"/>
      <c r="AC1290" s="237"/>
      <c r="AD1290" s="237"/>
      <c r="AE1290" s="237"/>
      <c r="AF1290" s="237"/>
      <c r="AG1290" s="237"/>
      <c r="AH1290" s="237"/>
      <c r="AI1290" s="237"/>
      <c r="AJ1290" s="237"/>
      <c r="AK1290" s="237"/>
      <c r="AL1290" s="237"/>
      <c r="AM1290" s="237"/>
      <c r="AN1290" s="237"/>
      <c r="AO1290" s="237"/>
      <c r="AP1290" s="237"/>
      <c r="AQ1290" s="237"/>
      <c r="AR1290" s="237"/>
      <c r="AS1290" s="237"/>
      <c r="AT1290" s="237"/>
      <c r="AU1290" s="237"/>
      <c r="AV1290" s="237"/>
      <c r="AW1290" s="237"/>
      <c r="AX1290" s="237"/>
      <c r="AY1290" s="237"/>
      <c r="AZ1290" s="237"/>
      <c r="BA1290" s="237"/>
      <c r="BB1290" s="237"/>
      <c r="BC1290" s="237"/>
      <c r="BD1290" s="239"/>
    </row>
    <row r="1291" spans="1:56" x14ac:dyDescent="0.3">
      <c r="A1291" s="169" t="str">
        <f ca="1">Language!A$1155</f>
        <v>Акцизы на проданные товары</v>
      </c>
      <c r="C1291" s="194" t="str">
        <f t="shared" ref="C1291:C1293" ca="1" si="4592">CurName1</f>
        <v>руб.</v>
      </c>
      <c r="F1291" s="170" t="s">
        <v>740</v>
      </c>
      <c r="G1291" s="177">
        <f t="shared" ref="G1291:BB1291" ca="1" si="4593">G130</f>
        <v>0</v>
      </c>
      <c r="H1291" s="177">
        <f t="shared" ca="1" si="4593"/>
        <v>0</v>
      </c>
      <c r="I1291" s="177">
        <f t="shared" ca="1" si="4593"/>
        <v>0</v>
      </c>
      <c r="J1291" s="177">
        <f t="shared" ca="1" si="4593"/>
        <v>0</v>
      </c>
      <c r="K1291" s="177">
        <f t="shared" ca="1" si="4593"/>
        <v>0</v>
      </c>
      <c r="L1291" s="177">
        <f t="shared" ca="1" si="4593"/>
        <v>0</v>
      </c>
      <c r="M1291" s="177">
        <f t="shared" ca="1" si="4593"/>
        <v>0</v>
      </c>
      <c r="N1291" s="177">
        <f t="shared" ca="1" si="4593"/>
        <v>0</v>
      </c>
      <c r="O1291" s="177">
        <f t="shared" ca="1" si="4593"/>
        <v>0</v>
      </c>
      <c r="P1291" s="177">
        <f t="shared" ca="1" si="4593"/>
        <v>0</v>
      </c>
      <c r="Q1291" s="177">
        <f t="shared" ca="1" si="4593"/>
        <v>0</v>
      </c>
      <c r="R1291" s="177">
        <f t="shared" ca="1" si="4593"/>
        <v>0</v>
      </c>
      <c r="S1291" s="177">
        <f t="shared" ca="1" si="4593"/>
        <v>0</v>
      </c>
      <c r="T1291" s="177">
        <f t="shared" ca="1" si="4593"/>
        <v>0</v>
      </c>
      <c r="U1291" s="177">
        <f t="shared" ca="1" si="4593"/>
        <v>0</v>
      </c>
      <c r="V1291" s="177">
        <f t="shared" ca="1" si="4593"/>
        <v>0</v>
      </c>
      <c r="W1291" s="177">
        <f t="shared" ca="1" si="4593"/>
        <v>0</v>
      </c>
      <c r="X1291" s="177">
        <f t="shared" ca="1" si="4593"/>
        <v>0</v>
      </c>
      <c r="Y1291" s="177">
        <f t="shared" ca="1" si="4593"/>
        <v>0</v>
      </c>
      <c r="Z1291" s="177">
        <f t="shared" ca="1" si="4593"/>
        <v>0</v>
      </c>
      <c r="AA1291" s="177">
        <f t="shared" ca="1" si="4593"/>
        <v>0</v>
      </c>
      <c r="AB1291" s="177">
        <f t="shared" ca="1" si="4593"/>
        <v>0</v>
      </c>
      <c r="AC1291" s="177">
        <f t="shared" ca="1" si="4593"/>
        <v>0</v>
      </c>
      <c r="AD1291" s="177">
        <f t="shared" ca="1" si="4593"/>
        <v>0</v>
      </c>
      <c r="AE1291" s="177">
        <f t="shared" ca="1" si="4593"/>
        <v>0</v>
      </c>
      <c r="AF1291" s="177">
        <f t="shared" ca="1" si="4593"/>
        <v>0</v>
      </c>
      <c r="AG1291" s="177">
        <f t="shared" ca="1" si="4593"/>
        <v>0</v>
      </c>
      <c r="AH1291" s="177">
        <f t="shared" ca="1" si="4593"/>
        <v>0</v>
      </c>
      <c r="AI1291" s="177">
        <f t="shared" ca="1" si="4593"/>
        <v>0</v>
      </c>
      <c r="AJ1291" s="177">
        <f t="shared" ca="1" si="4593"/>
        <v>0</v>
      </c>
      <c r="AK1291" s="177">
        <f t="shared" ca="1" si="4593"/>
        <v>0</v>
      </c>
      <c r="AL1291" s="177">
        <f t="shared" ca="1" si="4593"/>
        <v>0</v>
      </c>
      <c r="AM1291" s="177">
        <f t="shared" ca="1" si="4593"/>
        <v>0</v>
      </c>
      <c r="AN1291" s="177">
        <f t="shared" ca="1" si="4593"/>
        <v>0</v>
      </c>
      <c r="AO1291" s="177">
        <f t="shared" ca="1" si="4593"/>
        <v>0</v>
      </c>
      <c r="AP1291" s="177">
        <f t="shared" ca="1" si="4593"/>
        <v>0</v>
      </c>
      <c r="AQ1291" s="177">
        <f t="shared" ca="1" si="4593"/>
        <v>0</v>
      </c>
      <c r="AR1291" s="177">
        <f t="shared" ca="1" si="4593"/>
        <v>0</v>
      </c>
      <c r="AS1291" s="177">
        <f t="shared" ca="1" si="4593"/>
        <v>0</v>
      </c>
      <c r="AT1291" s="177">
        <f t="shared" ca="1" si="4593"/>
        <v>0</v>
      </c>
      <c r="AU1291" s="177">
        <f t="shared" ca="1" si="4593"/>
        <v>0</v>
      </c>
      <c r="AV1291" s="177">
        <f t="shared" ca="1" si="4593"/>
        <v>0</v>
      </c>
      <c r="AW1291" s="177">
        <f t="shared" ca="1" si="4593"/>
        <v>0</v>
      </c>
      <c r="AX1291" s="177">
        <f t="shared" ca="1" si="4593"/>
        <v>0</v>
      </c>
      <c r="AY1291" s="177">
        <f t="shared" ca="1" si="4593"/>
        <v>0</v>
      </c>
      <c r="AZ1291" s="177">
        <f t="shared" ca="1" si="4593"/>
        <v>0</v>
      </c>
      <c r="BA1291" s="177">
        <f t="shared" ca="1" si="4593"/>
        <v>0</v>
      </c>
      <c r="BB1291" s="177">
        <f t="shared" ca="1" si="4593"/>
        <v>0</v>
      </c>
      <c r="BD1291" s="178">
        <f ca="1">SUM(G1291:BC1291)</f>
        <v>0</v>
      </c>
    </row>
    <row r="1292" spans="1:56" x14ac:dyDescent="0.3">
      <c r="A1292" s="169" t="str">
        <f ca="1">Language!A$1156</f>
        <v>Импортная пошлина на сырье и материалы</v>
      </c>
      <c r="C1292" s="194" t="str">
        <f t="shared" ca="1" si="4592"/>
        <v>руб.</v>
      </c>
      <c r="F1292" s="170" t="s">
        <v>740</v>
      </c>
      <c r="G1292" s="177">
        <f t="shared" ref="G1292:BB1292" ca="1" si="4594">G274</f>
        <v>0</v>
      </c>
      <c r="H1292" s="177">
        <f t="shared" ca="1" si="4594"/>
        <v>0</v>
      </c>
      <c r="I1292" s="177">
        <f t="shared" ca="1" si="4594"/>
        <v>0</v>
      </c>
      <c r="J1292" s="177">
        <f t="shared" ca="1" si="4594"/>
        <v>0</v>
      </c>
      <c r="K1292" s="177">
        <f t="shared" ca="1" si="4594"/>
        <v>0</v>
      </c>
      <c r="L1292" s="177">
        <f t="shared" ca="1" si="4594"/>
        <v>0</v>
      </c>
      <c r="M1292" s="177">
        <f t="shared" ca="1" si="4594"/>
        <v>0</v>
      </c>
      <c r="N1292" s="177">
        <f t="shared" ca="1" si="4594"/>
        <v>0</v>
      </c>
      <c r="O1292" s="177">
        <f t="shared" ca="1" si="4594"/>
        <v>0</v>
      </c>
      <c r="P1292" s="177">
        <f t="shared" ca="1" si="4594"/>
        <v>0</v>
      </c>
      <c r="Q1292" s="177">
        <f t="shared" ca="1" si="4594"/>
        <v>0</v>
      </c>
      <c r="R1292" s="177">
        <f t="shared" ca="1" si="4594"/>
        <v>0</v>
      </c>
      <c r="S1292" s="177">
        <f t="shared" ca="1" si="4594"/>
        <v>0</v>
      </c>
      <c r="T1292" s="177">
        <f t="shared" ca="1" si="4594"/>
        <v>0</v>
      </c>
      <c r="U1292" s="177">
        <f t="shared" ca="1" si="4594"/>
        <v>0</v>
      </c>
      <c r="V1292" s="177">
        <f t="shared" ca="1" si="4594"/>
        <v>0</v>
      </c>
      <c r="W1292" s="177">
        <f t="shared" ca="1" si="4594"/>
        <v>0</v>
      </c>
      <c r="X1292" s="177">
        <f t="shared" ca="1" si="4594"/>
        <v>0</v>
      </c>
      <c r="Y1292" s="177">
        <f t="shared" ca="1" si="4594"/>
        <v>0</v>
      </c>
      <c r="Z1292" s="177">
        <f t="shared" ca="1" si="4594"/>
        <v>0</v>
      </c>
      <c r="AA1292" s="177">
        <f t="shared" ca="1" si="4594"/>
        <v>0</v>
      </c>
      <c r="AB1292" s="177">
        <f t="shared" ca="1" si="4594"/>
        <v>0</v>
      </c>
      <c r="AC1292" s="177">
        <f t="shared" ca="1" si="4594"/>
        <v>0</v>
      </c>
      <c r="AD1292" s="177">
        <f t="shared" ca="1" si="4594"/>
        <v>0</v>
      </c>
      <c r="AE1292" s="177">
        <f t="shared" ca="1" si="4594"/>
        <v>0</v>
      </c>
      <c r="AF1292" s="177">
        <f t="shared" ca="1" si="4594"/>
        <v>0</v>
      </c>
      <c r="AG1292" s="177">
        <f t="shared" ca="1" si="4594"/>
        <v>0</v>
      </c>
      <c r="AH1292" s="177">
        <f t="shared" ca="1" si="4594"/>
        <v>0</v>
      </c>
      <c r="AI1292" s="177">
        <f t="shared" ca="1" si="4594"/>
        <v>0</v>
      </c>
      <c r="AJ1292" s="177">
        <f t="shared" ca="1" si="4594"/>
        <v>0</v>
      </c>
      <c r="AK1292" s="177">
        <f t="shared" ca="1" si="4594"/>
        <v>0</v>
      </c>
      <c r="AL1292" s="177">
        <f t="shared" ca="1" si="4594"/>
        <v>0</v>
      </c>
      <c r="AM1292" s="177">
        <f t="shared" ca="1" si="4594"/>
        <v>0</v>
      </c>
      <c r="AN1292" s="177">
        <f t="shared" ca="1" si="4594"/>
        <v>0</v>
      </c>
      <c r="AO1292" s="177">
        <f t="shared" ca="1" si="4594"/>
        <v>0</v>
      </c>
      <c r="AP1292" s="177">
        <f t="shared" ca="1" si="4594"/>
        <v>0</v>
      </c>
      <c r="AQ1292" s="177">
        <f t="shared" ca="1" si="4594"/>
        <v>0</v>
      </c>
      <c r="AR1292" s="177">
        <f t="shared" ca="1" si="4594"/>
        <v>0</v>
      </c>
      <c r="AS1292" s="177">
        <f t="shared" ca="1" si="4594"/>
        <v>0</v>
      </c>
      <c r="AT1292" s="177">
        <f t="shared" ca="1" si="4594"/>
        <v>0</v>
      </c>
      <c r="AU1292" s="177">
        <f t="shared" ca="1" si="4594"/>
        <v>0</v>
      </c>
      <c r="AV1292" s="177">
        <f t="shared" ca="1" si="4594"/>
        <v>0</v>
      </c>
      <c r="AW1292" s="177">
        <f t="shared" ca="1" si="4594"/>
        <v>0</v>
      </c>
      <c r="AX1292" s="177">
        <f t="shared" ca="1" si="4594"/>
        <v>0</v>
      </c>
      <c r="AY1292" s="177">
        <f t="shared" ca="1" si="4594"/>
        <v>0</v>
      </c>
      <c r="AZ1292" s="177">
        <f t="shared" ca="1" si="4594"/>
        <v>0</v>
      </c>
      <c r="BA1292" s="177">
        <f t="shared" ca="1" si="4594"/>
        <v>0</v>
      </c>
      <c r="BB1292" s="177">
        <f t="shared" ca="1" si="4594"/>
        <v>0</v>
      </c>
      <c r="BD1292" s="178">
        <f ca="1">SUM(G1292:BC1292)</f>
        <v>0</v>
      </c>
    </row>
    <row r="1293" spans="1:56" x14ac:dyDescent="0.3">
      <c r="A1293" s="169" t="str">
        <f ca="1">Language!A$1157</f>
        <v>Импортная пошлина на оборудование</v>
      </c>
      <c r="C1293" s="194" t="str">
        <f t="shared" ca="1" si="4592"/>
        <v>руб.</v>
      </c>
      <c r="F1293" s="170" t="s">
        <v>740</v>
      </c>
      <c r="G1293" s="177">
        <f t="shared" ref="G1293:AL1293" si="4595">G965</f>
        <v>0</v>
      </c>
      <c r="H1293" s="177">
        <f t="shared" si="4595"/>
        <v>0</v>
      </c>
      <c r="I1293" s="177">
        <f t="shared" si="4595"/>
        <v>0</v>
      </c>
      <c r="J1293" s="177">
        <f t="shared" si="4595"/>
        <v>0</v>
      </c>
      <c r="K1293" s="177">
        <f t="shared" si="4595"/>
        <v>0</v>
      </c>
      <c r="L1293" s="177">
        <f t="shared" si="4595"/>
        <v>0</v>
      </c>
      <c r="M1293" s="177">
        <f t="shared" si="4595"/>
        <v>0</v>
      </c>
      <c r="N1293" s="177">
        <f t="shared" si="4595"/>
        <v>0</v>
      </c>
      <c r="O1293" s="177">
        <f t="shared" si="4595"/>
        <v>0</v>
      </c>
      <c r="P1293" s="177">
        <f t="shared" si="4595"/>
        <v>0</v>
      </c>
      <c r="Q1293" s="177">
        <f t="shared" si="4595"/>
        <v>0</v>
      </c>
      <c r="R1293" s="177">
        <f t="shared" si="4595"/>
        <v>0</v>
      </c>
      <c r="S1293" s="177">
        <f t="shared" si="4595"/>
        <v>0</v>
      </c>
      <c r="T1293" s="177">
        <f t="shared" si="4595"/>
        <v>0</v>
      </c>
      <c r="U1293" s="177">
        <f t="shared" si="4595"/>
        <v>0</v>
      </c>
      <c r="V1293" s="177">
        <f t="shared" si="4595"/>
        <v>0</v>
      </c>
      <c r="W1293" s="177">
        <f t="shared" si="4595"/>
        <v>0</v>
      </c>
      <c r="X1293" s="177">
        <f t="shared" si="4595"/>
        <v>0</v>
      </c>
      <c r="Y1293" s="177">
        <f t="shared" si="4595"/>
        <v>0</v>
      </c>
      <c r="Z1293" s="177">
        <f t="shared" si="4595"/>
        <v>0</v>
      </c>
      <c r="AA1293" s="177">
        <f t="shared" si="4595"/>
        <v>0</v>
      </c>
      <c r="AB1293" s="177">
        <f t="shared" si="4595"/>
        <v>0</v>
      </c>
      <c r="AC1293" s="177">
        <f t="shared" si="4595"/>
        <v>0</v>
      </c>
      <c r="AD1293" s="177">
        <f t="shared" si="4595"/>
        <v>0</v>
      </c>
      <c r="AE1293" s="177">
        <f t="shared" si="4595"/>
        <v>0</v>
      </c>
      <c r="AF1293" s="177">
        <f t="shared" si="4595"/>
        <v>0</v>
      </c>
      <c r="AG1293" s="177">
        <f t="shared" si="4595"/>
        <v>0</v>
      </c>
      <c r="AH1293" s="177">
        <f t="shared" si="4595"/>
        <v>0</v>
      </c>
      <c r="AI1293" s="177">
        <f t="shared" si="4595"/>
        <v>0</v>
      </c>
      <c r="AJ1293" s="177">
        <f t="shared" si="4595"/>
        <v>0</v>
      </c>
      <c r="AK1293" s="177">
        <f t="shared" si="4595"/>
        <v>0</v>
      </c>
      <c r="AL1293" s="177">
        <f t="shared" si="4595"/>
        <v>0</v>
      </c>
      <c r="AM1293" s="177">
        <f t="shared" ref="AM1293:BB1293" si="4596">AM965</f>
        <v>0</v>
      </c>
      <c r="AN1293" s="177">
        <f t="shared" si="4596"/>
        <v>0</v>
      </c>
      <c r="AO1293" s="177">
        <f t="shared" si="4596"/>
        <v>0</v>
      </c>
      <c r="AP1293" s="177">
        <f t="shared" si="4596"/>
        <v>0</v>
      </c>
      <c r="AQ1293" s="177">
        <f t="shared" si="4596"/>
        <v>0</v>
      </c>
      <c r="AR1293" s="177">
        <f t="shared" si="4596"/>
        <v>0</v>
      </c>
      <c r="AS1293" s="177">
        <f t="shared" si="4596"/>
        <v>0</v>
      </c>
      <c r="AT1293" s="177">
        <f t="shared" si="4596"/>
        <v>0</v>
      </c>
      <c r="AU1293" s="177">
        <f t="shared" si="4596"/>
        <v>0</v>
      </c>
      <c r="AV1293" s="177">
        <f t="shared" si="4596"/>
        <v>0</v>
      </c>
      <c r="AW1293" s="177">
        <f t="shared" si="4596"/>
        <v>0</v>
      </c>
      <c r="AX1293" s="177">
        <f t="shared" si="4596"/>
        <v>0</v>
      </c>
      <c r="AY1293" s="177">
        <f t="shared" si="4596"/>
        <v>0</v>
      </c>
      <c r="AZ1293" s="177">
        <f t="shared" si="4596"/>
        <v>0</v>
      </c>
      <c r="BA1293" s="177">
        <f t="shared" si="4596"/>
        <v>0</v>
      </c>
      <c r="BB1293" s="177">
        <f t="shared" si="4596"/>
        <v>0</v>
      </c>
      <c r="BD1293" s="178">
        <f>SUM(G1293:BC1293)</f>
        <v>0</v>
      </c>
    </row>
    <row r="1294" spans="1:56" x14ac:dyDescent="0.3">
      <c r="A1294" s="244"/>
      <c r="G1294" s="177"/>
      <c r="H1294" s="177"/>
      <c r="I1294" s="177"/>
      <c r="J1294" s="177"/>
      <c r="K1294" s="177"/>
      <c r="L1294" s="177"/>
      <c r="M1294" s="177"/>
      <c r="N1294" s="177"/>
      <c r="O1294" s="177"/>
      <c r="P1294" s="177"/>
      <c r="Q1294" s="177"/>
      <c r="R1294" s="177"/>
      <c r="S1294" s="177"/>
      <c r="T1294" s="177"/>
      <c r="U1294" s="177"/>
      <c r="V1294" s="177"/>
      <c r="W1294" s="177"/>
      <c r="X1294" s="177"/>
      <c r="Y1294" s="177"/>
      <c r="Z1294" s="177"/>
      <c r="AA1294" s="177"/>
      <c r="AB1294" s="177"/>
      <c r="AC1294" s="177"/>
      <c r="AD1294" s="177"/>
      <c r="AE1294" s="177"/>
      <c r="AF1294" s="177"/>
      <c r="AG1294" s="177"/>
      <c r="AH1294" s="177"/>
      <c r="AI1294" s="177"/>
      <c r="AJ1294" s="177"/>
      <c r="AK1294" s="177"/>
      <c r="AL1294" s="177"/>
      <c r="AM1294" s="177"/>
      <c r="AN1294" s="177"/>
      <c r="AO1294" s="177"/>
      <c r="AP1294" s="177"/>
      <c r="AQ1294" s="177"/>
      <c r="AR1294" s="177"/>
      <c r="AS1294" s="177"/>
      <c r="AT1294" s="177"/>
      <c r="AU1294" s="177"/>
      <c r="AV1294" s="177"/>
      <c r="AW1294" s="177"/>
      <c r="AX1294" s="177"/>
      <c r="AY1294" s="177"/>
      <c r="AZ1294" s="177"/>
      <c r="BA1294" s="177"/>
      <c r="BB1294" s="177"/>
    </row>
    <row r="1295" spans="1:56" collapsed="1" x14ac:dyDescent="0.3">
      <c r="A1295" s="195" t="str">
        <f ca="1">Language!A$1158</f>
        <v>Начисленный НДС</v>
      </c>
      <c r="B1295" s="195"/>
      <c r="C1295" s="194" t="str">
        <f t="shared" ref="C1295:C1351" ca="1" si="4597">CurName1</f>
        <v>руб.</v>
      </c>
      <c r="F1295" s="170" t="s">
        <v>740</v>
      </c>
      <c r="G1295" s="210">
        <f ca="1">IF(Prj_VAT=1,MAX(G1309-IF(G$2=1,0,F1311),0),MAX(0,G1309)+IF(G$2&gt;=Параметры!$B$75,MIN(0,OFFSET(G1309,0,-Параметры!$B$75)),0))</f>
        <v>0</v>
      </c>
      <c r="H1295" s="210">
        <f ca="1">IF(Prj_VAT=1,MAX(H1309-IF(H$2=1,0,G1311),0),MAX(0,H1309)+IF(H$2&gt;=Параметры!$B$75,MIN(0,OFFSET(H1309,0,-Параметры!$B$75)),0))</f>
        <v>0</v>
      </c>
      <c r="I1295" s="210">
        <f ca="1">IF(Prj_VAT=1,MAX(I1309-IF(I$2=1,0,H1311),0),MAX(0,I1309)+IF(I$2&gt;=Параметры!$B$75,MIN(0,OFFSET(I1309,0,-Параметры!$B$75)),0))</f>
        <v>0</v>
      </c>
      <c r="J1295" s="210">
        <f ca="1">IF(Prj_VAT=1,MAX(J1309-IF(J$2=1,0,I1311),0),MAX(0,J1309)+IF(J$2&gt;=Параметры!$B$75,MIN(0,OFFSET(J1309,0,-Параметры!$B$75)),0))</f>
        <v>0</v>
      </c>
      <c r="K1295" s="210">
        <f ca="1">IF(Prj_VAT=1,MAX(K1309-IF(K$2=1,0,J1311),0),MAX(0,K1309)+IF(K$2&gt;=Параметры!$B$75,MIN(0,OFFSET(K1309,0,-Параметры!$B$75)),0))</f>
        <v>0</v>
      </c>
      <c r="L1295" s="210">
        <f ca="1">IF(Prj_VAT=1,MAX(L1309-IF(L$2=1,0,K1311),0),MAX(0,L1309)+IF(L$2&gt;=Параметры!$B$75,MIN(0,OFFSET(L1309,0,-Параметры!$B$75)),0))</f>
        <v>0</v>
      </c>
      <c r="M1295" s="210">
        <f ca="1">IF(Prj_VAT=1,MAX(M1309-IF(M$2=1,0,L1311),0),MAX(0,M1309)+IF(M$2&gt;=Параметры!$B$75,MIN(0,OFFSET(M1309,0,-Параметры!$B$75)),0))</f>
        <v>0</v>
      </c>
      <c r="N1295" s="210">
        <f ca="1">IF(Prj_VAT=1,MAX(N1309-IF(N$2=1,0,M1311),0),MAX(0,N1309)+IF(N$2&gt;=Параметры!$B$75,MIN(0,OFFSET(N1309,0,-Параметры!$B$75)),0))</f>
        <v>0</v>
      </c>
      <c r="O1295" s="210">
        <f ca="1">IF(Prj_VAT=1,MAX(O1309-IF(O$2=1,0,N1311),0),MAX(0,O1309)+IF(O$2&gt;=Параметры!$B$75,MIN(0,OFFSET(O1309,0,-Параметры!$B$75)),0))</f>
        <v>0</v>
      </c>
      <c r="P1295" s="210">
        <f ca="1">IF(Prj_VAT=1,MAX(P1309-IF(P$2=1,0,O1311),0),MAX(0,P1309)+IF(P$2&gt;=Параметры!$B$75,MIN(0,OFFSET(P1309,0,-Параметры!$B$75)),0))</f>
        <v>0</v>
      </c>
      <c r="Q1295" s="210">
        <f ca="1">IF(Prj_VAT=1,MAX(Q1309-IF(Q$2=1,0,P1311),0),MAX(0,Q1309)+IF(Q$2&gt;=Параметры!$B$75,MIN(0,OFFSET(Q1309,0,-Параметры!$B$75)),0))</f>
        <v>0</v>
      </c>
      <c r="R1295" s="210">
        <f ca="1">IF(Prj_VAT=1,MAX(R1309-IF(R$2=1,0,Q1311),0),MAX(0,R1309)+IF(R$2&gt;=Параметры!$B$75,MIN(0,OFFSET(R1309,0,-Параметры!$B$75)),0))</f>
        <v>0</v>
      </c>
      <c r="S1295" s="210">
        <f ca="1">IF(Prj_VAT=1,MAX(S1309-IF(S$2=1,0,R1311),0),MAX(0,S1309)+IF(S$2&gt;=Параметры!$B$75,MIN(0,OFFSET(S1309,0,-Параметры!$B$75)),0))</f>
        <v>0</v>
      </c>
      <c r="T1295" s="210">
        <f ca="1">IF(Prj_VAT=1,MAX(T1309-IF(T$2=1,0,S1311),0),MAX(0,T1309)+IF(T$2&gt;=Параметры!$B$75,MIN(0,OFFSET(T1309,0,-Параметры!$B$75)),0))</f>
        <v>0</v>
      </c>
      <c r="U1295" s="210">
        <f ca="1">IF(Prj_VAT=1,MAX(U1309-IF(U$2=1,0,T1311),0),MAX(0,U1309)+IF(U$2&gt;=Параметры!$B$75,MIN(0,OFFSET(U1309,0,-Параметры!$B$75)),0))</f>
        <v>0</v>
      </c>
      <c r="V1295" s="210">
        <f ca="1">IF(Prj_VAT=1,MAX(V1309-IF(V$2=1,0,U1311),0),MAX(0,V1309)+IF(V$2&gt;=Параметры!$B$75,MIN(0,OFFSET(V1309,0,-Параметры!$B$75)),0))</f>
        <v>0</v>
      </c>
      <c r="W1295" s="210">
        <f ca="1">IF(Prj_VAT=1,MAX(W1309-IF(W$2=1,0,V1311),0),MAX(0,W1309)+IF(W$2&gt;=Параметры!$B$75,MIN(0,OFFSET(W1309,0,-Параметры!$B$75)),0))</f>
        <v>0</v>
      </c>
      <c r="X1295" s="210">
        <f ca="1">IF(Prj_VAT=1,MAX(X1309-IF(X$2=1,0,W1311),0),MAX(0,X1309)+IF(X$2&gt;=Параметры!$B$75,MIN(0,OFFSET(X1309,0,-Параметры!$B$75)),0))</f>
        <v>0</v>
      </c>
      <c r="Y1295" s="210">
        <f ca="1">IF(Prj_VAT=1,MAX(Y1309-IF(Y$2=1,0,X1311),0),MAX(0,Y1309)+IF(Y$2&gt;=Параметры!$B$75,MIN(0,OFFSET(Y1309,0,-Параметры!$B$75)),0))</f>
        <v>0</v>
      </c>
      <c r="Z1295" s="210">
        <f ca="1">IF(Prj_VAT=1,MAX(Z1309-IF(Z$2=1,0,Y1311),0),MAX(0,Z1309)+IF(Z$2&gt;=Параметры!$B$75,MIN(0,OFFSET(Z1309,0,-Параметры!$B$75)),0))</f>
        <v>0</v>
      </c>
      <c r="AA1295" s="210">
        <f ca="1">IF(Prj_VAT=1,MAX(AA1309-IF(AA$2=1,0,Z1311),0),MAX(0,AA1309)+IF(AA$2&gt;=Параметры!$B$75,MIN(0,OFFSET(AA1309,0,-Параметры!$B$75)),0))</f>
        <v>0</v>
      </c>
      <c r="AB1295" s="210">
        <f ca="1">IF(Prj_VAT=1,MAX(AB1309-IF(AB$2=1,0,AA1311),0),MAX(0,AB1309)+IF(AB$2&gt;=Параметры!$B$75,MIN(0,OFFSET(AB1309,0,-Параметры!$B$75)),0))</f>
        <v>0</v>
      </c>
      <c r="AC1295" s="210">
        <f ca="1">IF(Prj_VAT=1,MAX(AC1309-IF(AC$2=1,0,AB1311),0),MAX(0,AC1309)+IF(AC$2&gt;=Параметры!$B$75,MIN(0,OFFSET(AC1309,0,-Параметры!$B$75)),0))</f>
        <v>0</v>
      </c>
      <c r="AD1295" s="210">
        <f ca="1">IF(Prj_VAT=1,MAX(AD1309-IF(AD$2=1,0,AC1311),0),MAX(0,AD1309)+IF(AD$2&gt;=Параметры!$B$75,MIN(0,OFFSET(AD1309,0,-Параметры!$B$75)),0))</f>
        <v>0</v>
      </c>
      <c r="AE1295" s="210">
        <f ca="1">IF(Prj_VAT=1,MAX(AE1309-IF(AE$2=1,0,AD1311),0),MAX(0,AE1309)+IF(AE$2&gt;=Параметры!$B$75,MIN(0,OFFSET(AE1309,0,-Параметры!$B$75)),0))</f>
        <v>0</v>
      </c>
      <c r="AF1295" s="210">
        <f ca="1">IF(Prj_VAT=1,MAX(AF1309-IF(AF$2=1,0,AE1311),0),MAX(0,AF1309)+IF(AF$2&gt;=Параметры!$B$75,MIN(0,OFFSET(AF1309,0,-Параметры!$B$75)),0))</f>
        <v>0</v>
      </c>
      <c r="AG1295" s="210">
        <f ca="1">IF(Prj_VAT=1,MAX(AG1309-IF(AG$2=1,0,AF1311),0),MAX(0,AG1309)+IF(AG$2&gt;=Параметры!$B$75,MIN(0,OFFSET(AG1309,0,-Параметры!$B$75)),0))</f>
        <v>0</v>
      </c>
      <c r="AH1295" s="210">
        <f ca="1">IF(Prj_VAT=1,MAX(AH1309-IF(AH$2=1,0,AG1311),0),MAX(0,AH1309)+IF(AH$2&gt;=Параметры!$B$75,MIN(0,OFFSET(AH1309,0,-Параметры!$B$75)),0))</f>
        <v>0</v>
      </c>
      <c r="AI1295" s="210">
        <f ca="1">IF(Prj_VAT=1,MAX(AI1309-IF(AI$2=1,0,AH1311),0),MAX(0,AI1309)+IF(AI$2&gt;=Параметры!$B$75,MIN(0,OFFSET(AI1309,0,-Параметры!$B$75)),0))</f>
        <v>0</v>
      </c>
      <c r="AJ1295" s="210">
        <f ca="1">IF(Prj_VAT=1,MAX(AJ1309-IF(AJ$2=1,0,AI1311),0),MAX(0,AJ1309)+IF(AJ$2&gt;=Параметры!$B$75,MIN(0,OFFSET(AJ1309,0,-Параметры!$B$75)),0))</f>
        <v>0</v>
      </c>
      <c r="AK1295" s="210">
        <f ca="1">IF(Prj_VAT=1,MAX(AK1309-IF(AK$2=1,0,AJ1311),0),MAX(0,AK1309)+IF(AK$2&gt;=Параметры!$B$75,MIN(0,OFFSET(AK1309,0,-Параметры!$B$75)),0))</f>
        <v>0</v>
      </c>
      <c r="AL1295" s="210">
        <f ca="1">IF(Prj_VAT=1,MAX(AL1309-IF(AL$2=1,0,AK1311),0),MAX(0,AL1309)+IF(AL$2&gt;=Параметры!$B$75,MIN(0,OFFSET(AL1309,0,-Параметры!$B$75)),0))</f>
        <v>0</v>
      </c>
      <c r="AM1295" s="210">
        <f ca="1">IF(Prj_VAT=1,MAX(AM1309-IF(AM$2=1,0,AL1311),0),MAX(0,AM1309)+IF(AM$2&gt;=Параметры!$B$75,MIN(0,OFFSET(AM1309,0,-Параметры!$B$75)),0))</f>
        <v>0</v>
      </c>
      <c r="AN1295" s="210">
        <f ca="1">IF(Prj_VAT=1,MAX(AN1309-IF(AN$2=1,0,AM1311),0),MAX(0,AN1309)+IF(AN$2&gt;=Параметры!$B$75,MIN(0,OFFSET(AN1309,0,-Параметры!$B$75)),0))</f>
        <v>0</v>
      </c>
      <c r="AO1295" s="210">
        <f ca="1">IF(Prj_VAT=1,MAX(AO1309-IF(AO$2=1,0,AN1311),0),MAX(0,AO1309)+IF(AO$2&gt;=Параметры!$B$75,MIN(0,OFFSET(AO1309,0,-Параметры!$B$75)),0))</f>
        <v>0</v>
      </c>
      <c r="AP1295" s="210">
        <f ca="1">IF(Prj_VAT=1,MAX(AP1309-IF(AP$2=1,0,AO1311),0),MAX(0,AP1309)+IF(AP$2&gt;=Параметры!$B$75,MIN(0,OFFSET(AP1309,0,-Параметры!$B$75)),0))</f>
        <v>0</v>
      </c>
      <c r="AQ1295" s="210">
        <f ca="1">IF(Prj_VAT=1,MAX(AQ1309-IF(AQ$2=1,0,AP1311),0),MAX(0,AQ1309)+IF(AQ$2&gt;=Параметры!$B$75,MIN(0,OFFSET(AQ1309,0,-Параметры!$B$75)),0))</f>
        <v>0</v>
      </c>
      <c r="AR1295" s="210">
        <f ca="1">IF(Prj_VAT=1,MAX(AR1309-IF(AR$2=1,0,AQ1311),0),MAX(0,AR1309)+IF(AR$2&gt;=Параметры!$B$75,MIN(0,OFFSET(AR1309,0,-Параметры!$B$75)),0))</f>
        <v>0</v>
      </c>
      <c r="AS1295" s="210">
        <f ca="1">IF(Prj_VAT=1,MAX(AS1309-IF(AS$2=1,0,AR1311),0),MAX(0,AS1309)+IF(AS$2&gt;=Параметры!$B$75,MIN(0,OFFSET(AS1309,0,-Параметры!$B$75)),0))</f>
        <v>0</v>
      </c>
      <c r="AT1295" s="210">
        <f ca="1">IF(Prj_VAT=1,MAX(AT1309-IF(AT$2=1,0,AS1311),0),MAX(0,AT1309)+IF(AT$2&gt;=Параметры!$B$75,MIN(0,OFFSET(AT1309,0,-Параметры!$B$75)),0))</f>
        <v>0</v>
      </c>
      <c r="AU1295" s="210">
        <f ca="1">IF(Prj_VAT=1,MAX(AU1309-IF(AU$2=1,0,AT1311),0),MAX(0,AU1309)+IF(AU$2&gt;=Параметры!$B$75,MIN(0,OFFSET(AU1309,0,-Параметры!$B$75)),0))</f>
        <v>0</v>
      </c>
      <c r="AV1295" s="210">
        <f ca="1">IF(Prj_VAT=1,MAX(AV1309-IF(AV$2=1,0,AU1311),0),MAX(0,AV1309)+IF(AV$2&gt;=Параметры!$B$75,MIN(0,OFFSET(AV1309,0,-Параметры!$B$75)),0))</f>
        <v>0</v>
      </c>
      <c r="AW1295" s="210">
        <f ca="1">IF(Prj_VAT=1,MAX(AW1309-IF(AW$2=1,0,AV1311),0),MAX(0,AW1309)+IF(AW$2&gt;=Параметры!$B$75,MIN(0,OFFSET(AW1309,0,-Параметры!$B$75)),0))</f>
        <v>0</v>
      </c>
      <c r="AX1295" s="210">
        <f ca="1">IF(Prj_VAT=1,MAX(AX1309-IF(AX$2=1,0,AW1311),0),MAX(0,AX1309)+IF(AX$2&gt;=Параметры!$B$75,MIN(0,OFFSET(AX1309,0,-Параметры!$B$75)),0))</f>
        <v>0</v>
      </c>
      <c r="AY1295" s="210">
        <f ca="1">IF(Prj_VAT=1,MAX(AY1309-IF(AY$2=1,0,AX1311),0),MAX(0,AY1309)+IF(AY$2&gt;=Параметры!$B$75,MIN(0,OFFSET(AY1309,0,-Параметры!$B$75)),0))</f>
        <v>0</v>
      </c>
      <c r="AZ1295" s="210">
        <f ca="1">IF(Prj_VAT=1,MAX(AZ1309-IF(AZ$2=1,0,AY1311),0),MAX(0,AZ1309)+IF(AZ$2&gt;=Параметры!$B$75,MIN(0,OFFSET(AZ1309,0,-Параметры!$B$75)),0))</f>
        <v>0</v>
      </c>
      <c r="BA1295" s="210">
        <f ca="1">IF(Prj_VAT=1,MAX(BA1309-IF(BA$2=1,0,AZ1311),0),MAX(0,BA1309)+IF(BA$2&gt;=Параметры!$B$75,MIN(0,OFFSET(BA1309,0,-Параметры!$B$75)),0))</f>
        <v>0</v>
      </c>
      <c r="BB1295" s="210">
        <f ca="1">IF(Prj_VAT=1,MAX(BB1309-IF(BB$2=1,0,BA1311),0),MAX(0,BB1309)+IF(BB$2&gt;=Параметры!$B$75,MIN(0,OFFSET(BB1309,0,-Параметры!$B$75)),0))</f>
        <v>0</v>
      </c>
      <c r="BD1295" s="211">
        <f t="shared" ref="BD1295:BD1309" ca="1" si="4598">SUM(G1295:BC1295)</f>
        <v>0</v>
      </c>
    </row>
    <row r="1296" spans="1:56" hidden="1" outlineLevel="1" x14ac:dyDescent="0.3">
      <c r="A1296" s="184" t="str">
        <f ca="1">Language!A$1159</f>
        <v>задолженность по налогу</v>
      </c>
      <c r="B1296" s="200"/>
      <c r="C1296" s="163" t="str">
        <f t="shared" ca="1" si="4597"/>
        <v>руб.</v>
      </c>
      <c r="D1296" s="174"/>
      <c r="F1296" s="170" t="s">
        <v>2350</v>
      </c>
      <c r="G1296" s="289">
        <f ca="1">IF(G1295&lt;0,0,IF(AND(Параметры!$B$73=0,G$2&gt;1),F1296,G1295*Параметры!$B$73/Параметры!G$30))</f>
        <v>0</v>
      </c>
      <c r="H1296" s="289">
        <f ca="1">IF(H1295&lt;0,0,IF(AND(Параметры!$B$73=0,H$2&gt;1),G1296,H1295*Параметры!$B$73/Параметры!H$30))</f>
        <v>0</v>
      </c>
      <c r="I1296" s="289">
        <f ca="1">IF(I1295&lt;0,0,IF(AND(Параметры!$B$73=0,I$2&gt;1),H1296,I1295*Параметры!$B$73/Параметры!I$30))</f>
        <v>0</v>
      </c>
      <c r="J1296" s="289">
        <f ca="1">IF(J1295&lt;0,0,IF(AND(Параметры!$B$73=0,J$2&gt;1),I1296,J1295*Параметры!$B$73/Параметры!J$30))</f>
        <v>0</v>
      </c>
      <c r="K1296" s="289">
        <f ca="1">IF(K1295&lt;0,0,IF(AND(Параметры!$B$73=0,K$2&gt;1),J1296,K1295*Параметры!$B$73/Параметры!K$30))</f>
        <v>0</v>
      </c>
      <c r="L1296" s="289">
        <f ca="1">IF(L1295&lt;0,0,IF(AND(Параметры!$B$73=0,L$2&gt;1),K1296,L1295*Параметры!$B$73/Параметры!L$30))</f>
        <v>0</v>
      </c>
      <c r="M1296" s="289">
        <f ca="1">IF(M1295&lt;0,0,IF(AND(Параметры!$B$73=0,M$2&gt;1),L1296,M1295*Параметры!$B$73/Параметры!M$30))</f>
        <v>0</v>
      </c>
      <c r="N1296" s="289">
        <f ca="1">IF(N1295&lt;0,0,IF(AND(Параметры!$B$73=0,N$2&gt;1),M1296,N1295*Параметры!$B$73/Параметры!N$30))</f>
        <v>0</v>
      </c>
      <c r="O1296" s="289">
        <f ca="1">IF(O1295&lt;0,0,IF(AND(Параметры!$B$73=0,O$2&gt;1),N1296,O1295*Параметры!$B$73/Параметры!O$30))</f>
        <v>0</v>
      </c>
      <c r="P1296" s="289">
        <f ca="1">IF(P1295&lt;0,0,IF(AND(Параметры!$B$73=0,P$2&gt;1),O1296,P1295*Параметры!$B$73/Параметры!P$30))</f>
        <v>0</v>
      </c>
      <c r="Q1296" s="289">
        <f ca="1">IF(Q1295&lt;0,0,IF(AND(Параметры!$B$73=0,Q$2&gt;1),P1296,Q1295*Параметры!$B$73/Параметры!Q$30))</f>
        <v>0</v>
      </c>
      <c r="R1296" s="289">
        <f ca="1">IF(R1295&lt;0,0,IF(AND(Параметры!$B$73=0,R$2&gt;1),Q1296,R1295*Параметры!$B$73/Параметры!R$30))</f>
        <v>0</v>
      </c>
      <c r="S1296" s="289">
        <f ca="1">IF(S1295&lt;0,0,IF(AND(Параметры!$B$73=0,S$2&gt;1),R1296,S1295*Параметры!$B$73/Параметры!S$30))</f>
        <v>0</v>
      </c>
      <c r="T1296" s="289">
        <f ca="1">IF(T1295&lt;0,0,IF(AND(Параметры!$B$73=0,T$2&gt;1),S1296,T1295*Параметры!$B$73/Параметры!T$30))</f>
        <v>0</v>
      </c>
      <c r="U1296" s="289">
        <f ca="1">IF(U1295&lt;0,0,IF(AND(Параметры!$B$73=0,U$2&gt;1),T1296,U1295*Параметры!$B$73/Параметры!U$30))</f>
        <v>0</v>
      </c>
      <c r="V1296" s="289">
        <f ca="1">IF(V1295&lt;0,0,IF(AND(Параметры!$B$73=0,V$2&gt;1),U1296,V1295*Параметры!$B$73/Параметры!V$30))</f>
        <v>0</v>
      </c>
      <c r="W1296" s="289">
        <f ca="1">IF(W1295&lt;0,0,IF(AND(Параметры!$B$73=0,W$2&gt;1),V1296,W1295*Параметры!$B$73/Параметры!W$30))</f>
        <v>0</v>
      </c>
      <c r="X1296" s="289">
        <f ca="1">IF(X1295&lt;0,0,IF(AND(Параметры!$B$73=0,X$2&gt;1),W1296,X1295*Параметры!$B$73/Параметры!X$30))</f>
        <v>0</v>
      </c>
      <c r="Y1296" s="289">
        <f ca="1">IF(Y1295&lt;0,0,IF(AND(Параметры!$B$73=0,Y$2&gt;1),X1296,Y1295*Параметры!$B$73/Параметры!Y$30))</f>
        <v>0</v>
      </c>
      <c r="Z1296" s="289">
        <f ca="1">IF(Z1295&lt;0,0,IF(AND(Параметры!$B$73=0,Z$2&gt;1),Y1296,Z1295*Параметры!$B$73/Параметры!Z$30))</f>
        <v>0</v>
      </c>
      <c r="AA1296" s="289">
        <f ca="1">IF(AA1295&lt;0,0,IF(AND(Параметры!$B$73=0,AA$2&gt;1),Z1296,AA1295*Параметры!$B$73/Параметры!AA$30))</f>
        <v>0</v>
      </c>
      <c r="AB1296" s="289">
        <f ca="1">IF(AB1295&lt;0,0,IF(AND(Параметры!$B$73=0,AB$2&gt;1),AA1296,AB1295*Параметры!$B$73/Параметры!AB$30))</f>
        <v>0</v>
      </c>
      <c r="AC1296" s="289">
        <f ca="1">IF(AC1295&lt;0,0,IF(AND(Параметры!$B$73=0,AC$2&gt;1),AB1296,AC1295*Параметры!$B$73/Параметры!AC$30))</f>
        <v>0</v>
      </c>
      <c r="AD1296" s="289">
        <f ca="1">IF(AD1295&lt;0,0,IF(AND(Параметры!$B$73=0,AD$2&gt;1),AC1296,AD1295*Параметры!$B$73/Параметры!AD$30))</f>
        <v>0</v>
      </c>
      <c r="AE1296" s="289">
        <f ca="1">IF(AE1295&lt;0,0,IF(AND(Параметры!$B$73=0,AE$2&gt;1),AD1296,AE1295*Параметры!$B$73/Параметры!AE$30))</f>
        <v>0</v>
      </c>
      <c r="AF1296" s="289">
        <f ca="1">IF(AF1295&lt;0,0,IF(AND(Параметры!$B$73=0,AF$2&gt;1),AE1296,AF1295*Параметры!$B$73/Параметры!AF$30))</f>
        <v>0</v>
      </c>
      <c r="AG1296" s="289">
        <f ca="1">IF(AG1295&lt;0,0,IF(AND(Параметры!$B$73=0,AG$2&gt;1),AF1296,AG1295*Параметры!$B$73/Параметры!AG$30))</f>
        <v>0</v>
      </c>
      <c r="AH1296" s="289">
        <f ca="1">IF(AH1295&lt;0,0,IF(AND(Параметры!$B$73=0,AH$2&gt;1),AG1296,AH1295*Параметры!$B$73/Параметры!AH$30))</f>
        <v>0</v>
      </c>
      <c r="AI1296" s="289">
        <f ca="1">IF(AI1295&lt;0,0,IF(AND(Параметры!$B$73=0,AI$2&gt;1),AH1296,AI1295*Параметры!$B$73/Параметры!AI$30))</f>
        <v>0</v>
      </c>
      <c r="AJ1296" s="289">
        <f ca="1">IF(AJ1295&lt;0,0,IF(AND(Параметры!$B$73=0,AJ$2&gt;1),AI1296,AJ1295*Параметры!$B$73/Параметры!AJ$30))</f>
        <v>0</v>
      </c>
      <c r="AK1296" s="289">
        <f ca="1">IF(AK1295&lt;0,0,IF(AND(Параметры!$B$73=0,AK$2&gt;1),AJ1296,AK1295*Параметры!$B$73/Параметры!AK$30))</f>
        <v>0</v>
      </c>
      <c r="AL1296" s="289">
        <f ca="1">IF(AL1295&lt;0,0,IF(AND(Параметры!$B$73=0,AL$2&gt;1),AK1296,AL1295*Параметры!$B$73/Параметры!AL$30))</f>
        <v>0</v>
      </c>
      <c r="AM1296" s="289">
        <f ca="1">IF(AM1295&lt;0,0,IF(AND(Параметры!$B$73=0,AM$2&gt;1),AL1296,AM1295*Параметры!$B$73/Параметры!AM$30))</f>
        <v>0</v>
      </c>
      <c r="AN1296" s="289">
        <f ca="1">IF(AN1295&lt;0,0,IF(AND(Параметры!$B$73=0,AN$2&gt;1),AM1296,AN1295*Параметры!$B$73/Параметры!AN$30))</f>
        <v>0</v>
      </c>
      <c r="AO1296" s="289">
        <f ca="1">IF(AO1295&lt;0,0,IF(AND(Параметры!$B$73=0,AO$2&gt;1),AN1296,AO1295*Параметры!$B$73/Параметры!AO$30))</f>
        <v>0</v>
      </c>
      <c r="AP1296" s="289">
        <f ca="1">IF(AP1295&lt;0,0,IF(AND(Параметры!$B$73=0,AP$2&gt;1),AO1296,AP1295*Параметры!$B$73/Параметры!AP$30))</f>
        <v>0</v>
      </c>
      <c r="AQ1296" s="289">
        <f ca="1">IF(AQ1295&lt;0,0,IF(AND(Параметры!$B$73=0,AQ$2&gt;1),AP1296,AQ1295*Параметры!$B$73/Параметры!AQ$30))</f>
        <v>0</v>
      </c>
      <c r="AR1296" s="289">
        <f ca="1">IF(AR1295&lt;0,0,IF(AND(Параметры!$B$73=0,AR$2&gt;1),AQ1296,AR1295*Параметры!$B$73/Параметры!AR$30))</f>
        <v>0</v>
      </c>
      <c r="AS1296" s="289">
        <f ca="1">IF(AS1295&lt;0,0,IF(AND(Параметры!$B$73=0,AS$2&gt;1),AR1296,AS1295*Параметры!$B$73/Параметры!AS$30))</f>
        <v>0</v>
      </c>
      <c r="AT1296" s="289">
        <f ca="1">IF(AT1295&lt;0,0,IF(AND(Параметры!$B$73=0,AT$2&gt;1),AS1296,AT1295*Параметры!$B$73/Параметры!AT$30))</f>
        <v>0</v>
      </c>
      <c r="AU1296" s="289">
        <f ca="1">IF(AU1295&lt;0,0,IF(AND(Параметры!$B$73=0,AU$2&gt;1),AT1296,AU1295*Параметры!$B$73/Параметры!AU$30))</f>
        <v>0</v>
      </c>
      <c r="AV1296" s="289">
        <f ca="1">IF(AV1295&lt;0,0,IF(AND(Параметры!$B$73=0,AV$2&gt;1),AU1296,AV1295*Параметры!$B$73/Параметры!AV$30))</f>
        <v>0</v>
      </c>
      <c r="AW1296" s="289">
        <f ca="1">IF(AW1295&lt;0,0,IF(AND(Параметры!$B$73=0,AW$2&gt;1),AV1296,AW1295*Параметры!$B$73/Параметры!AW$30))</f>
        <v>0</v>
      </c>
      <c r="AX1296" s="289">
        <f ca="1">IF(AX1295&lt;0,0,IF(AND(Параметры!$B$73=0,AX$2&gt;1),AW1296,AX1295*Параметры!$B$73/Параметры!AX$30))</f>
        <v>0</v>
      </c>
      <c r="AY1296" s="289">
        <f ca="1">IF(AY1295&lt;0,0,IF(AND(Параметры!$B$73=0,AY$2&gt;1),AX1296,AY1295*Параметры!$B$73/Параметры!AY$30))</f>
        <v>0</v>
      </c>
      <c r="AZ1296" s="289">
        <f ca="1">IF(AZ1295&lt;0,0,IF(AND(Параметры!$B$73=0,AZ$2&gt;1),AY1296,AZ1295*Параметры!$B$73/Параметры!AZ$30))</f>
        <v>0</v>
      </c>
      <c r="BA1296" s="289">
        <f ca="1">IF(BA1295&lt;0,0,IF(AND(Параметры!$B$73=0,BA$2&gt;1),AZ1296,BA1295*Параметры!$B$73/Параметры!BA$30))</f>
        <v>0</v>
      </c>
      <c r="BB1296" s="289">
        <f ca="1">IF(BB1295&lt;0,0,IF(AND(Параметры!$B$73=0,BB$2&gt;1),BA1296,BB1295*Параметры!$B$73/Параметры!BB$30))</f>
        <v>0</v>
      </c>
      <c r="BC1296" s="188"/>
      <c r="BD1296" s="178">
        <f t="shared" ca="1" si="4598"/>
        <v>0</v>
      </c>
    </row>
    <row r="1297" spans="1:56" hidden="1" outlineLevel="1" x14ac:dyDescent="0.3">
      <c r="A1297" s="184" t="str">
        <f ca="1">Language!A$1160</f>
        <v>уплаченный НДС</v>
      </c>
      <c r="B1297" s="195"/>
      <c r="C1297" s="163" t="str">
        <f t="shared" ca="1" si="4597"/>
        <v>руб.</v>
      </c>
      <c r="F1297" s="170" t="s">
        <v>740</v>
      </c>
      <c r="G1297" s="185">
        <f ca="1">G1295-IF(G$2=1,G1296,G1296-F1296)</f>
        <v>0</v>
      </c>
      <c r="H1297" s="185">
        <f t="shared" ref="H1297:BB1297" ca="1" si="4599">H1295-IF(H$2=1,H1296,H1296-G1296)</f>
        <v>0</v>
      </c>
      <c r="I1297" s="185">
        <f t="shared" ca="1" si="4599"/>
        <v>0</v>
      </c>
      <c r="J1297" s="185">
        <f t="shared" ca="1" si="4599"/>
        <v>0</v>
      </c>
      <c r="K1297" s="185">
        <f t="shared" ca="1" si="4599"/>
        <v>0</v>
      </c>
      <c r="L1297" s="185">
        <f t="shared" ca="1" si="4599"/>
        <v>0</v>
      </c>
      <c r="M1297" s="185">
        <f t="shared" ca="1" si="4599"/>
        <v>0</v>
      </c>
      <c r="N1297" s="185">
        <f t="shared" ca="1" si="4599"/>
        <v>0</v>
      </c>
      <c r="O1297" s="185">
        <f t="shared" ca="1" si="4599"/>
        <v>0</v>
      </c>
      <c r="P1297" s="185">
        <f t="shared" ca="1" si="4599"/>
        <v>0</v>
      </c>
      <c r="Q1297" s="185">
        <f t="shared" ca="1" si="4599"/>
        <v>0</v>
      </c>
      <c r="R1297" s="185">
        <f t="shared" ca="1" si="4599"/>
        <v>0</v>
      </c>
      <c r="S1297" s="185">
        <f t="shared" ca="1" si="4599"/>
        <v>0</v>
      </c>
      <c r="T1297" s="185">
        <f t="shared" ca="1" si="4599"/>
        <v>0</v>
      </c>
      <c r="U1297" s="185">
        <f t="shared" ca="1" si="4599"/>
        <v>0</v>
      </c>
      <c r="V1297" s="185">
        <f t="shared" ca="1" si="4599"/>
        <v>0</v>
      </c>
      <c r="W1297" s="185">
        <f t="shared" ca="1" si="4599"/>
        <v>0</v>
      </c>
      <c r="X1297" s="185">
        <f t="shared" ca="1" si="4599"/>
        <v>0</v>
      </c>
      <c r="Y1297" s="185">
        <f t="shared" ca="1" si="4599"/>
        <v>0</v>
      </c>
      <c r="Z1297" s="185">
        <f t="shared" ca="1" si="4599"/>
        <v>0</v>
      </c>
      <c r="AA1297" s="185">
        <f t="shared" ca="1" si="4599"/>
        <v>0</v>
      </c>
      <c r="AB1297" s="185">
        <f t="shared" ca="1" si="4599"/>
        <v>0</v>
      </c>
      <c r="AC1297" s="185">
        <f t="shared" ca="1" si="4599"/>
        <v>0</v>
      </c>
      <c r="AD1297" s="185">
        <f t="shared" ca="1" si="4599"/>
        <v>0</v>
      </c>
      <c r="AE1297" s="185">
        <f t="shared" ca="1" si="4599"/>
        <v>0</v>
      </c>
      <c r="AF1297" s="185">
        <f t="shared" ca="1" si="4599"/>
        <v>0</v>
      </c>
      <c r="AG1297" s="185">
        <f t="shared" ca="1" si="4599"/>
        <v>0</v>
      </c>
      <c r="AH1297" s="185">
        <f t="shared" ca="1" si="4599"/>
        <v>0</v>
      </c>
      <c r="AI1297" s="185">
        <f t="shared" ca="1" si="4599"/>
        <v>0</v>
      </c>
      <c r="AJ1297" s="185">
        <f t="shared" ca="1" si="4599"/>
        <v>0</v>
      </c>
      <c r="AK1297" s="185">
        <f t="shared" ca="1" si="4599"/>
        <v>0</v>
      </c>
      <c r="AL1297" s="185">
        <f t="shared" ca="1" si="4599"/>
        <v>0</v>
      </c>
      <c r="AM1297" s="185">
        <f t="shared" ca="1" si="4599"/>
        <v>0</v>
      </c>
      <c r="AN1297" s="185">
        <f t="shared" ca="1" si="4599"/>
        <v>0</v>
      </c>
      <c r="AO1297" s="185">
        <f t="shared" ca="1" si="4599"/>
        <v>0</v>
      </c>
      <c r="AP1297" s="185">
        <f t="shared" ca="1" si="4599"/>
        <v>0</v>
      </c>
      <c r="AQ1297" s="185">
        <f t="shared" ca="1" si="4599"/>
        <v>0</v>
      </c>
      <c r="AR1297" s="185">
        <f t="shared" ca="1" si="4599"/>
        <v>0</v>
      </c>
      <c r="AS1297" s="185">
        <f t="shared" ca="1" si="4599"/>
        <v>0</v>
      </c>
      <c r="AT1297" s="185">
        <f t="shared" ca="1" si="4599"/>
        <v>0</v>
      </c>
      <c r="AU1297" s="185">
        <f t="shared" ca="1" si="4599"/>
        <v>0</v>
      </c>
      <c r="AV1297" s="185">
        <f t="shared" ca="1" si="4599"/>
        <v>0</v>
      </c>
      <c r="AW1297" s="185">
        <f t="shared" ca="1" si="4599"/>
        <v>0</v>
      </c>
      <c r="AX1297" s="185">
        <f t="shared" ca="1" si="4599"/>
        <v>0</v>
      </c>
      <c r="AY1297" s="185">
        <f t="shared" ca="1" si="4599"/>
        <v>0</v>
      </c>
      <c r="AZ1297" s="185">
        <f t="shared" ca="1" si="4599"/>
        <v>0</v>
      </c>
      <c r="BA1297" s="185">
        <f t="shared" ca="1" si="4599"/>
        <v>0</v>
      </c>
      <c r="BB1297" s="185">
        <f t="shared" ca="1" si="4599"/>
        <v>0</v>
      </c>
      <c r="BD1297" s="178">
        <f t="shared" ca="1" si="4598"/>
        <v>0</v>
      </c>
    </row>
    <row r="1298" spans="1:56" hidden="1" outlineLevel="1" x14ac:dyDescent="0.3">
      <c r="A1298" s="169" t="str">
        <f ca="1">Language!A$1161</f>
        <v>НДС полученный с доходами от продаж</v>
      </c>
      <c r="C1298" s="194" t="str">
        <f t="shared" ca="1" si="4597"/>
        <v>руб.</v>
      </c>
      <c r="F1298" s="170" t="s">
        <v>740</v>
      </c>
      <c r="G1298" s="177">
        <f t="shared" ref="G1298:BB1298" ca="1" si="4600">G129+G135-IF(G$2=1,0,F135)</f>
        <v>0</v>
      </c>
      <c r="H1298" s="177">
        <f t="shared" ca="1" si="4600"/>
        <v>0</v>
      </c>
      <c r="I1298" s="177">
        <f t="shared" ca="1" si="4600"/>
        <v>0</v>
      </c>
      <c r="J1298" s="177">
        <f t="shared" ca="1" si="4600"/>
        <v>0</v>
      </c>
      <c r="K1298" s="177">
        <f t="shared" ca="1" si="4600"/>
        <v>0</v>
      </c>
      <c r="L1298" s="177">
        <f t="shared" ca="1" si="4600"/>
        <v>0</v>
      </c>
      <c r="M1298" s="177">
        <f t="shared" ca="1" si="4600"/>
        <v>0</v>
      </c>
      <c r="N1298" s="177">
        <f t="shared" ca="1" si="4600"/>
        <v>0</v>
      </c>
      <c r="O1298" s="177">
        <f t="shared" ca="1" si="4600"/>
        <v>0</v>
      </c>
      <c r="P1298" s="177">
        <f t="shared" ca="1" si="4600"/>
        <v>0</v>
      </c>
      <c r="Q1298" s="177">
        <f t="shared" ca="1" si="4600"/>
        <v>0</v>
      </c>
      <c r="R1298" s="177">
        <f t="shared" ca="1" si="4600"/>
        <v>0</v>
      </c>
      <c r="S1298" s="177">
        <f t="shared" ca="1" si="4600"/>
        <v>0</v>
      </c>
      <c r="T1298" s="177">
        <f t="shared" ca="1" si="4600"/>
        <v>0</v>
      </c>
      <c r="U1298" s="177">
        <f t="shared" ca="1" si="4600"/>
        <v>0</v>
      </c>
      <c r="V1298" s="177">
        <f t="shared" ca="1" si="4600"/>
        <v>0</v>
      </c>
      <c r="W1298" s="177">
        <f t="shared" ca="1" si="4600"/>
        <v>0</v>
      </c>
      <c r="X1298" s="177">
        <f t="shared" ca="1" si="4600"/>
        <v>0</v>
      </c>
      <c r="Y1298" s="177">
        <f t="shared" ca="1" si="4600"/>
        <v>0</v>
      </c>
      <c r="Z1298" s="177">
        <f t="shared" ca="1" si="4600"/>
        <v>0</v>
      </c>
      <c r="AA1298" s="177">
        <f t="shared" ca="1" si="4600"/>
        <v>0</v>
      </c>
      <c r="AB1298" s="177">
        <f t="shared" ca="1" si="4600"/>
        <v>0</v>
      </c>
      <c r="AC1298" s="177">
        <f t="shared" ca="1" si="4600"/>
        <v>0</v>
      </c>
      <c r="AD1298" s="177">
        <f t="shared" ca="1" si="4600"/>
        <v>0</v>
      </c>
      <c r="AE1298" s="177">
        <f t="shared" ca="1" si="4600"/>
        <v>0</v>
      </c>
      <c r="AF1298" s="177">
        <f t="shared" ca="1" si="4600"/>
        <v>0</v>
      </c>
      <c r="AG1298" s="177">
        <f t="shared" ca="1" si="4600"/>
        <v>0</v>
      </c>
      <c r="AH1298" s="177">
        <f t="shared" ca="1" si="4600"/>
        <v>0</v>
      </c>
      <c r="AI1298" s="177">
        <f t="shared" ca="1" si="4600"/>
        <v>0</v>
      </c>
      <c r="AJ1298" s="177">
        <f t="shared" ca="1" si="4600"/>
        <v>0</v>
      </c>
      <c r="AK1298" s="177">
        <f t="shared" ca="1" si="4600"/>
        <v>0</v>
      </c>
      <c r="AL1298" s="177">
        <f t="shared" ca="1" si="4600"/>
        <v>0</v>
      </c>
      <c r="AM1298" s="177">
        <f t="shared" ca="1" si="4600"/>
        <v>0</v>
      </c>
      <c r="AN1298" s="177">
        <f t="shared" ca="1" si="4600"/>
        <v>0</v>
      </c>
      <c r="AO1298" s="177">
        <f t="shared" ca="1" si="4600"/>
        <v>0</v>
      </c>
      <c r="AP1298" s="177">
        <f t="shared" ca="1" si="4600"/>
        <v>0</v>
      </c>
      <c r="AQ1298" s="177">
        <f t="shared" ca="1" si="4600"/>
        <v>0</v>
      </c>
      <c r="AR1298" s="177">
        <f t="shared" ca="1" si="4600"/>
        <v>0</v>
      </c>
      <c r="AS1298" s="177">
        <f t="shared" ca="1" si="4600"/>
        <v>0</v>
      </c>
      <c r="AT1298" s="177">
        <f t="shared" ca="1" si="4600"/>
        <v>0</v>
      </c>
      <c r="AU1298" s="177">
        <f t="shared" ca="1" si="4600"/>
        <v>0</v>
      </c>
      <c r="AV1298" s="177">
        <f t="shared" ca="1" si="4600"/>
        <v>0</v>
      </c>
      <c r="AW1298" s="177">
        <f t="shared" ca="1" si="4600"/>
        <v>0</v>
      </c>
      <c r="AX1298" s="177">
        <f t="shared" ca="1" si="4600"/>
        <v>0</v>
      </c>
      <c r="AY1298" s="177">
        <f t="shared" ca="1" si="4600"/>
        <v>0</v>
      </c>
      <c r="AZ1298" s="177">
        <f t="shared" ca="1" si="4600"/>
        <v>0</v>
      </c>
      <c r="BA1298" s="177">
        <f t="shared" ca="1" si="4600"/>
        <v>0</v>
      </c>
      <c r="BB1298" s="177">
        <f t="shared" ca="1" si="4600"/>
        <v>0</v>
      </c>
      <c r="BD1298" s="178">
        <f t="shared" ca="1" si="4598"/>
        <v>0</v>
      </c>
    </row>
    <row r="1299" spans="1:56" hidden="1" outlineLevel="1" x14ac:dyDescent="0.3">
      <c r="A1299" s="169" t="str">
        <f ca="1">Language!A$1162</f>
        <v>НДС полученный при продаже основных средств</v>
      </c>
      <c r="C1299" s="194" t="str">
        <f t="shared" ca="1" si="4597"/>
        <v>руб.</v>
      </c>
      <c r="F1299" s="170" t="s">
        <v>740</v>
      </c>
      <c r="G1299" s="177">
        <f t="shared" ref="G1299:AL1299" si="4601">G962+G977+G988</f>
        <v>0</v>
      </c>
      <c r="H1299" s="177">
        <f t="shared" si="4601"/>
        <v>0</v>
      </c>
      <c r="I1299" s="177">
        <f t="shared" si="4601"/>
        <v>0</v>
      </c>
      <c r="J1299" s="177">
        <f t="shared" si="4601"/>
        <v>0</v>
      </c>
      <c r="K1299" s="177">
        <f t="shared" si="4601"/>
        <v>0</v>
      </c>
      <c r="L1299" s="177">
        <f t="shared" si="4601"/>
        <v>0</v>
      </c>
      <c r="M1299" s="177">
        <f t="shared" si="4601"/>
        <v>0</v>
      </c>
      <c r="N1299" s="177">
        <f t="shared" si="4601"/>
        <v>0</v>
      </c>
      <c r="O1299" s="177">
        <f t="shared" si="4601"/>
        <v>0</v>
      </c>
      <c r="P1299" s="177">
        <f t="shared" si="4601"/>
        <v>0</v>
      </c>
      <c r="Q1299" s="177">
        <f t="shared" si="4601"/>
        <v>0</v>
      </c>
      <c r="R1299" s="177">
        <f t="shared" si="4601"/>
        <v>0</v>
      </c>
      <c r="S1299" s="177">
        <f t="shared" si="4601"/>
        <v>0</v>
      </c>
      <c r="T1299" s="177">
        <f t="shared" si="4601"/>
        <v>0</v>
      </c>
      <c r="U1299" s="177">
        <f t="shared" si="4601"/>
        <v>0</v>
      </c>
      <c r="V1299" s="177">
        <f t="shared" si="4601"/>
        <v>0</v>
      </c>
      <c r="W1299" s="177">
        <f t="shared" si="4601"/>
        <v>0</v>
      </c>
      <c r="X1299" s="177">
        <f t="shared" si="4601"/>
        <v>0</v>
      </c>
      <c r="Y1299" s="177">
        <f t="shared" si="4601"/>
        <v>0</v>
      </c>
      <c r="Z1299" s="177">
        <f t="shared" si="4601"/>
        <v>0</v>
      </c>
      <c r="AA1299" s="177">
        <f t="shared" si="4601"/>
        <v>0</v>
      </c>
      <c r="AB1299" s="177">
        <f t="shared" si="4601"/>
        <v>0</v>
      </c>
      <c r="AC1299" s="177">
        <f t="shared" si="4601"/>
        <v>0</v>
      </c>
      <c r="AD1299" s="177">
        <f t="shared" si="4601"/>
        <v>0</v>
      </c>
      <c r="AE1299" s="177">
        <f t="shared" si="4601"/>
        <v>0</v>
      </c>
      <c r="AF1299" s="177">
        <f t="shared" si="4601"/>
        <v>0</v>
      </c>
      <c r="AG1299" s="177">
        <f t="shared" si="4601"/>
        <v>0</v>
      </c>
      <c r="AH1299" s="177">
        <f t="shared" si="4601"/>
        <v>0</v>
      </c>
      <c r="AI1299" s="177">
        <f t="shared" si="4601"/>
        <v>0</v>
      </c>
      <c r="AJ1299" s="177">
        <f t="shared" si="4601"/>
        <v>0</v>
      </c>
      <c r="AK1299" s="177">
        <f t="shared" si="4601"/>
        <v>0</v>
      </c>
      <c r="AL1299" s="177">
        <f t="shared" si="4601"/>
        <v>0</v>
      </c>
      <c r="AM1299" s="177">
        <f t="shared" ref="AM1299:BB1299" si="4602">AM962+AM977+AM988</f>
        <v>0</v>
      </c>
      <c r="AN1299" s="177">
        <f t="shared" si="4602"/>
        <v>0</v>
      </c>
      <c r="AO1299" s="177">
        <f t="shared" si="4602"/>
        <v>0</v>
      </c>
      <c r="AP1299" s="177">
        <f t="shared" si="4602"/>
        <v>0</v>
      </c>
      <c r="AQ1299" s="177">
        <f t="shared" si="4602"/>
        <v>0</v>
      </c>
      <c r="AR1299" s="177">
        <f t="shared" si="4602"/>
        <v>0</v>
      </c>
      <c r="AS1299" s="177">
        <f t="shared" si="4602"/>
        <v>0</v>
      </c>
      <c r="AT1299" s="177">
        <f t="shared" si="4602"/>
        <v>0</v>
      </c>
      <c r="AU1299" s="177">
        <f t="shared" si="4602"/>
        <v>0</v>
      </c>
      <c r="AV1299" s="177">
        <f t="shared" si="4602"/>
        <v>0</v>
      </c>
      <c r="AW1299" s="177">
        <f t="shared" si="4602"/>
        <v>0</v>
      </c>
      <c r="AX1299" s="177">
        <f t="shared" si="4602"/>
        <v>0</v>
      </c>
      <c r="AY1299" s="177">
        <f t="shared" si="4602"/>
        <v>0</v>
      </c>
      <c r="AZ1299" s="177">
        <f t="shared" si="4602"/>
        <v>0</v>
      </c>
      <c r="BA1299" s="177">
        <f t="shared" si="4602"/>
        <v>0</v>
      </c>
      <c r="BB1299" s="177">
        <f t="shared" si="4602"/>
        <v>0</v>
      </c>
      <c r="BD1299" s="178">
        <f t="shared" si="4598"/>
        <v>0</v>
      </c>
    </row>
    <row r="1300" spans="1:56" hidden="1" outlineLevel="1" x14ac:dyDescent="0.3">
      <c r="A1300" s="169" t="s">
        <v>1450</v>
      </c>
      <c r="C1300" s="194" t="str">
        <f t="shared" ca="1" si="4597"/>
        <v>руб.</v>
      </c>
      <c r="F1300" s="170" t="s">
        <v>740</v>
      </c>
      <c r="G1300" s="177">
        <f t="shared" ref="G1300:AL1300" si="4603">G1161</f>
        <v>0</v>
      </c>
      <c r="H1300" s="177">
        <f t="shared" si="4603"/>
        <v>0</v>
      </c>
      <c r="I1300" s="177">
        <f t="shared" si="4603"/>
        <v>0</v>
      </c>
      <c r="J1300" s="177">
        <f t="shared" si="4603"/>
        <v>0</v>
      </c>
      <c r="K1300" s="177">
        <f t="shared" si="4603"/>
        <v>0</v>
      </c>
      <c r="L1300" s="177">
        <f t="shared" si="4603"/>
        <v>0</v>
      </c>
      <c r="M1300" s="177">
        <f t="shared" si="4603"/>
        <v>0</v>
      </c>
      <c r="N1300" s="177">
        <f t="shared" si="4603"/>
        <v>0</v>
      </c>
      <c r="O1300" s="177">
        <f t="shared" si="4603"/>
        <v>0</v>
      </c>
      <c r="P1300" s="177">
        <f t="shared" si="4603"/>
        <v>0</v>
      </c>
      <c r="Q1300" s="177">
        <f t="shared" si="4603"/>
        <v>0</v>
      </c>
      <c r="R1300" s="177">
        <f t="shared" si="4603"/>
        <v>0</v>
      </c>
      <c r="S1300" s="177">
        <f t="shared" si="4603"/>
        <v>0</v>
      </c>
      <c r="T1300" s="177">
        <f t="shared" si="4603"/>
        <v>0</v>
      </c>
      <c r="U1300" s="177">
        <f t="shared" si="4603"/>
        <v>0</v>
      </c>
      <c r="V1300" s="177">
        <f t="shared" si="4603"/>
        <v>0</v>
      </c>
      <c r="W1300" s="177">
        <f t="shared" si="4603"/>
        <v>0</v>
      </c>
      <c r="X1300" s="177">
        <f t="shared" si="4603"/>
        <v>0</v>
      </c>
      <c r="Y1300" s="177">
        <f t="shared" si="4603"/>
        <v>0</v>
      </c>
      <c r="Z1300" s="177">
        <f t="shared" si="4603"/>
        <v>0</v>
      </c>
      <c r="AA1300" s="177">
        <f t="shared" si="4603"/>
        <v>0</v>
      </c>
      <c r="AB1300" s="177">
        <f t="shared" si="4603"/>
        <v>0</v>
      </c>
      <c r="AC1300" s="177">
        <f t="shared" si="4603"/>
        <v>0</v>
      </c>
      <c r="AD1300" s="177">
        <f t="shared" si="4603"/>
        <v>0</v>
      </c>
      <c r="AE1300" s="177">
        <f t="shared" si="4603"/>
        <v>0</v>
      </c>
      <c r="AF1300" s="177">
        <f t="shared" si="4603"/>
        <v>0</v>
      </c>
      <c r="AG1300" s="177">
        <f t="shared" si="4603"/>
        <v>0</v>
      </c>
      <c r="AH1300" s="177">
        <f t="shared" si="4603"/>
        <v>0</v>
      </c>
      <c r="AI1300" s="177">
        <f t="shared" si="4603"/>
        <v>0</v>
      </c>
      <c r="AJ1300" s="177">
        <f t="shared" si="4603"/>
        <v>0</v>
      </c>
      <c r="AK1300" s="177">
        <f t="shared" si="4603"/>
        <v>0</v>
      </c>
      <c r="AL1300" s="177">
        <f t="shared" si="4603"/>
        <v>0</v>
      </c>
      <c r="AM1300" s="177">
        <f t="shared" ref="AM1300:BB1300" si="4604">AM1161</f>
        <v>0</v>
      </c>
      <c r="AN1300" s="177">
        <f t="shared" si="4604"/>
        <v>0</v>
      </c>
      <c r="AO1300" s="177">
        <f t="shared" si="4604"/>
        <v>0</v>
      </c>
      <c r="AP1300" s="177">
        <f t="shared" si="4604"/>
        <v>0</v>
      </c>
      <c r="AQ1300" s="177">
        <f t="shared" si="4604"/>
        <v>0</v>
      </c>
      <c r="AR1300" s="177">
        <f t="shared" si="4604"/>
        <v>0</v>
      </c>
      <c r="AS1300" s="177">
        <f t="shared" si="4604"/>
        <v>0</v>
      </c>
      <c r="AT1300" s="177">
        <f t="shared" si="4604"/>
        <v>0</v>
      </c>
      <c r="AU1300" s="177">
        <f t="shared" si="4604"/>
        <v>0</v>
      </c>
      <c r="AV1300" s="177">
        <f t="shared" si="4604"/>
        <v>0</v>
      </c>
      <c r="AW1300" s="177">
        <f t="shared" si="4604"/>
        <v>0</v>
      </c>
      <c r="AX1300" s="177">
        <f t="shared" si="4604"/>
        <v>0</v>
      </c>
      <c r="AY1300" s="177">
        <f t="shared" si="4604"/>
        <v>0</v>
      </c>
      <c r="AZ1300" s="177">
        <f t="shared" si="4604"/>
        <v>0</v>
      </c>
      <c r="BA1300" s="177">
        <f t="shared" si="4604"/>
        <v>0</v>
      </c>
      <c r="BB1300" s="177">
        <f t="shared" si="4604"/>
        <v>0</v>
      </c>
      <c r="BD1300" s="178">
        <f t="shared" si="4598"/>
        <v>0</v>
      </c>
    </row>
    <row r="1301" spans="1:56" hidden="1" outlineLevel="1" x14ac:dyDescent="0.3">
      <c r="A1301" s="169" t="str">
        <f ca="1">Language!A$1163</f>
        <v>НДС уплаченный на сырье и материалы</v>
      </c>
      <c r="C1301" s="194" t="str">
        <f t="shared" ca="1" si="4597"/>
        <v>руб.</v>
      </c>
      <c r="F1301" s="170" t="s">
        <v>740</v>
      </c>
      <c r="G1301" s="177">
        <f t="shared" ref="G1301:BB1301" ca="1" si="4605">G269</f>
        <v>0</v>
      </c>
      <c r="H1301" s="177">
        <f t="shared" ca="1" si="4605"/>
        <v>0</v>
      </c>
      <c r="I1301" s="177">
        <f t="shared" ca="1" si="4605"/>
        <v>0</v>
      </c>
      <c r="J1301" s="177">
        <f t="shared" ca="1" si="4605"/>
        <v>0</v>
      </c>
      <c r="K1301" s="177">
        <f t="shared" ca="1" si="4605"/>
        <v>0</v>
      </c>
      <c r="L1301" s="177">
        <f t="shared" ca="1" si="4605"/>
        <v>0</v>
      </c>
      <c r="M1301" s="177">
        <f t="shared" ca="1" si="4605"/>
        <v>0</v>
      </c>
      <c r="N1301" s="177">
        <f t="shared" ca="1" si="4605"/>
        <v>0</v>
      </c>
      <c r="O1301" s="177">
        <f t="shared" ca="1" si="4605"/>
        <v>0</v>
      </c>
      <c r="P1301" s="177">
        <f t="shared" ca="1" si="4605"/>
        <v>0</v>
      </c>
      <c r="Q1301" s="177">
        <f t="shared" ca="1" si="4605"/>
        <v>0</v>
      </c>
      <c r="R1301" s="177">
        <f t="shared" ca="1" si="4605"/>
        <v>0</v>
      </c>
      <c r="S1301" s="177">
        <f t="shared" ca="1" si="4605"/>
        <v>0</v>
      </c>
      <c r="T1301" s="177">
        <f t="shared" ca="1" si="4605"/>
        <v>0</v>
      </c>
      <c r="U1301" s="177">
        <f t="shared" ca="1" si="4605"/>
        <v>0</v>
      </c>
      <c r="V1301" s="177">
        <f t="shared" ca="1" si="4605"/>
        <v>0</v>
      </c>
      <c r="W1301" s="177">
        <f t="shared" ca="1" si="4605"/>
        <v>0</v>
      </c>
      <c r="X1301" s="177">
        <f t="shared" ca="1" si="4605"/>
        <v>0</v>
      </c>
      <c r="Y1301" s="177">
        <f t="shared" ca="1" si="4605"/>
        <v>0</v>
      </c>
      <c r="Z1301" s="177">
        <f t="shared" ca="1" si="4605"/>
        <v>0</v>
      </c>
      <c r="AA1301" s="177">
        <f t="shared" ca="1" si="4605"/>
        <v>0</v>
      </c>
      <c r="AB1301" s="177">
        <f t="shared" ca="1" si="4605"/>
        <v>0</v>
      </c>
      <c r="AC1301" s="177">
        <f t="shared" ca="1" si="4605"/>
        <v>0</v>
      </c>
      <c r="AD1301" s="177">
        <f t="shared" ca="1" si="4605"/>
        <v>0</v>
      </c>
      <c r="AE1301" s="177">
        <f t="shared" ca="1" si="4605"/>
        <v>0</v>
      </c>
      <c r="AF1301" s="177">
        <f t="shared" ca="1" si="4605"/>
        <v>0</v>
      </c>
      <c r="AG1301" s="177">
        <f t="shared" ca="1" si="4605"/>
        <v>0</v>
      </c>
      <c r="AH1301" s="177">
        <f t="shared" ca="1" si="4605"/>
        <v>0</v>
      </c>
      <c r="AI1301" s="177">
        <f t="shared" ca="1" si="4605"/>
        <v>0</v>
      </c>
      <c r="AJ1301" s="177">
        <f t="shared" ca="1" si="4605"/>
        <v>0</v>
      </c>
      <c r="AK1301" s="177">
        <f t="shared" ca="1" si="4605"/>
        <v>0</v>
      </c>
      <c r="AL1301" s="177">
        <f t="shared" ca="1" si="4605"/>
        <v>0</v>
      </c>
      <c r="AM1301" s="177">
        <f t="shared" ca="1" si="4605"/>
        <v>0</v>
      </c>
      <c r="AN1301" s="177">
        <f t="shared" ca="1" si="4605"/>
        <v>0</v>
      </c>
      <c r="AO1301" s="177">
        <f t="shared" ca="1" si="4605"/>
        <v>0</v>
      </c>
      <c r="AP1301" s="177">
        <f t="shared" ca="1" si="4605"/>
        <v>0</v>
      </c>
      <c r="AQ1301" s="177">
        <f t="shared" ca="1" si="4605"/>
        <v>0</v>
      </c>
      <c r="AR1301" s="177">
        <f t="shared" ca="1" si="4605"/>
        <v>0</v>
      </c>
      <c r="AS1301" s="177">
        <f t="shared" ca="1" si="4605"/>
        <v>0</v>
      </c>
      <c r="AT1301" s="177">
        <f t="shared" ca="1" si="4605"/>
        <v>0</v>
      </c>
      <c r="AU1301" s="177">
        <f t="shared" ca="1" si="4605"/>
        <v>0</v>
      </c>
      <c r="AV1301" s="177">
        <f t="shared" ca="1" si="4605"/>
        <v>0</v>
      </c>
      <c r="AW1301" s="177">
        <f t="shared" ca="1" si="4605"/>
        <v>0</v>
      </c>
      <c r="AX1301" s="177">
        <f t="shared" ca="1" si="4605"/>
        <v>0</v>
      </c>
      <c r="AY1301" s="177">
        <f t="shared" ca="1" si="4605"/>
        <v>0</v>
      </c>
      <c r="AZ1301" s="177">
        <f t="shared" ca="1" si="4605"/>
        <v>0</v>
      </c>
      <c r="BA1301" s="177">
        <f t="shared" ca="1" si="4605"/>
        <v>0</v>
      </c>
      <c r="BB1301" s="177">
        <f t="shared" ca="1" si="4605"/>
        <v>0</v>
      </c>
      <c r="BD1301" s="178">
        <f t="shared" ca="1" si="4598"/>
        <v>0</v>
      </c>
    </row>
    <row r="1302" spans="1:56" hidden="1" outlineLevel="1" x14ac:dyDescent="0.3">
      <c r="A1302" s="169" t="str">
        <f ca="1">Language!A$1164</f>
        <v>НДС уплаченный с постоянными издержками</v>
      </c>
      <c r="C1302" s="194" t="str">
        <f t="shared" ca="1" si="4597"/>
        <v>руб.</v>
      </c>
      <c r="F1302" s="170" t="s">
        <v>740</v>
      </c>
      <c r="G1302" s="177">
        <f t="shared" ref="G1302:BB1302" ca="1" si="4606">G528+G554+G541</f>
        <v>0</v>
      </c>
      <c r="H1302" s="177">
        <f t="shared" ca="1" si="4606"/>
        <v>0</v>
      </c>
      <c r="I1302" s="177">
        <f t="shared" ca="1" si="4606"/>
        <v>0</v>
      </c>
      <c r="J1302" s="177">
        <f t="shared" ca="1" si="4606"/>
        <v>0</v>
      </c>
      <c r="K1302" s="177">
        <f t="shared" ca="1" si="4606"/>
        <v>0</v>
      </c>
      <c r="L1302" s="177">
        <f t="shared" ca="1" si="4606"/>
        <v>0</v>
      </c>
      <c r="M1302" s="177">
        <f t="shared" ca="1" si="4606"/>
        <v>0</v>
      </c>
      <c r="N1302" s="177">
        <f t="shared" ca="1" si="4606"/>
        <v>0</v>
      </c>
      <c r="O1302" s="177">
        <f t="shared" ca="1" si="4606"/>
        <v>0</v>
      </c>
      <c r="P1302" s="177">
        <f t="shared" ca="1" si="4606"/>
        <v>0</v>
      </c>
      <c r="Q1302" s="177">
        <f t="shared" ca="1" si="4606"/>
        <v>0</v>
      </c>
      <c r="R1302" s="177">
        <f t="shared" ca="1" si="4606"/>
        <v>0</v>
      </c>
      <c r="S1302" s="177">
        <f t="shared" ca="1" si="4606"/>
        <v>0</v>
      </c>
      <c r="T1302" s="177">
        <f t="shared" ca="1" si="4606"/>
        <v>0</v>
      </c>
      <c r="U1302" s="177">
        <f t="shared" ca="1" si="4606"/>
        <v>0</v>
      </c>
      <c r="V1302" s="177">
        <f t="shared" ca="1" si="4606"/>
        <v>0</v>
      </c>
      <c r="W1302" s="177">
        <f t="shared" ca="1" si="4606"/>
        <v>0</v>
      </c>
      <c r="X1302" s="177">
        <f t="shared" ca="1" si="4606"/>
        <v>0</v>
      </c>
      <c r="Y1302" s="177">
        <f t="shared" ca="1" si="4606"/>
        <v>0</v>
      </c>
      <c r="Z1302" s="177">
        <f t="shared" ca="1" si="4606"/>
        <v>0</v>
      </c>
      <c r="AA1302" s="177">
        <f t="shared" ca="1" si="4606"/>
        <v>0</v>
      </c>
      <c r="AB1302" s="177">
        <f t="shared" ca="1" si="4606"/>
        <v>0</v>
      </c>
      <c r="AC1302" s="177">
        <f t="shared" ca="1" si="4606"/>
        <v>0</v>
      </c>
      <c r="AD1302" s="177">
        <f t="shared" ca="1" si="4606"/>
        <v>0</v>
      </c>
      <c r="AE1302" s="177">
        <f t="shared" ca="1" si="4606"/>
        <v>0</v>
      </c>
      <c r="AF1302" s="177">
        <f t="shared" ca="1" si="4606"/>
        <v>0</v>
      </c>
      <c r="AG1302" s="177">
        <f t="shared" ca="1" si="4606"/>
        <v>0</v>
      </c>
      <c r="AH1302" s="177">
        <f t="shared" ca="1" si="4606"/>
        <v>0</v>
      </c>
      <c r="AI1302" s="177">
        <f t="shared" ca="1" si="4606"/>
        <v>0</v>
      </c>
      <c r="AJ1302" s="177">
        <f t="shared" ca="1" si="4606"/>
        <v>0</v>
      </c>
      <c r="AK1302" s="177">
        <f t="shared" ca="1" si="4606"/>
        <v>0</v>
      </c>
      <c r="AL1302" s="177">
        <f t="shared" ca="1" si="4606"/>
        <v>0</v>
      </c>
      <c r="AM1302" s="177">
        <f t="shared" ca="1" si="4606"/>
        <v>0</v>
      </c>
      <c r="AN1302" s="177">
        <f t="shared" ca="1" si="4606"/>
        <v>0</v>
      </c>
      <c r="AO1302" s="177">
        <f t="shared" ca="1" si="4606"/>
        <v>0</v>
      </c>
      <c r="AP1302" s="177">
        <f t="shared" ca="1" si="4606"/>
        <v>0</v>
      </c>
      <c r="AQ1302" s="177">
        <f t="shared" ca="1" si="4606"/>
        <v>0</v>
      </c>
      <c r="AR1302" s="177">
        <f t="shared" ca="1" si="4606"/>
        <v>0</v>
      </c>
      <c r="AS1302" s="177">
        <f t="shared" ca="1" si="4606"/>
        <v>0</v>
      </c>
      <c r="AT1302" s="177">
        <f t="shared" ca="1" si="4606"/>
        <v>0</v>
      </c>
      <c r="AU1302" s="177">
        <f t="shared" ca="1" si="4606"/>
        <v>0</v>
      </c>
      <c r="AV1302" s="177">
        <f t="shared" ca="1" si="4606"/>
        <v>0</v>
      </c>
      <c r="AW1302" s="177">
        <f t="shared" ca="1" si="4606"/>
        <v>0</v>
      </c>
      <c r="AX1302" s="177">
        <f t="shared" ca="1" si="4606"/>
        <v>0</v>
      </c>
      <c r="AY1302" s="177">
        <f t="shared" ca="1" si="4606"/>
        <v>0</v>
      </c>
      <c r="AZ1302" s="177">
        <f t="shared" ca="1" si="4606"/>
        <v>0</v>
      </c>
      <c r="BA1302" s="177">
        <f t="shared" ca="1" si="4606"/>
        <v>0</v>
      </c>
      <c r="BB1302" s="177">
        <f t="shared" ca="1" si="4606"/>
        <v>0</v>
      </c>
      <c r="BD1302" s="178">
        <f t="shared" ca="1" si="4598"/>
        <v>0</v>
      </c>
    </row>
    <row r="1303" spans="1:56" hidden="1" outlineLevel="1" x14ac:dyDescent="0.3">
      <c r="A1303" s="169" t="s">
        <v>1451</v>
      </c>
      <c r="C1303" s="194" t="str">
        <f t="shared" ca="1" si="4597"/>
        <v>руб.</v>
      </c>
      <c r="F1303" s="170" t="s">
        <v>740</v>
      </c>
      <c r="G1303" s="177">
        <f t="shared" ref="G1303:AL1303" si="4607">G1164</f>
        <v>0</v>
      </c>
      <c r="H1303" s="177">
        <f t="shared" si="4607"/>
        <v>0</v>
      </c>
      <c r="I1303" s="177">
        <f t="shared" si="4607"/>
        <v>0</v>
      </c>
      <c r="J1303" s="177">
        <f t="shared" si="4607"/>
        <v>0</v>
      </c>
      <c r="K1303" s="177">
        <f t="shared" si="4607"/>
        <v>0</v>
      </c>
      <c r="L1303" s="177">
        <f t="shared" si="4607"/>
        <v>0</v>
      </c>
      <c r="M1303" s="177">
        <f t="shared" si="4607"/>
        <v>0</v>
      </c>
      <c r="N1303" s="177">
        <f t="shared" si="4607"/>
        <v>0</v>
      </c>
      <c r="O1303" s="177">
        <f t="shared" si="4607"/>
        <v>0</v>
      </c>
      <c r="P1303" s="177">
        <f t="shared" si="4607"/>
        <v>0</v>
      </c>
      <c r="Q1303" s="177">
        <f t="shared" si="4607"/>
        <v>0</v>
      </c>
      <c r="R1303" s="177">
        <f t="shared" si="4607"/>
        <v>0</v>
      </c>
      <c r="S1303" s="177">
        <f t="shared" si="4607"/>
        <v>0</v>
      </c>
      <c r="T1303" s="177">
        <f t="shared" si="4607"/>
        <v>0</v>
      </c>
      <c r="U1303" s="177">
        <f t="shared" si="4607"/>
        <v>0</v>
      </c>
      <c r="V1303" s="177">
        <f t="shared" si="4607"/>
        <v>0</v>
      </c>
      <c r="W1303" s="177">
        <f t="shared" si="4607"/>
        <v>0</v>
      </c>
      <c r="X1303" s="177">
        <f t="shared" si="4607"/>
        <v>0</v>
      </c>
      <c r="Y1303" s="177">
        <f t="shared" si="4607"/>
        <v>0</v>
      </c>
      <c r="Z1303" s="177">
        <f t="shared" si="4607"/>
        <v>0</v>
      </c>
      <c r="AA1303" s="177">
        <f t="shared" si="4607"/>
        <v>0</v>
      </c>
      <c r="AB1303" s="177">
        <f t="shared" si="4607"/>
        <v>0</v>
      </c>
      <c r="AC1303" s="177">
        <f t="shared" si="4607"/>
        <v>0</v>
      </c>
      <c r="AD1303" s="177">
        <f t="shared" si="4607"/>
        <v>0</v>
      </c>
      <c r="AE1303" s="177">
        <f t="shared" si="4607"/>
        <v>0</v>
      </c>
      <c r="AF1303" s="177">
        <f t="shared" si="4607"/>
        <v>0</v>
      </c>
      <c r="AG1303" s="177">
        <f t="shared" si="4607"/>
        <v>0</v>
      </c>
      <c r="AH1303" s="177">
        <f t="shared" si="4607"/>
        <v>0</v>
      </c>
      <c r="AI1303" s="177">
        <f t="shared" si="4607"/>
        <v>0</v>
      </c>
      <c r="AJ1303" s="177">
        <f t="shared" si="4607"/>
        <v>0</v>
      </c>
      <c r="AK1303" s="177">
        <f t="shared" si="4607"/>
        <v>0</v>
      </c>
      <c r="AL1303" s="177">
        <f t="shared" si="4607"/>
        <v>0</v>
      </c>
      <c r="AM1303" s="177">
        <f t="shared" ref="AM1303:BB1303" si="4608">AM1164</f>
        <v>0</v>
      </c>
      <c r="AN1303" s="177">
        <f t="shared" si="4608"/>
        <v>0</v>
      </c>
      <c r="AO1303" s="177">
        <f t="shared" si="4608"/>
        <v>0</v>
      </c>
      <c r="AP1303" s="177">
        <f t="shared" si="4608"/>
        <v>0</v>
      </c>
      <c r="AQ1303" s="177">
        <f t="shared" si="4608"/>
        <v>0</v>
      </c>
      <c r="AR1303" s="177">
        <f t="shared" si="4608"/>
        <v>0</v>
      </c>
      <c r="AS1303" s="177">
        <f t="shared" si="4608"/>
        <v>0</v>
      </c>
      <c r="AT1303" s="177">
        <f t="shared" si="4608"/>
        <v>0</v>
      </c>
      <c r="AU1303" s="177">
        <f t="shared" si="4608"/>
        <v>0</v>
      </c>
      <c r="AV1303" s="177">
        <f t="shared" si="4608"/>
        <v>0</v>
      </c>
      <c r="AW1303" s="177">
        <f t="shared" si="4608"/>
        <v>0</v>
      </c>
      <c r="AX1303" s="177">
        <f t="shared" si="4608"/>
        <v>0</v>
      </c>
      <c r="AY1303" s="177">
        <f t="shared" si="4608"/>
        <v>0</v>
      </c>
      <c r="AZ1303" s="177">
        <f t="shared" si="4608"/>
        <v>0</v>
      </c>
      <c r="BA1303" s="177">
        <f t="shared" si="4608"/>
        <v>0</v>
      </c>
      <c r="BB1303" s="177">
        <f t="shared" si="4608"/>
        <v>0</v>
      </c>
      <c r="BD1303" s="178">
        <f t="shared" si="4598"/>
        <v>0</v>
      </c>
    </row>
    <row r="1304" spans="1:56" hidden="1" outlineLevel="1" x14ac:dyDescent="0.3">
      <c r="A1304" s="169" t="str">
        <f ca="1">Language!A$1165</f>
        <v>НДС уплаченный по финансовой аренде</v>
      </c>
      <c r="C1304" s="194" t="str">
        <f t="shared" ca="1" si="4597"/>
        <v>руб.</v>
      </c>
      <c r="F1304" s="170" t="s">
        <v>740</v>
      </c>
      <c r="G1304" s="177">
        <f t="shared" ref="G1304:AL1304" si="4609">G1045</f>
        <v>0</v>
      </c>
      <c r="H1304" s="177">
        <f t="shared" si="4609"/>
        <v>0</v>
      </c>
      <c r="I1304" s="177">
        <f t="shared" si="4609"/>
        <v>0</v>
      </c>
      <c r="J1304" s="177">
        <f t="shared" si="4609"/>
        <v>0</v>
      </c>
      <c r="K1304" s="177">
        <f t="shared" si="4609"/>
        <v>0</v>
      </c>
      <c r="L1304" s="177">
        <f t="shared" si="4609"/>
        <v>0</v>
      </c>
      <c r="M1304" s="177">
        <f t="shared" si="4609"/>
        <v>0</v>
      </c>
      <c r="N1304" s="177">
        <f t="shared" si="4609"/>
        <v>0</v>
      </c>
      <c r="O1304" s="177">
        <f t="shared" si="4609"/>
        <v>0</v>
      </c>
      <c r="P1304" s="177">
        <f t="shared" si="4609"/>
        <v>0</v>
      </c>
      <c r="Q1304" s="177">
        <f t="shared" si="4609"/>
        <v>0</v>
      </c>
      <c r="R1304" s="177">
        <f t="shared" si="4609"/>
        <v>0</v>
      </c>
      <c r="S1304" s="177">
        <f t="shared" si="4609"/>
        <v>0</v>
      </c>
      <c r="T1304" s="177">
        <f t="shared" si="4609"/>
        <v>0</v>
      </c>
      <c r="U1304" s="177">
        <f t="shared" si="4609"/>
        <v>0</v>
      </c>
      <c r="V1304" s="177">
        <f t="shared" si="4609"/>
        <v>0</v>
      </c>
      <c r="W1304" s="177">
        <f t="shared" si="4609"/>
        <v>0</v>
      </c>
      <c r="X1304" s="177">
        <f t="shared" si="4609"/>
        <v>0</v>
      </c>
      <c r="Y1304" s="177">
        <f t="shared" si="4609"/>
        <v>0</v>
      </c>
      <c r="Z1304" s="177">
        <f t="shared" si="4609"/>
        <v>0</v>
      </c>
      <c r="AA1304" s="177">
        <f t="shared" si="4609"/>
        <v>0</v>
      </c>
      <c r="AB1304" s="177">
        <f t="shared" si="4609"/>
        <v>0</v>
      </c>
      <c r="AC1304" s="177">
        <f t="shared" si="4609"/>
        <v>0</v>
      </c>
      <c r="AD1304" s="177">
        <f t="shared" si="4609"/>
        <v>0</v>
      </c>
      <c r="AE1304" s="177">
        <f t="shared" si="4609"/>
        <v>0</v>
      </c>
      <c r="AF1304" s="177">
        <f t="shared" si="4609"/>
        <v>0</v>
      </c>
      <c r="AG1304" s="177">
        <f t="shared" si="4609"/>
        <v>0</v>
      </c>
      <c r="AH1304" s="177">
        <f t="shared" si="4609"/>
        <v>0</v>
      </c>
      <c r="AI1304" s="177">
        <f t="shared" si="4609"/>
        <v>0</v>
      </c>
      <c r="AJ1304" s="177">
        <f t="shared" si="4609"/>
        <v>0</v>
      </c>
      <c r="AK1304" s="177">
        <f t="shared" si="4609"/>
        <v>0</v>
      </c>
      <c r="AL1304" s="177">
        <f t="shared" si="4609"/>
        <v>0</v>
      </c>
      <c r="AM1304" s="177">
        <f t="shared" ref="AM1304:BB1304" si="4610">AM1045</f>
        <v>0</v>
      </c>
      <c r="AN1304" s="177">
        <f t="shared" si="4610"/>
        <v>0</v>
      </c>
      <c r="AO1304" s="177">
        <f t="shared" si="4610"/>
        <v>0</v>
      </c>
      <c r="AP1304" s="177">
        <f t="shared" si="4610"/>
        <v>0</v>
      </c>
      <c r="AQ1304" s="177">
        <f t="shared" si="4610"/>
        <v>0</v>
      </c>
      <c r="AR1304" s="177">
        <f t="shared" si="4610"/>
        <v>0</v>
      </c>
      <c r="AS1304" s="177">
        <f t="shared" si="4610"/>
        <v>0</v>
      </c>
      <c r="AT1304" s="177">
        <f t="shared" si="4610"/>
        <v>0</v>
      </c>
      <c r="AU1304" s="177">
        <f t="shared" si="4610"/>
        <v>0</v>
      </c>
      <c r="AV1304" s="177">
        <f t="shared" si="4610"/>
        <v>0</v>
      </c>
      <c r="AW1304" s="177">
        <f t="shared" si="4610"/>
        <v>0</v>
      </c>
      <c r="AX1304" s="177">
        <f t="shared" si="4610"/>
        <v>0</v>
      </c>
      <c r="AY1304" s="177">
        <f t="shared" si="4610"/>
        <v>0</v>
      </c>
      <c r="AZ1304" s="177">
        <f t="shared" si="4610"/>
        <v>0</v>
      </c>
      <c r="BA1304" s="177">
        <f t="shared" si="4610"/>
        <v>0</v>
      </c>
      <c r="BB1304" s="177">
        <f t="shared" si="4610"/>
        <v>0</v>
      </c>
      <c r="BD1304" s="178">
        <f t="shared" si="4598"/>
        <v>0</v>
      </c>
    </row>
    <row r="1305" spans="1:56" hidden="1" outlineLevel="1" x14ac:dyDescent="0.3">
      <c r="A1305" s="169" t="str">
        <f ca="1">Language!A$1166</f>
        <v>НДС уплаченный по инвестициям</v>
      </c>
      <c r="C1305" s="194" t="str">
        <f t="shared" ca="1" si="4597"/>
        <v>руб.</v>
      </c>
      <c r="F1305" s="170" t="s">
        <v>740</v>
      </c>
      <c r="G1305" s="177">
        <f t="shared" ref="G1305:AL1305" si="4611">G991+G993</f>
        <v>0</v>
      </c>
      <c r="H1305" s="177">
        <f t="shared" si="4611"/>
        <v>0</v>
      </c>
      <c r="I1305" s="177">
        <f t="shared" si="4611"/>
        <v>0</v>
      </c>
      <c r="J1305" s="177">
        <f t="shared" si="4611"/>
        <v>0</v>
      </c>
      <c r="K1305" s="177">
        <f t="shared" si="4611"/>
        <v>0</v>
      </c>
      <c r="L1305" s="177">
        <f t="shared" si="4611"/>
        <v>0</v>
      </c>
      <c r="M1305" s="177">
        <f t="shared" si="4611"/>
        <v>0</v>
      </c>
      <c r="N1305" s="177">
        <f t="shared" si="4611"/>
        <v>0</v>
      </c>
      <c r="O1305" s="177">
        <f t="shared" si="4611"/>
        <v>0</v>
      </c>
      <c r="P1305" s="177">
        <f t="shared" si="4611"/>
        <v>0</v>
      </c>
      <c r="Q1305" s="177">
        <f t="shared" si="4611"/>
        <v>0</v>
      </c>
      <c r="R1305" s="177">
        <f t="shared" si="4611"/>
        <v>0</v>
      </c>
      <c r="S1305" s="177">
        <f t="shared" si="4611"/>
        <v>0</v>
      </c>
      <c r="T1305" s="177">
        <f t="shared" si="4611"/>
        <v>0</v>
      </c>
      <c r="U1305" s="177">
        <f t="shared" si="4611"/>
        <v>0</v>
      </c>
      <c r="V1305" s="177">
        <f t="shared" si="4611"/>
        <v>0</v>
      </c>
      <c r="W1305" s="177">
        <f t="shared" si="4611"/>
        <v>0</v>
      </c>
      <c r="X1305" s="177">
        <f t="shared" si="4611"/>
        <v>0</v>
      </c>
      <c r="Y1305" s="177">
        <f t="shared" si="4611"/>
        <v>0</v>
      </c>
      <c r="Z1305" s="177">
        <f t="shared" si="4611"/>
        <v>0</v>
      </c>
      <c r="AA1305" s="177">
        <f t="shared" si="4611"/>
        <v>0</v>
      </c>
      <c r="AB1305" s="177">
        <f t="shared" si="4611"/>
        <v>0</v>
      </c>
      <c r="AC1305" s="177">
        <f t="shared" si="4611"/>
        <v>0</v>
      </c>
      <c r="AD1305" s="177">
        <f t="shared" si="4611"/>
        <v>0</v>
      </c>
      <c r="AE1305" s="177">
        <f t="shared" si="4611"/>
        <v>0</v>
      </c>
      <c r="AF1305" s="177">
        <f t="shared" si="4611"/>
        <v>0</v>
      </c>
      <c r="AG1305" s="177">
        <f t="shared" si="4611"/>
        <v>0</v>
      </c>
      <c r="AH1305" s="177">
        <f t="shared" si="4611"/>
        <v>0</v>
      </c>
      <c r="AI1305" s="177">
        <f t="shared" si="4611"/>
        <v>0</v>
      </c>
      <c r="AJ1305" s="177">
        <f t="shared" si="4611"/>
        <v>0</v>
      </c>
      <c r="AK1305" s="177">
        <f t="shared" si="4611"/>
        <v>0</v>
      </c>
      <c r="AL1305" s="177">
        <f t="shared" si="4611"/>
        <v>0</v>
      </c>
      <c r="AM1305" s="177">
        <f t="shared" ref="AM1305:BB1305" si="4612">AM991+AM993</f>
        <v>0</v>
      </c>
      <c r="AN1305" s="177">
        <f t="shared" si="4612"/>
        <v>0</v>
      </c>
      <c r="AO1305" s="177">
        <f t="shared" si="4612"/>
        <v>0</v>
      </c>
      <c r="AP1305" s="177">
        <f t="shared" si="4612"/>
        <v>0</v>
      </c>
      <c r="AQ1305" s="177">
        <f t="shared" si="4612"/>
        <v>0</v>
      </c>
      <c r="AR1305" s="177">
        <f t="shared" si="4612"/>
        <v>0</v>
      </c>
      <c r="AS1305" s="177">
        <f t="shared" si="4612"/>
        <v>0</v>
      </c>
      <c r="AT1305" s="177">
        <f t="shared" si="4612"/>
        <v>0</v>
      </c>
      <c r="AU1305" s="177">
        <f t="shared" si="4612"/>
        <v>0</v>
      </c>
      <c r="AV1305" s="177">
        <f t="shared" si="4612"/>
        <v>0</v>
      </c>
      <c r="AW1305" s="177">
        <f t="shared" si="4612"/>
        <v>0</v>
      </c>
      <c r="AX1305" s="177">
        <f t="shared" si="4612"/>
        <v>0</v>
      </c>
      <c r="AY1305" s="177">
        <f t="shared" si="4612"/>
        <v>0</v>
      </c>
      <c r="AZ1305" s="177">
        <f t="shared" si="4612"/>
        <v>0</v>
      </c>
      <c r="BA1305" s="177">
        <f t="shared" si="4612"/>
        <v>0</v>
      </c>
      <c r="BB1305" s="177">
        <f t="shared" si="4612"/>
        <v>0</v>
      </c>
      <c r="BD1305" s="178">
        <f t="shared" si="4598"/>
        <v>0</v>
      </c>
    </row>
    <row r="1306" spans="1:56" hidden="1" outlineLevel="1" x14ac:dyDescent="0.3">
      <c r="A1306" s="169" t="str">
        <f ca="1">Language!A$1167</f>
        <v>НДС зачтенный по финансовой аренде</v>
      </c>
      <c r="C1306" s="194" t="str">
        <f t="shared" ca="1" si="4597"/>
        <v>руб.</v>
      </c>
      <c r="F1306" s="170" t="s">
        <v>740</v>
      </c>
      <c r="G1306" s="177">
        <f t="shared" ref="G1306:AL1306" si="4613">G1047</f>
        <v>0</v>
      </c>
      <c r="H1306" s="177">
        <f t="shared" si="4613"/>
        <v>0</v>
      </c>
      <c r="I1306" s="177">
        <f t="shared" si="4613"/>
        <v>0</v>
      </c>
      <c r="J1306" s="177">
        <f t="shared" si="4613"/>
        <v>0</v>
      </c>
      <c r="K1306" s="177">
        <f t="shared" si="4613"/>
        <v>0</v>
      </c>
      <c r="L1306" s="177">
        <f t="shared" si="4613"/>
        <v>0</v>
      </c>
      <c r="M1306" s="177">
        <f t="shared" si="4613"/>
        <v>0</v>
      </c>
      <c r="N1306" s="177">
        <f t="shared" si="4613"/>
        <v>0</v>
      </c>
      <c r="O1306" s="177">
        <f t="shared" si="4613"/>
        <v>0</v>
      </c>
      <c r="P1306" s="177">
        <f t="shared" si="4613"/>
        <v>0</v>
      </c>
      <c r="Q1306" s="177">
        <f t="shared" si="4613"/>
        <v>0</v>
      </c>
      <c r="R1306" s="177">
        <f t="shared" si="4613"/>
        <v>0</v>
      </c>
      <c r="S1306" s="177">
        <f t="shared" si="4613"/>
        <v>0</v>
      </c>
      <c r="T1306" s="177">
        <f t="shared" si="4613"/>
        <v>0</v>
      </c>
      <c r="U1306" s="177">
        <f t="shared" si="4613"/>
        <v>0</v>
      </c>
      <c r="V1306" s="177">
        <f t="shared" si="4613"/>
        <v>0</v>
      </c>
      <c r="W1306" s="177">
        <f t="shared" si="4613"/>
        <v>0</v>
      </c>
      <c r="X1306" s="177">
        <f t="shared" si="4613"/>
        <v>0</v>
      </c>
      <c r="Y1306" s="177">
        <f t="shared" si="4613"/>
        <v>0</v>
      </c>
      <c r="Z1306" s="177">
        <f t="shared" si="4613"/>
        <v>0</v>
      </c>
      <c r="AA1306" s="177">
        <f t="shared" si="4613"/>
        <v>0</v>
      </c>
      <c r="AB1306" s="177">
        <f t="shared" si="4613"/>
        <v>0</v>
      </c>
      <c r="AC1306" s="177">
        <f t="shared" si="4613"/>
        <v>0</v>
      </c>
      <c r="AD1306" s="177">
        <f t="shared" si="4613"/>
        <v>0</v>
      </c>
      <c r="AE1306" s="177">
        <f t="shared" si="4613"/>
        <v>0</v>
      </c>
      <c r="AF1306" s="177">
        <f t="shared" si="4613"/>
        <v>0</v>
      </c>
      <c r="AG1306" s="177">
        <f t="shared" si="4613"/>
        <v>0</v>
      </c>
      <c r="AH1306" s="177">
        <f t="shared" si="4613"/>
        <v>0</v>
      </c>
      <c r="AI1306" s="177">
        <f t="shared" si="4613"/>
        <v>0</v>
      </c>
      <c r="AJ1306" s="177">
        <f t="shared" si="4613"/>
        <v>0</v>
      </c>
      <c r="AK1306" s="177">
        <f t="shared" si="4613"/>
        <v>0</v>
      </c>
      <c r="AL1306" s="177">
        <f t="shared" si="4613"/>
        <v>0</v>
      </c>
      <c r="AM1306" s="177">
        <f t="shared" ref="AM1306:BB1306" si="4614">AM1047</f>
        <v>0</v>
      </c>
      <c r="AN1306" s="177">
        <f t="shared" si="4614"/>
        <v>0</v>
      </c>
      <c r="AO1306" s="177">
        <f t="shared" si="4614"/>
        <v>0</v>
      </c>
      <c r="AP1306" s="177">
        <f t="shared" si="4614"/>
        <v>0</v>
      </c>
      <c r="AQ1306" s="177">
        <f t="shared" si="4614"/>
        <v>0</v>
      </c>
      <c r="AR1306" s="177">
        <f t="shared" si="4614"/>
        <v>0</v>
      </c>
      <c r="AS1306" s="177">
        <f t="shared" si="4614"/>
        <v>0</v>
      </c>
      <c r="AT1306" s="177">
        <f t="shared" si="4614"/>
        <v>0</v>
      </c>
      <c r="AU1306" s="177">
        <f t="shared" si="4614"/>
        <v>0</v>
      </c>
      <c r="AV1306" s="177">
        <f t="shared" si="4614"/>
        <v>0</v>
      </c>
      <c r="AW1306" s="177">
        <f t="shared" si="4614"/>
        <v>0</v>
      </c>
      <c r="AX1306" s="177">
        <f t="shared" si="4614"/>
        <v>0</v>
      </c>
      <c r="AY1306" s="177">
        <f t="shared" si="4614"/>
        <v>0</v>
      </c>
      <c r="AZ1306" s="177">
        <f t="shared" si="4614"/>
        <v>0</v>
      </c>
      <c r="BA1306" s="177">
        <f t="shared" si="4614"/>
        <v>0</v>
      </c>
      <c r="BB1306" s="177">
        <f t="shared" si="4614"/>
        <v>0</v>
      </c>
      <c r="BD1306" s="178">
        <f t="shared" si="4598"/>
        <v>0</v>
      </c>
    </row>
    <row r="1307" spans="1:56" hidden="1" outlineLevel="1" x14ac:dyDescent="0.3">
      <c r="A1307" s="169" t="str">
        <f ca="1">Language!A$1168</f>
        <v>НДС зачтенный по инвестициям</v>
      </c>
      <c r="C1307" s="194" t="str">
        <f t="shared" ca="1" si="4597"/>
        <v>руб.</v>
      </c>
      <c r="F1307" s="170" t="s">
        <v>740</v>
      </c>
      <c r="G1307" s="177">
        <f t="shared" ref="G1307:AL1307" si="4615">G956+G971+G985</f>
        <v>0</v>
      </c>
      <c r="H1307" s="177">
        <f t="shared" si="4615"/>
        <v>0</v>
      </c>
      <c r="I1307" s="177">
        <f t="shared" si="4615"/>
        <v>0</v>
      </c>
      <c r="J1307" s="177">
        <f t="shared" si="4615"/>
        <v>0</v>
      </c>
      <c r="K1307" s="177">
        <f t="shared" si="4615"/>
        <v>0</v>
      </c>
      <c r="L1307" s="177">
        <f t="shared" si="4615"/>
        <v>0</v>
      </c>
      <c r="M1307" s="177">
        <f t="shared" si="4615"/>
        <v>0</v>
      </c>
      <c r="N1307" s="177">
        <f t="shared" si="4615"/>
        <v>0</v>
      </c>
      <c r="O1307" s="177">
        <f t="shared" si="4615"/>
        <v>0</v>
      </c>
      <c r="P1307" s="177">
        <f t="shared" si="4615"/>
        <v>0</v>
      </c>
      <c r="Q1307" s="177">
        <f t="shared" si="4615"/>
        <v>0</v>
      </c>
      <c r="R1307" s="177">
        <f t="shared" si="4615"/>
        <v>0</v>
      </c>
      <c r="S1307" s="177">
        <f t="shared" si="4615"/>
        <v>0</v>
      </c>
      <c r="T1307" s="177">
        <f t="shared" si="4615"/>
        <v>0</v>
      </c>
      <c r="U1307" s="177">
        <f t="shared" si="4615"/>
        <v>0</v>
      </c>
      <c r="V1307" s="177">
        <f t="shared" si="4615"/>
        <v>0</v>
      </c>
      <c r="W1307" s="177">
        <f t="shared" si="4615"/>
        <v>0</v>
      </c>
      <c r="X1307" s="177">
        <f t="shared" si="4615"/>
        <v>0</v>
      </c>
      <c r="Y1307" s="177">
        <f t="shared" si="4615"/>
        <v>0</v>
      </c>
      <c r="Z1307" s="177">
        <f t="shared" si="4615"/>
        <v>0</v>
      </c>
      <c r="AA1307" s="177">
        <f t="shared" si="4615"/>
        <v>0</v>
      </c>
      <c r="AB1307" s="177">
        <f t="shared" si="4615"/>
        <v>0</v>
      </c>
      <c r="AC1307" s="177">
        <f t="shared" si="4615"/>
        <v>0</v>
      </c>
      <c r="AD1307" s="177">
        <f t="shared" si="4615"/>
        <v>0</v>
      </c>
      <c r="AE1307" s="177">
        <f t="shared" si="4615"/>
        <v>0</v>
      </c>
      <c r="AF1307" s="177">
        <f t="shared" si="4615"/>
        <v>0</v>
      </c>
      <c r="AG1307" s="177">
        <f t="shared" si="4615"/>
        <v>0</v>
      </c>
      <c r="AH1307" s="177">
        <f t="shared" si="4615"/>
        <v>0</v>
      </c>
      <c r="AI1307" s="177">
        <f t="shared" si="4615"/>
        <v>0</v>
      </c>
      <c r="AJ1307" s="177">
        <f t="shared" si="4615"/>
        <v>0</v>
      </c>
      <c r="AK1307" s="177">
        <f t="shared" si="4615"/>
        <v>0</v>
      </c>
      <c r="AL1307" s="177">
        <f t="shared" si="4615"/>
        <v>0</v>
      </c>
      <c r="AM1307" s="177">
        <f t="shared" ref="AM1307:BB1307" si="4616">AM956+AM971+AM985</f>
        <v>0</v>
      </c>
      <c r="AN1307" s="177">
        <f t="shared" si="4616"/>
        <v>0</v>
      </c>
      <c r="AO1307" s="177">
        <f t="shared" si="4616"/>
        <v>0</v>
      </c>
      <c r="AP1307" s="177">
        <f t="shared" si="4616"/>
        <v>0</v>
      </c>
      <c r="AQ1307" s="177">
        <f t="shared" si="4616"/>
        <v>0</v>
      </c>
      <c r="AR1307" s="177">
        <f t="shared" si="4616"/>
        <v>0</v>
      </c>
      <c r="AS1307" s="177">
        <f t="shared" si="4616"/>
        <v>0</v>
      </c>
      <c r="AT1307" s="177">
        <f t="shared" si="4616"/>
        <v>0</v>
      </c>
      <c r="AU1307" s="177">
        <f t="shared" si="4616"/>
        <v>0</v>
      </c>
      <c r="AV1307" s="177">
        <f t="shared" si="4616"/>
        <v>0</v>
      </c>
      <c r="AW1307" s="177">
        <f t="shared" si="4616"/>
        <v>0</v>
      </c>
      <c r="AX1307" s="177">
        <f t="shared" si="4616"/>
        <v>0</v>
      </c>
      <c r="AY1307" s="177">
        <f t="shared" si="4616"/>
        <v>0</v>
      </c>
      <c r="AZ1307" s="177">
        <f t="shared" si="4616"/>
        <v>0</v>
      </c>
      <c r="BA1307" s="177">
        <f t="shared" si="4616"/>
        <v>0</v>
      </c>
      <c r="BB1307" s="177">
        <f t="shared" si="4616"/>
        <v>0</v>
      </c>
      <c r="BD1307" s="178">
        <f t="shared" si="4598"/>
        <v>0</v>
      </c>
    </row>
    <row r="1308" spans="1:56" hidden="1" outlineLevel="1" x14ac:dyDescent="0.3">
      <c r="A1308" s="169" t="str">
        <f ca="1">Language!A$1169</f>
        <v>Зачет НДС из активов стартового баланса</v>
      </c>
      <c r="B1308" s="179">
        <f>Старт!B12</f>
        <v>0</v>
      </c>
      <c r="C1308" s="194" t="str">
        <f t="shared" ca="1" si="4597"/>
        <v>руб.</v>
      </c>
      <c r="F1308" s="170" t="s">
        <v>2353</v>
      </c>
      <c r="G1308" s="307">
        <v>0</v>
      </c>
      <c r="H1308" s="307">
        <v>0</v>
      </c>
      <c r="I1308" s="307">
        <v>0</v>
      </c>
      <c r="J1308" s="307">
        <v>0</v>
      </c>
      <c r="K1308" s="307">
        <v>0</v>
      </c>
      <c r="L1308" s="307">
        <v>0</v>
      </c>
      <c r="M1308" s="307">
        <v>0</v>
      </c>
      <c r="N1308" s="307">
        <v>0</v>
      </c>
      <c r="O1308" s="307">
        <v>0</v>
      </c>
      <c r="P1308" s="307">
        <v>0</v>
      </c>
      <c r="Q1308" s="307">
        <v>0</v>
      </c>
      <c r="R1308" s="307">
        <v>0</v>
      </c>
      <c r="S1308" s="307">
        <v>0</v>
      </c>
      <c r="T1308" s="307">
        <v>0</v>
      </c>
      <c r="U1308" s="307">
        <v>0</v>
      </c>
      <c r="V1308" s="307">
        <v>0</v>
      </c>
      <c r="W1308" s="307">
        <v>0</v>
      </c>
      <c r="X1308" s="307">
        <v>0</v>
      </c>
      <c r="Y1308" s="307">
        <v>0</v>
      </c>
      <c r="Z1308" s="307">
        <v>0</v>
      </c>
      <c r="AA1308" s="307">
        <v>0</v>
      </c>
      <c r="AB1308" s="307">
        <v>0</v>
      </c>
      <c r="AC1308" s="307">
        <v>0</v>
      </c>
      <c r="AD1308" s="307">
        <v>0</v>
      </c>
      <c r="AE1308" s="307">
        <v>0</v>
      </c>
      <c r="AF1308" s="307">
        <v>0</v>
      </c>
      <c r="AG1308" s="307">
        <v>0</v>
      </c>
      <c r="AH1308" s="307">
        <v>0</v>
      </c>
      <c r="AI1308" s="307">
        <v>0</v>
      </c>
      <c r="AJ1308" s="307">
        <v>0</v>
      </c>
      <c r="AK1308" s="307">
        <v>0</v>
      </c>
      <c r="AL1308" s="307">
        <v>0</v>
      </c>
      <c r="AM1308" s="307">
        <v>0</v>
      </c>
      <c r="AN1308" s="307">
        <v>0</v>
      </c>
      <c r="AO1308" s="307">
        <v>0</v>
      </c>
      <c r="AP1308" s="307">
        <v>0</v>
      </c>
      <c r="AQ1308" s="307">
        <v>0</v>
      </c>
      <c r="AR1308" s="307">
        <v>0</v>
      </c>
      <c r="AS1308" s="307">
        <v>0</v>
      </c>
      <c r="AT1308" s="307">
        <v>0</v>
      </c>
      <c r="AU1308" s="307">
        <v>0</v>
      </c>
      <c r="AV1308" s="307">
        <v>0</v>
      </c>
      <c r="AW1308" s="307">
        <v>0</v>
      </c>
      <c r="AX1308" s="307">
        <v>0</v>
      </c>
      <c r="AY1308" s="307">
        <v>0</v>
      </c>
      <c r="AZ1308" s="307">
        <v>0</v>
      </c>
      <c r="BA1308" s="307">
        <v>0</v>
      </c>
      <c r="BB1308" s="307">
        <v>0</v>
      </c>
      <c r="BD1308" s="178">
        <f t="shared" si="4598"/>
        <v>0</v>
      </c>
    </row>
    <row r="1309" spans="1:56" hidden="1" outlineLevel="1" x14ac:dyDescent="0.3">
      <c r="A1309" s="169" t="str">
        <f ca="1">Language!A$1170</f>
        <v>Итого, баланс расчетов по НДС</v>
      </c>
      <c r="C1309" s="194" t="str">
        <f t="shared" ca="1" si="4597"/>
        <v>руб.</v>
      </c>
      <c r="F1309" s="170" t="s">
        <v>740</v>
      </c>
      <c r="G1309" s="177">
        <f ca="1">G1298+G1299+G1300-G1301-G1302-G1303-G1306-G1307-G1308</f>
        <v>0</v>
      </c>
      <c r="H1309" s="177">
        <f t="shared" ref="H1309:K1309" ca="1" si="4617">H1298+H1299+H1300-H1301-H1302-H1303-H1306-H1307-H1308</f>
        <v>0</v>
      </c>
      <c r="I1309" s="177">
        <f t="shared" ca="1" si="4617"/>
        <v>0</v>
      </c>
      <c r="J1309" s="177">
        <f t="shared" ca="1" si="4617"/>
        <v>0</v>
      </c>
      <c r="K1309" s="177">
        <f t="shared" ca="1" si="4617"/>
        <v>0</v>
      </c>
      <c r="L1309" s="177">
        <f t="shared" ref="L1309:M1309" ca="1" si="4618">L1298+L1299+L1300-L1301-L1302-L1303-L1306-L1307-L1308</f>
        <v>0</v>
      </c>
      <c r="M1309" s="177">
        <f t="shared" ca="1" si="4618"/>
        <v>0</v>
      </c>
      <c r="N1309" s="177">
        <f t="shared" ref="N1309:O1309" ca="1" si="4619">N1298+N1299+N1300-N1301-N1302-N1303-N1306-N1307-N1308</f>
        <v>0</v>
      </c>
      <c r="O1309" s="177">
        <f t="shared" ca="1" si="4619"/>
        <v>0</v>
      </c>
      <c r="P1309" s="177">
        <f t="shared" ref="P1309:Q1309" ca="1" si="4620">P1298+P1299+P1300-P1301-P1302-P1303-P1306-P1307-P1308</f>
        <v>0</v>
      </c>
      <c r="Q1309" s="177">
        <f t="shared" ca="1" si="4620"/>
        <v>0</v>
      </c>
      <c r="R1309" s="177">
        <f t="shared" ref="R1309:S1309" ca="1" si="4621">R1298+R1299+R1300-R1301-R1302-R1303-R1306-R1307-R1308</f>
        <v>0</v>
      </c>
      <c r="S1309" s="177">
        <f t="shared" ca="1" si="4621"/>
        <v>0</v>
      </c>
      <c r="T1309" s="177">
        <f t="shared" ref="T1309:U1309" ca="1" si="4622">T1298+T1299+T1300-T1301-T1302-T1303-T1306-T1307-T1308</f>
        <v>0</v>
      </c>
      <c r="U1309" s="177">
        <f t="shared" ca="1" si="4622"/>
        <v>0</v>
      </c>
      <c r="V1309" s="177">
        <f t="shared" ref="V1309:W1309" ca="1" si="4623">V1298+V1299+V1300-V1301-V1302-V1303-V1306-V1307-V1308</f>
        <v>0</v>
      </c>
      <c r="W1309" s="177">
        <f t="shared" ca="1" si="4623"/>
        <v>0</v>
      </c>
      <c r="X1309" s="177">
        <f t="shared" ref="X1309:Y1309" ca="1" si="4624">X1298+X1299+X1300-X1301-X1302-X1303-X1306-X1307-X1308</f>
        <v>0</v>
      </c>
      <c r="Y1309" s="177">
        <f t="shared" ca="1" si="4624"/>
        <v>0</v>
      </c>
      <c r="Z1309" s="177">
        <f t="shared" ref="Z1309:AA1309" ca="1" si="4625">Z1298+Z1299+Z1300-Z1301-Z1302-Z1303-Z1306-Z1307-Z1308</f>
        <v>0</v>
      </c>
      <c r="AA1309" s="177">
        <f t="shared" ca="1" si="4625"/>
        <v>0</v>
      </c>
      <c r="AB1309" s="177">
        <f t="shared" ref="AB1309:AC1309" ca="1" si="4626">AB1298+AB1299+AB1300-AB1301-AB1302-AB1303-AB1306-AB1307-AB1308</f>
        <v>0</v>
      </c>
      <c r="AC1309" s="177">
        <f t="shared" ca="1" si="4626"/>
        <v>0</v>
      </c>
      <c r="AD1309" s="177">
        <f t="shared" ref="AD1309:AE1309" ca="1" si="4627">AD1298+AD1299+AD1300-AD1301-AD1302-AD1303-AD1306-AD1307-AD1308</f>
        <v>0</v>
      </c>
      <c r="AE1309" s="177">
        <f t="shared" ca="1" si="4627"/>
        <v>0</v>
      </c>
      <c r="AF1309" s="177">
        <f t="shared" ref="AF1309:AG1309" ca="1" si="4628">AF1298+AF1299+AF1300-AF1301-AF1302-AF1303-AF1306-AF1307-AF1308</f>
        <v>0</v>
      </c>
      <c r="AG1309" s="177">
        <f t="shared" ca="1" si="4628"/>
        <v>0</v>
      </c>
      <c r="AH1309" s="177">
        <f t="shared" ref="AH1309:AI1309" ca="1" si="4629">AH1298+AH1299+AH1300-AH1301-AH1302-AH1303-AH1306-AH1307-AH1308</f>
        <v>0</v>
      </c>
      <c r="AI1309" s="177">
        <f t="shared" ca="1" si="4629"/>
        <v>0</v>
      </c>
      <c r="AJ1309" s="177">
        <f t="shared" ref="AJ1309:AK1309" ca="1" si="4630">AJ1298+AJ1299+AJ1300-AJ1301-AJ1302-AJ1303-AJ1306-AJ1307-AJ1308</f>
        <v>0</v>
      </c>
      <c r="AK1309" s="177">
        <f t="shared" ca="1" si="4630"/>
        <v>0</v>
      </c>
      <c r="AL1309" s="177">
        <f t="shared" ref="AL1309:AM1309" ca="1" si="4631">AL1298+AL1299+AL1300-AL1301-AL1302-AL1303-AL1306-AL1307-AL1308</f>
        <v>0</v>
      </c>
      <c r="AM1309" s="177">
        <f t="shared" ca="1" si="4631"/>
        <v>0</v>
      </c>
      <c r="AN1309" s="177">
        <f t="shared" ref="AN1309:AO1309" ca="1" si="4632">AN1298+AN1299+AN1300-AN1301-AN1302-AN1303-AN1306-AN1307-AN1308</f>
        <v>0</v>
      </c>
      <c r="AO1309" s="177">
        <f t="shared" ca="1" si="4632"/>
        <v>0</v>
      </c>
      <c r="AP1309" s="177">
        <f t="shared" ref="AP1309:AQ1309" ca="1" si="4633">AP1298+AP1299+AP1300-AP1301-AP1302-AP1303-AP1306-AP1307-AP1308</f>
        <v>0</v>
      </c>
      <c r="AQ1309" s="177">
        <f t="shared" ca="1" si="4633"/>
        <v>0</v>
      </c>
      <c r="AR1309" s="177">
        <f t="shared" ref="AR1309:AS1309" ca="1" si="4634">AR1298+AR1299+AR1300-AR1301-AR1302-AR1303-AR1306-AR1307-AR1308</f>
        <v>0</v>
      </c>
      <c r="AS1309" s="177">
        <f t="shared" ca="1" si="4634"/>
        <v>0</v>
      </c>
      <c r="AT1309" s="177">
        <f t="shared" ref="AT1309:AU1309" ca="1" si="4635">AT1298+AT1299+AT1300-AT1301-AT1302-AT1303-AT1306-AT1307-AT1308</f>
        <v>0</v>
      </c>
      <c r="AU1309" s="177">
        <f t="shared" ca="1" si="4635"/>
        <v>0</v>
      </c>
      <c r="AV1309" s="177">
        <f t="shared" ref="AV1309:AW1309" ca="1" si="4636">AV1298+AV1299+AV1300-AV1301-AV1302-AV1303-AV1306-AV1307-AV1308</f>
        <v>0</v>
      </c>
      <c r="AW1309" s="177">
        <f t="shared" ca="1" si="4636"/>
        <v>0</v>
      </c>
      <c r="AX1309" s="177">
        <f t="shared" ref="AX1309:AY1309" ca="1" si="4637">AX1298+AX1299+AX1300-AX1301-AX1302-AX1303-AX1306-AX1307-AX1308</f>
        <v>0</v>
      </c>
      <c r="AY1309" s="177">
        <f t="shared" ca="1" si="4637"/>
        <v>0</v>
      </c>
      <c r="AZ1309" s="177">
        <f t="shared" ref="AZ1309:BA1309" ca="1" si="4638">AZ1298+AZ1299+AZ1300-AZ1301-AZ1302-AZ1303-AZ1306-AZ1307-AZ1308</f>
        <v>0</v>
      </c>
      <c r="BA1309" s="177">
        <f t="shared" ca="1" si="4638"/>
        <v>0</v>
      </c>
      <c r="BB1309" s="177">
        <f t="shared" ref="BB1309" ca="1" si="4639">BB1298+BB1299+BB1300-BB1301-BB1302-BB1303-BB1306-BB1307-BB1308</f>
        <v>0</v>
      </c>
      <c r="BD1309" s="178">
        <f t="shared" ca="1" si="4598"/>
        <v>0</v>
      </c>
    </row>
    <row r="1310" spans="1:56" hidden="1" outlineLevel="1" x14ac:dyDescent="0.3">
      <c r="A1310" s="169" t="str">
        <f ca="1">Language!A$1171</f>
        <v>НДС как актив по инвестициям</v>
      </c>
      <c r="C1310" s="194" t="str">
        <f t="shared" ca="1" si="4597"/>
        <v>руб.</v>
      </c>
      <c r="F1310" s="170" t="s">
        <v>741</v>
      </c>
      <c r="G1310" s="177">
        <f>SUM($G1305:G1305)-SUM($G1307:G1307)+SUM($G1304:G1304)-SUM($G1306:G1306)+$B1308-SUM($G1308:G1308)+G996</f>
        <v>0</v>
      </c>
      <c r="H1310" s="177">
        <f>SUM($G1305:H1305)-SUM($G1307:H1307)+SUM($G1304:H1304)-SUM($G1306:H1306)+$B1308-SUM($G1308:H1308)+H996</f>
        <v>0</v>
      </c>
      <c r="I1310" s="177">
        <f>SUM($G1305:I1305)-SUM($G1307:I1307)+SUM($G1304:I1304)-SUM($G1306:I1306)+$B1308-SUM($G1308:I1308)+I996</f>
        <v>0</v>
      </c>
      <c r="J1310" s="177">
        <f>SUM($G1305:J1305)-SUM($G1307:J1307)+SUM($G1304:J1304)-SUM($G1306:J1306)+$B1308-SUM($G1308:J1308)+J996</f>
        <v>0</v>
      </c>
      <c r="K1310" s="177">
        <f>SUM($G1305:K1305)-SUM($G1307:K1307)+SUM($G1304:K1304)-SUM($G1306:K1306)+$B1308-SUM($G1308:K1308)+K996</f>
        <v>0</v>
      </c>
      <c r="L1310" s="177">
        <f>SUM($G1305:L1305)-SUM($G1307:L1307)+SUM($G1304:L1304)-SUM($G1306:L1306)+$B1308-SUM($G1308:L1308)+L996</f>
        <v>0</v>
      </c>
      <c r="M1310" s="177">
        <f>SUM($G1305:M1305)-SUM($G1307:M1307)+SUM($G1304:M1304)-SUM($G1306:M1306)+$B1308-SUM($G1308:M1308)+M996</f>
        <v>0</v>
      </c>
      <c r="N1310" s="177">
        <f>SUM($G1305:N1305)-SUM($G1307:N1307)+SUM($G1304:N1304)-SUM($G1306:N1306)+$B1308-SUM($G1308:N1308)+N996</f>
        <v>0</v>
      </c>
      <c r="O1310" s="177">
        <f>SUM($G1305:O1305)-SUM($G1307:O1307)+SUM($G1304:O1304)-SUM($G1306:O1306)+$B1308-SUM($G1308:O1308)+O996</f>
        <v>0</v>
      </c>
      <c r="P1310" s="177">
        <f>SUM($G1305:P1305)-SUM($G1307:P1307)+SUM($G1304:P1304)-SUM($G1306:P1306)+$B1308-SUM($G1308:P1308)+P996</f>
        <v>0</v>
      </c>
      <c r="Q1310" s="177">
        <f>SUM($G1305:Q1305)-SUM($G1307:Q1307)+SUM($G1304:Q1304)-SUM($G1306:Q1306)+$B1308-SUM($G1308:Q1308)+Q996</f>
        <v>0</v>
      </c>
      <c r="R1310" s="177">
        <f>SUM($G1305:R1305)-SUM($G1307:R1307)+SUM($G1304:R1304)-SUM($G1306:R1306)+$B1308-SUM($G1308:R1308)+R996</f>
        <v>0</v>
      </c>
      <c r="S1310" s="177">
        <f>SUM($G1305:S1305)-SUM($G1307:S1307)+SUM($G1304:S1304)-SUM($G1306:S1306)+$B1308-SUM($G1308:S1308)+S996</f>
        <v>0</v>
      </c>
      <c r="T1310" s="177">
        <f>SUM($G1305:T1305)-SUM($G1307:T1307)+SUM($G1304:T1304)-SUM($G1306:T1306)+$B1308-SUM($G1308:T1308)+T996</f>
        <v>0</v>
      </c>
      <c r="U1310" s="177">
        <f>SUM($G1305:U1305)-SUM($G1307:U1307)+SUM($G1304:U1304)-SUM($G1306:U1306)+$B1308-SUM($G1308:U1308)+U996</f>
        <v>0</v>
      </c>
      <c r="V1310" s="177">
        <f>SUM($G1305:V1305)-SUM($G1307:V1307)+SUM($G1304:V1304)-SUM($G1306:V1306)+$B1308-SUM($G1308:V1308)+V996</f>
        <v>0</v>
      </c>
      <c r="W1310" s="177">
        <f>SUM($G1305:W1305)-SUM($G1307:W1307)+SUM($G1304:W1304)-SUM($G1306:W1306)+$B1308-SUM($G1308:W1308)+W996</f>
        <v>0</v>
      </c>
      <c r="X1310" s="177">
        <f>SUM($G1305:X1305)-SUM($G1307:X1307)+SUM($G1304:X1304)-SUM($G1306:X1306)+$B1308-SUM($G1308:X1308)+X996</f>
        <v>0</v>
      </c>
      <c r="Y1310" s="177">
        <f>SUM($G1305:Y1305)-SUM($G1307:Y1307)+SUM($G1304:Y1304)-SUM($G1306:Y1306)+$B1308-SUM($G1308:Y1308)+Y996</f>
        <v>0</v>
      </c>
      <c r="Z1310" s="177">
        <f>SUM($G1305:Z1305)-SUM($G1307:Z1307)+SUM($G1304:Z1304)-SUM($G1306:Z1306)+$B1308-SUM($G1308:Z1308)+Z996</f>
        <v>0</v>
      </c>
      <c r="AA1310" s="177">
        <f>SUM($G1305:AA1305)-SUM($G1307:AA1307)+SUM($G1304:AA1304)-SUM($G1306:AA1306)+$B1308-SUM($G1308:AA1308)+AA996</f>
        <v>0</v>
      </c>
      <c r="AB1310" s="177">
        <f>SUM($G1305:AB1305)-SUM($G1307:AB1307)+SUM($G1304:AB1304)-SUM($G1306:AB1306)+$B1308-SUM($G1308:AB1308)+AB996</f>
        <v>0</v>
      </c>
      <c r="AC1310" s="177">
        <f>SUM($G1305:AC1305)-SUM($G1307:AC1307)+SUM($G1304:AC1304)-SUM($G1306:AC1306)+$B1308-SUM($G1308:AC1308)+AC996</f>
        <v>0</v>
      </c>
      <c r="AD1310" s="177">
        <f>SUM($G1305:AD1305)-SUM($G1307:AD1307)+SUM($G1304:AD1304)-SUM($G1306:AD1306)+$B1308-SUM($G1308:AD1308)+AD996</f>
        <v>0</v>
      </c>
      <c r="AE1310" s="177">
        <f>SUM($G1305:AE1305)-SUM($G1307:AE1307)+SUM($G1304:AE1304)-SUM($G1306:AE1306)+$B1308-SUM($G1308:AE1308)+AE996</f>
        <v>0</v>
      </c>
      <c r="AF1310" s="177">
        <f>SUM($G1305:AF1305)-SUM($G1307:AF1307)+SUM($G1304:AF1304)-SUM($G1306:AF1306)+$B1308-SUM($G1308:AF1308)+AF996</f>
        <v>0</v>
      </c>
      <c r="AG1310" s="177">
        <f>SUM($G1305:AG1305)-SUM($G1307:AG1307)+SUM($G1304:AG1304)-SUM($G1306:AG1306)+$B1308-SUM($G1308:AG1308)+AG996</f>
        <v>0</v>
      </c>
      <c r="AH1310" s="177">
        <f>SUM($G1305:AH1305)-SUM($G1307:AH1307)+SUM($G1304:AH1304)-SUM($G1306:AH1306)+$B1308-SUM($G1308:AH1308)+AH996</f>
        <v>0</v>
      </c>
      <c r="AI1310" s="177">
        <f>SUM($G1305:AI1305)-SUM($G1307:AI1307)+SUM($G1304:AI1304)-SUM($G1306:AI1306)+$B1308-SUM($G1308:AI1308)+AI996</f>
        <v>0</v>
      </c>
      <c r="AJ1310" s="177">
        <f>SUM($G1305:AJ1305)-SUM($G1307:AJ1307)+SUM($G1304:AJ1304)-SUM($G1306:AJ1306)+$B1308-SUM($G1308:AJ1308)+AJ996</f>
        <v>0</v>
      </c>
      <c r="AK1310" s="177">
        <f>SUM($G1305:AK1305)-SUM($G1307:AK1307)+SUM($G1304:AK1304)-SUM($G1306:AK1306)+$B1308-SUM($G1308:AK1308)+AK996</f>
        <v>0</v>
      </c>
      <c r="AL1310" s="177">
        <f>SUM($G1305:AL1305)-SUM($G1307:AL1307)+SUM($G1304:AL1304)-SUM($G1306:AL1306)+$B1308-SUM($G1308:AL1308)+AL996</f>
        <v>0</v>
      </c>
      <c r="AM1310" s="177">
        <f>SUM($G1305:AM1305)-SUM($G1307:AM1307)+SUM($G1304:AM1304)-SUM($G1306:AM1306)+$B1308-SUM($G1308:AM1308)+AM996</f>
        <v>0</v>
      </c>
      <c r="AN1310" s="177">
        <f>SUM($G1305:AN1305)-SUM($G1307:AN1307)+SUM($G1304:AN1304)-SUM($G1306:AN1306)+$B1308-SUM($G1308:AN1308)+AN996</f>
        <v>0</v>
      </c>
      <c r="AO1310" s="177">
        <f>SUM($G1305:AO1305)-SUM($G1307:AO1307)+SUM($G1304:AO1304)-SUM($G1306:AO1306)+$B1308-SUM($G1308:AO1308)+AO996</f>
        <v>0</v>
      </c>
      <c r="AP1310" s="177">
        <f>SUM($G1305:AP1305)-SUM($G1307:AP1307)+SUM($G1304:AP1304)-SUM($G1306:AP1306)+$B1308-SUM($G1308:AP1308)+AP996</f>
        <v>0</v>
      </c>
      <c r="AQ1310" s="177">
        <f>SUM($G1305:AQ1305)-SUM($G1307:AQ1307)+SUM($G1304:AQ1304)-SUM($G1306:AQ1306)+$B1308-SUM($G1308:AQ1308)+AQ996</f>
        <v>0</v>
      </c>
      <c r="AR1310" s="177">
        <f>SUM($G1305:AR1305)-SUM($G1307:AR1307)+SUM($G1304:AR1304)-SUM($G1306:AR1306)+$B1308-SUM($G1308:AR1308)+AR996</f>
        <v>0</v>
      </c>
      <c r="AS1310" s="177">
        <f>SUM($G1305:AS1305)-SUM($G1307:AS1307)+SUM($G1304:AS1304)-SUM($G1306:AS1306)+$B1308-SUM($G1308:AS1308)+AS996</f>
        <v>0</v>
      </c>
      <c r="AT1310" s="177">
        <f>SUM($G1305:AT1305)-SUM($G1307:AT1307)+SUM($G1304:AT1304)-SUM($G1306:AT1306)+$B1308-SUM($G1308:AT1308)+AT996</f>
        <v>0</v>
      </c>
      <c r="AU1310" s="177">
        <f>SUM($G1305:AU1305)-SUM($G1307:AU1307)+SUM($G1304:AU1304)-SUM($G1306:AU1306)+$B1308-SUM($G1308:AU1308)+AU996</f>
        <v>0</v>
      </c>
      <c r="AV1310" s="177">
        <f>SUM($G1305:AV1305)-SUM($G1307:AV1307)+SUM($G1304:AV1304)-SUM($G1306:AV1306)+$B1308-SUM($G1308:AV1308)+AV996</f>
        <v>0</v>
      </c>
      <c r="AW1310" s="177">
        <f>SUM($G1305:AW1305)-SUM($G1307:AW1307)+SUM($G1304:AW1304)-SUM($G1306:AW1306)+$B1308-SUM($G1308:AW1308)+AW996</f>
        <v>0</v>
      </c>
      <c r="AX1310" s="177">
        <f>SUM($G1305:AX1305)-SUM($G1307:AX1307)+SUM($G1304:AX1304)-SUM($G1306:AX1306)+$B1308-SUM($G1308:AX1308)+AX996</f>
        <v>0</v>
      </c>
      <c r="AY1310" s="177">
        <f>SUM($G1305:AY1305)-SUM($G1307:AY1307)+SUM($G1304:AY1304)-SUM($G1306:AY1306)+$B1308-SUM($G1308:AY1308)+AY996</f>
        <v>0</v>
      </c>
      <c r="AZ1310" s="177">
        <f>SUM($G1305:AZ1305)-SUM($G1307:AZ1307)+SUM($G1304:AZ1304)-SUM($G1306:AZ1306)+$B1308-SUM($G1308:AZ1308)+AZ996</f>
        <v>0</v>
      </c>
      <c r="BA1310" s="177">
        <f>SUM($G1305:BA1305)-SUM($G1307:BA1307)+SUM($G1304:BA1304)-SUM($G1306:BA1306)+$B1308-SUM($G1308:BA1308)+BA996</f>
        <v>0</v>
      </c>
      <c r="BB1310" s="177">
        <f>SUM($G1305:BB1305)-SUM($G1307:BB1307)+SUM($G1304:BB1304)-SUM($G1306:BB1306)+$B1308-SUM($G1308:BB1308)+BB996</f>
        <v>0</v>
      </c>
      <c r="BD1310" s="178"/>
    </row>
    <row r="1311" spans="1:56" hidden="1" outlineLevel="1" x14ac:dyDescent="0.3">
      <c r="A1311" s="169" t="str">
        <f ca="1">Language!A$1172</f>
        <v>Отложенный возврат НДС</v>
      </c>
      <c r="C1311" s="194" t="str">
        <f t="shared" ca="1" si="4597"/>
        <v>руб.</v>
      </c>
      <c r="F1311" s="170" t="s">
        <v>741</v>
      </c>
      <c r="G1311" s="177">
        <f ca="1">IF(Prj_VAT=2,IF(G$2=1,0,F1311)-MIN(G1309,0)+IF(AND(Параметры!$B$74=2,Проект!G$2&gt;=Параметры!$B$75), MIN(0,OFFSET(G1309, 0, -Параметры!$B$75)), 0),MAX(IF(G$2=1,0,F1311)-G1309,0))</f>
        <v>0</v>
      </c>
      <c r="H1311" s="177">
        <f ca="1">IF(Prj_VAT=2,IF(H$2=1,0,G1311)-MIN(H1309,0)+IF(AND(Параметры!$B$74=2,Проект!H$2&gt;=Параметры!$B$75), MIN(0,OFFSET(H1309, 0, -Параметры!$B$75)), 0),MAX(IF(H$2=1,0,G1311)-H1309,0))</f>
        <v>0</v>
      </c>
      <c r="I1311" s="177">
        <f ca="1">IF(Prj_VAT=2,IF(I$2=1,0,H1311)-MIN(I1309,0)+IF(AND(Параметры!$B$74=2,Проект!I$2&gt;=Параметры!$B$75), MIN(0,OFFSET(I1309, 0, -Параметры!$B$75)), 0),MAX(IF(I$2=1,0,H1311)-I1309,0))</f>
        <v>0</v>
      </c>
      <c r="J1311" s="177">
        <f ca="1">IF(Prj_VAT=2,IF(J$2=1,0,I1311)-MIN(J1309,0)+IF(AND(Параметры!$B$74=2,Проект!J$2&gt;=Параметры!$B$75), MIN(0,OFFSET(J1309, 0, -Параметры!$B$75)), 0),MAX(IF(J$2=1,0,I1311)-J1309,0))</f>
        <v>0</v>
      </c>
      <c r="K1311" s="177">
        <f ca="1">IF(Prj_VAT=2,IF(K$2=1,0,J1311)-MIN(K1309,0)+IF(AND(Параметры!$B$74=2,Проект!K$2&gt;=Параметры!$B$75), MIN(0,OFFSET(K1309, 0, -Параметры!$B$75)), 0),MAX(IF(K$2=1,0,J1311)-K1309,0))</f>
        <v>0</v>
      </c>
      <c r="L1311" s="177">
        <f ca="1">IF(Prj_VAT=2,IF(L$2=1,0,K1311)-MIN(L1309,0)+IF(AND(Параметры!$B$74=2,Проект!L$2&gt;=Параметры!$B$75), MIN(0,OFFSET(L1309, 0, -Параметры!$B$75)), 0),MAX(IF(L$2=1,0,K1311)-L1309,0))</f>
        <v>0</v>
      </c>
      <c r="M1311" s="177">
        <f ca="1">IF(Prj_VAT=2,IF(M$2=1,0,L1311)-MIN(M1309,0)+IF(AND(Параметры!$B$74=2,Проект!M$2&gt;=Параметры!$B$75), MIN(0,OFFSET(M1309, 0, -Параметры!$B$75)), 0),MAX(IF(M$2=1,0,L1311)-M1309,0))</f>
        <v>0</v>
      </c>
      <c r="N1311" s="177">
        <f ca="1">IF(Prj_VAT=2,IF(N$2=1,0,M1311)-MIN(N1309,0)+IF(AND(Параметры!$B$74=2,Проект!N$2&gt;=Параметры!$B$75), MIN(0,OFFSET(N1309, 0, -Параметры!$B$75)), 0),MAX(IF(N$2=1,0,M1311)-N1309,0))</f>
        <v>0</v>
      </c>
      <c r="O1311" s="177">
        <f ca="1">IF(Prj_VAT=2,IF(O$2=1,0,N1311)-MIN(O1309,0)+IF(AND(Параметры!$B$74=2,Проект!O$2&gt;=Параметры!$B$75), MIN(0,OFFSET(O1309, 0, -Параметры!$B$75)), 0),MAX(IF(O$2=1,0,N1311)-O1309,0))</f>
        <v>0</v>
      </c>
      <c r="P1311" s="177">
        <f ca="1">IF(Prj_VAT=2,IF(P$2=1,0,O1311)-MIN(P1309,0)+IF(AND(Параметры!$B$74=2,Проект!P$2&gt;=Параметры!$B$75), MIN(0,OFFSET(P1309, 0, -Параметры!$B$75)), 0),MAX(IF(P$2=1,0,O1311)-P1309,0))</f>
        <v>0</v>
      </c>
      <c r="Q1311" s="177">
        <f ca="1">IF(Prj_VAT=2,IF(Q$2=1,0,P1311)-MIN(Q1309,0)+IF(AND(Параметры!$B$74=2,Проект!Q$2&gt;=Параметры!$B$75), MIN(0,OFFSET(Q1309, 0, -Параметры!$B$75)), 0),MAX(IF(Q$2=1,0,P1311)-Q1309,0))</f>
        <v>0</v>
      </c>
      <c r="R1311" s="177">
        <f ca="1">IF(Prj_VAT=2,IF(R$2=1,0,Q1311)-MIN(R1309,0)+IF(AND(Параметры!$B$74=2,Проект!R$2&gt;=Параметры!$B$75), MIN(0,OFFSET(R1309, 0, -Параметры!$B$75)), 0),MAX(IF(R$2=1,0,Q1311)-R1309,0))</f>
        <v>0</v>
      </c>
      <c r="S1311" s="177">
        <f ca="1">IF(Prj_VAT=2,IF(S$2=1,0,R1311)-MIN(S1309,0)+IF(AND(Параметры!$B$74=2,Проект!S$2&gt;=Параметры!$B$75), MIN(0,OFFSET(S1309, 0, -Параметры!$B$75)), 0),MAX(IF(S$2=1,0,R1311)-S1309,0))</f>
        <v>0</v>
      </c>
      <c r="T1311" s="177">
        <f ca="1">IF(Prj_VAT=2,IF(T$2=1,0,S1311)-MIN(T1309,0)+IF(AND(Параметры!$B$74=2,Проект!T$2&gt;=Параметры!$B$75), MIN(0,OFFSET(T1309, 0, -Параметры!$B$75)), 0),MAX(IF(T$2=1,0,S1311)-T1309,0))</f>
        <v>0</v>
      </c>
      <c r="U1311" s="177">
        <f ca="1">IF(Prj_VAT=2,IF(U$2=1,0,T1311)-MIN(U1309,0)+IF(AND(Параметры!$B$74=2,Проект!U$2&gt;=Параметры!$B$75), MIN(0,OFFSET(U1309, 0, -Параметры!$B$75)), 0),MAX(IF(U$2=1,0,T1311)-U1309,0))</f>
        <v>0</v>
      </c>
      <c r="V1311" s="177">
        <f ca="1">IF(Prj_VAT=2,IF(V$2=1,0,U1311)-MIN(V1309,0)+IF(AND(Параметры!$B$74=2,Проект!V$2&gt;=Параметры!$B$75), MIN(0,OFFSET(V1309, 0, -Параметры!$B$75)), 0),MAX(IF(V$2=1,0,U1311)-V1309,0))</f>
        <v>0</v>
      </c>
      <c r="W1311" s="177">
        <f ca="1">IF(Prj_VAT=2,IF(W$2=1,0,V1311)-MIN(W1309,0)+IF(AND(Параметры!$B$74=2,Проект!W$2&gt;=Параметры!$B$75), MIN(0,OFFSET(W1309, 0, -Параметры!$B$75)), 0),MAX(IF(W$2=1,0,V1311)-W1309,0))</f>
        <v>0</v>
      </c>
      <c r="X1311" s="177">
        <f ca="1">IF(Prj_VAT=2,IF(X$2=1,0,W1311)-MIN(X1309,0)+IF(AND(Параметры!$B$74=2,Проект!X$2&gt;=Параметры!$B$75), MIN(0,OFFSET(X1309, 0, -Параметры!$B$75)), 0),MAX(IF(X$2=1,0,W1311)-X1309,0))</f>
        <v>0</v>
      </c>
      <c r="Y1311" s="177">
        <f ca="1">IF(Prj_VAT=2,IF(Y$2=1,0,X1311)-MIN(Y1309,0)+IF(AND(Параметры!$B$74=2,Проект!Y$2&gt;=Параметры!$B$75), MIN(0,OFFSET(Y1309, 0, -Параметры!$B$75)), 0),MAX(IF(Y$2=1,0,X1311)-Y1309,0))</f>
        <v>0</v>
      </c>
      <c r="Z1311" s="177">
        <f ca="1">IF(Prj_VAT=2,IF(Z$2=1,0,Y1311)-MIN(Z1309,0)+IF(AND(Параметры!$B$74=2,Проект!Z$2&gt;=Параметры!$B$75), MIN(0,OFFSET(Z1309, 0, -Параметры!$B$75)), 0),MAX(IF(Z$2=1,0,Y1311)-Z1309,0))</f>
        <v>0</v>
      </c>
      <c r="AA1311" s="177">
        <f ca="1">IF(Prj_VAT=2,IF(AA$2=1,0,Z1311)-MIN(AA1309,0)+IF(AND(Параметры!$B$74=2,Проект!AA$2&gt;=Параметры!$B$75), MIN(0,OFFSET(AA1309, 0, -Параметры!$B$75)), 0),MAX(IF(AA$2=1,0,Z1311)-AA1309,0))</f>
        <v>0</v>
      </c>
      <c r="AB1311" s="177">
        <f ca="1">IF(Prj_VAT=2,IF(AB$2=1,0,AA1311)-MIN(AB1309,0)+IF(AND(Параметры!$B$74=2,Проект!AB$2&gt;=Параметры!$B$75), MIN(0,OFFSET(AB1309, 0, -Параметры!$B$75)), 0),MAX(IF(AB$2=1,0,AA1311)-AB1309,0))</f>
        <v>0</v>
      </c>
      <c r="AC1311" s="177">
        <f ca="1">IF(Prj_VAT=2,IF(AC$2=1,0,AB1311)-MIN(AC1309,0)+IF(AND(Параметры!$B$74=2,Проект!AC$2&gt;=Параметры!$B$75), MIN(0,OFFSET(AC1309, 0, -Параметры!$B$75)), 0),MAX(IF(AC$2=1,0,AB1311)-AC1309,0))</f>
        <v>0</v>
      </c>
      <c r="AD1311" s="177">
        <f ca="1">IF(Prj_VAT=2,IF(AD$2=1,0,AC1311)-MIN(AD1309,0)+IF(AND(Параметры!$B$74=2,Проект!AD$2&gt;=Параметры!$B$75), MIN(0,OFFSET(AD1309, 0, -Параметры!$B$75)), 0),MAX(IF(AD$2=1,0,AC1311)-AD1309,0))</f>
        <v>0</v>
      </c>
      <c r="AE1311" s="177">
        <f ca="1">IF(Prj_VAT=2,IF(AE$2=1,0,AD1311)-MIN(AE1309,0)+IF(AND(Параметры!$B$74=2,Проект!AE$2&gt;=Параметры!$B$75), MIN(0,OFFSET(AE1309, 0, -Параметры!$B$75)), 0),MAX(IF(AE$2=1,0,AD1311)-AE1309,0))</f>
        <v>0</v>
      </c>
      <c r="AF1311" s="177">
        <f ca="1">IF(Prj_VAT=2,IF(AF$2=1,0,AE1311)-MIN(AF1309,0)+IF(AND(Параметры!$B$74=2,Проект!AF$2&gt;=Параметры!$B$75), MIN(0,OFFSET(AF1309, 0, -Параметры!$B$75)), 0),MAX(IF(AF$2=1,0,AE1311)-AF1309,0))</f>
        <v>0</v>
      </c>
      <c r="AG1311" s="177">
        <f ca="1">IF(Prj_VAT=2,IF(AG$2=1,0,AF1311)-MIN(AG1309,0)+IF(AND(Параметры!$B$74=2,Проект!AG$2&gt;=Параметры!$B$75), MIN(0,OFFSET(AG1309, 0, -Параметры!$B$75)), 0),MAX(IF(AG$2=1,0,AF1311)-AG1309,0))</f>
        <v>0</v>
      </c>
      <c r="AH1311" s="177">
        <f ca="1">IF(Prj_VAT=2,IF(AH$2=1,0,AG1311)-MIN(AH1309,0)+IF(AND(Параметры!$B$74=2,Проект!AH$2&gt;=Параметры!$B$75), MIN(0,OFFSET(AH1309, 0, -Параметры!$B$75)), 0),MAX(IF(AH$2=1,0,AG1311)-AH1309,0))</f>
        <v>0</v>
      </c>
      <c r="AI1311" s="177">
        <f ca="1">IF(Prj_VAT=2,IF(AI$2=1,0,AH1311)-MIN(AI1309,0)+IF(AND(Параметры!$B$74=2,Проект!AI$2&gt;=Параметры!$B$75), MIN(0,OFFSET(AI1309, 0, -Параметры!$B$75)), 0),MAX(IF(AI$2=1,0,AH1311)-AI1309,0))</f>
        <v>0</v>
      </c>
      <c r="AJ1311" s="177">
        <f ca="1">IF(Prj_VAT=2,IF(AJ$2=1,0,AI1311)-MIN(AJ1309,0)+IF(AND(Параметры!$B$74=2,Проект!AJ$2&gt;=Параметры!$B$75), MIN(0,OFFSET(AJ1309, 0, -Параметры!$B$75)), 0),MAX(IF(AJ$2=1,0,AI1311)-AJ1309,0))</f>
        <v>0</v>
      </c>
      <c r="AK1311" s="177">
        <f ca="1">IF(Prj_VAT=2,IF(AK$2=1,0,AJ1311)-MIN(AK1309,0)+IF(AND(Параметры!$B$74=2,Проект!AK$2&gt;=Параметры!$B$75), MIN(0,OFFSET(AK1309, 0, -Параметры!$B$75)), 0),MAX(IF(AK$2=1,0,AJ1311)-AK1309,0))</f>
        <v>0</v>
      </c>
      <c r="AL1311" s="177">
        <f ca="1">IF(Prj_VAT=2,IF(AL$2=1,0,AK1311)-MIN(AL1309,0)+IF(AND(Параметры!$B$74=2,Проект!AL$2&gt;=Параметры!$B$75), MIN(0,OFFSET(AL1309, 0, -Параметры!$B$75)), 0),MAX(IF(AL$2=1,0,AK1311)-AL1309,0))</f>
        <v>0</v>
      </c>
      <c r="AM1311" s="177">
        <f ca="1">IF(Prj_VAT=2,IF(AM$2=1,0,AL1311)-MIN(AM1309,0)+IF(AND(Параметры!$B$74=2,Проект!AM$2&gt;=Параметры!$B$75), MIN(0,OFFSET(AM1309, 0, -Параметры!$B$75)), 0),MAX(IF(AM$2=1,0,AL1311)-AM1309,0))</f>
        <v>0</v>
      </c>
      <c r="AN1311" s="177">
        <f ca="1">IF(Prj_VAT=2,IF(AN$2=1,0,AM1311)-MIN(AN1309,0)+IF(AND(Параметры!$B$74=2,Проект!AN$2&gt;=Параметры!$B$75), MIN(0,OFFSET(AN1309, 0, -Параметры!$B$75)), 0),MAX(IF(AN$2=1,0,AM1311)-AN1309,0))</f>
        <v>0</v>
      </c>
      <c r="AO1311" s="177">
        <f ca="1">IF(Prj_VAT=2,IF(AO$2=1,0,AN1311)-MIN(AO1309,0)+IF(AND(Параметры!$B$74=2,Проект!AO$2&gt;=Параметры!$B$75), MIN(0,OFFSET(AO1309, 0, -Параметры!$B$75)), 0),MAX(IF(AO$2=1,0,AN1311)-AO1309,0))</f>
        <v>0</v>
      </c>
      <c r="AP1311" s="177">
        <f ca="1">IF(Prj_VAT=2,IF(AP$2=1,0,AO1311)-MIN(AP1309,0)+IF(AND(Параметры!$B$74=2,Проект!AP$2&gt;=Параметры!$B$75), MIN(0,OFFSET(AP1309, 0, -Параметры!$B$75)), 0),MAX(IF(AP$2=1,0,AO1311)-AP1309,0))</f>
        <v>0</v>
      </c>
      <c r="AQ1311" s="177">
        <f ca="1">IF(Prj_VAT=2,IF(AQ$2=1,0,AP1311)-MIN(AQ1309,0)+IF(AND(Параметры!$B$74=2,Проект!AQ$2&gt;=Параметры!$B$75), MIN(0,OFFSET(AQ1309, 0, -Параметры!$B$75)), 0),MAX(IF(AQ$2=1,0,AP1311)-AQ1309,0))</f>
        <v>0</v>
      </c>
      <c r="AR1311" s="177">
        <f ca="1">IF(Prj_VAT=2,IF(AR$2=1,0,AQ1311)-MIN(AR1309,0)+IF(AND(Параметры!$B$74=2,Проект!AR$2&gt;=Параметры!$B$75), MIN(0,OFFSET(AR1309, 0, -Параметры!$B$75)), 0),MAX(IF(AR$2=1,0,AQ1311)-AR1309,0))</f>
        <v>0</v>
      </c>
      <c r="AS1311" s="177">
        <f ca="1">IF(Prj_VAT=2,IF(AS$2=1,0,AR1311)-MIN(AS1309,0)+IF(AND(Параметры!$B$74=2,Проект!AS$2&gt;=Параметры!$B$75), MIN(0,OFFSET(AS1309, 0, -Параметры!$B$75)), 0),MAX(IF(AS$2=1,0,AR1311)-AS1309,0))</f>
        <v>0</v>
      </c>
      <c r="AT1311" s="177">
        <f ca="1">IF(Prj_VAT=2,IF(AT$2=1,0,AS1311)-MIN(AT1309,0)+IF(AND(Параметры!$B$74=2,Проект!AT$2&gt;=Параметры!$B$75), MIN(0,OFFSET(AT1309, 0, -Параметры!$B$75)), 0),MAX(IF(AT$2=1,0,AS1311)-AT1309,0))</f>
        <v>0</v>
      </c>
      <c r="AU1311" s="177">
        <f ca="1">IF(Prj_VAT=2,IF(AU$2=1,0,AT1311)-MIN(AU1309,0)+IF(AND(Параметры!$B$74=2,Проект!AU$2&gt;=Параметры!$B$75), MIN(0,OFFSET(AU1309, 0, -Параметры!$B$75)), 0),MAX(IF(AU$2=1,0,AT1311)-AU1309,0))</f>
        <v>0</v>
      </c>
      <c r="AV1311" s="177">
        <f ca="1">IF(Prj_VAT=2,IF(AV$2=1,0,AU1311)-MIN(AV1309,0)+IF(AND(Параметры!$B$74=2,Проект!AV$2&gt;=Параметры!$B$75), MIN(0,OFFSET(AV1309, 0, -Параметры!$B$75)), 0),MAX(IF(AV$2=1,0,AU1311)-AV1309,0))</f>
        <v>0</v>
      </c>
      <c r="AW1311" s="177">
        <f ca="1">IF(Prj_VAT=2,IF(AW$2=1,0,AV1311)-MIN(AW1309,0)+IF(AND(Параметры!$B$74=2,Проект!AW$2&gt;=Параметры!$B$75), MIN(0,OFFSET(AW1309, 0, -Параметры!$B$75)), 0),MAX(IF(AW$2=1,0,AV1311)-AW1309,0))</f>
        <v>0</v>
      </c>
      <c r="AX1311" s="177">
        <f ca="1">IF(Prj_VAT=2,IF(AX$2=1,0,AW1311)-MIN(AX1309,0)+IF(AND(Параметры!$B$74=2,Проект!AX$2&gt;=Параметры!$B$75), MIN(0,OFFSET(AX1309, 0, -Параметры!$B$75)), 0),MAX(IF(AX$2=1,0,AW1311)-AX1309,0))</f>
        <v>0</v>
      </c>
      <c r="AY1311" s="177">
        <f ca="1">IF(Prj_VAT=2,IF(AY$2=1,0,AX1311)-MIN(AY1309,0)+IF(AND(Параметры!$B$74=2,Проект!AY$2&gt;=Параметры!$B$75), MIN(0,OFFSET(AY1309, 0, -Параметры!$B$75)), 0),MAX(IF(AY$2=1,0,AX1311)-AY1309,0))</f>
        <v>0</v>
      </c>
      <c r="AZ1311" s="177">
        <f ca="1">IF(Prj_VAT=2,IF(AZ$2=1,0,AY1311)-MIN(AZ1309,0)+IF(AND(Параметры!$B$74=2,Проект!AZ$2&gt;=Параметры!$B$75), MIN(0,OFFSET(AZ1309, 0, -Параметры!$B$75)), 0),MAX(IF(AZ$2=1,0,AY1311)-AZ1309,0))</f>
        <v>0</v>
      </c>
      <c r="BA1311" s="177">
        <f ca="1">IF(Prj_VAT=2,IF(BA$2=1,0,AZ1311)-MIN(BA1309,0)+IF(AND(Параметры!$B$74=2,Проект!BA$2&gt;=Параметры!$B$75), MIN(0,OFFSET(BA1309, 0, -Параметры!$B$75)), 0),MAX(IF(BA$2=1,0,AZ1311)-BA1309,0))</f>
        <v>0</v>
      </c>
      <c r="BB1311" s="177">
        <f ca="1">IF(Prj_VAT=2,IF(BB$2=1,0,BA1311)-MIN(BB1309,0)+IF(AND(Параметры!$B$74=2,Проект!BB$2&gt;=Параметры!$B$75), MIN(0,OFFSET(BB1309, 0, -Параметры!$B$75)), 0),MAX(IF(BB$2=1,0,BA1311)-BB1309,0))</f>
        <v>0</v>
      </c>
      <c r="BD1311" s="178">
        <f ca="1">SUM(G1311:BC1311)</f>
        <v>0</v>
      </c>
    </row>
    <row r="1312" spans="1:56" x14ac:dyDescent="0.3">
      <c r="G1312" s="177"/>
      <c r="H1312" s="177"/>
      <c r="I1312" s="177"/>
      <c r="J1312" s="177"/>
      <c r="K1312" s="177"/>
      <c r="L1312" s="177"/>
      <c r="M1312" s="177"/>
      <c r="N1312" s="177"/>
      <c r="O1312" s="177"/>
      <c r="P1312" s="177"/>
      <c r="Q1312" s="177"/>
      <c r="R1312" s="177"/>
      <c r="S1312" s="177"/>
      <c r="T1312" s="177"/>
      <c r="U1312" s="177"/>
      <c r="V1312" s="177"/>
      <c r="W1312" s="177"/>
      <c r="X1312" s="177"/>
      <c r="Y1312" s="177"/>
      <c r="Z1312" s="177"/>
      <c r="AA1312" s="177"/>
      <c r="AB1312" s="177"/>
      <c r="AC1312" s="177"/>
      <c r="AD1312" s="177"/>
      <c r="AE1312" s="177"/>
      <c r="AF1312" s="177"/>
      <c r="AG1312" s="177"/>
      <c r="AH1312" s="177"/>
      <c r="AI1312" s="177"/>
      <c r="AJ1312" s="177"/>
      <c r="AK1312" s="177"/>
      <c r="AL1312" s="177"/>
      <c r="AM1312" s="177"/>
      <c r="AN1312" s="177"/>
      <c r="AO1312" s="177"/>
      <c r="AP1312" s="177"/>
      <c r="AQ1312" s="177"/>
      <c r="AR1312" s="177"/>
      <c r="AS1312" s="177"/>
      <c r="AT1312" s="177"/>
      <c r="AU1312" s="177"/>
      <c r="AV1312" s="177"/>
      <c r="AW1312" s="177"/>
      <c r="AX1312" s="177"/>
      <c r="AY1312" s="177"/>
      <c r="AZ1312" s="177"/>
      <c r="BA1312" s="177"/>
      <c r="BB1312" s="177"/>
    </row>
    <row r="1313" spans="1:56" collapsed="1" x14ac:dyDescent="0.3">
      <c r="A1313" s="195" t="str">
        <f ca="1">Language!A$1173</f>
        <v>Начисленный налог на имущество</v>
      </c>
      <c r="C1313" s="194" t="str">
        <f t="shared" ca="1" si="4597"/>
        <v>руб.</v>
      </c>
      <c r="F1313" s="170" t="s">
        <v>740</v>
      </c>
      <c r="G1313" s="210">
        <f ca="1">((G1316-G1317)*Параметры!G96+(G1318-G1319)*Параметры!G97)*Параметры!G$31/12</f>
        <v>0</v>
      </c>
      <c r="H1313" s="210">
        <f ca="1">((H1316-H1317)*Параметры!H96+(H1318-H1319)*Параметры!H97)*Параметры!H$31/12</f>
        <v>0</v>
      </c>
      <c r="I1313" s="210">
        <f ca="1">((I1316-I1317)*Параметры!I96+(I1318-I1319)*Параметры!I97)*Параметры!I$31/12</f>
        <v>0</v>
      </c>
      <c r="J1313" s="210">
        <f ca="1">((J1316-J1317)*Параметры!J96+(J1318-J1319)*Параметры!J97)*Параметры!J$31/12</f>
        <v>0</v>
      </c>
      <c r="K1313" s="210">
        <f ca="1">((K1316-K1317)*Параметры!K96+(K1318-K1319)*Параметры!K97)*Параметры!K$31/12</f>
        <v>0</v>
      </c>
      <c r="L1313" s="210">
        <f ca="1">((L1316-L1317)*Параметры!L96+(L1318-L1319)*Параметры!L97)*Параметры!L$31/12</f>
        <v>0</v>
      </c>
      <c r="M1313" s="210">
        <f ca="1">((M1316-M1317)*Параметры!M96+(M1318-M1319)*Параметры!M97)*Параметры!M$31/12</f>
        <v>0</v>
      </c>
      <c r="N1313" s="210">
        <f ca="1">((N1316-N1317)*Параметры!N96+(N1318-N1319)*Параметры!N97)*Параметры!N$31/12</f>
        <v>0</v>
      </c>
      <c r="O1313" s="210">
        <f ca="1">((O1316-O1317)*Параметры!O96+(O1318-O1319)*Параметры!O97)*Параметры!O$31/12</f>
        <v>0</v>
      </c>
      <c r="P1313" s="210">
        <f ca="1">((P1316-P1317)*Параметры!P96+(P1318-P1319)*Параметры!P97)*Параметры!P$31/12</f>
        <v>0</v>
      </c>
      <c r="Q1313" s="210">
        <f ca="1">((Q1316-Q1317)*Параметры!Q96+(Q1318-Q1319)*Параметры!Q97)*Параметры!Q$31/12</f>
        <v>0</v>
      </c>
      <c r="R1313" s="210">
        <f ca="1">((R1316-R1317)*Параметры!R96+(R1318-R1319)*Параметры!R97)*Параметры!R$31/12</f>
        <v>0</v>
      </c>
      <c r="S1313" s="210">
        <f ca="1">((S1316-S1317)*Параметры!S96+(S1318-S1319)*Параметры!S97)*Параметры!S$31/12</f>
        <v>0</v>
      </c>
      <c r="T1313" s="210">
        <f ca="1">((T1316-T1317)*Параметры!T96+(T1318-T1319)*Параметры!T97)*Параметры!T$31/12</f>
        <v>0</v>
      </c>
      <c r="U1313" s="210">
        <f ca="1">((U1316-U1317)*Параметры!U96+(U1318-U1319)*Параметры!U97)*Параметры!U$31/12</f>
        <v>0</v>
      </c>
      <c r="V1313" s="210">
        <f ca="1">((V1316-V1317)*Параметры!V96+(V1318-V1319)*Параметры!V97)*Параметры!V$31/12</f>
        <v>0</v>
      </c>
      <c r="W1313" s="210">
        <f ca="1">((W1316-W1317)*Параметры!W96+(W1318-W1319)*Параметры!W97)*Параметры!W$31/12</f>
        <v>0</v>
      </c>
      <c r="X1313" s="210">
        <f ca="1">((X1316-X1317)*Параметры!X96+(X1318-X1319)*Параметры!X97)*Параметры!X$31/12</f>
        <v>0</v>
      </c>
      <c r="Y1313" s="210">
        <f ca="1">((Y1316-Y1317)*Параметры!Y96+(Y1318-Y1319)*Параметры!Y97)*Параметры!Y$31/12</f>
        <v>0</v>
      </c>
      <c r="Z1313" s="210">
        <f ca="1">((Z1316-Z1317)*Параметры!Z96+(Z1318-Z1319)*Параметры!Z97)*Параметры!Z$31/12</f>
        <v>0</v>
      </c>
      <c r="AA1313" s="210">
        <f ca="1">((AA1316-AA1317)*Параметры!AA96+(AA1318-AA1319)*Параметры!AA97)*Параметры!AA$31/12</f>
        <v>0</v>
      </c>
      <c r="AB1313" s="210">
        <f ca="1">((AB1316-AB1317)*Параметры!AB96+(AB1318-AB1319)*Параметры!AB97)*Параметры!AB$31/12</f>
        <v>0</v>
      </c>
      <c r="AC1313" s="210">
        <f ca="1">((AC1316-AC1317)*Параметры!AC96+(AC1318-AC1319)*Параметры!AC97)*Параметры!AC$31/12</f>
        <v>0</v>
      </c>
      <c r="AD1313" s="210">
        <f ca="1">((AD1316-AD1317)*Параметры!AD96+(AD1318-AD1319)*Параметры!AD97)*Параметры!AD$31/12</f>
        <v>0</v>
      </c>
      <c r="AE1313" s="210">
        <f ca="1">((AE1316-AE1317)*Параметры!AE96+(AE1318-AE1319)*Параметры!AE97)*Параметры!AE$31/12</f>
        <v>0</v>
      </c>
      <c r="AF1313" s="210">
        <f ca="1">((AF1316-AF1317)*Параметры!AF96+(AF1318-AF1319)*Параметры!AF97)*Параметры!AF$31/12</f>
        <v>0</v>
      </c>
      <c r="AG1313" s="210">
        <f ca="1">((AG1316-AG1317)*Параметры!AG96+(AG1318-AG1319)*Параметры!AG97)*Параметры!AG$31/12</f>
        <v>0</v>
      </c>
      <c r="AH1313" s="210">
        <f ca="1">((AH1316-AH1317)*Параметры!AH96+(AH1318-AH1319)*Параметры!AH97)*Параметры!AH$31/12</f>
        <v>0</v>
      </c>
      <c r="AI1313" s="210">
        <f ca="1">((AI1316-AI1317)*Параметры!AI96+(AI1318-AI1319)*Параметры!AI97)*Параметры!AI$31/12</f>
        <v>0</v>
      </c>
      <c r="AJ1313" s="210">
        <f ca="1">((AJ1316-AJ1317)*Параметры!AJ96+(AJ1318-AJ1319)*Параметры!AJ97)*Параметры!AJ$31/12</f>
        <v>0</v>
      </c>
      <c r="AK1313" s="210">
        <f ca="1">((AK1316-AK1317)*Параметры!AK96+(AK1318-AK1319)*Параметры!AK97)*Параметры!AK$31/12</f>
        <v>0</v>
      </c>
      <c r="AL1313" s="210">
        <f ca="1">((AL1316-AL1317)*Параметры!AL96+(AL1318-AL1319)*Параметры!AL97)*Параметры!AL$31/12</f>
        <v>0</v>
      </c>
      <c r="AM1313" s="210">
        <f ca="1">((AM1316-AM1317)*Параметры!AM96+(AM1318-AM1319)*Параметры!AM97)*Параметры!AM$31/12</f>
        <v>0</v>
      </c>
      <c r="AN1313" s="210">
        <f ca="1">((AN1316-AN1317)*Параметры!AN96+(AN1318-AN1319)*Параметры!AN97)*Параметры!AN$31/12</f>
        <v>0</v>
      </c>
      <c r="AO1313" s="210">
        <f ca="1">((AO1316-AO1317)*Параметры!AO96+(AO1318-AO1319)*Параметры!AO97)*Параметры!AO$31/12</f>
        <v>0</v>
      </c>
      <c r="AP1313" s="210">
        <f ca="1">((AP1316-AP1317)*Параметры!AP96+(AP1318-AP1319)*Параметры!AP97)*Параметры!AP$31/12</f>
        <v>0</v>
      </c>
      <c r="AQ1313" s="210">
        <f ca="1">((AQ1316-AQ1317)*Параметры!AQ96+(AQ1318-AQ1319)*Параметры!AQ97)*Параметры!AQ$31/12</f>
        <v>0</v>
      </c>
      <c r="AR1313" s="210">
        <f ca="1">((AR1316-AR1317)*Параметры!AR96+(AR1318-AR1319)*Параметры!AR97)*Параметры!AR$31/12</f>
        <v>0</v>
      </c>
      <c r="AS1313" s="210">
        <f ca="1">((AS1316-AS1317)*Параметры!AS96+(AS1318-AS1319)*Параметры!AS97)*Параметры!AS$31/12</f>
        <v>0</v>
      </c>
      <c r="AT1313" s="210">
        <f ca="1">((AT1316-AT1317)*Параметры!AT96+(AT1318-AT1319)*Параметры!AT97)*Параметры!AT$31/12</f>
        <v>0</v>
      </c>
      <c r="AU1313" s="210">
        <f ca="1">((AU1316-AU1317)*Параметры!AU96+(AU1318-AU1319)*Параметры!AU97)*Параметры!AU$31/12</f>
        <v>0</v>
      </c>
      <c r="AV1313" s="210">
        <f ca="1">((AV1316-AV1317)*Параметры!AV96+(AV1318-AV1319)*Параметры!AV97)*Параметры!AV$31/12</f>
        <v>0</v>
      </c>
      <c r="AW1313" s="210">
        <f ca="1">((AW1316-AW1317)*Параметры!AW96+(AW1318-AW1319)*Параметры!AW97)*Параметры!AW$31/12</f>
        <v>0</v>
      </c>
      <c r="AX1313" s="210">
        <f ca="1">((AX1316-AX1317)*Параметры!AX96+(AX1318-AX1319)*Параметры!AX97)*Параметры!AX$31/12</f>
        <v>0</v>
      </c>
      <c r="AY1313" s="210">
        <f ca="1">((AY1316-AY1317)*Параметры!AY96+(AY1318-AY1319)*Параметры!AY97)*Параметры!AY$31/12</f>
        <v>0</v>
      </c>
      <c r="AZ1313" s="210">
        <f ca="1">((AZ1316-AZ1317)*Параметры!AZ96+(AZ1318-AZ1319)*Параметры!AZ97)*Параметры!AZ$31/12</f>
        <v>0</v>
      </c>
      <c r="BA1313" s="210">
        <f ca="1">((BA1316-BA1317)*Параметры!BA96+(BA1318-BA1319)*Параметры!BA97)*Параметры!BA$31/12</f>
        <v>0</v>
      </c>
      <c r="BB1313" s="210">
        <f ca="1">((BB1316-BB1317)*Параметры!BB96+(BB1318-BB1319)*Параметры!BB97)*Параметры!BB$31/12</f>
        <v>0</v>
      </c>
      <c r="BD1313" s="211">
        <f ca="1">SUM(G1313:BC1313)</f>
        <v>0</v>
      </c>
    </row>
    <row r="1314" spans="1:56" hidden="1" outlineLevel="1" x14ac:dyDescent="0.3">
      <c r="A1314" s="184" t="str">
        <f ca="1">Language!A$1174</f>
        <v>задолженность по налогу</v>
      </c>
      <c r="B1314" s="200"/>
      <c r="C1314" s="163" t="str">
        <f t="shared" ca="1" si="4597"/>
        <v>руб.</v>
      </c>
      <c r="D1314" s="174"/>
      <c r="F1314" s="170" t="s">
        <v>2350</v>
      </c>
      <c r="G1314" s="289">
        <f ca="1">IF(AND(Параметры!$B$98=0,G$2&gt;1),F1314,G1313*Параметры!$B$98/Параметры!G$30)</f>
        <v>0</v>
      </c>
      <c r="H1314" s="289">
        <f ca="1">IF(AND(Параметры!$B$98=0,H$2&gt;1),G1314,H1313*Параметры!$B$98/Параметры!H$30)</f>
        <v>0</v>
      </c>
      <c r="I1314" s="289">
        <f ca="1">IF(AND(Параметры!$B$98=0,I$2&gt;1),H1314,I1313*Параметры!$B$98/Параметры!I$30)</f>
        <v>0</v>
      </c>
      <c r="J1314" s="289">
        <f ca="1">IF(AND(Параметры!$B$98=0,J$2&gt;1),I1314,J1313*Параметры!$B$98/Параметры!J$30)</f>
        <v>0</v>
      </c>
      <c r="K1314" s="289">
        <f ca="1">IF(AND(Параметры!$B$98=0,K$2&gt;1),J1314,K1313*Параметры!$B$98/Параметры!K$30)</f>
        <v>0</v>
      </c>
      <c r="L1314" s="289">
        <f ca="1">IF(AND(Параметры!$B$98=0,L$2&gt;1),K1314,L1313*Параметры!$B$98/Параметры!L$30)</f>
        <v>0</v>
      </c>
      <c r="M1314" s="289">
        <f ca="1">IF(AND(Параметры!$B$98=0,M$2&gt;1),L1314,M1313*Параметры!$B$98/Параметры!M$30)</f>
        <v>0</v>
      </c>
      <c r="N1314" s="289">
        <f ca="1">IF(AND(Параметры!$B$98=0,N$2&gt;1),M1314,N1313*Параметры!$B$98/Параметры!N$30)</f>
        <v>0</v>
      </c>
      <c r="O1314" s="289">
        <f ca="1">IF(AND(Параметры!$B$98=0,O$2&gt;1),N1314,O1313*Параметры!$B$98/Параметры!O$30)</f>
        <v>0</v>
      </c>
      <c r="P1314" s="289">
        <f ca="1">IF(AND(Параметры!$B$98=0,P$2&gt;1),O1314,P1313*Параметры!$B$98/Параметры!P$30)</f>
        <v>0</v>
      </c>
      <c r="Q1314" s="289">
        <f ca="1">IF(AND(Параметры!$B$98=0,Q$2&gt;1),P1314,Q1313*Параметры!$B$98/Параметры!Q$30)</f>
        <v>0</v>
      </c>
      <c r="R1314" s="289">
        <f ca="1">IF(AND(Параметры!$B$98=0,R$2&gt;1),Q1314,R1313*Параметры!$B$98/Параметры!R$30)</f>
        <v>0</v>
      </c>
      <c r="S1314" s="289">
        <f ca="1">IF(AND(Параметры!$B$98=0,S$2&gt;1),R1314,S1313*Параметры!$B$98/Параметры!S$30)</f>
        <v>0</v>
      </c>
      <c r="T1314" s="289">
        <f ca="1">IF(AND(Параметры!$B$98=0,T$2&gt;1),S1314,T1313*Параметры!$B$98/Параметры!T$30)</f>
        <v>0</v>
      </c>
      <c r="U1314" s="289">
        <f ca="1">IF(AND(Параметры!$B$98=0,U$2&gt;1),T1314,U1313*Параметры!$B$98/Параметры!U$30)</f>
        <v>0</v>
      </c>
      <c r="V1314" s="289">
        <f ca="1">IF(AND(Параметры!$B$98=0,V$2&gt;1),U1314,V1313*Параметры!$B$98/Параметры!V$30)</f>
        <v>0</v>
      </c>
      <c r="W1314" s="289">
        <f ca="1">IF(AND(Параметры!$B$98=0,W$2&gt;1),V1314,W1313*Параметры!$B$98/Параметры!W$30)</f>
        <v>0</v>
      </c>
      <c r="X1314" s="289">
        <f ca="1">IF(AND(Параметры!$B$98=0,X$2&gt;1),W1314,X1313*Параметры!$B$98/Параметры!X$30)</f>
        <v>0</v>
      </c>
      <c r="Y1314" s="289">
        <f ca="1">IF(AND(Параметры!$B$98=0,Y$2&gt;1),X1314,Y1313*Параметры!$B$98/Параметры!Y$30)</f>
        <v>0</v>
      </c>
      <c r="Z1314" s="289">
        <f ca="1">IF(AND(Параметры!$B$98=0,Z$2&gt;1),Y1314,Z1313*Параметры!$B$98/Параметры!Z$30)</f>
        <v>0</v>
      </c>
      <c r="AA1314" s="289">
        <f ca="1">IF(AND(Параметры!$B$98=0,AA$2&gt;1),Z1314,AA1313*Параметры!$B$98/Параметры!AA$30)</f>
        <v>0</v>
      </c>
      <c r="AB1314" s="289">
        <f ca="1">IF(AND(Параметры!$B$98=0,AB$2&gt;1),AA1314,AB1313*Параметры!$B$98/Параметры!AB$30)</f>
        <v>0</v>
      </c>
      <c r="AC1314" s="289">
        <f ca="1">IF(AND(Параметры!$B$98=0,AC$2&gt;1),AB1314,AC1313*Параметры!$B$98/Параметры!AC$30)</f>
        <v>0</v>
      </c>
      <c r="AD1314" s="289">
        <f ca="1">IF(AND(Параметры!$B$98=0,AD$2&gt;1),AC1314,AD1313*Параметры!$B$98/Параметры!AD$30)</f>
        <v>0</v>
      </c>
      <c r="AE1314" s="289">
        <f ca="1">IF(AND(Параметры!$B$98=0,AE$2&gt;1),AD1314,AE1313*Параметры!$B$98/Параметры!AE$30)</f>
        <v>0</v>
      </c>
      <c r="AF1314" s="289">
        <f ca="1">IF(AND(Параметры!$B$98=0,AF$2&gt;1),AE1314,AF1313*Параметры!$B$98/Параметры!AF$30)</f>
        <v>0</v>
      </c>
      <c r="AG1314" s="289">
        <f ca="1">IF(AND(Параметры!$B$98=0,AG$2&gt;1),AF1314,AG1313*Параметры!$B$98/Параметры!AG$30)</f>
        <v>0</v>
      </c>
      <c r="AH1314" s="289">
        <f ca="1">IF(AND(Параметры!$B$98=0,AH$2&gt;1),AG1314,AH1313*Параметры!$B$98/Параметры!AH$30)</f>
        <v>0</v>
      </c>
      <c r="AI1314" s="289">
        <f ca="1">IF(AND(Параметры!$B$98=0,AI$2&gt;1),AH1314,AI1313*Параметры!$B$98/Параметры!AI$30)</f>
        <v>0</v>
      </c>
      <c r="AJ1314" s="289">
        <f ca="1">IF(AND(Параметры!$B$98=0,AJ$2&gt;1),AI1314,AJ1313*Параметры!$B$98/Параметры!AJ$30)</f>
        <v>0</v>
      </c>
      <c r="AK1314" s="289">
        <f ca="1">IF(AND(Параметры!$B$98=0,AK$2&gt;1),AJ1314,AK1313*Параметры!$B$98/Параметры!AK$30)</f>
        <v>0</v>
      </c>
      <c r="AL1314" s="289">
        <f ca="1">IF(AND(Параметры!$B$98=0,AL$2&gt;1),AK1314,AL1313*Параметры!$B$98/Параметры!AL$30)</f>
        <v>0</v>
      </c>
      <c r="AM1314" s="289">
        <f ca="1">IF(AND(Параметры!$B$98=0,AM$2&gt;1),AL1314,AM1313*Параметры!$B$98/Параметры!AM$30)</f>
        <v>0</v>
      </c>
      <c r="AN1314" s="289">
        <f ca="1">IF(AND(Параметры!$B$98=0,AN$2&gt;1),AM1314,AN1313*Параметры!$B$98/Параметры!AN$30)</f>
        <v>0</v>
      </c>
      <c r="AO1314" s="289">
        <f ca="1">IF(AND(Параметры!$B$98=0,AO$2&gt;1),AN1314,AO1313*Параметры!$B$98/Параметры!AO$30)</f>
        <v>0</v>
      </c>
      <c r="AP1314" s="289">
        <f ca="1">IF(AND(Параметры!$B$98=0,AP$2&gt;1),AO1314,AP1313*Параметры!$B$98/Параметры!AP$30)</f>
        <v>0</v>
      </c>
      <c r="AQ1314" s="289">
        <f ca="1">IF(AND(Параметры!$B$98=0,AQ$2&gt;1),AP1314,AQ1313*Параметры!$B$98/Параметры!AQ$30)</f>
        <v>0</v>
      </c>
      <c r="AR1314" s="289">
        <f ca="1">IF(AND(Параметры!$B$98=0,AR$2&gt;1),AQ1314,AR1313*Параметры!$B$98/Параметры!AR$30)</f>
        <v>0</v>
      </c>
      <c r="AS1314" s="289">
        <f ca="1">IF(AND(Параметры!$B$98=0,AS$2&gt;1),AR1314,AS1313*Параметры!$B$98/Параметры!AS$30)</f>
        <v>0</v>
      </c>
      <c r="AT1314" s="289">
        <f ca="1">IF(AND(Параметры!$B$98=0,AT$2&gt;1),AS1314,AT1313*Параметры!$B$98/Параметры!AT$30)</f>
        <v>0</v>
      </c>
      <c r="AU1314" s="289">
        <f ca="1">IF(AND(Параметры!$B$98=0,AU$2&gt;1),AT1314,AU1313*Параметры!$B$98/Параметры!AU$30)</f>
        <v>0</v>
      </c>
      <c r="AV1314" s="289">
        <f ca="1">IF(AND(Параметры!$B$98=0,AV$2&gt;1),AU1314,AV1313*Параметры!$B$98/Параметры!AV$30)</f>
        <v>0</v>
      </c>
      <c r="AW1314" s="289">
        <f ca="1">IF(AND(Параметры!$B$98=0,AW$2&gt;1),AV1314,AW1313*Параметры!$B$98/Параметры!AW$30)</f>
        <v>0</v>
      </c>
      <c r="AX1314" s="289">
        <f ca="1">IF(AND(Параметры!$B$98=0,AX$2&gt;1),AW1314,AX1313*Параметры!$B$98/Параметры!AX$30)</f>
        <v>0</v>
      </c>
      <c r="AY1314" s="289">
        <f ca="1">IF(AND(Параметры!$B$98=0,AY$2&gt;1),AX1314,AY1313*Параметры!$B$98/Параметры!AY$30)</f>
        <v>0</v>
      </c>
      <c r="AZ1314" s="289">
        <f ca="1">IF(AND(Параметры!$B$98=0,AZ$2&gt;1),AY1314,AZ1313*Параметры!$B$98/Параметры!AZ$30)</f>
        <v>0</v>
      </c>
      <c r="BA1314" s="289">
        <f ca="1">IF(AND(Параметры!$B$98=0,BA$2&gt;1),AZ1314,BA1313*Параметры!$B$98/Параметры!BA$30)</f>
        <v>0</v>
      </c>
      <c r="BB1314" s="289">
        <f ca="1">IF(AND(Параметры!$B$98=0,BB$2&gt;1),BA1314,BB1313*Параметры!$B$98/Параметры!BB$30)</f>
        <v>0</v>
      </c>
      <c r="BC1314" s="188"/>
      <c r="BD1314" s="178">
        <f ca="1">SUM(G1314:BC1314)</f>
        <v>0</v>
      </c>
    </row>
    <row r="1315" spans="1:56" hidden="1" outlineLevel="1" x14ac:dyDescent="0.3">
      <c r="A1315" s="184" t="str">
        <f ca="1">Language!A$1175</f>
        <v>уплаченный налог на имущество</v>
      </c>
      <c r="B1315" s="195"/>
      <c r="C1315" s="163" t="str">
        <f t="shared" ca="1" si="4597"/>
        <v>руб.</v>
      </c>
      <c r="F1315" s="170" t="s">
        <v>740</v>
      </c>
      <c r="G1315" s="185">
        <f ca="1">G1313-IF(G$2=1,G1314,G1314-F1314)</f>
        <v>0</v>
      </c>
      <c r="H1315" s="185">
        <f t="shared" ref="H1315" ca="1" si="4640">H1313-IF(H$2=1,H1314,H1314-G1314)</f>
        <v>0</v>
      </c>
      <c r="I1315" s="185">
        <f t="shared" ref="I1315" ca="1" si="4641">I1313-IF(I$2=1,I1314,I1314-H1314)</f>
        <v>0</v>
      </c>
      <c r="J1315" s="185">
        <f t="shared" ref="J1315" ca="1" si="4642">J1313-IF(J$2=1,J1314,J1314-I1314)</f>
        <v>0</v>
      </c>
      <c r="K1315" s="185">
        <f t="shared" ref="K1315:BB1315" ca="1" si="4643">K1313-IF(K$2=1,K1314,K1314-J1314)</f>
        <v>0</v>
      </c>
      <c r="L1315" s="185">
        <f t="shared" ca="1" si="4643"/>
        <v>0</v>
      </c>
      <c r="M1315" s="185">
        <f t="shared" ca="1" si="4643"/>
        <v>0</v>
      </c>
      <c r="N1315" s="185">
        <f t="shared" ca="1" si="4643"/>
        <v>0</v>
      </c>
      <c r="O1315" s="185">
        <f t="shared" ca="1" si="4643"/>
        <v>0</v>
      </c>
      <c r="P1315" s="185">
        <f t="shared" ca="1" si="4643"/>
        <v>0</v>
      </c>
      <c r="Q1315" s="185">
        <f t="shared" ca="1" si="4643"/>
        <v>0</v>
      </c>
      <c r="R1315" s="185">
        <f t="shared" ca="1" si="4643"/>
        <v>0</v>
      </c>
      <c r="S1315" s="185">
        <f t="shared" ca="1" si="4643"/>
        <v>0</v>
      </c>
      <c r="T1315" s="185">
        <f t="shared" ca="1" si="4643"/>
        <v>0</v>
      </c>
      <c r="U1315" s="185">
        <f t="shared" ca="1" si="4643"/>
        <v>0</v>
      </c>
      <c r="V1315" s="185">
        <f t="shared" ca="1" si="4643"/>
        <v>0</v>
      </c>
      <c r="W1315" s="185">
        <f t="shared" ca="1" si="4643"/>
        <v>0</v>
      </c>
      <c r="X1315" s="185">
        <f t="shared" ca="1" si="4643"/>
        <v>0</v>
      </c>
      <c r="Y1315" s="185">
        <f t="shared" ca="1" si="4643"/>
        <v>0</v>
      </c>
      <c r="Z1315" s="185">
        <f t="shared" ca="1" si="4643"/>
        <v>0</v>
      </c>
      <c r="AA1315" s="185">
        <f t="shared" ca="1" si="4643"/>
        <v>0</v>
      </c>
      <c r="AB1315" s="185">
        <f t="shared" ca="1" si="4643"/>
        <v>0</v>
      </c>
      <c r="AC1315" s="185">
        <f t="shared" ca="1" si="4643"/>
        <v>0</v>
      </c>
      <c r="AD1315" s="185">
        <f t="shared" ca="1" si="4643"/>
        <v>0</v>
      </c>
      <c r="AE1315" s="185">
        <f t="shared" ca="1" si="4643"/>
        <v>0</v>
      </c>
      <c r="AF1315" s="185">
        <f t="shared" ca="1" si="4643"/>
        <v>0</v>
      </c>
      <c r="AG1315" s="185">
        <f t="shared" ca="1" si="4643"/>
        <v>0</v>
      </c>
      <c r="AH1315" s="185">
        <f t="shared" ca="1" si="4643"/>
        <v>0</v>
      </c>
      <c r="AI1315" s="185">
        <f t="shared" ca="1" si="4643"/>
        <v>0</v>
      </c>
      <c r="AJ1315" s="185">
        <f t="shared" ca="1" si="4643"/>
        <v>0</v>
      </c>
      <c r="AK1315" s="185">
        <f t="shared" ca="1" si="4643"/>
        <v>0</v>
      </c>
      <c r="AL1315" s="185">
        <f t="shared" ca="1" si="4643"/>
        <v>0</v>
      </c>
      <c r="AM1315" s="185">
        <f t="shared" ca="1" si="4643"/>
        <v>0</v>
      </c>
      <c r="AN1315" s="185">
        <f t="shared" ca="1" si="4643"/>
        <v>0</v>
      </c>
      <c r="AO1315" s="185">
        <f t="shared" ca="1" si="4643"/>
        <v>0</v>
      </c>
      <c r="AP1315" s="185">
        <f t="shared" ca="1" si="4643"/>
        <v>0</v>
      </c>
      <c r="AQ1315" s="185">
        <f t="shared" ca="1" si="4643"/>
        <v>0</v>
      </c>
      <c r="AR1315" s="185">
        <f t="shared" ca="1" si="4643"/>
        <v>0</v>
      </c>
      <c r="AS1315" s="185">
        <f t="shared" ca="1" si="4643"/>
        <v>0</v>
      </c>
      <c r="AT1315" s="185">
        <f t="shared" ca="1" si="4643"/>
        <v>0</v>
      </c>
      <c r="AU1315" s="185">
        <f t="shared" ca="1" si="4643"/>
        <v>0</v>
      </c>
      <c r="AV1315" s="185">
        <f t="shared" ca="1" si="4643"/>
        <v>0</v>
      </c>
      <c r="AW1315" s="185">
        <f t="shared" ca="1" si="4643"/>
        <v>0</v>
      </c>
      <c r="AX1315" s="185">
        <f t="shared" ca="1" si="4643"/>
        <v>0</v>
      </c>
      <c r="AY1315" s="185">
        <f t="shared" ca="1" si="4643"/>
        <v>0</v>
      </c>
      <c r="AZ1315" s="185">
        <f t="shared" ca="1" si="4643"/>
        <v>0</v>
      </c>
      <c r="BA1315" s="185">
        <f t="shared" ca="1" si="4643"/>
        <v>0</v>
      </c>
      <c r="BB1315" s="185">
        <f t="shared" ca="1" si="4643"/>
        <v>0</v>
      </c>
      <c r="BD1315" s="178">
        <f ca="1">SUM(G1315:BC1315)</f>
        <v>0</v>
      </c>
    </row>
    <row r="1316" spans="1:56" hidden="1" outlineLevel="1" x14ac:dyDescent="0.3">
      <c r="A1316" s="169" t="str">
        <f ca="1">Language!A$1176</f>
        <v>Средняя стоимость зданий и сооружений</v>
      </c>
      <c r="C1316" s="194" t="str">
        <f t="shared" ca="1" si="4597"/>
        <v>руб.</v>
      </c>
      <c r="F1316" s="170" t="s">
        <v>745</v>
      </c>
      <c r="G1316" s="177">
        <f ca="1">(Старт!G72+Проект!G954+ IF(G$2=1, Старт!$B$18, Старт!F72+Проект!F954))/2</f>
        <v>0</v>
      </c>
      <c r="H1316" s="177">
        <f ca="1">(Старт!H72+Проект!H954+ IF(H$2=1, Старт!$B$18, Старт!G72+Проект!G954))/2</f>
        <v>0</v>
      </c>
      <c r="I1316" s="177">
        <f ca="1">(Старт!I72+Проект!I954+ IF(I$2=1, Старт!$B$18, Старт!H72+Проект!H954))/2</f>
        <v>0</v>
      </c>
      <c r="J1316" s="177">
        <f ca="1">(Старт!J72+Проект!J954+ IF(J$2=1, Старт!$B$18, Старт!I72+Проект!I954))/2</f>
        <v>0</v>
      </c>
      <c r="K1316" s="177">
        <f ca="1">(Старт!K72+Проект!K954+ IF(K$2=1, Старт!$B$18, Старт!J72+Проект!J954))/2</f>
        <v>0</v>
      </c>
      <c r="L1316" s="177">
        <f ca="1">(Старт!L72+Проект!L954+ IF(L$2=1, Старт!$B$18, Старт!K72+Проект!K954))/2</f>
        <v>0</v>
      </c>
      <c r="M1316" s="177">
        <f ca="1">(Старт!M72+Проект!M954+ IF(M$2=1, Старт!$B$18, Старт!L72+Проект!L954))/2</f>
        <v>102215277.77777778</v>
      </c>
      <c r="N1316" s="177">
        <f ca="1">(Старт!N72+Проект!N954+ IF(N$2=1, Старт!$B$18, Старт!M72+Проект!M954))/2</f>
        <v>204145833.33333331</v>
      </c>
      <c r="O1316" s="177">
        <f ca="1">(Старт!O72+Проект!O954+ IF(O$2=1, Старт!$B$18, Старт!N72+Проект!N954))/2</f>
        <v>203576388.8888889</v>
      </c>
      <c r="P1316" s="177">
        <f ca="1">(Старт!P72+Проект!P954+ IF(P$2=1, Старт!$B$18, Старт!O72+Проект!O954))/2</f>
        <v>203006944.44444448</v>
      </c>
      <c r="Q1316" s="177">
        <f ca="1">(Старт!Q72+Проект!Q954+ IF(Q$2=1, Старт!$B$18, Старт!P72+Проект!P954))/2</f>
        <v>202437500</v>
      </c>
      <c r="R1316" s="177">
        <f ca="1">(Старт!R72+Проект!R954+ IF(R$2=1, Старт!$B$18, Старт!Q72+Проект!Q954))/2</f>
        <v>201868055.55555552</v>
      </c>
      <c r="S1316" s="177">
        <f ca="1">(Старт!S72+Проект!S954+ IF(S$2=1, Старт!$B$18, Старт!R72+Проект!R954))/2</f>
        <v>201298611.1111111</v>
      </c>
      <c r="T1316" s="177">
        <f ca="1">(Старт!T72+Проект!T954+ IF(T$2=1, Старт!$B$18, Старт!S72+Проект!S954))/2</f>
        <v>200729166.66666669</v>
      </c>
      <c r="U1316" s="177">
        <f ca="1">(Старт!U72+Проект!U954+ IF(U$2=1, Старт!$B$18, Старт!T72+Проект!T954))/2</f>
        <v>200159722.22222221</v>
      </c>
      <c r="V1316" s="177">
        <f ca="1">(Старт!V72+Проект!V954+ IF(V$2=1, Старт!$B$18, Старт!U72+Проект!U954))/2</f>
        <v>199590277.77777779</v>
      </c>
      <c r="W1316" s="177">
        <f ca="1">(Старт!W72+Проект!W954+ IF(W$2=1, Старт!$B$18, Старт!V72+Проект!V954))/2</f>
        <v>199020833.33333331</v>
      </c>
      <c r="X1316" s="177">
        <f ca="1">(Старт!X72+Проект!X954+ IF(X$2=1, Старт!$B$18, Старт!W72+Проект!W954))/2</f>
        <v>198451388.8888889</v>
      </c>
      <c r="Y1316" s="177">
        <f ca="1">(Старт!Y72+Проект!Y954+ IF(Y$2=1, Старт!$B$18, Старт!X72+Проект!X954))/2</f>
        <v>197881944.44444445</v>
      </c>
      <c r="Z1316" s="177">
        <f ca="1">(Старт!Z72+Проект!Z954+ IF(Z$2=1, Старт!$B$18, Старт!Y72+Проект!Y954))/2</f>
        <v>197312499.99999997</v>
      </c>
      <c r="AA1316" s="177">
        <f ca="1">(Старт!AA72+Проект!AA954+ IF(AA$2=1, Старт!$B$18, Старт!Z72+Проект!Z954))/2</f>
        <v>196743055.55555552</v>
      </c>
      <c r="AB1316" s="177">
        <f ca="1">(Старт!AB72+Проект!AB954+ IF(AB$2=1, Старт!$B$18, Старт!AA72+Проект!AA954))/2</f>
        <v>196173611.1111111</v>
      </c>
      <c r="AC1316" s="177">
        <f ca="1">(Старт!AC72+Проект!AC954+ IF(AC$2=1, Старт!$B$18, Старт!AB72+Проект!AB954))/2</f>
        <v>195604166.66666669</v>
      </c>
      <c r="AD1316" s="177">
        <f ca="1">(Старт!AD72+Проект!AD954+ IF(AD$2=1, Старт!$B$18, Старт!AC72+Проект!AC954))/2</f>
        <v>195034722.22222221</v>
      </c>
      <c r="AE1316" s="177">
        <f ca="1">(Старт!AE72+Проект!AE954+ IF(AE$2=1, Старт!$B$18, Старт!AD72+Проект!AD954))/2</f>
        <v>194465277.77777779</v>
      </c>
      <c r="AF1316" s="177">
        <f ca="1">(Старт!AF72+Проект!AF954+ IF(AF$2=1, Старт!$B$18, Старт!AE72+Проект!AE954))/2</f>
        <v>193895833.33333331</v>
      </c>
      <c r="AG1316" s="177">
        <f ca="1">(Старт!AG72+Проект!AG954+ IF(AG$2=1, Старт!$B$18, Старт!AF72+Проект!AF954))/2</f>
        <v>193326388.8888889</v>
      </c>
      <c r="AH1316" s="177">
        <f ca="1">(Старт!AH72+Проект!AH954+ IF(AH$2=1, Старт!$B$18, Старт!AG72+Проект!AG954))/2</f>
        <v>192756944.44444445</v>
      </c>
      <c r="AI1316" s="177">
        <f ca="1">(Старт!AI72+Проект!AI954+ IF(AI$2=1, Старт!$B$18, Старт!AH72+Проект!AH954))/2</f>
        <v>192187500</v>
      </c>
      <c r="AJ1316" s="177">
        <f ca="1">(Старт!AJ72+Проект!AJ954+ IF(AJ$2=1, Старт!$B$18, Старт!AI72+Проект!AI954))/2</f>
        <v>191618055.55555555</v>
      </c>
      <c r="AK1316" s="177">
        <f ca="1">(Старт!AK72+Проект!AK954+ IF(AK$2=1, Старт!$B$18, Старт!AJ72+Проект!AJ954))/2</f>
        <v>191048611.1111111</v>
      </c>
      <c r="AL1316" s="177">
        <f ca="1">(Старт!AL72+Проект!AL954+ IF(AL$2=1, Старт!$B$18, Старт!AK72+Проект!AK954))/2</f>
        <v>190479166.66666669</v>
      </c>
      <c r="AM1316" s="177">
        <f ca="1">(Старт!AM72+Проект!AM954+ IF(AM$2=1, Старт!$B$18, Старт!AL72+Проект!AL954))/2</f>
        <v>189909722.22222221</v>
      </c>
      <c r="AN1316" s="177">
        <f ca="1">(Старт!AN72+Проект!AN954+ IF(AN$2=1, Старт!$B$18, Старт!AM72+Проект!AM954))/2</f>
        <v>189340277.77777779</v>
      </c>
      <c r="AO1316" s="177">
        <f ca="1">(Старт!AO72+Проект!AO954+ IF(AO$2=1, Старт!$B$18, Старт!AN72+Проект!AN954))/2</f>
        <v>188770833.33333331</v>
      </c>
      <c r="AP1316" s="177">
        <f ca="1">(Старт!AP72+Проект!AP954+ IF(AP$2=1, Старт!$B$18, Старт!AO72+Проект!AO954))/2</f>
        <v>188201388.8888889</v>
      </c>
      <c r="AQ1316" s="177">
        <f ca="1">(Старт!AQ72+Проект!AQ954+ IF(AQ$2=1, Старт!$B$18, Старт!AP72+Проект!AP954))/2</f>
        <v>187631944.44444445</v>
      </c>
      <c r="AR1316" s="177">
        <f ca="1">(Старт!AR72+Проект!AR954+ IF(AR$2=1, Старт!$B$18, Старт!AQ72+Проект!AQ954))/2</f>
        <v>187062500</v>
      </c>
      <c r="AS1316" s="177">
        <f ca="1">(Старт!AS72+Проект!AS954+ IF(AS$2=1, Старт!$B$18, Старт!AR72+Проект!AR954))/2</f>
        <v>186493055.55555555</v>
      </c>
      <c r="AT1316" s="177">
        <f ca="1">(Старт!AT72+Проект!AT954+ IF(AT$2=1, Старт!$B$18, Старт!AS72+Проект!AS954))/2</f>
        <v>185923611.1111111</v>
      </c>
      <c r="AU1316" s="177">
        <f ca="1">(Старт!AU72+Проект!AU954+ IF(AU$2=1, Старт!$B$18, Старт!AT72+Проект!AT954))/2</f>
        <v>185354166.66666669</v>
      </c>
      <c r="AV1316" s="177">
        <f ca="1">(Старт!AV72+Проект!AV954+ IF(AV$2=1, Старт!$B$18, Старт!AU72+Проект!AU954))/2</f>
        <v>184784722.22222221</v>
      </c>
      <c r="AW1316" s="177">
        <f ca="1">(Старт!AW72+Проект!AW954+ IF(AW$2=1, Старт!$B$18, Старт!AV72+Проект!AV954))/2</f>
        <v>184215277.77777779</v>
      </c>
      <c r="AX1316" s="177">
        <f ca="1">(Старт!AX72+Проект!AX954+ IF(AX$2=1, Старт!$B$18, Старт!AW72+Проект!AW954))/2</f>
        <v>183645833.33333331</v>
      </c>
      <c r="AY1316" s="177">
        <f ca="1">(Старт!AY72+Проект!AY954+ IF(AY$2=1, Старт!$B$18, Старт!AX72+Проект!AX954))/2</f>
        <v>183076388.8888889</v>
      </c>
      <c r="AZ1316" s="177">
        <f ca="1">(Старт!AZ72+Проект!AZ954+ IF(AZ$2=1, Старт!$B$18, Старт!AY72+Проект!AY954))/2</f>
        <v>182506944.44444445</v>
      </c>
      <c r="BA1316" s="177">
        <f ca="1">(Старт!BA72+Проект!BA954+ IF(BA$2=1, Старт!$B$18, Старт!AZ72+Проект!AZ954))/2</f>
        <v>181937500</v>
      </c>
      <c r="BB1316" s="177">
        <f ca="1">(Старт!BB72+Проект!BB954+ IF(BB$2=1, Старт!$B$18, Старт!BA72+Проект!BA954))/2</f>
        <v>181368055.55555555</v>
      </c>
    </row>
    <row r="1317" spans="1:56" hidden="1" outlineLevel="1" x14ac:dyDescent="0.3">
      <c r="A1317" s="184" t="str">
        <f ca="1">Language!A$1177</f>
        <v>в том числе, не облагаемых налогом</v>
      </c>
      <c r="C1317" s="163" t="str">
        <f t="shared" ca="1" si="4597"/>
        <v>руб.</v>
      </c>
      <c r="F1317" s="170" t="s">
        <v>2346</v>
      </c>
      <c r="G1317" s="289">
        <v>0</v>
      </c>
      <c r="H1317" s="289">
        <v>0</v>
      </c>
      <c r="I1317" s="289">
        <v>0</v>
      </c>
      <c r="J1317" s="289">
        <v>0</v>
      </c>
      <c r="K1317" s="289">
        <v>0</v>
      </c>
      <c r="L1317" s="289">
        <v>0</v>
      </c>
      <c r="M1317" s="289">
        <v>0</v>
      </c>
      <c r="N1317" s="289">
        <v>0</v>
      </c>
      <c r="O1317" s="289">
        <v>0</v>
      </c>
      <c r="P1317" s="289">
        <v>0</v>
      </c>
      <c r="Q1317" s="289">
        <v>0</v>
      </c>
      <c r="R1317" s="289">
        <v>0</v>
      </c>
      <c r="S1317" s="289">
        <v>0</v>
      </c>
      <c r="T1317" s="289">
        <v>0</v>
      </c>
      <c r="U1317" s="289">
        <v>0</v>
      </c>
      <c r="V1317" s="289">
        <v>0</v>
      </c>
      <c r="W1317" s="289">
        <v>0</v>
      </c>
      <c r="X1317" s="289">
        <v>0</v>
      </c>
      <c r="Y1317" s="289">
        <v>0</v>
      </c>
      <c r="Z1317" s="289">
        <v>0</v>
      </c>
      <c r="AA1317" s="289">
        <v>0</v>
      </c>
      <c r="AB1317" s="289">
        <v>0</v>
      </c>
      <c r="AC1317" s="289">
        <v>0</v>
      </c>
      <c r="AD1317" s="289">
        <v>0</v>
      </c>
      <c r="AE1317" s="289">
        <v>0</v>
      </c>
      <c r="AF1317" s="289">
        <v>0</v>
      </c>
      <c r="AG1317" s="289">
        <v>0</v>
      </c>
      <c r="AH1317" s="289">
        <v>0</v>
      </c>
      <c r="AI1317" s="289">
        <v>0</v>
      </c>
      <c r="AJ1317" s="289">
        <v>0</v>
      </c>
      <c r="AK1317" s="289">
        <v>0</v>
      </c>
      <c r="AL1317" s="289">
        <v>0</v>
      </c>
      <c r="AM1317" s="289">
        <v>0</v>
      </c>
      <c r="AN1317" s="289">
        <v>0</v>
      </c>
      <c r="AO1317" s="289">
        <v>0</v>
      </c>
      <c r="AP1317" s="289">
        <v>0</v>
      </c>
      <c r="AQ1317" s="289">
        <v>0</v>
      </c>
      <c r="AR1317" s="289">
        <v>0</v>
      </c>
      <c r="AS1317" s="289">
        <v>0</v>
      </c>
      <c r="AT1317" s="289">
        <v>0</v>
      </c>
      <c r="AU1317" s="289">
        <v>0</v>
      </c>
      <c r="AV1317" s="289">
        <v>0</v>
      </c>
      <c r="AW1317" s="289">
        <v>0</v>
      </c>
      <c r="AX1317" s="289">
        <v>0</v>
      </c>
      <c r="AY1317" s="289">
        <v>0</v>
      </c>
      <c r="AZ1317" s="289">
        <v>0</v>
      </c>
      <c r="BA1317" s="289">
        <v>0</v>
      </c>
      <c r="BB1317" s="289">
        <v>0</v>
      </c>
    </row>
    <row r="1318" spans="1:56" hidden="1" outlineLevel="1" x14ac:dyDescent="0.3">
      <c r="A1318" s="169" t="str">
        <f ca="1">Language!A$1178</f>
        <v>Средняя стоимость оборудования</v>
      </c>
      <c r="C1318" s="194" t="str">
        <f t="shared" ca="1" si="4597"/>
        <v>руб.</v>
      </c>
      <c r="F1318" s="170" t="s">
        <v>745</v>
      </c>
      <c r="G1318" s="177">
        <f ca="1">(Старт!G79+Проект!G969+Проект!G1048+Проект!G1257 + IF(G$2=1, Старт!$B$19,Старт!F79+Проект!F969+Проект!F1048+Проект!F1257))/2</f>
        <v>0</v>
      </c>
      <c r="H1318" s="177">
        <f ca="1">(Старт!H79+Проект!H969+Проект!H1048+Проект!H1257 + IF(H$2=1, Старт!$B$19,Старт!G79+Проект!G969+Проект!G1048+Проект!G1257))/2</f>
        <v>0</v>
      </c>
      <c r="I1318" s="177">
        <f ca="1">(Старт!I79+Проект!I969+Проект!I1048+Проект!I1257 + IF(I$2=1, Старт!$B$19,Старт!H79+Проект!H969+Проект!H1048+Проект!H1257))/2</f>
        <v>0</v>
      </c>
      <c r="J1318" s="177">
        <f ca="1">(Старт!J79+Проект!J969+Проект!J1048+Проект!J1257 + IF(J$2=1, Старт!$B$19,Старт!I79+Проект!I969+Проект!I1048+Проект!I1257))/2</f>
        <v>0</v>
      </c>
      <c r="K1318" s="177">
        <f ca="1">(Старт!K79+Проект!K969+Проект!K1048+Проект!K1257 + IF(K$2=1, Старт!$B$19,Старт!J79+Проект!J969+Проект!J1048+Проект!J1257))/2</f>
        <v>0</v>
      </c>
      <c r="L1318" s="177">
        <f ca="1">(Старт!L79+Проект!L969+Проект!L1048+Проект!L1257 + IF(L$2=1, Старт!$B$19,Старт!K79+Проект!K969+Проект!K1048+Проект!K1257))/2</f>
        <v>0</v>
      </c>
      <c r="M1318" s="177">
        <f ca="1">(Старт!M79+Проект!M969+Проект!M1048+Проект!M1257 + IF(M$2=1, Старт!$B$19,Старт!L79+Проект!L969+Проект!L1048+Проект!L1257))/2</f>
        <v>2925416.666666667</v>
      </c>
      <c r="N1318" s="177">
        <f ca="1">(Старт!N79+Проект!N969+Проект!N1048+Проект!N1257 + IF(N$2=1, Старт!$B$19,Старт!M79+Проект!M969+Проект!M1048+Проект!M1257))/2</f>
        <v>5826250</v>
      </c>
      <c r="O1318" s="177">
        <f ca="1">(Старт!O79+Проект!O969+Проект!O1048+Проект!O1257 + IF(O$2=1, Старт!$B$19,Старт!N79+Проект!N969+Проект!N1048+Проект!N1257))/2</f>
        <v>5777083.333333333</v>
      </c>
      <c r="P1318" s="177">
        <f ca="1">(Старт!P79+Проект!P969+Проект!P1048+Проект!P1257 + IF(P$2=1, Старт!$B$19,Старт!O79+Проект!O969+Проект!O1048+Проект!O1257))/2</f>
        <v>5727916.666666667</v>
      </c>
      <c r="Q1318" s="177">
        <f ca="1">(Старт!Q79+Проект!Q969+Проект!Q1048+Проект!Q1257 + IF(Q$2=1, Старт!$B$19,Старт!P79+Проект!P969+Проект!P1048+Проект!P1257))/2</f>
        <v>5678750</v>
      </c>
      <c r="R1318" s="177">
        <f ca="1">(Старт!R79+Проект!R969+Проект!R1048+Проект!R1257 + IF(R$2=1, Старт!$B$19,Старт!Q79+Проект!Q969+Проект!Q1048+Проект!Q1257))/2</f>
        <v>5629583.333333333</v>
      </c>
      <c r="S1318" s="177">
        <f ca="1">(Старт!S79+Проект!S969+Проект!S1048+Проект!S1257 + IF(S$2=1, Старт!$B$19,Старт!R79+Проект!R969+Проект!R1048+Проект!R1257))/2</f>
        <v>5580416.666666667</v>
      </c>
      <c r="T1318" s="177">
        <f ca="1">(Старт!T79+Проект!T969+Проект!T1048+Проект!T1257 + IF(T$2=1, Старт!$B$19,Старт!S79+Проект!S969+Проект!S1048+Проект!S1257))/2</f>
        <v>5531250</v>
      </c>
      <c r="U1318" s="177">
        <f ca="1">(Старт!U79+Проект!U969+Проект!U1048+Проект!U1257 + IF(U$2=1, Старт!$B$19,Старт!T79+Проект!T969+Проект!T1048+Проект!T1257))/2</f>
        <v>5482083.333333333</v>
      </c>
      <c r="V1318" s="177">
        <f ca="1">(Старт!V79+Проект!V969+Проект!V1048+Проект!V1257 + IF(V$2=1, Старт!$B$19,Старт!U79+Проект!U969+Проект!U1048+Проект!U1257))/2</f>
        <v>5432916.666666667</v>
      </c>
      <c r="W1318" s="177">
        <f ca="1">(Старт!W79+Проект!W969+Проект!W1048+Проект!W1257 + IF(W$2=1, Старт!$B$19,Старт!V79+Проект!V969+Проект!V1048+Проект!V1257))/2</f>
        <v>5383750</v>
      </c>
      <c r="X1318" s="177">
        <f ca="1">(Старт!X79+Проект!X969+Проект!X1048+Проект!X1257 + IF(X$2=1, Старт!$B$19,Старт!W79+Проект!W969+Проект!W1048+Проект!W1257))/2</f>
        <v>5334583.333333333</v>
      </c>
      <c r="Y1318" s="177">
        <f ca="1">(Старт!Y79+Проект!Y969+Проект!Y1048+Проект!Y1257 + IF(Y$2=1, Старт!$B$19,Старт!X79+Проект!X969+Проект!X1048+Проект!X1257))/2</f>
        <v>5285416.666666666</v>
      </c>
      <c r="Z1318" s="177">
        <f ca="1">(Старт!Z79+Проект!Z969+Проект!Z1048+Проект!Z1257 + IF(Z$2=1, Старт!$B$19,Старт!Y79+Проект!Y969+Проект!Y1048+Проект!Y1257))/2</f>
        <v>5236250</v>
      </c>
      <c r="AA1318" s="177">
        <f ca="1">(Старт!AA79+Проект!AA969+Проект!AA1048+Проект!AA1257 + IF(AA$2=1, Старт!$B$19,Старт!Z79+Проект!Z969+Проект!Z1048+Проект!Z1257))/2</f>
        <v>5187083.333333333</v>
      </c>
      <c r="AB1318" s="177">
        <f ca="1">(Старт!AB79+Проект!AB969+Проект!AB1048+Проект!AB1257 + IF(AB$2=1, Старт!$B$19,Старт!AA79+Проект!AA969+Проект!AA1048+Проект!AA1257))/2</f>
        <v>5137916.666666666</v>
      </c>
      <c r="AC1318" s="177">
        <f ca="1">(Старт!AC79+Проект!AC969+Проект!AC1048+Проект!AC1257 + IF(AC$2=1, Старт!$B$19,Старт!AB79+Проект!AB969+Проект!AB1048+Проект!AB1257))/2</f>
        <v>5088750</v>
      </c>
      <c r="AD1318" s="177">
        <f ca="1">(Старт!AD79+Проект!AD969+Проект!AD1048+Проект!AD1257 + IF(AD$2=1, Старт!$B$19,Старт!AC79+Проект!AC969+Проект!AC1048+Проект!AC1257))/2</f>
        <v>5039583.333333333</v>
      </c>
      <c r="AE1318" s="177">
        <f ca="1">(Старт!AE79+Проект!AE969+Проект!AE1048+Проект!AE1257 + IF(AE$2=1, Старт!$B$19,Старт!AD79+Проект!AD969+Проект!AD1048+Проект!AD1257))/2</f>
        <v>4990416.666666667</v>
      </c>
      <c r="AF1318" s="177">
        <f ca="1">(Старт!AF79+Проект!AF969+Проект!AF1048+Проект!AF1257 + IF(AF$2=1, Старт!$B$19,Старт!AE79+Проект!AE969+Проект!AE1048+Проект!AE1257))/2</f>
        <v>4941250</v>
      </c>
      <c r="AG1318" s="177">
        <f ca="1">(Старт!AG79+Проект!AG969+Проект!AG1048+Проект!AG1257 + IF(AG$2=1, Старт!$B$19,Старт!AF79+Проект!AF969+Проект!AF1048+Проект!AF1257))/2</f>
        <v>4892083.333333334</v>
      </c>
      <c r="AH1318" s="177">
        <f ca="1">(Старт!AH79+Проект!AH969+Проект!AH1048+Проект!AH1257 + IF(AH$2=1, Старт!$B$19,Старт!AG79+Проект!AG969+Проект!AG1048+Проект!AG1257))/2</f>
        <v>4842916.666666667</v>
      </c>
      <c r="AI1318" s="177">
        <f ca="1">(Старт!AI79+Проект!AI969+Проект!AI1048+Проект!AI1257 + IF(AI$2=1, Старт!$B$19,Старт!AH79+Проект!AH969+Проект!AH1048+Проект!AH1257))/2</f>
        <v>4793750</v>
      </c>
      <c r="AJ1318" s="177">
        <f ca="1">(Старт!AJ79+Проект!AJ969+Проект!AJ1048+Проект!AJ1257 + IF(AJ$2=1, Старт!$B$19,Старт!AI79+Проект!AI969+Проект!AI1048+Проект!AI1257))/2</f>
        <v>4744583.333333334</v>
      </c>
      <c r="AK1318" s="177">
        <f ca="1">(Старт!AK79+Проект!AK969+Проект!AK1048+Проект!AK1257 + IF(AK$2=1, Старт!$B$19,Старт!AJ79+Проект!AJ969+Проект!AJ1048+Проект!AJ1257))/2</f>
        <v>4695416.666666667</v>
      </c>
      <c r="AL1318" s="177">
        <f ca="1">(Старт!AL79+Проект!AL969+Проект!AL1048+Проект!AL1257 + IF(AL$2=1, Старт!$B$19,Старт!AK79+Проект!AK969+Проект!AK1048+Проект!AK1257))/2</f>
        <v>4646250</v>
      </c>
      <c r="AM1318" s="177">
        <f ca="1">(Старт!AM79+Проект!AM969+Проект!AM1048+Проект!AM1257 + IF(AM$2=1, Старт!$B$19,Старт!AL79+Проект!AL969+Проект!AL1048+Проект!AL1257))/2</f>
        <v>4597083.333333334</v>
      </c>
      <c r="AN1318" s="177">
        <f ca="1">(Старт!AN79+Проект!AN969+Проект!AN1048+Проект!AN1257 + IF(AN$2=1, Старт!$B$19,Старт!AM79+Проект!AM969+Проект!AM1048+Проект!AM1257))/2</f>
        <v>4547916.666666667</v>
      </c>
      <c r="AO1318" s="177">
        <f ca="1">(Старт!AO79+Проект!AO969+Проект!AO1048+Проект!AO1257 + IF(AO$2=1, Старт!$B$19,Старт!AN79+Проект!AN969+Проект!AN1048+Проект!AN1257))/2</f>
        <v>4498750</v>
      </c>
      <c r="AP1318" s="177">
        <f ca="1">(Старт!AP79+Проект!AP969+Проект!AP1048+Проект!AP1257 + IF(AP$2=1, Старт!$B$19,Старт!AO79+Проект!AO969+Проект!AO1048+Проект!AO1257))/2</f>
        <v>4449583.333333334</v>
      </c>
      <c r="AQ1318" s="177">
        <f ca="1">(Старт!AQ79+Проект!AQ969+Проект!AQ1048+Проект!AQ1257 + IF(AQ$2=1, Старт!$B$19,Старт!AP79+Проект!AP969+Проект!AP1048+Проект!AP1257))/2</f>
        <v>4400416.666666667</v>
      </c>
      <c r="AR1318" s="177">
        <f ca="1">(Старт!AR79+Проект!AR969+Проект!AR1048+Проект!AR1257 + IF(AR$2=1, Старт!$B$19,Старт!AQ79+Проект!AQ969+Проект!AQ1048+Проект!AQ1257))/2</f>
        <v>4351250</v>
      </c>
      <c r="AS1318" s="177">
        <f ca="1">(Старт!AS79+Проект!AS969+Проект!AS1048+Проект!AS1257 + IF(AS$2=1, Старт!$B$19,Старт!AR79+Проект!AR969+Проект!AR1048+Проект!AR1257))/2</f>
        <v>4302083.333333334</v>
      </c>
      <c r="AT1318" s="177">
        <f ca="1">(Старт!AT79+Проект!AT969+Проект!AT1048+Проект!AT1257 + IF(AT$2=1, Старт!$B$19,Старт!AS79+Проект!AS969+Проект!AS1048+Проект!AS1257))/2</f>
        <v>4252916.666666667</v>
      </c>
      <c r="AU1318" s="177">
        <f ca="1">(Старт!AU79+Проект!AU969+Проект!AU1048+Проект!AU1257 + IF(AU$2=1, Старт!$B$19,Старт!AT79+Проект!AT969+Проект!AT1048+Проект!AT1257))/2</f>
        <v>4203750</v>
      </c>
      <c r="AV1318" s="177">
        <f ca="1">(Старт!AV79+Проект!AV969+Проект!AV1048+Проект!AV1257 + IF(AV$2=1, Старт!$B$19,Старт!AU79+Проект!AU969+Проект!AU1048+Проект!AU1257))/2</f>
        <v>4154583.3333333335</v>
      </c>
      <c r="AW1318" s="177">
        <f ca="1">(Старт!AW79+Проект!AW969+Проект!AW1048+Проект!AW1257 + IF(AW$2=1, Старт!$B$19,Старт!AV79+Проект!AV969+Проект!AV1048+Проект!AV1257))/2</f>
        <v>4105416.6666666665</v>
      </c>
      <c r="AX1318" s="177">
        <f ca="1">(Старт!AX79+Проект!AX969+Проект!AX1048+Проект!AX1257 + IF(AX$2=1, Старт!$B$19,Старт!AW79+Проект!AW969+Проект!AW1048+Проект!AW1257))/2</f>
        <v>4056250</v>
      </c>
      <c r="AY1318" s="177">
        <f ca="1">(Старт!AY79+Проект!AY969+Проект!AY1048+Проект!AY1257 + IF(AY$2=1, Старт!$B$19,Старт!AX79+Проект!AX969+Проект!AX1048+Проект!AX1257))/2</f>
        <v>4007083.333333333</v>
      </c>
      <c r="AZ1318" s="177">
        <f ca="1">(Старт!AZ79+Проект!AZ969+Проект!AZ1048+Проект!AZ1257 + IF(AZ$2=1, Старт!$B$19,Старт!AY79+Проект!AY969+Проект!AY1048+Проект!AY1257))/2</f>
        <v>3957916.6666666665</v>
      </c>
      <c r="BA1318" s="177">
        <f ca="1">(Старт!BA79+Проект!BA969+Проект!BA1048+Проект!BA1257 + IF(BA$2=1, Старт!$B$19,Старт!AZ79+Проект!AZ969+Проект!AZ1048+Проект!AZ1257))/2</f>
        <v>3908749.9999999995</v>
      </c>
      <c r="BB1318" s="177">
        <f ca="1">(Старт!BB79+Проект!BB969+Проект!BB1048+Проект!BB1257 + IF(BB$2=1, Старт!$B$19,Старт!BA79+Проект!BA969+Проект!BA1048+Проект!BA1257))/2</f>
        <v>3859583.333333333</v>
      </c>
    </row>
    <row r="1319" spans="1:56" hidden="1" outlineLevel="1" x14ac:dyDescent="0.3">
      <c r="A1319" s="184" t="str">
        <f ca="1">Language!A$1179</f>
        <v>в том числе, не облагаемого налогом</v>
      </c>
      <c r="C1319" s="163" t="str">
        <f t="shared" ca="1" si="4597"/>
        <v>руб.</v>
      </c>
      <c r="F1319" s="170" t="s">
        <v>2346</v>
      </c>
      <c r="G1319" s="289">
        <v>0</v>
      </c>
      <c r="H1319" s="289">
        <v>0</v>
      </c>
      <c r="I1319" s="289">
        <v>0</v>
      </c>
      <c r="J1319" s="289">
        <v>0</v>
      </c>
      <c r="K1319" s="289">
        <v>0</v>
      </c>
      <c r="L1319" s="289">
        <v>0</v>
      </c>
      <c r="M1319" s="289">
        <v>0</v>
      </c>
      <c r="N1319" s="289">
        <v>0</v>
      </c>
      <c r="O1319" s="289">
        <v>0</v>
      </c>
      <c r="P1319" s="289">
        <v>0</v>
      </c>
      <c r="Q1319" s="289">
        <v>0</v>
      </c>
      <c r="R1319" s="289">
        <v>0</v>
      </c>
      <c r="S1319" s="289">
        <v>0</v>
      </c>
      <c r="T1319" s="289">
        <v>0</v>
      </c>
      <c r="U1319" s="289">
        <v>0</v>
      </c>
      <c r="V1319" s="289">
        <v>0</v>
      </c>
      <c r="W1319" s="289">
        <v>0</v>
      </c>
      <c r="X1319" s="289">
        <v>0</v>
      </c>
      <c r="Y1319" s="289">
        <v>0</v>
      </c>
      <c r="Z1319" s="289">
        <v>0</v>
      </c>
      <c r="AA1319" s="289">
        <v>0</v>
      </c>
      <c r="AB1319" s="289">
        <v>0</v>
      </c>
      <c r="AC1319" s="289">
        <v>0</v>
      </c>
      <c r="AD1319" s="289">
        <v>0</v>
      </c>
      <c r="AE1319" s="289">
        <v>0</v>
      </c>
      <c r="AF1319" s="289">
        <v>0</v>
      </c>
      <c r="AG1319" s="289">
        <v>0</v>
      </c>
      <c r="AH1319" s="289">
        <v>0</v>
      </c>
      <c r="AI1319" s="289">
        <v>0</v>
      </c>
      <c r="AJ1319" s="289">
        <v>0</v>
      </c>
      <c r="AK1319" s="289">
        <v>0</v>
      </c>
      <c r="AL1319" s="289">
        <v>0</v>
      </c>
      <c r="AM1319" s="289">
        <v>0</v>
      </c>
      <c r="AN1319" s="289">
        <v>0</v>
      </c>
      <c r="AO1319" s="289">
        <v>0</v>
      </c>
      <c r="AP1319" s="289">
        <v>0</v>
      </c>
      <c r="AQ1319" s="289">
        <v>0</v>
      </c>
      <c r="AR1319" s="289">
        <v>0</v>
      </c>
      <c r="AS1319" s="289">
        <v>0</v>
      </c>
      <c r="AT1319" s="289">
        <v>0</v>
      </c>
      <c r="AU1319" s="289">
        <v>0</v>
      </c>
      <c r="AV1319" s="289">
        <v>0</v>
      </c>
      <c r="AW1319" s="289">
        <v>0</v>
      </c>
      <c r="AX1319" s="289">
        <v>0</v>
      </c>
      <c r="AY1319" s="289">
        <v>0</v>
      </c>
      <c r="AZ1319" s="289">
        <v>0</v>
      </c>
      <c r="BA1319" s="289">
        <v>0</v>
      </c>
      <c r="BB1319" s="289">
        <v>0</v>
      </c>
    </row>
    <row r="1320" spans="1:56" x14ac:dyDescent="0.3">
      <c r="G1320" s="177"/>
      <c r="H1320" s="177"/>
      <c r="I1320" s="177"/>
      <c r="J1320" s="177"/>
      <c r="K1320" s="177"/>
      <c r="L1320" s="177"/>
      <c r="M1320" s="177"/>
      <c r="N1320" s="177"/>
      <c r="O1320" s="177"/>
      <c r="P1320" s="177"/>
      <c r="Q1320" s="177"/>
      <c r="R1320" s="177"/>
      <c r="S1320" s="177"/>
      <c r="T1320" s="177"/>
      <c r="U1320" s="177"/>
      <c r="V1320" s="177"/>
      <c r="W1320" s="177"/>
      <c r="X1320" s="177"/>
      <c r="Y1320" s="177"/>
      <c r="Z1320" s="177"/>
      <c r="AA1320" s="177"/>
      <c r="AB1320" s="177"/>
      <c r="AC1320" s="177"/>
      <c r="AD1320" s="177"/>
      <c r="AE1320" s="177"/>
      <c r="AF1320" s="177"/>
      <c r="AG1320" s="177"/>
      <c r="AH1320" s="177"/>
      <c r="AI1320" s="177"/>
      <c r="AJ1320" s="177"/>
      <c r="AK1320" s="177"/>
      <c r="AL1320" s="177"/>
      <c r="AM1320" s="177"/>
      <c r="AN1320" s="177"/>
      <c r="AO1320" s="177"/>
      <c r="AP1320" s="177"/>
      <c r="AQ1320" s="177"/>
      <c r="AR1320" s="177"/>
      <c r="AS1320" s="177"/>
      <c r="AT1320" s="177"/>
      <c r="AU1320" s="177"/>
      <c r="AV1320" s="177"/>
      <c r="AW1320" s="177"/>
      <c r="AX1320" s="177"/>
      <c r="AY1320" s="177"/>
      <c r="AZ1320" s="177"/>
      <c r="BA1320" s="177"/>
      <c r="BB1320" s="177"/>
    </row>
    <row r="1321" spans="1:56" collapsed="1" x14ac:dyDescent="0.3">
      <c r="A1321" s="195" t="str">
        <f ca="1">Language!A$1180</f>
        <v>Начисленные социальные взносы</v>
      </c>
      <c r="C1321" s="194" t="str">
        <f t="shared" ca="1" si="4597"/>
        <v>руб.</v>
      </c>
      <c r="F1321" s="170" t="s">
        <v>740</v>
      </c>
      <c r="G1321" s="210">
        <f t="shared" ref="G1321:BB1321" ca="1" si="4644">G413</f>
        <v>0</v>
      </c>
      <c r="H1321" s="210">
        <f t="shared" ca="1" si="4644"/>
        <v>0</v>
      </c>
      <c r="I1321" s="210">
        <f t="shared" ca="1" si="4644"/>
        <v>0</v>
      </c>
      <c r="J1321" s="210">
        <f t="shared" ca="1" si="4644"/>
        <v>0</v>
      </c>
      <c r="K1321" s="210">
        <f t="shared" ca="1" si="4644"/>
        <v>0</v>
      </c>
      <c r="L1321" s="210">
        <f t="shared" ca="1" si="4644"/>
        <v>0</v>
      </c>
      <c r="M1321" s="210">
        <f t="shared" ca="1" si="4644"/>
        <v>311185.42101133219</v>
      </c>
      <c r="N1321" s="210">
        <f t="shared" ca="1" si="4644"/>
        <v>312700.13178330241</v>
      </c>
      <c r="O1321" s="210">
        <f t="shared" ca="1" si="4644"/>
        <v>314222.21548654704</v>
      </c>
      <c r="P1321" s="210">
        <f t="shared" ca="1" si="4644"/>
        <v>315751.70800918189</v>
      </c>
      <c r="Q1321" s="210">
        <f t="shared" ca="1" si="4644"/>
        <v>317288.6454140101</v>
      </c>
      <c r="R1321" s="210">
        <f t="shared" ca="1" si="4644"/>
        <v>318833.06393937202</v>
      </c>
      <c r="S1321" s="210">
        <f t="shared" ca="1" si="4644"/>
        <v>320385.00000000017</v>
      </c>
      <c r="T1321" s="210">
        <f t="shared" ca="1" si="4644"/>
        <v>321944.49018787761</v>
      </c>
      <c r="U1321" s="210">
        <f t="shared" ca="1" si="4644"/>
        <v>323511.57127310062</v>
      </c>
      <c r="V1321" s="210">
        <f t="shared" ca="1" si="4644"/>
        <v>325086.28020474606</v>
      </c>
      <c r="W1321" s="210">
        <f t="shared" ca="1" si="4644"/>
        <v>326668.65411174198</v>
      </c>
      <c r="X1321" s="210">
        <f t="shared" ca="1" si="4644"/>
        <v>328258.73030374345</v>
      </c>
      <c r="Y1321" s="210">
        <f t="shared" ca="1" si="4644"/>
        <v>329856.54627201223</v>
      </c>
      <c r="Z1321" s="210">
        <f t="shared" ca="1" si="4644"/>
        <v>331462.13969030068</v>
      </c>
      <c r="AA1321" s="210">
        <f t="shared" ca="1" si="4644"/>
        <v>333075.54841573996</v>
      </c>
      <c r="AB1321" s="210">
        <f t="shared" ca="1" si="4644"/>
        <v>334696.81048973295</v>
      </c>
      <c r="AC1321" s="210">
        <f t="shared" ca="1" si="4644"/>
        <v>336325.9641388508</v>
      </c>
      <c r="AD1321" s="210">
        <f t="shared" ca="1" si="4644"/>
        <v>337963.04777573439</v>
      </c>
      <c r="AE1321" s="210">
        <f t="shared" ca="1" si="4644"/>
        <v>339608.10000000021</v>
      </c>
      <c r="AF1321" s="210">
        <f t="shared" ca="1" si="4644"/>
        <v>341261.15959915024</v>
      </c>
      <c r="AG1321" s="210">
        <f t="shared" ca="1" si="4644"/>
        <v>342922.26554948679</v>
      </c>
      <c r="AH1321" s="210">
        <f t="shared" ca="1" si="4644"/>
        <v>344591.45701703092</v>
      </c>
      <c r="AI1321" s="210">
        <f t="shared" ca="1" si="4644"/>
        <v>346268.77335844649</v>
      </c>
      <c r="AJ1321" s="210">
        <f t="shared" ca="1" si="4644"/>
        <v>347954.25412196812</v>
      </c>
      <c r="AK1321" s="210">
        <f t="shared" ca="1" si="4644"/>
        <v>349647.93904833298</v>
      </c>
      <c r="AL1321" s="210">
        <f t="shared" ca="1" si="4644"/>
        <v>351349.86807171867</v>
      </c>
      <c r="AM1321" s="210">
        <f t="shared" ca="1" si="4644"/>
        <v>353060.0813206844</v>
      </c>
      <c r="AN1321" s="210">
        <f t="shared" ca="1" si="4644"/>
        <v>354778.61911911698</v>
      </c>
      <c r="AO1321" s="210">
        <f t="shared" ca="1" si="4644"/>
        <v>356505.52198718186</v>
      </c>
      <c r="AP1321" s="210">
        <f t="shared" ca="1" si="4644"/>
        <v>358240.83064227842</v>
      </c>
      <c r="AQ1321" s="210">
        <f t="shared" ca="1" si="4644"/>
        <v>359984.5860000003</v>
      </c>
      <c r="AR1321" s="210">
        <f t="shared" ca="1" si="4644"/>
        <v>361736.82917509932</v>
      </c>
      <c r="AS1321" s="210">
        <f t="shared" ca="1" si="4644"/>
        <v>363497.60148245603</v>
      </c>
      <c r="AT1321" s="210">
        <f t="shared" ca="1" si="4644"/>
        <v>365266.94443805271</v>
      </c>
      <c r="AU1321" s="210">
        <f t="shared" ca="1" si="4644"/>
        <v>367044.89975995326</v>
      </c>
      <c r="AV1321" s="210">
        <f t="shared" ca="1" si="4644"/>
        <v>368831.50936928618</v>
      </c>
      <c r="AW1321" s="210">
        <f t="shared" ca="1" si="4644"/>
        <v>370626.81539123296</v>
      </c>
      <c r="AX1321" s="210">
        <f t="shared" ca="1" si="4644"/>
        <v>372430.8601560219</v>
      </c>
      <c r="AY1321" s="210">
        <f t="shared" ca="1" si="4644"/>
        <v>374243.68619992555</v>
      </c>
      <c r="AZ1321" s="210">
        <f t="shared" ca="1" si="4644"/>
        <v>376065.33626626403</v>
      </c>
      <c r="BA1321" s="210">
        <f t="shared" ca="1" si="4644"/>
        <v>377895.85330641281</v>
      </c>
      <c r="BB1321" s="210">
        <f t="shared" ca="1" si="4644"/>
        <v>379735.28048081521</v>
      </c>
      <c r="BD1321" s="211">
        <f ca="1">SUM(G1321:BC1321)</f>
        <v>14462765.040368246</v>
      </c>
    </row>
    <row r="1322" spans="1:56" hidden="1" outlineLevel="1" x14ac:dyDescent="0.3">
      <c r="A1322" s="184" t="str">
        <f ca="1">Language!A$1181</f>
        <v>задолженность по взносам</v>
      </c>
      <c r="B1322" s="200"/>
      <c r="C1322" s="194" t="str">
        <f t="shared" ca="1" si="4597"/>
        <v>руб.</v>
      </c>
      <c r="D1322" s="174"/>
      <c r="F1322" s="170" t="s">
        <v>741</v>
      </c>
      <c r="G1322" s="188">
        <f t="shared" ref="G1322:BB1322" ca="1" si="4645">G416</f>
        <v>0</v>
      </c>
      <c r="H1322" s="188">
        <f t="shared" ca="1" si="4645"/>
        <v>0</v>
      </c>
      <c r="I1322" s="188">
        <f t="shared" ca="1" si="4645"/>
        <v>0</v>
      </c>
      <c r="J1322" s="188">
        <f t="shared" ca="1" si="4645"/>
        <v>0</v>
      </c>
      <c r="K1322" s="188">
        <f t="shared" ca="1" si="4645"/>
        <v>0</v>
      </c>
      <c r="L1322" s="188">
        <f t="shared" ca="1" si="4645"/>
        <v>0</v>
      </c>
      <c r="M1322" s="188">
        <f t="shared" ca="1" si="4645"/>
        <v>311185.42101133219</v>
      </c>
      <c r="N1322" s="188">
        <f t="shared" ca="1" si="4645"/>
        <v>312700.13178330235</v>
      </c>
      <c r="O1322" s="188">
        <f t="shared" ca="1" si="4645"/>
        <v>314222.21548654704</v>
      </c>
      <c r="P1322" s="188">
        <f t="shared" ca="1" si="4645"/>
        <v>315751.70800918189</v>
      </c>
      <c r="Q1322" s="188">
        <f t="shared" ca="1" si="4645"/>
        <v>317288.6454140101</v>
      </c>
      <c r="R1322" s="188">
        <f t="shared" ca="1" si="4645"/>
        <v>318833.06393937202</v>
      </c>
      <c r="S1322" s="188">
        <f t="shared" ca="1" si="4645"/>
        <v>320385.00000000017</v>
      </c>
      <c r="T1322" s="188">
        <f t="shared" ca="1" si="4645"/>
        <v>321944.49018787761</v>
      </c>
      <c r="U1322" s="188">
        <f t="shared" ca="1" si="4645"/>
        <v>323511.57127310062</v>
      </c>
      <c r="V1322" s="188">
        <f t="shared" ca="1" si="4645"/>
        <v>325086.28020474606</v>
      </c>
      <c r="W1322" s="188">
        <f t="shared" ca="1" si="4645"/>
        <v>326668.65411174198</v>
      </c>
      <c r="X1322" s="188">
        <f t="shared" ca="1" si="4645"/>
        <v>328258.73030374345</v>
      </c>
      <c r="Y1322" s="188">
        <f t="shared" ca="1" si="4645"/>
        <v>329856.54627201223</v>
      </c>
      <c r="Z1322" s="188">
        <f t="shared" ca="1" si="4645"/>
        <v>331462.13969030068</v>
      </c>
      <c r="AA1322" s="188">
        <f t="shared" ca="1" si="4645"/>
        <v>333075.54841573996</v>
      </c>
      <c r="AB1322" s="188">
        <f t="shared" ca="1" si="4645"/>
        <v>334696.81048973295</v>
      </c>
      <c r="AC1322" s="188">
        <f t="shared" ca="1" si="4645"/>
        <v>336325.9641388508</v>
      </c>
      <c r="AD1322" s="188">
        <f t="shared" ca="1" si="4645"/>
        <v>337963.04777573439</v>
      </c>
      <c r="AE1322" s="188">
        <f t="shared" ca="1" si="4645"/>
        <v>339608.10000000021</v>
      </c>
      <c r="AF1322" s="188">
        <f t="shared" ca="1" si="4645"/>
        <v>341261.15959915024</v>
      </c>
      <c r="AG1322" s="188">
        <f t="shared" ca="1" si="4645"/>
        <v>342922.26554948679</v>
      </c>
      <c r="AH1322" s="188">
        <f t="shared" ca="1" si="4645"/>
        <v>344591.45701703092</v>
      </c>
      <c r="AI1322" s="188">
        <f t="shared" ca="1" si="4645"/>
        <v>346268.77335844649</v>
      </c>
      <c r="AJ1322" s="188">
        <f t="shared" ca="1" si="4645"/>
        <v>347954.25412196812</v>
      </c>
      <c r="AK1322" s="188">
        <f t="shared" ca="1" si="4645"/>
        <v>349647.93904833298</v>
      </c>
      <c r="AL1322" s="188">
        <f t="shared" ca="1" si="4645"/>
        <v>351349.86807171867</v>
      </c>
      <c r="AM1322" s="188">
        <f t="shared" ca="1" si="4645"/>
        <v>353060.0813206844</v>
      </c>
      <c r="AN1322" s="188">
        <f t="shared" ca="1" si="4645"/>
        <v>354778.61911911698</v>
      </c>
      <c r="AO1322" s="188">
        <f t="shared" ca="1" si="4645"/>
        <v>356505.52198718186</v>
      </c>
      <c r="AP1322" s="188">
        <f t="shared" ca="1" si="4645"/>
        <v>358240.83064227842</v>
      </c>
      <c r="AQ1322" s="188">
        <f t="shared" ca="1" si="4645"/>
        <v>359984.5860000003</v>
      </c>
      <c r="AR1322" s="188">
        <f t="shared" ca="1" si="4645"/>
        <v>361736.82917509932</v>
      </c>
      <c r="AS1322" s="188">
        <f t="shared" ca="1" si="4645"/>
        <v>363497.60148245603</v>
      </c>
      <c r="AT1322" s="188">
        <f t="shared" ca="1" si="4645"/>
        <v>365266.94443805271</v>
      </c>
      <c r="AU1322" s="188">
        <f t="shared" ca="1" si="4645"/>
        <v>367044.89975995326</v>
      </c>
      <c r="AV1322" s="188">
        <f t="shared" ca="1" si="4645"/>
        <v>368831.50936928618</v>
      </c>
      <c r="AW1322" s="188">
        <f t="shared" ca="1" si="4645"/>
        <v>370626.81539123296</v>
      </c>
      <c r="AX1322" s="188">
        <f t="shared" ca="1" si="4645"/>
        <v>372430.8601560219</v>
      </c>
      <c r="AY1322" s="188">
        <f t="shared" ca="1" si="4645"/>
        <v>374243.68619992555</v>
      </c>
      <c r="AZ1322" s="188">
        <f t="shared" ca="1" si="4645"/>
        <v>376065.33626626403</v>
      </c>
      <c r="BA1322" s="188">
        <f t="shared" ca="1" si="4645"/>
        <v>377895.85330641281</v>
      </c>
      <c r="BB1322" s="188">
        <f t="shared" ca="1" si="4645"/>
        <v>379735.28048081521</v>
      </c>
      <c r="BC1322" s="188"/>
      <c r="BD1322" s="178">
        <f ca="1">SUM(G1322:BC1322)</f>
        <v>14462765.040368246</v>
      </c>
    </row>
    <row r="1323" spans="1:56" hidden="1" outlineLevel="1" x14ac:dyDescent="0.3">
      <c r="A1323" s="184" t="str">
        <f ca="1">Language!A$1182</f>
        <v>уплаченные социальные взносы</v>
      </c>
      <c r="B1323" s="195"/>
      <c r="C1323" s="194" t="str">
        <f t="shared" ca="1" si="4597"/>
        <v>руб.</v>
      </c>
      <c r="F1323" s="170" t="s">
        <v>740</v>
      </c>
      <c r="G1323" s="185">
        <f t="shared" ref="G1323:BB1323" ca="1" si="4646">G419</f>
        <v>0</v>
      </c>
      <c r="H1323" s="185">
        <f t="shared" ca="1" si="4646"/>
        <v>0</v>
      </c>
      <c r="I1323" s="185">
        <f t="shared" ca="1" si="4646"/>
        <v>0</v>
      </c>
      <c r="J1323" s="185">
        <f t="shared" ca="1" si="4646"/>
        <v>0</v>
      </c>
      <c r="K1323" s="185">
        <f t="shared" ca="1" si="4646"/>
        <v>0</v>
      </c>
      <c r="L1323" s="185">
        <f t="shared" ca="1" si="4646"/>
        <v>0</v>
      </c>
      <c r="M1323" s="185">
        <f t="shared" ca="1" si="4646"/>
        <v>0</v>
      </c>
      <c r="N1323" s="185">
        <f t="shared" ca="1" si="4646"/>
        <v>311185.42101133225</v>
      </c>
      <c r="O1323" s="185">
        <f t="shared" ca="1" si="4646"/>
        <v>312700.13178330235</v>
      </c>
      <c r="P1323" s="185">
        <f t="shared" ca="1" si="4646"/>
        <v>314222.21548654704</v>
      </c>
      <c r="Q1323" s="185">
        <f t="shared" ca="1" si="4646"/>
        <v>315751.70800918189</v>
      </c>
      <c r="R1323" s="185">
        <f t="shared" ca="1" si="4646"/>
        <v>317288.6454140101</v>
      </c>
      <c r="S1323" s="185">
        <f t="shared" ca="1" si="4646"/>
        <v>318833.06393937202</v>
      </c>
      <c r="T1323" s="185">
        <f t="shared" ca="1" si="4646"/>
        <v>320385.00000000017</v>
      </c>
      <c r="U1323" s="185">
        <f t="shared" ca="1" si="4646"/>
        <v>321944.49018787761</v>
      </c>
      <c r="V1323" s="185">
        <f t="shared" ca="1" si="4646"/>
        <v>323511.57127310062</v>
      </c>
      <c r="W1323" s="185">
        <f t="shared" ca="1" si="4646"/>
        <v>325086.28020474606</v>
      </c>
      <c r="X1323" s="185">
        <f t="shared" ca="1" si="4646"/>
        <v>326668.65411174198</v>
      </c>
      <c r="Y1323" s="185">
        <f t="shared" ca="1" si="4646"/>
        <v>328258.73030374345</v>
      </c>
      <c r="Z1323" s="185">
        <f t="shared" ca="1" si="4646"/>
        <v>329856.54627201223</v>
      </c>
      <c r="AA1323" s="185">
        <f t="shared" ca="1" si="4646"/>
        <v>331462.13969030068</v>
      </c>
      <c r="AB1323" s="185">
        <f t="shared" ca="1" si="4646"/>
        <v>333075.54841573996</v>
      </c>
      <c r="AC1323" s="185">
        <f t="shared" ca="1" si="4646"/>
        <v>334696.81048973295</v>
      </c>
      <c r="AD1323" s="185">
        <f t="shared" ca="1" si="4646"/>
        <v>336325.9641388508</v>
      </c>
      <c r="AE1323" s="185">
        <f t="shared" ca="1" si="4646"/>
        <v>337963.04777573439</v>
      </c>
      <c r="AF1323" s="185">
        <f t="shared" ca="1" si="4646"/>
        <v>339608.10000000021</v>
      </c>
      <c r="AG1323" s="185">
        <f t="shared" ca="1" si="4646"/>
        <v>341261.15959915024</v>
      </c>
      <c r="AH1323" s="185">
        <f t="shared" ca="1" si="4646"/>
        <v>342922.26554948679</v>
      </c>
      <c r="AI1323" s="185">
        <f t="shared" ca="1" si="4646"/>
        <v>344591.45701703092</v>
      </c>
      <c r="AJ1323" s="185">
        <f t="shared" ca="1" si="4646"/>
        <v>346268.77335844649</v>
      </c>
      <c r="AK1323" s="185">
        <f t="shared" ca="1" si="4646"/>
        <v>347954.25412196812</v>
      </c>
      <c r="AL1323" s="185">
        <f t="shared" ca="1" si="4646"/>
        <v>349647.93904833298</v>
      </c>
      <c r="AM1323" s="185">
        <f t="shared" ca="1" si="4646"/>
        <v>351349.86807171867</v>
      </c>
      <c r="AN1323" s="185">
        <f t="shared" ca="1" si="4646"/>
        <v>353060.0813206844</v>
      </c>
      <c r="AO1323" s="185">
        <f t="shared" ca="1" si="4646"/>
        <v>354778.61911911698</v>
      </c>
      <c r="AP1323" s="185">
        <f t="shared" ca="1" si="4646"/>
        <v>356505.52198718186</v>
      </c>
      <c r="AQ1323" s="185">
        <f t="shared" ca="1" si="4646"/>
        <v>358240.83064227842</v>
      </c>
      <c r="AR1323" s="185">
        <f t="shared" ca="1" si="4646"/>
        <v>359984.5860000003</v>
      </c>
      <c r="AS1323" s="185">
        <f t="shared" ca="1" si="4646"/>
        <v>361736.82917509932</v>
      </c>
      <c r="AT1323" s="185">
        <f t="shared" ca="1" si="4646"/>
        <v>363497.60148245603</v>
      </c>
      <c r="AU1323" s="185">
        <f t="shared" ca="1" si="4646"/>
        <v>365266.94443805271</v>
      </c>
      <c r="AV1323" s="185">
        <f t="shared" ca="1" si="4646"/>
        <v>367044.89975995326</v>
      </c>
      <c r="AW1323" s="185">
        <f t="shared" ca="1" si="4646"/>
        <v>368831.50936928618</v>
      </c>
      <c r="AX1323" s="185">
        <f t="shared" ca="1" si="4646"/>
        <v>370626.81539123296</v>
      </c>
      <c r="AY1323" s="185">
        <f t="shared" ca="1" si="4646"/>
        <v>372430.8601560219</v>
      </c>
      <c r="AZ1323" s="185">
        <f t="shared" ca="1" si="4646"/>
        <v>374243.68619992555</v>
      </c>
      <c r="BA1323" s="185">
        <f t="shared" ca="1" si="4646"/>
        <v>376065.33626626403</v>
      </c>
      <c r="BB1323" s="185">
        <f t="shared" ca="1" si="4646"/>
        <v>377895.85330641281</v>
      </c>
      <c r="BD1323" s="178">
        <f ca="1">SUM(G1323:BC1323)</f>
        <v>14083029.759887431</v>
      </c>
    </row>
    <row r="1324" spans="1:56" x14ac:dyDescent="0.3">
      <c r="G1324" s="177"/>
      <c r="H1324" s="177"/>
      <c r="I1324" s="177"/>
      <c r="J1324" s="177"/>
      <c r="K1324" s="177"/>
      <c r="L1324" s="177"/>
      <c r="M1324" s="177"/>
      <c r="N1324" s="177"/>
      <c r="O1324" s="177"/>
      <c r="P1324" s="177"/>
      <c r="Q1324" s="177"/>
      <c r="R1324" s="177"/>
      <c r="S1324" s="177"/>
      <c r="T1324" s="177"/>
      <c r="U1324" s="177"/>
      <c r="V1324" s="177"/>
      <c r="W1324" s="177"/>
      <c r="X1324" s="177"/>
      <c r="Y1324" s="177"/>
      <c r="Z1324" s="177"/>
      <c r="AA1324" s="177"/>
      <c r="AB1324" s="177"/>
      <c r="AC1324" s="177"/>
      <c r="AD1324" s="177"/>
      <c r="AE1324" s="177"/>
      <c r="AF1324" s="177"/>
      <c r="AG1324" s="177"/>
      <c r="AH1324" s="177"/>
      <c r="AI1324" s="177"/>
      <c r="AJ1324" s="177"/>
      <c r="AK1324" s="177"/>
      <c r="AL1324" s="177"/>
      <c r="AM1324" s="177"/>
      <c r="AN1324" s="177"/>
      <c r="AO1324" s="177"/>
      <c r="AP1324" s="177"/>
      <c r="AQ1324" s="177"/>
      <c r="AR1324" s="177"/>
      <c r="AS1324" s="177"/>
      <c r="AT1324" s="177"/>
      <c r="AU1324" s="177"/>
      <c r="AV1324" s="177"/>
      <c r="AW1324" s="177"/>
      <c r="AX1324" s="177"/>
      <c r="AY1324" s="177"/>
      <c r="AZ1324" s="177"/>
      <c r="BA1324" s="177"/>
      <c r="BB1324" s="177"/>
    </row>
    <row r="1325" spans="1:56" collapsed="1" x14ac:dyDescent="0.3">
      <c r="A1325" s="195" t="str">
        <f ca="1">Language!A$1183</f>
        <v>Начисленный налог на прибыль</v>
      </c>
      <c r="C1325" s="194" t="str">
        <f t="shared" ca="1" si="4597"/>
        <v>руб.</v>
      </c>
      <c r="F1325" s="170" t="s">
        <v>740</v>
      </c>
      <c r="G1325" s="210">
        <f ca="1">G1337*Параметры!G81</f>
        <v>0</v>
      </c>
      <c r="H1325" s="210">
        <f ca="1">H1337*Параметры!H81</f>
        <v>0</v>
      </c>
      <c r="I1325" s="210">
        <f ca="1">I1337*Параметры!I81</f>
        <v>0</v>
      </c>
      <c r="J1325" s="210">
        <f ca="1">J1337*Параметры!J81</f>
        <v>0</v>
      </c>
      <c r="K1325" s="210">
        <f ca="1">K1337*Параметры!K81</f>
        <v>0</v>
      </c>
      <c r="L1325" s="210">
        <f ca="1">L1337*Параметры!L81</f>
        <v>0</v>
      </c>
      <c r="M1325" s="210">
        <f ca="1">M1337*Параметры!M81</f>
        <v>0</v>
      </c>
      <c r="N1325" s="210">
        <f ca="1">N1337*Параметры!N81</f>
        <v>0</v>
      </c>
      <c r="O1325" s="210">
        <f ca="1">O1337*Параметры!O81</f>
        <v>0</v>
      </c>
      <c r="P1325" s="210">
        <f ca="1">P1337*Параметры!P81</f>
        <v>0</v>
      </c>
      <c r="Q1325" s="210">
        <f ca="1">Q1337*Параметры!Q81</f>
        <v>0</v>
      </c>
      <c r="R1325" s="210">
        <f ca="1">R1337*Параметры!R81</f>
        <v>0</v>
      </c>
      <c r="S1325" s="210">
        <f ca="1">S1337*Параметры!S81</f>
        <v>0</v>
      </c>
      <c r="T1325" s="210">
        <f ca="1">T1337*Параметры!T81</f>
        <v>0</v>
      </c>
      <c r="U1325" s="210">
        <f ca="1">U1337*Параметры!U81</f>
        <v>0</v>
      </c>
      <c r="V1325" s="210">
        <f ca="1">V1337*Параметры!V81</f>
        <v>0</v>
      </c>
      <c r="W1325" s="210">
        <f ca="1">W1337*Параметры!W81</f>
        <v>0</v>
      </c>
      <c r="X1325" s="210">
        <f ca="1">X1337*Параметры!X81</f>
        <v>0</v>
      </c>
      <c r="Y1325" s="210">
        <f ca="1">Y1337*Параметры!Y81</f>
        <v>0</v>
      </c>
      <c r="Z1325" s="210">
        <f ca="1">Z1337*Параметры!Z81</f>
        <v>0</v>
      </c>
      <c r="AA1325" s="210">
        <f ca="1">AA1337*Параметры!AA81</f>
        <v>0</v>
      </c>
      <c r="AB1325" s="210">
        <f ca="1">AB1337*Параметры!AB81</f>
        <v>0</v>
      </c>
      <c r="AC1325" s="210">
        <f ca="1">AC1337*Параметры!AC81</f>
        <v>0</v>
      </c>
      <c r="AD1325" s="210">
        <f ca="1">AD1337*Параметры!AD81</f>
        <v>0</v>
      </c>
      <c r="AE1325" s="210">
        <f ca="1">AE1337*Параметры!AE81</f>
        <v>0</v>
      </c>
      <c r="AF1325" s="210">
        <f ca="1">AF1337*Параметры!AF81</f>
        <v>0</v>
      </c>
      <c r="AG1325" s="210">
        <f ca="1">AG1337*Параметры!AG81</f>
        <v>0</v>
      </c>
      <c r="AH1325" s="210">
        <f ca="1">AH1337*Параметры!AH81</f>
        <v>0</v>
      </c>
      <c r="AI1325" s="210">
        <f ca="1">AI1337*Параметры!AI81</f>
        <v>0</v>
      </c>
      <c r="AJ1325" s="210">
        <f ca="1">AJ1337*Параметры!AJ81</f>
        <v>0</v>
      </c>
      <c r="AK1325" s="210">
        <f ca="1">AK1337*Параметры!AK81</f>
        <v>0</v>
      </c>
      <c r="AL1325" s="210">
        <f ca="1">AL1337*Параметры!AL81</f>
        <v>0</v>
      </c>
      <c r="AM1325" s="210">
        <f ca="1">AM1337*Параметры!AM81</f>
        <v>0</v>
      </c>
      <c r="AN1325" s="210">
        <f ca="1">AN1337*Параметры!AN81</f>
        <v>0</v>
      </c>
      <c r="AO1325" s="210">
        <f ca="1">AO1337*Параметры!AO81</f>
        <v>0</v>
      </c>
      <c r="AP1325" s="210">
        <f ca="1">AP1337*Параметры!AP81</f>
        <v>0</v>
      </c>
      <c r="AQ1325" s="210">
        <f ca="1">AQ1337*Параметры!AQ81</f>
        <v>0</v>
      </c>
      <c r="AR1325" s="210">
        <f ca="1">AR1337*Параметры!AR81</f>
        <v>0</v>
      </c>
      <c r="AS1325" s="210">
        <f ca="1">AS1337*Параметры!AS81</f>
        <v>0</v>
      </c>
      <c r="AT1325" s="210">
        <f ca="1">AT1337*Параметры!AT81</f>
        <v>0</v>
      </c>
      <c r="AU1325" s="210">
        <f ca="1">AU1337*Параметры!AU81</f>
        <v>0</v>
      </c>
      <c r="AV1325" s="210">
        <f ca="1">AV1337*Параметры!AV81</f>
        <v>0</v>
      </c>
      <c r="AW1325" s="210">
        <f ca="1">AW1337*Параметры!AW81</f>
        <v>0</v>
      </c>
      <c r="AX1325" s="210">
        <f ca="1">AX1337*Параметры!AX81</f>
        <v>0</v>
      </c>
      <c r="AY1325" s="210">
        <f ca="1">AY1337*Параметры!AY81</f>
        <v>0</v>
      </c>
      <c r="AZ1325" s="210">
        <f ca="1">AZ1337*Параметры!AZ81</f>
        <v>0</v>
      </c>
      <c r="BA1325" s="210">
        <f ca="1">BA1337*Параметры!BA81</f>
        <v>0</v>
      </c>
      <c r="BB1325" s="210">
        <f ca="1">BB1337*Параметры!BB81</f>
        <v>0</v>
      </c>
      <c r="BD1325" s="211">
        <f ca="1">SUM(G1325:BC1325)</f>
        <v>0</v>
      </c>
    </row>
    <row r="1326" spans="1:56" hidden="1" outlineLevel="1" x14ac:dyDescent="0.3">
      <c r="A1326" s="184" t="str">
        <f ca="1">Language!A$1184</f>
        <v>задолженность по налогу</v>
      </c>
      <c r="B1326" s="200"/>
      <c r="C1326" s="163" t="str">
        <f t="shared" ca="1" si="4597"/>
        <v>руб.</v>
      </c>
      <c r="D1326" s="174"/>
      <c r="F1326" s="170" t="s">
        <v>2350</v>
      </c>
      <c r="G1326" s="289">
        <f ca="1">IF(AND(Параметры!$B$82=0,G$2&gt;1),F1326,G1325*Параметры!$B$82/Параметры!G$30)</f>
        <v>0</v>
      </c>
      <c r="H1326" s="289">
        <f ca="1">IF(AND(Параметры!$B$82=0,H$2&gt;1),G1326,H1325*Параметры!$B$82/Параметры!H$30)</f>
        <v>0</v>
      </c>
      <c r="I1326" s="289">
        <f ca="1">IF(AND(Параметры!$B$82=0,I$2&gt;1),H1326,I1325*Параметры!$B$82/Параметры!I$30)</f>
        <v>0</v>
      </c>
      <c r="J1326" s="289">
        <f ca="1">IF(AND(Параметры!$B$82=0,J$2&gt;1),I1326,J1325*Параметры!$B$82/Параметры!J$30)</f>
        <v>0</v>
      </c>
      <c r="K1326" s="289">
        <f ca="1">IF(AND(Параметры!$B$82=0,K$2&gt;1),J1326,K1325*Параметры!$B$82/Параметры!K$30)</f>
        <v>0</v>
      </c>
      <c r="L1326" s="289">
        <f ca="1">IF(AND(Параметры!$B$82=0,L$2&gt;1),K1326,L1325*Параметры!$B$82/Параметры!L$30)</f>
        <v>0</v>
      </c>
      <c r="M1326" s="289">
        <f ca="1">IF(AND(Параметры!$B$82=0,M$2&gt;1),L1326,M1325*Параметры!$B$82/Параметры!M$30)</f>
        <v>0</v>
      </c>
      <c r="N1326" s="289">
        <f ca="1">IF(AND(Параметры!$B$82=0,N$2&gt;1),M1326,N1325*Параметры!$B$82/Параметры!N$30)</f>
        <v>0</v>
      </c>
      <c r="O1326" s="289">
        <f ca="1">IF(AND(Параметры!$B$82=0,O$2&gt;1),N1326,O1325*Параметры!$B$82/Параметры!O$30)</f>
        <v>0</v>
      </c>
      <c r="P1326" s="289">
        <f ca="1">IF(AND(Параметры!$B$82=0,P$2&gt;1),O1326,P1325*Параметры!$B$82/Параметры!P$30)</f>
        <v>0</v>
      </c>
      <c r="Q1326" s="289">
        <f ca="1">IF(AND(Параметры!$B$82=0,Q$2&gt;1),P1326,Q1325*Параметры!$B$82/Параметры!Q$30)</f>
        <v>0</v>
      </c>
      <c r="R1326" s="289">
        <f ca="1">IF(AND(Параметры!$B$82=0,R$2&gt;1),Q1326,R1325*Параметры!$B$82/Параметры!R$30)</f>
        <v>0</v>
      </c>
      <c r="S1326" s="289">
        <f ca="1">IF(AND(Параметры!$B$82=0,S$2&gt;1),R1326,S1325*Параметры!$B$82/Параметры!S$30)</f>
        <v>0</v>
      </c>
      <c r="T1326" s="289">
        <f ca="1">IF(AND(Параметры!$B$82=0,T$2&gt;1),S1326,T1325*Параметры!$B$82/Параметры!T$30)</f>
        <v>0</v>
      </c>
      <c r="U1326" s="289">
        <f ca="1">IF(AND(Параметры!$B$82=0,U$2&gt;1),T1326,U1325*Параметры!$B$82/Параметры!U$30)</f>
        <v>0</v>
      </c>
      <c r="V1326" s="289">
        <f ca="1">IF(AND(Параметры!$B$82=0,V$2&gt;1),U1326,V1325*Параметры!$B$82/Параметры!V$30)</f>
        <v>0</v>
      </c>
      <c r="W1326" s="289">
        <f ca="1">IF(AND(Параметры!$B$82=0,W$2&gt;1),V1326,W1325*Параметры!$B$82/Параметры!W$30)</f>
        <v>0</v>
      </c>
      <c r="X1326" s="289">
        <f ca="1">IF(AND(Параметры!$B$82=0,X$2&gt;1),W1326,X1325*Параметры!$B$82/Параметры!X$30)</f>
        <v>0</v>
      </c>
      <c r="Y1326" s="289">
        <f ca="1">IF(AND(Параметры!$B$82=0,Y$2&gt;1),X1326,Y1325*Параметры!$B$82/Параметры!Y$30)</f>
        <v>0</v>
      </c>
      <c r="Z1326" s="289">
        <f ca="1">IF(AND(Параметры!$B$82=0,Z$2&gt;1),Y1326,Z1325*Параметры!$B$82/Параметры!Z$30)</f>
        <v>0</v>
      </c>
      <c r="AA1326" s="289">
        <f ca="1">IF(AND(Параметры!$B$82=0,AA$2&gt;1),Z1326,AA1325*Параметры!$B$82/Параметры!AA$30)</f>
        <v>0</v>
      </c>
      <c r="AB1326" s="289">
        <f ca="1">IF(AND(Параметры!$B$82=0,AB$2&gt;1),AA1326,AB1325*Параметры!$B$82/Параметры!AB$30)</f>
        <v>0</v>
      </c>
      <c r="AC1326" s="289">
        <f ca="1">IF(AND(Параметры!$B$82=0,AC$2&gt;1),AB1326,AC1325*Параметры!$B$82/Параметры!AC$30)</f>
        <v>0</v>
      </c>
      <c r="AD1326" s="289">
        <f ca="1">IF(AND(Параметры!$B$82=0,AD$2&gt;1),AC1326,AD1325*Параметры!$B$82/Параметры!AD$30)</f>
        <v>0</v>
      </c>
      <c r="AE1326" s="289">
        <f ca="1">IF(AND(Параметры!$B$82=0,AE$2&gt;1),AD1326,AE1325*Параметры!$B$82/Параметры!AE$30)</f>
        <v>0</v>
      </c>
      <c r="AF1326" s="289">
        <f ca="1">IF(AND(Параметры!$B$82=0,AF$2&gt;1),AE1326,AF1325*Параметры!$B$82/Параметры!AF$30)</f>
        <v>0</v>
      </c>
      <c r="AG1326" s="289">
        <f ca="1">IF(AND(Параметры!$B$82=0,AG$2&gt;1),AF1326,AG1325*Параметры!$B$82/Параметры!AG$30)</f>
        <v>0</v>
      </c>
      <c r="AH1326" s="289">
        <f ca="1">IF(AND(Параметры!$B$82=0,AH$2&gt;1),AG1326,AH1325*Параметры!$B$82/Параметры!AH$30)</f>
        <v>0</v>
      </c>
      <c r="AI1326" s="289">
        <f ca="1">IF(AND(Параметры!$B$82=0,AI$2&gt;1),AH1326,AI1325*Параметры!$B$82/Параметры!AI$30)</f>
        <v>0</v>
      </c>
      <c r="AJ1326" s="289">
        <f ca="1">IF(AND(Параметры!$B$82=0,AJ$2&gt;1),AI1326,AJ1325*Параметры!$B$82/Параметры!AJ$30)</f>
        <v>0</v>
      </c>
      <c r="AK1326" s="289">
        <f ca="1">IF(AND(Параметры!$B$82=0,AK$2&gt;1),AJ1326,AK1325*Параметры!$B$82/Параметры!AK$30)</f>
        <v>0</v>
      </c>
      <c r="AL1326" s="289">
        <f ca="1">IF(AND(Параметры!$B$82=0,AL$2&gt;1),AK1326,AL1325*Параметры!$B$82/Параметры!AL$30)</f>
        <v>0</v>
      </c>
      <c r="AM1326" s="289">
        <f ca="1">IF(AND(Параметры!$B$82=0,AM$2&gt;1),AL1326,AM1325*Параметры!$B$82/Параметры!AM$30)</f>
        <v>0</v>
      </c>
      <c r="AN1326" s="289">
        <f ca="1">IF(AND(Параметры!$B$82=0,AN$2&gt;1),AM1326,AN1325*Параметры!$B$82/Параметры!AN$30)</f>
        <v>0</v>
      </c>
      <c r="AO1326" s="289">
        <f ca="1">IF(AND(Параметры!$B$82=0,AO$2&gt;1),AN1326,AO1325*Параметры!$B$82/Параметры!AO$30)</f>
        <v>0</v>
      </c>
      <c r="AP1326" s="289">
        <f ca="1">IF(AND(Параметры!$B$82=0,AP$2&gt;1),AO1326,AP1325*Параметры!$B$82/Параметры!AP$30)</f>
        <v>0</v>
      </c>
      <c r="AQ1326" s="289">
        <f ca="1">IF(AND(Параметры!$B$82=0,AQ$2&gt;1),AP1326,AQ1325*Параметры!$B$82/Параметры!AQ$30)</f>
        <v>0</v>
      </c>
      <c r="AR1326" s="289">
        <f ca="1">IF(AND(Параметры!$B$82=0,AR$2&gt;1),AQ1326,AR1325*Параметры!$B$82/Параметры!AR$30)</f>
        <v>0</v>
      </c>
      <c r="AS1326" s="289">
        <f ca="1">IF(AND(Параметры!$B$82=0,AS$2&gt;1),AR1326,AS1325*Параметры!$B$82/Параметры!AS$30)</f>
        <v>0</v>
      </c>
      <c r="AT1326" s="289">
        <f ca="1">IF(AND(Параметры!$B$82=0,AT$2&gt;1),AS1326,AT1325*Параметры!$B$82/Параметры!AT$30)</f>
        <v>0</v>
      </c>
      <c r="AU1326" s="289">
        <f ca="1">IF(AND(Параметры!$B$82=0,AU$2&gt;1),AT1326,AU1325*Параметры!$B$82/Параметры!AU$30)</f>
        <v>0</v>
      </c>
      <c r="AV1326" s="289">
        <f ca="1">IF(AND(Параметры!$B$82=0,AV$2&gt;1),AU1326,AV1325*Параметры!$B$82/Параметры!AV$30)</f>
        <v>0</v>
      </c>
      <c r="AW1326" s="289">
        <f ca="1">IF(AND(Параметры!$B$82=0,AW$2&gt;1),AV1326,AW1325*Параметры!$B$82/Параметры!AW$30)</f>
        <v>0</v>
      </c>
      <c r="AX1326" s="289">
        <f ca="1">IF(AND(Параметры!$B$82=0,AX$2&gt;1),AW1326,AX1325*Параметры!$B$82/Параметры!AX$30)</f>
        <v>0</v>
      </c>
      <c r="AY1326" s="289">
        <f ca="1">IF(AND(Параметры!$B$82=0,AY$2&gt;1),AX1326,AY1325*Параметры!$B$82/Параметры!AY$30)</f>
        <v>0</v>
      </c>
      <c r="AZ1326" s="289">
        <f ca="1">IF(AND(Параметры!$B$82=0,AZ$2&gt;1),AY1326,AZ1325*Параметры!$B$82/Параметры!AZ$30)</f>
        <v>0</v>
      </c>
      <c r="BA1326" s="289">
        <f ca="1">IF(AND(Параметры!$B$82=0,BA$2&gt;1),AZ1326,BA1325*Параметры!$B$82/Параметры!BA$30)</f>
        <v>0</v>
      </c>
      <c r="BB1326" s="289">
        <f ca="1">IF(AND(Параметры!$B$82=0,BB$2&gt;1),BA1326,BB1325*Параметры!$B$82/Параметры!BB$30)</f>
        <v>0</v>
      </c>
      <c r="BC1326" s="188"/>
      <c r="BD1326" s="178">
        <f ca="1">SUM(G1326:BC1326)</f>
        <v>0</v>
      </c>
    </row>
    <row r="1327" spans="1:56" hidden="1" outlineLevel="1" x14ac:dyDescent="0.3">
      <c r="A1327" s="184" t="str">
        <f ca="1">Language!A$1185</f>
        <v>уплаченный налог на прибыль</v>
      </c>
      <c r="B1327" s="195"/>
      <c r="C1327" s="163" t="str">
        <f t="shared" ca="1" si="4597"/>
        <v>руб.</v>
      </c>
      <c r="F1327" s="170" t="s">
        <v>740</v>
      </c>
      <c r="G1327" s="185">
        <f ca="1">G1325-IF(G$2=1,G1326,G1326-F1326)</f>
        <v>0</v>
      </c>
      <c r="H1327" s="185">
        <f t="shared" ref="H1327" ca="1" si="4647">H1325-IF(H$2=1,H1326,H1326-G1326)</f>
        <v>0</v>
      </c>
      <c r="I1327" s="185">
        <f t="shared" ref="I1327" ca="1" si="4648">I1325-IF(I$2=1,I1326,I1326-H1326)</f>
        <v>0</v>
      </c>
      <c r="J1327" s="185">
        <f t="shared" ref="J1327" ca="1" si="4649">J1325-IF(J$2=1,J1326,J1326-I1326)</f>
        <v>0</v>
      </c>
      <c r="K1327" s="185">
        <f t="shared" ref="K1327:BB1327" ca="1" si="4650">K1325-IF(K$2=1,K1326,K1326-J1326)</f>
        <v>0</v>
      </c>
      <c r="L1327" s="185">
        <f t="shared" ca="1" si="4650"/>
        <v>0</v>
      </c>
      <c r="M1327" s="185">
        <f t="shared" ca="1" si="4650"/>
        <v>0</v>
      </c>
      <c r="N1327" s="185">
        <f t="shared" ca="1" si="4650"/>
        <v>0</v>
      </c>
      <c r="O1327" s="185">
        <f t="shared" ca="1" si="4650"/>
        <v>0</v>
      </c>
      <c r="P1327" s="185">
        <f t="shared" ca="1" si="4650"/>
        <v>0</v>
      </c>
      <c r="Q1327" s="185">
        <f t="shared" ca="1" si="4650"/>
        <v>0</v>
      </c>
      <c r="R1327" s="185">
        <f t="shared" ca="1" si="4650"/>
        <v>0</v>
      </c>
      <c r="S1327" s="185">
        <f t="shared" ca="1" si="4650"/>
        <v>0</v>
      </c>
      <c r="T1327" s="185">
        <f t="shared" ca="1" si="4650"/>
        <v>0</v>
      </c>
      <c r="U1327" s="185">
        <f t="shared" ca="1" si="4650"/>
        <v>0</v>
      </c>
      <c r="V1327" s="185">
        <f t="shared" ca="1" si="4650"/>
        <v>0</v>
      </c>
      <c r="W1327" s="185">
        <f t="shared" ca="1" si="4650"/>
        <v>0</v>
      </c>
      <c r="X1327" s="185">
        <f t="shared" ca="1" si="4650"/>
        <v>0</v>
      </c>
      <c r="Y1327" s="185">
        <f t="shared" ca="1" si="4650"/>
        <v>0</v>
      </c>
      <c r="Z1327" s="185">
        <f t="shared" ca="1" si="4650"/>
        <v>0</v>
      </c>
      <c r="AA1327" s="185">
        <f t="shared" ca="1" si="4650"/>
        <v>0</v>
      </c>
      <c r="AB1327" s="185">
        <f t="shared" ca="1" si="4650"/>
        <v>0</v>
      </c>
      <c r="AC1327" s="185">
        <f t="shared" ca="1" si="4650"/>
        <v>0</v>
      </c>
      <c r="AD1327" s="185">
        <f t="shared" ca="1" si="4650"/>
        <v>0</v>
      </c>
      <c r="AE1327" s="185">
        <f t="shared" ca="1" si="4650"/>
        <v>0</v>
      </c>
      <c r="AF1327" s="185">
        <f t="shared" ca="1" si="4650"/>
        <v>0</v>
      </c>
      <c r="AG1327" s="185">
        <f t="shared" ca="1" si="4650"/>
        <v>0</v>
      </c>
      <c r="AH1327" s="185">
        <f t="shared" ca="1" si="4650"/>
        <v>0</v>
      </c>
      <c r="AI1327" s="185">
        <f t="shared" ca="1" si="4650"/>
        <v>0</v>
      </c>
      <c r="AJ1327" s="185">
        <f t="shared" ca="1" si="4650"/>
        <v>0</v>
      </c>
      <c r="AK1327" s="185">
        <f t="shared" ca="1" si="4650"/>
        <v>0</v>
      </c>
      <c r="AL1327" s="185">
        <f t="shared" ca="1" si="4650"/>
        <v>0</v>
      </c>
      <c r="AM1327" s="185">
        <f t="shared" ca="1" si="4650"/>
        <v>0</v>
      </c>
      <c r="AN1327" s="185">
        <f t="shared" ca="1" si="4650"/>
        <v>0</v>
      </c>
      <c r="AO1327" s="185">
        <f t="shared" ca="1" si="4650"/>
        <v>0</v>
      </c>
      <c r="AP1327" s="185">
        <f t="shared" ca="1" si="4650"/>
        <v>0</v>
      </c>
      <c r="AQ1327" s="185">
        <f t="shared" ca="1" si="4650"/>
        <v>0</v>
      </c>
      <c r="AR1327" s="185">
        <f t="shared" ca="1" si="4650"/>
        <v>0</v>
      </c>
      <c r="AS1327" s="185">
        <f t="shared" ca="1" si="4650"/>
        <v>0</v>
      </c>
      <c r="AT1327" s="185">
        <f t="shared" ca="1" si="4650"/>
        <v>0</v>
      </c>
      <c r="AU1327" s="185">
        <f t="shared" ca="1" si="4650"/>
        <v>0</v>
      </c>
      <c r="AV1327" s="185">
        <f t="shared" ca="1" si="4650"/>
        <v>0</v>
      </c>
      <c r="AW1327" s="185">
        <f t="shared" ca="1" si="4650"/>
        <v>0</v>
      </c>
      <c r="AX1327" s="185">
        <f t="shared" ca="1" si="4650"/>
        <v>0</v>
      </c>
      <c r="AY1327" s="185">
        <f t="shared" ca="1" si="4650"/>
        <v>0</v>
      </c>
      <c r="AZ1327" s="185">
        <f t="shared" ca="1" si="4650"/>
        <v>0</v>
      </c>
      <c r="BA1327" s="185">
        <f t="shared" ca="1" si="4650"/>
        <v>0</v>
      </c>
      <c r="BB1327" s="185">
        <f t="shared" ca="1" si="4650"/>
        <v>0</v>
      </c>
      <c r="BD1327" s="178">
        <f ca="1">SUM(G1327:BC1327)</f>
        <v>0</v>
      </c>
    </row>
    <row r="1328" spans="1:56" hidden="1" outlineLevel="1" x14ac:dyDescent="0.3">
      <c r="A1328" s="169" t="str">
        <f ca="1">Language!A$1186</f>
        <v>Прибыль до налогообложения</v>
      </c>
      <c r="C1328" s="194" t="str">
        <f t="shared" ca="1" si="4597"/>
        <v>руб.</v>
      </c>
      <c r="F1328" s="170" t="s">
        <v>740</v>
      </c>
      <c r="G1328" s="177">
        <f ca="1">(OFFSET(Результаты!$F$115,0,G2)-OFFSET(Результаты!$F$106,0,G2))*Параметры!G$64-G1046+ G953-G957+G968-G972+G1258-G1255-G960+G961-G975+G976</f>
        <v>-4413541.6875</v>
      </c>
      <c r="H1328" s="177">
        <f ca="1">(OFFSET(Результаты!$F$115,0,H2)-OFFSET(Результаты!$F$106,0,H2))*Параметры!H$64-H1046+ H953-H957+H968-H972+H1258-H1255-H960+H961-H975+H976</f>
        <v>-4413541.6875</v>
      </c>
      <c r="I1328" s="177">
        <f ca="1">(OFFSET(Результаты!$F$115,0,I2)-OFFSET(Результаты!$F$106,0,I2))*Параметры!I$64-I1046+ I953-I957+I968-I972+I1258-I1255-I960+I961-I975+I976</f>
        <v>-4413541.6875</v>
      </c>
      <c r="J1328" s="177">
        <f ca="1">(OFFSET(Результаты!$F$115,0,J2)-OFFSET(Результаты!$F$106,0,J2))*Параметры!J$64-J1046+ J953-J957+J968-J972+J1258-J1255-J960+J961-J975+J976</f>
        <v>-4413541.6875</v>
      </c>
      <c r="K1328" s="177">
        <f ca="1">(OFFSET(Результаты!$F$115,0,K2)-OFFSET(Результаты!$F$106,0,K2))*Параметры!K$64-K1046+ K953-K957+K968-K972+K1258-K1255-K960+K961-K975+K976</f>
        <v>-4413541.6875</v>
      </c>
      <c r="L1328" s="177">
        <f ca="1">(OFFSET(Результаты!$F$115,0,L2)-OFFSET(Результаты!$F$106,0,L2))*Параметры!L$64-L1046+ L953-L957+L968-L972+L1258-L1255-L960+L961-L975+L976</f>
        <v>-4413541.6875</v>
      </c>
      <c r="M1328" s="177">
        <f ca="1">(OFFSET(Результаты!$F$115,0,M2)-OFFSET(Результаты!$F$106,0,M2))*Параметры!M$64-M1046+ M953-M957+M968-M972+M1258-M1255-M960+M961-M975+M976</f>
        <v>-1275921.2827472552</v>
      </c>
      <c r="N1328" s="177">
        <f ca="1">(OFFSET(Результаты!$F$115,0,N2)-OFFSET(Результаты!$F$106,0,N2))*Параметры!N$64-N1046+ N953-N957+N968-N972+N1258-N1255-N960+N961-N975+N976</f>
        <v>605974.1600500542</v>
      </c>
      <c r="O1328" s="177">
        <f ca="1">(OFFSET(Результаты!$F$115,0,O2)-OFFSET(Результаты!$F$106,0,O2))*Параметры!O$64-O1046+ O953-O957+O968-O972+O1258-O1255-O960+O961-O975+O976</f>
        <v>2521416.172398705</v>
      </c>
      <c r="P1328" s="177">
        <f ca="1">(OFFSET(Результаты!$F$115,0,P2)-OFFSET(Результаты!$F$106,0,P2))*Параметры!P$64-P1046+ P953-P957+P968-P972+P1258-P1255-P960+P961-P975+P976</f>
        <v>4439142.5668230727</v>
      </c>
      <c r="Q1328" s="177">
        <f ca="1">(OFFSET(Результаты!$F$115,0,Q2)-OFFSET(Результаты!$F$106,0,Q2))*Параметры!Q$64-Q1046+ Q953-Q957+Q968-Q972+Q1258-Q1255-Q960+Q961-Q975+Q976</f>
        <v>4531310.8373188861</v>
      </c>
      <c r="R1328" s="177">
        <f ca="1">(OFFSET(Результаты!$F$115,0,R2)-OFFSET(Результаты!$F$106,0,R2))*Параметры!R$64-R1046+ R953-R957+R968-R972+R1258-R1255-R960+R961-R975+R976</f>
        <v>4602110.7110472545</v>
      </c>
      <c r="S1328" s="177">
        <f ca="1">(OFFSET(Результаты!$F$115,0,S2)-OFFSET(Результаты!$F$106,0,S2))*Параметры!S$64-S1046+ S953-S957+S968-S972+S1258-S1255-S960+S961-S975+S976</f>
        <v>8459048.6280555651</v>
      </c>
      <c r="T1328" s="177">
        <f ca="1">(OFFSET(Результаты!$F$115,0,T2)-OFFSET(Результаты!$F$106,0,T2))*Параметры!T$64-T1046+ T953-T957+T968-T972+T1258-T1255-T960+T961-T975+T976</f>
        <v>6706187.2956829444</v>
      </c>
      <c r="U1328" s="177">
        <f ca="1">(OFFSET(Результаты!$F$115,0,U2)-OFFSET(Результаты!$F$106,0,U2))*Параметры!U$64-U1046+ U953-U957+U968-U972+U1258-U1255-U960+U961-U975+U976</f>
        <v>4961823.978265455</v>
      </c>
      <c r="V1328" s="177">
        <f ca="1">(OFFSET(Результаты!$F$115,0,V2)-OFFSET(Результаты!$F$106,0,V2))*Параметры!V$64-V1046+ V953-V957+V968-V972+V1258-V1255-V960+V961-V975+V976</f>
        <v>5106259.3338160813</v>
      </c>
      <c r="W1328" s="177">
        <f ca="1">(OFFSET(Результаты!$F$115,0,W2)-OFFSET(Результаты!$F$106,0,W2))*Параметры!W$64-W1046+ W953-W957+W968-W972+W1258-W1255-W960+W961-W975+W976</f>
        <v>3358285.5229824889</v>
      </c>
      <c r="X1328" s="177">
        <f ca="1">(OFFSET(Результаты!$F$115,0,X2)-OFFSET(Результаты!$F$106,0,X2))*Параметры!X$64-X1046+ X953-X957+X968-X972+X1258-X1255-X960+X961-X975+X976</f>
        <v>9214998.872079486</v>
      </c>
      <c r="Y1328" s="177">
        <f ca="1">(OFFSET(Результаты!$F$115,0,Y2)-OFFSET(Результаты!$F$106,0,Y2))*Параметры!Y$64-Y1046+ Y953-Y957+Y968-Y972+Y1258-Y1255-Y960+Y961-Y975+Y976</f>
        <v>13267797.794187408</v>
      </c>
      <c r="Z1328" s="177">
        <f ca="1">(OFFSET(Результаты!$F$115,0,Z2)-OFFSET(Результаты!$F$106,0,Z2))*Параметры!Z$64-Z1046+ Z953-Z957+Z968-Z972+Z1258-Z1255-Z960+Z961-Z975+Z976</f>
        <v>13490132.44415977</v>
      </c>
      <c r="AA1328" s="177">
        <f ca="1">(OFFSET(Результаты!$F$115,0,AA2)-OFFSET(Результаты!$F$106,0,AA2))*Параметры!AA$64-AA1046+ AA953-AA957+AA968-AA972+AA1258-AA1255-AA960+AA961-AA975+AA976</f>
        <v>7919019.406842174</v>
      </c>
      <c r="AB1328" s="177">
        <f ca="1">(OFFSET(Результаты!$F$115,0,AB2)-OFFSET(Результаты!$F$106,0,AB2))*Параметры!AB$64-AB1046+ AB953-AB957+AB968-AB972+AB1258-AB1255-AB960+AB961-AB975+AB976</f>
        <v>4239062.6474880883</v>
      </c>
      <c r="AC1328" s="177">
        <f ca="1">(OFFSET(Результаты!$F$115,0,AC2)-OFFSET(Результаты!$F$106,0,AC2))*Параметры!AC$64-AC1046+ AC953-AC957+AC968-AC972+AC1258-AC1255-AC960+AC961-AC975+AC976</f>
        <v>4428719.3658482339</v>
      </c>
      <c r="AD1328" s="177">
        <f ca="1">(OFFSET(Результаты!$F$115,0,AD2)-OFFSET(Результаты!$F$106,0,AD2))*Параметры!AD$64-AD1046+ AD953-AD957+AD968-AD972+AD1258-AD1255-AD960+AD961-AD975+AD976</f>
        <v>6516884.7946081441</v>
      </c>
      <c r="AE1328" s="177">
        <f ca="1">(OFFSET(Результаты!$F$115,0,AE2)-OFFSET(Результаты!$F$106,0,AE2))*Параметры!AE$64-AE1046+ AE953-AE957+AE968-AE972+AE1258-AE1255-AE960+AE961-AE975+AE976</f>
        <v>10612274.859724898</v>
      </c>
      <c r="AF1328" s="177">
        <f ca="1">(OFFSET(Результаты!$F$115,0,AF2)-OFFSET(Результаты!$F$106,0,AF2))*Параметры!AF$64-AF1046+ AF953-AF957+AF968-AF972+AF1258-AF1255-AF960+AF961-AF975+AF976</f>
        <v>8864852.8498155009</v>
      </c>
      <c r="AG1328" s="177">
        <f ca="1">(OFFSET(Результаты!$F$115,0,AG2)-OFFSET(Результаты!$F$106,0,AG2))*Параметры!AG$64-AG1046+ AG953-AG957+AG968-AG972+AG1258-AG1255-AG960+AG961-AG975+AG976</f>
        <v>7127095.1125362674</v>
      </c>
      <c r="AH1328" s="177">
        <f ca="1">(OFFSET(Результаты!$F$115,0,AH2)-OFFSET(Результаты!$F$106,0,AH2))*Параметры!AH$64-AH1046+ AH953-AH957+AH968-AH972+AH1258-AH1255-AH960+AH961-AH975+AH976</f>
        <v>7334378.2864545062</v>
      </c>
      <c r="AI1328" s="177">
        <f ca="1">(OFFSET(Результаты!$F$115,0,AI2)-OFFSET(Результаты!$F$106,0,AI2))*Параметры!AI$64-AI1046+ AI953-AI957+AI968-AI972+AI1258-AI1255-AI960+AI961-AI975+AI976</f>
        <v>5571704.1035984755</v>
      </c>
      <c r="AJ1328" s="177">
        <f ca="1">(OFFSET(Результаты!$F$115,0,AJ2)-OFFSET(Результаты!$F$106,0,AJ2))*Параметры!AJ$64-AJ1046+ AJ953-AJ957+AJ968-AJ972+AJ1258-AJ1255-AJ960+AJ961-AJ975+AJ976</f>
        <v>11725208.798134593</v>
      </c>
      <c r="AK1328" s="177">
        <f ca="1">(OFFSET(Результаты!$F$115,0,AK2)-OFFSET(Результаты!$F$106,0,AK2))*Параметры!AK$64-AK1046+ AK953-AK957+AK968-AK972+AK1258-AK1255-AK960+AK961-AK975+AK976</f>
        <v>15934890.531630516</v>
      </c>
      <c r="AL1328" s="177">
        <f ca="1">(OFFSET(Результаты!$F$115,0,AL2)-OFFSET(Результаты!$F$106,0,AL2))*Параметры!AL$64-AL1046+ AL953-AL957+AL968-AL972+AL1258-AL1255-AL960+AL961-AL975+AL976</f>
        <v>16156981.545464261</v>
      </c>
      <c r="AM1328" s="177">
        <f ca="1">(OFFSET(Результаты!$F$115,0,AM2)-OFFSET(Результаты!$F$106,0,AM2))*Параметры!AM$64-AM1046+ AM953-AM957+AM968-AM972+AM1258-AM1255-AM960+AM961-AM975+AM976</f>
        <v>10350312.548373347</v>
      </c>
      <c r="AN1328" s="177">
        <f ca="1">(OFFSET(Результаты!$F$115,0,AN2)-OFFSET(Результаты!$F$106,0,AN2))*Параметры!AN$64-AN1046+ AN953-AN957+AN968-AN972+AN1258-AN1255-AN960+AN961-AN975+AN976</f>
        <v>6512617.7227326808</v>
      </c>
      <c r="AO1328" s="177">
        <f ca="1">(OFFSET(Результаты!$F$115,0,AO2)-OFFSET(Результаты!$F$106,0,AO2))*Параметры!AO$64-AO1046+ AO953-AO957+AO968-AO972+AO1258-AO1255-AO960+AO961-AO975+AO976</f>
        <v>6701809.0139154</v>
      </c>
      <c r="AP1328" s="177">
        <f ca="1">(OFFSET(Результаты!$F$115,0,AP2)-OFFSET(Результаты!$F$106,0,AP2))*Параметры!AP$64-AP1046+ AP953-AP957+AP968-AP972+AP1258-AP1255-AP960+AP961-AP975+AP976</f>
        <v>8864851.4317231681</v>
      </c>
      <c r="AQ1328" s="177">
        <f ca="1">(OFFSET(Результаты!$F$115,0,AQ2)-OFFSET(Результаты!$F$106,0,AQ2))*Параметры!AQ$64-AQ1046+ AQ953-AQ957+AQ968-AQ972+AQ1258-AQ1255-AQ960+AQ961-AQ975+AQ976</f>
        <v>13115855.074415233</v>
      </c>
      <c r="AR1328" s="177">
        <f ca="1">(OFFSET(Результаты!$F$115,0,AR2)-OFFSET(Результаты!$F$106,0,AR2))*Параметры!AR$64-AR1046+ AR953-AR957+AR968-AR972+AR1258-AR1255-AR960+AR961-AR975+AR976</f>
        <v>11289854.932880884</v>
      </c>
      <c r="AS1328" s="177">
        <f ca="1">(OFFSET(Результаты!$F$115,0,AS2)-OFFSET(Результаты!$F$106,0,AS2))*Параметры!AS$64-AS1046+ AS953-AS957+AS968-AS972+AS1258-AS1255-AS960+AS961-AS975+AS976</f>
        <v>9474836.4252818767</v>
      </c>
      <c r="AT1328" s="177">
        <f ca="1">(OFFSET(Результаты!$F$115,0,AT2)-OFFSET(Результаты!$F$106,0,AT2))*Параметры!AT$64-AT1046+ AT953-AT957+AT968-AT972+AT1258-AT1255-AT960+AT961-AT975+AT976</f>
        <v>9533274.3319232762</v>
      </c>
      <c r="AU1328" s="177">
        <f ca="1">(OFFSET(Результаты!$F$115,0,AU2)-OFFSET(Результаты!$F$106,0,AU2))*Параметры!AU$64-AU1046+ AU953-AU957+AU968-AU972+AU1258-AU1255-AU960+AU961-AU975+AU976</f>
        <v>7526294.5958559671</v>
      </c>
      <c r="AV1328" s="177">
        <f ca="1">(OFFSET(Результаты!$F$115,0,AV2)-OFFSET(Результаты!$F$106,0,AV2))*Параметры!AV$64-AV1046+ AV953-AV957+AV968-AV972+AV1258-AV1255-AV960+AV961-AV975+AV976</f>
        <v>13747778.973990262</v>
      </c>
      <c r="AW1328" s="177">
        <f ca="1">(OFFSET(Результаты!$F$115,0,AW2)-OFFSET(Результаты!$F$106,0,AW2))*Параметры!AW$64-AW1046+ AW953-AW957+AW968-AW972+AW1258-AW1255-AW960+AW961-AW975+AW976</f>
        <v>17947660.979571991</v>
      </c>
      <c r="AX1328" s="177">
        <f ca="1">(OFFSET(Результаты!$F$115,0,AX2)-OFFSET(Результаты!$F$106,0,AX2))*Параметры!AX$64-AX1046+ AX953-AX957+AX968-AX972+AX1258-AX1255-AX960+AX961-AX975+AX976</f>
        <v>18002384.125241201</v>
      </c>
      <c r="AY1328" s="177">
        <f ca="1">(OFFSET(Результаты!$F$115,0,AY2)-OFFSET(Результаты!$F$106,0,AY2))*Параметры!AY$64-AY1046+ AY953-AY957+AY968-AY972+AY1258-AY1255-AY960+AY961-AY975+AY976</f>
        <v>11792795.801780686</v>
      </c>
      <c r="AZ1328" s="177">
        <f ca="1">(OFFSET(Результаты!$F$115,0,AZ2)-OFFSET(Результаты!$F$106,0,AZ2))*Параметры!AZ$64-AZ1046+ AZ953-AZ957+AZ968-AZ972+AZ1258-AZ1255-AZ960+AZ961-AZ975+AZ976</f>
        <v>7630262.0935439104</v>
      </c>
      <c r="BA1328" s="177">
        <f ca="1">(OFFSET(Результаты!$F$115,0,BA2)-OFFSET(Результаты!$F$106,0,BA2))*Параметры!BA$64-BA1046+ BA953-BA957+BA968-BA972+BA1258-BA1255-BA960+BA961-BA975+BA976</f>
        <v>7652065.3442293936</v>
      </c>
      <c r="BB1328" s="177">
        <f ca="1">(OFFSET(Результаты!$F$115,0,BB2)-OFFSET(Результаты!$F$106,0,BB2))*Параметры!BB$64-BB1046+ BB953-BB957+BB968-BB972+BB1258-BB1255-BB960+BB961-BB975+BB976</f>
        <v>9722815.6647878699</v>
      </c>
      <c r="BD1328" s="178">
        <f ca="1">SUM(G1328:BC1328)</f>
        <v>329803858.27151275</v>
      </c>
    </row>
    <row r="1329" spans="1:56" hidden="1" outlineLevel="1" x14ac:dyDescent="0.3">
      <c r="A1329" s="184" t="str">
        <f ca="1">Language!A$1187</f>
        <v>Доходы, не облагаемые налогом</v>
      </c>
      <c r="C1329" s="163" t="str">
        <f t="shared" ca="1" si="4597"/>
        <v>руб.</v>
      </c>
      <c r="F1329" s="170" t="s">
        <v>2353</v>
      </c>
      <c r="G1329" s="289">
        <v>0</v>
      </c>
      <c r="H1329" s="289">
        <v>0</v>
      </c>
      <c r="I1329" s="289">
        <v>0</v>
      </c>
      <c r="J1329" s="289">
        <v>0</v>
      </c>
      <c r="K1329" s="289">
        <v>0</v>
      </c>
      <c r="L1329" s="289">
        <v>0</v>
      </c>
      <c r="M1329" s="289">
        <v>0</v>
      </c>
      <c r="N1329" s="289">
        <v>0</v>
      </c>
      <c r="O1329" s="289">
        <v>0</v>
      </c>
      <c r="P1329" s="289">
        <v>0</v>
      </c>
      <c r="Q1329" s="289">
        <v>0</v>
      </c>
      <c r="R1329" s="289">
        <v>0</v>
      </c>
      <c r="S1329" s="289">
        <v>0</v>
      </c>
      <c r="T1329" s="289">
        <v>0</v>
      </c>
      <c r="U1329" s="289">
        <v>0</v>
      </c>
      <c r="V1329" s="289">
        <v>0</v>
      </c>
      <c r="W1329" s="289">
        <v>0</v>
      </c>
      <c r="X1329" s="289">
        <v>0</v>
      </c>
      <c r="Y1329" s="289">
        <v>0</v>
      </c>
      <c r="Z1329" s="289">
        <v>0</v>
      </c>
      <c r="AA1329" s="289">
        <v>0</v>
      </c>
      <c r="AB1329" s="289">
        <v>0</v>
      </c>
      <c r="AC1329" s="289">
        <v>0</v>
      </c>
      <c r="AD1329" s="289">
        <v>0</v>
      </c>
      <c r="AE1329" s="289">
        <v>0</v>
      </c>
      <c r="AF1329" s="289">
        <v>0</v>
      </c>
      <c r="AG1329" s="289">
        <v>0</v>
      </c>
      <c r="AH1329" s="289">
        <v>0</v>
      </c>
      <c r="AI1329" s="289">
        <v>0</v>
      </c>
      <c r="AJ1329" s="289">
        <v>0</v>
      </c>
      <c r="AK1329" s="289">
        <v>0</v>
      </c>
      <c r="AL1329" s="289">
        <v>0</v>
      </c>
      <c r="AM1329" s="289">
        <v>0</v>
      </c>
      <c r="AN1329" s="289">
        <v>0</v>
      </c>
      <c r="AO1329" s="289">
        <v>0</v>
      </c>
      <c r="AP1329" s="289">
        <v>0</v>
      </c>
      <c r="AQ1329" s="289">
        <v>0</v>
      </c>
      <c r="AR1329" s="289">
        <v>0</v>
      </c>
      <c r="AS1329" s="289">
        <v>0</v>
      </c>
      <c r="AT1329" s="289">
        <v>0</v>
      </c>
      <c r="AU1329" s="289">
        <v>0</v>
      </c>
      <c r="AV1329" s="289">
        <v>0</v>
      </c>
      <c r="AW1329" s="289">
        <v>0</v>
      </c>
      <c r="AX1329" s="289">
        <v>0</v>
      </c>
      <c r="AY1329" s="289">
        <v>0</v>
      </c>
      <c r="AZ1329" s="289">
        <v>0</v>
      </c>
      <c r="BA1329" s="289">
        <v>0</v>
      </c>
      <c r="BB1329" s="289">
        <v>0</v>
      </c>
      <c r="BD1329" s="178">
        <f>SUM(G1329:BC1329)</f>
        <v>0</v>
      </c>
    </row>
    <row r="1330" spans="1:56" hidden="1" outlineLevel="1" x14ac:dyDescent="0.3">
      <c r="A1330" s="169" t="str">
        <f ca="1">Language!A1188</f>
        <v>Убытки текущего года</v>
      </c>
      <c r="C1330" s="194" t="str">
        <f t="shared" ca="1" si="4597"/>
        <v>руб.</v>
      </c>
      <c r="F1330" s="170" t="s">
        <v>741</v>
      </c>
      <c r="G1330" s="177">
        <f ca="1">MIN(G1328-G1329,0)+IF(G2=1,0,IF(YEAR(Параметры!G26)=YEAR(Параметры!F26),F1330,0))</f>
        <v>-4413541.6875</v>
      </c>
      <c r="H1330" s="177">
        <f ca="1">MIN(H1328-H1329,0)+IF(H2=1,0,IF(YEAR(Параметры!H26)=YEAR(Параметры!G26),G1330,0))</f>
        <v>-8827083.375</v>
      </c>
      <c r="I1330" s="177">
        <f ca="1">MIN(I1328-I1329,0)+IF(I2=1,0,IF(YEAR(Параметры!I26)=YEAR(Параметры!H26),H1330,0))</f>
        <v>-13240625.0625</v>
      </c>
      <c r="J1330" s="177">
        <f ca="1">MIN(J1328-J1329,0)+IF(J2=1,0,IF(YEAR(Параметры!J26)=YEAR(Параметры!I26),I1330,0))</f>
        <v>-17654166.75</v>
      </c>
      <c r="K1330" s="177">
        <f ca="1">MIN(K1328-K1329,0)+IF(K2=1,0,IF(YEAR(Параметры!K26)=YEAR(Параметры!J26),J1330,0))</f>
        <v>-22067708.4375</v>
      </c>
      <c r="L1330" s="177">
        <f ca="1">MIN(L1328-L1329,0)+IF(L2=1,0,IF(YEAR(Параметры!L26)=YEAR(Параметры!K26),K1330,0))</f>
        <v>-26481250.125</v>
      </c>
      <c r="M1330" s="177">
        <f ca="1">MIN(M1328-M1329,0)+IF(M2=1,0,IF(YEAR(Параметры!M26)=YEAR(Параметры!L26),L1330,0))</f>
        <v>-27757171.407747254</v>
      </c>
      <c r="N1330" s="177">
        <f ca="1">MIN(N1328-N1329,0)+IF(N2=1,0,IF(YEAR(Параметры!N26)=YEAR(Параметры!M26),M1330,0))</f>
        <v>-27757171.407747254</v>
      </c>
      <c r="O1330" s="177">
        <f ca="1">MIN(O1328-O1329,0)+IF(O2=1,0,IF(YEAR(Параметры!O26)=YEAR(Параметры!N26),N1330,0))</f>
        <v>-27757171.407747254</v>
      </c>
      <c r="P1330" s="177">
        <f ca="1">MIN(P1328-P1329,0)+IF(P2=1,0,IF(YEAR(Параметры!P26)=YEAR(Параметры!O26),O1330,0))</f>
        <v>-27757171.407747254</v>
      </c>
      <c r="Q1330" s="177">
        <f ca="1">MIN(Q1328-Q1329,0)+IF(Q2=1,0,IF(YEAR(Параметры!Q26)=YEAR(Параметры!P26),P1330,0))</f>
        <v>-27757171.407747254</v>
      </c>
      <c r="R1330" s="177">
        <f ca="1">MIN(R1328-R1329,0)+IF(R2=1,0,IF(YEAR(Параметры!R26)=YEAR(Параметры!Q26),Q1330,0))</f>
        <v>-27757171.407747254</v>
      </c>
      <c r="S1330" s="177">
        <f ca="1">MIN(S1328-S1329,0)+IF(S2=1,0,IF(YEAR(Параметры!S26)=YEAR(Параметры!R26),R1330,0))</f>
        <v>0</v>
      </c>
      <c r="T1330" s="177">
        <f ca="1">MIN(T1328-T1329,0)+IF(T2=1,0,IF(YEAR(Параметры!T26)=YEAR(Параметры!S26),S1330,0))</f>
        <v>0</v>
      </c>
      <c r="U1330" s="177">
        <f ca="1">MIN(U1328-U1329,0)+IF(U2=1,0,IF(YEAR(Параметры!U26)=YEAR(Параметры!T26),T1330,0))</f>
        <v>0</v>
      </c>
      <c r="V1330" s="177">
        <f ca="1">MIN(V1328-V1329,0)+IF(V2=1,0,IF(YEAR(Параметры!V26)=YEAR(Параметры!U26),U1330,0))</f>
        <v>0</v>
      </c>
      <c r="W1330" s="177">
        <f ca="1">MIN(W1328-W1329,0)+IF(W2=1,0,IF(YEAR(Параметры!W26)=YEAR(Параметры!V26),V1330,0))</f>
        <v>0</v>
      </c>
      <c r="X1330" s="177">
        <f ca="1">MIN(X1328-X1329,0)+IF(X2=1,0,IF(YEAR(Параметры!X26)=YEAR(Параметры!W26),W1330,0))</f>
        <v>0</v>
      </c>
      <c r="Y1330" s="177">
        <f ca="1">MIN(Y1328-Y1329,0)+IF(Y2=1,0,IF(YEAR(Параметры!Y26)=YEAR(Параметры!X26),X1330,0))</f>
        <v>0</v>
      </c>
      <c r="Z1330" s="177">
        <f ca="1">MIN(Z1328-Z1329,0)+IF(Z2=1,0,IF(YEAR(Параметры!Z26)=YEAR(Параметры!Y26),Y1330,0))</f>
        <v>0</v>
      </c>
      <c r="AA1330" s="177">
        <f ca="1">MIN(AA1328-AA1329,0)+IF(AA2=1,0,IF(YEAR(Параметры!AA26)=YEAR(Параметры!Z26),Z1330,0))</f>
        <v>0</v>
      </c>
      <c r="AB1330" s="177">
        <f ca="1">MIN(AB1328-AB1329,0)+IF(AB2=1,0,IF(YEAR(Параметры!AB26)=YEAR(Параметры!AA26),AA1330,0))</f>
        <v>0</v>
      </c>
      <c r="AC1330" s="177">
        <f ca="1">MIN(AC1328-AC1329,0)+IF(AC2=1,0,IF(YEAR(Параметры!AC26)=YEAR(Параметры!AB26),AB1330,0))</f>
        <v>0</v>
      </c>
      <c r="AD1330" s="177">
        <f ca="1">MIN(AD1328-AD1329,0)+IF(AD2=1,0,IF(YEAR(Параметры!AD26)=YEAR(Параметры!AC26),AC1330,0))</f>
        <v>0</v>
      </c>
      <c r="AE1330" s="177">
        <f ca="1">MIN(AE1328-AE1329,0)+IF(AE2=1,0,IF(YEAR(Параметры!AE26)=YEAR(Параметры!AD26),AD1330,0))</f>
        <v>0</v>
      </c>
      <c r="AF1330" s="177">
        <f ca="1">MIN(AF1328-AF1329,0)+IF(AF2=1,0,IF(YEAR(Параметры!AF26)=YEAR(Параметры!AE26),AE1330,0))</f>
        <v>0</v>
      </c>
      <c r="AG1330" s="177">
        <f ca="1">MIN(AG1328-AG1329,0)+IF(AG2=1,0,IF(YEAR(Параметры!AG26)=YEAR(Параметры!AF26),AF1330,0))</f>
        <v>0</v>
      </c>
      <c r="AH1330" s="177">
        <f ca="1">MIN(AH1328-AH1329,0)+IF(AH2=1,0,IF(YEAR(Параметры!AH26)=YEAR(Параметры!AG26),AG1330,0))</f>
        <v>0</v>
      </c>
      <c r="AI1330" s="177">
        <f ca="1">MIN(AI1328-AI1329,0)+IF(AI2=1,0,IF(YEAR(Параметры!AI26)=YEAR(Параметры!AH26),AH1330,0))</f>
        <v>0</v>
      </c>
      <c r="AJ1330" s="177">
        <f ca="1">MIN(AJ1328-AJ1329,0)+IF(AJ2=1,0,IF(YEAR(Параметры!AJ26)=YEAR(Параметры!AI26),AI1330,0))</f>
        <v>0</v>
      </c>
      <c r="AK1330" s="177">
        <f ca="1">MIN(AK1328-AK1329,0)+IF(AK2=1,0,IF(YEAR(Параметры!AK26)=YEAR(Параметры!AJ26),AJ1330,0))</f>
        <v>0</v>
      </c>
      <c r="AL1330" s="177">
        <f ca="1">MIN(AL1328-AL1329,0)+IF(AL2=1,0,IF(YEAR(Параметры!AL26)=YEAR(Параметры!AK26),AK1330,0))</f>
        <v>0</v>
      </c>
      <c r="AM1330" s="177">
        <f ca="1">MIN(AM1328-AM1329,0)+IF(AM2=1,0,IF(YEAR(Параметры!AM26)=YEAR(Параметры!AL26),AL1330,0))</f>
        <v>0</v>
      </c>
      <c r="AN1330" s="177">
        <f ca="1">MIN(AN1328-AN1329,0)+IF(AN2=1,0,IF(YEAR(Параметры!AN26)=YEAR(Параметры!AM26),AM1330,0))</f>
        <v>0</v>
      </c>
      <c r="AO1330" s="177">
        <f ca="1">MIN(AO1328-AO1329,0)+IF(AO2=1,0,IF(YEAR(Параметры!AO26)=YEAR(Параметры!AN26),AN1330,0))</f>
        <v>0</v>
      </c>
      <c r="AP1330" s="177">
        <f ca="1">MIN(AP1328-AP1329,0)+IF(AP2=1,0,IF(YEAR(Параметры!AP26)=YEAR(Параметры!AO26),AO1330,0))</f>
        <v>0</v>
      </c>
      <c r="AQ1330" s="177">
        <f ca="1">MIN(AQ1328-AQ1329,0)+IF(AQ2=1,0,IF(YEAR(Параметры!AQ26)=YEAR(Параметры!AP26),AP1330,0))</f>
        <v>0</v>
      </c>
      <c r="AR1330" s="177">
        <f ca="1">MIN(AR1328-AR1329,0)+IF(AR2=1,0,IF(YEAR(Параметры!AR26)=YEAR(Параметры!AQ26),AQ1330,0))</f>
        <v>0</v>
      </c>
      <c r="AS1330" s="177">
        <f ca="1">MIN(AS1328-AS1329,0)+IF(AS2=1,0,IF(YEAR(Параметры!AS26)=YEAR(Параметры!AR26),AR1330,0))</f>
        <v>0</v>
      </c>
      <c r="AT1330" s="177">
        <f ca="1">MIN(AT1328-AT1329,0)+IF(AT2=1,0,IF(YEAR(Параметры!AT26)=YEAR(Параметры!AS26),AS1330,0))</f>
        <v>0</v>
      </c>
      <c r="AU1330" s="177">
        <f ca="1">MIN(AU1328-AU1329,0)+IF(AU2=1,0,IF(YEAR(Параметры!AU26)=YEAR(Параметры!AT26),AT1330,0))</f>
        <v>0</v>
      </c>
      <c r="AV1330" s="177">
        <f ca="1">MIN(AV1328-AV1329,0)+IF(AV2=1,0,IF(YEAR(Параметры!AV26)=YEAR(Параметры!AU26),AU1330,0))</f>
        <v>0</v>
      </c>
      <c r="AW1330" s="177">
        <f ca="1">MIN(AW1328-AW1329,0)+IF(AW2=1,0,IF(YEAR(Параметры!AW26)=YEAR(Параметры!AV26),AV1330,0))</f>
        <v>0</v>
      </c>
      <c r="AX1330" s="177">
        <f ca="1">MIN(AX1328-AX1329,0)+IF(AX2=1,0,IF(YEAR(Параметры!AX26)=YEAR(Параметры!AW26),AW1330,0))</f>
        <v>0</v>
      </c>
      <c r="AY1330" s="177">
        <f ca="1">MIN(AY1328-AY1329,0)+IF(AY2=1,0,IF(YEAR(Параметры!AY26)=YEAR(Параметры!AX26),AX1330,0))</f>
        <v>0</v>
      </c>
      <c r="AZ1330" s="177">
        <f ca="1">MIN(AZ1328-AZ1329,0)+IF(AZ2=1,0,IF(YEAR(Параметры!AZ26)=YEAR(Параметры!AY26),AY1330,0))</f>
        <v>0</v>
      </c>
      <c r="BA1330" s="177">
        <f ca="1">MIN(BA1328-BA1329,0)+IF(BA2=1,0,IF(YEAR(Параметры!BA26)=YEAR(Параметры!AZ26),AZ1330,0))</f>
        <v>0</v>
      </c>
      <c r="BB1330" s="177">
        <f ca="1">MIN(BB1328-BB1329,0)+IF(BB2=1,0,IF(YEAR(Параметры!BB26)=YEAR(Параметры!BA26),BA1330,0))</f>
        <v>0</v>
      </c>
      <c r="BD1330" s="178"/>
    </row>
    <row r="1331" spans="1:56" hidden="1" outlineLevel="1" x14ac:dyDescent="0.3">
      <c r="A1331" s="169" t="str">
        <f ca="1">Language!A1189</f>
        <v>Списание убытков текущего года</v>
      </c>
      <c r="C1331" s="194" t="str">
        <f t="shared" ca="1" si="4597"/>
        <v>руб.</v>
      </c>
      <c r="F1331" s="170" t="s">
        <v>740</v>
      </c>
      <c r="G1331" s="177">
        <f ca="1">-IF(G1328-G1329&gt;0,MIN(G1328-G1329,IF(G2=1,0,-IF(YEAR(Параметры!G26)=YEAR(Параметры!F26),F1333+MIN(G1328-G1329,0),G1330))),0)</f>
        <v>0</v>
      </c>
      <c r="H1331" s="177">
        <f ca="1">-IF(H1328-H1329&gt;0,MIN(H1328-H1329,IF(H2=1,0,-IF(YEAR(Параметры!H26)=YEAR(Параметры!G26),G1333+MIN(H1328-H1329,0),H1330))),0)</f>
        <v>0</v>
      </c>
      <c r="I1331" s="177">
        <f ca="1">-IF(I1328-I1329&gt;0,MIN(I1328-I1329,IF(I2=1,0,-IF(YEAR(Параметры!I26)=YEAR(Параметры!H26),H1333+MIN(I1328-I1329,0),I1330))),0)</f>
        <v>0</v>
      </c>
      <c r="J1331" s="177">
        <f ca="1">-IF(J1328-J1329&gt;0,MIN(J1328-J1329,IF(J2=1,0,-IF(YEAR(Параметры!J26)=YEAR(Параметры!I26),I1333+MIN(J1328-J1329,0),J1330))),0)</f>
        <v>0</v>
      </c>
      <c r="K1331" s="177">
        <f ca="1">-IF(K1328-K1329&gt;0,MIN(K1328-K1329,IF(K2=1,0,-IF(YEAR(Параметры!K26)=YEAR(Параметры!J26),J1333+MIN(K1328-K1329,0),K1330))),0)</f>
        <v>0</v>
      </c>
      <c r="L1331" s="177">
        <f ca="1">-IF(L1328-L1329&gt;0,MIN(L1328-L1329,IF(L2=1,0,-IF(YEAR(Параметры!L26)=YEAR(Параметры!K26),K1333+MIN(L1328-L1329,0),L1330))),0)</f>
        <v>0</v>
      </c>
      <c r="M1331" s="177">
        <f ca="1">-IF(M1328-M1329&gt;0,MIN(M1328-M1329,IF(M2=1,0,-IF(YEAR(Параметры!M26)=YEAR(Параметры!L26),L1333+MIN(M1328-M1329,0),M1330))),0)</f>
        <v>0</v>
      </c>
      <c r="N1331" s="177">
        <f ca="1">-IF(N1328-N1329&gt;0,MIN(N1328-N1329,IF(N2=1,0,-IF(YEAR(Параметры!N26)=YEAR(Параметры!M26),M1333+MIN(N1328-N1329,0),N1330))),0)</f>
        <v>-605974.1600500542</v>
      </c>
      <c r="O1331" s="177">
        <f ca="1">-IF(O1328-O1329&gt;0,MIN(O1328-O1329,IF(O2=1,0,-IF(YEAR(Параметры!O26)=YEAR(Параметры!N26),N1333+MIN(O1328-O1329,0),O1330))),0)</f>
        <v>-2521416.172398705</v>
      </c>
      <c r="P1331" s="177">
        <f ca="1">-IF(P1328-P1329&gt;0,MIN(P1328-P1329,IF(P2=1,0,-IF(YEAR(Параметры!P26)=YEAR(Параметры!O26),O1333+MIN(P1328-P1329,0),P1330))),0)</f>
        <v>-4439142.5668230727</v>
      </c>
      <c r="Q1331" s="177">
        <f ca="1">-IF(Q1328-Q1329&gt;0,MIN(Q1328-Q1329,IF(Q2=1,0,-IF(YEAR(Параметры!Q26)=YEAR(Параметры!P26),P1333+MIN(Q1328-Q1329,0),Q1330))),0)</f>
        <v>-4531310.8373188861</v>
      </c>
      <c r="R1331" s="177">
        <f ca="1">-IF(R1328-R1329&gt;0,MIN(R1328-R1329,IF(R2=1,0,-IF(YEAR(Параметры!R26)=YEAR(Параметры!Q26),Q1333+MIN(R1328-R1329,0),R1330))),0)</f>
        <v>-4602110.7110472545</v>
      </c>
      <c r="S1331" s="177">
        <f ca="1">-IF(S1328-S1329&gt;0,MIN(S1328-S1329,IF(S2=1,0,-IF(YEAR(Параметры!S26)=YEAR(Параметры!R26),R1333+MIN(S1328-S1329,0),S1330))),0)</f>
        <v>0</v>
      </c>
      <c r="T1331" s="177">
        <f ca="1">-IF(T1328-T1329&gt;0,MIN(T1328-T1329,IF(T2=1,0,-IF(YEAR(Параметры!T26)=YEAR(Параметры!S26),S1333+MIN(T1328-T1329,0),T1330))),0)</f>
        <v>0</v>
      </c>
      <c r="U1331" s="177">
        <f ca="1">-IF(U1328-U1329&gt;0,MIN(U1328-U1329,IF(U2=1,0,-IF(YEAR(Параметры!U26)=YEAR(Параметры!T26),T1333+MIN(U1328-U1329,0),U1330))),0)</f>
        <v>0</v>
      </c>
      <c r="V1331" s="177">
        <f ca="1">-IF(V1328-V1329&gt;0,MIN(V1328-V1329,IF(V2=1,0,-IF(YEAR(Параметры!V26)=YEAR(Параметры!U26),U1333+MIN(V1328-V1329,0),V1330))),0)</f>
        <v>0</v>
      </c>
      <c r="W1331" s="177">
        <f ca="1">-IF(W1328-W1329&gt;0,MIN(W1328-W1329,IF(W2=1,0,-IF(YEAR(Параметры!W26)=YEAR(Параметры!V26),V1333+MIN(W1328-W1329,0),W1330))),0)</f>
        <v>0</v>
      </c>
      <c r="X1331" s="177">
        <f ca="1">-IF(X1328-X1329&gt;0,MIN(X1328-X1329,IF(X2=1,0,-IF(YEAR(Параметры!X26)=YEAR(Параметры!W26),W1333+MIN(X1328-X1329,0),X1330))),0)</f>
        <v>0</v>
      </c>
      <c r="Y1331" s="177">
        <f ca="1">-IF(Y1328-Y1329&gt;0,MIN(Y1328-Y1329,IF(Y2=1,0,-IF(YEAR(Параметры!Y26)=YEAR(Параметры!X26),X1333+MIN(Y1328-Y1329,0),Y1330))),0)</f>
        <v>0</v>
      </c>
      <c r="Z1331" s="177">
        <f ca="1">-IF(Z1328-Z1329&gt;0,MIN(Z1328-Z1329,IF(Z2=1,0,-IF(YEAR(Параметры!Z26)=YEAR(Параметры!Y26),Y1333+MIN(Z1328-Z1329,0),Z1330))),0)</f>
        <v>0</v>
      </c>
      <c r="AA1331" s="177">
        <f ca="1">-IF(AA1328-AA1329&gt;0,MIN(AA1328-AA1329,IF(AA2=1,0,-IF(YEAR(Параметры!AA26)=YEAR(Параметры!Z26),Z1333+MIN(AA1328-AA1329,0),AA1330))),0)</f>
        <v>0</v>
      </c>
      <c r="AB1331" s="177">
        <f ca="1">-IF(AB1328-AB1329&gt;0,MIN(AB1328-AB1329,IF(AB2=1,0,-IF(YEAR(Параметры!AB26)=YEAR(Параметры!AA26),AA1333+MIN(AB1328-AB1329,0),AB1330))),0)</f>
        <v>0</v>
      </c>
      <c r="AC1331" s="177">
        <f ca="1">-IF(AC1328-AC1329&gt;0,MIN(AC1328-AC1329,IF(AC2=1,0,-IF(YEAR(Параметры!AC26)=YEAR(Параметры!AB26),AB1333+MIN(AC1328-AC1329,0),AC1330))),0)</f>
        <v>0</v>
      </c>
      <c r="AD1331" s="177">
        <f ca="1">-IF(AD1328-AD1329&gt;0,MIN(AD1328-AD1329,IF(AD2=1,0,-IF(YEAR(Параметры!AD26)=YEAR(Параметры!AC26),AC1333+MIN(AD1328-AD1329,0),AD1330))),0)</f>
        <v>0</v>
      </c>
      <c r="AE1331" s="177">
        <f ca="1">-IF(AE1328-AE1329&gt;0,MIN(AE1328-AE1329,IF(AE2=1,0,-IF(YEAR(Параметры!AE26)=YEAR(Параметры!AD26),AD1333+MIN(AE1328-AE1329,0),AE1330))),0)</f>
        <v>0</v>
      </c>
      <c r="AF1331" s="177">
        <f ca="1">-IF(AF1328-AF1329&gt;0,MIN(AF1328-AF1329,IF(AF2=1,0,-IF(YEAR(Параметры!AF26)=YEAR(Параметры!AE26),AE1333+MIN(AF1328-AF1329,0),AF1330))),0)</f>
        <v>0</v>
      </c>
      <c r="AG1331" s="177">
        <f ca="1">-IF(AG1328-AG1329&gt;0,MIN(AG1328-AG1329,IF(AG2=1,0,-IF(YEAR(Параметры!AG26)=YEAR(Параметры!AF26),AF1333+MIN(AG1328-AG1329,0),AG1330))),0)</f>
        <v>0</v>
      </c>
      <c r="AH1331" s="177">
        <f ca="1">-IF(AH1328-AH1329&gt;0,MIN(AH1328-AH1329,IF(AH2=1,0,-IF(YEAR(Параметры!AH26)=YEAR(Параметры!AG26),AG1333+MIN(AH1328-AH1329,0),AH1330))),0)</f>
        <v>0</v>
      </c>
      <c r="AI1331" s="177">
        <f ca="1">-IF(AI1328-AI1329&gt;0,MIN(AI1328-AI1329,IF(AI2=1,0,-IF(YEAR(Параметры!AI26)=YEAR(Параметры!AH26),AH1333+MIN(AI1328-AI1329,0),AI1330))),0)</f>
        <v>0</v>
      </c>
      <c r="AJ1331" s="177">
        <f ca="1">-IF(AJ1328-AJ1329&gt;0,MIN(AJ1328-AJ1329,IF(AJ2=1,0,-IF(YEAR(Параметры!AJ26)=YEAR(Параметры!AI26),AI1333+MIN(AJ1328-AJ1329,0),AJ1330))),0)</f>
        <v>0</v>
      </c>
      <c r="AK1331" s="177">
        <f ca="1">-IF(AK1328-AK1329&gt;0,MIN(AK1328-AK1329,IF(AK2=1,0,-IF(YEAR(Параметры!AK26)=YEAR(Параметры!AJ26),AJ1333+MIN(AK1328-AK1329,0),AK1330))),0)</f>
        <v>0</v>
      </c>
      <c r="AL1331" s="177">
        <f ca="1">-IF(AL1328-AL1329&gt;0,MIN(AL1328-AL1329,IF(AL2=1,0,-IF(YEAR(Параметры!AL26)=YEAR(Параметры!AK26),AK1333+MIN(AL1328-AL1329,0),AL1330))),0)</f>
        <v>0</v>
      </c>
      <c r="AM1331" s="177">
        <f ca="1">-IF(AM1328-AM1329&gt;0,MIN(AM1328-AM1329,IF(AM2=1,0,-IF(YEAR(Параметры!AM26)=YEAR(Параметры!AL26),AL1333+MIN(AM1328-AM1329,0),AM1330))),0)</f>
        <v>0</v>
      </c>
      <c r="AN1331" s="177">
        <f ca="1">-IF(AN1328-AN1329&gt;0,MIN(AN1328-AN1329,IF(AN2=1,0,-IF(YEAR(Параметры!AN26)=YEAR(Параметры!AM26),AM1333+MIN(AN1328-AN1329,0),AN1330))),0)</f>
        <v>0</v>
      </c>
      <c r="AO1331" s="177">
        <f ca="1">-IF(AO1328-AO1329&gt;0,MIN(AO1328-AO1329,IF(AO2=1,0,-IF(YEAR(Параметры!AO26)=YEAR(Параметры!AN26),AN1333+MIN(AO1328-AO1329,0),AO1330))),0)</f>
        <v>0</v>
      </c>
      <c r="AP1331" s="177">
        <f ca="1">-IF(AP1328-AP1329&gt;0,MIN(AP1328-AP1329,IF(AP2=1,0,-IF(YEAR(Параметры!AP26)=YEAR(Параметры!AO26),AO1333+MIN(AP1328-AP1329,0),AP1330))),0)</f>
        <v>0</v>
      </c>
      <c r="AQ1331" s="177">
        <f ca="1">-IF(AQ1328-AQ1329&gt;0,MIN(AQ1328-AQ1329,IF(AQ2=1,0,-IF(YEAR(Параметры!AQ26)=YEAR(Параметры!AP26),AP1333+MIN(AQ1328-AQ1329,0),AQ1330))),0)</f>
        <v>0</v>
      </c>
      <c r="AR1331" s="177">
        <f ca="1">-IF(AR1328-AR1329&gt;0,MIN(AR1328-AR1329,IF(AR2=1,0,-IF(YEAR(Параметры!AR26)=YEAR(Параметры!AQ26),AQ1333+MIN(AR1328-AR1329,0),AR1330))),0)</f>
        <v>0</v>
      </c>
      <c r="AS1331" s="177">
        <f ca="1">-IF(AS1328-AS1329&gt;0,MIN(AS1328-AS1329,IF(AS2=1,0,-IF(YEAR(Параметры!AS26)=YEAR(Параметры!AR26),AR1333+MIN(AS1328-AS1329,0),AS1330))),0)</f>
        <v>0</v>
      </c>
      <c r="AT1331" s="177">
        <f ca="1">-IF(AT1328-AT1329&gt;0,MIN(AT1328-AT1329,IF(AT2=1,0,-IF(YEAR(Параметры!AT26)=YEAR(Параметры!AS26),AS1333+MIN(AT1328-AT1329,0),AT1330))),0)</f>
        <v>0</v>
      </c>
      <c r="AU1331" s="177">
        <f ca="1">-IF(AU1328-AU1329&gt;0,MIN(AU1328-AU1329,IF(AU2=1,0,-IF(YEAR(Параметры!AU26)=YEAR(Параметры!AT26),AT1333+MIN(AU1328-AU1329,0),AU1330))),0)</f>
        <v>0</v>
      </c>
      <c r="AV1331" s="177">
        <f ca="1">-IF(AV1328-AV1329&gt;0,MIN(AV1328-AV1329,IF(AV2=1,0,-IF(YEAR(Параметры!AV26)=YEAR(Параметры!AU26),AU1333+MIN(AV1328-AV1329,0),AV1330))),0)</f>
        <v>0</v>
      </c>
      <c r="AW1331" s="177">
        <f ca="1">-IF(AW1328-AW1329&gt;0,MIN(AW1328-AW1329,IF(AW2=1,0,-IF(YEAR(Параметры!AW26)=YEAR(Параметры!AV26),AV1333+MIN(AW1328-AW1329,0),AW1330))),0)</f>
        <v>0</v>
      </c>
      <c r="AX1331" s="177">
        <f ca="1">-IF(AX1328-AX1329&gt;0,MIN(AX1328-AX1329,IF(AX2=1,0,-IF(YEAR(Параметры!AX26)=YEAR(Параметры!AW26),AW1333+MIN(AX1328-AX1329,0),AX1330))),0)</f>
        <v>0</v>
      </c>
      <c r="AY1331" s="177">
        <f ca="1">-IF(AY1328-AY1329&gt;0,MIN(AY1328-AY1329,IF(AY2=1,0,-IF(YEAR(Параметры!AY26)=YEAR(Параметры!AX26),AX1333+MIN(AY1328-AY1329,0),AY1330))),0)</f>
        <v>0</v>
      </c>
      <c r="AZ1331" s="177">
        <f ca="1">-IF(AZ1328-AZ1329&gt;0,MIN(AZ1328-AZ1329,IF(AZ2=1,0,-IF(YEAR(Параметры!AZ26)=YEAR(Параметры!AY26),AY1333+MIN(AZ1328-AZ1329,0),AZ1330))),0)</f>
        <v>0</v>
      </c>
      <c r="BA1331" s="177">
        <f ca="1">-IF(BA1328-BA1329&gt;0,MIN(BA1328-BA1329,IF(BA2=1,0,-IF(YEAR(Параметры!BA26)=YEAR(Параметры!AZ26),AZ1333+MIN(BA1328-BA1329,0),BA1330))),0)</f>
        <v>0</v>
      </c>
      <c r="BB1331" s="177">
        <f ca="1">-IF(BB1328-BB1329&gt;0,MIN(BB1328-BB1329,IF(BB2=1,0,-IF(YEAR(Параметры!BB26)=YEAR(Параметры!BA26),BA1333+MIN(BB1328-BB1329,0),BB1330))),0)</f>
        <v>0</v>
      </c>
      <c r="BD1331" s="178">
        <f ca="1">SUM(G1331:BC1331)</f>
        <v>-16699954.447637971</v>
      </c>
    </row>
    <row r="1332" spans="1:56" hidden="1" outlineLevel="1" x14ac:dyDescent="0.3">
      <c r="A1332" s="184" t="str">
        <f ca="1">Language!A1190</f>
        <v>нарастающим итогом</v>
      </c>
      <c r="C1332" s="163" t="str">
        <f t="shared" ca="1" si="4597"/>
        <v>руб.</v>
      </c>
      <c r="F1332" s="170" t="s">
        <v>741</v>
      </c>
      <c r="G1332" s="177">
        <f ca="1">IF(G2=1,G1331,IF(YEAR(Параметры!G26)=YEAR(Параметры!F26),F1332+G1331,G1331))</f>
        <v>0</v>
      </c>
      <c r="H1332" s="177">
        <f ca="1">IF(H2=1,H1331,IF(YEAR(Параметры!H26)=YEAR(Параметры!G26),G1332+H1331,H1331))</f>
        <v>0</v>
      </c>
      <c r="I1332" s="177">
        <f ca="1">IF(I2=1,I1331,IF(YEAR(Параметры!I26)=YEAR(Параметры!H26),H1332+I1331,I1331))</f>
        <v>0</v>
      </c>
      <c r="J1332" s="177">
        <f ca="1">IF(J2=1,J1331,IF(YEAR(Параметры!J26)=YEAR(Параметры!I26),I1332+J1331,J1331))</f>
        <v>0</v>
      </c>
      <c r="K1332" s="177">
        <f ca="1">IF(K2=1,K1331,IF(YEAR(Параметры!K26)=YEAR(Параметры!J26),J1332+K1331,K1331))</f>
        <v>0</v>
      </c>
      <c r="L1332" s="177">
        <f ca="1">IF(L2=1,L1331,IF(YEAR(Параметры!L26)=YEAR(Параметры!K26),K1332+L1331,L1331))</f>
        <v>0</v>
      </c>
      <c r="M1332" s="177">
        <f ca="1">IF(M2=1,M1331,IF(YEAR(Параметры!M26)=YEAR(Параметры!L26),L1332+M1331,M1331))</f>
        <v>0</v>
      </c>
      <c r="N1332" s="177">
        <f ca="1">IF(N2=1,N1331,IF(YEAR(Параметры!N26)=YEAR(Параметры!M26),M1332+N1331,N1331))</f>
        <v>-605974.1600500542</v>
      </c>
      <c r="O1332" s="177">
        <f ca="1">IF(O2=1,O1331,IF(YEAR(Параметры!O26)=YEAR(Параметры!N26),N1332+O1331,O1331))</f>
        <v>-3127390.3324487591</v>
      </c>
      <c r="P1332" s="177">
        <f ca="1">IF(P2=1,P1331,IF(YEAR(Параметры!P26)=YEAR(Параметры!O26),O1332+P1331,P1331))</f>
        <v>-7566532.8992718318</v>
      </c>
      <c r="Q1332" s="177">
        <f ca="1">IF(Q2=1,Q1331,IF(YEAR(Параметры!Q26)=YEAR(Параметры!P26),P1332+Q1331,Q1331))</f>
        <v>-12097843.736590717</v>
      </c>
      <c r="R1332" s="177">
        <f ca="1">IF(R2=1,R1331,IF(YEAR(Параметры!R26)=YEAR(Параметры!Q26),Q1332+R1331,R1331))</f>
        <v>-16699954.447637971</v>
      </c>
      <c r="S1332" s="177">
        <f ca="1">IF(S2=1,S1331,IF(YEAR(Параметры!S26)=YEAR(Параметры!R26),R1332+S1331,S1331))</f>
        <v>0</v>
      </c>
      <c r="T1332" s="177">
        <f ca="1">IF(T2=1,T1331,IF(YEAR(Параметры!T26)=YEAR(Параметры!S26),S1332+T1331,T1331))</f>
        <v>0</v>
      </c>
      <c r="U1332" s="177">
        <f ca="1">IF(U2=1,U1331,IF(YEAR(Параметры!U26)=YEAR(Параметры!T26),T1332+U1331,U1331))</f>
        <v>0</v>
      </c>
      <c r="V1332" s="177">
        <f ca="1">IF(V2=1,V1331,IF(YEAR(Параметры!V26)=YEAR(Параметры!U26),U1332+V1331,V1331))</f>
        <v>0</v>
      </c>
      <c r="W1332" s="177">
        <f ca="1">IF(W2=1,W1331,IF(YEAR(Параметры!W26)=YEAR(Параметры!V26),V1332+W1331,W1331))</f>
        <v>0</v>
      </c>
      <c r="X1332" s="177">
        <f ca="1">IF(X2=1,X1331,IF(YEAR(Параметры!X26)=YEAR(Параметры!W26),W1332+X1331,X1331))</f>
        <v>0</v>
      </c>
      <c r="Y1332" s="177">
        <f ca="1">IF(Y2=1,Y1331,IF(YEAR(Параметры!Y26)=YEAR(Параметры!X26),X1332+Y1331,Y1331))</f>
        <v>0</v>
      </c>
      <c r="Z1332" s="177">
        <f ca="1">IF(Z2=1,Z1331,IF(YEAR(Параметры!Z26)=YEAR(Параметры!Y26),Y1332+Z1331,Z1331))</f>
        <v>0</v>
      </c>
      <c r="AA1332" s="177">
        <f ca="1">IF(AA2=1,AA1331,IF(YEAR(Параметры!AA26)=YEAR(Параметры!Z26),Z1332+AA1331,AA1331))</f>
        <v>0</v>
      </c>
      <c r="AB1332" s="177">
        <f ca="1">IF(AB2=1,AB1331,IF(YEAR(Параметры!AB26)=YEAR(Параметры!AA26),AA1332+AB1331,AB1331))</f>
        <v>0</v>
      </c>
      <c r="AC1332" s="177">
        <f ca="1">IF(AC2=1,AC1331,IF(YEAR(Параметры!AC26)=YEAR(Параметры!AB26),AB1332+AC1331,AC1331))</f>
        <v>0</v>
      </c>
      <c r="AD1332" s="177">
        <f ca="1">IF(AD2=1,AD1331,IF(YEAR(Параметры!AD26)=YEAR(Параметры!AC26),AC1332+AD1331,AD1331))</f>
        <v>0</v>
      </c>
      <c r="AE1332" s="177">
        <f ca="1">IF(AE2=1,AE1331,IF(YEAR(Параметры!AE26)=YEAR(Параметры!AD26),AD1332+AE1331,AE1331))</f>
        <v>0</v>
      </c>
      <c r="AF1332" s="177">
        <f ca="1">IF(AF2=1,AF1331,IF(YEAR(Параметры!AF26)=YEAR(Параметры!AE26),AE1332+AF1331,AF1331))</f>
        <v>0</v>
      </c>
      <c r="AG1332" s="177">
        <f ca="1">IF(AG2=1,AG1331,IF(YEAR(Параметры!AG26)=YEAR(Параметры!AF26),AF1332+AG1331,AG1331))</f>
        <v>0</v>
      </c>
      <c r="AH1332" s="177">
        <f ca="1">IF(AH2=1,AH1331,IF(YEAR(Параметры!AH26)=YEAR(Параметры!AG26),AG1332+AH1331,AH1331))</f>
        <v>0</v>
      </c>
      <c r="AI1332" s="177">
        <f ca="1">IF(AI2=1,AI1331,IF(YEAR(Параметры!AI26)=YEAR(Параметры!AH26),AH1332+AI1331,AI1331))</f>
        <v>0</v>
      </c>
      <c r="AJ1332" s="177">
        <f ca="1">IF(AJ2=1,AJ1331,IF(YEAR(Параметры!AJ26)=YEAR(Параметры!AI26),AI1332+AJ1331,AJ1331))</f>
        <v>0</v>
      </c>
      <c r="AK1332" s="177">
        <f ca="1">IF(AK2=1,AK1331,IF(YEAR(Параметры!AK26)=YEAR(Параметры!AJ26),AJ1332+AK1331,AK1331))</f>
        <v>0</v>
      </c>
      <c r="AL1332" s="177">
        <f ca="1">IF(AL2=1,AL1331,IF(YEAR(Параметры!AL26)=YEAR(Параметры!AK26),AK1332+AL1331,AL1331))</f>
        <v>0</v>
      </c>
      <c r="AM1332" s="177">
        <f ca="1">IF(AM2=1,AM1331,IF(YEAR(Параметры!AM26)=YEAR(Параметры!AL26),AL1332+AM1331,AM1331))</f>
        <v>0</v>
      </c>
      <c r="AN1332" s="177">
        <f ca="1">IF(AN2=1,AN1331,IF(YEAR(Параметры!AN26)=YEAR(Параметры!AM26),AM1332+AN1331,AN1331))</f>
        <v>0</v>
      </c>
      <c r="AO1332" s="177">
        <f ca="1">IF(AO2=1,AO1331,IF(YEAR(Параметры!AO26)=YEAR(Параметры!AN26),AN1332+AO1331,AO1331))</f>
        <v>0</v>
      </c>
      <c r="AP1332" s="177">
        <f ca="1">IF(AP2=1,AP1331,IF(YEAR(Параметры!AP26)=YEAR(Параметры!AO26),AO1332+AP1331,AP1331))</f>
        <v>0</v>
      </c>
      <c r="AQ1332" s="177">
        <f ca="1">IF(AQ2=1,AQ1331,IF(YEAR(Параметры!AQ26)=YEAR(Параметры!AP26),AP1332+AQ1331,AQ1331))</f>
        <v>0</v>
      </c>
      <c r="AR1332" s="177">
        <f ca="1">IF(AR2=1,AR1331,IF(YEAR(Параметры!AR26)=YEAR(Параметры!AQ26),AQ1332+AR1331,AR1331))</f>
        <v>0</v>
      </c>
      <c r="AS1332" s="177">
        <f ca="1">IF(AS2=1,AS1331,IF(YEAR(Параметры!AS26)=YEAR(Параметры!AR26),AR1332+AS1331,AS1331))</f>
        <v>0</v>
      </c>
      <c r="AT1332" s="177">
        <f ca="1">IF(AT2=1,AT1331,IF(YEAR(Параметры!AT26)=YEAR(Параметры!AS26),AS1332+AT1331,AT1331))</f>
        <v>0</v>
      </c>
      <c r="AU1332" s="177">
        <f ca="1">IF(AU2=1,AU1331,IF(YEAR(Параметры!AU26)=YEAR(Параметры!AT26),AT1332+AU1331,AU1331))</f>
        <v>0</v>
      </c>
      <c r="AV1332" s="177">
        <f ca="1">IF(AV2=1,AV1331,IF(YEAR(Параметры!AV26)=YEAR(Параметры!AU26),AU1332+AV1331,AV1331))</f>
        <v>0</v>
      </c>
      <c r="AW1332" s="177">
        <f ca="1">IF(AW2=1,AW1331,IF(YEAR(Параметры!AW26)=YEAR(Параметры!AV26),AV1332+AW1331,AW1331))</f>
        <v>0</v>
      </c>
      <c r="AX1332" s="177">
        <f ca="1">IF(AX2=1,AX1331,IF(YEAR(Параметры!AX26)=YEAR(Параметры!AW26),AW1332+AX1331,AX1331))</f>
        <v>0</v>
      </c>
      <c r="AY1332" s="177">
        <f ca="1">IF(AY2=1,AY1331,IF(YEAR(Параметры!AY26)=YEAR(Параметры!AX26),AX1332+AY1331,AY1331))</f>
        <v>0</v>
      </c>
      <c r="AZ1332" s="177">
        <f ca="1">IF(AZ2=1,AZ1331,IF(YEAR(Параметры!AZ26)=YEAR(Параметры!AY26),AY1332+AZ1331,AZ1331))</f>
        <v>0</v>
      </c>
      <c r="BA1332" s="177">
        <f ca="1">IF(BA2=1,BA1331,IF(YEAR(Параметры!BA26)=YEAR(Параметры!AZ26),AZ1332+BA1331,BA1331))</f>
        <v>0</v>
      </c>
      <c r="BB1332" s="177">
        <f ca="1">IF(BB2=1,BB1331,IF(YEAR(Параметры!BB26)=YEAR(Параметры!BA26),BA1332+BB1331,BB1331))</f>
        <v>0</v>
      </c>
      <c r="BD1332" s="178"/>
    </row>
    <row r="1333" spans="1:56" hidden="1" outlineLevel="1" x14ac:dyDescent="0.3">
      <c r="A1333" s="169" t="str">
        <f ca="1">Language!A1191</f>
        <v>Не списанные убытки текущего года</v>
      </c>
      <c r="C1333" s="194" t="str">
        <f t="shared" ca="1" si="4597"/>
        <v>руб.</v>
      </c>
      <c r="F1333" s="170" t="s">
        <v>741</v>
      </c>
      <c r="G1333" s="177">
        <f t="shared" ref="G1333:K1333" ca="1" si="4651">G1330-G1332</f>
        <v>-4413541.6875</v>
      </c>
      <c r="H1333" s="177">
        <f t="shared" ca="1" si="4651"/>
        <v>-8827083.375</v>
      </c>
      <c r="I1333" s="177">
        <f t="shared" ca="1" si="4651"/>
        <v>-13240625.0625</v>
      </c>
      <c r="J1333" s="177">
        <f t="shared" ca="1" si="4651"/>
        <v>-17654166.75</v>
      </c>
      <c r="K1333" s="177">
        <f t="shared" ca="1" si="4651"/>
        <v>-22067708.4375</v>
      </c>
      <c r="L1333" s="177">
        <f t="shared" ref="L1333:M1333" ca="1" si="4652">L1330-L1332</f>
        <v>-26481250.125</v>
      </c>
      <c r="M1333" s="177">
        <f t="shared" ca="1" si="4652"/>
        <v>-27757171.407747254</v>
      </c>
      <c r="N1333" s="177">
        <f t="shared" ref="N1333:O1333" ca="1" si="4653">N1330-N1332</f>
        <v>-27151197.247697201</v>
      </c>
      <c r="O1333" s="177">
        <f t="shared" ca="1" si="4653"/>
        <v>-24629781.075298496</v>
      </c>
      <c r="P1333" s="177">
        <f t="shared" ref="P1333:Q1333" ca="1" si="4654">P1330-P1332</f>
        <v>-20190638.508475423</v>
      </c>
      <c r="Q1333" s="177">
        <f t="shared" ca="1" si="4654"/>
        <v>-15659327.671156537</v>
      </c>
      <c r="R1333" s="177">
        <f t="shared" ref="R1333:S1333" ca="1" si="4655">R1330-R1332</f>
        <v>-11057216.960109282</v>
      </c>
      <c r="S1333" s="177">
        <f t="shared" ca="1" si="4655"/>
        <v>0</v>
      </c>
      <c r="T1333" s="177">
        <f t="shared" ref="T1333:U1333" ca="1" si="4656">T1330-T1332</f>
        <v>0</v>
      </c>
      <c r="U1333" s="177">
        <f t="shared" ca="1" si="4656"/>
        <v>0</v>
      </c>
      <c r="V1333" s="177">
        <f t="shared" ref="V1333:W1333" ca="1" si="4657">V1330-V1332</f>
        <v>0</v>
      </c>
      <c r="W1333" s="177">
        <f t="shared" ca="1" si="4657"/>
        <v>0</v>
      </c>
      <c r="X1333" s="177">
        <f t="shared" ref="X1333:Y1333" ca="1" si="4658">X1330-X1332</f>
        <v>0</v>
      </c>
      <c r="Y1333" s="177">
        <f t="shared" ca="1" si="4658"/>
        <v>0</v>
      </c>
      <c r="Z1333" s="177">
        <f t="shared" ref="Z1333:AA1333" ca="1" si="4659">Z1330-Z1332</f>
        <v>0</v>
      </c>
      <c r="AA1333" s="177">
        <f t="shared" ca="1" si="4659"/>
        <v>0</v>
      </c>
      <c r="AB1333" s="177">
        <f t="shared" ref="AB1333:AC1333" ca="1" si="4660">AB1330-AB1332</f>
        <v>0</v>
      </c>
      <c r="AC1333" s="177">
        <f t="shared" ca="1" si="4660"/>
        <v>0</v>
      </c>
      <c r="AD1333" s="177">
        <f t="shared" ref="AD1333:AE1333" ca="1" si="4661">AD1330-AD1332</f>
        <v>0</v>
      </c>
      <c r="AE1333" s="177">
        <f t="shared" ca="1" si="4661"/>
        <v>0</v>
      </c>
      <c r="AF1333" s="177">
        <f t="shared" ref="AF1333:AG1333" ca="1" si="4662">AF1330-AF1332</f>
        <v>0</v>
      </c>
      <c r="AG1333" s="177">
        <f t="shared" ca="1" si="4662"/>
        <v>0</v>
      </c>
      <c r="AH1333" s="177">
        <f t="shared" ref="AH1333:AI1333" ca="1" si="4663">AH1330-AH1332</f>
        <v>0</v>
      </c>
      <c r="AI1333" s="177">
        <f t="shared" ca="1" si="4663"/>
        <v>0</v>
      </c>
      <c r="AJ1333" s="177">
        <f t="shared" ref="AJ1333:AK1333" ca="1" si="4664">AJ1330-AJ1332</f>
        <v>0</v>
      </c>
      <c r="AK1333" s="177">
        <f t="shared" ca="1" si="4664"/>
        <v>0</v>
      </c>
      <c r="AL1333" s="177">
        <f t="shared" ref="AL1333:AM1333" ca="1" si="4665">AL1330-AL1332</f>
        <v>0</v>
      </c>
      <c r="AM1333" s="177">
        <f t="shared" ca="1" si="4665"/>
        <v>0</v>
      </c>
      <c r="AN1333" s="177">
        <f t="shared" ref="AN1333:AO1333" ca="1" si="4666">AN1330-AN1332</f>
        <v>0</v>
      </c>
      <c r="AO1333" s="177">
        <f t="shared" ca="1" si="4666"/>
        <v>0</v>
      </c>
      <c r="AP1333" s="177">
        <f t="shared" ref="AP1333:AQ1333" ca="1" si="4667">AP1330-AP1332</f>
        <v>0</v>
      </c>
      <c r="AQ1333" s="177">
        <f t="shared" ca="1" si="4667"/>
        <v>0</v>
      </c>
      <c r="AR1333" s="177">
        <f t="shared" ref="AR1333:AS1333" ca="1" si="4668">AR1330-AR1332</f>
        <v>0</v>
      </c>
      <c r="AS1333" s="177">
        <f t="shared" ca="1" si="4668"/>
        <v>0</v>
      </c>
      <c r="AT1333" s="177">
        <f t="shared" ref="AT1333:AU1333" ca="1" si="4669">AT1330-AT1332</f>
        <v>0</v>
      </c>
      <c r="AU1333" s="177">
        <f t="shared" ca="1" si="4669"/>
        <v>0</v>
      </c>
      <c r="AV1333" s="177">
        <f t="shared" ref="AV1333:AW1333" ca="1" si="4670">AV1330-AV1332</f>
        <v>0</v>
      </c>
      <c r="AW1333" s="177">
        <f t="shared" ca="1" si="4670"/>
        <v>0</v>
      </c>
      <c r="AX1333" s="177">
        <f t="shared" ref="AX1333:AY1333" ca="1" si="4671">AX1330-AX1332</f>
        <v>0</v>
      </c>
      <c r="AY1333" s="177">
        <f t="shared" ca="1" si="4671"/>
        <v>0</v>
      </c>
      <c r="AZ1333" s="177">
        <f t="shared" ref="AZ1333:BA1333" ca="1" si="4672">AZ1330-AZ1332</f>
        <v>0</v>
      </c>
      <c r="BA1333" s="177">
        <f t="shared" ca="1" si="4672"/>
        <v>0</v>
      </c>
      <c r="BB1333" s="177">
        <f t="shared" ref="BB1333" ca="1" si="4673">BB1330-BB1332</f>
        <v>0</v>
      </c>
      <c r="BD1333" s="178"/>
    </row>
    <row r="1334" spans="1:56" hidden="1" outlineLevel="1" x14ac:dyDescent="0.3">
      <c r="A1334" s="169" t="str">
        <f ca="1">Language!A$1192</f>
        <v>Убытки предыдущих лет</v>
      </c>
      <c r="C1334" s="194" t="str">
        <f t="shared" ca="1" si="4597"/>
        <v>руб.</v>
      </c>
      <c r="F1334" s="170" t="s">
        <v>741</v>
      </c>
      <c r="G1334" s="297">
        <f ca="1">IF(G2=1,0,F1334+IF(YEAR(Параметры!G26)=YEAR(Параметры!F26),0,F1333))-G1336</f>
        <v>0</v>
      </c>
      <c r="H1334" s="177">
        <f ca="1">IF(H2=1,0,G1334+IF(YEAR(Параметры!H26)=YEAR(Параметры!G26),0,G1333))-H1336</f>
        <v>0</v>
      </c>
      <c r="I1334" s="177">
        <f ca="1">IF(I2=1,0,H1334+IF(YEAR(Параметры!I26)=YEAR(Параметры!H26),0,H1333))-I1336</f>
        <v>0</v>
      </c>
      <c r="J1334" s="177">
        <f ca="1">IF(J2=1,0,I1334+IF(YEAR(Параметры!J26)=YEAR(Параметры!I26),0,I1333))-J1336</f>
        <v>0</v>
      </c>
      <c r="K1334" s="177">
        <f ca="1">IF(K2=1,0,J1334+IF(YEAR(Параметры!K26)=YEAR(Параметры!J26),0,J1333))-K1336</f>
        <v>0</v>
      </c>
      <c r="L1334" s="177">
        <f ca="1">IF(L2=1,0,K1334+IF(YEAR(Параметры!L26)=YEAR(Параметры!K26),0,K1333))-L1336</f>
        <v>0</v>
      </c>
      <c r="M1334" s="177">
        <f ca="1">IF(M2=1,0,L1334+IF(YEAR(Параметры!M26)=YEAR(Параметры!L26),0,L1333))-M1336</f>
        <v>0</v>
      </c>
      <c r="N1334" s="177">
        <f ca="1">IF(N2=1,0,M1334+IF(YEAR(Параметры!N26)=YEAR(Параметры!M26),0,M1333))-N1336</f>
        <v>0</v>
      </c>
      <c r="O1334" s="177">
        <f ca="1">IF(O2=1,0,N1334+IF(YEAR(Параметры!O26)=YEAR(Параметры!N26),0,N1333))-O1336</f>
        <v>0</v>
      </c>
      <c r="P1334" s="177">
        <f ca="1">IF(P2=1,0,O1334+IF(YEAR(Параметры!P26)=YEAR(Параметры!O26),0,O1333))-P1336</f>
        <v>0</v>
      </c>
      <c r="Q1334" s="177">
        <f ca="1">IF(Q2=1,0,P1334+IF(YEAR(Параметры!Q26)=YEAR(Параметры!P26),0,P1333))-Q1336</f>
        <v>0</v>
      </c>
      <c r="R1334" s="177">
        <f ca="1">IF(R2=1,0,Q1334+IF(YEAR(Параметры!R26)=YEAR(Параметры!Q26),0,Q1333))-R1336</f>
        <v>0</v>
      </c>
      <c r="S1334" s="177">
        <f ca="1">IF(S2=1,0,R1334+IF(YEAR(Параметры!S26)=YEAR(Параметры!R26),0,R1333))-S1336</f>
        <v>-6827692.6460814998</v>
      </c>
      <c r="T1334" s="177">
        <f ca="1">IF(T2=1,0,S1334+IF(YEAR(Параметры!T26)=YEAR(Параметры!S26),0,S1333))-T1336</f>
        <v>-3474598.9982400276</v>
      </c>
      <c r="U1334" s="177">
        <f ca="1">IF(U2=1,0,T1334+IF(YEAR(Параметры!U26)=YEAR(Параметры!T26),0,T1333))-U1336</f>
        <v>-993687.00910730008</v>
      </c>
      <c r="V1334" s="177">
        <f ca="1">IF(V2=1,0,U1334+IF(YEAR(Параметры!V26)=YEAR(Параметры!U26),0,U1333))-V1336</f>
        <v>0</v>
      </c>
      <c r="W1334" s="177">
        <f ca="1">IF(W2=1,0,V1334+IF(YEAR(Параметры!W26)=YEAR(Параметры!V26),0,V1333))-W1336</f>
        <v>0</v>
      </c>
      <c r="X1334" s="177">
        <f ca="1">IF(X2=1,0,W1334+IF(YEAR(Параметры!X26)=YEAR(Параметры!W26),0,W1333))-X1336</f>
        <v>0</v>
      </c>
      <c r="Y1334" s="177">
        <f ca="1">IF(Y2=1,0,X1334+IF(YEAR(Параметры!Y26)=YEAR(Параметры!X26),0,X1333))-Y1336</f>
        <v>0</v>
      </c>
      <c r="Z1334" s="177">
        <f ca="1">IF(Z2=1,0,Y1334+IF(YEAR(Параметры!Z26)=YEAR(Параметры!Y26),0,Y1333))-Z1336</f>
        <v>0</v>
      </c>
      <c r="AA1334" s="177">
        <f ca="1">IF(AA2=1,0,Z1334+IF(YEAR(Параметры!AA26)=YEAR(Параметры!Z26),0,Z1333))-AA1336</f>
        <v>0</v>
      </c>
      <c r="AB1334" s="177">
        <f ca="1">IF(AB2=1,0,AA1334+IF(YEAR(Параметры!AB26)=YEAR(Параметры!AA26),0,AA1333))-AB1336</f>
        <v>0</v>
      </c>
      <c r="AC1334" s="177">
        <f ca="1">IF(AC2=1,0,AB1334+IF(YEAR(Параметры!AC26)=YEAR(Параметры!AB26),0,AB1333))-AC1336</f>
        <v>0</v>
      </c>
      <c r="AD1334" s="177">
        <f ca="1">IF(AD2=1,0,AC1334+IF(YEAR(Параметры!AD26)=YEAR(Параметры!AC26),0,AC1333))-AD1336</f>
        <v>0</v>
      </c>
      <c r="AE1334" s="177">
        <f ca="1">IF(AE2=1,0,AD1334+IF(YEAR(Параметры!AE26)=YEAR(Параметры!AD26),0,AD1333))-AE1336</f>
        <v>0</v>
      </c>
      <c r="AF1334" s="177">
        <f ca="1">IF(AF2=1,0,AE1334+IF(YEAR(Параметры!AF26)=YEAR(Параметры!AE26),0,AE1333))-AF1336</f>
        <v>0</v>
      </c>
      <c r="AG1334" s="177">
        <f ca="1">IF(AG2=1,0,AF1334+IF(YEAR(Параметры!AG26)=YEAR(Параметры!AF26),0,AF1333))-AG1336</f>
        <v>0</v>
      </c>
      <c r="AH1334" s="177">
        <f ca="1">IF(AH2=1,0,AG1334+IF(YEAR(Параметры!AH26)=YEAR(Параметры!AG26),0,AG1333))-AH1336</f>
        <v>0</v>
      </c>
      <c r="AI1334" s="177">
        <f ca="1">IF(AI2=1,0,AH1334+IF(YEAR(Параметры!AI26)=YEAR(Параметры!AH26),0,AH1333))-AI1336</f>
        <v>0</v>
      </c>
      <c r="AJ1334" s="177">
        <f ca="1">IF(AJ2=1,0,AI1334+IF(YEAR(Параметры!AJ26)=YEAR(Параметры!AI26),0,AI1333))-AJ1336</f>
        <v>0</v>
      </c>
      <c r="AK1334" s="177">
        <f ca="1">IF(AK2=1,0,AJ1334+IF(YEAR(Параметры!AK26)=YEAR(Параметры!AJ26),0,AJ1333))-AK1336</f>
        <v>0</v>
      </c>
      <c r="AL1334" s="177">
        <f ca="1">IF(AL2=1,0,AK1334+IF(YEAR(Параметры!AL26)=YEAR(Параметры!AK26),0,AK1333))-AL1336</f>
        <v>0</v>
      </c>
      <c r="AM1334" s="177">
        <f ca="1">IF(AM2=1,0,AL1334+IF(YEAR(Параметры!AM26)=YEAR(Параметры!AL26),0,AL1333))-AM1336</f>
        <v>0</v>
      </c>
      <c r="AN1334" s="177">
        <f ca="1">IF(AN2=1,0,AM1334+IF(YEAR(Параметры!AN26)=YEAR(Параметры!AM26),0,AM1333))-AN1336</f>
        <v>0</v>
      </c>
      <c r="AO1334" s="177">
        <f ca="1">IF(AO2=1,0,AN1334+IF(YEAR(Параметры!AO26)=YEAR(Параметры!AN26),0,AN1333))-AO1336</f>
        <v>0</v>
      </c>
      <c r="AP1334" s="177">
        <f ca="1">IF(AP2=1,0,AO1334+IF(YEAR(Параметры!AP26)=YEAR(Параметры!AO26),0,AO1333))-AP1336</f>
        <v>0</v>
      </c>
      <c r="AQ1334" s="177">
        <f ca="1">IF(AQ2=1,0,AP1334+IF(YEAR(Параметры!AQ26)=YEAR(Параметры!AP26),0,AP1333))-AQ1336</f>
        <v>0</v>
      </c>
      <c r="AR1334" s="177">
        <f ca="1">IF(AR2=1,0,AQ1334+IF(YEAR(Параметры!AR26)=YEAR(Параметры!AQ26),0,AQ1333))-AR1336</f>
        <v>0</v>
      </c>
      <c r="AS1334" s="177">
        <f ca="1">IF(AS2=1,0,AR1334+IF(YEAR(Параметры!AS26)=YEAR(Параметры!AR26),0,AR1333))-AS1336</f>
        <v>0</v>
      </c>
      <c r="AT1334" s="177">
        <f ca="1">IF(AT2=1,0,AS1334+IF(YEAR(Параметры!AT26)=YEAR(Параметры!AS26),0,AS1333))-AT1336</f>
        <v>0</v>
      </c>
      <c r="AU1334" s="177">
        <f ca="1">IF(AU2=1,0,AT1334+IF(YEAR(Параметры!AU26)=YEAR(Параметры!AT26),0,AT1333))-AU1336</f>
        <v>0</v>
      </c>
      <c r="AV1334" s="177">
        <f ca="1">IF(AV2=1,0,AU1334+IF(YEAR(Параметры!AV26)=YEAR(Параметры!AU26),0,AU1333))-AV1336</f>
        <v>0</v>
      </c>
      <c r="AW1334" s="177">
        <f ca="1">IF(AW2=1,0,AV1334+IF(YEAR(Параметры!AW26)=YEAR(Параметры!AV26),0,AV1333))-AW1336</f>
        <v>0</v>
      </c>
      <c r="AX1334" s="177">
        <f ca="1">IF(AX2=1,0,AW1334+IF(YEAR(Параметры!AX26)=YEAR(Параметры!AW26),0,AW1333))-AX1336</f>
        <v>0</v>
      </c>
      <c r="AY1334" s="177">
        <f ca="1">IF(AY2=1,0,AX1334+IF(YEAR(Параметры!AY26)=YEAR(Параметры!AX26),0,AX1333))-AY1336</f>
        <v>0</v>
      </c>
      <c r="AZ1334" s="177">
        <f ca="1">IF(AZ2=1,0,AY1334+IF(YEAR(Параметры!AZ26)=YEAR(Параметры!AY26),0,AY1333))-AZ1336</f>
        <v>0</v>
      </c>
      <c r="BA1334" s="177">
        <f ca="1">IF(BA2=1,0,AZ1334+IF(YEAR(Параметры!BA26)=YEAR(Параметры!AZ26),0,AZ1333))-BA1336</f>
        <v>0</v>
      </c>
      <c r="BB1334" s="177">
        <f ca="1">IF(BB2=1,0,BA1334+IF(YEAR(Параметры!BB26)=YEAR(Параметры!BA26),0,BA1333))-BB1336</f>
        <v>0</v>
      </c>
      <c r="BD1334" s="178"/>
    </row>
    <row r="1335" spans="1:56" hidden="1" outlineLevel="1" x14ac:dyDescent="0.3">
      <c r="A1335" s="169" t="str">
        <f ca="1">Language!A$1193</f>
        <v>Максимальный размер списания убытков (% от прибыли)</v>
      </c>
      <c r="B1335" s="301">
        <v>0.5</v>
      </c>
      <c r="F1335" s="170" t="s">
        <v>745</v>
      </c>
      <c r="G1335" s="308">
        <f t="shared" ref="G1335:BB1335" si="4674">IF(G2=1,$B1335,F1335)</f>
        <v>0.5</v>
      </c>
      <c r="H1335" s="308">
        <f t="shared" si="4674"/>
        <v>0.5</v>
      </c>
      <c r="I1335" s="308">
        <f t="shared" si="4674"/>
        <v>0.5</v>
      </c>
      <c r="J1335" s="308">
        <f t="shared" si="4674"/>
        <v>0.5</v>
      </c>
      <c r="K1335" s="308">
        <f t="shared" si="4674"/>
        <v>0.5</v>
      </c>
      <c r="L1335" s="308">
        <f t="shared" si="4674"/>
        <v>0.5</v>
      </c>
      <c r="M1335" s="308">
        <f t="shared" si="4674"/>
        <v>0.5</v>
      </c>
      <c r="N1335" s="308">
        <f t="shared" si="4674"/>
        <v>0.5</v>
      </c>
      <c r="O1335" s="308">
        <f t="shared" si="4674"/>
        <v>0.5</v>
      </c>
      <c r="P1335" s="308">
        <f t="shared" si="4674"/>
        <v>0.5</v>
      </c>
      <c r="Q1335" s="308">
        <f t="shared" si="4674"/>
        <v>0.5</v>
      </c>
      <c r="R1335" s="308">
        <f t="shared" si="4674"/>
        <v>0.5</v>
      </c>
      <c r="S1335" s="308">
        <f t="shared" si="4674"/>
        <v>0.5</v>
      </c>
      <c r="T1335" s="308">
        <f t="shared" si="4674"/>
        <v>0.5</v>
      </c>
      <c r="U1335" s="308">
        <f t="shared" si="4674"/>
        <v>0.5</v>
      </c>
      <c r="V1335" s="308">
        <f t="shared" si="4674"/>
        <v>0.5</v>
      </c>
      <c r="W1335" s="308">
        <f t="shared" si="4674"/>
        <v>0.5</v>
      </c>
      <c r="X1335" s="308">
        <f t="shared" si="4674"/>
        <v>0.5</v>
      </c>
      <c r="Y1335" s="308">
        <f t="shared" si="4674"/>
        <v>0.5</v>
      </c>
      <c r="Z1335" s="308">
        <f t="shared" si="4674"/>
        <v>0.5</v>
      </c>
      <c r="AA1335" s="308">
        <f t="shared" si="4674"/>
        <v>0.5</v>
      </c>
      <c r="AB1335" s="308">
        <f t="shared" si="4674"/>
        <v>0.5</v>
      </c>
      <c r="AC1335" s="308">
        <f t="shared" si="4674"/>
        <v>0.5</v>
      </c>
      <c r="AD1335" s="308">
        <f t="shared" si="4674"/>
        <v>0.5</v>
      </c>
      <c r="AE1335" s="308">
        <f t="shared" si="4674"/>
        <v>0.5</v>
      </c>
      <c r="AF1335" s="308">
        <f t="shared" si="4674"/>
        <v>0.5</v>
      </c>
      <c r="AG1335" s="308">
        <f t="shared" si="4674"/>
        <v>0.5</v>
      </c>
      <c r="AH1335" s="308">
        <f t="shared" si="4674"/>
        <v>0.5</v>
      </c>
      <c r="AI1335" s="308">
        <f t="shared" si="4674"/>
        <v>0.5</v>
      </c>
      <c r="AJ1335" s="308">
        <f t="shared" si="4674"/>
        <v>0.5</v>
      </c>
      <c r="AK1335" s="308">
        <f t="shared" si="4674"/>
        <v>0.5</v>
      </c>
      <c r="AL1335" s="308">
        <f t="shared" si="4674"/>
        <v>0.5</v>
      </c>
      <c r="AM1335" s="308">
        <f t="shared" si="4674"/>
        <v>0.5</v>
      </c>
      <c r="AN1335" s="308">
        <f t="shared" si="4674"/>
        <v>0.5</v>
      </c>
      <c r="AO1335" s="308">
        <f t="shared" si="4674"/>
        <v>0.5</v>
      </c>
      <c r="AP1335" s="308">
        <f t="shared" si="4674"/>
        <v>0.5</v>
      </c>
      <c r="AQ1335" s="308">
        <f t="shared" si="4674"/>
        <v>0.5</v>
      </c>
      <c r="AR1335" s="308">
        <f t="shared" si="4674"/>
        <v>0.5</v>
      </c>
      <c r="AS1335" s="308">
        <f t="shared" si="4674"/>
        <v>0.5</v>
      </c>
      <c r="AT1335" s="308">
        <f t="shared" si="4674"/>
        <v>0.5</v>
      </c>
      <c r="AU1335" s="308">
        <f t="shared" si="4674"/>
        <v>0.5</v>
      </c>
      <c r="AV1335" s="308">
        <f t="shared" si="4674"/>
        <v>0.5</v>
      </c>
      <c r="AW1335" s="308">
        <f t="shared" si="4674"/>
        <v>0.5</v>
      </c>
      <c r="AX1335" s="308">
        <f t="shared" si="4674"/>
        <v>0.5</v>
      </c>
      <c r="AY1335" s="308">
        <f t="shared" si="4674"/>
        <v>0.5</v>
      </c>
      <c r="AZ1335" s="308">
        <f t="shared" si="4674"/>
        <v>0.5</v>
      </c>
      <c r="BA1335" s="308">
        <f t="shared" si="4674"/>
        <v>0.5</v>
      </c>
      <c r="BB1335" s="308">
        <f t="shared" si="4674"/>
        <v>0.5</v>
      </c>
      <c r="BD1335" s="178"/>
    </row>
    <row r="1336" spans="1:56" hidden="1" outlineLevel="1" x14ac:dyDescent="0.3">
      <c r="A1336" s="169" t="str">
        <f ca="1">Language!A$1194</f>
        <v>Списание убытков предыдущих лет</v>
      </c>
      <c r="C1336" s="194" t="str">
        <f t="shared" ca="1" si="4597"/>
        <v>руб.</v>
      </c>
      <c r="F1336" s="170" t="s">
        <v>740</v>
      </c>
      <c r="G1336" s="177">
        <f ca="1">-IF(G1328-G1329-G1331&gt;0,MIN((G1328-G1329+G1331)*G1335,IF(G2=1,0,-F1334-IF(YEAR(Параметры!G26)=YEAR(Параметры!F26),0,F1333))),0)</f>
        <v>0</v>
      </c>
      <c r="H1336" s="177">
        <f ca="1">-IF(H1328-H1329-H1331&gt;0,MIN((H1328-H1329+H1331)*H1335,IF(H2=1,0,-G1334-IF(YEAR(Параметры!H26)=YEAR(Параметры!G26),0,G1333))),0)</f>
        <v>0</v>
      </c>
      <c r="I1336" s="177">
        <f ca="1">-IF(I1328-I1329-I1331&gt;0,MIN((I1328-I1329+I1331)*I1335,IF(I2=1,0,-H1334-IF(YEAR(Параметры!I26)=YEAR(Параметры!H26),0,H1333))),0)</f>
        <v>0</v>
      </c>
      <c r="J1336" s="177">
        <f ca="1">-IF(J1328-J1329-J1331&gt;0,MIN((J1328-J1329+J1331)*J1335,IF(J2=1,0,-I1334-IF(YEAR(Параметры!J26)=YEAR(Параметры!I26),0,I1333))),0)</f>
        <v>0</v>
      </c>
      <c r="K1336" s="177">
        <f ca="1">-IF(K1328-K1329-K1331&gt;0,MIN((K1328-K1329+K1331)*K1335,IF(K2=1,0,-J1334-IF(YEAR(Параметры!K26)=YEAR(Параметры!J26),0,J1333))),0)</f>
        <v>0</v>
      </c>
      <c r="L1336" s="177">
        <f ca="1">-IF(L1328-L1329-L1331&gt;0,MIN((L1328-L1329+L1331)*L1335,IF(L2=1,0,-K1334-IF(YEAR(Параметры!L26)=YEAR(Параметры!K26),0,K1333))),0)</f>
        <v>0</v>
      </c>
      <c r="M1336" s="177">
        <f ca="1">-IF(M1328-M1329-M1331&gt;0,MIN((M1328-M1329+M1331)*M1335,IF(M2=1,0,-L1334-IF(YEAR(Параметры!M26)=YEAR(Параметры!L26),0,L1333))),0)</f>
        <v>0</v>
      </c>
      <c r="N1336" s="177">
        <f ca="1">-IF(N1328-N1329-N1331&gt;0,MIN((N1328-N1329+N1331)*N1335,IF(N2=1,0,-M1334-IF(YEAR(Параметры!N26)=YEAR(Параметры!M26),0,M1333))),0)</f>
        <v>0</v>
      </c>
      <c r="O1336" s="177">
        <f ca="1">-IF(O1328-O1329-O1331&gt;0,MIN((O1328-O1329+O1331)*O1335,IF(O2=1,0,-N1334-IF(YEAR(Параметры!O26)=YEAR(Параметры!N26),0,N1333))),0)</f>
        <v>0</v>
      </c>
      <c r="P1336" s="177">
        <f ca="1">-IF(P1328-P1329-P1331&gt;0,MIN((P1328-P1329+P1331)*P1335,IF(P2=1,0,-O1334-IF(YEAR(Параметры!P26)=YEAR(Параметры!O26),0,O1333))),0)</f>
        <v>0</v>
      </c>
      <c r="Q1336" s="177">
        <f ca="1">-IF(Q1328-Q1329-Q1331&gt;0,MIN((Q1328-Q1329+Q1331)*Q1335,IF(Q2=1,0,-P1334-IF(YEAR(Параметры!Q26)=YEAR(Параметры!P26),0,P1333))),0)</f>
        <v>0</v>
      </c>
      <c r="R1336" s="177">
        <f ca="1">-IF(R1328-R1329-R1331&gt;0,MIN((R1328-R1329+R1331)*R1335,IF(R2=1,0,-Q1334-IF(YEAR(Параметры!R26)=YEAR(Параметры!Q26),0,Q1333))),0)</f>
        <v>0</v>
      </c>
      <c r="S1336" s="177">
        <f ca="1">-IF(S1328-S1329-S1331&gt;0,MIN((S1328-S1329+S1331)*S1335,IF(S2=1,0,-R1334-IF(YEAR(Параметры!S26)=YEAR(Параметры!R26),0,R1333))),0)</f>
        <v>-4229524.3140277825</v>
      </c>
      <c r="T1336" s="177">
        <f ca="1">-IF(T1328-T1329-T1331&gt;0,MIN((T1328-T1329+T1331)*T1335,IF(T2=1,0,-S1334-IF(YEAR(Параметры!T26)=YEAR(Параметры!S26),0,S1333))),0)</f>
        <v>-3353093.6478414722</v>
      </c>
      <c r="U1336" s="177">
        <f ca="1">-IF(U1328-U1329-U1331&gt;0,MIN((U1328-U1329+U1331)*U1335,IF(U2=1,0,-T1334-IF(YEAR(Параметры!U26)=YEAR(Параметры!T26),0,T1333))),0)</f>
        <v>-2480911.9891327275</v>
      </c>
      <c r="V1336" s="177">
        <f ca="1">-IF(V1328-V1329-V1331&gt;0,MIN((V1328-V1329+V1331)*V1335,IF(V2=1,0,-U1334-IF(YEAR(Параметры!V26)=YEAR(Параметры!U26),0,U1333))),0)</f>
        <v>-993687.00910730008</v>
      </c>
      <c r="W1336" s="177">
        <f ca="1">-IF(W1328-W1329-W1331&gt;0,MIN((W1328-W1329+W1331)*W1335,IF(W2=1,0,-V1334-IF(YEAR(Параметры!W26)=YEAR(Параметры!V26),0,V1333))),0)</f>
        <v>0</v>
      </c>
      <c r="X1336" s="177">
        <f ca="1">-IF(X1328-X1329-X1331&gt;0,MIN((X1328-X1329+X1331)*X1335,IF(X2=1,0,-W1334-IF(YEAR(Параметры!X26)=YEAR(Параметры!W26),0,W1333))),0)</f>
        <v>0</v>
      </c>
      <c r="Y1336" s="177">
        <f ca="1">-IF(Y1328-Y1329-Y1331&gt;0,MIN((Y1328-Y1329+Y1331)*Y1335,IF(Y2=1,0,-X1334-IF(YEAR(Параметры!Y26)=YEAR(Параметры!X26),0,X1333))),0)</f>
        <v>0</v>
      </c>
      <c r="Z1336" s="177">
        <f ca="1">-IF(Z1328-Z1329-Z1331&gt;0,MIN((Z1328-Z1329+Z1331)*Z1335,IF(Z2=1,0,-Y1334-IF(YEAR(Параметры!Z26)=YEAR(Параметры!Y26),0,Y1333))),0)</f>
        <v>0</v>
      </c>
      <c r="AA1336" s="177">
        <f ca="1">-IF(AA1328-AA1329-AA1331&gt;0,MIN((AA1328-AA1329+AA1331)*AA1335,IF(AA2=1,0,-Z1334-IF(YEAR(Параметры!AA26)=YEAR(Параметры!Z26),0,Z1333))),0)</f>
        <v>0</v>
      </c>
      <c r="AB1336" s="177">
        <f ca="1">-IF(AB1328-AB1329-AB1331&gt;0,MIN((AB1328-AB1329+AB1331)*AB1335,IF(AB2=1,0,-AA1334-IF(YEAR(Параметры!AB26)=YEAR(Параметры!AA26),0,AA1333))),0)</f>
        <v>0</v>
      </c>
      <c r="AC1336" s="177">
        <f ca="1">-IF(AC1328-AC1329-AC1331&gt;0,MIN((AC1328-AC1329+AC1331)*AC1335,IF(AC2=1,0,-AB1334-IF(YEAR(Параметры!AC26)=YEAR(Параметры!AB26),0,AB1333))),0)</f>
        <v>0</v>
      </c>
      <c r="AD1336" s="177">
        <f ca="1">-IF(AD1328-AD1329-AD1331&gt;0,MIN((AD1328-AD1329+AD1331)*AD1335,IF(AD2=1,0,-AC1334-IF(YEAR(Параметры!AD26)=YEAR(Параметры!AC26),0,AC1333))),0)</f>
        <v>0</v>
      </c>
      <c r="AE1336" s="177">
        <f ca="1">-IF(AE1328-AE1329-AE1331&gt;0,MIN((AE1328-AE1329+AE1331)*AE1335,IF(AE2=1,0,-AD1334-IF(YEAR(Параметры!AE26)=YEAR(Параметры!AD26),0,AD1333))),0)</f>
        <v>0</v>
      </c>
      <c r="AF1336" s="177">
        <f ca="1">-IF(AF1328-AF1329-AF1331&gt;0,MIN((AF1328-AF1329+AF1331)*AF1335,IF(AF2=1,0,-AE1334-IF(YEAR(Параметры!AF26)=YEAR(Параметры!AE26),0,AE1333))),0)</f>
        <v>0</v>
      </c>
      <c r="AG1336" s="177">
        <f ca="1">-IF(AG1328-AG1329-AG1331&gt;0,MIN((AG1328-AG1329+AG1331)*AG1335,IF(AG2=1,0,-AF1334-IF(YEAR(Параметры!AG26)=YEAR(Параметры!AF26),0,AF1333))),0)</f>
        <v>0</v>
      </c>
      <c r="AH1336" s="177">
        <f ca="1">-IF(AH1328-AH1329-AH1331&gt;0,MIN((AH1328-AH1329+AH1331)*AH1335,IF(AH2=1,0,-AG1334-IF(YEAR(Параметры!AH26)=YEAR(Параметры!AG26),0,AG1333))),0)</f>
        <v>0</v>
      </c>
      <c r="AI1336" s="177">
        <f ca="1">-IF(AI1328-AI1329-AI1331&gt;0,MIN((AI1328-AI1329+AI1331)*AI1335,IF(AI2=1,0,-AH1334-IF(YEAR(Параметры!AI26)=YEAR(Параметры!AH26),0,AH1333))),0)</f>
        <v>0</v>
      </c>
      <c r="AJ1336" s="177">
        <f ca="1">-IF(AJ1328-AJ1329-AJ1331&gt;0,MIN((AJ1328-AJ1329+AJ1331)*AJ1335,IF(AJ2=1,0,-AI1334-IF(YEAR(Параметры!AJ26)=YEAR(Параметры!AI26),0,AI1333))),0)</f>
        <v>0</v>
      </c>
      <c r="AK1336" s="177">
        <f ca="1">-IF(AK1328-AK1329-AK1331&gt;0,MIN((AK1328-AK1329+AK1331)*AK1335,IF(AK2=1,0,-AJ1334-IF(YEAR(Параметры!AK26)=YEAR(Параметры!AJ26),0,AJ1333))),0)</f>
        <v>0</v>
      </c>
      <c r="AL1336" s="177">
        <f ca="1">-IF(AL1328-AL1329-AL1331&gt;0,MIN((AL1328-AL1329+AL1331)*AL1335,IF(AL2=1,0,-AK1334-IF(YEAR(Параметры!AL26)=YEAR(Параметры!AK26),0,AK1333))),0)</f>
        <v>0</v>
      </c>
      <c r="AM1336" s="177">
        <f ca="1">-IF(AM1328-AM1329-AM1331&gt;0,MIN((AM1328-AM1329+AM1331)*AM1335,IF(AM2=1,0,-AL1334-IF(YEAR(Параметры!AM26)=YEAR(Параметры!AL26),0,AL1333))),0)</f>
        <v>0</v>
      </c>
      <c r="AN1336" s="177">
        <f ca="1">-IF(AN1328-AN1329-AN1331&gt;0,MIN((AN1328-AN1329+AN1331)*AN1335,IF(AN2=1,0,-AM1334-IF(YEAR(Параметры!AN26)=YEAR(Параметры!AM26),0,AM1333))),0)</f>
        <v>0</v>
      </c>
      <c r="AO1336" s="177">
        <f ca="1">-IF(AO1328-AO1329-AO1331&gt;0,MIN((AO1328-AO1329+AO1331)*AO1335,IF(AO2=1,0,-AN1334-IF(YEAR(Параметры!AO26)=YEAR(Параметры!AN26),0,AN1333))),0)</f>
        <v>0</v>
      </c>
      <c r="AP1336" s="177">
        <f ca="1">-IF(AP1328-AP1329-AP1331&gt;0,MIN((AP1328-AP1329+AP1331)*AP1335,IF(AP2=1,0,-AO1334-IF(YEAR(Параметры!AP26)=YEAR(Параметры!AO26),0,AO1333))),0)</f>
        <v>0</v>
      </c>
      <c r="AQ1336" s="177">
        <f ca="1">-IF(AQ1328-AQ1329-AQ1331&gt;0,MIN((AQ1328-AQ1329+AQ1331)*AQ1335,IF(AQ2=1,0,-AP1334-IF(YEAR(Параметры!AQ26)=YEAR(Параметры!AP26),0,AP1333))),0)</f>
        <v>0</v>
      </c>
      <c r="AR1336" s="177">
        <f ca="1">-IF(AR1328-AR1329-AR1331&gt;0,MIN((AR1328-AR1329+AR1331)*AR1335,IF(AR2=1,0,-AQ1334-IF(YEAR(Параметры!AR26)=YEAR(Параметры!AQ26),0,AQ1333))),0)</f>
        <v>0</v>
      </c>
      <c r="AS1336" s="177">
        <f ca="1">-IF(AS1328-AS1329-AS1331&gt;0,MIN((AS1328-AS1329+AS1331)*AS1335,IF(AS2=1,0,-AR1334-IF(YEAR(Параметры!AS26)=YEAR(Параметры!AR26),0,AR1333))),0)</f>
        <v>0</v>
      </c>
      <c r="AT1336" s="177">
        <f ca="1">-IF(AT1328-AT1329-AT1331&gt;0,MIN((AT1328-AT1329+AT1331)*AT1335,IF(AT2=1,0,-AS1334-IF(YEAR(Параметры!AT26)=YEAR(Параметры!AS26),0,AS1333))),0)</f>
        <v>0</v>
      </c>
      <c r="AU1336" s="177">
        <f ca="1">-IF(AU1328-AU1329-AU1331&gt;0,MIN((AU1328-AU1329+AU1331)*AU1335,IF(AU2=1,0,-AT1334-IF(YEAR(Параметры!AU26)=YEAR(Параметры!AT26),0,AT1333))),0)</f>
        <v>0</v>
      </c>
      <c r="AV1336" s="177">
        <f ca="1">-IF(AV1328-AV1329-AV1331&gt;0,MIN((AV1328-AV1329+AV1331)*AV1335,IF(AV2=1,0,-AU1334-IF(YEAR(Параметры!AV26)=YEAR(Параметры!AU26),0,AU1333))),0)</f>
        <v>0</v>
      </c>
      <c r="AW1336" s="177">
        <f ca="1">-IF(AW1328-AW1329-AW1331&gt;0,MIN((AW1328-AW1329+AW1331)*AW1335,IF(AW2=1,0,-AV1334-IF(YEAR(Параметры!AW26)=YEAR(Параметры!AV26),0,AV1333))),0)</f>
        <v>0</v>
      </c>
      <c r="AX1336" s="177">
        <f ca="1">-IF(AX1328-AX1329-AX1331&gt;0,MIN((AX1328-AX1329+AX1331)*AX1335,IF(AX2=1,0,-AW1334-IF(YEAR(Параметры!AX26)=YEAR(Параметры!AW26),0,AW1333))),0)</f>
        <v>0</v>
      </c>
      <c r="AY1336" s="177">
        <f ca="1">-IF(AY1328-AY1329-AY1331&gt;0,MIN((AY1328-AY1329+AY1331)*AY1335,IF(AY2=1,0,-AX1334-IF(YEAR(Параметры!AY26)=YEAR(Параметры!AX26),0,AX1333))),0)</f>
        <v>0</v>
      </c>
      <c r="AZ1336" s="177">
        <f ca="1">-IF(AZ1328-AZ1329-AZ1331&gt;0,MIN((AZ1328-AZ1329+AZ1331)*AZ1335,IF(AZ2=1,0,-AY1334-IF(YEAR(Параметры!AZ26)=YEAR(Параметры!AY26),0,AY1333))),0)</f>
        <v>0</v>
      </c>
      <c r="BA1336" s="177">
        <f ca="1">-IF(BA1328-BA1329-BA1331&gt;0,MIN((BA1328-BA1329+BA1331)*BA1335,IF(BA2=1,0,-AZ1334-IF(YEAR(Параметры!BA26)=YEAR(Параметры!AZ26),0,AZ1333))),0)</f>
        <v>0</v>
      </c>
      <c r="BB1336" s="177">
        <f ca="1">-IF(BB1328-BB1329-BB1331&gt;0,MIN((BB1328-BB1329+BB1331)*BB1335,IF(BB2=1,0,-BA1334-IF(YEAR(Параметры!BB26)=YEAR(Параметры!BA26),0,BA1333))),0)</f>
        <v>0</v>
      </c>
      <c r="BD1336" s="178">
        <f ca="1">SUM(G1336:BC1336)</f>
        <v>-11057216.960109282</v>
      </c>
    </row>
    <row r="1337" spans="1:56" hidden="1" outlineLevel="1" x14ac:dyDescent="0.3">
      <c r="A1337" s="169" t="str">
        <f ca="1">Language!A$1197</f>
        <v>Прибыль для налогообложения</v>
      </c>
      <c r="C1337" s="194" t="str">
        <f t="shared" ca="1" si="4597"/>
        <v>руб.</v>
      </c>
      <c r="F1337" s="170" t="s">
        <v>740</v>
      </c>
      <c r="G1337" s="177">
        <f t="shared" ref="G1337:K1337" ca="1" si="4675">MAX(G1328-G1329+G1331+G1336,0)</f>
        <v>0</v>
      </c>
      <c r="H1337" s="177">
        <f t="shared" ca="1" si="4675"/>
        <v>0</v>
      </c>
      <c r="I1337" s="177">
        <f t="shared" ca="1" si="4675"/>
        <v>0</v>
      </c>
      <c r="J1337" s="177">
        <f t="shared" ca="1" si="4675"/>
        <v>0</v>
      </c>
      <c r="K1337" s="177">
        <f t="shared" ca="1" si="4675"/>
        <v>0</v>
      </c>
      <c r="L1337" s="177">
        <f t="shared" ref="L1337:M1337" ca="1" si="4676">MAX(L1328-L1329+L1331+L1336,0)</f>
        <v>0</v>
      </c>
      <c r="M1337" s="177">
        <f t="shared" ca="1" si="4676"/>
        <v>0</v>
      </c>
      <c r="N1337" s="177">
        <f t="shared" ref="N1337:O1337" ca="1" si="4677">MAX(N1328-N1329+N1331+N1336,0)</f>
        <v>0</v>
      </c>
      <c r="O1337" s="177">
        <f t="shared" ca="1" si="4677"/>
        <v>0</v>
      </c>
      <c r="P1337" s="177">
        <f t="shared" ref="P1337:Q1337" ca="1" si="4678">MAX(P1328-P1329+P1331+P1336,0)</f>
        <v>0</v>
      </c>
      <c r="Q1337" s="177">
        <f t="shared" ca="1" si="4678"/>
        <v>0</v>
      </c>
      <c r="R1337" s="177">
        <f t="shared" ref="R1337:S1337" ca="1" si="4679">MAX(R1328-R1329+R1331+R1336,0)</f>
        <v>0</v>
      </c>
      <c r="S1337" s="177">
        <f t="shared" ca="1" si="4679"/>
        <v>4229524.3140277825</v>
      </c>
      <c r="T1337" s="177">
        <f t="shared" ref="T1337:U1337" ca="1" si="4680">MAX(T1328-T1329+T1331+T1336,0)</f>
        <v>3353093.6478414722</v>
      </c>
      <c r="U1337" s="177">
        <f t="shared" ca="1" si="4680"/>
        <v>2480911.9891327275</v>
      </c>
      <c r="V1337" s="177">
        <f t="shared" ref="V1337:W1337" ca="1" si="4681">MAX(V1328-V1329+V1331+V1336,0)</f>
        <v>4112572.3247087812</v>
      </c>
      <c r="W1337" s="177">
        <f t="shared" ca="1" si="4681"/>
        <v>3358285.5229824889</v>
      </c>
      <c r="X1337" s="177">
        <f t="shared" ref="X1337:Y1337" ca="1" si="4682">MAX(X1328-X1329+X1331+X1336,0)</f>
        <v>9214998.872079486</v>
      </c>
      <c r="Y1337" s="177">
        <f t="shared" ca="1" si="4682"/>
        <v>13267797.794187408</v>
      </c>
      <c r="Z1337" s="177">
        <f t="shared" ref="Z1337:AA1337" ca="1" si="4683">MAX(Z1328-Z1329+Z1331+Z1336,0)</f>
        <v>13490132.44415977</v>
      </c>
      <c r="AA1337" s="177">
        <f t="shared" ca="1" si="4683"/>
        <v>7919019.406842174</v>
      </c>
      <c r="AB1337" s="177">
        <f t="shared" ref="AB1337:AC1337" ca="1" si="4684">MAX(AB1328-AB1329+AB1331+AB1336,0)</f>
        <v>4239062.6474880883</v>
      </c>
      <c r="AC1337" s="177">
        <f t="shared" ca="1" si="4684"/>
        <v>4428719.3658482339</v>
      </c>
      <c r="AD1337" s="177">
        <f t="shared" ref="AD1337:AE1337" ca="1" si="4685">MAX(AD1328-AD1329+AD1331+AD1336,0)</f>
        <v>6516884.7946081441</v>
      </c>
      <c r="AE1337" s="177">
        <f t="shared" ca="1" si="4685"/>
        <v>10612274.859724898</v>
      </c>
      <c r="AF1337" s="177">
        <f t="shared" ref="AF1337:AG1337" ca="1" si="4686">MAX(AF1328-AF1329+AF1331+AF1336,0)</f>
        <v>8864852.8498155009</v>
      </c>
      <c r="AG1337" s="177">
        <f t="shared" ca="1" si="4686"/>
        <v>7127095.1125362674</v>
      </c>
      <c r="AH1337" s="177">
        <f t="shared" ref="AH1337:AI1337" ca="1" si="4687">MAX(AH1328-AH1329+AH1331+AH1336,0)</f>
        <v>7334378.2864545062</v>
      </c>
      <c r="AI1337" s="177">
        <f t="shared" ca="1" si="4687"/>
        <v>5571704.1035984755</v>
      </c>
      <c r="AJ1337" s="177">
        <f t="shared" ref="AJ1337:AK1337" ca="1" si="4688">MAX(AJ1328-AJ1329+AJ1331+AJ1336,0)</f>
        <v>11725208.798134593</v>
      </c>
      <c r="AK1337" s="177">
        <f t="shared" ca="1" si="4688"/>
        <v>15934890.531630516</v>
      </c>
      <c r="AL1337" s="177">
        <f t="shared" ref="AL1337:AM1337" ca="1" si="4689">MAX(AL1328-AL1329+AL1331+AL1336,0)</f>
        <v>16156981.545464261</v>
      </c>
      <c r="AM1337" s="177">
        <f t="shared" ca="1" si="4689"/>
        <v>10350312.548373347</v>
      </c>
      <c r="AN1337" s="177">
        <f t="shared" ref="AN1337:AO1337" ca="1" si="4690">MAX(AN1328-AN1329+AN1331+AN1336,0)</f>
        <v>6512617.7227326808</v>
      </c>
      <c r="AO1337" s="177">
        <f t="shared" ca="1" si="4690"/>
        <v>6701809.0139154</v>
      </c>
      <c r="AP1337" s="177">
        <f t="shared" ref="AP1337:AQ1337" ca="1" si="4691">MAX(AP1328-AP1329+AP1331+AP1336,0)</f>
        <v>8864851.4317231681</v>
      </c>
      <c r="AQ1337" s="177">
        <f t="shared" ca="1" si="4691"/>
        <v>13115855.074415233</v>
      </c>
      <c r="AR1337" s="177">
        <f t="shared" ref="AR1337:AS1337" ca="1" si="4692">MAX(AR1328-AR1329+AR1331+AR1336,0)</f>
        <v>11289854.932880884</v>
      </c>
      <c r="AS1337" s="177">
        <f t="shared" ca="1" si="4692"/>
        <v>9474836.4252818767</v>
      </c>
      <c r="AT1337" s="177">
        <f t="shared" ref="AT1337:AU1337" ca="1" si="4693">MAX(AT1328-AT1329+AT1331+AT1336,0)</f>
        <v>9533274.3319232762</v>
      </c>
      <c r="AU1337" s="177">
        <f t="shared" ca="1" si="4693"/>
        <v>7526294.5958559671</v>
      </c>
      <c r="AV1337" s="177">
        <f t="shared" ref="AV1337:AW1337" ca="1" si="4694">MAX(AV1328-AV1329+AV1331+AV1336,0)</f>
        <v>13747778.973990262</v>
      </c>
      <c r="AW1337" s="177">
        <f t="shared" ca="1" si="4694"/>
        <v>17947660.979571991</v>
      </c>
      <c r="AX1337" s="177">
        <f t="shared" ref="AX1337:AY1337" ca="1" si="4695">MAX(AX1328-AX1329+AX1331+AX1336,0)</f>
        <v>18002384.125241201</v>
      </c>
      <c r="AY1337" s="177">
        <f t="shared" ca="1" si="4695"/>
        <v>11792795.801780686</v>
      </c>
      <c r="AZ1337" s="177">
        <f t="shared" ref="AZ1337:BA1337" ca="1" si="4696">MAX(AZ1328-AZ1329+AZ1331+AZ1336,0)</f>
        <v>7630262.0935439104</v>
      </c>
      <c r="BA1337" s="177">
        <f t="shared" ca="1" si="4696"/>
        <v>7652065.3442293936</v>
      </c>
      <c r="BB1337" s="177">
        <f t="shared" ref="BB1337" ca="1" si="4697">MAX(BB1328-BB1329+BB1331+BB1336,0)</f>
        <v>9722815.6647878699</v>
      </c>
      <c r="BD1337" s="178">
        <f ca="1">SUM(G1337:BC1337)</f>
        <v>329803858.27151275</v>
      </c>
    </row>
    <row r="1338" spans="1:56" x14ac:dyDescent="0.3">
      <c r="G1338" s="177"/>
      <c r="H1338" s="177"/>
      <c r="I1338" s="177"/>
      <c r="J1338" s="177"/>
      <c r="K1338" s="177"/>
      <c r="L1338" s="177"/>
      <c r="M1338" s="177"/>
      <c r="N1338" s="177"/>
      <c r="O1338" s="177"/>
      <c r="P1338" s="177"/>
      <c r="Q1338" s="177"/>
      <c r="R1338" s="177"/>
      <c r="S1338" s="177"/>
      <c r="T1338" s="177"/>
      <c r="U1338" s="177"/>
      <c r="V1338" s="177"/>
      <c r="W1338" s="177"/>
      <c r="X1338" s="177"/>
      <c r="Y1338" s="177"/>
      <c r="Z1338" s="177"/>
      <c r="AA1338" s="177"/>
      <c r="AB1338" s="177"/>
      <c r="AC1338" s="177"/>
      <c r="AD1338" s="177"/>
      <c r="AE1338" s="177"/>
      <c r="AF1338" s="177"/>
      <c r="AG1338" s="177"/>
      <c r="AH1338" s="177"/>
      <c r="AI1338" s="177"/>
      <c r="AJ1338" s="177"/>
      <c r="AK1338" s="177"/>
      <c r="AL1338" s="177"/>
      <c r="AM1338" s="177"/>
      <c r="AN1338" s="177"/>
      <c r="AO1338" s="177"/>
      <c r="AP1338" s="177"/>
      <c r="AQ1338" s="177"/>
      <c r="AR1338" s="177"/>
      <c r="AS1338" s="177"/>
      <c r="AT1338" s="177"/>
      <c r="AU1338" s="177"/>
      <c r="AV1338" s="177"/>
      <c r="AW1338" s="177"/>
      <c r="AX1338" s="177"/>
      <c r="AY1338" s="177"/>
      <c r="AZ1338" s="177"/>
      <c r="BA1338" s="177"/>
      <c r="BB1338" s="177"/>
    </row>
    <row r="1339" spans="1:56" collapsed="1" x14ac:dyDescent="0.3">
      <c r="A1339" s="195" t="str">
        <f ca="1">Language!A$1198</f>
        <v>Начисленный налог с оборота (УСН)</v>
      </c>
      <c r="C1339" s="194" t="str">
        <f t="shared" ca="1" si="4597"/>
        <v>руб.</v>
      </c>
      <c r="F1339" s="170" t="s">
        <v>740</v>
      </c>
      <c r="G1339" s="210">
        <f ca="1">G1342*Параметры!G102</f>
        <v>0</v>
      </c>
      <c r="H1339" s="210">
        <f ca="1">H1342*Параметры!H102</f>
        <v>0</v>
      </c>
      <c r="I1339" s="210">
        <f ca="1">I1342*Параметры!I102</f>
        <v>0</v>
      </c>
      <c r="J1339" s="210">
        <f ca="1">J1342*Параметры!J102</f>
        <v>0</v>
      </c>
      <c r="K1339" s="210">
        <f ca="1">K1342*Параметры!K102</f>
        <v>0</v>
      </c>
      <c r="L1339" s="210">
        <f ca="1">L1342*Параметры!L102</f>
        <v>0</v>
      </c>
      <c r="M1339" s="210">
        <f ca="1">M1342*Параметры!M102</f>
        <v>299479.28954102995</v>
      </c>
      <c r="N1339" s="210">
        <f ca="1">N1342*Параметры!N102</f>
        <v>550989.00493870687</v>
      </c>
      <c r="O1339" s="210">
        <f ca="1">O1342*Параметры!O102</f>
        <v>704627.75723174855</v>
      </c>
      <c r="P1339" s="210">
        <f ca="1">P1342*Параметры!P102</f>
        <v>859749.14370673511</v>
      </c>
      <c r="Q1339" s="210">
        <f ca="1">Q1342*Параметры!Q102</f>
        <v>914579.64989831392</v>
      </c>
      <c r="R1339" s="210">
        <f ca="1">R1342*Параметры!R102</f>
        <v>919031.41259022767</v>
      </c>
      <c r="S1339" s="210">
        <f ca="1">S1342*Параметры!S102</f>
        <v>1129060.0444621495</v>
      </c>
      <c r="T1339" s="210">
        <f ca="1">T1342*Параметры!T102</f>
        <v>1134055.5261548928</v>
      </c>
      <c r="U1339" s="210">
        <f ca="1">U1342*Параметры!U102</f>
        <v>984156.07574523462</v>
      </c>
      <c r="V1339" s="210">
        <f ca="1">V1342*Параметры!V102</f>
        <v>937056.21248579852</v>
      </c>
      <c r="W1339" s="210">
        <f ca="1">W1342*Параметры!W102</f>
        <v>836824.02216486039</v>
      </c>
      <c r="X1339" s="210">
        <f ca="1">X1342*Параметры!X102</f>
        <v>1104410.9633703688</v>
      </c>
      <c r="Y1339" s="210">
        <f ca="1">Y1342*Параметры!Y102</f>
        <v>1479373.9395412637</v>
      </c>
      <c r="Z1339" s="210">
        <f ca="1">Z1342*Параметры!Z102</f>
        <v>1592390.8826348619</v>
      </c>
      <c r="AA1339" s="210">
        <f ca="1">AA1342*Параметры!AA102</f>
        <v>1279595.9687099715</v>
      </c>
      <c r="AB1339" s="210">
        <f ca="1">AB1342*Параметры!AB102</f>
        <v>910814.00111096131</v>
      </c>
      <c r="AC1339" s="210">
        <f ca="1">AC1342*Параметры!AC102</f>
        <v>807878.69074351084</v>
      </c>
      <c r="AD1339" s="210">
        <f ca="1">AD1342*Параметры!AD102</f>
        <v>920227.61416466068</v>
      </c>
      <c r="AE1339" s="210">
        <f ca="1">AE1342*Параметры!AE102</f>
        <v>1196803.6471298784</v>
      </c>
      <c r="AF1339" s="210">
        <f ca="1">AF1342*Параметры!AF102</f>
        <v>1202098.8577241863</v>
      </c>
      <c r="AG1339" s="210">
        <f ca="1">AG1342*Параметры!AG102</f>
        <v>1043205.440289949</v>
      </c>
      <c r="AH1339" s="210">
        <f ca="1">AH1342*Параметры!AH102</f>
        <v>993279.58523494645</v>
      </c>
      <c r="AI1339" s="210">
        <f ca="1">AI1342*Параметры!AI102</f>
        <v>887033.46349475218</v>
      </c>
      <c r="AJ1339" s="210">
        <f ca="1">AJ1342*Параметры!AJ102</f>
        <v>1170675.6211725911</v>
      </c>
      <c r="AK1339" s="210">
        <f ca="1">AK1342*Параметры!AK102</f>
        <v>1568136.3759137397</v>
      </c>
      <c r="AL1339" s="210">
        <f ca="1">AL1342*Параметры!AL102</f>
        <v>1687934.3355929537</v>
      </c>
      <c r="AM1339" s="210">
        <f ca="1">AM1342*Параметры!AM102</f>
        <v>1356371.7268325696</v>
      </c>
      <c r="AN1339" s="210">
        <f ca="1">AN1342*Параметры!AN102</f>
        <v>965462.84117761918</v>
      </c>
      <c r="AO1339" s="210">
        <f ca="1">AO1342*Параметры!AO102</f>
        <v>856351.41218812147</v>
      </c>
      <c r="AP1339" s="210">
        <f ca="1">AP1342*Параметры!AP102</f>
        <v>975441.27101454057</v>
      </c>
      <c r="AQ1339" s="210">
        <f ca="1">AQ1342*Параметры!AQ102</f>
        <v>1268611.8659576715</v>
      </c>
      <c r="AR1339" s="210">
        <f ca="1">AR1342*Параметры!AR102</f>
        <v>1274224.7891876381</v>
      </c>
      <c r="AS1339" s="210">
        <f ca="1">AS1342*Параметры!AS102</f>
        <v>1105797.7667073463</v>
      </c>
      <c r="AT1339" s="210">
        <f ca="1">AT1342*Параметры!AT102</f>
        <v>1052876.3603490437</v>
      </c>
      <c r="AU1339" s="210">
        <f ca="1">AU1342*Параметры!AU102</f>
        <v>940255.47130443773</v>
      </c>
      <c r="AV1339" s="210">
        <f ca="1">AV1342*Параметры!AV102</f>
        <v>1240916.1584429471</v>
      </c>
      <c r="AW1339" s="210">
        <f ca="1">AW1342*Параметры!AW102</f>
        <v>1662224.5584685644</v>
      </c>
      <c r="AX1339" s="210">
        <f ca="1">AX1342*Параметры!AX102</f>
        <v>1789210.3957285318</v>
      </c>
      <c r="AY1339" s="210">
        <f ca="1">AY1342*Параметры!AY102</f>
        <v>1437754.0304425242</v>
      </c>
      <c r="AZ1339" s="210">
        <f ca="1">AZ1342*Параметры!AZ102</f>
        <v>1023390.6116482767</v>
      </c>
      <c r="BA1339" s="210">
        <f ca="1">BA1342*Параметры!BA102</f>
        <v>907732.49691940914</v>
      </c>
      <c r="BB1339" s="210">
        <f ca="1">BB1342*Параметры!BB102</f>
        <v>1033967.7472754134</v>
      </c>
      <c r="BD1339" s="211">
        <f ca="1">SUM(G1339:BC1339)</f>
        <v>46004057.029392935</v>
      </c>
    </row>
    <row r="1340" spans="1:56" hidden="1" outlineLevel="1" x14ac:dyDescent="0.3">
      <c r="A1340" s="184" t="str">
        <f ca="1">Language!A$1199</f>
        <v>задолженность по налогу</v>
      </c>
      <c r="B1340" s="200"/>
      <c r="C1340" s="163" t="str">
        <f t="shared" ca="1" si="4597"/>
        <v>руб.</v>
      </c>
      <c r="D1340" s="174"/>
      <c r="F1340" s="170" t="s">
        <v>2350</v>
      </c>
      <c r="G1340" s="289">
        <f ca="1">IF(AND(Параметры!$B$103=0,G$2&gt;1),F1340,G1339*Параметры!$B$103/Параметры!G$30)</f>
        <v>0</v>
      </c>
      <c r="H1340" s="289">
        <f ca="1">IF(AND(Параметры!$B$103=0,H$2&gt;1),G1340,H1339*Параметры!$B$103/Параметры!H$30)</f>
        <v>0</v>
      </c>
      <c r="I1340" s="289">
        <f ca="1">IF(AND(Параметры!$B$103=0,I$2&gt;1),H1340,I1339*Параметры!$B$103/Параметры!I$30)</f>
        <v>0</v>
      </c>
      <c r="J1340" s="289">
        <f ca="1">IF(AND(Параметры!$B$103=0,J$2&gt;1),I1340,J1339*Параметры!$B$103/Параметры!J$30)</f>
        <v>0</v>
      </c>
      <c r="K1340" s="289">
        <f ca="1">IF(AND(Параметры!$B$103=0,K$2&gt;1),J1340,K1339*Параметры!$B$103/Параметры!K$30)</f>
        <v>0</v>
      </c>
      <c r="L1340" s="289">
        <f ca="1">IF(AND(Параметры!$B$103=0,L$2&gt;1),K1340,L1339*Параметры!$B$103/Параметры!L$30)</f>
        <v>0</v>
      </c>
      <c r="M1340" s="289">
        <f ca="1">IF(AND(Параметры!$B$103=0,M$2&gt;1),L1340,M1339*Параметры!$B$103/Параметры!M$30)</f>
        <v>299479.28954102995</v>
      </c>
      <c r="N1340" s="289">
        <f ca="1">IF(AND(Параметры!$B$103=0,N$2&gt;1),M1340,N1339*Параметры!$B$103/Параметры!N$30)</f>
        <v>550989.00493870687</v>
      </c>
      <c r="O1340" s="289">
        <f ca="1">IF(AND(Параметры!$B$103=0,O$2&gt;1),N1340,O1339*Параметры!$B$103/Параметры!O$30)</f>
        <v>704627.75723174855</v>
      </c>
      <c r="P1340" s="289">
        <f ca="1">IF(AND(Параметры!$B$103=0,P$2&gt;1),O1340,P1339*Параметры!$B$103/Параметры!P$30)</f>
        <v>859749.14370673511</v>
      </c>
      <c r="Q1340" s="289">
        <f ca="1">IF(AND(Параметры!$B$103=0,Q$2&gt;1),P1340,Q1339*Параметры!$B$103/Параметры!Q$30)</f>
        <v>914579.64989831403</v>
      </c>
      <c r="R1340" s="289">
        <f ca="1">IF(AND(Параметры!$B$103=0,R$2&gt;1),Q1340,R1339*Параметры!$B$103/Параметры!R$30)</f>
        <v>919031.41259022767</v>
      </c>
      <c r="S1340" s="289">
        <f ca="1">IF(AND(Параметры!$B$103=0,S$2&gt;1),R1340,S1339*Параметры!$B$103/Параметры!S$30)</f>
        <v>1129060.0444621495</v>
      </c>
      <c r="T1340" s="289">
        <f ca="1">IF(AND(Параметры!$B$103=0,T$2&gt;1),S1340,T1339*Параметры!$B$103/Параметры!T$30)</f>
        <v>1134055.5261548928</v>
      </c>
      <c r="U1340" s="289">
        <f ca="1">IF(AND(Параметры!$B$103=0,U$2&gt;1),T1340,U1339*Параметры!$B$103/Параметры!U$30)</f>
        <v>984156.07574523462</v>
      </c>
      <c r="V1340" s="289">
        <f ca="1">IF(AND(Параметры!$B$103=0,V$2&gt;1),U1340,V1339*Параметры!$B$103/Параметры!V$30)</f>
        <v>937056.21248579852</v>
      </c>
      <c r="W1340" s="289">
        <f ca="1">IF(AND(Параметры!$B$103=0,W$2&gt;1),V1340,W1339*Параметры!$B$103/Параметры!W$30)</f>
        <v>836824.02216486039</v>
      </c>
      <c r="X1340" s="289">
        <f ca="1">IF(AND(Параметры!$B$103=0,X$2&gt;1),W1340,X1339*Параметры!$B$103/Параметры!X$30)</f>
        <v>1104410.9633703688</v>
      </c>
      <c r="Y1340" s="289">
        <f ca="1">IF(AND(Параметры!$B$103=0,Y$2&gt;1),X1340,Y1339*Параметры!$B$103/Параметры!Y$30)</f>
        <v>1479373.9395412637</v>
      </c>
      <c r="Z1340" s="289">
        <f ca="1">IF(AND(Параметры!$B$103=0,Z$2&gt;1),Y1340,Z1339*Параметры!$B$103/Параметры!Z$30)</f>
        <v>1592390.8826348619</v>
      </c>
      <c r="AA1340" s="289">
        <f ca="1">IF(AND(Параметры!$B$103=0,AA$2&gt;1),Z1340,AA1339*Параметры!$B$103/Параметры!AA$30)</f>
        <v>1279595.9687099715</v>
      </c>
      <c r="AB1340" s="289">
        <f ca="1">IF(AND(Параметры!$B$103=0,AB$2&gt;1),AA1340,AB1339*Параметры!$B$103/Параметры!AB$30)</f>
        <v>910814.00111096131</v>
      </c>
      <c r="AC1340" s="289">
        <f ca="1">IF(AND(Параметры!$B$103=0,AC$2&gt;1),AB1340,AC1339*Параметры!$B$103/Параметры!AC$30)</f>
        <v>807878.69074351084</v>
      </c>
      <c r="AD1340" s="289">
        <f ca="1">IF(AND(Параметры!$B$103=0,AD$2&gt;1),AC1340,AD1339*Параметры!$B$103/Параметры!AD$30)</f>
        <v>920227.61416466057</v>
      </c>
      <c r="AE1340" s="289">
        <f ca="1">IF(AND(Параметры!$B$103=0,AE$2&gt;1),AD1340,AE1339*Параметры!$B$103/Параметры!AE$30)</f>
        <v>1196803.6471298784</v>
      </c>
      <c r="AF1340" s="289">
        <f ca="1">IF(AND(Параметры!$B$103=0,AF$2&gt;1),AE1340,AF1339*Параметры!$B$103/Параметры!AF$30)</f>
        <v>1202098.8577241863</v>
      </c>
      <c r="AG1340" s="289">
        <f ca="1">IF(AND(Параметры!$B$103=0,AG$2&gt;1),AF1340,AG1339*Параметры!$B$103/Параметры!AG$30)</f>
        <v>1043205.440289949</v>
      </c>
      <c r="AH1340" s="289">
        <f ca="1">IF(AND(Параметры!$B$103=0,AH$2&gt;1),AG1340,AH1339*Параметры!$B$103/Параметры!AH$30)</f>
        <v>993279.58523494645</v>
      </c>
      <c r="AI1340" s="289">
        <f ca="1">IF(AND(Параметры!$B$103=0,AI$2&gt;1),AH1340,AI1339*Параметры!$B$103/Параметры!AI$30)</f>
        <v>887033.46349475218</v>
      </c>
      <c r="AJ1340" s="289">
        <f ca="1">IF(AND(Параметры!$B$103=0,AJ$2&gt;1),AI1340,AJ1339*Параметры!$B$103/Параметры!AJ$30)</f>
        <v>1170675.6211725911</v>
      </c>
      <c r="AK1340" s="289">
        <f ca="1">IF(AND(Параметры!$B$103=0,AK$2&gt;1),AJ1340,AK1339*Параметры!$B$103/Параметры!AK$30)</f>
        <v>1568136.3759137397</v>
      </c>
      <c r="AL1340" s="289">
        <f ca="1">IF(AND(Параметры!$B$103=0,AL$2&gt;1),AK1340,AL1339*Параметры!$B$103/Параметры!AL$30)</f>
        <v>1687934.3355929537</v>
      </c>
      <c r="AM1340" s="289">
        <f ca="1">IF(AND(Параметры!$B$103=0,AM$2&gt;1),AL1340,AM1339*Параметры!$B$103/Параметры!AM$30)</f>
        <v>1356371.7268325696</v>
      </c>
      <c r="AN1340" s="289">
        <f ca="1">IF(AND(Параметры!$B$103=0,AN$2&gt;1),AM1340,AN1339*Параметры!$B$103/Параметры!AN$30)</f>
        <v>965462.84117761918</v>
      </c>
      <c r="AO1340" s="289">
        <f ca="1">IF(AND(Параметры!$B$103=0,AO$2&gt;1),AN1340,AO1339*Параметры!$B$103/Параметры!AO$30)</f>
        <v>856351.41218812147</v>
      </c>
      <c r="AP1340" s="289">
        <f ca="1">IF(AND(Параметры!$B$103=0,AP$2&gt;1),AO1340,AP1339*Параметры!$B$103/Параметры!AP$30)</f>
        <v>975441.27101454057</v>
      </c>
      <c r="AQ1340" s="289">
        <f ca="1">IF(AND(Параметры!$B$103=0,AQ$2&gt;1),AP1340,AQ1339*Параметры!$B$103/Параметры!AQ$30)</f>
        <v>1268611.8659576715</v>
      </c>
      <c r="AR1340" s="289">
        <f ca="1">IF(AND(Параметры!$B$103=0,AR$2&gt;1),AQ1340,AR1339*Параметры!$B$103/Параметры!AR$30)</f>
        <v>1274224.7891876379</v>
      </c>
      <c r="AS1340" s="289">
        <f ca="1">IF(AND(Параметры!$B$103=0,AS$2&gt;1),AR1340,AS1339*Параметры!$B$103/Параметры!AS$30)</f>
        <v>1105797.7667073463</v>
      </c>
      <c r="AT1340" s="289">
        <f ca="1">IF(AND(Параметры!$B$103=0,AT$2&gt;1),AS1340,AT1339*Параметры!$B$103/Параметры!AT$30)</f>
        <v>1052876.3603490437</v>
      </c>
      <c r="AU1340" s="289">
        <f ca="1">IF(AND(Параметры!$B$103=0,AU$2&gt;1),AT1340,AU1339*Параметры!$B$103/Параметры!AU$30)</f>
        <v>940255.47130443773</v>
      </c>
      <c r="AV1340" s="289">
        <f ca="1">IF(AND(Параметры!$B$103=0,AV$2&gt;1),AU1340,AV1339*Параметры!$B$103/Параметры!AV$30)</f>
        <v>1240916.1584429471</v>
      </c>
      <c r="AW1340" s="289">
        <f ca="1">IF(AND(Параметры!$B$103=0,AW$2&gt;1),AV1340,AW1339*Параметры!$B$103/Параметры!AW$30)</f>
        <v>1662224.5584685644</v>
      </c>
      <c r="AX1340" s="289">
        <f ca="1">IF(AND(Параметры!$B$103=0,AX$2&gt;1),AW1340,AX1339*Параметры!$B$103/Параметры!AX$30)</f>
        <v>1789210.3957285318</v>
      </c>
      <c r="AY1340" s="289">
        <f ca="1">IF(AND(Параметры!$B$103=0,AY$2&gt;1),AX1340,AY1339*Параметры!$B$103/Параметры!AY$30)</f>
        <v>1437754.0304425242</v>
      </c>
      <c r="AZ1340" s="289">
        <f ca="1">IF(AND(Параметры!$B$103=0,AZ$2&gt;1),AY1340,AZ1339*Параметры!$B$103/Параметры!AZ$30)</f>
        <v>1023390.6116482767</v>
      </c>
      <c r="BA1340" s="289">
        <f ca="1">IF(AND(Параметры!$B$103=0,BA$2&gt;1),AZ1340,BA1339*Параметры!$B$103/Параметры!BA$30)</f>
        <v>907732.49691940914</v>
      </c>
      <c r="BB1340" s="289">
        <f ca="1">IF(AND(Параметры!$B$103=0,BB$2&gt;1),BA1340,BB1339*Параметры!$B$103/Параметры!BB$30)</f>
        <v>1033967.7472754134</v>
      </c>
      <c r="BC1340" s="188"/>
      <c r="BD1340" s="178">
        <f ca="1">SUM(G1340:BC1340)</f>
        <v>46004057.029392935</v>
      </c>
    </row>
    <row r="1341" spans="1:56" hidden="1" outlineLevel="1" x14ac:dyDescent="0.3">
      <c r="A1341" s="184" t="str">
        <f ca="1">Language!A$1200</f>
        <v>уплаченный налог с оборота</v>
      </c>
      <c r="B1341" s="195"/>
      <c r="C1341" s="163" t="str">
        <f t="shared" ca="1" si="4597"/>
        <v>руб.</v>
      </c>
      <c r="F1341" s="170" t="s">
        <v>740</v>
      </c>
      <c r="G1341" s="185">
        <f ca="1">G1339-IF(G$2=1,G1340,G1340-F1340)</f>
        <v>0</v>
      </c>
      <c r="H1341" s="185">
        <f t="shared" ref="H1341" ca="1" si="4698">H1339-IF(H$2=1,H1340,H1340-G1340)</f>
        <v>0</v>
      </c>
      <c r="I1341" s="185">
        <f t="shared" ref="I1341" ca="1" si="4699">I1339-IF(I$2=1,I1340,I1340-H1340)</f>
        <v>0</v>
      </c>
      <c r="J1341" s="185">
        <f t="shared" ref="J1341" ca="1" si="4700">J1339-IF(J$2=1,J1340,J1340-I1340)</f>
        <v>0</v>
      </c>
      <c r="K1341" s="185">
        <f t="shared" ref="K1341:BB1341" ca="1" si="4701">K1339-IF(K$2=1,K1340,K1340-J1340)</f>
        <v>0</v>
      </c>
      <c r="L1341" s="185">
        <f t="shared" ca="1" si="4701"/>
        <v>0</v>
      </c>
      <c r="M1341" s="185">
        <f t="shared" ca="1" si="4701"/>
        <v>0</v>
      </c>
      <c r="N1341" s="185">
        <f t="shared" ca="1" si="4701"/>
        <v>299479.28954102995</v>
      </c>
      <c r="O1341" s="185">
        <f t="shared" ca="1" si="4701"/>
        <v>550989.00493870687</v>
      </c>
      <c r="P1341" s="185">
        <f t="shared" ca="1" si="4701"/>
        <v>704627.75723174855</v>
      </c>
      <c r="Q1341" s="185">
        <f t="shared" ca="1" si="4701"/>
        <v>859749.14370673499</v>
      </c>
      <c r="R1341" s="185">
        <f t="shared" ca="1" si="4701"/>
        <v>914579.64989831403</v>
      </c>
      <c r="S1341" s="185">
        <f t="shared" ca="1" si="4701"/>
        <v>919031.41259022767</v>
      </c>
      <c r="T1341" s="185">
        <f t="shared" ca="1" si="4701"/>
        <v>1129060.0444621495</v>
      </c>
      <c r="U1341" s="185">
        <f t="shared" ca="1" si="4701"/>
        <v>1134055.5261548928</v>
      </c>
      <c r="V1341" s="185">
        <f t="shared" ca="1" si="4701"/>
        <v>984156.07574523462</v>
      </c>
      <c r="W1341" s="185">
        <f t="shared" ca="1" si="4701"/>
        <v>937056.21248579852</v>
      </c>
      <c r="X1341" s="185">
        <f t="shared" ca="1" si="4701"/>
        <v>836824.02216486039</v>
      </c>
      <c r="Y1341" s="185">
        <f t="shared" ca="1" si="4701"/>
        <v>1104410.9633703688</v>
      </c>
      <c r="Z1341" s="185">
        <f t="shared" ca="1" si="4701"/>
        <v>1479373.9395412637</v>
      </c>
      <c r="AA1341" s="185">
        <f t="shared" ca="1" si="4701"/>
        <v>1592390.8826348619</v>
      </c>
      <c r="AB1341" s="185">
        <f t="shared" ca="1" si="4701"/>
        <v>1279595.9687099715</v>
      </c>
      <c r="AC1341" s="185">
        <f t="shared" ca="1" si="4701"/>
        <v>910814.00111096131</v>
      </c>
      <c r="AD1341" s="185">
        <f t="shared" ca="1" si="4701"/>
        <v>807878.69074351096</v>
      </c>
      <c r="AE1341" s="185">
        <f t="shared" ca="1" si="4701"/>
        <v>920227.61416466057</v>
      </c>
      <c r="AF1341" s="185">
        <f t="shared" ca="1" si="4701"/>
        <v>1196803.6471298784</v>
      </c>
      <c r="AG1341" s="185">
        <f t="shared" ca="1" si="4701"/>
        <v>1202098.8577241863</v>
      </c>
      <c r="AH1341" s="185">
        <f t="shared" ca="1" si="4701"/>
        <v>1043205.440289949</v>
      </c>
      <c r="AI1341" s="185">
        <f t="shared" ca="1" si="4701"/>
        <v>993279.58523494645</v>
      </c>
      <c r="AJ1341" s="185">
        <f t="shared" ca="1" si="4701"/>
        <v>887033.46349475218</v>
      </c>
      <c r="AK1341" s="185">
        <f t="shared" ca="1" si="4701"/>
        <v>1170675.6211725911</v>
      </c>
      <c r="AL1341" s="185">
        <f t="shared" ca="1" si="4701"/>
        <v>1568136.3759137397</v>
      </c>
      <c r="AM1341" s="185">
        <f t="shared" ca="1" si="4701"/>
        <v>1687934.3355929537</v>
      </c>
      <c r="AN1341" s="185">
        <f t="shared" ca="1" si="4701"/>
        <v>1356371.7268325696</v>
      </c>
      <c r="AO1341" s="185">
        <f t="shared" ca="1" si="4701"/>
        <v>965462.84117761918</v>
      </c>
      <c r="AP1341" s="185">
        <f t="shared" ca="1" si="4701"/>
        <v>856351.41218812147</v>
      </c>
      <c r="AQ1341" s="185">
        <f t="shared" ca="1" si="4701"/>
        <v>975441.27101454057</v>
      </c>
      <c r="AR1341" s="185">
        <f t="shared" ca="1" si="4701"/>
        <v>1268611.8659576718</v>
      </c>
      <c r="AS1341" s="185">
        <f t="shared" ca="1" si="4701"/>
        <v>1274224.7891876379</v>
      </c>
      <c r="AT1341" s="185">
        <f t="shared" ca="1" si="4701"/>
        <v>1105797.7667073463</v>
      </c>
      <c r="AU1341" s="185">
        <f t="shared" ca="1" si="4701"/>
        <v>1052876.3603490437</v>
      </c>
      <c r="AV1341" s="185">
        <f t="shared" ca="1" si="4701"/>
        <v>940255.47130443773</v>
      </c>
      <c r="AW1341" s="185">
        <f t="shared" ca="1" si="4701"/>
        <v>1240916.1584429471</v>
      </c>
      <c r="AX1341" s="185">
        <f t="shared" ca="1" si="4701"/>
        <v>1662224.5584685644</v>
      </c>
      <c r="AY1341" s="185">
        <f t="shared" ca="1" si="4701"/>
        <v>1789210.3957285318</v>
      </c>
      <c r="AZ1341" s="185">
        <f t="shared" ca="1" si="4701"/>
        <v>1437754.0304425242</v>
      </c>
      <c r="BA1341" s="185">
        <f t="shared" ca="1" si="4701"/>
        <v>1023390.6116482767</v>
      </c>
      <c r="BB1341" s="185">
        <f t="shared" ca="1" si="4701"/>
        <v>907732.49691940914</v>
      </c>
      <c r="BD1341" s="178">
        <f ca="1">SUM(G1341:BC1341)</f>
        <v>44970089.282117531</v>
      </c>
    </row>
    <row r="1342" spans="1:56" hidden="1" outlineLevel="1" x14ac:dyDescent="0.3">
      <c r="A1342" s="169" t="str">
        <f ca="1">Language!A$1201</f>
        <v>Облагаемая база</v>
      </c>
      <c r="C1342" s="194" t="str">
        <f t="shared" ca="1" si="4597"/>
        <v>руб.</v>
      </c>
      <c r="F1342" s="170" t="s">
        <v>740</v>
      </c>
      <c r="G1342" s="177">
        <f ca="1">(OFFSET(Результаты!$F$126,0,G2)+OFFSET(Результаты!$F$132,0,G2)+OFFSET(Результаты!$F$142,0,G2))*Параметры!G$64</f>
        <v>0</v>
      </c>
      <c r="H1342" s="177">
        <f ca="1">(OFFSET(Результаты!$F$126,0,H2)+OFFSET(Результаты!$F$132,0,H2)+OFFSET(Результаты!$F$142,0,H2))*Параметры!H$64</f>
        <v>0</v>
      </c>
      <c r="I1342" s="177">
        <f ca="1">(OFFSET(Результаты!$F$126,0,I2)+OFFSET(Результаты!$F$132,0,I2)+OFFSET(Результаты!$F$142,0,I2))*Параметры!I$64</f>
        <v>0</v>
      </c>
      <c r="J1342" s="177">
        <f ca="1">(OFFSET(Результаты!$F$126,0,J2)+OFFSET(Результаты!$F$132,0,J2)+OFFSET(Результаты!$F$142,0,J2))*Параметры!J$64</f>
        <v>0</v>
      </c>
      <c r="K1342" s="177">
        <f ca="1">(OFFSET(Результаты!$F$126,0,K2)+OFFSET(Результаты!$F$132,0,K2)+OFFSET(Результаты!$F$142,0,K2))*Параметры!K$64</f>
        <v>0</v>
      </c>
      <c r="L1342" s="177">
        <f ca="1">(OFFSET(Результаты!$F$126,0,L2)+OFFSET(Результаты!$F$132,0,L2)+OFFSET(Результаты!$F$142,0,L2))*Параметры!L$64</f>
        <v>0</v>
      </c>
      <c r="M1342" s="177">
        <f ca="1">(OFFSET(Результаты!$F$126,0,M2)+OFFSET(Результаты!$F$132,0,M2)+OFFSET(Результаты!$F$142,0,M2))*Параметры!M$64</f>
        <v>4991321.4923504991</v>
      </c>
      <c r="N1342" s="177">
        <f ca="1">(OFFSET(Результаты!$F$126,0,N2)+OFFSET(Результаты!$F$132,0,N2)+OFFSET(Результаты!$F$142,0,N2))*Параметры!N$64</f>
        <v>9183150.0823117811</v>
      </c>
      <c r="O1342" s="177">
        <f ca="1">(OFFSET(Результаты!$F$126,0,O2)+OFFSET(Результаты!$F$132,0,O2)+OFFSET(Результаты!$F$142,0,O2))*Параметры!O$64</f>
        <v>11743795.953862477</v>
      </c>
      <c r="P1342" s="177">
        <f ca="1">(OFFSET(Результаты!$F$126,0,P2)+OFFSET(Результаты!$F$132,0,P2)+OFFSET(Результаты!$F$142,0,P2))*Параметры!P$64</f>
        <v>14329152.395112252</v>
      </c>
      <c r="Q1342" s="177">
        <f ca="1">(OFFSET(Результаты!$F$126,0,Q2)+OFFSET(Результаты!$F$132,0,Q2)+OFFSET(Результаты!$F$142,0,Q2))*Параметры!Q$64</f>
        <v>15242994.164971899</v>
      </c>
      <c r="R1342" s="177">
        <f ca="1">(OFFSET(Результаты!$F$126,0,R2)+OFFSET(Результаты!$F$132,0,R2)+OFFSET(Результаты!$F$142,0,R2))*Параметры!R$64</f>
        <v>15317190.209837129</v>
      </c>
      <c r="S1342" s="177">
        <f ca="1">(OFFSET(Результаты!$F$126,0,S2)+OFFSET(Результаты!$F$132,0,S2)+OFFSET(Результаты!$F$142,0,S2))*Параметры!S$64</f>
        <v>18817667.407702491</v>
      </c>
      <c r="T1342" s="177">
        <f ca="1">(OFFSET(Результаты!$F$126,0,T2)+OFFSET(Результаты!$F$132,0,T2)+OFFSET(Результаты!$F$142,0,T2))*Параметры!T$64</f>
        <v>18900925.435914882</v>
      </c>
      <c r="U1342" s="177">
        <f ca="1">(OFFSET(Результаты!$F$126,0,U2)+OFFSET(Результаты!$F$132,0,U2)+OFFSET(Результаты!$F$142,0,U2))*Параметры!U$64</f>
        <v>16402601.262420578</v>
      </c>
      <c r="V1342" s="177">
        <f ca="1">(OFFSET(Результаты!$F$126,0,V2)+OFFSET(Результаты!$F$132,0,V2)+OFFSET(Результаты!$F$142,0,V2))*Параметры!V$64</f>
        <v>15617603.541429976</v>
      </c>
      <c r="W1342" s="177">
        <f ca="1">(OFFSET(Результаты!$F$126,0,W2)+OFFSET(Результаты!$F$132,0,W2)+OFFSET(Результаты!$F$142,0,W2))*Параметры!W$64</f>
        <v>13947067.036081007</v>
      </c>
      <c r="X1342" s="177">
        <f ca="1">(OFFSET(Результаты!$F$126,0,X2)+OFFSET(Результаты!$F$132,0,X2)+OFFSET(Результаты!$F$142,0,X2))*Параметры!X$64</f>
        <v>18406849.389506146</v>
      </c>
      <c r="Y1342" s="177">
        <f ca="1">(OFFSET(Результаты!$F$126,0,Y2)+OFFSET(Результаты!$F$132,0,Y2)+OFFSET(Результаты!$F$142,0,Y2))*Параметры!Y$64</f>
        <v>24656232.325687729</v>
      </c>
      <c r="Z1342" s="177">
        <f ca="1">(OFFSET(Результаты!$F$126,0,Z2)+OFFSET(Результаты!$F$132,0,Z2)+OFFSET(Результаты!$F$142,0,Z2))*Параметры!Z$64</f>
        <v>26539848.043914367</v>
      </c>
      <c r="AA1342" s="177">
        <f ca="1">(OFFSET(Результаты!$F$126,0,AA2)+OFFSET(Результаты!$F$132,0,AA2)+OFFSET(Результаты!$F$142,0,AA2))*Параметры!AA$64</f>
        <v>21326599.478499524</v>
      </c>
      <c r="AB1342" s="177">
        <f ca="1">(OFFSET(Результаты!$F$126,0,AB2)+OFFSET(Результаты!$F$132,0,AB2)+OFFSET(Результаты!$F$142,0,AB2))*Параметры!AB$64</f>
        <v>15180233.351849357</v>
      </c>
      <c r="AC1342" s="177">
        <f ca="1">(OFFSET(Результаты!$F$126,0,AC2)+OFFSET(Результаты!$F$132,0,AC2)+OFFSET(Результаты!$F$142,0,AC2))*Параметры!AC$64</f>
        <v>13464644.845725181</v>
      </c>
      <c r="AD1342" s="177">
        <f ca="1">(OFFSET(Результаты!$F$126,0,AD2)+OFFSET(Результаты!$F$132,0,AD2)+OFFSET(Результаты!$F$142,0,AD2))*Параметры!AD$64</f>
        <v>15337126.902744345</v>
      </c>
      <c r="AE1342" s="177">
        <f ca="1">(OFFSET(Результаты!$F$126,0,AE2)+OFFSET(Результаты!$F$132,0,AE2)+OFFSET(Результаты!$F$142,0,AE2))*Параметры!AE$64</f>
        <v>19946727.452164643</v>
      </c>
      <c r="AF1342" s="177">
        <f ca="1">(OFFSET(Результаты!$F$126,0,AF2)+OFFSET(Результаты!$F$132,0,AF2)+OFFSET(Результаты!$F$142,0,AF2))*Параметры!AF$64</f>
        <v>20034980.962069772</v>
      </c>
      <c r="AG1342" s="177">
        <f ca="1">(OFFSET(Результаты!$F$126,0,AG2)+OFFSET(Результаты!$F$132,0,AG2)+OFFSET(Результаты!$F$142,0,AG2))*Параметры!AG$64</f>
        <v>17386757.338165816</v>
      </c>
      <c r="AH1342" s="177">
        <f ca="1">(OFFSET(Результаты!$F$126,0,AH2)+OFFSET(Результаты!$F$132,0,AH2)+OFFSET(Результаты!$F$142,0,AH2))*Параметры!AH$64</f>
        <v>16554659.753915776</v>
      </c>
      <c r="AI1342" s="177">
        <f ca="1">(OFFSET(Результаты!$F$126,0,AI2)+OFFSET(Результаты!$F$132,0,AI2)+OFFSET(Результаты!$F$142,0,AI2))*Параметры!AI$64</f>
        <v>14783891.058245869</v>
      </c>
      <c r="AJ1342" s="177">
        <f ca="1">(OFFSET(Результаты!$F$126,0,AJ2)+OFFSET(Результаты!$F$132,0,AJ2)+OFFSET(Результаты!$F$142,0,AJ2))*Параметры!AJ$64</f>
        <v>19511260.352876518</v>
      </c>
      <c r="AK1342" s="177">
        <f ca="1">(OFFSET(Результаты!$F$126,0,AK2)+OFFSET(Результаты!$F$132,0,AK2)+OFFSET(Результаты!$F$142,0,AK2))*Параметры!AK$64</f>
        <v>26135606.265228994</v>
      </c>
      <c r="AL1342" s="177">
        <f ca="1">(OFFSET(Результаты!$F$126,0,AL2)+OFFSET(Результаты!$F$132,0,AL2)+OFFSET(Результаты!$F$142,0,AL2))*Параметры!AL$64</f>
        <v>28132238.92654923</v>
      </c>
      <c r="AM1342" s="177">
        <f ca="1">(OFFSET(Результаты!$F$126,0,AM2)+OFFSET(Результаты!$F$132,0,AM2)+OFFSET(Результаты!$F$142,0,AM2))*Параметры!AM$64</f>
        <v>22606195.447209492</v>
      </c>
      <c r="AN1342" s="177">
        <f ca="1">(OFFSET(Результаты!$F$126,0,AN2)+OFFSET(Результаты!$F$132,0,AN2)+OFFSET(Результаты!$F$142,0,AN2))*Параметры!AN$64</f>
        <v>16091047.35296032</v>
      </c>
      <c r="AO1342" s="177">
        <f ca="1">(OFFSET(Результаты!$F$126,0,AO2)+OFFSET(Результаты!$F$132,0,AO2)+OFFSET(Результаты!$F$142,0,AO2))*Параметры!AO$64</f>
        <v>14272523.536468692</v>
      </c>
      <c r="AP1342" s="177">
        <f ca="1">(OFFSET(Результаты!$F$126,0,AP2)+OFFSET(Результаты!$F$132,0,AP2)+OFFSET(Результаты!$F$142,0,AP2))*Параметры!AP$64</f>
        <v>16257354.516909011</v>
      </c>
      <c r="AQ1342" s="177">
        <f ca="1">(OFFSET(Результаты!$F$126,0,AQ2)+OFFSET(Результаты!$F$132,0,AQ2)+OFFSET(Результаты!$F$142,0,AQ2))*Параметры!AQ$64</f>
        <v>21143531.099294528</v>
      </c>
      <c r="AR1342" s="177">
        <f ca="1">(OFFSET(Результаты!$F$126,0,AR2)+OFFSET(Результаты!$F$132,0,AR2)+OFFSET(Результаты!$F$142,0,AR2))*Параметры!AR$64</f>
        <v>21237079.819793969</v>
      </c>
      <c r="AS1342" s="177">
        <f ca="1">(OFFSET(Результаты!$F$126,0,AS2)+OFFSET(Результаты!$F$132,0,AS2)+OFFSET(Результаты!$F$142,0,AS2))*Параметры!AS$64</f>
        <v>18429962.778455772</v>
      </c>
      <c r="AT1342" s="177">
        <f ca="1">(OFFSET(Результаты!$F$126,0,AT2)+OFFSET(Результаты!$F$132,0,AT2)+OFFSET(Результаты!$F$142,0,AT2))*Параметры!AT$64</f>
        <v>17547939.339150731</v>
      </c>
      <c r="AU1342" s="177">
        <f ca="1">(OFFSET(Результаты!$F$126,0,AU2)+OFFSET(Результаты!$F$132,0,AU2)+OFFSET(Результаты!$F$142,0,AU2))*Параметры!AU$64</f>
        <v>15670924.521740628</v>
      </c>
      <c r="AV1342" s="177">
        <f ca="1">(OFFSET(Результаты!$F$126,0,AV2)+OFFSET(Результаты!$F$132,0,AV2)+OFFSET(Результаты!$F$142,0,AV2))*Параметры!AV$64</f>
        <v>20681935.974049117</v>
      </c>
      <c r="AW1342" s="177">
        <f ca="1">(OFFSET(Результаты!$F$126,0,AW2)+OFFSET(Результаты!$F$132,0,AW2)+OFFSET(Результаты!$F$142,0,AW2))*Параметры!AW$64</f>
        <v>27703742.641142741</v>
      </c>
      <c r="AX1342" s="177">
        <f ca="1">(OFFSET(Результаты!$F$126,0,AX2)+OFFSET(Результаты!$F$132,0,AX2)+OFFSET(Результаты!$F$142,0,AX2))*Параметры!AX$64</f>
        <v>29820173.262142196</v>
      </c>
      <c r="AY1342" s="177">
        <f ca="1">(OFFSET(Результаты!$F$126,0,AY2)+OFFSET(Результаты!$F$132,0,AY2)+OFFSET(Результаты!$F$142,0,AY2))*Параметры!AY$64</f>
        <v>23962567.174042072</v>
      </c>
      <c r="AZ1342" s="177">
        <f ca="1">(OFFSET(Результаты!$F$126,0,AZ2)+OFFSET(Результаты!$F$132,0,AZ2)+OFFSET(Результаты!$F$142,0,AZ2))*Параметры!AZ$64</f>
        <v>17056510.194137946</v>
      </c>
      <c r="BA1342" s="177">
        <f ca="1">(OFFSET(Результаты!$F$126,0,BA2)+OFFSET(Результаты!$F$132,0,BA2)+OFFSET(Результаты!$F$142,0,BA2))*Параметры!BA$64</f>
        <v>15128874.94865682</v>
      </c>
      <c r="BB1342" s="177">
        <f ca="1">(OFFSET(Результаты!$F$126,0,BB2)+OFFSET(Результаты!$F$132,0,BB2)+OFFSET(Результаты!$F$142,0,BB2))*Параметры!BB$64</f>
        <v>17232795.787923556</v>
      </c>
      <c r="BD1342" s="178">
        <f ca="1">SUM(G1342:BC1342)</f>
        <v>766734283.82321596</v>
      </c>
    </row>
    <row r="1343" spans="1:56" x14ac:dyDescent="0.3">
      <c r="G1343" s="177"/>
      <c r="H1343" s="177"/>
      <c r="I1343" s="177"/>
      <c r="J1343" s="177"/>
      <c r="K1343" s="177"/>
      <c r="L1343" s="177"/>
      <c r="M1343" s="177"/>
      <c r="N1343" s="177"/>
      <c r="O1343" s="177"/>
      <c r="P1343" s="177"/>
      <c r="Q1343" s="177"/>
      <c r="R1343" s="177"/>
      <c r="S1343" s="177"/>
      <c r="T1343" s="177"/>
      <c r="U1343" s="177"/>
      <c r="V1343" s="177"/>
      <c r="W1343" s="177"/>
      <c r="X1343" s="177"/>
      <c r="Y1343" s="177"/>
      <c r="Z1343" s="177"/>
      <c r="AA1343" s="177"/>
      <c r="AB1343" s="177"/>
      <c r="AC1343" s="177"/>
      <c r="AD1343" s="177"/>
      <c r="AE1343" s="177"/>
      <c r="AF1343" s="177"/>
      <c r="AG1343" s="177"/>
      <c r="AH1343" s="177"/>
      <c r="AI1343" s="177"/>
      <c r="AJ1343" s="177"/>
      <c r="AK1343" s="177"/>
      <c r="AL1343" s="177"/>
      <c r="AM1343" s="177"/>
      <c r="AN1343" s="177"/>
      <c r="AO1343" s="177"/>
      <c r="AP1343" s="177"/>
      <c r="AQ1343" s="177"/>
      <c r="AR1343" s="177"/>
      <c r="AS1343" s="177"/>
      <c r="AT1343" s="177"/>
      <c r="AU1343" s="177"/>
      <c r="AV1343" s="177"/>
      <c r="AW1343" s="177"/>
      <c r="AX1343" s="177"/>
      <c r="AY1343" s="177"/>
      <c r="AZ1343" s="177"/>
      <c r="BA1343" s="177"/>
      <c r="BB1343" s="177"/>
    </row>
    <row r="1344" spans="1:56" ht="13.05" customHeight="1" x14ac:dyDescent="0.3">
      <c r="A1344" s="240" t="str">
        <f ca="1">Language!A$1202</f>
        <v>Начисленный налог с дохода минус расходы (УСН)</v>
      </c>
      <c r="C1344" s="194" t="str">
        <f t="shared" ca="1" si="4597"/>
        <v>руб.</v>
      </c>
      <c r="F1344" s="170" t="s">
        <v>740</v>
      </c>
      <c r="G1344" s="210">
        <f ca="1">MAX(G1351,G1350*Параметры!G107)</f>
        <v>0</v>
      </c>
      <c r="H1344" s="210">
        <f ca="1">MAX(H1351,H1350*Параметры!H107)</f>
        <v>0</v>
      </c>
      <c r="I1344" s="210">
        <f ca="1">MAX(I1351,I1350*Параметры!I107)</f>
        <v>0</v>
      </c>
      <c r="J1344" s="210">
        <f ca="1">MAX(J1351,J1350*Параметры!J107)</f>
        <v>0</v>
      </c>
      <c r="K1344" s="210">
        <f ca="1">MAX(K1351,K1350*Параметры!K107)</f>
        <v>0</v>
      </c>
      <c r="L1344" s="210">
        <f ca="1">MAX(L1351,L1350*Параметры!L107)</f>
        <v>0</v>
      </c>
      <c r="M1344" s="210">
        <f ca="1">MAX(M1351,M1350*Параметры!M107)</f>
        <v>0</v>
      </c>
      <c r="N1344" s="210">
        <f ca="1">MAX(N1351,N1350*Параметры!N107)</f>
        <v>0</v>
      </c>
      <c r="O1344" s="210">
        <f ca="1">MAX(O1351,O1350*Параметры!O107)</f>
        <v>0</v>
      </c>
      <c r="P1344" s="210">
        <f ca="1">MAX(P1351,P1350*Параметры!P107)</f>
        <v>0</v>
      </c>
      <c r="Q1344" s="210">
        <f ca="1">MAX(Q1351,Q1350*Параметры!Q107)</f>
        <v>0</v>
      </c>
      <c r="R1344" s="210">
        <f ca="1">MAX(R1351,R1350*Параметры!R107)</f>
        <v>0</v>
      </c>
      <c r="S1344" s="210">
        <f ca="1">MAX(S1351,S1350*Параметры!S107)</f>
        <v>0</v>
      </c>
      <c r="T1344" s="210">
        <f ca="1">MAX(T1351,T1350*Параметры!T107)</f>
        <v>0</v>
      </c>
      <c r="U1344" s="210">
        <f ca="1">MAX(U1351,U1350*Параметры!U107)</f>
        <v>0</v>
      </c>
      <c r="V1344" s="210">
        <f ca="1">MAX(V1351,V1350*Параметры!V107)</f>
        <v>0</v>
      </c>
      <c r="W1344" s="210">
        <f ca="1">MAX(W1351,W1350*Параметры!W107)</f>
        <v>0</v>
      </c>
      <c r="X1344" s="210">
        <f ca="1">MAX(X1351,X1350*Параметры!X107)</f>
        <v>0</v>
      </c>
      <c r="Y1344" s="210">
        <f ca="1">MAX(Y1351,Y1350*Параметры!Y107)</f>
        <v>0</v>
      </c>
      <c r="Z1344" s="210">
        <f ca="1">MAX(Z1351,Z1350*Параметры!Z107)</f>
        <v>0</v>
      </c>
      <c r="AA1344" s="210">
        <f ca="1">MAX(AA1351,AA1350*Параметры!AA107)</f>
        <v>0</v>
      </c>
      <c r="AB1344" s="210">
        <f ca="1">MAX(AB1351,AB1350*Параметры!AB107)</f>
        <v>0</v>
      </c>
      <c r="AC1344" s="210">
        <f ca="1">MAX(AC1351,AC1350*Параметры!AC107)</f>
        <v>0</v>
      </c>
      <c r="AD1344" s="210">
        <f ca="1">MAX(AD1351,AD1350*Параметры!AD107)</f>
        <v>0</v>
      </c>
      <c r="AE1344" s="210">
        <f ca="1">MAX(AE1351,AE1350*Параметры!AE107)</f>
        <v>0</v>
      </c>
      <c r="AF1344" s="210">
        <f ca="1">MAX(AF1351,AF1350*Параметры!AF107)</f>
        <v>0</v>
      </c>
      <c r="AG1344" s="210">
        <f ca="1">MAX(AG1351,AG1350*Параметры!AG107)</f>
        <v>0</v>
      </c>
      <c r="AH1344" s="210">
        <f ca="1">MAX(AH1351,AH1350*Параметры!AH107)</f>
        <v>0</v>
      </c>
      <c r="AI1344" s="210">
        <f ca="1">MAX(AI1351,AI1350*Параметры!AI107)</f>
        <v>0</v>
      </c>
      <c r="AJ1344" s="210">
        <f ca="1">MAX(AJ1351,AJ1350*Параметры!AJ107)</f>
        <v>0</v>
      </c>
      <c r="AK1344" s="210">
        <f ca="1">MAX(AK1351,AK1350*Параметры!AK107)</f>
        <v>0</v>
      </c>
      <c r="AL1344" s="210">
        <f ca="1">MAX(AL1351,AL1350*Параметры!AL107)</f>
        <v>0</v>
      </c>
      <c r="AM1344" s="210">
        <f ca="1">MAX(AM1351,AM1350*Параметры!AM107)</f>
        <v>0</v>
      </c>
      <c r="AN1344" s="210">
        <f ca="1">MAX(AN1351,AN1350*Параметры!AN107)</f>
        <v>0</v>
      </c>
      <c r="AO1344" s="210">
        <f ca="1">MAX(AO1351,AO1350*Параметры!AO107)</f>
        <v>0</v>
      </c>
      <c r="AP1344" s="210">
        <f ca="1">MAX(AP1351,AP1350*Параметры!AP107)</f>
        <v>0</v>
      </c>
      <c r="AQ1344" s="210">
        <f ca="1">MAX(AQ1351,AQ1350*Параметры!AQ107)</f>
        <v>0</v>
      </c>
      <c r="AR1344" s="210">
        <f ca="1">MAX(AR1351,AR1350*Параметры!AR107)</f>
        <v>0</v>
      </c>
      <c r="AS1344" s="210">
        <f ca="1">MAX(AS1351,AS1350*Параметры!AS107)</f>
        <v>0</v>
      </c>
      <c r="AT1344" s="210">
        <f ca="1">MAX(AT1351,AT1350*Параметры!AT107)</f>
        <v>0</v>
      </c>
      <c r="AU1344" s="210">
        <f ca="1">MAX(AU1351,AU1350*Параметры!AU107)</f>
        <v>0</v>
      </c>
      <c r="AV1344" s="210">
        <f ca="1">MAX(AV1351,AV1350*Параметры!AV107)</f>
        <v>0</v>
      </c>
      <c r="AW1344" s="210">
        <f ca="1">MAX(AW1351,AW1350*Параметры!AW107)</f>
        <v>0</v>
      </c>
      <c r="AX1344" s="210">
        <f ca="1">MAX(AX1351,AX1350*Параметры!AX107)</f>
        <v>0</v>
      </c>
      <c r="AY1344" s="210">
        <f ca="1">MAX(AY1351,AY1350*Параметры!AY107)</f>
        <v>0</v>
      </c>
      <c r="AZ1344" s="210">
        <f ca="1">MAX(AZ1351,AZ1350*Параметры!AZ107)</f>
        <v>0</v>
      </c>
      <c r="BA1344" s="210">
        <f ca="1">MAX(BA1351,BA1350*Параметры!BA107)</f>
        <v>0</v>
      </c>
      <c r="BB1344" s="210">
        <f ca="1">MAX(BB1351,BB1350*Параметры!BB107)</f>
        <v>0</v>
      </c>
      <c r="BD1344" s="211">
        <f ca="1">SUM(G1344:BC1344)</f>
        <v>0</v>
      </c>
    </row>
    <row r="1345" spans="1:56" outlineLevel="1" x14ac:dyDescent="0.3">
      <c r="A1345" s="184" t="str">
        <f ca="1">Language!A$1203</f>
        <v>задолженность по налогу</v>
      </c>
      <c r="B1345" s="200"/>
      <c r="C1345" s="163" t="str">
        <f t="shared" ca="1" si="4597"/>
        <v>руб.</v>
      </c>
      <c r="D1345" s="174"/>
      <c r="F1345" s="170" t="s">
        <v>2350</v>
      </c>
      <c r="G1345" s="289">
        <f ca="1">IF(AND(Параметры!$B$108=0,G$2&gt;1),F1345,G1344*Параметры!$B$108/Параметры!G$30)</f>
        <v>0</v>
      </c>
      <c r="H1345" s="289">
        <f ca="1">IF(AND(Параметры!$B$108=0,H$2&gt;1),G1345,H1344*Параметры!$B$108/Параметры!H$30)</f>
        <v>0</v>
      </c>
      <c r="I1345" s="289">
        <f ca="1">IF(AND(Параметры!$B$108=0,I$2&gt;1),H1345,I1344*Параметры!$B$108/Параметры!I$30)</f>
        <v>0</v>
      </c>
      <c r="J1345" s="289">
        <f ca="1">IF(AND(Параметры!$B$108=0,J$2&gt;1),I1345,J1344*Параметры!$B$108/Параметры!J$30)</f>
        <v>0</v>
      </c>
      <c r="K1345" s="289">
        <f ca="1">IF(AND(Параметры!$B$108=0,K$2&gt;1),J1345,K1344*Параметры!$B$108/Параметры!K$30)</f>
        <v>0</v>
      </c>
      <c r="L1345" s="289">
        <f ca="1">IF(AND(Параметры!$B$108=0,L$2&gt;1),K1345,L1344*Параметры!$B$108/Параметры!L$30)</f>
        <v>0</v>
      </c>
      <c r="M1345" s="289">
        <f ca="1">IF(AND(Параметры!$B$108=0,M$2&gt;1),L1345,M1344*Параметры!$B$108/Параметры!M$30)</f>
        <v>0</v>
      </c>
      <c r="N1345" s="289">
        <f ca="1">IF(AND(Параметры!$B$108=0,N$2&gt;1),M1345,N1344*Параметры!$B$108/Параметры!N$30)</f>
        <v>0</v>
      </c>
      <c r="O1345" s="289">
        <f ca="1">IF(AND(Параметры!$B$108=0,O$2&gt;1),N1345,O1344*Параметры!$B$108/Параметры!O$30)</f>
        <v>0</v>
      </c>
      <c r="P1345" s="289">
        <f ca="1">IF(AND(Параметры!$B$108=0,P$2&gt;1),O1345,P1344*Параметры!$B$108/Параметры!P$30)</f>
        <v>0</v>
      </c>
      <c r="Q1345" s="289">
        <f ca="1">IF(AND(Параметры!$B$108=0,Q$2&gt;1),P1345,Q1344*Параметры!$B$108/Параметры!Q$30)</f>
        <v>0</v>
      </c>
      <c r="R1345" s="289">
        <f ca="1">IF(AND(Параметры!$B$108=0,R$2&gt;1),Q1345,R1344*Параметры!$B$108/Параметры!R$30)</f>
        <v>0</v>
      </c>
      <c r="S1345" s="289">
        <f ca="1">IF(AND(Параметры!$B$108=0,S$2&gt;1),R1345,S1344*Параметры!$B$108/Параметры!S$30)</f>
        <v>0</v>
      </c>
      <c r="T1345" s="289">
        <f ca="1">IF(AND(Параметры!$B$108=0,T$2&gt;1),S1345,T1344*Параметры!$B$108/Параметры!T$30)</f>
        <v>0</v>
      </c>
      <c r="U1345" s="289">
        <f ca="1">IF(AND(Параметры!$B$108=0,U$2&gt;1),T1345,U1344*Параметры!$B$108/Параметры!U$30)</f>
        <v>0</v>
      </c>
      <c r="V1345" s="289">
        <f ca="1">IF(AND(Параметры!$B$108=0,V$2&gt;1),U1345,V1344*Параметры!$B$108/Параметры!V$30)</f>
        <v>0</v>
      </c>
      <c r="W1345" s="289">
        <f ca="1">IF(AND(Параметры!$B$108=0,W$2&gt;1),V1345,W1344*Параметры!$B$108/Параметры!W$30)</f>
        <v>0</v>
      </c>
      <c r="X1345" s="289">
        <f ca="1">IF(AND(Параметры!$B$108=0,X$2&gt;1),W1345,X1344*Параметры!$B$108/Параметры!X$30)</f>
        <v>0</v>
      </c>
      <c r="Y1345" s="289">
        <f ca="1">IF(AND(Параметры!$B$108=0,Y$2&gt;1),X1345,Y1344*Параметры!$B$108/Параметры!Y$30)</f>
        <v>0</v>
      </c>
      <c r="Z1345" s="289">
        <f ca="1">IF(AND(Параметры!$B$108=0,Z$2&gt;1),Y1345,Z1344*Параметры!$B$108/Параметры!Z$30)</f>
        <v>0</v>
      </c>
      <c r="AA1345" s="289">
        <f ca="1">IF(AND(Параметры!$B$108=0,AA$2&gt;1),Z1345,AA1344*Параметры!$B$108/Параметры!AA$30)</f>
        <v>0</v>
      </c>
      <c r="AB1345" s="289">
        <f ca="1">IF(AND(Параметры!$B$108=0,AB$2&gt;1),AA1345,AB1344*Параметры!$B$108/Параметры!AB$30)</f>
        <v>0</v>
      </c>
      <c r="AC1345" s="289">
        <f ca="1">IF(AND(Параметры!$B$108=0,AC$2&gt;1),AB1345,AC1344*Параметры!$B$108/Параметры!AC$30)</f>
        <v>0</v>
      </c>
      <c r="AD1345" s="289">
        <f ca="1">IF(AND(Параметры!$B$108=0,AD$2&gt;1),AC1345,AD1344*Параметры!$B$108/Параметры!AD$30)</f>
        <v>0</v>
      </c>
      <c r="AE1345" s="289">
        <f ca="1">IF(AND(Параметры!$B$108=0,AE$2&gt;1),AD1345,AE1344*Параметры!$B$108/Параметры!AE$30)</f>
        <v>0</v>
      </c>
      <c r="AF1345" s="289">
        <f ca="1">IF(AND(Параметры!$B$108=0,AF$2&gt;1),AE1345,AF1344*Параметры!$B$108/Параметры!AF$30)</f>
        <v>0</v>
      </c>
      <c r="AG1345" s="289">
        <f ca="1">IF(AND(Параметры!$B$108=0,AG$2&gt;1),AF1345,AG1344*Параметры!$B$108/Параметры!AG$30)</f>
        <v>0</v>
      </c>
      <c r="AH1345" s="289">
        <f ca="1">IF(AND(Параметры!$B$108=0,AH$2&gt;1),AG1345,AH1344*Параметры!$B$108/Параметры!AH$30)</f>
        <v>0</v>
      </c>
      <c r="AI1345" s="289">
        <f ca="1">IF(AND(Параметры!$B$108=0,AI$2&gt;1),AH1345,AI1344*Параметры!$B$108/Параметры!AI$30)</f>
        <v>0</v>
      </c>
      <c r="AJ1345" s="289">
        <f ca="1">IF(AND(Параметры!$B$108=0,AJ$2&gt;1),AI1345,AJ1344*Параметры!$B$108/Параметры!AJ$30)</f>
        <v>0</v>
      </c>
      <c r="AK1345" s="289">
        <f ca="1">IF(AND(Параметры!$B$108=0,AK$2&gt;1),AJ1345,AK1344*Параметры!$B$108/Параметры!AK$30)</f>
        <v>0</v>
      </c>
      <c r="AL1345" s="289">
        <f ca="1">IF(AND(Параметры!$B$108=0,AL$2&gt;1),AK1345,AL1344*Параметры!$B$108/Параметры!AL$30)</f>
        <v>0</v>
      </c>
      <c r="AM1345" s="289">
        <f ca="1">IF(AND(Параметры!$B$108=0,AM$2&gt;1),AL1345,AM1344*Параметры!$B$108/Параметры!AM$30)</f>
        <v>0</v>
      </c>
      <c r="AN1345" s="289">
        <f ca="1">IF(AND(Параметры!$B$108=0,AN$2&gt;1),AM1345,AN1344*Параметры!$B$108/Параметры!AN$30)</f>
        <v>0</v>
      </c>
      <c r="AO1345" s="289">
        <f ca="1">IF(AND(Параметры!$B$108=0,AO$2&gt;1),AN1345,AO1344*Параметры!$B$108/Параметры!AO$30)</f>
        <v>0</v>
      </c>
      <c r="AP1345" s="289">
        <f ca="1">IF(AND(Параметры!$B$108=0,AP$2&gt;1),AO1345,AP1344*Параметры!$B$108/Параметры!AP$30)</f>
        <v>0</v>
      </c>
      <c r="AQ1345" s="289">
        <f ca="1">IF(AND(Параметры!$B$108=0,AQ$2&gt;1),AP1345,AQ1344*Параметры!$B$108/Параметры!AQ$30)</f>
        <v>0</v>
      </c>
      <c r="AR1345" s="289">
        <f ca="1">IF(AND(Параметры!$B$108=0,AR$2&gt;1),AQ1345,AR1344*Параметры!$B$108/Параметры!AR$30)</f>
        <v>0</v>
      </c>
      <c r="AS1345" s="289">
        <f ca="1">IF(AND(Параметры!$B$108=0,AS$2&gt;1),AR1345,AS1344*Параметры!$B$108/Параметры!AS$30)</f>
        <v>0</v>
      </c>
      <c r="AT1345" s="289">
        <f ca="1">IF(AND(Параметры!$B$108=0,AT$2&gt;1),AS1345,AT1344*Параметры!$B$108/Параметры!AT$30)</f>
        <v>0</v>
      </c>
      <c r="AU1345" s="289">
        <f ca="1">IF(AND(Параметры!$B$108=0,AU$2&gt;1),AT1345,AU1344*Параметры!$B$108/Параметры!AU$30)</f>
        <v>0</v>
      </c>
      <c r="AV1345" s="289">
        <f ca="1">IF(AND(Параметры!$B$108=0,AV$2&gt;1),AU1345,AV1344*Параметры!$B$108/Параметры!AV$30)</f>
        <v>0</v>
      </c>
      <c r="AW1345" s="289">
        <f ca="1">IF(AND(Параметры!$B$108=0,AW$2&gt;1),AV1345,AW1344*Параметры!$B$108/Параметры!AW$30)</f>
        <v>0</v>
      </c>
      <c r="AX1345" s="289">
        <f ca="1">IF(AND(Параметры!$B$108=0,AX$2&gt;1),AW1345,AX1344*Параметры!$B$108/Параметры!AX$30)</f>
        <v>0</v>
      </c>
      <c r="AY1345" s="289">
        <f ca="1">IF(AND(Параметры!$B$108=0,AY$2&gt;1),AX1345,AY1344*Параметры!$B$108/Параметры!AY$30)</f>
        <v>0</v>
      </c>
      <c r="AZ1345" s="289">
        <f ca="1">IF(AND(Параметры!$B$108=0,AZ$2&gt;1),AY1345,AZ1344*Параметры!$B$108/Параметры!AZ$30)</f>
        <v>0</v>
      </c>
      <c r="BA1345" s="289">
        <f ca="1">IF(AND(Параметры!$B$108=0,BA$2&gt;1),AZ1345,BA1344*Параметры!$B$108/Параметры!BA$30)</f>
        <v>0</v>
      </c>
      <c r="BB1345" s="289">
        <f ca="1">IF(AND(Параметры!$B$108=0,BB$2&gt;1),BA1345,BB1344*Параметры!$B$108/Параметры!BB$30)</f>
        <v>0</v>
      </c>
      <c r="BC1345" s="188"/>
      <c r="BD1345" s="178">
        <f ca="1">SUM(G1345:BC1345)</f>
        <v>0</v>
      </c>
    </row>
    <row r="1346" spans="1:56" outlineLevel="1" x14ac:dyDescent="0.3">
      <c r="A1346" s="184" t="str">
        <f ca="1">Language!A$1204</f>
        <v>уплаченный налог с дохода, уменьшенного на расходы</v>
      </c>
      <c r="B1346" s="195"/>
      <c r="C1346" s="163" t="str">
        <f t="shared" ca="1" si="4597"/>
        <v>руб.</v>
      </c>
      <c r="F1346" s="170" t="s">
        <v>740</v>
      </c>
      <c r="G1346" s="185">
        <f ca="1">G1344-IF(G$2=1,G1345,G1345-F1345)</f>
        <v>0</v>
      </c>
      <c r="H1346" s="185">
        <f t="shared" ref="H1346" ca="1" si="4702">H1344-IF(H$2=1,H1345,H1345-G1345)</f>
        <v>0</v>
      </c>
      <c r="I1346" s="185">
        <f t="shared" ref="I1346" ca="1" si="4703">I1344-IF(I$2=1,I1345,I1345-H1345)</f>
        <v>0</v>
      </c>
      <c r="J1346" s="185">
        <f t="shared" ref="J1346" ca="1" si="4704">J1344-IF(J$2=1,J1345,J1345-I1345)</f>
        <v>0</v>
      </c>
      <c r="K1346" s="185">
        <f t="shared" ref="K1346:BB1346" ca="1" si="4705">K1344-IF(K$2=1,K1345,K1345-J1345)</f>
        <v>0</v>
      </c>
      <c r="L1346" s="185">
        <f t="shared" ca="1" si="4705"/>
        <v>0</v>
      </c>
      <c r="M1346" s="185">
        <f t="shared" ca="1" si="4705"/>
        <v>0</v>
      </c>
      <c r="N1346" s="185">
        <f t="shared" ca="1" si="4705"/>
        <v>0</v>
      </c>
      <c r="O1346" s="185">
        <f t="shared" ca="1" si="4705"/>
        <v>0</v>
      </c>
      <c r="P1346" s="185">
        <f t="shared" ca="1" si="4705"/>
        <v>0</v>
      </c>
      <c r="Q1346" s="185">
        <f t="shared" ca="1" si="4705"/>
        <v>0</v>
      </c>
      <c r="R1346" s="185">
        <f t="shared" ca="1" si="4705"/>
        <v>0</v>
      </c>
      <c r="S1346" s="185">
        <f t="shared" ca="1" si="4705"/>
        <v>0</v>
      </c>
      <c r="T1346" s="185">
        <f t="shared" ca="1" si="4705"/>
        <v>0</v>
      </c>
      <c r="U1346" s="185">
        <f t="shared" ca="1" si="4705"/>
        <v>0</v>
      </c>
      <c r="V1346" s="185">
        <f t="shared" ca="1" si="4705"/>
        <v>0</v>
      </c>
      <c r="W1346" s="185">
        <f t="shared" ca="1" si="4705"/>
        <v>0</v>
      </c>
      <c r="X1346" s="185">
        <f t="shared" ca="1" si="4705"/>
        <v>0</v>
      </c>
      <c r="Y1346" s="185">
        <f t="shared" ca="1" si="4705"/>
        <v>0</v>
      </c>
      <c r="Z1346" s="185">
        <f t="shared" ca="1" si="4705"/>
        <v>0</v>
      </c>
      <c r="AA1346" s="185">
        <f t="shared" ca="1" si="4705"/>
        <v>0</v>
      </c>
      <c r="AB1346" s="185">
        <f t="shared" ca="1" si="4705"/>
        <v>0</v>
      </c>
      <c r="AC1346" s="185">
        <f t="shared" ca="1" si="4705"/>
        <v>0</v>
      </c>
      <c r="AD1346" s="185">
        <f t="shared" ca="1" si="4705"/>
        <v>0</v>
      </c>
      <c r="AE1346" s="185">
        <f t="shared" ca="1" si="4705"/>
        <v>0</v>
      </c>
      <c r="AF1346" s="185">
        <f t="shared" ca="1" si="4705"/>
        <v>0</v>
      </c>
      <c r="AG1346" s="185">
        <f t="shared" ca="1" si="4705"/>
        <v>0</v>
      </c>
      <c r="AH1346" s="185">
        <f t="shared" ca="1" si="4705"/>
        <v>0</v>
      </c>
      <c r="AI1346" s="185">
        <f t="shared" ca="1" si="4705"/>
        <v>0</v>
      </c>
      <c r="AJ1346" s="185">
        <f t="shared" ca="1" si="4705"/>
        <v>0</v>
      </c>
      <c r="AK1346" s="185">
        <f t="shared" ca="1" si="4705"/>
        <v>0</v>
      </c>
      <c r="AL1346" s="185">
        <f t="shared" ca="1" si="4705"/>
        <v>0</v>
      </c>
      <c r="AM1346" s="185">
        <f t="shared" ca="1" si="4705"/>
        <v>0</v>
      </c>
      <c r="AN1346" s="185">
        <f t="shared" ca="1" si="4705"/>
        <v>0</v>
      </c>
      <c r="AO1346" s="185">
        <f t="shared" ca="1" si="4705"/>
        <v>0</v>
      </c>
      <c r="AP1346" s="185">
        <f t="shared" ca="1" si="4705"/>
        <v>0</v>
      </c>
      <c r="AQ1346" s="185">
        <f t="shared" ca="1" si="4705"/>
        <v>0</v>
      </c>
      <c r="AR1346" s="185">
        <f t="shared" ca="1" si="4705"/>
        <v>0</v>
      </c>
      <c r="AS1346" s="185">
        <f t="shared" ca="1" si="4705"/>
        <v>0</v>
      </c>
      <c r="AT1346" s="185">
        <f t="shared" ca="1" si="4705"/>
        <v>0</v>
      </c>
      <c r="AU1346" s="185">
        <f t="shared" ca="1" si="4705"/>
        <v>0</v>
      </c>
      <c r="AV1346" s="185">
        <f t="shared" ca="1" si="4705"/>
        <v>0</v>
      </c>
      <c r="AW1346" s="185">
        <f t="shared" ca="1" si="4705"/>
        <v>0</v>
      </c>
      <c r="AX1346" s="185">
        <f t="shared" ca="1" si="4705"/>
        <v>0</v>
      </c>
      <c r="AY1346" s="185">
        <f t="shared" ca="1" si="4705"/>
        <v>0</v>
      </c>
      <c r="AZ1346" s="185">
        <f t="shared" ca="1" si="4705"/>
        <v>0</v>
      </c>
      <c r="BA1346" s="185">
        <f t="shared" ca="1" si="4705"/>
        <v>0</v>
      </c>
      <c r="BB1346" s="185">
        <f t="shared" ca="1" si="4705"/>
        <v>0</v>
      </c>
      <c r="BD1346" s="178">
        <f ca="1">SUM(G1346:BC1346)</f>
        <v>0</v>
      </c>
    </row>
    <row r="1347" spans="1:56" outlineLevel="1" x14ac:dyDescent="0.3">
      <c r="A1347" s="169" t="str">
        <f ca="1">Language!A$1205</f>
        <v>Облагаемая база до списания убытков</v>
      </c>
      <c r="C1347" s="194" t="str">
        <f t="shared" ca="1" si="4597"/>
        <v>руб.</v>
      </c>
      <c r="F1347" s="170" t="s">
        <v>740</v>
      </c>
      <c r="G1347" s="177">
        <f ca="1">(OFFSET(Результаты!$F$126,0,G2)+OFFSET(Результаты!$F$132,0,G2)+OFFSET(Результаты!$F$142,0,G2)+OFFSET(Результаты!$F$127,0,G2)+OFFSET(Результаты!$F$128,0,G2)+OFFSET(Результаты!$F$130,0,G2)+OFFSET(Результаты!$F$131,0,G2)+OFFSET(Результаты!$F$133,0,G2))*Параметры!G$64-G1321</f>
        <v>0</v>
      </c>
      <c r="H1347" s="177">
        <f ca="1">(OFFSET(Результаты!$F$126,0,H2)+OFFSET(Результаты!$F$132,0,H2)+OFFSET(Результаты!$F$142,0,H2)+OFFSET(Результаты!$F$127,0,H2)+OFFSET(Результаты!$F$128,0,H2)+OFFSET(Результаты!$F$130,0,H2)+OFFSET(Результаты!$F$131,0,H2)+OFFSET(Результаты!$F$133,0,H2))*Параметры!H$64-H1321</f>
        <v>0</v>
      </c>
      <c r="I1347" s="177">
        <f ca="1">(OFFSET(Результаты!$F$126,0,I2)+OFFSET(Результаты!$F$132,0,I2)+OFFSET(Результаты!$F$142,0,I2)+OFFSET(Результаты!$F$127,0,I2)+OFFSET(Результаты!$F$128,0,I2)+OFFSET(Результаты!$F$130,0,I2)+OFFSET(Результаты!$F$131,0,I2)+OFFSET(Результаты!$F$133,0,I2))*Параметры!I$64-I1321</f>
        <v>0</v>
      </c>
      <c r="J1347" s="177">
        <f ca="1">(OFFSET(Результаты!$F$126,0,J2)+OFFSET(Результаты!$F$132,0,J2)+OFFSET(Результаты!$F$142,0,J2)+OFFSET(Результаты!$F$127,0,J2)+OFFSET(Результаты!$F$128,0,J2)+OFFSET(Результаты!$F$130,0,J2)+OFFSET(Результаты!$F$131,0,J2)+OFFSET(Результаты!$F$133,0,J2))*Параметры!J$64-J1321</f>
        <v>0</v>
      </c>
      <c r="K1347" s="177">
        <f ca="1">(OFFSET(Результаты!$F$126,0,K2)+OFFSET(Результаты!$F$132,0,K2)+OFFSET(Результаты!$F$142,0,K2)+OFFSET(Результаты!$F$127,0,K2)+OFFSET(Результаты!$F$128,0,K2)+OFFSET(Результаты!$F$130,0,K2)+OFFSET(Результаты!$F$131,0,K2)+OFFSET(Результаты!$F$133,0,K2))*Параметры!K$64-K1321</f>
        <v>0</v>
      </c>
      <c r="L1347" s="177">
        <f ca="1">(OFFSET(Результаты!$F$126,0,L2)+OFFSET(Результаты!$F$132,0,L2)+OFFSET(Результаты!$F$142,0,L2)+OFFSET(Результаты!$F$127,0,L2)+OFFSET(Результаты!$F$128,0,L2)+OFFSET(Результаты!$F$130,0,L2)+OFFSET(Результаты!$F$131,0,L2)+OFFSET(Результаты!$F$133,0,L2))*Параметры!L$64-L1321</f>
        <v>-1077925.0604182645</v>
      </c>
      <c r="M1347" s="177">
        <f ca="1">(OFFSET(Результаты!$F$126,0,M2)+OFFSET(Результаты!$F$132,0,M2)+OFFSET(Результаты!$F$142,0,M2)+OFFSET(Результаты!$F$127,0,M2)+OFFSET(Результаты!$F$128,0,M2)+OFFSET(Результаты!$F$130,0,M2)+OFFSET(Результаты!$F$131,0,M2)+OFFSET(Результаты!$F$133,0,M2))*Параметры!M$64-M1321</f>
        <v>1801896.2948936012</v>
      </c>
      <c r="N1347" s="177">
        <f ca="1">(OFFSET(Результаты!$F$126,0,N2)+OFFSET(Результаты!$F$132,0,N2)+OFFSET(Результаты!$F$142,0,N2)+OFFSET(Результаты!$F$127,0,N2)+OFFSET(Результаты!$F$128,0,N2)+OFFSET(Результаты!$F$130,0,N2)+OFFSET(Результаты!$F$131,0,N2)+OFFSET(Результаты!$F$133,0,N2))*Параметры!N$64-N1321</f>
        <v>4065924.6701914589</v>
      </c>
      <c r="O1347" s="177">
        <f ca="1">(OFFSET(Результаты!$F$126,0,O2)+OFFSET(Результаты!$F$132,0,O2)+OFFSET(Результаты!$F$142,0,O2)+OFFSET(Результаты!$F$127,0,O2)+OFFSET(Результаты!$F$128,0,O2)+OFFSET(Результаты!$F$130,0,O2)+OFFSET(Результаты!$F$131,0,O2)+OFFSET(Результаты!$F$133,0,O2))*Параметры!O$64-O1321</f>
        <v>1882199.3589299535</v>
      </c>
      <c r="P1347" s="177">
        <f ca="1">(OFFSET(Результаты!$F$126,0,P2)+OFFSET(Результаты!$F$132,0,P2)+OFFSET(Результаты!$F$142,0,P2)+OFFSET(Результаты!$F$127,0,P2)+OFFSET(Результаты!$F$128,0,P2)+OFFSET(Результаты!$F$130,0,P2)+OFFSET(Результаты!$F$131,0,P2)+OFFSET(Результаты!$F$133,0,P2))*Параметры!P$64-P1321</f>
        <v>4138004.5929148714</v>
      </c>
      <c r="Q1347" s="177">
        <f ca="1">(OFFSET(Результаты!$F$126,0,Q2)+OFFSET(Результаты!$F$132,0,Q2)+OFFSET(Результаты!$F$142,0,Q2)+OFFSET(Результаты!$F$127,0,Q2)+OFFSET(Результаты!$F$128,0,Q2)+OFFSET(Результаты!$F$130,0,Q2)+OFFSET(Результаты!$F$131,0,Q2)+OFFSET(Результаты!$F$133,0,Q2))*Параметры!Q$64-Q1321</f>
        <v>4966450.7670142483</v>
      </c>
      <c r="R1347" s="177">
        <f ca="1">(OFFSET(Результаты!$F$126,0,R2)+OFFSET(Результаты!$F$132,0,R2)+OFFSET(Результаты!$F$142,0,R2)+OFFSET(Результаты!$F$127,0,R2)+OFFSET(Результаты!$F$128,0,R2)+OFFSET(Результаты!$F$130,0,R2)+OFFSET(Результаты!$F$131,0,R2)+OFFSET(Результаты!$F$133,0,R2))*Параметры!R$64-R1321</f>
        <v>4492428.1489315107</v>
      </c>
      <c r="S1347" s="177">
        <f ca="1">(OFFSET(Результаты!$F$126,0,S2)+OFFSET(Результаты!$F$132,0,S2)+OFFSET(Результаты!$F$142,0,S2)+OFFSET(Результаты!$F$127,0,S2)+OFFSET(Результаты!$F$128,0,S2)+OFFSET(Результаты!$F$130,0,S2)+OFFSET(Результаты!$F$131,0,S2)+OFFSET(Результаты!$F$133,0,S2))*Параметры!S$64-S1321</f>
        <v>7855054.4647898115</v>
      </c>
      <c r="T1347" s="177">
        <f ca="1">(OFFSET(Результаты!$F$126,0,T2)+OFFSET(Результаты!$F$132,0,T2)+OFFSET(Результаты!$F$142,0,T2)+OFFSET(Результаты!$F$127,0,T2)+OFFSET(Результаты!$F$128,0,T2)+OFFSET(Результаты!$F$130,0,T2)+OFFSET(Результаты!$F$131,0,T2)+OFFSET(Результаты!$F$133,0,T2))*Параметры!T$64-T1321</f>
        <v>8121816.4044720232</v>
      </c>
      <c r="U1347" s="177">
        <f ca="1">(OFFSET(Результаты!$F$126,0,U2)+OFFSET(Результаты!$F$132,0,U2)+OFFSET(Результаты!$F$142,0,U2)+OFFSET(Результаты!$F$127,0,U2)+OFFSET(Результаты!$F$128,0,U2)+OFFSET(Результаты!$F$130,0,U2)+OFFSET(Результаты!$F$131,0,U2)+OFFSET(Результаты!$F$133,0,U2))*Параметры!U$64-U1321</f>
        <v>6444364.2797673149</v>
      </c>
      <c r="V1347" s="177">
        <f ca="1">(OFFSET(Результаты!$F$126,0,V2)+OFFSET(Результаты!$F$132,0,V2)+OFFSET(Результаты!$F$142,0,V2)+OFFSET(Результаты!$F$127,0,V2)+OFFSET(Результаты!$F$128,0,V2)+OFFSET(Результаты!$F$130,0,V2)+OFFSET(Результаты!$F$131,0,V2)+OFFSET(Результаты!$F$133,0,V2))*Параметры!V$64-V1321</f>
        <v>6189559.0063328324</v>
      </c>
      <c r="W1347" s="177">
        <f ca="1">(OFFSET(Результаты!$F$126,0,W2)+OFFSET(Результаты!$F$132,0,W2)+OFFSET(Результаты!$F$142,0,W2)+OFFSET(Результаты!$F$127,0,W2)+OFFSET(Результаты!$F$128,0,W2)+OFFSET(Результаты!$F$130,0,W2)+OFFSET(Результаты!$F$131,0,W2)+OFFSET(Результаты!$F$133,0,W2))*Параметры!W$64-W1321</f>
        <v>3616281.1522582839</v>
      </c>
      <c r="X1347" s="177">
        <f ca="1">(OFFSET(Результаты!$F$126,0,X2)+OFFSET(Результаты!$F$132,0,X2)+OFFSET(Результаты!$F$142,0,X2)+OFFSET(Результаты!$F$127,0,X2)+OFFSET(Результаты!$F$128,0,X2)+OFFSET(Результаты!$F$130,0,X2)+OFFSET(Результаты!$F$131,0,X2)+OFFSET(Результаты!$F$133,0,X2))*Параметры!X$64-X1321</f>
        <v>6848668.8523463346</v>
      </c>
      <c r="Y1347" s="177">
        <f ca="1">(OFFSET(Результаты!$F$126,0,Y2)+OFFSET(Результаты!$F$132,0,Y2)+OFFSET(Результаты!$F$142,0,Y2)+OFFSET(Результаты!$F$127,0,Y2)+OFFSET(Результаты!$F$128,0,Y2)+OFFSET(Результаты!$F$130,0,Y2)+OFFSET(Результаты!$F$131,0,Y2)+OFFSET(Результаты!$F$133,0,Y2))*Параметры!Y$64-Y1321</f>
        <v>11806418.009804195</v>
      </c>
      <c r="Z1347" s="177">
        <f ca="1">(OFFSET(Результаты!$F$126,0,Z2)+OFFSET(Результаты!$F$132,0,Z2)+OFFSET(Результаты!$F$142,0,Z2)+OFFSET(Результаты!$F$127,0,Z2)+OFFSET(Результаты!$F$128,0,Z2)+OFFSET(Результаты!$F$130,0,Z2)+OFFSET(Результаты!$F$131,0,Z2)+OFFSET(Результаты!$F$133,0,Z2))*Параметры!Z$64-Z1321</f>
        <v>14864728.559367195</v>
      </c>
      <c r="AA1347" s="177">
        <f ca="1">(OFFSET(Результаты!$F$126,0,AA2)+OFFSET(Результаты!$F$132,0,AA2)+OFFSET(Результаты!$F$142,0,AA2)+OFFSET(Результаты!$F$127,0,AA2)+OFFSET(Результаты!$F$128,0,AA2)+OFFSET(Результаты!$F$130,0,AA2)+OFFSET(Результаты!$F$131,0,AA2)+OFFSET(Результаты!$F$133,0,AA2))*Параметры!AA$64-AA1321</f>
        <v>11612277.752118859</v>
      </c>
      <c r="AB1347" s="177">
        <f ca="1">(OFFSET(Результаты!$F$126,0,AB2)+OFFSET(Результаты!$F$132,0,AB2)+OFFSET(Результаты!$F$142,0,AB2)+OFFSET(Результаты!$F$127,0,AB2)+OFFSET(Результаты!$F$128,0,AB2)+OFFSET(Результаты!$F$130,0,AB2)+OFFSET(Результаты!$F$131,0,AB2)+OFFSET(Результаты!$F$133,0,AB2))*Параметры!AB$64-AB1321</f>
        <v>6862117.3427470978</v>
      </c>
      <c r="AC1347" s="177">
        <f ca="1">(OFFSET(Результаты!$F$126,0,AC2)+OFFSET(Результаты!$F$132,0,AC2)+OFFSET(Результаты!$F$142,0,AC2)+OFFSET(Результаты!$F$127,0,AC2)+OFFSET(Результаты!$F$128,0,AC2)+OFFSET(Результаты!$F$130,0,AC2)+OFFSET(Результаты!$F$131,0,AC2)+OFFSET(Результаты!$F$133,0,AC2))*Параметры!AC$64-AC1321</f>
        <v>4922017.7646494787</v>
      </c>
      <c r="AD1347" s="177">
        <f ca="1">(OFFSET(Результаты!$F$126,0,AD2)+OFFSET(Результаты!$F$132,0,AD2)+OFFSET(Результаты!$F$142,0,AD2)+OFFSET(Результаты!$F$127,0,AD2)+OFFSET(Результаты!$F$128,0,AD2)+OFFSET(Результаты!$F$130,0,AD2)+OFFSET(Результаты!$F$131,0,AD2)+OFFSET(Результаты!$F$133,0,AD2))*Параметры!AD$64-AD1321</f>
        <v>5532931.6655357815</v>
      </c>
      <c r="AE1347" s="177">
        <f ca="1">(OFFSET(Результаты!$F$126,0,AE2)+OFFSET(Результаты!$F$132,0,AE2)+OFFSET(Результаты!$F$142,0,AE2)+OFFSET(Результаты!$F$127,0,AE2)+OFFSET(Результаты!$F$128,0,AE2)+OFFSET(Результаты!$F$130,0,AE2)+OFFSET(Результаты!$F$131,0,AE2)+OFFSET(Результаты!$F$133,0,AE2))*Параметры!AE$64-AE1321</f>
        <v>9807737.1163134985</v>
      </c>
      <c r="AF1347" s="177">
        <f ca="1">(OFFSET(Результаты!$F$126,0,AF2)+OFFSET(Результаты!$F$132,0,AF2)+OFFSET(Результаты!$F$142,0,AF2)+OFFSET(Результаты!$F$127,0,AF2)+OFFSET(Результаты!$F$128,0,AF2)+OFFSET(Результаты!$F$130,0,AF2)+OFFSET(Результаты!$F$131,0,AF2)+OFFSET(Результаты!$F$133,0,AF2))*Параметры!AF$64-AF1321</f>
        <v>10326060.28792689</v>
      </c>
      <c r="AG1347" s="177">
        <f ca="1">(OFFSET(Результаты!$F$126,0,AG2)+OFFSET(Результаты!$F$132,0,AG2)+OFFSET(Результаты!$F$142,0,AG2)+OFFSET(Результаты!$F$127,0,AG2)+OFFSET(Результаты!$F$128,0,AG2)+OFFSET(Результаты!$F$130,0,AG2)+OFFSET(Результаты!$F$131,0,AG2)+OFFSET(Результаты!$F$133,0,AG2))*Параметры!AG$64-AG1321</f>
        <v>8660338.7971394733</v>
      </c>
      <c r="AH1347" s="177">
        <f ca="1">(OFFSET(Результаты!$F$126,0,AH2)+OFFSET(Результаты!$F$132,0,AH2)+OFFSET(Результаты!$F$142,0,AH2)+OFFSET(Результаты!$F$127,0,AH2)+OFFSET(Результаты!$F$128,0,AH2)+OFFSET(Результаты!$F$130,0,AH2)+OFFSET(Результаты!$F$131,0,AH2)+OFFSET(Результаты!$F$133,0,AH2))*Параметры!AH$64-AH1321</f>
        <v>8466868.3567457963</v>
      </c>
      <c r="AI1347" s="177">
        <f ca="1">(OFFSET(Результаты!$F$126,0,AI2)+OFFSET(Результаты!$F$132,0,AI2)+OFFSET(Результаты!$F$142,0,AI2)+OFFSET(Результаты!$F$127,0,AI2)+OFFSET(Результаты!$F$128,0,AI2)+OFFSET(Результаты!$F$130,0,AI2)+OFFSET(Результаты!$F$131,0,AI2)+OFFSET(Результаты!$F$133,0,AI2))*Параметры!AI$64-AI1321</f>
        <v>5751176.9102580883</v>
      </c>
      <c r="AJ1347" s="177">
        <f ca="1">(OFFSET(Результаты!$F$126,0,AJ2)+OFFSET(Результаты!$F$132,0,AJ2)+OFFSET(Результаты!$F$142,0,AJ2)+OFFSET(Результаты!$F$127,0,AJ2)+OFFSET(Результаты!$F$128,0,AJ2)+OFFSET(Результаты!$F$130,0,AJ2)+OFFSET(Результаты!$F$131,0,AJ2)+OFFSET(Результаты!$F$133,0,AJ2))*Параметры!AJ$64-AJ1321</f>
        <v>9168874.8807680346</v>
      </c>
      <c r="AK1347" s="177">
        <f ca="1">(OFFSET(Результаты!$F$126,0,AK2)+OFFSET(Результаты!$F$132,0,AK2)+OFFSET(Результаты!$F$142,0,AK2)+OFFSET(Результаты!$F$127,0,AK2)+OFFSET(Результаты!$F$128,0,AK2)+OFFSET(Результаты!$F$130,0,AK2)+OFFSET(Результаты!$F$131,0,AK2)+OFFSET(Результаты!$F$133,0,AK2))*Параметры!AK$64-AK1321</f>
        <v>14341231.03548516</v>
      </c>
      <c r="AL1347" s="177">
        <f ca="1">(OFFSET(Результаты!$F$126,0,AL2)+OFFSET(Результаты!$F$132,0,AL2)+OFFSET(Результаты!$F$142,0,AL2)+OFFSET(Результаты!$F$127,0,AL2)+OFFSET(Результаты!$F$128,0,AL2)+OFFSET(Результаты!$F$130,0,AL2)+OFFSET(Результаты!$F$131,0,AL2)+OFFSET(Результаты!$F$133,0,AL2))*Параметры!AL$64-AL1321</f>
        <v>17614570.653080676</v>
      </c>
      <c r="AM1347" s="177">
        <f ca="1">(OFFSET(Результаты!$F$126,0,AM2)+OFFSET(Результаты!$F$132,0,AM2)+OFFSET(Результаты!$F$142,0,AM2)+OFFSET(Результаты!$F$127,0,AM2)+OFFSET(Результаты!$F$128,0,AM2)+OFFSET(Результаты!$F$130,0,AM2)+OFFSET(Результаты!$F$131,0,AM2)+OFFSET(Результаты!$F$133,0,AM2))*Параметры!AM$64-AM1321</f>
        <v>14242744.501933737</v>
      </c>
      <c r="AN1347" s="177">
        <f ca="1">(OFFSET(Результаты!$F$126,0,AN2)+OFFSET(Результаты!$F$132,0,AN2)+OFFSET(Результаты!$F$142,0,AN2)+OFFSET(Результаты!$F$127,0,AN2)+OFFSET(Результаты!$F$128,0,AN2)+OFFSET(Результаты!$F$130,0,AN2)+OFFSET(Результаты!$F$131,0,AN2)+OFFSET(Результаты!$F$133,0,AN2))*Параметры!AN$64-AN1321</f>
        <v>9260960.399694521</v>
      </c>
      <c r="AO1347" s="177">
        <f ca="1">(OFFSET(Результаты!$F$126,0,AO2)+OFFSET(Результаты!$F$132,0,AO2)+OFFSET(Результаты!$F$142,0,AO2)+OFFSET(Результаты!$F$127,0,AO2)+OFFSET(Результаты!$F$128,0,AO2)+OFFSET(Результаты!$F$130,0,AO2)+OFFSET(Результаты!$F$131,0,AO2)+OFFSET(Результаты!$F$133,0,AO2))*Параметры!AO$64-AO1321</f>
        <v>7181475.0822596997</v>
      </c>
      <c r="AP1347" s="177">
        <f ca="1">(OFFSET(Результаты!$F$126,0,AP2)+OFFSET(Результаты!$F$132,0,AP2)+OFFSET(Результаты!$F$142,0,AP2)+OFFSET(Результаты!$F$127,0,AP2)+OFFSET(Результаты!$F$128,0,AP2)+OFFSET(Результаты!$F$130,0,AP2)+OFFSET(Результаты!$F$131,0,AP2)+OFFSET(Результаты!$F$133,0,AP2))*Параметры!AP$64-AP1321</f>
        <v>7754380.4622375499</v>
      </c>
      <c r="AQ1347" s="177">
        <f ca="1">(OFFSET(Результаты!$F$126,0,AQ2)+OFFSET(Результаты!$F$132,0,AQ2)+OFFSET(Результаты!$F$142,0,AQ2)+OFFSET(Результаты!$F$127,0,AQ2)+OFFSET(Результаты!$F$128,0,AQ2)+OFFSET(Результаты!$F$130,0,AQ2)+OFFSET(Результаты!$F$131,0,AQ2)+OFFSET(Результаты!$F$133,0,AQ2))*Параметры!AQ$64-AQ1321</f>
        <v>12249092.009619206</v>
      </c>
      <c r="AR1347" s="177">
        <f ca="1">(OFFSET(Результаты!$F$126,0,AR2)+OFFSET(Результаты!$F$132,0,AR2)+OFFSET(Результаты!$F$142,0,AR2)+OFFSET(Результаты!$F$127,0,AR2)+OFFSET(Результаты!$F$128,0,AR2)+OFFSET(Результаты!$F$130,0,AR2)+OFFSET(Результаты!$F$131,0,AR2)+OFFSET(Результаты!$F$133,0,AR2))*Параметры!AR$64-AR1321</f>
        <v>12799107.466107354</v>
      </c>
      <c r="AS1347" s="177">
        <f ca="1">(OFFSET(Результаты!$F$126,0,AS2)+OFFSET(Результаты!$F$132,0,AS2)+OFFSET(Результаты!$F$142,0,AS2)+OFFSET(Результаты!$F$127,0,AS2)+OFFSET(Результаты!$F$128,0,AS2)+OFFSET(Результаты!$F$130,0,AS2)+OFFSET(Результаты!$F$131,0,AS2)+OFFSET(Результаты!$F$133,0,AS2))*Параметры!AS$64-AS1321</f>
        <v>11061695.005247908</v>
      </c>
      <c r="AT1347" s="177">
        <f ca="1">(OFFSET(Результаты!$F$126,0,AT2)+OFFSET(Результаты!$F$132,0,AT2)+OFFSET(Результаты!$F$142,0,AT2)+OFFSET(Результаты!$F$127,0,AT2)+OFFSET(Результаты!$F$128,0,AT2)+OFFSET(Результаты!$F$130,0,AT2)+OFFSET(Результаты!$F$131,0,AT2)+OFFSET(Результаты!$F$133,0,AT2))*Параметры!AT$64-AT1321</f>
        <v>10720549.296649126</v>
      </c>
      <c r="AU1347" s="177">
        <f ca="1">(OFFSET(Результаты!$F$126,0,AU2)+OFFSET(Результаты!$F$132,0,AU2)+OFFSET(Результаты!$F$142,0,AU2)+OFFSET(Результаты!$F$127,0,AU2)+OFFSET(Результаты!$F$128,0,AU2)+OFFSET(Результаты!$F$130,0,AU2)+OFFSET(Результаты!$F$131,0,AU2)+OFFSET(Результаты!$F$133,0,AU2))*Параметры!AU$64-AU1321</f>
        <v>7615511.3840803476</v>
      </c>
      <c r="AV1347" s="177">
        <f ca="1">(OFFSET(Результаты!$F$126,0,AV2)+OFFSET(Результаты!$F$132,0,AV2)+OFFSET(Результаты!$F$142,0,AV2)+OFFSET(Результаты!$F$127,0,AV2)+OFFSET(Результаты!$F$128,0,AV2)+OFFSET(Результаты!$F$130,0,AV2)+OFFSET(Результаты!$F$131,0,AV2)+OFFSET(Результаты!$F$133,0,AV2))*Параметры!AV$64-AV1321</f>
        <v>10988702.036811128</v>
      </c>
      <c r="AW1347" s="177">
        <f ca="1">(OFFSET(Результаты!$F$126,0,AW2)+OFFSET(Результаты!$F$132,0,AW2)+OFFSET(Результаты!$F$142,0,AW2)+OFFSET(Результаты!$F$127,0,AW2)+OFFSET(Результаты!$F$128,0,AW2)+OFFSET(Результаты!$F$130,0,AW2)+OFFSET(Результаты!$F$131,0,AW2)+OFFSET(Результаты!$F$133,0,AW2))*Параметры!AW$64-AW1321</f>
        <v>16212869.699065955</v>
      </c>
      <c r="AX1347" s="177">
        <f ca="1">(OFFSET(Результаты!$F$126,0,AX2)+OFFSET(Результаты!$F$132,0,AX2)+OFFSET(Результаты!$F$142,0,AX2)+OFFSET(Результаты!$F$127,0,AX2)+OFFSET(Результаты!$F$128,0,AX2)+OFFSET(Результаты!$F$130,0,AX2)+OFFSET(Результаты!$F$131,0,AX2)+OFFSET(Результаты!$F$133,0,AX2))*Параметры!AX$64-AX1321</f>
        <v>19552606.623882528</v>
      </c>
      <c r="AY1347" s="177">
        <f ca="1">(OFFSET(Результаты!$F$126,0,AY2)+OFFSET(Результаты!$F$132,0,AY2)+OFFSET(Результаты!$F$142,0,AY2)+OFFSET(Результаты!$F$127,0,AY2)+OFFSET(Результаты!$F$128,0,AY2)+OFFSET(Результаты!$F$130,0,AY2)+OFFSET(Результаты!$F$131,0,AY2)+OFFSET(Результаты!$F$133,0,AY2))*Параметры!AY$64-AY1321</f>
        <v>15898177.324217089</v>
      </c>
      <c r="AZ1347" s="177">
        <f ca="1">(OFFSET(Результаты!$F$126,0,AZ2)+OFFSET(Результаты!$F$132,0,AZ2)+OFFSET(Результаты!$F$142,0,AZ2)+OFFSET(Результаты!$F$127,0,AZ2)+OFFSET(Результаты!$F$128,0,AZ2)+OFFSET(Результаты!$F$130,0,AZ2)+OFFSET(Результаты!$F$131,0,AZ2)+OFFSET(Результаты!$F$133,0,AZ2))*Параметры!AZ$64-AZ1321</f>
        <v>10512039.942029182</v>
      </c>
      <c r="BA1347" s="177">
        <f ca="1">(OFFSET(Результаты!$F$126,0,BA2)+OFFSET(Результаты!$F$132,0,BA2)+OFFSET(Результаты!$F$142,0,BA2)+OFFSET(Результаты!$F$127,0,BA2)+OFFSET(Результаты!$F$128,0,BA2)+OFFSET(Результаты!$F$130,0,BA2)+OFFSET(Результаты!$F$131,0,BA2)+OFFSET(Результаты!$F$133,0,BA2))*Параметры!BA$64-BA1321</f>
        <v>8116534.7753193583</v>
      </c>
      <c r="BB1347" s="177">
        <f ca="1">(OFFSET(Результаты!$F$126,0,BB2)+OFFSET(Результаты!$F$132,0,BB2)+OFFSET(Результаты!$F$142,0,BB2)+OFFSET(Результаты!$F$127,0,BB2)+OFFSET(Результаты!$F$128,0,BB2)+OFFSET(Результаты!$F$130,0,BB2)+OFFSET(Результаты!$F$131,0,BB2)+OFFSET(Результаты!$F$133,0,BB2))*Параметры!BB$64-BB1321</f>
        <v>9254311.1508260965</v>
      </c>
      <c r="BD1347" s="178">
        <f ca="1">SUM(G1347:BC1347)</f>
        <v>382502829.22434485</v>
      </c>
    </row>
    <row r="1348" spans="1:56" outlineLevel="1" x14ac:dyDescent="0.3">
      <c r="A1348" s="169" t="str">
        <f ca="1">Language!A$1206</f>
        <v>Убытки предыдущих периодов</v>
      </c>
      <c r="C1348" s="194" t="str">
        <f t="shared" ca="1" si="4597"/>
        <v>руб.</v>
      </c>
      <c r="F1348" s="170" t="s">
        <v>741</v>
      </c>
      <c r="G1348" s="177">
        <f>IF(G$2=1,0,MIN(F1347,0)+F1348-F1349)</f>
        <v>0</v>
      </c>
      <c r="H1348" s="177">
        <f t="shared" ref="H1348:BB1348" ca="1" si="4706">IF(H$2=1,0,MIN(G1347,0)+G1348-G1349)</f>
        <v>0</v>
      </c>
      <c r="I1348" s="177">
        <f t="shared" ca="1" si="4706"/>
        <v>0</v>
      </c>
      <c r="J1348" s="177">
        <f t="shared" ca="1" si="4706"/>
        <v>0</v>
      </c>
      <c r="K1348" s="177">
        <f t="shared" ca="1" si="4706"/>
        <v>0</v>
      </c>
      <c r="L1348" s="177">
        <f t="shared" ca="1" si="4706"/>
        <v>0</v>
      </c>
      <c r="M1348" s="177">
        <f t="shared" ca="1" si="4706"/>
        <v>-1077925.0604182645</v>
      </c>
      <c r="N1348" s="177">
        <f t="shared" ca="1" si="4706"/>
        <v>0</v>
      </c>
      <c r="O1348" s="177">
        <f t="shared" ca="1" si="4706"/>
        <v>0</v>
      </c>
      <c r="P1348" s="177">
        <f t="shared" ca="1" si="4706"/>
        <v>0</v>
      </c>
      <c r="Q1348" s="177">
        <f t="shared" ca="1" si="4706"/>
        <v>0</v>
      </c>
      <c r="R1348" s="177">
        <f t="shared" ca="1" si="4706"/>
        <v>0</v>
      </c>
      <c r="S1348" s="177">
        <f t="shared" ca="1" si="4706"/>
        <v>0</v>
      </c>
      <c r="T1348" s="177">
        <f t="shared" ca="1" si="4706"/>
        <v>0</v>
      </c>
      <c r="U1348" s="177">
        <f t="shared" ca="1" si="4706"/>
        <v>0</v>
      </c>
      <c r="V1348" s="177">
        <f t="shared" ca="1" si="4706"/>
        <v>0</v>
      </c>
      <c r="W1348" s="177">
        <f t="shared" ca="1" si="4706"/>
        <v>0</v>
      </c>
      <c r="X1348" s="177">
        <f t="shared" ca="1" si="4706"/>
        <v>0</v>
      </c>
      <c r="Y1348" s="177">
        <f t="shared" ca="1" si="4706"/>
        <v>0</v>
      </c>
      <c r="Z1348" s="177">
        <f t="shared" ca="1" si="4706"/>
        <v>0</v>
      </c>
      <c r="AA1348" s="177">
        <f t="shared" ca="1" si="4706"/>
        <v>0</v>
      </c>
      <c r="AB1348" s="177">
        <f t="shared" ca="1" si="4706"/>
        <v>0</v>
      </c>
      <c r="AC1348" s="177">
        <f t="shared" ca="1" si="4706"/>
        <v>0</v>
      </c>
      <c r="AD1348" s="177">
        <f t="shared" ca="1" si="4706"/>
        <v>0</v>
      </c>
      <c r="AE1348" s="177">
        <f t="shared" ca="1" si="4706"/>
        <v>0</v>
      </c>
      <c r="AF1348" s="177">
        <f t="shared" ca="1" si="4706"/>
        <v>0</v>
      </c>
      <c r="AG1348" s="177">
        <f t="shared" ca="1" si="4706"/>
        <v>0</v>
      </c>
      <c r="AH1348" s="177">
        <f t="shared" ca="1" si="4706"/>
        <v>0</v>
      </c>
      <c r="AI1348" s="177">
        <f t="shared" ca="1" si="4706"/>
        <v>0</v>
      </c>
      <c r="AJ1348" s="177">
        <f t="shared" ca="1" si="4706"/>
        <v>0</v>
      </c>
      <c r="AK1348" s="177">
        <f t="shared" ca="1" si="4706"/>
        <v>0</v>
      </c>
      <c r="AL1348" s="177">
        <f t="shared" ca="1" si="4706"/>
        <v>0</v>
      </c>
      <c r="AM1348" s="177">
        <f t="shared" ca="1" si="4706"/>
        <v>0</v>
      </c>
      <c r="AN1348" s="177">
        <f t="shared" ca="1" si="4706"/>
        <v>0</v>
      </c>
      <c r="AO1348" s="177">
        <f t="shared" ca="1" si="4706"/>
        <v>0</v>
      </c>
      <c r="AP1348" s="177">
        <f t="shared" ca="1" si="4706"/>
        <v>0</v>
      </c>
      <c r="AQ1348" s="177">
        <f t="shared" ca="1" si="4706"/>
        <v>0</v>
      </c>
      <c r="AR1348" s="177">
        <f t="shared" ca="1" si="4706"/>
        <v>0</v>
      </c>
      <c r="AS1348" s="177">
        <f t="shared" ca="1" si="4706"/>
        <v>0</v>
      </c>
      <c r="AT1348" s="177">
        <f t="shared" ca="1" si="4706"/>
        <v>0</v>
      </c>
      <c r="AU1348" s="177">
        <f t="shared" ca="1" si="4706"/>
        <v>0</v>
      </c>
      <c r="AV1348" s="177">
        <f t="shared" ca="1" si="4706"/>
        <v>0</v>
      </c>
      <c r="AW1348" s="177">
        <f t="shared" ca="1" si="4706"/>
        <v>0</v>
      </c>
      <c r="AX1348" s="177">
        <f t="shared" ca="1" si="4706"/>
        <v>0</v>
      </c>
      <c r="AY1348" s="177">
        <f t="shared" ca="1" si="4706"/>
        <v>0</v>
      </c>
      <c r="AZ1348" s="177">
        <f t="shared" ca="1" si="4706"/>
        <v>0</v>
      </c>
      <c r="BA1348" s="177">
        <f t="shared" ca="1" si="4706"/>
        <v>0</v>
      </c>
      <c r="BB1348" s="177">
        <f t="shared" ca="1" si="4706"/>
        <v>0</v>
      </c>
      <c r="BD1348" s="178"/>
    </row>
    <row r="1349" spans="1:56" outlineLevel="1" x14ac:dyDescent="0.3">
      <c r="A1349" s="169" t="str">
        <f ca="1">Language!A$1207</f>
        <v>Списание убытков предыдущих периодов</v>
      </c>
      <c r="C1349" s="194" t="str">
        <f t="shared" ca="1" si="4597"/>
        <v>руб.</v>
      </c>
      <c r="F1349" s="170" t="s">
        <v>740</v>
      </c>
      <c r="G1349" s="177">
        <f ca="1">-IF(G1347&gt;0,MIN(-G1348,G1347),0)</f>
        <v>0</v>
      </c>
      <c r="H1349" s="177">
        <f t="shared" ref="H1349:K1349" ca="1" si="4707">-IF(H1347&gt;0,MIN(-H1348,H1347),0)</f>
        <v>0</v>
      </c>
      <c r="I1349" s="177">
        <f t="shared" ca="1" si="4707"/>
        <v>0</v>
      </c>
      <c r="J1349" s="177">
        <f t="shared" ca="1" si="4707"/>
        <v>0</v>
      </c>
      <c r="K1349" s="177">
        <f t="shared" ca="1" si="4707"/>
        <v>0</v>
      </c>
      <c r="L1349" s="177">
        <f t="shared" ref="L1349:M1349" ca="1" si="4708">-IF(L1347&gt;0,MIN(-L1348,L1347),0)</f>
        <v>0</v>
      </c>
      <c r="M1349" s="177">
        <f t="shared" ca="1" si="4708"/>
        <v>-1077925.0604182645</v>
      </c>
      <c r="N1349" s="177">
        <f t="shared" ref="N1349:O1349" ca="1" si="4709">-IF(N1347&gt;0,MIN(-N1348,N1347),0)</f>
        <v>0</v>
      </c>
      <c r="O1349" s="177">
        <f t="shared" ca="1" si="4709"/>
        <v>0</v>
      </c>
      <c r="P1349" s="177">
        <f t="shared" ref="P1349:Q1349" ca="1" si="4710">-IF(P1347&gt;0,MIN(-P1348,P1347),0)</f>
        <v>0</v>
      </c>
      <c r="Q1349" s="177">
        <f t="shared" ca="1" si="4710"/>
        <v>0</v>
      </c>
      <c r="R1349" s="177">
        <f t="shared" ref="R1349:S1349" ca="1" si="4711">-IF(R1347&gt;0,MIN(-R1348,R1347),0)</f>
        <v>0</v>
      </c>
      <c r="S1349" s="177">
        <f t="shared" ca="1" si="4711"/>
        <v>0</v>
      </c>
      <c r="T1349" s="177">
        <f t="shared" ref="T1349:U1349" ca="1" si="4712">-IF(T1347&gt;0,MIN(-T1348,T1347),0)</f>
        <v>0</v>
      </c>
      <c r="U1349" s="177">
        <f t="shared" ca="1" si="4712"/>
        <v>0</v>
      </c>
      <c r="V1349" s="177">
        <f t="shared" ref="V1349:W1349" ca="1" si="4713">-IF(V1347&gt;0,MIN(-V1348,V1347),0)</f>
        <v>0</v>
      </c>
      <c r="W1349" s="177">
        <f t="shared" ca="1" si="4713"/>
        <v>0</v>
      </c>
      <c r="X1349" s="177">
        <f t="shared" ref="X1349:Y1349" ca="1" si="4714">-IF(X1347&gt;0,MIN(-X1348,X1347),0)</f>
        <v>0</v>
      </c>
      <c r="Y1349" s="177">
        <f t="shared" ca="1" si="4714"/>
        <v>0</v>
      </c>
      <c r="Z1349" s="177">
        <f t="shared" ref="Z1349:AA1349" ca="1" si="4715">-IF(Z1347&gt;0,MIN(-Z1348,Z1347),0)</f>
        <v>0</v>
      </c>
      <c r="AA1349" s="177">
        <f t="shared" ca="1" si="4715"/>
        <v>0</v>
      </c>
      <c r="AB1349" s="177">
        <f t="shared" ref="AB1349:AC1349" ca="1" si="4716">-IF(AB1347&gt;0,MIN(-AB1348,AB1347),0)</f>
        <v>0</v>
      </c>
      <c r="AC1349" s="177">
        <f t="shared" ca="1" si="4716"/>
        <v>0</v>
      </c>
      <c r="AD1349" s="177">
        <f t="shared" ref="AD1349:AE1349" ca="1" si="4717">-IF(AD1347&gt;0,MIN(-AD1348,AD1347),0)</f>
        <v>0</v>
      </c>
      <c r="AE1349" s="177">
        <f t="shared" ca="1" si="4717"/>
        <v>0</v>
      </c>
      <c r="AF1349" s="177">
        <f t="shared" ref="AF1349:AG1349" ca="1" si="4718">-IF(AF1347&gt;0,MIN(-AF1348,AF1347),0)</f>
        <v>0</v>
      </c>
      <c r="AG1349" s="177">
        <f t="shared" ca="1" si="4718"/>
        <v>0</v>
      </c>
      <c r="AH1349" s="177">
        <f t="shared" ref="AH1349:AI1349" ca="1" si="4719">-IF(AH1347&gt;0,MIN(-AH1348,AH1347),0)</f>
        <v>0</v>
      </c>
      <c r="AI1349" s="177">
        <f t="shared" ca="1" si="4719"/>
        <v>0</v>
      </c>
      <c r="AJ1349" s="177">
        <f t="shared" ref="AJ1349:AK1349" ca="1" si="4720">-IF(AJ1347&gt;0,MIN(-AJ1348,AJ1347),0)</f>
        <v>0</v>
      </c>
      <c r="AK1349" s="177">
        <f t="shared" ca="1" si="4720"/>
        <v>0</v>
      </c>
      <c r="AL1349" s="177">
        <f t="shared" ref="AL1349:AM1349" ca="1" si="4721">-IF(AL1347&gt;0,MIN(-AL1348,AL1347),0)</f>
        <v>0</v>
      </c>
      <c r="AM1349" s="177">
        <f t="shared" ca="1" si="4721"/>
        <v>0</v>
      </c>
      <c r="AN1349" s="177">
        <f t="shared" ref="AN1349:AO1349" ca="1" si="4722">-IF(AN1347&gt;0,MIN(-AN1348,AN1347),0)</f>
        <v>0</v>
      </c>
      <c r="AO1349" s="177">
        <f t="shared" ca="1" si="4722"/>
        <v>0</v>
      </c>
      <c r="AP1349" s="177">
        <f t="shared" ref="AP1349:AQ1349" ca="1" si="4723">-IF(AP1347&gt;0,MIN(-AP1348,AP1347),0)</f>
        <v>0</v>
      </c>
      <c r="AQ1349" s="177">
        <f t="shared" ca="1" si="4723"/>
        <v>0</v>
      </c>
      <c r="AR1349" s="177">
        <f t="shared" ref="AR1349:AS1349" ca="1" si="4724">-IF(AR1347&gt;0,MIN(-AR1348,AR1347),0)</f>
        <v>0</v>
      </c>
      <c r="AS1349" s="177">
        <f t="shared" ca="1" si="4724"/>
        <v>0</v>
      </c>
      <c r="AT1349" s="177">
        <f t="shared" ref="AT1349:AU1349" ca="1" si="4725">-IF(AT1347&gt;0,MIN(-AT1348,AT1347),0)</f>
        <v>0</v>
      </c>
      <c r="AU1349" s="177">
        <f t="shared" ca="1" si="4725"/>
        <v>0</v>
      </c>
      <c r="AV1349" s="177">
        <f t="shared" ref="AV1349:AW1349" ca="1" si="4726">-IF(AV1347&gt;0,MIN(-AV1348,AV1347),0)</f>
        <v>0</v>
      </c>
      <c r="AW1349" s="177">
        <f t="shared" ca="1" si="4726"/>
        <v>0</v>
      </c>
      <c r="AX1349" s="177">
        <f t="shared" ref="AX1349:AY1349" ca="1" si="4727">-IF(AX1347&gt;0,MIN(-AX1348,AX1347),0)</f>
        <v>0</v>
      </c>
      <c r="AY1349" s="177">
        <f t="shared" ca="1" si="4727"/>
        <v>0</v>
      </c>
      <c r="AZ1349" s="177">
        <f t="shared" ref="AZ1349:BA1349" ca="1" si="4728">-IF(AZ1347&gt;0,MIN(-AZ1348,AZ1347),0)</f>
        <v>0</v>
      </c>
      <c r="BA1349" s="177">
        <f t="shared" ca="1" si="4728"/>
        <v>0</v>
      </c>
      <c r="BB1349" s="177">
        <f t="shared" ref="BB1349" ca="1" si="4729">-IF(BB1347&gt;0,MIN(-BB1348,BB1347),0)</f>
        <v>0</v>
      </c>
      <c r="BD1349" s="178">
        <f ca="1">SUM(G1349:BC1349)</f>
        <v>-1077925.0604182645</v>
      </c>
    </row>
    <row r="1350" spans="1:56" outlineLevel="1" x14ac:dyDescent="0.3">
      <c r="A1350" s="169" t="str">
        <f ca="1">Language!A$1208</f>
        <v>Облагаемая база</v>
      </c>
      <c r="C1350" s="194" t="str">
        <f t="shared" ca="1" si="4597"/>
        <v>руб.</v>
      </c>
      <c r="F1350" s="170" t="s">
        <v>740</v>
      </c>
      <c r="G1350" s="177">
        <f ca="1">MAX(G1347+G1349,0)</f>
        <v>0</v>
      </c>
      <c r="H1350" s="177">
        <f t="shared" ref="H1350:K1350" ca="1" si="4730">MAX(H1347+H1349,0)</f>
        <v>0</v>
      </c>
      <c r="I1350" s="177">
        <f t="shared" ca="1" si="4730"/>
        <v>0</v>
      </c>
      <c r="J1350" s="177">
        <f t="shared" ca="1" si="4730"/>
        <v>0</v>
      </c>
      <c r="K1350" s="177">
        <f t="shared" ca="1" si="4730"/>
        <v>0</v>
      </c>
      <c r="L1350" s="177">
        <f t="shared" ref="L1350:M1350" ca="1" si="4731">MAX(L1347+L1349,0)</f>
        <v>0</v>
      </c>
      <c r="M1350" s="177">
        <f t="shared" ca="1" si="4731"/>
        <v>723971.23447533674</v>
      </c>
      <c r="N1350" s="177">
        <f t="shared" ref="N1350:O1350" ca="1" si="4732">MAX(N1347+N1349,0)</f>
        <v>4065924.6701914589</v>
      </c>
      <c r="O1350" s="177">
        <f t="shared" ca="1" si="4732"/>
        <v>1882199.3589299535</v>
      </c>
      <c r="P1350" s="177">
        <f t="shared" ref="P1350:Q1350" ca="1" si="4733">MAX(P1347+P1349,0)</f>
        <v>4138004.5929148714</v>
      </c>
      <c r="Q1350" s="177">
        <f t="shared" ca="1" si="4733"/>
        <v>4966450.7670142483</v>
      </c>
      <c r="R1350" s="177">
        <f t="shared" ref="R1350:S1350" ca="1" si="4734">MAX(R1347+R1349,0)</f>
        <v>4492428.1489315107</v>
      </c>
      <c r="S1350" s="177">
        <f t="shared" ca="1" si="4734"/>
        <v>7855054.4647898115</v>
      </c>
      <c r="T1350" s="177">
        <f t="shared" ref="T1350:U1350" ca="1" si="4735">MAX(T1347+T1349,0)</f>
        <v>8121816.4044720232</v>
      </c>
      <c r="U1350" s="177">
        <f t="shared" ca="1" si="4735"/>
        <v>6444364.2797673149</v>
      </c>
      <c r="V1350" s="177">
        <f t="shared" ref="V1350:W1350" ca="1" si="4736">MAX(V1347+V1349,0)</f>
        <v>6189559.0063328324</v>
      </c>
      <c r="W1350" s="177">
        <f t="shared" ca="1" si="4736"/>
        <v>3616281.1522582839</v>
      </c>
      <c r="X1350" s="177">
        <f t="shared" ref="X1350:Y1350" ca="1" si="4737">MAX(X1347+X1349,0)</f>
        <v>6848668.8523463346</v>
      </c>
      <c r="Y1350" s="177">
        <f t="shared" ca="1" si="4737"/>
        <v>11806418.009804195</v>
      </c>
      <c r="Z1350" s="177">
        <f t="shared" ref="Z1350:AA1350" ca="1" si="4738">MAX(Z1347+Z1349,0)</f>
        <v>14864728.559367195</v>
      </c>
      <c r="AA1350" s="177">
        <f t="shared" ca="1" si="4738"/>
        <v>11612277.752118859</v>
      </c>
      <c r="AB1350" s="177">
        <f t="shared" ref="AB1350:AC1350" ca="1" si="4739">MAX(AB1347+AB1349,0)</f>
        <v>6862117.3427470978</v>
      </c>
      <c r="AC1350" s="177">
        <f t="shared" ca="1" si="4739"/>
        <v>4922017.7646494787</v>
      </c>
      <c r="AD1350" s="177">
        <f t="shared" ref="AD1350:AE1350" ca="1" si="4740">MAX(AD1347+AD1349,0)</f>
        <v>5532931.6655357815</v>
      </c>
      <c r="AE1350" s="177">
        <f t="shared" ca="1" si="4740"/>
        <v>9807737.1163134985</v>
      </c>
      <c r="AF1350" s="177">
        <f t="shared" ref="AF1350:AG1350" ca="1" si="4741">MAX(AF1347+AF1349,0)</f>
        <v>10326060.28792689</v>
      </c>
      <c r="AG1350" s="177">
        <f t="shared" ca="1" si="4741"/>
        <v>8660338.7971394733</v>
      </c>
      <c r="AH1350" s="177">
        <f t="shared" ref="AH1350:AI1350" ca="1" si="4742">MAX(AH1347+AH1349,0)</f>
        <v>8466868.3567457963</v>
      </c>
      <c r="AI1350" s="177">
        <f t="shared" ca="1" si="4742"/>
        <v>5751176.9102580883</v>
      </c>
      <c r="AJ1350" s="177">
        <f t="shared" ref="AJ1350:AK1350" ca="1" si="4743">MAX(AJ1347+AJ1349,0)</f>
        <v>9168874.8807680346</v>
      </c>
      <c r="AK1350" s="177">
        <f t="shared" ca="1" si="4743"/>
        <v>14341231.03548516</v>
      </c>
      <c r="AL1350" s="177">
        <f t="shared" ref="AL1350:AM1350" ca="1" si="4744">MAX(AL1347+AL1349,0)</f>
        <v>17614570.653080676</v>
      </c>
      <c r="AM1350" s="177">
        <f t="shared" ca="1" si="4744"/>
        <v>14242744.501933737</v>
      </c>
      <c r="AN1350" s="177">
        <f t="shared" ref="AN1350:AO1350" ca="1" si="4745">MAX(AN1347+AN1349,0)</f>
        <v>9260960.399694521</v>
      </c>
      <c r="AO1350" s="177">
        <f t="shared" ca="1" si="4745"/>
        <v>7181475.0822596997</v>
      </c>
      <c r="AP1350" s="177">
        <f t="shared" ref="AP1350:AQ1350" ca="1" si="4746">MAX(AP1347+AP1349,0)</f>
        <v>7754380.4622375499</v>
      </c>
      <c r="AQ1350" s="177">
        <f t="shared" ca="1" si="4746"/>
        <v>12249092.009619206</v>
      </c>
      <c r="AR1350" s="177">
        <f t="shared" ref="AR1350:AS1350" ca="1" si="4747">MAX(AR1347+AR1349,0)</f>
        <v>12799107.466107354</v>
      </c>
      <c r="AS1350" s="177">
        <f t="shared" ca="1" si="4747"/>
        <v>11061695.005247908</v>
      </c>
      <c r="AT1350" s="177">
        <f t="shared" ref="AT1350:AU1350" ca="1" si="4748">MAX(AT1347+AT1349,0)</f>
        <v>10720549.296649126</v>
      </c>
      <c r="AU1350" s="177">
        <f t="shared" ca="1" si="4748"/>
        <v>7615511.3840803476</v>
      </c>
      <c r="AV1350" s="177">
        <f t="shared" ref="AV1350:AW1350" ca="1" si="4749">MAX(AV1347+AV1349,0)</f>
        <v>10988702.036811128</v>
      </c>
      <c r="AW1350" s="177">
        <f t="shared" ca="1" si="4749"/>
        <v>16212869.699065955</v>
      </c>
      <c r="AX1350" s="177">
        <f t="shared" ref="AX1350:AY1350" ca="1" si="4750">MAX(AX1347+AX1349,0)</f>
        <v>19552606.623882528</v>
      </c>
      <c r="AY1350" s="177">
        <f t="shared" ca="1" si="4750"/>
        <v>15898177.324217089</v>
      </c>
      <c r="AZ1350" s="177">
        <f t="shared" ref="AZ1350:BA1350" ca="1" si="4751">MAX(AZ1347+AZ1349,0)</f>
        <v>10512039.942029182</v>
      </c>
      <c r="BA1350" s="177">
        <f t="shared" ca="1" si="4751"/>
        <v>8116534.7753193583</v>
      </c>
      <c r="BB1350" s="177">
        <f t="shared" ref="BB1350" ca="1" si="4752">MAX(BB1347+BB1349,0)</f>
        <v>9254311.1508260965</v>
      </c>
      <c r="BD1350" s="178">
        <f ca="1">SUM(G1350:BC1350)</f>
        <v>382502829.22434485</v>
      </c>
    </row>
    <row r="1351" spans="1:56" outlineLevel="1" x14ac:dyDescent="0.3">
      <c r="A1351" s="169" t="str">
        <f ca="1">Language!A$1209</f>
        <v>Минимальный налог (% от доходов)</v>
      </c>
      <c r="B1351" s="241"/>
      <c r="C1351" s="194" t="str">
        <f t="shared" ca="1" si="4597"/>
        <v>руб.</v>
      </c>
      <c r="F1351" s="170" t="s">
        <v>740</v>
      </c>
      <c r="G1351" s="177">
        <f ca="1">(OFFSET(Результаты!$F$126,0,G2)+OFFSET(Результаты!$F$132,0,G2)+OFFSET(Результаты!$F$142,0,G2))*Параметры!G$64*Параметры!G109</f>
        <v>0</v>
      </c>
      <c r="H1351" s="177">
        <f ca="1">(OFFSET(Результаты!$F$126,0,H2)+OFFSET(Результаты!$F$132,0,H2)+OFFSET(Результаты!$F$142,0,H2))*Параметры!H$64*Параметры!H109</f>
        <v>0</v>
      </c>
      <c r="I1351" s="177">
        <f ca="1">(OFFSET(Результаты!$F$126,0,I2)+OFFSET(Результаты!$F$132,0,I2)+OFFSET(Результаты!$F$142,0,I2))*Параметры!I$64*Параметры!I109</f>
        <v>0</v>
      </c>
      <c r="J1351" s="177">
        <f ca="1">(OFFSET(Результаты!$F$126,0,J2)+OFFSET(Результаты!$F$132,0,J2)+OFFSET(Результаты!$F$142,0,J2))*Параметры!J$64*Параметры!J109</f>
        <v>0</v>
      </c>
      <c r="K1351" s="177">
        <f ca="1">(OFFSET(Результаты!$F$126,0,K2)+OFFSET(Результаты!$F$132,0,K2)+OFFSET(Результаты!$F$142,0,K2))*Параметры!K$64*Параметры!K109</f>
        <v>0</v>
      </c>
      <c r="L1351" s="177">
        <f ca="1">(OFFSET(Результаты!$F$126,0,L2)+OFFSET(Результаты!$F$132,0,L2)+OFFSET(Результаты!$F$142,0,L2))*Параметры!L$64*Параметры!L109</f>
        <v>0</v>
      </c>
      <c r="M1351" s="177">
        <f ca="1">(OFFSET(Результаты!$F$126,0,M2)+OFFSET(Результаты!$F$132,0,M2)+OFFSET(Результаты!$F$142,0,M2))*Параметры!M$64*Параметры!M109</f>
        <v>0</v>
      </c>
      <c r="N1351" s="177">
        <f ca="1">(OFFSET(Результаты!$F$126,0,N2)+OFFSET(Результаты!$F$132,0,N2)+OFFSET(Результаты!$F$142,0,N2))*Параметры!N$64*Параметры!N109</f>
        <v>0</v>
      </c>
      <c r="O1351" s="177">
        <f ca="1">(OFFSET(Результаты!$F$126,0,O2)+OFFSET(Результаты!$F$132,0,O2)+OFFSET(Результаты!$F$142,0,O2))*Параметры!O$64*Параметры!O109</f>
        <v>0</v>
      </c>
      <c r="P1351" s="177">
        <f ca="1">(OFFSET(Результаты!$F$126,0,P2)+OFFSET(Результаты!$F$132,0,P2)+OFFSET(Результаты!$F$142,0,P2))*Параметры!P$64*Параметры!P109</f>
        <v>0</v>
      </c>
      <c r="Q1351" s="177">
        <f ca="1">(OFFSET(Результаты!$F$126,0,Q2)+OFFSET(Результаты!$F$132,0,Q2)+OFFSET(Результаты!$F$142,0,Q2))*Параметры!Q$64*Параметры!Q109</f>
        <v>0</v>
      </c>
      <c r="R1351" s="177">
        <f ca="1">(OFFSET(Результаты!$F$126,0,R2)+OFFSET(Результаты!$F$132,0,R2)+OFFSET(Результаты!$F$142,0,R2))*Параметры!R$64*Параметры!R109</f>
        <v>0</v>
      </c>
      <c r="S1351" s="177">
        <f ca="1">(OFFSET(Результаты!$F$126,0,S2)+OFFSET(Результаты!$F$132,0,S2)+OFFSET(Результаты!$F$142,0,S2))*Параметры!S$64*Параметры!S109</f>
        <v>0</v>
      </c>
      <c r="T1351" s="177">
        <f ca="1">(OFFSET(Результаты!$F$126,0,T2)+OFFSET(Результаты!$F$132,0,T2)+OFFSET(Результаты!$F$142,0,T2))*Параметры!T$64*Параметры!T109</f>
        <v>0</v>
      </c>
      <c r="U1351" s="177">
        <f ca="1">(OFFSET(Результаты!$F$126,0,U2)+OFFSET(Результаты!$F$132,0,U2)+OFFSET(Результаты!$F$142,0,U2))*Параметры!U$64*Параметры!U109</f>
        <v>0</v>
      </c>
      <c r="V1351" s="177">
        <f ca="1">(OFFSET(Результаты!$F$126,0,V2)+OFFSET(Результаты!$F$132,0,V2)+OFFSET(Результаты!$F$142,0,V2))*Параметры!V$64*Параметры!V109</f>
        <v>0</v>
      </c>
      <c r="W1351" s="177">
        <f ca="1">(OFFSET(Результаты!$F$126,0,W2)+OFFSET(Результаты!$F$132,0,W2)+OFFSET(Результаты!$F$142,0,W2))*Параметры!W$64*Параметры!W109</f>
        <v>0</v>
      </c>
      <c r="X1351" s="177">
        <f ca="1">(OFFSET(Результаты!$F$126,0,X2)+OFFSET(Результаты!$F$132,0,X2)+OFFSET(Результаты!$F$142,0,X2))*Параметры!X$64*Параметры!X109</f>
        <v>0</v>
      </c>
      <c r="Y1351" s="177">
        <f ca="1">(OFFSET(Результаты!$F$126,0,Y2)+OFFSET(Результаты!$F$132,0,Y2)+OFFSET(Результаты!$F$142,0,Y2))*Параметры!Y$64*Параметры!Y109</f>
        <v>0</v>
      </c>
      <c r="Z1351" s="177">
        <f ca="1">(OFFSET(Результаты!$F$126,0,Z2)+OFFSET(Результаты!$F$132,0,Z2)+OFFSET(Результаты!$F$142,0,Z2))*Параметры!Z$64*Параметры!Z109</f>
        <v>0</v>
      </c>
      <c r="AA1351" s="177">
        <f ca="1">(OFFSET(Результаты!$F$126,0,AA2)+OFFSET(Результаты!$F$132,0,AA2)+OFFSET(Результаты!$F$142,0,AA2))*Параметры!AA$64*Параметры!AA109</f>
        <v>0</v>
      </c>
      <c r="AB1351" s="177">
        <f ca="1">(OFFSET(Результаты!$F$126,0,AB2)+OFFSET(Результаты!$F$132,0,AB2)+OFFSET(Результаты!$F$142,0,AB2))*Параметры!AB$64*Параметры!AB109</f>
        <v>0</v>
      </c>
      <c r="AC1351" s="177">
        <f ca="1">(OFFSET(Результаты!$F$126,0,AC2)+OFFSET(Результаты!$F$132,0,AC2)+OFFSET(Результаты!$F$142,0,AC2))*Параметры!AC$64*Параметры!AC109</f>
        <v>0</v>
      </c>
      <c r="AD1351" s="177">
        <f ca="1">(OFFSET(Результаты!$F$126,0,AD2)+OFFSET(Результаты!$F$132,0,AD2)+OFFSET(Результаты!$F$142,0,AD2))*Параметры!AD$64*Параметры!AD109</f>
        <v>0</v>
      </c>
      <c r="AE1351" s="177">
        <f ca="1">(OFFSET(Результаты!$F$126,0,AE2)+OFFSET(Результаты!$F$132,0,AE2)+OFFSET(Результаты!$F$142,0,AE2))*Параметры!AE$64*Параметры!AE109</f>
        <v>0</v>
      </c>
      <c r="AF1351" s="177">
        <f ca="1">(OFFSET(Результаты!$F$126,0,AF2)+OFFSET(Результаты!$F$132,0,AF2)+OFFSET(Результаты!$F$142,0,AF2))*Параметры!AF$64*Параметры!AF109</f>
        <v>0</v>
      </c>
      <c r="AG1351" s="177">
        <f ca="1">(OFFSET(Результаты!$F$126,0,AG2)+OFFSET(Результаты!$F$132,0,AG2)+OFFSET(Результаты!$F$142,0,AG2))*Параметры!AG$64*Параметры!AG109</f>
        <v>0</v>
      </c>
      <c r="AH1351" s="177">
        <f ca="1">(OFFSET(Результаты!$F$126,0,AH2)+OFFSET(Результаты!$F$132,0,AH2)+OFFSET(Результаты!$F$142,0,AH2))*Параметры!AH$64*Параметры!AH109</f>
        <v>0</v>
      </c>
      <c r="AI1351" s="177">
        <f ca="1">(OFFSET(Результаты!$F$126,0,AI2)+OFFSET(Результаты!$F$132,0,AI2)+OFFSET(Результаты!$F$142,0,AI2))*Параметры!AI$64*Параметры!AI109</f>
        <v>0</v>
      </c>
      <c r="AJ1351" s="177">
        <f ca="1">(OFFSET(Результаты!$F$126,0,AJ2)+OFFSET(Результаты!$F$132,0,AJ2)+OFFSET(Результаты!$F$142,0,AJ2))*Параметры!AJ$64*Параметры!AJ109</f>
        <v>0</v>
      </c>
      <c r="AK1351" s="177">
        <f ca="1">(OFFSET(Результаты!$F$126,0,AK2)+OFFSET(Результаты!$F$132,0,AK2)+OFFSET(Результаты!$F$142,0,AK2))*Параметры!AK$64*Параметры!AK109</f>
        <v>0</v>
      </c>
      <c r="AL1351" s="177">
        <f ca="1">(OFFSET(Результаты!$F$126,0,AL2)+OFFSET(Результаты!$F$132,0,AL2)+OFFSET(Результаты!$F$142,0,AL2))*Параметры!AL$64*Параметры!AL109</f>
        <v>0</v>
      </c>
      <c r="AM1351" s="177">
        <f ca="1">(OFFSET(Результаты!$F$126,0,AM2)+OFFSET(Результаты!$F$132,0,AM2)+OFFSET(Результаты!$F$142,0,AM2))*Параметры!AM$64*Параметры!AM109</f>
        <v>0</v>
      </c>
      <c r="AN1351" s="177">
        <f ca="1">(OFFSET(Результаты!$F$126,0,AN2)+OFFSET(Результаты!$F$132,0,AN2)+OFFSET(Результаты!$F$142,0,AN2))*Параметры!AN$64*Параметры!AN109</f>
        <v>0</v>
      </c>
      <c r="AO1351" s="177">
        <f ca="1">(OFFSET(Результаты!$F$126,0,AO2)+OFFSET(Результаты!$F$132,0,AO2)+OFFSET(Результаты!$F$142,0,AO2))*Параметры!AO$64*Параметры!AO109</f>
        <v>0</v>
      </c>
      <c r="AP1351" s="177">
        <f ca="1">(OFFSET(Результаты!$F$126,0,AP2)+OFFSET(Результаты!$F$132,0,AP2)+OFFSET(Результаты!$F$142,0,AP2))*Параметры!AP$64*Параметры!AP109</f>
        <v>0</v>
      </c>
      <c r="AQ1351" s="177">
        <f ca="1">(OFFSET(Результаты!$F$126,0,AQ2)+OFFSET(Результаты!$F$132,0,AQ2)+OFFSET(Результаты!$F$142,0,AQ2))*Параметры!AQ$64*Параметры!AQ109</f>
        <v>0</v>
      </c>
      <c r="AR1351" s="177">
        <f ca="1">(OFFSET(Результаты!$F$126,0,AR2)+OFFSET(Результаты!$F$132,0,AR2)+OFFSET(Результаты!$F$142,0,AR2))*Параметры!AR$64*Параметры!AR109</f>
        <v>0</v>
      </c>
      <c r="AS1351" s="177">
        <f ca="1">(OFFSET(Результаты!$F$126,0,AS2)+OFFSET(Результаты!$F$132,0,AS2)+OFFSET(Результаты!$F$142,0,AS2))*Параметры!AS$64*Параметры!AS109</f>
        <v>0</v>
      </c>
      <c r="AT1351" s="177">
        <f ca="1">(OFFSET(Результаты!$F$126,0,AT2)+OFFSET(Результаты!$F$132,0,AT2)+OFFSET(Результаты!$F$142,0,AT2))*Параметры!AT$64*Параметры!AT109</f>
        <v>0</v>
      </c>
      <c r="AU1351" s="177">
        <f ca="1">(OFFSET(Результаты!$F$126,0,AU2)+OFFSET(Результаты!$F$132,0,AU2)+OFFSET(Результаты!$F$142,0,AU2))*Параметры!AU$64*Параметры!AU109</f>
        <v>0</v>
      </c>
      <c r="AV1351" s="177">
        <f ca="1">(OFFSET(Результаты!$F$126,0,AV2)+OFFSET(Результаты!$F$132,0,AV2)+OFFSET(Результаты!$F$142,0,AV2))*Параметры!AV$64*Параметры!AV109</f>
        <v>0</v>
      </c>
      <c r="AW1351" s="177">
        <f ca="1">(OFFSET(Результаты!$F$126,0,AW2)+OFFSET(Результаты!$F$132,0,AW2)+OFFSET(Результаты!$F$142,0,AW2))*Параметры!AW$64*Параметры!AW109</f>
        <v>0</v>
      </c>
      <c r="AX1351" s="177">
        <f ca="1">(OFFSET(Результаты!$F$126,0,AX2)+OFFSET(Результаты!$F$132,0,AX2)+OFFSET(Результаты!$F$142,0,AX2))*Параметры!AX$64*Параметры!AX109</f>
        <v>0</v>
      </c>
      <c r="AY1351" s="177">
        <f ca="1">(OFFSET(Результаты!$F$126,0,AY2)+OFFSET(Результаты!$F$132,0,AY2)+OFFSET(Результаты!$F$142,0,AY2))*Параметры!AY$64*Параметры!AY109</f>
        <v>0</v>
      </c>
      <c r="AZ1351" s="177">
        <f ca="1">(OFFSET(Результаты!$F$126,0,AZ2)+OFFSET(Результаты!$F$132,0,AZ2)+OFFSET(Результаты!$F$142,0,AZ2))*Параметры!AZ$64*Параметры!AZ109</f>
        <v>0</v>
      </c>
      <c r="BA1351" s="177">
        <f ca="1">(OFFSET(Результаты!$F$126,0,BA2)+OFFSET(Результаты!$F$132,0,BA2)+OFFSET(Результаты!$F$142,0,BA2))*Параметры!BA$64*Параметры!BA109</f>
        <v>0</v>
      </c>
      <c r="BB1351" s="177">
        <f ca="1">(OFFSET(Результаты!$F$126,0,BB2)+OFFSET(Результаты!$F$132,0,BB2)+OFFSET(Результаты!$F$142,0,BB2))*Параметры!BB$64*Параметры!BB109</f>
        <v>0</v>
      </c>
      <c r="BD1351" s="178">
        <f ca="1">SUM(G1351:BC1351)</f>
        <v>0</v>
      </c>
    </row>
    <row r="1352" spans="1:56" x14ac:dyDescent="0.3">
      <c r="G1352" s="177"/>
      <c r="H1352" s="177"/>
      <c r="I1352" s="177"/>
      <c r="J1352" s="177"/>
      <c r="K1352" s="177"/>
      <c r="L1352" s="177"/>
      <c r="M1352" s="177"/>
      <c r="N1352" s="177"/>
      <c r="O1352" s="177"/>
      <c r="P1352" s="177"/>
      <c r="Q1352" s="177"/>
      <c r="R1352" s="177"/>
      <c r="S1352" s="177"/>
      <c r="T1352" s="177"/>
      <c r="U1352" s="177"/>
      <c r="V1352" s="177"/>
      <c r="W1352" s="177"/>
      <c r="X1352" s="177"/>
      <c r="Y1352" s="177"/>
      <c r="Z1352" s="177"/>
      <c r="AA1352" s="177"/>
      <c r="AB1352" s="177"/>
      <c r="AC1352" s="177"/>
      <c r="AD1352" s="177"/>
      <c r="AE1352" s="177"/>
      <c r="AF1352" s="177"/>
      <c r="AG1352" s="177"/>
      <c r="AH1352" s="177"/>
      <c r="AI1352" s="177"/>
      <c r="AJ1352" s="177"/>
      <c r="AK1352" s="177"/>
      <c r="AL1352" s="177"/>
      <c r="AM1352" s="177"/>
      <c r="AN1352" s="177"/>
      <c r="AO1352" s="177"/>
      <c r="AP1352" s="177"/>
      <c r="AQ1352" s="177"/>
      <c r="AR1352" s="177"/>
      <c r="AS1352" s="177"/>
      <c r="AT1352" s="177"/>
      <c r="AU1352" s="177"/>
      <c r="AV1352" s="177"/>
      <c r="AW1352" s="177"/>
      <c r="AX1352" s="177"/>
      <c r="AY1352" s="177"/>
      <c r="AZ1352" s="177"/>
      <c r="BA1352" s="177"/>
      <c r="BB1352" s="177"/>
    </row>
    <row r="1353" spans="1:56" x14ac:dyDescent="0.3">
      <c r="A1353" s="169" t="str">
        <f ca="1">Language!A$1210</f>
        <v>Начисленные налоговые платежи</v>
      </c>
      <c r="C1353" s="194" t="str">
        <f t="shared" ref="C1353:C1355" ca="1" si="4753">CurName1</f>
        <v>руб.</v>
      </c>
      <c r="F1353" s="170" t="s">
        <v>740</v>
      </c>
      <c r="G1353" s="177">
        <f ca="1">G1287+G1291+G1292+G1293+G1295+G1313+G1321+G1325+G1339+G1344</f>
        <v>0</v>
      </c>
      <c r="H1353" s="177">
        <f t="shared" ref="H1353:M1353" ca="1" si="4754">H1287+H1291+H1292+H1293+H1295+H1313+H1321+H1325+H1339+H1344</f>
        <v>0</v>
      </c>
      <c r="I1353" s="177">
        <f t="shared" ca="1" si="4754"/>
        <v>0</v>
      </c>
      <c r="J1353" s="177">
        <f t="shared" ca="1" si="4754"/>
        <v>0</v>
      </c>
      <c r="K1353" s="177">
        <f t="shared" ca="1" si="4754"/>
        <v>0</v>
      </c>
      <c r="L1353" s="177">
        <f t="shared" ca="1" si="4754"/>
        <v>0</v>
      </c>
      <c r="M1353" s="177">
        <f t="shared" ca="1" si="4754"/>
        <v>610664.71055236214</v>
      </c>
      <c r="N1353" s="177">
        <f t="shared" ref="N1353:O1353" ca="1" si="4755">N1287+N1291+N1292+N1293+N1295+N1313+N1321+N1325+N1339+N1344</f>
        <v>863689.13672200928</v>
      </c>
      <c r="O1353" s="177">
        <f t="shared" ca="1" si="4755"/>
        <v>1018849.9727182956</v>
      </c>
      <c r="P1353" s="177">
        <f t="shared" ref="P1353:Q1353" ca="1" si="4756">P1287+P1291+P1292+P1293+P1295+P1313+P1321+P1325+P1339+P1344</f>
        <v>1175500.851715917</v>
      </c>
      <c r="Q1353" s="177">
        <f t="shared" ca="1" si="4756"/>
        <v>1231868.2953123241</v>
      </c>
      <c r="R1353" s="177">
        <f t="shared" ref="R1353:S1353" ca="1" si="4757">R1287+R1291+R1292+R1293+R1295+R1313+R1321+R1325+R1339+R1344</f>
        <v>1237864.4765295996</v>
      </c>
      <c r="S1353" s="177">
        <f t="shared" ca="1" si="4757"/>
        <v>1449445.0444621497</v>
      </c>
      <c r="T1353" s="177">
        <f t="shared" ref="T1353:U1353" ca="1" si="4758">T1287+T1291+T1292+T1293+T1295+T1313+T1321+T1325+T1339+T1344</f>
        <v>1456000.0163427703</v>
      </c>
      <c r="U1353" s="177">
        <f t="shared" ca="1" si="4758"/>
        <v>1307667.6470183353</v>
      </c>
      <c r="V1353" s="177">
        <f t="shared" ref="V1353:W1353" ca="1" si="4759">V1287+V1291+V1292+V1293+V1295+V1313+V1321+V1325+V1339+V1344</f>
        <v>1262142.4926905446</v>
      </c>
      <c r="W1353" s="177">
        <f t="shared" ca="1" si="4759"/>
        <v>1163492.6762766023</v>
      </c>
      <c r="X1353" s="177">
        <f t="shared" ref="X1353:Y1353" ca="1" si="4760">X1287+X1291+X1292+X1293+X1295+X1313+X1321+X1325+X1339+X1344</f>
        <v>1432669.6936741122</v>
      </c>
      <c r="Y1353" s="177">
        <f t="shared" ca="1" si="4760"/>
        <v>1809230.4858132759</v>
      </c>
      <c r="Z1353" s="177">
        <f t="shared" ref="Z1353:AA1353" ca="1" si="4761">Z1287+Z1291+Z1292+Z1293+Z1295+Z1313+Z1321+Z1325+Z1339+Z1344</f>
        <v>1923853.0223251625</v>
      </c>
      <c r="AA1353" s="177">
        <f t="shared" ca="1" si="4761"/>
        <v>1612671.5171257115</v>
      </c>
      <c r="AB1353" s="177">
        <f t="shared" ref="AB1353:AC1353" ca="1" si="4762">AB1287+AB1291+AB1292+AB1293+AB1295+AB1313+AB1321+AB1325+AB1339+AB1344</f>
        <v>1245510.8116006942</v>
      </c>
      <c r="AC1353" s="177">
        <f t="shared" ca="1" si="4762"/>
        <v>1144204.6548823616</v>
      </c>
      <c r="AD1353" s="177">
        <f t="shared" ref="AD1353:AE1353" ca="1" si="4763">AD1287+AD1291+AD1292+AD1293+AD1295+AD1313+AD1321+AD1325+AD1339+AD1344</f>
        <v>1258190.6619403951</v>
      </c>
      <c r="AE1353" s="177">
        <f t="shared" ca="1" si="4763"/>
        <v>1536411.7471298785</v>
      </c>
      <c r="AF1353" s="177">
        <f t="shared" ref="AF1353:AG1353" ca="1" si="4764">AF1287+AF1291+AF1292+AF1293+AF1295+AF1313+AF1321+AF1325+AF1339+AF1344</f>
        <v>1543360.0173233366</v>
      </c>
      <c r="AG1353" s="177">
        <f t="shared" ca="1" si="4764"/>
        <v>1386127.7058394358</v>
      </c>
      <c r="AH1353" s="177">
        <f t="shared" ref="AH1353:AI1353" ca="1" si="4765">AH1287+AH1291+AH1292+AH1293+AH1295+AH1313+AH1321+AH1325+AH1339+AH1344</f>
        <v>1337871.0422519774</v>
      </c>
      <c r="AI1353" s="177">
        <f t="shared" ca="1" si="4765"/>
        <v>1233302.2368531986</v>
      </c>
      <c r="AJ1353" s="177">
        <f t="shared" ref="AJ1353:AK1353" ca="1" si="4766">AJ1287+AJ1291+AJ1292+AJ1293+AJ1295+AJ1313+AJ1321+AJ1325+AJ1339+AJ1344</f>
        <v>1518629.8752945592</v>
      </c>
      <c r="AK1353" s="177">
        <f t="shared" ca="1" si="4766"/>
        <v>1917784.3149620728</v>
      </c>
      <c r="AL1353" s="177">
        <f t="shared" ref="AL1353:AM1353" ca="1" si="4767">AL1287+AL1291+AL1292+AL1293+AL1295+AL1313+AL1321+AL1325+AL1339+AL1344</f>
        <v>2039284.2036646723</v>
      </c>
      <c r="AM1353" s="177">
        <f t="shared" ca="1" si="4767"/>
        <v>1709431.808153254</v>
      </c>
      <c r="AN1353" s="177">
        <f t="shared" ref="AN1353:AO1353" ca="1" si="4768">AN1287+AN1291+AN1292+AN1293+AN1295+AN1313+AN1321+AN1325+AN1339+AN1344</f>
        <v>1320241.4602967361</v>
      </c>
      <c r="AO1353" s="177">
        <f t="shared" ca="1" si="4768"/>
        <v>1212856.9341753032</v>
      </c>
      <c r="AP1353" s="177">
        <f t="shared" ref="AP1353:AQ1353" ca="1" si="4769">AP1287+AP1291+AP1292+AP1293+AP1295+AP1313+AP1321+AP1325+AP1339+AP1344</f>
        <v>1333682.101656819</v>
      </c>
      <c r="AQ1353" s="177">
        <f t="shared" ca="1" si="4769"/>
        <v>1628596.4519576719</v>
      </c>
      <c r="AR1353" s="177">
        <f t="shared" ref="AR1353:AS1353" ca="1" si="4770">AR1287+AR1291+AR1292+AR1293+AR1295+AR1313+AR1321+AR1325+AR1339+AR1344</f>
        <v>1635961.6183627374</v>
      </c>
      <c r="AS1353" s="177">
        <f t="shared" ca="1" si="4770"/>
        <v>1469295.3681898024</v>
      </c>
      <c r="AT1353" s="177">
        <f t="shared" ref="AT1353:AU1353" ca="1" si="4771">AT1287+AT1291+AT1292+AT1293+AT1295+AT1313+AT1321+AT1325+AT1339+AT1344</f>
        <v>1418143.3047870966</v>
      </c>
      <c r="AU1353" s="177">
        <f t="shared" ca="1" si="4771"/>
        <v>1307300.371064391</v>
      </c>
      <c r="AV1353" s="177">
        <f t="shared" ref="AV1353:AW1353" ca="1" si="4772">AV1287+AV1291+AV1292+AV1293+AV1295+AV1313+AV1321+AV1325+AV1339+AV1344</f>
        <v>1609747.6678122333</v>
      </c>
      <c r="AW1353" s="177">
        <f t="shared" ca="1" si="4772"/>
        <v>2032851.3738597974</v>
      </c>
      <c r="AX1353" s="177">
        <f t="shared" ref="AX1353:AY1353" ca="1" si="4773">AX1287+AX1291+AX1292+AX1293+AX1295+AX1313+AX1321+AX1325+AX1339+AX1344</f>
        <v>2161641.2558845538</v>
      </c>
      <c r="AY1353" s="177">
        <f t="shared" ca="1" si="4773"/>
        <v>1811997.7166424498</v>
      </c>
      <c r="AZ1353" s="177">
        <f t="shared" ref="AZ1353:BA1353" ca="1" si="4774">AZ1287+AZ1291+AZ1292+AZ1293+AZ1295+AZ1313+AZ1321+AZ1325+AZ1339+AZ1344</f>
        <v>1399455.9479145408</v>
      </c>
      <c r="BA1353" s="177">
        <f t="shared" ca="1" si="4774"/>
        <v>1285628.3502258221</v>
      </c>
      <c r="BB1353" s="177">
        <f t="shared" ref="BB1353" ca="1" si="4775">BB1287+BB1291+BB1292+BB1293+BB1295+BB1313+BB1321+BB1325+BB1339+BB1344</f>
        <v>1413703.0277562286</v>
      </c>
      <c r="BD1353" s="178">
        <f ca="1">SUM(G1353:BC1353)</f>
        <v>60466822.069761202</v>
      </c>
    </row>
    <row r="1354" spans="1:56" x14ac:dyDescent="0.3">
      <c r="A1354" s="169" t="str">
        <f ca="1">Language!A$1211</f>
        <v>Уплаченные налоговые платежи</v>
      </c>
      <c r="C1354" s="194" t="str">
        <f t="shared" ca="1" si="4753"/>
        <v>руб.</v>
      </c>
      <c r="F1354" s="170" t="s">
        <v>740</v>
      </c>
      <c r="G1354" s="177">
        <f t="shared" ref="G1354:M1354" ca="1" si="4776">G1288+G1291+G1292+G1293+G1297+G1315+G1323+G1327+G1341+G1346</f>
        <v>0</v>
      </c>
      <c r="H1354" s="177">
        <f t="shared" ca="1" si="4776"/>
        <v>0</v>
      </c>
      <c r="I1354" s="177">
        <f t="shared" ca="1" si="4776"/>
        <v>0</v>
      </c>
      <c r="J1354" s="177">
        <f t="shared" ca="1" si="4776"/>
        <v>0</v>
      </c>
      <c r="K1354" s="177">
        <f t="shared" ca="1" si="4776"/>
        <v>0</v>
      </c>
      <c r="L1354" s="177">
        <f t="shared" ca="1" si="4776"/>
        <v>0</v>
      </c>
      <c r="M1354" s="177">
        <f t="shared" ca="1" si="4776"/>
        <v>0</v>
      </c>
      <c r="N1354" s="177">
        <f t="shared" ref="N1354:O1354" ca="1" si="4777">N1288+N1291+N1292+N1293+N1297+N1315+N1323+N1327+N1341+N1346</f>
        <v>610664.71055236226</v>
      </c>
      <c r="O1354" s="177">
        <f t="shared" ca="1" si="4777"/>
        <v>863689.13672200916</v>
      </c>
      <c r="P1354" s="177">
        <f t="shared" ref="P1354:Q1354" ca="1" si="4778">P1288+P1291+P1292+P1293+P1297+P1315+P1323+P1327+P1341+P1346</f>
        <v>1018849.9727182956</v>
      </c>
      <c r="Q1354" s="177">
        <f t="shared" ca="1" si="4778"/>
        <v>1175500.8517159168</v>
      </c>
      <c r="R1354" s="177">
        <f t="shared" ref="R1354:S1354" ca="1" si="4779">R1288+R1291+R1292+R1293+R1297+R1315+R1323+R1327+R1341+R1346</f>
        <v>1231868.2953123241</v>
      </c>
      <c r="S1354" s="177">
        <f t="shared" ca="1" si="4779"/>
        <v>1237864.4765295996</v>
      </c>
      <c r="T1354" s="177">
        <f t="shared" ref="T1354:U1354" ca="1" si="4780">T1288+T1291+T1292+T1293+T1297+T1315+T1323+T1327+T1341+T1346</f>
        <v>1449445.0444621497</v>
      </c>
      <c r="U1354" s="177">
        <f t="shared" ca="1" si="4780"/>
        <v>1456000.0163427703</v>
      </c>
      <c r="V1354" s="177">
        <f t="shared" ref="V1354:W1354" ca="1" si="4781">V1288+V1291+V1292+V1293+V1297+V1315+V1323+V1327+V1341+V1346</f>
        <v>1307667.6470183353</v>
      </c>
      <c r="W1354" s="177">
        <f t="shared" ca="1" si="4781"/>
        <v>1262142.4926905446</v>
      </c>
      <c r="X1354" s="177">
        <f t="shared" ref="X1354:Y1354" ca="1" si="4782">X1288+X1291+X1292+X1293+X1297+X1315+X1323+X1327+X1341+X1346</f>
        <v>1163492.6762766023</v>
      </c>
      <c r="Y1354" s="177">
        <f t="shared" ca="1" si="4782"/>
        <v>1432669.6936741122</v>
      </c>
      <c r="Z1354" s="177">
        <f t="shared" ref="Z1354:AA1354" ca="1" si="4783">Z1288+Z1291+Z1292+Z1293+Z1297+Z1315+Z1323+Z1327+Z1341+Z1346</f>
        <v>1809230.4858132759</v>
      </c>
      <c r="AA1354" s="177">
        <f t="shared" ca="1" si="4783"/>
        <v>1923853.0223251625</v>
      </c>
      <c r="AB1354" s="177">
        <f t="shared" ref="AB1354:AC1354" ca="1" si="4784">AB1288+AB1291+AB1292+AB1293+AB1297+AB1315+AB1323+AB1327+AB1341+AB1346</f>
        <v>1612671.5171257115</v>
      </c>
      <c r="AC1354" s="177">
        <f t="shared" ca="1" si="4784"/>
        <v>1245510.8116006942</v>
      </c>
      <c r="AD1354" s="177">
        <f t="shared" ref="AD1354:AE1354" ca="1" si="4785">AD1288+AD1291+AD1292+AD1293+AD1297+AD1315+AD1323+AD1327+AD1341+AD1346</f>
        <v>1144204.6548823616</v>
      </c>
      <c r="AE1354" s="177">
        <f t="shared" ca="1" si="4785"/>
        <v>1258190.6619403949</v>
      </c>
      <c r="AF1354" s="177">
        <f t="shared" ref="AF1354:AG1354" ca="1" si="4786">AF1288+AF1291+AF1292+AF1293+AF1297+AF1315+AF1323+AF1327+AF1341+AF1346</f>
        <v>1536411.7471298785</v>
      </c>
      <c r="AG1354" s="177">
        <f t="shared" ca="1" si="4786"/>
        <v>1543360.0173233366</v>
      </c>
      <c r="AH1354" s="177">
        <f t="shared" ref="AH1354:AI1354" ca="1" si="4787">AH1288+AH1291+AH1292+AH1293+AH1297+AH1315+AH1323+AH1327+AH1341+AH1346</f>
        <v>1386127.7058394358</v>
      </c>
      <c r="AI1354" s="177">
        <f t="shared" ca="1" si="4787"/>
        <v>1337871.0422519774</v>
      </c>
      <c r="AJ1354" s="177">
        <f t="shared" ref="AJ1354:AK1354" ca="1" si="4788">AJ1288+AJ1291+AJ1292+AJ1293+AJ1297+AJ1315+AJ1323+AJ1327+AJ1341+AJ1346</f>
        <v>1233302.2368531986</v>
      </c>
      <c r="AK1354" s="177">
        <f t="shared" ca="1" si="4788"/>
        <v>1518629.8752945592</v>
      </c>
      <c r="AL1354" s="177">
        <f t="shared" ref="AL1354:AM1354" ca="1" si="4789">AL1288+AL1291+AL1292+AL1293+AL1297+AL1315+AL1323+AL1327+AL1341+AL1346</f>
        <v>1917784.3149620728</v>
      </c>
      <c r="AM1354" s="177">
        <f t="shared" ca="1" si="4789"/>
        <v>2039284.2036646723</v>
      </c>
      <c r="AN1354" s="177">
        <f t="shared" ref="AN1354:AO1354" ca="1" si="4790">AN1288+AN1291+AN1292+AN1293+AN1297+AN1315+AN1323+AN1327+AN1341+AN1346</f>
        <v>1709431.808153254</v>
      </c>
      <c r="AO1354" s="177">
        <f t="shared" ca="1" si="4790"/>
        <v>1320241.4602967361</v>
      </c>
      <c r="AP1354" s="177">
        <f t="shared" ref="AP1354:AQ1354" ca="1" si="4791">AP1288+AP1291+AP1292+AP1293+AP1297+AP1315+AP1323+AP1327+AP1341+AP1346</f>
        <v>1212856.9341753032</v>
      </c>
      <c r="AQ1354" s="177">
        <f t="shared" ca="1" si="4791"/>
        <v>1333682.101656819</v>
      </c>
      <c r="AR1354" s="177">
        <f t="shared" ref="AR1354:AS1354" ca="1" si="4792">AR1288+AR1291+AR1292+AR1293+AR1297+AR1315+AR1323+AR1327+AR1341+AR1346</f>
        <v>1628596.4519576721</v>
      </c>
      <c r="AS1354" s="177">
        <f t="shared" ca="1" si="4792"/>
        <v>1635961.6183627371</v>
      </c>
      <c r="AT1354" s="177">
        <f t="shared" ref="AT1354:AU1354" ca="1" si="4793">AT1288+AT1291+AT1292+AT1293+AT1297+AT1315+AT1323+AT1327+AT1341+AT1346</f>
        <v>1469295.3681898024</v>
      </c>
      <c r="AU1354" s="177">
        <f t="shared" ca="1" si="4793"/>
        <v>1418143.3047870966</v>
      </c>
      <c r="AV1354" s="177">
        <f t="shared" ref="AV1354:AW1354" ca="1" si="4794">AV1288+AV1291+AV1292+AV1293+AV1297+AV1315+AV1323+AV1327+AV1341+AV1346</f>
        <v>1307300.371064391</v>
      </c>
      <c r="AW1354" s="177">
        <f t="shared" ca="1" si="4794"/>
        <v>1609747.6678122333</v>
      </c>
      <c r="AX1354" s="177">
        <f t="shared" ref="AX1354:AY1354" ca="1" si="4795">AX1288+AX1291+AX1292+AX1293+AX1297+AX1315+AX1323+AX1327+AX1341+AX1346</f>
        <v>2032851.3738597974</v>
      </c>
      <c r="AY1354" s="177">
        <f t="shared" ca="1" si="4795"/>
        <v>2161641.2558845538</v>
      </c>
      <c r="AZ1354" s="177">
        <f t="shared" ref="AZ1354:BA1354" ca="1" si="4796">AZ1288+AZ1291+AZ1292+AZ1293+AZ1297+AZ1315+AZ1323+AZ1327+AZ1341+AZ1346</f>
        <v>1811997.7166424498</v>
      </c>
      <c r="BA1354" s="177">
        <f t="shared" ca="1" si="4796"/>
        <v>1399455.9479145408</v>
      </c>
      <c r="BB1354" s="177">
        <f t="shared" ref="BB1354" ca="1" si="4797">BB1288+BB1291+BB1292+BB1293+BB1297+BB1315+BB1323+BB1327+BB1341+BB1346</f>
        <v>1285628.3502258221</v>
      </c>
      <c r="BD1354" s="178">
        <f ca="1">SUM(G1354:BC1354)</f>
        <v>59053119.042004973</v>
      </c>
    </row>
    <row r="1355" spans="1:56" s="195" customFormat="1" x14ac:dyDescent="0.3">
      <c r="A1355" s="169" t="str">
        <f ca="1">Language!A$1212</f>
        <v>Задолженность перед бюджетом и фондами</v>
      </c>
      <c r="B1355" s="169"/>
      <c r="C1355" s="194" t="str">
        <f t="shared" ca="1" si="4753"/>
        <v>руб.</v>
      </c>
      <c r="D1355" s="170"/>
      <c r="E1355" s="170"/>
      <c r="F1355" s="170" t="s">
        <v>741</v>
      </c>
      <c r="G1355" s="177">
        <f t="shared" ref="G1355:M1355" ca="1" si="4798">G1289+G1296+G1314+G1326+G1322+G1340+G1345</f>
        <v>0</v>
      </c>
      <c r="H1355" s="177">
        <f t="shared" ca="1" si="4798"/>
        <v>0</v>
      </c>
      <c r="I1355" s="177">
        <f t="shared" ca="1" si="4798"/>
        <v>0</v>
      </c>
      <c r="J1355" s="177">
        <f t="shared" ca="1" si="4798"/>
        <v>0</v>
      </c>
      <c r="K1355" s="177">
        <f t="shared" ca="1" si="4798"/>
        <v>0</v>
      </c>
      <c r="L1355" s="177">
        <f t="shared" ca="1" si="4798"/>
        <v>0</v>
      </c>
      <c r="M1355" s="177">
        <f t="shared" ca="1" si="4798"/>
        <v>610664.71055236214</v>
      </c>
      <c r="N1355" s="177">
        <f t="shared" ref="N1355:O1355" ca="1" si="4799">N1289+N1296+N1314+N1326+N1322+N1340+N1345</f>
        <v>863689.13672200916</v>
      </c>
      <c r="O1355" s="177">
        <f t="shared" ca="1" si="4799"/>
        <v>1018849.9727182956</v>
      </c>
      <c r="P1355" s="177">
        <f t="shared" ref="P1355:Q1355" ca="1" si="4800">P1289+P1296+P1314+P1326+P1322+P1340+P1345</f>
        <v>1175500.851715917</v>
      </c>
      <c r="Q1355" s="177">
        <f t="shared" ca="1" si="4800"/>
        <v>1231868.2953123241</v>
      </c>
      <c r="R1355" s="177">
        <f t="shared" ref="R1355:S1355" ca="1" si="4801">R1289+R1296+R1314+R1326+R1322+R1340+R1345</f>
        <v>1237864.4765295996</v>
      </c>
      <c r="S1355" s="177">
        <f t="shared" ca="1" si="4801"/>
        <v>1449445.0444621497</v>
      </c>
      <c r="T1355" s="177">
        <f t="shared" ref="T1355:U1355" ca="1" si="4802">T1289+T1296+T1314+T1326+T1322+T1340+T1345</f>
        <v>1456000.0163427703</v>
      </c>
      <c r="U1355" s="177">
        <f t="shared" ca="1" si="4802"/>
        <v>1307667.6470183353</v>
      </c>
      <c r="V1355" s="177">
        <f t="shared" ref="V1355:W1355" ca="1" si="4803">V1289+V1296+V1314+V1326+V1322+V1340+V1345</f>
        <v>1262142.4926905446</v>
      </c>
      <c r="W1355" s="177">
        <f t="shared" ca="1" si="4803"/>
        <v>1163492.6762766023</v>
      </c>
      <c r="X1355" s="177">
        <f t="shared" ref="X1355:Y1355" ca="1" si="4804">X1289+X1296+X1314+X1326+X1322+X1340+X1345</f>
        <v>1432669.6936741122</v>
      </c>
      <c r="Y1355" s="177">
        <f t="shared" ca="1" si="4804"/>
        <v>1809230.4858132759</v>
      </c>
      <c r="Z1355" s="177">
        <f t="shared" ref="Z1355:AA1355" ca="1" si="4805">Z1289+Z1296+Z1314+Z1326+Z1322+Z1340+Z1345</f>
        <v>1923853.0223251625</v>
      </c>
      <c r="AA1355" s="177">
        <f t="shared" ca="1" si="4805"/>
        <v>1612671.5171257115</v>
      </c>
      <c r="AB1355" s="177">
        <f t="shared" ref="AB1355:AC1355" ca="1" si="4806">AB1289+AB1296+AB1314+AB1326+AB1322+AB1340+AB1345</f>
        <v>1245510.8116006942</v>
      </c>
      <c r="AC1355" s="177">
        <f t="shared" ca="1" si="4806"/>
        <v>1144204.6548823616</v>
      </c>
      <c r="AD1355" s="177">
        <f t="shared" ref="AD1355:AE1355" ca="1" si="4807">AD1289+AD1296+AD1314+AD1326+AD1322+AD1340+AD1345</f>
        <v>1258190.6619403949</v>
      </c>
      <c r="AE1355" s="177">
        <f t="shared" ca="1" si="4807"/>
        <v>1536411.7471298785</v>
      </c>
      <c r="AF1355" s="177">
        <f t="shared" ref="AF1355:AG1355" ca="1" si="4808">AF1289+AF1296+AF1314+AF1326+AF1322+AF1340+AF1345</f>
        <v>1543360.0173233366</v>
      </c>
      <c r="AG1355" s="177">
        <f t="shared" ca="1" si="4808"/>
        <v>1386127.7058394358</v>
      </c>
      <c r="AH1355" s="177">
        <f t="shared" ref="AH1355:AI1355" ca="1" si="4809">AH1289+AH1296+AH1314+AH1326+AH1322+AH1340+AH1345</f>
        <v>1337871.0422519774</v>
      </c>
      <c r="AI1355" s="177">
        <f t="shared" ca="1" si="4809"/>
        <v>1233302.2368531986</v>
      </c>
      <c r="AJ1355" s="177">
        <f t="shared" ref="AJ1355:AK1355" ca="1" si="4810">AJ1289+AJ1296+AJ1314+AJ1326+AJ1322+AJ1340+AJ1345</f>
        <v>1518629.8752945592</v>
      </c>
      <c r="AK1355" s="177">
        <f t="shared" ca="1" si="4810"/>
        <v>1917784.3149620728</v>
      </c>
      <c r="AL1355" s="177">
        <f t="shared" ref="AL1355:AM1355" ca="1" si="4811">AL1289+AL1296+AL1314+AL1326+AL1322+AL1340+AL1345</f>
        <v>2039284.2036646723</v>
      </c>
      <c r="AM1355" s="177">
        <f t="shared" ca="1" si="4811"/>
        <v>1709431.808153254</v>
      </c>
      <c r="AN1355" s="177">
        <f t="shared" ref="AN1355:AO1355" ca="1" si="4812">AN1289+AN1296+AN1314+AN1326+AN1322+AN1340+AN1345</f>
        <v>1320241.4602967361</v>
      </c>
      <c r="AO1355" s="177">
        <f t="shared" ca="1" si="4812"/>
        <v>1212856.9341753032</v>
      </c>
      <c r="AP1355" s="177">
        <f t="shared" ref="AP1355:AQ1355" ca="1" si="4813">AP1289+AP1296+AP1314+AP1326+AP1322+AP1340+AP1345</f>
        <v>1333682.101656819</v>
      </c>
      <c r="AQ1355" s="177">
        <f t="shared" ca="1" si="4813"/>
        <v>1628596.4519576719</v>
      </c>
      <c r="AR1355" s="177">
        <f t="shared" ref="AR1355:AS1355" ca="1" si="4814">AR1289+AR1296+AR1314+AR1326+AR1322+AR1340+AR1345</f>
        <v>1635961.6183627371</v>
      </c>
      <c r="AS1355" s="177">
        <f t="shared" ca="1" si="4814"/>
        <v>1469295.3681898024</v>
      </c>
      <c r="AT1355" s="177">
        <f t="shared" ref="AT1355:AU1355" ca="1" si="4815">AT1289+AT1296+AT1314+AT1326+AT1322+AT1340+AT1345</f>
        <v>1418143.3047870966</v>
      </c>
      <c r="AU1355" s="177">
        <f t="shared" ca="1" si="4815"/>
        <v>1307300.371064391</v>
      </c>
      <c r="AV1355" s="177">
        <f t="shared" ref="AV1355:AW1355" ca="1" si="4816">AV1289+AV1296+AV1314+AV1326+AV1322+AV1340+AV1345</f>
        <v>1609747.6678122333</v>
      </c>
      <c r="AW1355" s="177">
        <f t="shared" ca="1" si="4816"/>
        <v>2032851.3738597974</v>
      </c>
      <c r="AX1355" s="177">
        <f t="shared" ref="AX1355:AY1355" ca="1" si="4817">AX1289+AX1296+AX1314+AX1326+AX1322+AX1340+AX1345</f>
        <v>2161641.2558845538</v>
      </c>
      <c r="AY1355" s="177">
        <f t="shared" ca="1" si="4817"/>
        <v>1811997.7166424498</v>
      </c>
      <c r="AZ1355" s="177">
        <f t="shared" ref="AZ1355:BA1355" ca="1" si="4818">AZ1289+AZ1296+AZ1314+AZ1326+AZ1322+AZ1340+AZ1345</f>
        <v>1399455.9479145408</v>
      </c>
      <c r="BA1355" s="177">
        <f t="shared" ca="1" si="4818"/>
        <v>1285628.3502258221</v>
      </c>
      <c r="BB1355" s="177">
        <f t="shared" ref="BB1355" ca="1" si="4819">BB1289+BB1296+BB1314+BB1326+BB1322+BB1340+BB1345</f>
        <v>1413703.0277562286</v>
      </c>
      <c r="BC1355" s="169"/>
      <c r="BD1355" s="178"/>
    </row>
    <row r="1356" spans="1:56" x14ac:dyDescent="0.3">
      <c r="A1356" s="196"/>
      <c r="B1356" s="196"/>
      <c r="C1356" s="196"/>
      <c r="D1356" s="197"/>
      <c r="E1356" s="197" t="s">
        <v>982</v>
      </c>
      <c r="F1356" s="197"/>
      <c r="G1356" s="242"/>
      <c r="H1356" s="242"/>
      <c r="I1356" s="242"/>
      <c r="J1356" s="242"/>
      <c r="K1356" s="242"/>
      <c r="L1356" s="242"/>
      <c r="M1356" s="242"/>
      <c r="N1356" s="242"/>
      <c r="O1356" s="242"/>
      <c r="P1356" s="242"/>
      <c r="Q1356" s="242"/>
      <c r="R1356" s="242"/>
      <c r="S1356" s="242"/>
      <c r="T1356" s="242"/>
      <c r="U1356" s="242"/>
      <c r="V1356" s="242"/>
      <c r="W1356" s="242"/>
      <c r="X1356" s="242"/>
      <c r="Y1356" s="242"/>
      <c r="Z1356" s="242"/>
      <c r="AA1356" s="242"/>
      <c r="AB1356" s="242"/>
      <c r="AC1356" s="242"/>
      <c r="AD1356" s="242"/>
      <c r="AE1356" s="242"/>
      <c r="AF1356" s="242"/>
      <c r="AG1356" s="242"/>
      <c r="AH1356" s="242"/>
      <c r="AI1356" s="242"/>
      <c r="AJ1356" s="242"/>
      <c r="AK1356" s="242"/>
      <c r="AL1356" s="242"/>
      <c r="AM1356" s="242"/>
      <c r="AN1356" s="242"/>
      <c r="AO1356" s="242"/>
      <c r="AP1356" s="242"/>
      <c r="AQ1356" s="242"/>
      <c r="AR1356" s="242"/>
      <c r="AS1356" s="242"/>
      <c r="AT1356" s="242"/>
      <c r="AU1356" s="242"/>
      <c r="AV1356" s="242"/>
      <c r="AW1356" s="242"/>
      <c r="AX1356" s="242"/>
      <c r="AY1356" s="242"/>
      <c r="AZ1356" s="242"/>
      <c r="BA1356" s="242"/>
      <c r="BB1356" s="242"/>
      <c r="BC1356" s="196"/>
      <c r="BD1356" s="204"/>
    </row>
  </sheetData>
  <sheetProtection formatCells="0"/>
  <mergeCells count="1">
    <mergeCell ref="A1:C2"/>
  </mergeCells>
  <dataValidations count="2">
    <dataValidation type="list" allowBlank="1" showInputMessage="1" showErrorMessage="1" sqref="B1203 B685 B1194 B1213 B20 B40 B188 B163 B444 B292 B433 B301 B1101 B1113 B82 B215 B102 B122 B361 B370 B382 B313 B322 B457 B523 B467 B477 B487 B239 B263 B863 B893 B1237 B1228 B62 B331 B340 B349 B497 B507" xr:uid="{00000000-0002-0000-0200-000000000000}">
      <formula1>"0,1"</formula1>
    </dataValidation>
    <dataValidation type="decimal" errorStyle="warning" allowBlank="1" showInputMessage="1" showErrorMessage="1" error="0% ... 50%" sqref="B684 B862 B892" xr:uid="{00000000-0002-0000-0200-000001000000}">
      <formula1>0</formula1>
      <formula2>0.5</formula2>
    </dataValidation>
  </dataValidations>
  <pageMargins left="0.7" right="0.7" top="0.75" bottom="0.75" header="0.3" footer="0.3"/>
  <pageSetup paperSize="9" orientation="portrait"/>
  <ignoredErrors>
    <ignoredError sqref="G646" formula="1"/>
    <ignoredError sqref="H648" formulaRange="1"/>
  </ignoredErrors>
  <drawing r:id="rId1"/>
  <legacyDrawing r:id="rId2"/>
  <mc:AlternateContent xmlns:mc="http://schemas.openxmlformats.org/markup-compatibility/2006">
    <mc:Choice Requires="x14">
      <controls>
        <mc:AlternateContent xmlns:mc="http://schemas.openxmlformats.org/markup-compatibility/2006">
          <mc:Choice Requires="x14">
            <control shapeId="1046" r:id="rId3" name="Button 22">
              <controlPr defaultSize="0" print="0" autoFill="0" autoPict="0" macro="[0]!Show_Navigator" altText="...">
                <anchor moveWithCells="1">
                  <from>
                    <xdr:col>0</xdr:col>
                    <xdr:colOff>38100</xdr:colOff>
                    <xdr:row>1188</xdr:row>
                    <xdr:rowOff>38100</xdr:rowOff>
                  </from>
                  <to>
                    <xdr:col>0</xdr:col>
                    <xdr:colOff>289560</xdr:colOff>
                    <xdr:row>1188</xdr:row>
                    <xdr:rowOff>289560</xdr:rowOff>
                  </to>
                </anchor>
              </controlPr>
            </control>
          </mc:Choice>
        </mc:AlternateContent>
        <mc:AlternateContent xmlns:mc="http://schemas.openxmlformats.org/markup-compatibility/2006">
          <mc:Choice Requires="x14">
            <control shapeId="1047" r:id="rId4" name="Button 23">
              <controlPr defaultSize="0" print="0" autoFill="0" autoPict="0" macro="[0]!Run_Data">
                <anchor moveWithCells="1">
                  <from>
                    <xdr:col>2</xdr:col>
                    <xdr:colOff>38100</xdr:colOff>
                    <xdr:row>1188</xdr:row>
                    <xdr:rowOff>38100</xdr:rowOff>
                  </from>
                  <to>
                    <xdr:col>6</xdr:col>
                    <xdr:colOff>0</xdr:colOff>
                    <xdr:row>1188</xdr:row>
                    <xdr:rowOff>289560</xdr:rowOff>
                  </to>
                </anchor>
              </controlPr>
            </control>
          </mc:Choice>
        </mc:AlternateContent>
        <mc:AlternateContent xmlns:mc="http://schemas.openxmlformats.org/markup-compatibility/2006">
          <mc:Choice Requires="x14">
            <control shapeId="1048" r:id="rId5" name="Button 24">
              <controlPr defaultSize="0" print="0" autoFill="0" autoPict="0" macro="[0]!Show_Navigator">
                <anchor moveWithCells="1">
                  <from>
                    <xdr:col>0</xdr:col>
                    <xdr:colOff>38100</xdr:colOff>
                    <xdr:row>1167</xdr:row>
                    <xdr:rowOff>38100</xdr:rowOff>
                  </from>
                  <to>
                    <xdr:col>0</xdr:col>
                    <xdr:colOff>289560</xdr:colOff>
                    <xdr:row>1167</xdr:row>
                    <xdr:rowOff>289560</xdr:rowOff>
                  </to>
                </anchor>
              </controlPr>
            </control>
          </mc:Choice>
        </mc:AlternateContent>
        <mc:AlternateContent xmlns:mc="http://schemas.openxmlformats.org/markup-compatibility/2006">
          <mc:Choice Requires="x14">
            <control shapeId="1049" r:id="rId6" name="Button 25">
              <controlPr defaultSize="0" print="0" autoFill="0" autoPict="0" macro="[0]!Run_Data">
                <anchor moveWithCells="1">
                  <from>
                    <xdr:col>2</xdr:col>
                    <xdr:colOff>38100</xdr:colOff>
                    <xdr:row>1167</xdr:row>
                    <xdr:rowOff>38100</xdr:rowOff>
                  </from>
                  <to>
                    <xdr:col>6</xdr:col>
                    <xdr:colOff>0</xdr:colOff>
                    <xdr:row>1167</xdr:row>
                    <xdr:rowOff>289560</xdr:rowOff>
                  </to>
                </anchor>
              </controlPr>
            </control>
          </mc:Choice>
        </mc:AlternateContent>
        <mc:AlternateContent xmlns:mc="http://schemas.openxmlformats.org/markup-compatibility/2006">
          <mc:Choice Requires="x14">
            <control shapeId="1050" r:id="rId7" name="Button 26">
              <controlPr defaultSize="0" print="0" autoFill="0" autoPict="0" macro="[0]!Show_Navigator">
                <anchor moveWithCells="1">
                  <from>
                    <xdr:col>0</xdr:col>
                    <xdr:colOff>38100</xdr:colOff>
                    <xdr:row>637</xdr:row>
                    <xdr:rowOff>38100</xdr:rowOff>
                  </from>
                  <to>
                    <xdr:col>0</xdr:col>
                    <xdr:colOff>289560</xdr:colOff>
                    <xdr:row>637</xdr:row>
                    <xdr:rowOff>289560</xdr:rowOff>
                  </to>
                </anchor>
              </controlPr>
            </control>
          </mc:Choice>
        </mc:AlternateContent>
        <mc:AlternateContent xmlns:mc="http://schemas.openxmlformats.org/markup-compatibility/2006">
          <mc:Choice Requires="x14">
            <control shapeId="1051" r:id="rId8" name="Button 27">
              <controlPr defaultSize="0" print="0" autoFill="0" autoPict="0" macro="[0]!Run_Data">
                <anchor moveWithCells="1">
                  <from>
                    <xdr:col>2</xdr:col>
                    <xdr:colOff>38100</xdr:colOff>
                    <xdr:row>637</xdr:row>
                    <xdr:rowOff>38100</xdr:rowOff>
                  </from>
                  <to>
                    <xdr:col>6</xdr:col>
                    <xdr:colOff>0</xdr:colOff>
                    <xdr:row>637</xdr:row>
                    <xdr:rowOff>289560</xdr:rowOff>
                  </to>
                </anchor>
              </controlPr>
            </control>
          </mc:Choice>
        </mc:AlternateContent>
        <mc:AlternateContent xmlns:mc="http://schemas.openxmlformats.org/markup-compatibility/2006">
          <mc:Choice Requires="x14">
            <control shapeId="1084" r:id="rId9" name="Button 60">
              <controlPr defaultSize="0" print="0" autoFill="0" autoPict="0" macro="[0]!Show_Navigator">
                <anchor moveWithCells="1">
                  <from>
                    <xdr:col>0</xdr:col>
                    <xdr:colOff>38100</xdr:colOff>
                    <xdr:row>999</xdr:row>
                    <xdr:rowOff>38100</xdr:rowOff>
                  </from>
                  <to>
                    <xdr:col>0</xdr:col>
                    <xdr:colOff>289560</xdr:colOff>
                    <xdr:row>1095</xdr:row>
                    <xdr:rowOff>76200</xdr:rowOff>
                  </to>
                </anchor>
              </controlPr>
            </control>
          </mc:Choice>
        </mc:AlternateContent>
        <mc:AlternateContent xmlns:mc="http://schemas.openxmlformats.org/markup-compatibility/2006">
          <mc:Choice Requires="x14">
            <control shapeId="1085" r:id="rId10" name="Button 61">
              <controlPr defaultSize="0" print="0" autoFill="0" autoPict="0" macro="[0]!Run_Data">
                <anchor moveWithCells="1">
                  <from>
                    <xdr:col>2</xdr:col>
                    <xdr:colOff>38100</xdr:colOff>
                    <xdr:row>999</xdr:row>
                    <xdr:rowOff>38100</xdr:rowOff>
                  </from>
                  <to>
                    <xdr:col>6</xdr:col>
                    <xdr:colOff>0</xdr:colOff>
                    <xdr:row>1095</xdr:row>
                    <xdr:rowOff>76200</xdr:rowOff>
                  </to>
                </anchor>
              </controlPr>
            </control>
          </mc:Choice>
        </mc:AlternateContent>
        <mc:AlternateContent xmlns:mc="http://schemas.openxmlformats.org/markup-compatibility/2006">
          <mc:Choice Requires="x14">
            <control shapeId="1086" r:id="rId11" name="Button 62">
              <controlPr defaultSize="0" print="0" autoFill="0" autoPict="0" macro="[0]!Show_Navigator">
                <anchor moveWithCells="1">
                  <from>
                    <xdr:col>0</xdr:col>
                    <xdr:colOff>38100</xdr:colOff>
                    <xdr:row>1055</xdr:row>
                    <xdr:rowOff>38100</xdr:rowOff>
                  </from>
                  <to>
                    <xdr:col>0</xdr:col>
                    <xdr:colOff>289560</xdr:colOff>
                    <xdr:row>1095</xdr:row>
                    <xdr:rowOff>76200</xdr:rowOff>
                  </to>
                </anchor>
              </controlPr>
            </control>
          </mc:Choice>
        </mc:AlternateContent>
        <mc:AlternateContent xmlns:mc="http://schemas.openxmlformats.org/markup-compatibility/2006">
          <mc:Choice Requires="x14">
            <control shapeId="1087" r:id="rId12" name="Button 63">
              <controlPr defaultSize="0" print="0" autoFill="0" autoPict="0" macro="[0]!Run_Data">
                <anchor moveWithCells="1">
                  <from>
                    <xdr:col>2</xdr:col>
                    <xdr:colOff>38100</xdr:colOff>
                    <xdr:row>1055</xdr:row>
                    <xdr:rowOff>38100</xdr:rowOff>
                  </from>
                  <to>
                    <xdr:col>6</xdr:col>
                    <xdr:colOff>0</xdr:colOff>
                    <xdr:row>1095</xdr:row>
                    <xdr:rowOff>76200</xdr:rowOff>
                  </to>
                </anchor>
              </controlPr>
            </control>
          </mc:Choice>
        </mc:AlternateContent>
        <mc:AlternateContent xmlns:mc="http://schemas.openxmlformats.org/markup-compatibility/2006">
          <mc:Choice Requires="x14">
            <control shapeId="1089" r:id="rId13" name="Button 65">
              <controlPr defaultSize="0" print="0" autoFill="0" autoPict="0" macro="[0]!Show_Navigator">
                <anchor moveWithCells="1">
                  <from>
                    <xdr:col>0</xdr:col>
                    <xdr:colOff>38100</xdr:colOff>
                    <xdr:row>422</xdr:row>
                    <xdr:rowOff>38100</xdr:rowOff>
                  </from>
                  <to>
                    <xdr:col>0</xdr:col>
                    <xdr:colOff>289560</xdr:colOff>
                    <xdr:row>422</xdr:row>
                    <xdr:rowOff>289560</xdr:rowOff>
                  </to>
                </anchor>
              </controlPr>
            </control>
          </mc:Choice>
        </mc:AlternateContent>
        <mc:AlternateContent xmlns:mc="http://schemas.openxmlformats.org/markup-compatibility/2006">
          <mc:Choice Requires="x14">
            <control shapeId="1090" r:id="rId14" name="Button 66">
              <controlPr defaultSize="0" print="0" autoFill="0" autoPict="0" macro="[0]!Run_Data">
                <anchor moveWithCells="1">
                  <from>
                    <xdr:col>2</xdr:col>
                    <xdr:colOff>38100</xdr:colOff>
                    <xdr:row>422</xdr:row>
                    <xdr:rowOff>38100</xdr:rowOff>
                  </from>
                  <to>
                    <xdr:col>6</xdr:col>
                    <xdr:colOff>0</xdr:colOff>
                    <xdr:row>422</xdr:row>
                    <xdr:rowOff>289560</xdr:rowOff>
                  </to>
                </anchor>
              </controlPr>
            </control>
          </mc:Choice>
        </mc:AlternateContent>
        <mc:AlternateContent xmlns:mc="http://schemas.openxmlformats.org/markup-compatibility/2006">
          <mc:Choice Requires="x14">
            <control shapeId="1091" r:id="rId15" name="Button 67">
              <controlPr defaultSize="0" print="0" autoFill="0" autoPict="0" macro="[0]!Show_Navigator">
                <anchor moveWithCells="1">
                  <from>
                    <xdr:col>0</xdr:col>
                    <xdr:colOff>38100</xdr:colOff>
                    <xdr:row>283</xdr:row>
                    <xdr:rowOff>38100</xdr:rowOff>
                  </from>
                  <to>
                    <xdr:col>0</xdr:col>
                    <xdr:colOff>289560</xdr:colOff>
                    <xdr:row>283</xdr:row>
                    <xdr:rowOff>289560</xdr:rowOff>
                  </to>
                </anchor>
              </controlPr>
            </control>
          </mc:Choice>
        </mc:AlternateContent>
        <mc:AlternateContent xmlns:mc="http://schemas.openxmlformats.org/markup-compatibility/2006">
          <mc:Choice Requires="x14">
            <control shapeId="1092" r:id="rId16" name="Button 68">
              <controlPr defaultSize="0" print="0" autoFill="0" autoPict="0" macro="[0]!Run_Data">
                <anchor moveWithCells="1">
                  <from>
                    <xdr:col>2</xdr:col>
                    <xdr:colOff>38100</xdr:colOff>
                    <xdr:row>283</xdr:row>
                    <xdr:rowOff>38100</xdr:rowOff>
                  </from>
                  <to>
                    <xdr:col>6</xdr:col>
                    <xdr:colOff>0</xdr:colOff>
                    <xdr:row>283</xdr:row>
                    <xdr:rowOff>289560</xdr:rowOff>
                  </to>
                </anchor>
              </controlPr>
            </control>
          </mc:Choice>
        </mc:AlternateContent>
        <mc:AlternateContent xmlns:mc="http://schemas.openxmlformats.org/markup-compatibility/2006">
          <mc:Choice Requires="x14">
            <control shapeId="1109" r:id="rId17" name="Button 85">
              <controlPr defaultSize="0" print="0" autoFill="0" autoPict="0" macro="[0]!Show_Navigator">
                <anchor moveWithCells="1">
                  <from>
                    <xdr:col>0</xdr:col>
                    <xdr:colOff>38100</xdr:colOff>
                    <xdr:row>3</xdr:row>
                    <xdr:rowOff>38100</xdr:rowOff>
                  </from>
                  <to>
                    <xdr:col>0</xdr:col>
                    <xdr:colOff>289560</xdr:colOff>
                    <xdr:row>3</xdr:row>
                    <xdr:rowOff>289560</xdr:rowOff>
                  </to>
                </anchor>
              </controlPr>
            </control>
          </mc:Choice>
        </mc:AlternateContent>
        <mc:AlternateContent xmlns:mc="http://schemas.openxmlformats.org/markup-compatibility/2006">
          <mc:Choice Requires="x14">
            <control shapeId="1110" r:id="rId18" name="Button 86">
              <controlPr defaultSize="0" print="0" autoFill="0" autoPict="0" macro="[0]!Run_Data">
                <anchor moveWithCells="1">
                  <from>
                    <xdr:col>2</xdr:col>
                    <xdr:colOff>38100</xdr:colOff>
                    <xdr:row>3</xdr:row>
                    <xdr:rowOff>38100</xdr:rowOff>
                  </from>
                  <to>
                    <xdr:col>6</xdr:col>
                    <xdr:colOff>0</xdr:colOff>
                    <xdr:row>3</xdr:row>
                    <xdr:rowOff>289560</xdr:rowOff>
                  </to>
                </anchor>
              </controlPr>
            </control>
          </mc:Choice>
        </mc:AlternateContent>
        <mc:AlternateContent xmlns:mc="http://schemas.openxmlformats.org/markup-compatibility/2006">
          <mc:Choice Requires="x14">
            <control shapeId="1111" r:id="rId19" name="Button 87">
              <controlPr defaultSize="0" print="0" autoFill="0" autoPict="0" macro="[0]!Show_Navigator">
                <anchor moveWithCells="1">
                  <from>
                    <xdr:col>0</xdr:col>
                    <xdr:colOff>38100</xdr:colOff>
                    <xdr:row>139</xdr:row>
                    <xdr:rowOff>38100</xdr:rowOff>
                  </from>
                  <to>
                    <xdr:col>0</xdr:col>
                    <xdr:colOff>289560</xdr:colOff>
                    <xdr:row>139</xdr:row>
                    <xdr:rowOff>289560</xdr:rowOff>
                  </to>
                </anchor>
              </controlPr>
            </control>
          </mc:Choice>
        </mc:AlternateContent>
        <mc:AlternateContent xmlns:mc="http://schemas.openxmlformats.org/markup-compatibility/2006">
          <mc:Choice Requires="x14">
            <control shapeId="1112" r:id="rId20" name="Button 88">
              <controlPr defaultSize="0" print="0" autoFill="0" autoPict="0" macro="[0]!Run_Data">
                <anchor moveWithCells="1">
                  <from>
                    <xdr:col>2</xdr:col>
                    <xdr:colOff>38100</xdr:colOff>
                    <xdr:row>139</xdr:row>
                    <xdr:rowOff>38100</xdr:rowOff>
                  </from>
                  <to>
                    <xdr:col>6</xdr:col>
                    <xdr:colOff>0</xdr:colOff>
                    <xdr:row>139</xdr:row>
                    <xdr:rowOff>289560</xdr:rowOff>
                  </to>
                </anchor>
              </controlPr>
            </control>
          </mc:Choice>
        </mc:AlternateContent>
        <mc:AlternateContent xmlns:mc="http://schemas.openxmlformats.org/markup-compatibility/2006">
          <mc:Choice Requires="x14">
            <control shapeId="1113" r:id="rId21" name="Button 89">
              <controlPr defaultSize="0" print="0" autoFill="0" autoPict="0" macro="[0]!Show_Navigator" altText="...">
                <anchor moveWithCells="1">
                  <from>
                    <xdr:col>0</xdr:col>
                    <xdr:colOff>38100</xdr:colOff>
                    <xdr:row>1268</xdr:row>
                    <xdr:rowOff>38100</xdr:rowOff>
                  </from>
                  <to>
                    <xdr:col>0</xdr:col>
                    <xdr:colOff>289560</xdr:colOff>
                    <xdr:row>1268</xdr:row>
                    <xdr:rowOff>289560</xdr:rowOff>
                  </to>
                </anchor>
              </controlPr>
            </control>
          </mc:Choice>
        </mc:AlternateContent>
        <mc:AlternateContent xmlns:mc="http://schemas.openxmlformats.org/markup-compatibility/2006">
          <mc:Choice Requires="x14">
            <control shapeId="1116" r:id="rId22" name="Button 92">
              <controlPr defaultSize="0" print="0" autoFill="0" autoPict="0" macro="[0]!Show_Navigator">
                <anchor moveWithCells="1">
                  <from>
                    <xdr:col>0</xdr:col>
                    <xdr:colOff>38100</xdr:colOff>
                    <xdr:row>569</xdr:row>
                    <xdr:rowOff>38100</xdr:rowOff>
                  </from>
                  <to>
                    <xdr:col>0</xdr:col>
                    <xdr:colOff>289560</xdr:colOff>
                    <xdr:row>569</xdr:row>
                    <xdr:rowOff>289560</xdr:rowOff>
                  </to>
                </anchor>
              </controlPr>
            </control>
          </mc:Choice>
        </mc:AlternateContent>
        <mc:AlternateContent xmlns:mc="http://schemas.openxmlformats.org/markup-compatibility/2006">
          <mc:Choice Requires="x14">
            <control shapeId="1117" r:id="rId23" name="Button 93">
              <controlPr defaultSize="0" print="0" autoFill="0" autoPict="0" macro="[0]!Show_Navigator">
                <anchor moveWithCells="1">
                  <from>
                    <xdr:col>0</xdr:col>
                    <xdr:colOff>38100</xdr:colOff>
                    <xdr:row>1141</xdr:row>
                    <xdr:rowOff>38100</xdr:rowOff>
                  </from>
                  <to>
                    <xdr:col>0</xdr:col>
                    <xdr:colOff>289560</xdr:colOff>
                    <xdr:row>1167</xdr:row>
                    <xdr:rowOff>76200</xdr:rowOff>
                  </to>
                </anchor>
              </controlPr>
            </control>
          </mc:Choice>
        </mc:AlternateContent>
        <mc:AlternateContent xmlns:mc="http://schemas.openxmlformats.org/markup-compatibility/2006">
          <mc:Choice Requires="x14">
            <control shapeId="1118" r:id="rId24" name="Button 94">
              <controlPr defaultSize="0" print="0" autoFill="0" autoPict="0" macro="[0]!Run_Data">
                <anchor moveWithCells="1">
                  <from>
                    <xdr:col>2</xdr:col>
                    <xdr:colOff>38100</xdr:colOff>
                    <xdr:row>1141</xdr:row>
                    <xdr:rowOff>38100</xdr:rowOff>
                  </from>
                  <to>
                    <xdr:col>6</xdr:col>
                    <xdr:colOff>0</xdr:colOff>
                    <xdr:row>1167</xdr:row>
                    <xdr:rowOff>76200</xdr:rowOff>
                  </to>
                </anchor>
              </controlPr>
            </control>
          </mc:Choice>
        </mc:AlternateContent>
        <mc:AlternateContent xmlns:mc="http://schemas.openxmlformats.org/markup-compatibility/2006">
          <mc:Choice Requires="x14">
            <control shapeId="1119" r:id="rId25" name="Button 95">
              <controlPr defaultSize="0" print="0" autoFill="0" autoPict="0" macro="[0]!Run_Data">
                <anchor moveWithCells="1">
                  <from>
                    <xdr:col>2</xdr:col>
                    <xdr:colOff>38100</xdr:colOff>
                    <xdr:row>1268</xdr:row>
                    <xdr:rowOff>38100</xdr:rowOff>
                  </from>
                  <to>
                    <xdr:col>6</xdr:col>
                    <xdr:colOff>0</xdr:colOff>
                    <xdr:row>1268</xdr:row>
                    <xdr:rowOff>289560</xdr:rowOff>
                  </to>
                </anchor>
              </controlPr>
            </control>
          </mc:Choice>
        </mc:AlternateContent>
        <mc:AlternateContent xmlns:mc="http://schemas.openxmlformats.org/markup-compatibility/2006">
          <mc:Choice Requires="x14">
            <control shapeId="1120" r:id="rId26" name="Button 96">
              <controlPr defaultSize="0" print="0" autoFill="0" autoPict="0" macro="[0]!Show_Navigator" altText="...">
                <anchor moveWithCells="1">
                  <from>
                    <xdr:col>0</xdr:col>
                    <xdr:colOff>38100</xdr:colOff>
                    <xdr:row>1095</xdr:row>
                    <xdr:rowOff>38100</xdr:rowOff>
                  </from>
                  <to>
                    <xdr:col>0</xdr:col>
                    <xdr:colOff>289560</xdr:colOff>
                    <xdr:row>1095</xdr:row>
                    <xdr:rowOff>289560</xdr:rowOff>
                  </to>
                </anchor>
              </controlPr>
            </control>
          </mc:Choice>
        </mc:AlternateContent>
        <mc:AlternateContent xmlns:mc="http://schemas.openxmlformats.org/markup-compatibility/2006">
          <mc:Choice Requires="x14">
            <control shapeId="1121" r:id="rId27" name="Button 97">
              <controlPr defaultSize="0" print="0" autoFill="0" autoPict="0" macro="[0]!Run_Data">
                <anchor moveWithCells="1">
                  <from>
                    <xdr:col>2</xdr:col>
                    <xdr:colOff>38100</xdr:colOff>
                    <xdr:row>1095</xdr:row>
                    <xdr:rowOff>38100</xdr:rowOff>
                  </from>
                  <to>
                    <xdr:col>6</xdr:col>
                    <xdr:colOff>0</xdr:colOff>
                    <xdr:row>1095</xdr:row>
                    <xdr:rowOff>289560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4">
    <tabColor theme="4" tint="-0.499984740745262"/>
    <outlinePr summaryBelow="0" summaryRight="0"/>
  </sheetPr>
  <dimension ref="A1:BF519"/>
  <sheetViews>
    <sheetView workbookViewId="0">
      <pane xSplit="6" ySplit="2" topLeftCell="G275" activePane="bottomRight" state="frozen"/>
      <selection pane="topRight" activeCell="G1" sqref="G1"/>
      <selection pane="bottomLeft" activeCell="A3" sqref="A3"/>
      <selection pane="bottomRight" activeCell="I290" sqref="I290"/>
    </sheetView>
  </sheetViews>
  <sheetFormatPr defaultColWidth="8.77734375" defaultRowHeight="13.8" outlineLevelRow="1" x14ac:dyDescent="0.3"/>
  <cols>
    <col min="1" max="1" width="50.5546875" style="5" customWidth="1"/>
    <col min="2" max="2" width="12.5546875" style="21" customWidth="1"/>
    <col min="3" max="3" width="12.5546875" style="48" customWidth="1"/>
    <col min="4" max="4" width="6.5546875" style="6" hidden="1" customWidth="1"/>
    <col min="5" max="5" width="12.5546875" style="6" hidden="1" customWidth="1"/>
    <col min="6" max="6" width="24.5546875" style="6" hidden="1" customWidth="1"/>
    <col min="7" max="54" width="12.5546875" style="5" customWidth="1"/>
    <col min="55" max="55" width="1.5546875" style="5" customWidth="1"/>
    <col min="56" max="56" width="12.5546875" style="5" customWidth="1"/>
    <col min="57" max="16384" width="8.77734375" style="5"/>
  </cols>
  <sheetData>
    <row r="1" spans="1:56" x14ac:dyDescent="0.3">
      <c r="A1" s="456" t="str">
        <f ca="1">Language!A1213 &amp; " :: " &amp; Prj_Name</f>
        <v>Результаты :: SPORT PLACE</v>
      </c>
      <c r="B1" s="457"/>
      <c r="C1" s="457"/>
      <c r="D1" s="1" t="s">
        <v>6</v>
      </c>
      <c r="E1" s="1" t="s">
        <v>4</v>
      </c>
      <c r="F1" s="1" t="s">
        <v>5</v>
      </c>
      <c r="G1" s="1" t="str">
        <f ca="1">Параметры!G$34</f>
        <v>янв.25</v>
      </c>
      <c r="H1" s="1" t="str">
        <f ca="1">Параметры!H$34</f>
        <v>фев.25</v>
      </c>
      <c r="I1" s="1" t="str">
        <f ca="1">Параметры!I$34</f>
        <v>мар.25</v>
      </c>
      <c r="J1" s="1" t="str">
        <f ca="1">Параметры!J$34</f>
        <v>апр.25</v>
      </c>
      <c r="K1" s="1" t="str">
        <f ca="1">Параметры!K$34</f>
        <v>май.25</v>
      </c>
      <c r="L1" s="1" t="str">
        <f ca="1">Параметры!L$34</f>
        <v>июн.25</v>
      </c>
      <c r="M1" s="1" t="str">
        <f ca="1">Параметры!M$34</f>
        <v>июл.25</v>
      </c>
      <c r="N1" s="1" t="str">
        <f ca="1">Параметры!N$34</f>
        <v>авг.25</v>
      </c>
      <c r="O1" s="1" t="str">
        <f ca="1">Параметры!O$34</f>
        <v>сен.25</v>
      </c>
      <c r="P1" s="1" t="str">
        <f ca="1">Параметры!P$34</f>
        <v>окт.25</v>
      </c>
      <c r="Q1" s="1" t="str">
        <f ca="1">Параметры!Q$34</f>
        <v>ноя.25</v>
      </c>
      <c r="R1" s="1" t="str">
        <f ca="1">Параметры!R$34</f>
        <v>дек.25</v>
      </c>
      <c r="S1" s="1" t="str">
        <f ca="1">Параметры!S$34</f>
        <v>янв.26</v>
      </c>
      <c r="T1" s="1" t="str">
        <f ca="1">Параметры!T$34</f>
        <v>фев.26</v>
      </c>
      <c r="U1" s="1" t="str">
        <f ca="1">Параметры!U$34</f>
        <v>мар.26</v>
      </c>
      <c r="V1" s="1" t="str">
        <f ca="1">Параметры!V$34</f>
        <v>апр.26</v>
      </c>
      <c r="W1" s="1" t="str">
        <f ca="1">Параметры!W$34</f>
        <v>май.26</v>
      </c>
      <c r="X1" s="1" t="str">
        <f ca="1">Параметры!X$34</f>
        <v>июн.26</v>
      </c>
      <c r="Y1" s="1" t="str">
        <f ca="1">Параметры!Y$34</f>
        <v>июл.26</v>
      </c>
      <c r="Z1" s="1" t="str">
        <f ca="1">Параметры!Z$34</f>
        <v>авг.26</v>
      </c>
      <c r="AA1" s="1" t="str">
        <f ca="1">Параметры!AA$34</f>
        <v>сен.26</v>
      </c>
      <c r="AB1" s="1" t="str">
        <f ca="1">Параметры!AB$34</f>
        <v>окт.26</v>
      </c>
      <c r="AC1" s="1" t="str">
        <f ca="1">Параметры!AC$34</f>
        <v>ноя.26</v>
      </c>
      <c r="AD1" s="1" t="str">
        <f ca="1">Параметры!AD$34</f>
        <v>дек.26</v>
      </c>
      <c r="AE1" s="1" t="str">
        <f ca="1">Параметры!AE$34</f>
        <v>янв.27</v>
      </c>
      <c r="AF1" s="1" t="str">
        <f ca="1">Параметры!AF$34</f>
        <v>фев.27</v>
      </c>
      <c r="AG1" s="1" t="str">
        <f ca="1">Параметры!AG$34</f>
        <v>мар.27</v>
      </c>
      <c r="AH1" s="1" t="str">
        <f ca="1">Параметры!AH$34</f>
        <v>апр.27</v>
      </c>
      <c r="AI1" s="1" t="str">
        <f ca="1">Параметры!AI$34</f>
        <v>май.27</v>
      </c>
      <c r="AJ1" s="1" t="str">
        <f ca="1">Параметры!AJ$34</f>
        <v>июн.27</v>
      </c>
      <c r="AK1" s="1" t="str">
        <f ca="1">Параметры!AK$34</f>
        <v>июл.27</v>
      </c>
      <c r="AL1" s="1" t="str">
        <f ca="1">Параметры!AL$34</f>
        <v>авг.27</v>
      </c>
      <c r="AM1" s="1" t="str">
        <f ca="1">Параметры!AM$34</f>
        <v>сен.27</v>
      </c>
      <c r="AN1" s="1" t="str">
        <f ca="1">Параметры!AN$34</f>
        <v>окт.27</v>
      </c>
      <c r="AO1" s="1" t="str">
        <f ca="1">Параметры!AO$34</f>
        <v>ноя.27</v>
      </c>
      <c r="AP1" s="1" t="str">
        <f ca="1">Параметры!AP$34</f>
        <v>дек.27</v>
      </c>
      <c r="AQ1" s="1" t="str">
        <f ca="1">Параметры!AQ$34</f>
        <v>янв.28</v>
      </c>
      <c r="AR1" s="1" t="str">
        <f ca="1">Параметры!AR$34</f>
        <v>фев.28</v>
      </c>
      <c r="AS1" s="1" t="str">
        <f ca="1">Параметры!AS$34</f>
        <v>мар.28</v>
      </c>
      <c r="AT1" s="1" t="str">
        <f ca="1">Параметры!AT$34</f>
        <v>апр.28</v>
      </c>
      <c r="AU1" s="1" t="str">
        <f ca="1">Параметры!AU$34</f>
        <v>май.28</v>
      </c>
      <c r="AV1" s="1" t="str">
        <f ca="1">Параметры!AV$34</f>
        <v>июн.28</v>
      </c>
      <c r="AW1" s="1" t="str">
        <f ca="1">Параметры!AW$34</f>
        <v>июл.28</v>
      </c>
      <c r="AX1" s="1" t="str">
        <f ca="1">Параметры!AX$34</f>
        <v>авг.28</v>
      </c>
      <c r="AY1" s="1" t="str">
        <f ca="1">Параметры!AY$34</f>
        <v>сен.28</v>
      </c>
      <c r="AZ1" s="1" t="str">
        <f ca="1">Параметры!AZ$34</f>
        <v>окт.28</v>
      </c>
      <c r="BA1" s="1" t="str">
        <f ca="1">Параметры!BA$34</f>
        <v>ноя.28</v>
      </c>
      <c r="BB1" s="1" t="str">
        <f ca="1">Параметры!BB$34</f>
        <v>дек.28</v>
      </c>
      <c r="BC1" s="6"/>
      <c r="BD1" s="39" t="str">
        <f ca="1">Language!$A$1473</f>
        <v>ИТОГО</v>
      </c>
    </row>
    <row r="2" spans="1:56" x14ac:dyDescent="0.3">
      <c r="A2" s="457"/>
      <c r="B2" s="457"/>
      <c r="C2" s="457"/>
      <c r="D2" s="11"/>
      <c r="E2" s="11"/>
      <c r="F2" s="11"/>
      <c r="G2" s="1">
        <f>Параметры!G25</f>
        <v>1</v>
      </c>
      <c r="H2" s="1">
        <f>Параметры!H25</f>
        <v>2</v>
      </c>
      <c r="I2" s="1">
        <f>Параметры!I25</f>
        <v>3</v>
      </c>
      <c r="J2" s="1">
        <f>Параметры!J25</f>
        <v>4</v>
      </c>
      <c r="K2" s="1">
        <f>Параметры!K25</f>
        <v>5</v>
      </c>
      <c r="L2" s="1">
        <f>Параметры!L25</f>
        <v>6</v>
      </c>
      <c r="M2" s="1">
        <f>Параметры!M25</f>
        <v>7</v>
      </c>
      <c r="N2" s="1">
        <f>Параметры!N25</f>
        <v>8</v>
      </c>
      <c r="O2" s="1">
        <f>Параметры!O25</f>
        <v>9</v>
      </c>
      <c r="P2" s="1">
        <f>Параметры!P25</f>
        <v>10</v>
      </c>
      <c r="Q2" s="1">
        <f>Параметры!Q25</f>
        <v>11</v>
      </c>
      <c r="R2" s="1">
        <f>Параметры!R25</f>
        <v>12</v>
      </c>
      <c r="S2" s="1">
        <f>Параметры!S25</f>
        <v>13</v>
      </c>
      <c r="T2" s="1">
        <f>Параметры!T25</f>
        <v>14</v>
      </c>
      <c r="U2" s="1">
        <f>Параметры!U25</f>
        <v>15</v>
      </c>
      <c r="V2" s="1">
        <f>Параметры!V25</f>
        <v>16</v>
      </c>
      <c r="W2" s="1">
        <f>Параметры!W25</f>
        <v>17</v>
      </c>
      <c r="X2" s="1">
        <f>Параметры!X25</f>
        <v>18</v>
      </c>
      <c r="Y2" s="1">
        <f>Параметры!Y25</f>
        <v>19</v>
      </c>
      <c r="Z2" s="1">
        <f>Параметры!Z25</f>
        <v>20</v>
      </c>
      <c r="AA2" s="1">
        <f>Параметры!AA25</f>
        <v>21</v>
      </c>
      <c r="AB2" s="1">
        <f>Параметры!AB25</f>
        <v>22</v>
      </c>
      <c r="AC2" s="1">
        <f>Параметры!AC25</f>
        <v>23</v>
      </c>
      <c r="AD2" s="1">
        <f>Параметры!AD25</f>
        <v>24</v>
      </c>
      <c r="AE2" s="1">
        <f>Параметры!AE25</f>
        <v>25</v>
      </c>
      <c r="AF2" s="1">
        <f>Параметры!AF25</f>
        <v>26</v>
      </c>
      <c r="AG2" s="1">
        <f>Параметры!AG25</f>
        <v>27</v>
      </c>
      <c r="AH2" s="1">
        <f>Параметры!AH25</f>
        <v>28</v>
      </c>
      <c r="AI2" s="1">
        <f>Параметры!AI25</f>
        <v>29</v>
      </c>
      <c r="AJ2" s="1">
        <f>Параметры!AJ25</f>
        <v>30</v>
      </c>
      <c r="AK2" s="1">
        <f>Параметры!AK25</f>
        <v>31</v>
      </c>
      <c r="AL2" s="1">
        <f>Параметры!AL25</f>
        <v>32</v>
      </c>
      <c r="AM2" s="1">
        <f>Параметры!AM25</f>
        <v>33</v>
      </c>
      <c r="AN2" s="1">
        <f>Параметры!AN25</f>
        <v>34</v>
      </c>
      <c r="AO2" s="1">
        <f>Параметры!AO25</f>
        <v>35</v>
      </c>
      <c r="AP2" s="1">
        <f>Параметры!AP25</f>
        <v>36</v>
      </c>
      <c r="AQ2" s="1">
        <f>Параметры!AQ25</f>
        <v>37</v>
      </c>
      <c r="AR2" s="1">
        <f>Параметры!AR25</f>
        <v>38</v>
      </c>
      <c r="AS2" s="1">
        <f>Параметры!AS25</f>
        <v>39</v>
      </c>
      <c r="AT2" s="1">
        <f>Параметры!AT25</f>
        <v>40</v>
      </c>
      <c r="AU2" s="1">
        <f>Параметры!AU25</f>
        <v>41</v>
      </c>
      <c r="AV2" s="1">
        <f>Параметры!AV25</f>
        <v>42</v>
      </c>
      <c r="AW2" s="1">
        <f>Параметры!AW25</f>
        <v>43</v>
      </c>
      <c r="AX2" s="1">
        <f>Параметры!AX25</f>
        <v>44</v>
      </c>
      <c r="AY2" s="1">
        <f>Параметры!AY25</f>
        <v>45</v>
      </c>
      <c r="AZ2" s="1">
        <f>Параметры!AZ25</f>
        <v>46</v>
      </c>
      <c r="BA2" s="1">
        <f>Параметры!BA25</f>
        <v>47</v>
      </c>
      <c r="BB2" s="1">
        <f>Параметры!BB25</f>
        <v>48</v>
      </c>
      <c r="BC2" s="6"/>
      <c r="BD2" s="6"/>
    </row>
    <row r="3" spans="1:56" x14ac:dyDescent="0.3">
      <c r="A3" s="9"/>
      <c r="B3" s="9"/>
      <c r="C3" s="9"/>
      <c r="D3" s="11"/>
      <c r="E3" s="11"/>
      <c r="F3" s="1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6"/>
      <c r="BD3" s="6"/>
    </row>
    <row r="4" spans="1:56" s="9" customFormat="1" ht="25.5" customHeight="1" thickBot="1" x14ac:dyDescent="0.35">
      <c r="A4" s="323" t="str">
        <f ca="1">Language!A$1499</f>
        <v>ОТЧЕТ - ДОХОДЫ (без НДС)</v>
      </c>
      <c r="B4" s="337"/>
      <c r="C4" s="338"/>
      <c r="D4" s="326"/>
      <c r="E4" s="326" t="s">
        <v>3401</v>
      </c>
      <c r="F4" s="326"/>
      <c r="G4" s="327" t="str">
        <f ca="1">Параметры!G$34</f>
        <v>янв.25</v>
      </c>
      <c r="H4" s="327" t="str">
        <f ca="1">Параметры!H$34</f>
        <v>фев.25</v>
      </c>
      <c r="I4" s="327" t="str">
        <f ca="1">Параметры!I$34</f>
        <v>мар.25</v>
      </c>
      <c r="J4" s="327" t="str">
        <f ca="1">Параметры!J$34</f>
        <v>апр.25</v>
      </c>
      <c r="K4" s="327" t="str">
        <f ca="1">Параметры!K$34</f>
        <v>май.25</v>
      </c>
      <c r="L4" s="327" t="str">
        <f ca="1">Параметры!L$34</f>
        <v>июн.25</v>
      </c>
      <c r="M4" s="328" t="str">
        <f ca="1">Параметры!M$34</f>
        <v>июл.25</v>
      </c>
      <c r="N4" s="328" t="str">
        <f ca="1">Параметры!N$34</f>
        <v>авг.25</v>
      </c>
      <c r="O4" s="328" t="str">
        <f ca="1">Параметры!O$34</f>
        <v>сен.25</v>
      </c>
      <c r="P4" s="328" t="str">
        <f ca="1">Параметры!P$34</f>
        <v>окт.25</v>
      </c>
      <c r="Q4" s="328" t="str">
        <f ca="1">Параметры!Q$34</f>
        <v>ноя.25</v>
      </c>
      <c r="R4" s="328" t="str">
        <f ca="1">Параметры!R$34</f>
        <v>дек.25</v>
      </c>
      <c r="S4" s="328" t="str">
        <f ca="1">Параметры!S$34</f>
        <v>янв.26</v>
      </c>
      <c r="T4" s="328" t="str">
        <f ca="1">Параметры!T$34</f>
        <v>фев.26</v>
      </c>
      <c r="U4" s="328" t="str">
        <f ca="1">Параметры!U$34</f>
        <v>мар.26</v>
      </c>
      <c r="V4" s="328" t="str">
        <f ca="1">Параметры!V$34</f>
        <v>апр.26</v>
      </c>
      <c r="W4" s="328" t="str">
        <f ca="1">Параметры!W$34</f>
        <v>май.26</v>
      </c>
      <c r="X4" s="328" t="str">
        <f ca="1">Параметры!X$34</f>
        <v>июн.26</v>
      </c>
      <c r="Y4" s="328" t="str">
        <f ca="1">Параметры!Y$34</f>
        <v>июл.26</v>
      </c>
      <c r="Z4" s="328" t="str">
        <f ca="1">Параметры!Z$34</f>
        <v>авг.26</v>
      </c>
      <c r="AA4" s="328" t="str">
        <f ca="1">Параметры!AA$34</f>
        <v>сен.26</v>
      </c>
      <c r="AB4" s="328" t="str">
        <f ca="1">Параметры!AB$34</f>
        <v>окт.26</v>
      </c>
      <c r="AC4" s="328" t="str">
        <f ca="1">Параметры!AC$34</f>
        <v>ноя.26</v>
      </c>
      <c r="AD4" s="328" t="str">
        <f ca="1">Параметры!AD$34</f>
        <v>дек.26</v>
      </c>
      <c r="AE4" s="328" t="str">
        <f ca="1">Параметры!AE$34</f>
        <v>янв.27</v>
      </c>
      <c r="AF4" s="328" t="str">
        <f ca="1">Параметры!AF$34</f>
        <v>фев.27</v>
      </c>
      <c r="AG4" s="328" t="str">
        <f ca="1">Параметры!AG$34</f>
        <v>мар.27</v>
      </c>
      <c r="AH4" s="328" t="str">
        <f ca="1">Параметры!AH$34</f>
        <v>апр.27</v>
      </c>
      <c r="AI4" s="328" t="str">
        <f ca="1">Параметры!AI$34</f>
        <v>май.27</v>
      </c>
      <c r="AJ4" s="328" t="str">
        <f ca="1">Параметры!AJ$34</f>
        <v>июн.27</v>
      </c>
      <c r="AK4" s="328" t="str">
        <f ca="1">Параметры!AK$34</f>
        <v>июл.27</v>
      </c>
      <c r="AL4" s="328" t="str">
        <f ca="1">Параметры!AL$34</f>
        <v>авг.27</v>
      </c>
      <c r="AM4" s="328" t="str">
        <f ca="1">Параметры!AM$34</f>
        <v>сен.27</v>
      </c>
      <c r="AN4" s="328" t="str">
        <f ca="1">Параметры!AN$34</f>
        <v>окт.27</v>
      </c>
      <c r="AO4" s="328" t="str">
        <f ca="1">Параметры!AO$34</f>
        <v>ноя.27</v>
      </c>
      <c r="AP4" s="328" t="str">
        <f ca="1">Параметры!AP$34</f>
        <v>дек.27</v>
      </c>
      <c r="AQ4" s="328" t="str">
        <f ca="1">Параметры!AQ$34</f>
        <v>янв.28</v>
      </c>
      <c r="AR4" s="328" t="str">
        <f ca="1">Параметры!AR$34</f>
        <v>фев.28</v>
      </c>
      <c r="AS4" s="328" t="str">
        <f ca="1">Параметры!AS$34</f>
        <v>мар.28</v>
      </c>
      <c r="AT4" s="328" t="str">
        <f ca="1">Параметры!AT$34</f>
        <v>апр.28</v>
      </c>
      <c r="AU4" s="328" t="str">
        <f ca="1">Параметры!AU$34</f>
        <v>май.28</v>
      </c>
      <c r="AV4" s="328" t="str">
        <f ca="1">Параметры!AV$34</f>
        <v>июн.28</v>
      </c>
      <c r="AW4" s="328" t="str">
        <f ca="1">Параметры!AW$34</f>
        <v>июл.28</v>
      </c>
      <c r="AX4" s="328" t="str">
        <f ca="1">Параметры!AX$34</f>
        <v>авг.28</v>
      </c>
      <c r="AY4" s="328" t="str">
        <f ca="1">Параметры!AY$34</f>
        <v>сен.28</v>
      </c>
      <c r="AZ4" s="328" t="str">
        <f ca="1">Параметры!AZ$34</f>
        <v>окт.28</v>
      </c>
      <c r="BA4" s="328" t="str">
        <f ca="1">Параметры!BA$34</f>
        <v>ноя.28</v>
      </c>
      <c r="BB4" s="328" t="str">
        <f ca="1">Параметры!BB$34</f>
        <v>дек.28</v>
      </c>
      <c r="BC4" s="328"/>
      <c r="BD4" s="329" t="str">
        <f ca="1">Language!$A$1473</f>
        <v>ИТОГО</v>
      </c>
    </row>
    <row r="5" spans="1:56" ht="14.4" thickTop="1" x14ac:dyDescent="0.3">
      <c r="A5" s="247"/>
      <c r="B5" s="9"/>
      <c r="C5" s="9"/>
      <c r="D5" s="5"/>
      <c r="E5" s="5"/>
      <c r="F5" s="5"/>
      <c r="G5" s="55"/>
      <c r="H5" s="55"/>
      <c r="I5" s="55"/>
      <c r="J5" s="55"/>
      <c r="K5" s="55"/>
      <c r="L5" s="55"/>
      <c r="M5" s="55"/>
      <c r="N5" s="55"/>
      <c r="O5" s="55"/>
      <c r="P5" s="55"/>
      <c r="Q5" s="55"/>
      <c r="R5" s="55"/>
      <c r="S5" s="55"/>
      <c r="T5" s="55"/>
      <c r="U5" s="55"/>
      <c r="V5" s="55"/>
      <c r="W5" s="55"/>
      <c r="X5" s="55"/>
      <c r="Y5" s="55"/>
      <c r="Z5" s="55"/>
      <c r="AA5" s="55"/>
      <c r="AB5" s="55"/>
      <c r="AC5" s="55"/>
      <c r="AD5" s="55"/>
      <c r="AE5" s="55"/>
      <c r="AF5" s="55"/>
      <c r="AG5" s="55"/>
      <c r="AH5" s="55"/>
      <c r="AI5" s="55"/>
      <c r="AJ5" s="55"/>
      <c r="AK5" s="55"/>
      <c r="AL5" s="55"/>
      <c r="AM5" s="55"/>
      <c r="AN5" s="55"/>
      <c r="AO5" s="55"/>
      <c r="AP5" s="55"/>
      <c r="AQ5" s="55"/>
      <c r="AR5" s="55"/>
      <c r="AS5" s="55"/>
      <c r="AT5" s="55"/>
      <c r="AU5" s="55"/>
      <c r="AV5" s="55"/>
      <c r="AW5" s="55"/>
      <c r="AX5" s="55"/>
      <c r="AY5" s="55"/>
      <c r="AZ5" s="55"/>
      <c r="BA5" s="55"/>
      <c r="BB5" s="55"/>
      <c r="BC5" s="55"/>
      <c r="BD5" s="6"/>
    </row>
    <row r="6" spans="1:56" x14ac:dyDescent="0.3">
      <c r="A6" s="138" t="str">
        <f ca="1">Language!A1504</f>
        <v>Выручка от реализации</v>
      </c>
      <c r="B6" s="137">
        <f t="shared" ref="B6" ca="1" si="0">BD6</f>
        <v>772825124.64958811</v>
      </c>
      <c r="C6" s="100" t="str">
        <f ca="1">Параметры!$C$64</f>
        <v>руб.</v>
      </c>
      <c r="D6" s="11">
        <v>0</v>
      </c>
      <c r="E6" s="6" t="s">
        <v>2273</v>
      </c>
      <c r="F6" s="6" t="s">
        <v>3508</v>
      </c>
      <c r="G6" s="58">
        <f t="shared" ref="G6:BB6" ca="1" si="1">SUM(G7:G11)</f>
        <v>0</v>
      </c>
      <c r="H6" s="58">
        <f t="shared" ca="1" si="1"/>
        <v>0</v>
      </c>
      <c r="I6" s="58">
        <f t="shared" ca="1" si="1"/>
        <v>0</v>
      </c>
      <c r="J6" s="58">
        <f t="shared" ca="1" si="1"/>
        <v>0</v>
      </c>
      <c r="K6" s="58">
        <f t="shared" ca="1" si="1"/>
        <v>0</v>
      </c>
      <c r="L6" s="58">
        <f t="shared" ca="1" si="1"/>
        <v>0</v>
      </c>
      <c r="M6" s="58">
        <f t="shared" ca="1" si="1"/>
        <v>7486982.2385257483</v>
      </c>
      <c r="N6" s="58">
        <f t="shared" ca="1" si="1"/>
        <v>10031234.004204797</v>
      </c>
      <c r="O6" s="58">
        <f t="shared" ca="1" si="1"/>
        <v>12600076.928691318</v>
      </c>
      <c r="P6" s="58">
        <f t="shared" ca="1" si="1"/>
        <v>15193690.128322721</v>
      </c>
      <c r="Q6" s="58">
        <f t="shared" ca="1" si="1"/>
        <v>15267646.183296487</v>
      </c>
      <c r="R6" s="58">
        <f t="shared" ca="1" si="1"/>
        <v>15341962.223107448</v>
      </c>
      <c r="S6" s="58">
        <f t="shared" ca="1" si="1"/>
        <v>20555520.000000011</v>
      </c>
      <c r="T6" s="58">
        <f t="shared" ca="1" si="1"/>
        <v>18073628.153872319</v>
      </c>
      <c r="U6" s="58">
        <f t="shared" ca="1" si="1"/>
        <v>15567087.816694712</v>
      </c>
      <c r="V6" s="58">
        <f t="shared" ca="1" si="1"/>
        <v>15642861.403797608</v>
      </c>
      <c r="W6" s="58">
        <f t="shared" ca="1" si="1"/>
        <v>13099169.852222705</v>
      </c>
      <c r="X6" s="58">
        <f t="shared" ca="1" si="1"/>
        <v>21060689.158147868</v>
      </c>
      <c r="Y6" s="58">
        <f t="shared" ca="1" si="1"/>
        <v>26454003.909457654</v>
      </c>
      <c r="Z6" s="58">
        <f t="shared" ca="1" si="1"/>
        <v>26582770.111142725</v>
      </c>
      <c r="AA6" s="58">
        <f t="shared" ca="1" si="1"/>
        <v>18698514.162177924</v>
      </c>
      <c r="AB6" s="58">
        <f t="shared" ca="1" si="1"/>
        <v>13421092.946685074</v>
      </c>
      <c r="AC6" s="58">
        <f t="shared" ca="1" si="1"/>
        <v>13486420.795245234</v>
      </c>
      <c r="AD6" s="58">
        <f t="shared" ca="1" si="1"/>
        <v>16262479.956493899</v>
      </c>
      <c r="AE6" s="58">
        <f t="shared" ca="1" si="1"/>
        <v>21788851.200000018</v>
      </c>
      <c r="AF6" s="58">
        <f t="shared" ca="1" si="1"/>
        <v>19158045.843104653</v>
      </c>
      <c r="AG6" s="58">
        <f t="shared" ca="1" si="1"/>
        <v>16501113.085696394</v>
      </c>
      <c r="AH6" s="58">
        <f t="shared" ca="1" si="1"/>
        <v>16581433.088025467</v>
      </c>
      <c r="AI6" s="58">
        <f t="shared" ca="1" si="1"/>
        <v>13885120.043356068</v>
      </c>
      <c r="AJ6" s="58">
        <f t="shared" ca="1" si="1"/>
        <v>22324330.507636741</v>
      </c>
      <c r="AK6" s="58">
        <f t="shared" ca="1" si="1"/>
        <v>28041244.144025121</v>
      </c>
      <c r="AL6" s="58">
        <f t="shared" ca="1" si="1"/>
        <v>28177736.317811292</v>
      </c>
      <c r="AM6" s="58">
        <f t="shared" ca="1" si="1"/>
        <v>19820425.011908598</v>
      </c>
      <c r="AN6" s="58">
        <f t="shared" ca="1" si="1"/>
        <v>14226358.52348618</v>
      </c>
      <c r="AO6" s="58">
        <f t="shared" ca="1" si="1"/>
        <v>14295606.042959951</v>
      </c>
      <c r="AP6" s="58">
        <f t="shared" ca="1" si="1"/>
        <v>17238228.753883537</v>
      </c>
      <c r="AQ6" s="58">
        <f t="shared" ca="1" si="1"/>
        <v>23096182.272000026</v>
      </c>
      <c r="AR6" s="58">
        <f t="shared" ca="1" si="1"/>
        <v>20307528.593690943</v>
      </c>
      <c r="AS6" s="58">
        <f t="shared" ca="1" si="1"/>
        <v>17491179.870838184</v>
      </c>
      <c r="AT6" s="58">
        <f t="shared" ca="1" si="1"/>
        <v>17576319.073307</v>
      </c>
      <c r="AU6" s="58">
        <f t="shared" ca="1" si="1"/>
        <v>14718227.245957442</v>
      </c>
      <c r="AV6" s="58">
        <f t="shared" ca="1" si="1"/>
        <v>23663790.338094961</v>
      </c>
      <c r="AW6" s="58">
        <f t="shared" ca="1" si="1"/>
        <v>29723718.792666636</v>
      </c>
      <c r="AX6" s="58">
        <f t="shared" ca="1" si="1"/>
        <v>29868400.496879984</v>
      </c>
      <c r="AY6" s="58">
        <f t="shared" ca="1" si="1"/>
        <v>21009650.51262312</v>
      </c>
      <c r="AZ6" s="58">
        <f t="shared" ca="1" si="1"/>
        <v>15079940.034895359</v>
      </c>
      <c r="BA6" s="58">
        <f t="shared" ca="1" si="1"/>
        <v>15153342.405537553</v>
      </c>
      <c r="BB6" s="58">
        <f t="shared" ca="1" si="1"/>
        <v>18272522.479116555</v>
      </c>
      <c r="BC6" s="58"/>
      <c r="BD6" s="76">
        <f ca="1">SUM(G6:BC6)</f>
        <v>772825124.64958811</v>
      </c>
    </row>
    <row r="7" spans="1:56" s="346" customFormat="1" x14ac:dyDescent="0.3">
      <c r="A7" s="339" t="str">
        <f>Проект!A$46</f>
        <v xml:space="preserve">Проживание гостей (Групповые и семейные номера) </v>
      </c>
      <c r="B7" s="340">
        <f ca="1">BD7</f>
        <v>612138712.59373331</v>
      </c>
      <c r="C7" s="341" t="str">
        <f ca="1">Параметры!C$64</f>
        <v>руб.</v>
      </c>
      <c r="D7" s="342"/>
      <c r="E7" s="343"/>
      <c r="F7" s="343" t="s">
        <v>3487</v>
      </c>
      <c r="G7" s="344">
        <f ca="1">Проект!G$50*CHOOSE(Проект!$D$50,1,Параметры!G$53,Параметры!G$59)/Параметры!G$64</f>
        <v>0</v>
      </c>
      <c r="H7" s="344">
        <f ca="1">Проект!H$50*CHOOSE(Проект!$D$50,1,Параметры!H$53,Параметры!H$59)/Параметры!H$64</f>
        <v>0</v>
      </c>
      <c r="I7" s="344">
        <f ca="1">Проект!I$50*CHOOSE(Проект!$D$50,1,Параметры!I$53,Параметры!I$59)/Параметры!I$64</f>
        <v>0</v>
      </c>
      <c r="J7" s="344">
        <f ca="1">Проект!J$50*CHOOSE(Проект!$D$50,1,Параметры!J$53,Параметры!J$59)/Параметры!J$64</f>
        <v>0</v>
      </c>
      <c r="K7" s="344">
        <f ca="1">Проект!K$50*CHOOSE(Проект!$D$50,1,Параметры!K$53,Параметры!K$59)/Параметры!K$64</f>
        <v>0</v>
      </c>
      <c r="L7" s="344">
        <f ca="1">Проект!L$50*CHOOSE(Проект!$D$50,1,Параметры!L$53,Параметры!L$59)/Параметры!L$64</f>
        <v>0</v>
      </c>
      <c r="M7" s="344">
        <f ca="1">Проект!M$50*CHOOSE(Проект!$D$50,1,Параметры!M$53,Параметры!M$59)/Параметры!M$64</f>
        <v>5930282.961208513</v>
      </c>
      <c r="N7" s="344">
        <f ca="1">Проект!N$50*CHOOSE(Проект!$D$50,1,Параметры!N$53,Параметры!N$59)/Параметры!N$64</f>
        <v>7945531.8845186513</v>
      </c>
      <c r="O7" s="344">
        <f ca="1">Проект!O$50*CHOOSE(Проект!$D$50,1,Параметры!O$53,Параметры!O$59)/Параметры!O$64</f>
        <v>9980258.9534188658</v>
      </c>
      <c r="P7" s="344">
        <f ca="1">Проект!P$50*CHOOSE(Проект!$D$50,1,Параметры!P$53,Параметры!P$59)/Параметры!P$64</f>
        <v>12034606.04223582</v>
      </c>
      <c r="Q7" s="344">
        <f ca="1">Проект!Q$50*CHOOSE(Проект!$D$50,1,Параметры!Q$53,Параметры!Q$59)/Параметры!Q$64</f>
        <v>12093185.095680386</v>
      </c>
      <c r="R7" s="344">
        <f ca="1">Проект!R$50*CHOOSE(Проект!$D$50,1,Параметры!R$53,Параметры!R$59)/Параметры!R$64</f>
        <v>12152049.285629664</v>
      </c>
      <c r="S7" s="344">
        <f ca="1">Проект!S$50*CHOOSE(Проект!$D$50,1,Параметры!S$53,Параметры!S$59)/Параметры!S$64</f>
        <v>16281600.000000011</v>
      </c>
      <c r="T7" s="344">
        <f ca="1">Проект!T$50*CHOOSE(Проект!$D$50,1,Параметры!T$53,Параметры!T$59)/Параметры!T$64</f>
        <v>14315745.072374113</v>
      </c>
      <c r="U7" s="344">
        <f ca="1">Проект!U$50*CHOOSE(Проект!$D$50,1,Параметры!U$53,Параметры!U$59)/Параметры!U$64</f>
        <v>12330366.58748096</v>
      </c>
      <c r="V7" s="344">
        <f ca="1">Проект!V$50*CHOOSE(Проект!$D$50,1,Параметры!V$53,Параметры!V$59)/Параметры!V$64</f>
        <v>12390385.270334741</v>
      </c>
      <c r="W7" s="344">
        <f ca="1">Проект!W$50*CHOOSE(Проект!$D$50,1,Параметры!W$53,Параметры!W$59)/Параметры!W$64</f>
        <v>10375580.080968481</v>
      </c>
      <c r="X7" s="344">
        <f ca="1">Проект!X$50*CHOOSE(Проект!$D$50,1,Параметры!X$53,Параметры!X$59)/Параметры!X$64</f>
        <v>16681733.986651778</v>
      </c>
      <c r="Y7" s="344">
        <f ca="1">Проект!Y$50*CHOOSE(Проект!$D$50,1,Параметры!Y$53,Параметры!Y$59)/Параметры!Y$64</f>
        <v>20953666.462936759</v>
      </c>
      <c r="Z7" s="344">
        <f ca="1">Проект!Z$50*CHOOSE(Проект!$D$50,1,Параметры!Z$53,Параметры!Z$59)/Параметры!Z$64</f>
        <v>21055659.493974436</v>
      </c>
      <c r="AA7" s="344">
        <f ca="1">Проект!AA$50*CHOOSE(Проект!$D$50,1,Параметры!AA$53,Параметры!AA$59)/Параметры!AA$64</f>
        <v>14810704.286873601</v>
      </c>
      <c r="AB7" s="344">
        <f ca="1">Проект!AB$50*CHOOSE(Проект!$D$50,1,Параметры!AB$53,Параметры!AB$59)/Параметры!AB$64</f>
        <v>10630568.670641644</v>
      </c>
      <c r="AC7" s="344">
        <f ca="1">Проект!AC$50*CHOOSE(Проект!$D$50,1,Параметры!AC$53,Параметры!AC$59)/Параметры!AC$64</f>
        <v>10682313.501184344</v>
      </c>
      <c r="AD7" s="344">
        <f ca="1">Проект!AD$50*CHOOSE(Проект!$D$50,1,Параметры!AD$53,Параметры!AD$59)/Параметры!AD$64</f>
        <v>12881172.242767448</v>
      </c>
      <c r="AE7" s="344">
        <f ca="1">Проект!AE$50*CHOOSE(Проект!$D$50,1,Параметры!AE$53,Параметры!AE$59)/Параметры!AE$64</f>
        <v>17258496.000000015</v>
      </c>
      <c r="AF7" s="344">
        <f ca="1">Проект!AF$50*CHOOSE(Проект!$D$50,1,Параметры!AF$53,Параметры!AF$59)/Параметры!AF$64</f>
        <v>15174689.776716562</v>
      </c>
      <c r="AG7" s="344">
        <f ca="1">Проект!AG$50*CHOOSE(Проект!$D$50,1,Параметры!AG$53,Параметры!AG$59)/Параметры!AG$64</f>
        <v>13070188.58272982</v>
      </c>
      <c r="AH7" s="344">
        <f ca="1">Проект!AH$50*CHOOSE(Проект!$D$50,1,Параметры!AH$53,Параметры!AH$59)/Параметры!AH$64</f>
        <v>13133808.386554828</v>
      </c>
      <c r="AI7" s="344">
        <f ca="1">Проект!AI$50*CHOOSE(Проект!$D$50,1,Параметры!AI$53,Параметры!AI$59)/Параметры!AI$64</f>
        <v>10998114.885826591</v>
      </c>
      <c r="AJ7" s="344">
        <f ca="1">Проект!AJ$50*CHOOSE(Проект!$D$50,1,Параметры!AJ$53,Параметры!AJ$59)/Параметры!AJ$64</f>
        <v>17682638.025850888</v>
      </c>
      <c r="AK7" s="344">
        <f ca="1">Проект!AK$50*CHOOSE(Проект!$D$50,1,Параметры!AK$53,Параметры!AK$59)/Параметры!AK$64</f>
        <v>22210886.450712968</v>
      </c>
      <c r="AL7" s="344">
        <f ca="1">Проект!AL$50*CHOOSE(Проект!$D$50,1,Параметры!AL$53,Параметры!AL$59)/Параметры!AL$64</f>
        <v>22318999.063612908</v>
      </c>
      <c r="AM7" s="344">
        <f ca="1">Проект!AM$50*CHOOSE(Проект!$D$50,1,Параметры!AM$53,Параметры!AM$59)/Параметры!AM$64</f>
        <v>15699346.54408602</v>
      </c>
      <c r="AN7" s="344">
        <f ca="1">Проект!AN$50*CHOOSE(Проект!$D$50,1,Параметры!AN$53,Параметры!AN$59)/Параметры!AN$64</f>
        <v>11268402.790880146</v>
      </c>
      <c r="AO7" s="344">
        <f ca="1">Проект!AO$50*CHOOSE(Проект!$D$50,1,Параметры!AO$53,Параметры!AO$59)/Параметры!AO$64</f>
        <v>11323252.311255408</v>
      </c>
      <c r="AP7" s="344">
        <f ca="1">Проект!AP$50*CHOOSE(Проект!$D$50,1,Параметры!AP$53,Параметры!AP$59)/Параметры!AP$64</f>
        <v>13654042.577333499</v>
      </c>
      <c r="AQ7" s="344">
        <f ca="1">Проект!AQ$50*CHOOSE(Проект!$D$50,1,Параметры!AQ$53,Параметры!AQ$59)/Параметры!AQ$64</f>
        <v>18294005.76000002</v>
      </c>
      <c r="AR7" s="344">
        <f ca="1">Проект!AR$50*CHOOSE(Проект!$D$50,1,Параметры!AR$53,Параметры!AR$59)/Параметры!AR$64</f>
        <v>16085171.163319562</v>
      </c>
      <c r="AS7" s="344">
        <f ca="1">Проект!AS$50*CHOOSE(Проект!$D$50,1,Параметры!AS$53,Параметры!AS$59)/Параметры!AS$64</f>
        <v>13854399.897693615</v>
      </c>
      <c r="AT7" s="344">
        <f ca="1">Проект!AT$50*CHOOSE(Проект!$D$50,1,Параметры!AT$53,Параметры!AT$59)/Параметры!AT$64</f>
        <v>13921836.889748123</v>
      </c>
      <c r="AU7" s="344">
        <f ca="1">Проект!AU$50*CHOOSE(Проект!$D$50,1,Параметры!AU$53,Параметры!AU$59)/Параметры!AU$64</f>
        <v>11658001.778976193</v>
      </c>
      <c r="AV7" s="344">
        <f ca="1">Проект!AV$50*CHOOSE(Проект!$D$50,1,Параметры!AV$53,Параметры!AV$59)/Параметры!AV$64</f>
        <v>18743596.307401951</v>
      </c>
      <c r="AW7" s="344">
        <f ca="1">Проект!AW$50*CHOOSE(Проект!$D$50,1,Параметры!AW$53,Параметры!AW$59)/Параметры!AW$64</f>
        <v>23543539.637755755</v>
      </c>
      <c r="AX7" s="344">
        <f ca="1">Проект!AX$50*CHOOSE(Проект!$D$50,1,Параметры!AX$53,Параметры!AX$59)/Параметры!AX$64</f>
        <v>23658139.007429693</v>
      </c>
      <c r="AY7" s="344">
        <f ca="1">Проект!AY$50*CHOOSE(Проект!$D$50,1,Параметры!AY$53,Параметры!AY$59)/Параметры!AY$64</f>
        <v>16641307.33673119</v>
      </c>
      <c r="AZ7" s="344">
        <f ca="1">Проект!AZ$50*CHOOSE(Проект!$D$50,1,Параметры!AZ$53,Параметры!AZ$59)/Параметры!AZ$64</f>
        <v>11944506.95833296</v>
      </c>
      <c r="BA7" s="344">
        <f ca="1">Проект!BA$50*CHOOSE(Проект!$D$50,1,Параметры!BA$53,Параметры!BA$59)/Параметры!BA$64</f>
        <v>12002647.449930737</v>
      </c>
      <c r="BB7" s="344">
        <f ca="1">Проект!BB$50*CHOOSE(Проект!$D$50,1,Параметры!BB$53,Параметры!BB$59)/Параметры!BB$64</f>
        <v>14473285.131973514</v>
      </c>
      <c r="BC7" s="344"/>
      <c r="BD7" s="345">
        <f ca="1">SUM(G7:BC7)</f>
        <v>612138712.59373331</v>
      </c>
    </row>
    <row r="8" spans="1:56" x14ac:dyDescent="0.3">
      <c r="A8" s="243" t="str">
        <f>Проект!A$66</f>
        <v>Питание гостей</v>
      </c>
      <c r="B8" s="136">
        <f t="shared" ref="B8:B10" ca="1" si="2">BD8</f>
        <v>107124274.70390318</v>
      </c>
      <c r="C8" s="48" t="str">
        <f ca="1">Параметры!C$64</f>
        <v>руб.</v>
      </c>
      <c r="D8" s="11"/>
      <c r="F8" s="6" t="s">
        <v>3420</v>
      </c>
      <c r="G8" s="55">
        <f ca="1">Проект!G$70*CHOOSE(Проект!$D$70,1,Параметры!G$53,Параметры!G$59)/Параметры!G$64</f>
        <v>0</v>
      </c>
      <c r="H8" s="55">
        <f ca="1">Проект!H$70*CHOOSE(Проект!$D$70,1,Параметры!H$53,Параметры!H$59)/Параметры!H$64</f>
        <v>0</v>
      </c>
      <c r="I8" s="55">
        <f ca="1">Проект!I$70*CHOOSE(Проект!$D$70,1,Параметры!I$53,Параметры!I$59)/Параметры!I$64</f>
        <v>0</v>
      </c>
      <c r="J8" s="55">
        <f ca="1">Проект!J$70*CHOOSE(Проект!$D$70,1,Параметры!J$53,Параметры!J$59)/Параметры!J$64</f>
        <v>0</v>
      </c>
      <c r="K8" s="55">
        <f ca="1">Проект!K$70*CHOOSE(Проект!$D$70,1,Параметры!K$53,Параметры!K$59)/Параметры!K$64</f>
        <v>0</v>
      </c>
      <c r="L8" s="55">
        <f ca="1">Проект!L$70*CHOOSE(Проект!$D$70,1,Параметры!L$53,Параметры!L$59)/Параметры!L$64</f>
        <v>0</v>
      </c>
      <c r="M8" s="55">
        <f ca="1">Проект!M$70*CHOOSE(Проект!$D$70,1,Параметры!M$53,Параметры!M$59)/Параметры!M$64</f>
        <v>1037799.5182114898</v>
      </c>
      <c r="N8" s="55">
        <f ca="1">Проект!N$70*CHOOSE(Проект!$D$70,1,Параметры!N$53,Параметры!N$59)/Параметры!N$64</f>
        <v>1390468.0797907638</v>
      </c>
      <c r="O8" s="55">
        <f ca="1">Проект!O$70*CHOOSE(Проект!$D$70,1,Параметры!O$53,Параметры!O$59)/Параметры!O$64</f>
        <v>1746545.3168483011</v>
      </c>
      <c r="P8" s="55">
        <f ca="1">Проект!P$70*CHOOSE(Проект!$D$70,1,Параметры!P$53,Параметры!P$59)/Параметры!P$64</f>
        <v>2106056.0573912677</v>
      </c>
      <c r="Q8" s="55">
        <f ca="1">Проект!Q$70*CHOOSE(Проект!$D$70,1,Параметры!Q$53,Параметры!Q$59)/Параметры!Q$64</f>
        <v>2116307.391744067</v>
      </c>
      <c r="R8" s="55">
        <f ca="1">Проект!R$70*CHOOSE(Проект!$D$70,1,Параметры!R$53,Параметры!R$59)/Параметры!R$64</f>
        <v>2126608.6249851901</v>
      </c>
      <c r="S8" s="55">
        <f ca="1">Проект!S$70*CHOOSE(Проект!$D$70,1,Параметры!S$53,Параметры!S$59)/Параметры!S$64</f>
        <v>2849280.0000000005</v>
      </c>
      <c r="T8" s="55">
        <f ca="1">Проект!T$70*CHOOSE(Проект!$D$70,1,Параметры!T$53,Параметры!T$59)/Параметры!T$64</f>
        <v>2505255.3876654683</v>
      </c>
      <c r="U8" s="55">
        <f ca="1">Проект!U$70*CHOOSE(Проект!$D$70,1,Параметры!U$53,Параметры!U$59)/Параметры!U$64</f>
        <v>2157814.1528091668</v>
      </c>
      <c r="V8" s="55">
        <f ca="1">Проект!V$70*CHOOSE(Проект!$D$70,1,Параметры!V$53,Параметры!V$59)/Параметры!V$64</f>
        <v>2168317.4223085782</v>
      </c>
      <c r="W8" s="55">
        <f ca="1">Проект!W$70*CHOOSE(Проект!$D$70,1,Параметры!W$53,Параметры!W$59)/Параметры!W$64</f>
        <v>1815726.514169483</v>
      </c>
      <c r="X8" s="55">
        <f ca="1">Проект!X$70*CHOOSE(Проект!$D$70,1,Параметры!X$53,Параметры!X$59)/Параметры!X$64</f>
        <v>2919303.4476640592</v>
      </c>
      <c r="Y8" s="55">
        <f ca="1">Проект!Y$70*CHOOSE(Проект!$D$70,1,Параметры!Y$53,Параметры!Y$59)/Параметры!Y$64</f>
        <v>3666891.6310139308</v>
      </c>
      <c r="Z8" s="55">
        <f ca="1">Проект!Z$70*CHOOSE(Проект!$D$70,1,Параметры!Z$53,Параметры!Z$59)/Параметры!Z$64</f>
        <v>3684740.4114455241</v>
      </c>
      <c r="AA8" s="55">
        <f ca="1">Проект!AA$70*CHOOSE(Проект!$D$70,1,Параметры!AA$53,Параметры!AA$59)/Параметры!AA$64</f>
        <v>2591873.2502028788</v>
      </c>
      <c r="AB8" s="55">
        <f ca="1">Проект!AB$70*CHOOSE(Проект!$D$70,1,Параметры!AB$53,Параметры!AB$59)/Параметры!AB$64</f>
        <v>1860349.5173622866</v>
      </c>
      <c r="AC8" s="55">
        <f ca="1">Проект!AC$70*CHOOSE(Проект!$D$70,1,Параметры!AC$53,Параметры!AC$59)/Параметры!AC$64</f>
        <v>1869404.8627072589</v>
      </c>
      <c r="AD8" s="55">
        <f ca="1">Проект!AD$70*CHOOSE(Проект!$D$70,1,Параметры!AD$53,Параметры!AD$59)/Параметры!AD$64</f>
        <v>2254205.1424843012</v>
      </c>
      <c r="AE8" s="55">
        <f ca="1">Проект!AE$70*CHOOSE(Проект!$D$70,1,Параметры!AE$53,Параметры!AE$59)/Параметры!AE$64</f>
        <v>3020236.7999999998</v>
      </c>
      <c r="AF8" s="55">
        <f ca="1">Проект!AF$70*CHOOSE(Проект!$D$70,1,Параметры!AF$53,Параметры!AF$59)/Параметры!AF$64</f>
        <v>2655570.7109253961</v>
      </c>
      <c r="AG8" s="55">
        <f ca="1">Проект!AG$70*CHOOSE(Проект!$D$70,1,Параметры!AG$53,Параметры!AG$59)/Параметры!AG$64</f>
        <v>2287283.0019777166</v>
      </c>
      <c r="AH8" s="55">
        <f ca="1">Проект!AH$70*CHOOSE(Проект!$D$70,1,Параметры!AH$53,Параметры!AH$59)/Параметры!AH$64</f>
        <v>2298416.4676470929</v>
      </c>
      <c r="AI8" s="55">
        <f ca="1">Проект!AI$70*CHOOSE(Проект!$D$70,1,Параметры!AI$53,Параметры!AI$59)/Параметры!AI$64</f>
        <v>1924670.1050196516</v>
      </c>
      <c r="AJ8" s="55">
        <f ca="1">Проект!AJ$70*CHOOSE(Проект!$D$70,1,Параметры!AJ$53,Параметры!AJ$59)/Параметры!AJ$64</f>
        <v>3094461.6545239026</v>
      </c>
      <c r="AK8" s="55">
        <f ca="1">Проект!AK$70*CHOOSE(Проект!$D$70,1,Параметры!AK$53,Параметры!AK$59)/Параметры!AK$64</f>
        <v>3886905.1288747662</v>
      </c>
      <c r="AL8" s="55">
        <f ca="1">Проект!AL$70*CHOOSE(Проект!$D$70,1,Параметры!AL$53,Параметры!AL$59)/Параметры!AL$64</f>
        <v>3905824.8361322549</v>
      </c>
      <c r="AM8" s="55">
        <f ca="1">Проект!AM$70*CHOOSE(Проект!$D$70,1,Параметры!AM$53,Параметры!AM$59)/Параметры!AM$64</f>
        <v>2747385.6452150508</v>
      </c>
      <c r="AN8" s="55">
        <f ca="1">Проект!AN$70*CHOOSE(Проект!$D$70,1,Параметры!AN$53,Параметры!AN$59)/Параметры!AN$64</f>
        <v>1971970.4884040235</v>
      </c>
      <c r="AO8" s="55">
        <f ca="1">Проект!AO$70*CHOOSE(Проект!$D$70,1,Параметры!AO$53,Параметры!AO$59)/Параметры!AO$64</f>
        <v>1981569.1544696942</v>
      </c>
      <c r="AP8" s="55">
        <f ca="1">Проект!AP$70*CHOOSE(Проект!$D$70,1,Параметры!AP$53,Параметры!AP$59)/Параметры!AP$64</f>
        <v>2389457.4510333594</v>
      </c>
      <c r="AQ8" s="55">
        <f ca="1">Проект!AQ$70*CHOOSE(Проект!$D$70,1,Параметры!AQ$53,Параметры!AQ$59)/Параметры!AQ$64</f>
        <v>3201451.0079999999</v>
      </c>
      <c r="AR8" s="55">
        <f ca="1">Проект!AR$70*CHOOSE(Проект!$D$70,1,Параметры!AR$53,Параметры!AR$59)/Параметры!AR$64</f>
        <v>2814904.9535809201</v>
      </c>
      <c r="AS8" s="55">
        <f ca="1">Проект!AS$70*CHOOSE(Проект!$D$70,1,Параметры!AS$53,Параметры!AS$59)/Параметры!AS$64</f>
        <v>2424519.9820963796</v>
      </c>
      <c r="AT8" s="55">
        <f ca="1">Проект!AT$70*CHOOSE(Проект!$D$70,1,Параметры!AT$53,Параметры!AT$59)/Параметры!AT$64</f>
        <v>2436321.4557059184</v>
      </c>
      <c r="AU8" s="55">
        <f ca="1">Проект!AU$70*CHOOSE(Проект!$D$70,1,Параметры!AU$53,Параметры!AU$59)/Параметры!AU$64</f>
        <v>2040150.3113208311</v>
      </c>
      <c r="AV8" s="55">
        <f ca="1">Проект!AV$70*CHOOSE(Проект!$D$70,1,Параметры!AV$53,Параметры!AV$59)/Параметры!AV$64</f>
        <v>3280129.3537953366</v>
      </c>
      <c r="AW8" s="55">
        <f ca="1">Проект!AW$70*CHOOSE(Проект!$D$70,1,Параметры!AW$53,Параметры!AW$59)/Параметры!AW$64</f>
        <v>4120119.4366072519</v>
      </c>
      <c r="AX8" s="55">
        <f ca="1">Проект!AX$70*CHOOSE(Проект!$D$70,1,Параметры!AX$53,Параметры!AX$59)/Параметры!AX$64</f>
        <v>4140174.3263001908</v>
      </c>
      <c r="AY8" s="55">
        <f ca="1">Проект!AY$70*CHOOSE(Проект!$D$70,1,Параметры!AY$53,Параметры!AY$59)/Параметры!AY$64</f>
        <v>2912228.7839279543</v>
      </c>
      <c r="AZ8" s="55">
        <f ca="1">Проект!AZ$70*CHOOSE(Проект!$D$70,1,Параметры!AZ$53,Параметры!AZ$59)/Параметры!AZ$64</f>
        <v>2090288.7177082652</v>
      </c>
      <c r="BA8" s="55">
        <f ca="1">Проект!BA$70*CHOOSE(Проект!$D$70,1,Параметры!BA$53,Параметры!BA$59)/Параметры!BA$64</f>
        <v>2100463.303737876</v>
      </c>
      <c r="BB8" s="55">
        <f ca="1">Проект!BB$70*CHOOSE(Проект!$D$70,1,Параметры!BB$53,Параметры!BB$59)/Параметры!BB$64</f>
        <v>2532824.8980953614</v>
      </c>
      <c r="BC8" s="55"/>
      <c r="BD8" s="57">
        <f ca="1">SUM(G8:BC8)</f>
        <v>107124274.70390318</v>
      </c>
    </row>
    <row r="9" spans="1:56" s="346" customFormat="1" x14ac:dyDescent="0.3">
      <c r="A9" s="339" t="str">
        <f>Проект!A$86</f>
        <v>Дополнительные услуги и аренда</v>
      </c>
      <c r="B9" s="340">
        <f t="shared" ca="1" si="2"/>
        <v>30606935.629686661</v>
      </c>
      <c r="C9" s="341" t="str">
        <f ca="1">Параметры!C$64</f>
        <v>руб.</v>
      </c>
      <c r="D9" s="342"/>
      <c r="E9" s="343"/>
      <c r="F9" s="343" t="s">
        <v>3429</v>
      </c>
      <c r="G9" s="344">
        <f ca="1">Проект!G$90*CHOOSE(Проект!$D$90,1,Параметры!G$53,Параметры!G$59)/Параметры!G$64</f>
        <v>0</v>
      </c>
      <c r="H9" s="344">
        <f ca="1">Проект!H$90*CHOOSE(Проект!$D$90,1,Параметры!H$53,Параметры!H$59)/Параметры!H$64</f>
        <v>0</v>
      </c>
      <c r="I9" s="344">
        <f ca="1">Проект!I$90*CHOOSE(Проект!$D$90,1,Параметры!I$53,Параметры!I$59)/Параметры!I$64</f>
        <v>0</v>
      </c>
      <c r="J9" s="344">
        <f ca="1">Проект!J$90*CHOOSE(Проект!$D$90,1,Параметры!J$53,Параметры!J$59)/Параметры!J$64</f>
        <v>0</v>
      </c>
      <c r="K9" s="344">
        <f ca="1">Проект!K$90*CHOOSE(Проект!$D$90,1,Параметры!K$53,Параметры!K$59)/Параметры!K$64</f>
        <v>0</v>
      </c>
      <c r="L9" s="344">
        <f ca="1">Проект!L$90*CHOOSE(Проект!$D$90,1,Параметры!L$53,Параметры!L$59)/Параметры!L$64</f>
        <v>0</v>
      </c>
      <c r="M9" s="344">
        <f ca="1">Проект!M$90*CHOOSE(Проект!$D$90,1,Параметры!M$53,Параметры!M$59)/Параметры!M$64</f>
        <v>296514.14806042565</v>
      </c>
      <c r="N9" s="344">
        <f ca="1">Проект!N$90*CHOOSE(Проект!$D$90,1,Параметры!N$53,Параметры!N$59)/Параметры!N$64</f>
        <v>397276.59422593261</v>
      </c>
      <c r="O9" s="344">
        <f ca="1">Проект!O$90*CHOOSE(Проект!$D$90,1,Параметры!O$53,Параметры!O$59)/Параметры!O$64</f>
        <v>499012.94767094322</v>
      </c>
      <c r="P9" s="344">
        <f ca="1">Проект!P$90*CHOOSE(Проект!$D$90,1,Параметры!P$53,Параметры!P$59)/Параметры!P$64</f>
        <v>601730.30211179098</v>
      </c>
      <c r="Q9" s="344">
        <f ca="1">Проект!Q$90*CHOOSE(Проект!$D$90,1,Параметры!Q$53,Параметры!Q$59)/Параметры!Q$64</f>
        <v>604659.25478401931</v>
      </c>
      <c r="R9" s="344">
        <f ca="1">Проект!R$90*CHOOSE(Проект!$D$90,1,Параметры!R$53,Параметры!R$59)/Параметры!R$64</f>
        <v>607602.4642814832</v>
      </c>
      <c r="S9" s="344">
        <f ca="1">Проект!S$90*CHOOSE(Проект!$D$90,1,Параметры!S$53,Параметры!S$59)/Параметры!S$64</f>
        <v>814080.00000000047</v>
      </c>
      <c r="T9" s="344">
        <f ca="1">Проект!T$90*CHOOSE(Проект!$D$90,1,Параметры!T$53,Параметры!T$59)/Параметры!T$64</f>
        <v>715787.25361870555</v>
      </c>
      <c r="U9" s="344">
        <f ca="1">Проект!U$90*CHOOSE(Проект!$D$90,1,Параметры!U$53,Параметры!U$59)/Параметры!U$64</f>
        <v>616518.32937404793</v>
      </c>
      <c r="V9" s="344">
        <f ca="1">Проект!V$90*CHOOSE(Проект!$D$90,1,Параметры!V$53,Параметры!V$59)/Параметры!V$64</f>
        <v>619519.26351673703</v>
      </c>
      <c r="W9" s="344">
        <f ca="1">Проект!W$90*CHOOSE(Проект!$D$90,1,Параметры!W$53,Параметры!W$59)/Параметры!W$64</f>
        <v>518779.00404842402</v>
      </c>
      <c r="X9" s="344">
        <f ca="1">Проект!X$90*CHOOSE(Проект!$D$90,1,Параметры!X$53,Параметры!X$59)/Параметры!X$64</f>
        <v>834086.69933258893</v>
      </c>
      <c r="Y9" s="344">
        <f ca="1">Проект!Y$90*CHOOSE(Проект!$D$90,1,Параметры!Y$53,Параметры!Y$59)/Параметры!Y$64</f>
        <v>1047683.323146838</v>
      </c>
      <c r="Z9" s="344">
        <f ca="1">Проект!Z$90*CHOOSE(Проект!$D$90,1,Параметры!Z$53,Параметры!Z$59)/Параметры!Z$64</f>
        <v>1052782.9746987219</v>
      </c>
      <c r="AA9" s="344">
        <f ca="1">Проект!AA$90*CHOOSE(Проект!$D$90,1,Параметры!AA$53,Параметры!AA$59)/Параметры!AA$64</f>
        <v>740535.21434368007</v>
      </c>
      <c r="AB9" s="344">
        <f ca="1">Проект!AB$90*CHOOSE(Проект!$D$90,1,Параметры!AB$53,Параметры!AB$59)/Параметры!AB$64</f>
        <v>531528.43353208224</v>
      </c>
      <c r="AC9" s="344">
        <f ca="1">Проект!AC$90*CHOOSE(Проект!$D$90,1,Параметры!AC$53,Параметры!AC$59)/Параметры!AC$64</f>
        <v>534115.67505921726</v>
      </c>
      <c r="AD9" s="344">
        <f ca="1">Проект!AD$90*CHOOSE(Проект!$D$90,1,Параметры!AD$53,Параметры!AD$59)/Параметры!AD$64</f>
        <v>644058.61213837238</v>
      </c>
      <c r="AE9" s="344">
        <f ca="1">Проект!AE$90*CHOOSE(Проект!$D$90,1,Параметры!AE$53,Параметры!AE$59)/Параметры!AE$64</f>
        <v>862924.80000000075</v>
      </c>
      <c r="AF9" s="344">
        <f ca="1">Проект!AF$90*CHOOSE(Проект!$D$90,1,Параметры!AF$53,Параметры!AF$59)/Параметры!AF$64</f>
        <v>758734.48883582815</v>
      </c>
      <c r="AG9" s="344">
        <f ca="1">Проект!AG$90*CHOOSE(Проект!$D$90,1,Параметры!AG$53,Параметры!AG$59)/Параметры!AG$64</f>
        <v>653509.42913649103</v>
      </c>
      <c r="AH9" s="344">
        <f ca="1">Проект!AH$90*CHOOSE(Проект!$D$90,1,Параметры!AH$53,Параметры!AH$59)/Параметры!AH$64</f>
        <v>656690.41932774137</v>
      </c>
      <c r="AI9" s="344">
        <f ca="1">Проект!AI$90*CHOOSE(Проект!$D$90,1,Параметры!AI$53,Параметры!AI$59)/Параметры!AI$64</f>
        <v>549905.74429132952</v>
      </c>
      <c r="AJ9" s="344">
        <f ca="1">Проект!AJ$90*CHOOSE(Проект!$D$90,1,Параметры!AJ$53,Параметры!AJ$59)/Параметры!AJ$64</f>
        <v>884131.90129254432</v>
      </c>
      <c r="AK9" s="344">
        <f ca="1">Проект!AK$90*CHOOSE(Проект!$D$90,1,Параметры!AK$53,Параметры!AK$59)/Параметры!AK$64</f>
        <v>1110544.3225356485</v>
      </c>
      <c r="AL9" s="344">
        <f ca="1">Проект!AL$90*CHOOSE(Проект!$D$90,1,Параметры!AL$53,Параметры!AL$59)/Параметры!AL$64</f>
        <v>1115949.9531806454</v>
      </c>
      <c r="AM9" s="344">
        <f ca="1">Проект!AM$90*CHOOSE(Проект!$D$90,1,Параметры!AM$53,Параметры!AM$59)/Параметры!AM$64</f>
        <v>784967.32720430102</v>
      </c>
      <c r="AN9" s="344">
        <f ca="1">Проект!AN$90*CHOOSE(Проект!$D$90,1,Параметры!AN$53,Параметры!AN$59)/Параметры!AN$64</f>
        <v>563420.13954400725</v>
      </c>
      <c r="AO9" s="344">
        <f ca="1">Проект!AO$90*CHOOSE(Проект!$D$90,1,Параметры!AO$53,Параметры!AO$59)/Параметры!AO$64</f>
        <v>566162.6155627704</v>
      </c>
      <c r="AP9" s="344">
        <f ca="1">Проект!AP$90*CHOOSE(Проект!$D$90,1,Параметры!AP$53,Параметры!AP$59)/Параметры!AP$64</f>
        <v>682702.12886667496</v>
      </c>
      <c r="AQ9" s="344">
        <f ca="1">Проект!AQ$90*CHOOSE(Проект!$D$90,1,Параметры!AQ$53,Параметры!AQ$59)/Параметры!AQ$64</f>
        <v>914700.28800000111</v>
      </c>
      <c r="AR9" s="344">
        <f ca="1">Проект!AR$90*CHOOSE(Проект!$D$90,1,Параметры!AR$53,Параметры!AR$59)/Параметры!AR$64</f>
        <v>804258.55816597806</v>
      </c>
      <c r="AS9" s="344">
        <f ca="1">Проект!AS$90*CHOOSE(Проект!$D$90,1,Параметры!AS$53,Параметры!AS$59)/Параметры!AS$64</f>
        <v>692719.99488468072</v>
      </c>
      <c r="AT9" s="344">
        <f ca="1">Проект!AT$90*CHOOSE(Проект!$D$90,1,Параметры!AT$53,Параметры!AT$59)/Параметры!AT$64</f>
        <v>696091.84448740608</v>
      </c>
      <c r="AU9" s="344">
        <f ca="1">Проект!AU$90*CHOOSE(Проект!$D$90,1,Параметры!AU$53,Параметры!AU$59)/Параметры!AU$64</f>
        <v>582900.08894880966</v>
      </c>
      <c r="AV9" s="344">
        <f ca="1">Проект!AV$90*CHOOSE(Проект!$D$90,1,Параметры!AV$53,Параметры!AV$59)/Параметры!AV$64</f>
        <v>937179.81537009752</v>
      </c>
      <c r="AW9" s="344">
        <f ca="1">Проект!AW$90*CHOOSE(Проект!$D$90,1,Параметры!AW$53,Параметры!AW$59)/Параметры!AW$64</f>
        <v>1177176.9818877878</v>
      </c>
      <c r="AX9" s="344">
        <f ca="1">Проект!AX$90*CHOOSE(Проект!$D$90,1,Параметры!AX$53,Параметры!AX$59)/Параметры!AX$64</f>
        <v>1182906.9503714847</v>
      </c>
      <c r="AY9" s="344">
        <f ca="1">Проект!AY$90*CHOOSE(Проект!$D$90,1,Параметры!AY$53,Параметры!AY$59)/Параметры!AY$64</f>
        <v>832065.36683655949</v>
      </c>
      <c r="AZ9" s="344">
        <f ca="1">Проект!AZ$90*CHOOSE(Проект!$D$90,1,Параметры!AZ$53,Параметры!AZ$59)/Параметры!AZ$64</f>
        <v>597225.34791664802</v>
      </c>
      <c r="BA9" s="344">
        <f ca="1">Проект!BA$90*CHOOSE(Проект!$D$90,1,Параметры!BA$53,Параметры!BA$59)/Параметры!BA$64</f>
        <v>600132.37249653693</v>
      </c>
      <c r="BB9" s="344">
        <f ca="1">Проект!BB$90*CHOOSE(Проект!$D$90,1,Параметры!BB$53,Параметры!BB$59)/Параметры!BB$64</f>
        <v>723664.25659867562</v>
      </c>
      <c r="BC9" s="344"/>
      <c r="BD9" s="345">
        <f ca="1">SUM(G9:BC9)</f>
        <v>30606935.629686661</v>
      </c>
    </row>
    <row r="10" spans="1:56" s="346" customFormat="1" x14ac:dyDescent="0.3">
      <c r="A10" s="339" t="str">
        <f>Проект!A$106</f>
        <v>Спа/банные услуги</v>
      </c>
      <c r="B10" s="340">
        <f t="shared" ca="1" si="2"/>
        <v>22955201.722264975</v>
      </c>
      <c r="C10" s="341" t="str">
        <f ca="1">Параметры!C$64</f>
        <v>руб.</v>
      </c>
      <c r="D10" s="342"/>
      <c r="E10" s="343"/>
      <c r="F10" s="343" t="s">
        <v>3433</v>
      </c>
      <c r="G10" s="344">
        <f ca="1">Проект!G$110*CHOOSE(Проект!$D$110,1,Параметры!G$53,Параметры!G$59)/Параметры!G$64</f>
        <v>0</v>
      </c>
      <c r="H10" s="344">
        <f ca="1">Проект!H$110*CHOOSE(Проект!$D$110,1,Параметры!H$53,Параметры!H$59)/Параметры!H$64</f>
        <v>0</v>
      </c>
      <c r="I10" s="344">
        <f ca="1">Проект!I$110*CHOOSE(Проект!$D$110,1,Параметры!I$53,Параметры!I$59)/Параметры!I$64</f>
        <v>0</v>
      </c>
      <c r="J10" s="344">
        <f ca="1">Проект!J$110*CHOOSE(Проект!$D$110,1,Параметры!J$53,Параметры!J$59)/Параметры!J$64</f>
        <v>0</v>
      </c>
      <c r="K10" s="344">
        <f ca="1">Проект!K$110*CHOOSE(Проект!$D$110,1,Параметры!K$53,Параметры!K$59)/Параметры!K$64</f>
        <v>0</v>
      </c>
      <c r="L10" s="344">
        <f ca="1">Проект!L$110*CHOOSE(Проект!$D$110,1,Параметры!L$53,Параметры!L$59)/Параметры!L$64</f>
        <v>0</v>
      </c>
      <c r="M10" s="344">
        <f ca="1">Проект!M$110*CHOOSE(Проект!$D$110,1,Параметры!M$53,Параметры!M$59)/Параметры!M$64</f>
        <v>222385.61104531921</v>
      </c>
      <c r="N10" s="344">
        <f ca="1">Проект!N$110*CHOOSE(Проект!$D$110,1,Параметры!N$53,Параметры!N$59)/Параметры!N$64</f>
        <v>297957.44566944934</v>
      </c>
      <c r="O10" s="344">
        <f ca="1">Проект!O$110*CHOOSE(Проект!$D$110,1,Параметры!O$53,Параметры!O$59)/Параметры!O$64</f>
        <v>374259.71075320727</v>
      </c>
      <c r="P10" s="344">
        <f ca="1">Проект!P$110*CHOOSE(Проект!$D$110,1,Параметры!P$53,Параметры!P$59)/Параметры!P$64</f>
        <v>451297.72658384306</v>
      </c>
      <c r="Q10" s="344">
        <f ca="1">Проект!Q$110*CHOOSE(Проект!$D$110,1,Параметры!Q$53,Параметры!Q$59)/Параметры!Q$64</f>
        <v>453494.44108801428</v>
      </c>
      <c r="R10" s="344">
        <f ca="1">Проект!R$110*CHOOSE(Проект!$D$110,1,Параметры!R$53,Параметры!R$59)/Параметры!R$64</f>
        <v>455701.8482111122</v>
      </c>
      <c r="S10" s="344">
        <f ca="1">Проект!S$110*CHOOSE(Проект!$D$110,1,Параметры!S$53,Параметры!S$59)/Параметры!S$64</f>
        <v>610560.00000000012</v>
      </c>
      <c r="T10" s="344">
        <f ca="1">Проект!T$110*CHOOSE(Проект!$D$110,1,Параметры!T$53,Параметры!T$59)/Параметры!T$64</f>
        <v>536840.44021402893</v>
      </c>
      <c r="U10" s="344">
        <f ca="1">Проект!U$110*CHOOSE(Проект!$D$110,1,Параметры!U$53,Параметры!U$59)/Параметры!U$64</f>
        <v>462388.74703053577</v>
      </c>
      <c r="V10" s="344">
        <f ca="1">Проект!V$110*CHOOSE(Проект!$D$110,1,Параметры!V$53,Параметры!V$59)/Параметры!V$64</f>
        <v>464639.44763755257</v>
      </c>
      <c r="W10" s="344">
        <f ca="1">Проект!W$110*CHOOSE(Проект!$D$110,1,Параметры!W$53,Параметры!W$59)/Параметры!W$64</f>
        <v>389084.25303631788</v>
      </c>
      <c r="X10" s="344">
        <f ca="1">Проект!X$110*CHOOSE(Проект!$D$110,1,Параметры!X$53,Параметры!X$59)/Параметры!X$64</f>
        <v>625565.02449944138</v>
      </c>
      <c r="Y10" s="344">
        <f ca="1">Проект!Y$110*CHOOSE(Проект!$D$110,1,Параметры!Y$53,Параметры!Y$59)/Параметры!Y$64</f>
        <v>785762.49236012797</v>
      </c>
      <c r="Z10" s="344">
        <f ca="1">Проект!Z$110*CHOOSE(Проект!$D$110,1,Параметры!Z$53,Параметры!Z$59)/Параметры!Z$64</f>
        <v>789587.23102404096</v>
      </c>
      <c r="AA10" s="344">
        <f ca="1">Проект!AA$110*CHOOSE(Проект!$D$110,1,Параметры!AA$53,Параметры!AA$59)/Параметры!AA$64</f>
        <v>555401.4107577597</v>
      </c>
      <c r="AB10" s="344">
        <f ca="1">Проект!AB$110*CHOOSE(Проект!$D$110,1,Параметры!AB$53,Параметры!AB$59)/Параметры!AB$64</f>
        <v>398646.32514906145</v>
      </c>
      <c r="AC10" s="344">
        <f ca="1">Проект!AC$110*CHOOSE(Проект!$D$110,1,Параметры!AC$53,Параметры!AC$59)/Параметры!AC$64</f>
        <v>400586.75629441265</v>
      </c>
      <c r="AD10" s="344">
        <f ca="1">Проект!AD$110*CHOOSE(Проект!$D$110,1,Параметры!AD$53,Параметры!AD$59)/Параметры!AD$64</f>
        <v>483043.95910377894</v>
      </c>
      <c r="AE10" s="344">
        <f ca="1">Проект!AE$110*CHOOSE(Проект!$D$110,1,Параметры!AE$53,Параметры!AE$59)/Параметры!AE$64</f>
        <v>647193.60000000009</v>
      </c>
      <c r="AF10" s="344">
        <f ca="1">Проект!AF$110*CHOOSE(Проект!$D$110,1,Параметры!AF$53,Параметры!AF$59)/Параметры!AF$64</f>
        <v>569050.8666268707</v>
      </c>
      <c r="AG10" s="344">
        <f ca="1">Проект!AG$110*CHOOSE(Проект!$D$110,1,Параметры!AG$53,Параметры!AG$59)/Параметры!AG$64</f>
        <v>490132.0718523679</v>
      </c>
      <c r="AH10" s="344">
        <f ca="1">Проект!AH$110*CHOOSE(Проект!$D$110,1,Параметры!AH$53,Параметры!AH$59)/Параметры!AH$64</f>
        <v>492517.81449580565</v>
      </c>
      <c r="AI10" s="344">
        <f ca="1">Проект!AI$110*CHOOSE(Проект!$D$110,1,Параметры!AI$53,Параметры!AI$59)/Параметры!AI$64</f>
        <v>412429.30821849685</v>
      </c>
      <c r="AJ10" s="344">
        <f ca="1">Проект!AJ$110*CHOOSE(Проект!$D$110,1,Параметры!AJ$53,Параметры!AJ$59)/Параметры!AJ$64</f>
        <v>663098.92596940778</v>
      </c>
      <c r="AK10" s="344">
        <f ca="1">Проект!AK$110*CHOOSE(Проект!$D$110,1,Параметры!AK$53,Параметры!AK$59)/Параметры!AK$64</f>
        <v>832908.24190173578</v>
      </c>
      <c r="AL10" s="344">
        <f ca="1">Проект!AL$110*CHOOSE(Проект!$D$110,1,Параметры!AL$53,Параметры!AL$59)/Параметры!AL$64</f>
        <v>836962.46488548338</v>
      </c>
      <c r="AM10" s="344">
        <f ca="1">Проект!AM$110*CHOOSE(Проект!$D$110,1,Параметры!AM$53,Параметры!AM$59)/Параметры!AM$64</f>
        <v>588725.4954032253</v>
      </c>
      <c r="AN10" s="344">
        <f ca="1">Проект!AN$110*CHOOSE(Проект!$D$110,1,Параметры!AN$53,Параметры!AN$59)/Параметры!AN$64</f>
        <v>422565.10465800512</v>
      </c>
      <c r="AO10" s="344">
        <f ca="1">Проект!AO$110*CHOOSE(Проект!$D$110,1,Параметры!AO$53,Параметры!AO$59)/Параметры!AO$64</f>
        <v>424621.96167207742</v>
      </c>
      <c r="AP10" s="344">
        <f ca="1">Проект!AP$110*CHOOSE(Проект!$D$110,1,Параметры!AP$53,Параметры!AP$59)/Параметры!AP$64</f>
        <v>512026.59665000578</v>
      </c>
      <c r="AQ10" s="344">
        <f ca="1">Проект!AQ$110*CHOOSE(Проект!$D$110,1,Параметры!AQ$53,Параметры!AQ$59)/Параметры!AQ$64</f>
        <v>686025.21600000025</v>
      </c>
      <c r="AR10" s="344">
        <f ca="1">Проект!AR$110*CHOOSE(Проект!$D$110,1,Параметры!AR$53,Параметры!AR$59)/Параметры!AR$64</f>
        <v>603193.91862448305</v>
      </c>
      <c r="AS10" s="344">
        <f ca="1">Проект!AS$110*CHOOSE(Проект!$D$110,1,Параметры!AS$53,Параметры!AS$59)/Параметры!AS$64</f>
        <v>519539.99616351014</v>
      </c>
      <c r="AT10" s="344">
        <f ca="1">Проект!AT$110*CHOOSE(Проект!$D$110,1,Параметры!AT$53,Параметры!AT$59)/Параметры!AT$64</f>
        <v>522068.88336555409</v>
      </c>
      <c r="AU10" s="344">
        <f ca="1">Проект!AU$110*CHOOSE(Проект!$D$110,1,Параметры!AU$53,Параметры!AU$59)/Параметры!AU$64</f>
        <v>437175.06671160675</v>
      </c>
      <c r="AV10" s="344">
        <f ca="1">Проект!AV$110*CHOOSE(Проект!$D$110,1,Параметры!AV$53,Параметры!AV$59)/Параметры!AV$64</f>
        <v>702884.86152757239</v>
      </c>
      <c r="AW10" s="344">
        <f ca="1">Проект!AW$110*CHOOSE(Проект!$D$110,1,Параметры!AW$53,Параметры!AW$59)/Параметры!AW$64</f>
        <v>882882.73641583987</v>
      </c>
      <c r="AX10" s="344">
        <f ca="1">Проект!AX$110*CHOOSE(Проект!$D$110,1,Параметры!AX$53,Параметры!AX$59)/Параметры!AX$64</f>
        <v>887180.21277861239</v>
      </c>
      <c r="AY10" s="344">
        <f ca="1">Проект!AY$110*CHOOSE(Проект!$D$110,1,Параметры!AY$53,Параметры!AY$59)/Параметры!AY$64</f>
        <v>624049.02512741892</v>
      </c>
      <c r="AZ10" s="344">
        <f ca="1">Проект!AZ$110*CHOOSE(Проект!$D$110,1,Параметры!AZ$53,Параметры!AZ$59)/Параметры!AZ$64</f>
        <v>447919.01093748549</v>
      </c>
      <c r="BA10" s="344">
        <f ca="1">Проект!BA$110*CHOOSE(Проект!$D$110,1,Параметры!BA$53,Параметры!BA$59)/Параметры!BA$64</f>
        <v>450099.27937240212</v>
      </c>
      <c r="BB10" s="344">
        <f ca="1">Проект!BB$110*CHOOSE(Проект!$D$110,1,Параметры!BB$53,Параметры!BB$59)/Параметры!BB$64</f>
        <v>542748.19244900614</v>
      </c>
      <c r="BC10" s="344"/>
      <c r="BD10" s="345">
        <f ca="1">SUM(G10:BC10)</f>
        <v>22955201.722264975</v>
      </c>
    </row>
    <row r="11" spans="1:56" x14ac:dyDescent="0.3">
      <c r="A11" s="9"/>
      <c r="B11" s="9"/>
      <c r="C11" s="9"/>
      <c r="D11" s="11"/>
      <c r="E11" s="14" t="s">
        <v>3403</v>
      </c>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6"/>
      <c r="BD11" s="6"/>
    </row>
    <row r="12" spans="1:56" x14ac:dyDescent="0.3">
      <c r="A12" s="128"/>
      <c r="B12" s="128"/>
      <c r="C12" s="128"/>
      <c r="D12" s="129"/>
      <c r="E12" s="129"/>
      <c r="F12" s="63"/>
      <c r="G12" s="130"/>
      <c r="H12" s="130"/>
      <c r="I12" s="130"/>
      <c r="J12" s="130"/>
      <c r="K12" s="130"/>
      <c r="L12" s="130"/>
      <c r="M12" s="130"/>
      <c r="N12" s="130"/>
      <c r="O12" s="130"/>
      <c r="P12" s="130"/>
      <c r="Q12" s="130"/>
      <c r="R12" s="130"/>
      <c r="S12" s="130"/>
      <c r="T12" s="130"/>
      <c r="U12" s="130"/>
      <c r="V12" s="130"/>
      <c r="W12" s="130"/>
      <c r="X12" s="130"/>
      <c r="Y12" s="130"/>
      <c r="Z12" s="130"/>
      <c r="AA12" s="130"/>
      <c r="AB12" s="130"/>
      <c r="AC12" s="130"/>
      <c r="AD12" s="130"/>
      <c r="AE12" s="130"/>
      <c r="AF12" s="130"/>
      <c r="AG12" s="130"/>
      <c r="AH12" s="130"/>
      <c r="AI12" s="130"/>
      <c r="AJ12" s="130"/>
      <c r="AK12" s="130"/>
      <c r="AL12" s="130"/>
      <c r="AM12" s="130"/>
      <c r="AN12" s="130"/>
      <c r="AO12" s="130"/>
      <c r="AP12" s="130"/>
      <c r="AQ12" s="130"/>
      <c r="AR12" s="130"/>
      <c r="AS12" s="130"/>
      <c r="AT12" s="130"/>
      <c r="AU12" s="130"/>
      <c r="AV12" s="130"/>
      <c r="AW12" s="130"/>
      <c r="AX12" s="130"/>
      <c r="AY12" s="130"/>
      <c r="AZ12" s="130"/>
      <c r="BA12" s="130"/>
      <c r="BB12" s="130"/>
      <c r="BC12" s="63"/>
      <c r="BD12" s="63"/>
    </row>
    <row r="13" spans="1:56" x14ac:dyDescent="0.3">
      <c r="A13" s="9"/>
      <c r="B13" s="9"/>
      <c r="C13" s="9"/>
      <c r="D13" s="11"/>
      <c r="E13" s="1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6"/>
      <c r="BD13" s="6"/>
    </row>
    <row r="14" spans="1:56" s="9" customFormat="1" ht="25.5" hidden="1" customHeight="1" thickBot="1" x14ac:dyDescent="0.35">
      <c r="A14" s="323" t="str">
        <f ca="1">Language!A$1500</f>
        <v>ОТЧЕТ - ЗАТРАТЫ НА МАТЕРИАЛЫ ПО ПРОДУКТАМ (без НДС)</v>
      </c>
      <c r="B14" s="337"/>
      <c r="C14" s="338"/>
      <c r="D14" s="326"/>
      <c r="E14" s="326" t="s">
        <v>3402</v>
      </c>
      <c r="F14" s="326"/>
      <c r="G14" s="327" t="str">
        <f ca="1">Параметры!G$34</f>
        <v>янв.25</v>
      </c>
      <c r="H14" s="327" t="str">
        <f ca="1">Параметры!H$34</f>
        <v>фев.25</v>
      </c>
      <c r="I14" s="327" t="str">
        <f ca="1">Параметры!I$34</f>
        <v>мар.25</v>
      </c>
      <c r="J14" s="327" t="str">
        <f ca="1">Параметры!J$34</f>
        <v>апр.25</v>
      </c>
      <c r="K14" s="327" t="str">
        <f ca="1">Параметры!K$34</f>
        <v>май.25</v>
      </c>
      <c r="L14" s="327" t="str">
        <f ca="1">Параметры!L$34</f>
        <v>июн.25</v>
      </c>
      <c r="M14" s="328" t="str">
        <f ca="1">Параметры!M$34</f>
        <v>июл.25</v>
      </c>
      <c r="N14" s="328" t="str">
        <f ca="1">Параметры!N$34</f>
        <v>авг.25</v>
      </c>
      <c r="O14" s="328" t="str">
        <f ca="1">Параметры!O$34</f>
        <v>сен.25</v>
      </c>
      <c r="P14" s="328" t="str">
        <f ca="1">Параметры!P$34</f>
        <v>окт.25</v>
      </c>
      <c r="Q14" s="328" t="str">
        <f ca="1">Параметры!Q$34</f>
        <v>ноя.25</v>
      </c>
      <c r="R14" s="328" t="str">
        <f ca="1">Параметры!R$34</f>
        <v>дек.25</v>
      </c>
      <c r="S14" s="328" t="str">
        <f ca="1">Параметры!S$34</f>
        <v>янв.26</v>
      </c>
      <c r="T14" s="328" t="str">
        <f ca="1">Параметры!T$34</f>
        <v>фев.26</v>
      </c>
      <c r="U14" s="328" t="str">
        <f ca="1">Параметры!U$34</f>
        <v>мар.26</v>
      </c>
      <c r="V14" s="328" t="str">
        <f ca="1">Параметры!V$34</f>
        <v>апр.26</v>
      </c>
      <c r="W14" s="328" t="str">
        <f ca="1">Параметры!W$34</f>
        <v>май.26</v>
      </c>
      <c r="X14" s="328" t="str">
        <f ca="1">Параметры!X$34</f>
        <v>июн.26</v>
      </c>
      <c r="Y14" s="328" t="str">
        <f ca="1">Параметры!Y$34</f>
        <v>июл.26</v>
      </c>
      <c r="Z14" s="328" t="str">
        <f ca="1">Параметры!Z$34</f>
        <v>авг.26</v>
      </c>
      <c r="AA14" s="328" t="str">
        <f ca="1">Параметры!AA$34</f>
        <v>сен.26</v>
      </c>
      <c r="AB14" s="328" t="str">
        <f ca="1">Параметры!AB$34</f>
        <v>окт.26</v>
      </c>
      <c r="AC14" s="328" t="str">
        <f ca="1">Параметры!AC$34</f>
        <v>ноя.26</v>
      </c>
      <c r="AD14" s="328" t="str">
        <f ca="1">Параметры!AD$34</f>
        <v>дек.26</v>
      </c>
      <c r="AE14" s="328" t="str">
        <f ca="1">Параметры!AE$34</f>
        <v>янв.27</v>
      </c>
      <c r="AF14" s="328" t="str">
        <f ca="1">Параметры!AF$34</f>
        <v>фев.27</v>
      </c>
      <c r="AG14" s="328" t="str">
        <f ca="1">Параметры!AG$34</f>
        <v>мар.27</v>
      </c>
      <c r="AH14" s="328" t="str">
        <f ca="1">Параметры!AH$34</f>
        <v>апр.27</v>
      </c>
      <c r="AI14" s="328" t="str">
        <f ca="1">Параметры!AI$34</f>
        <v>май.27</v>
      </c>
      <c r="AJ14" s="328" t="str">
        <f ca="1">Параметры!AJ$34</f>
        <v>июн.27</v>
      </c>
      <c r="AK14" s="328" t="str">
        <f ca="1">Параметры!AK$34</f>
        <v>июл.27</v>
      </c>
      <c r="AL14" s="328" t="str">
        <f ca="1">Параметры!AL$34</f>
        <v>авг.27</v>
      </c>
      <c r="AM14" s="328" t="str">
        <f ca="1">Параметры!AM$34</f>
        <v>сен.27</v>
      </c>
      <c r="AN14" s="328" t="str">
        <f ca="1">Параметры!AN$34</f>
        <v>окт.27</v>
      </c>
      <c r="AO14" s="328" t="str">
        <f ca="1">Параметры!AO$34</f>
        <v>ноя.27</v>
      </c>
      <c r="AP14" s="328" t="str">
        <f ca="1">Параметры!AP$34</f>
        <v>дек.27</v>
      </c>
      <c r="AQ14" s="328" t="str">
        <f ca="1">Параметры!AQ$34</f>
        <v>янв.28</v>
      </c>
      <c r="AR14" s="328" t="str">
        <f ca="1">Параметры!AR$34</f>
        <v>фев.28</v>
      </c>
      <c r="AS14" s="328" t="str">
        <f ca="1">Параметры!AS$34</f>
        <v>мар.28</v>
      </c>
      <c r="AT14" s="328" t="str">
        <f ca="1">Параметры!AT$34</f>
        <v>апр.28</v>
      </c>
      <c r="AU14" s="328" t="str">
        <f ca="1">Параметры!AU$34</f>
        <v>май.28</v>
      </c>
      <c r="AV14" s="328" t="str">
        <f ca="1">Параметры!AV$34</f>
        <v>июн.28</v>
      </c>
      <c r="AW14" s="328" t="str">
        <f ca="1">Параметры!AW$34</f>
        <v>июл.28</v>
      </c>
      <c r="AX14" s="328" t="str">
        <f ca="1">Параметры!AX$34</f>
        <v>авг.28</v>
      </c>
      <c r="AY14" s="328" t="str">
        <f ca="1">Параметры!AY$34</f>
        <v>сен.28</v>
      </c>
      <c r="AZ14" s="328" t="str">
        <f ca="1">Параметры!AZ$34</f>
        <v>окт.28</v>
      </c>
      <c r="BA14" s="328" t="str">
        <f ca="1">Параметры!BA$34</f>
        <v>ноя.28</v>
      </c>
      <c r="BB14" s="328" t="str">
        <f ca="1">Параметры!BB$34</f>
        <v>дек.28</v>
      </c>
      <c r="BC14" s="328"/>
      <c r="BD14" s="329" t="str">
        <f ca="1">Language!$A$1473</f>
        <v>ИТОГО</v>
      </c>
    </row>
    <row r="15" spans="1:56" hidden="1" x14ac:dyDescent="0.3">
      <c r="A15" s="247"/>
      <c r="B15" s="9"/>
      <c r="C15" s="9"/>
      <c r="D15" s="5"/>
      <c r="E15" s="5"/>
      <c r="F15" s="5"/>
      <c r="G15" s="55"/>
      <c r="H15" s="55"/>
      <c r="I15" s="55"/>
      <c r="J15" s="55"/>
      <c r="K15" s="55"/>
      <c r="L15" s="55"/>
      <c r="M15" s="55"/>
      <c r="N15" s="55"/>
      <c r="O15" s="55"/>
      <c r="P15" s="55"/>
      <c r="Q15" s="55"/>
      <c r="R15" s="55"/>
      <c r="S15" s="55"/>
      <c r="T15" s="55"/>
      <c r="U15" s="55"/>
      <c r="V15" s="55"/>
      <c r="W15" s="55"/>
      <c r="X15" s="55"/>
      <c r="Y15" s="55"/>
      <c r="Z15" s="55"/>
      <c r="AA15" s="55"/>
      <c r="AB15" s="55"/>
      <c r="AC15" s="55"/>
      <c r="AD15" s="55"/>
      <c r="AE15" s="55"/>
      <c r="AF15" s="55"/>
      <c r="AG15" s="55"/>
      <c r="AH15" s="55"/>
      <c r="AI15" s="55"/>
      <c r="AJ15" s="55"/>
      <c r="AK15" s="55"/>
      <c r="AL15" s="55"/>
      <c r="AM15" s="55"/>
      <c r="AN15" s="55"/>
      <c r="AO15" s="55"/>
      <c r="AP15" s="55"/>
      <c r="AQ15" s="55"/>
      <c r="AR15" s="55"/>
      <c r="AS15" s="55"/>
      <c r="AT15" s="55"/>
      <c r="AU15" s="55"/>
      <c r="AV15" s="55"/>
      <c r="AW15" s="55"/>
      <c r="AX15" s="55"/>
      <c r="AY15" s="55"/>
      <c r="AZ15" s="55"/>
      <c r="BA15" s="55"/>
      <c r="BB15" s="55"/>
      <c r="BC15" s="55"/>
      <c r="BD15" s="6"/>
    </row>
    <row r="16" spans="1:56" hidden="1" x14ac:dyDescent="0.3">
      <c r="A16" s="138"/>
      <c r="B16" s="137"/>
      <c r="C16" s="100"/>
      <c r="D16" s="11">
        <v>0</v>
      </c>
      <c r="E16" s="6" t="s">
        <v>2273</v>
      </c>
      <c r="F16" s="6" t="s">
        <v>3509</v>
      </c>
      <c r="G16" s="58"/>
      <c r="H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c r="AK16" s="58"/>
      <c r="AL16" s="58"/>
      <c r="AM16" s="58"/>
      <c r="AN16" s="58"/>
      <c r="AO16" s="58"/>
      <c r="AP16" s="58"/>
      <c r="AQ16" s="58"/>
      <c r="AR16" s="58"/>
      <c r="AS16" s="58"/>
      <c r="AT16" s="58"/>
      <c r="AU16" s="58"/>
      <c r="AV16" s="58"/>
      <c r="AW16" s="58"/>
      <c r="AX16" s="58"/>
      <c r="AY16" s="58"/>
      <c r="AZ16" s="58"/>
      <c r="BA16" s="58"/>
      <c r="BB16" s="58"/>
      <c r="BC16" s="58"/>
      <c r="BD16" s="76"/>
    </row>
    <row r="17" spans="1:56" s="346" customFormat="1" hidden="1" x14ac:dyDescent="0.3">
      <c r="A17" s="374" t="str">
        <f>Проект!A$46</f>
        <v xml:space="preserve">Проживание гостей (Групповые и семейные номера) </v>
      </c>
      <c r="B17" s="340">
        <f>BD17</f>
        <v>0</v>
      </c>
      <c r="C17" s="341" t="str">
        <f ca="1">Параметры!C$64</f>
        <v>руб.</v>
      </c>
      <c r="D17" s="342"/>
      <c r="E17" s="343"/>
      <c r="F17" s="343" t="s">
        <v>3487</v>
      </c>
      <c r="G17" s="344">
        <v>0</v>
      </c>
      <c r="H17" s="344">
        <v>0</v>
      </c>
      <c r="I17" s="344">
        <v>0</v>
      </c>
      <c r="J17" s="344">
        <v>0</v>
      </c>
      <c r="K17" s="344">
        <v>0</v>
      </c>
      <c r="L17" s="344">
        <v>0</v>
      </c>
      <c r="M17" s="344">
        <v>0</v>
      </c>
      <c r="N17" s="344">
        <v>0</v>
      </c>
      <c r="O17" s="344">
        <v>0</v>
      </c>
      <c r="P17" s="344">
        <v>0</v>
      </c>
      <c r="Q17" s="344">
        <v>0</v>
      </c>
      <c r="R17" s="344">
        <v>0</v>
      </c>
      <c r="S17" s="344">
        <v>0</v>
      </c>
      <c r="T17" s="344">
        <v>0</v>
      </c>
      <c r="U17" s="344">
        <v>0</v>
      </c>
      <c r="V17" s="344">
        <v>0</v>
      </c>
      <c r="W17" s="344">
        <v>0</v>
      </c>
      <c r="X17" s="344">
        <v>0</v>
      </c>
      <c r="Y17" s="344">
        <v>0</v>
      </c>
      <c r="Z17" s="344">
        <v>0</v>
      </c>
      <c r="AA17" s="344">
        <v>0</v>
      </c>
      <c r="AB17" s="344">
        <v>0</v>
      </c>
      <c r="AC17" s="344">
        <v>0</v>
      </c>
      <c r="AD17" s="344">
        <v>0</v>
      </c>
      <c r="AE17" s="344">
        <v>0</v>
      </c>
      <c r="AF17" s="344">
        <v>0</v>
      </c>
      <c r="AG17" s="344">
        <v>0</v>
      </c>
      <c r="AH17" s="344">
        <v>0</v>
      </c>
      <c r="AI17" s="344">
        <v>0</v>
      </c>
      <c r="AJ17" s="344">
        <v>0</v>
      </c>
      <c r="AK17" s="344">
        <v>0</v>
      </c>
      <c r="AL17" s="344">
        <v>0</v>
      </c>
      <c r="AM17" s="344">
        <v>0</v>
      </c>
      <c r="AN17" s="344">
        <v>0</v>
      </c>
      <c r="AO17" s="344">
        <v>0</v>
      </c>
      <c r="AP17" s="344">
        <v>0</v>
      </c>
      <c r="AQ17" s="344">
        <v>0</v>
      </c>
      <c r="AR17" s="344">
        <v>0</v>
      </c>
      <c r="AS17" s="344">
        <v>0</v>
      </c>
      <c r="AT17" s="344">
        <v>0</v>
      </c>
      <c r="AU17" s="344">
        <v>0</v>
      </c>
      <c r="AV17" s="344">
        <v>0</v>
      </c>
      <c r="AW17" s="344">
        <v>0</v>
      </c>
      <c r="AX17" s="344">
        <v>0</v>
      </c>
      <c r="AY17" s="344">
        <v>0</v>
      </c>
      <c r="AZ17" s="344">
        <v>0</v>
      </c>
      <c r="BA17" s="344">
        <v>0</v>
      </c>
      <c r="BB17" s="344">
        <v>0</v>
      </c>
      <c r="BC17" s="344"/>
      <c r="BD17" s="345">
        <f>SUM(G17:BC17)</f>
        <v>0</v>
      </c>
    </row>
    <row r="18" spans="1:56" hidden="1" collapsed="1" x14ac:dyDescent="0.3">
      <c r="A18" s="9" t="str">
        <f>Проект!A$66</f>
        <v>Питание гостей</v>
      </c>
      <c r="B18" s="136">
        <f t="shared" ref="B18:B21" ca="1" si="3">BD18</f>
        <v>45910403.444529973</v>
      </c>
      <c r="C18" s="48" t="str">
        <f ca="1">Параметры!C$64</f>
        <v>руб.</v>
      </c>
      <c r="D18" s="11"/>
      <c r="F18" s="6" t="s">
        <v>3425</v>
      </c>
      <c r="G18" s="55">
        <f t="shared" ref="G18:BB18" ca="1" si="4">SUM(G19:G19)</f>
        <v>0</v>
      </c>
      <c r="H18" s="55">
        <f t="shared" ca="1" si="4"/>
        <v>0</v>
      </c>
      <c r="I18" s="55">
        <f t="shared" ca="1" si="4"/>
        <v>0</v>
      </c>
      <c r="J18" s="55">
        <f t="shared" ca="1" si="4"/>
        <v>0</v>
      </c>
      <c r="K18" s="55">
        <f t="shared" ca="1" si="4"/>
        <v>0</v>
      </c>
      <c r="L18" s="55">
        <f t="shared" ca="1" si="4"/>
        <v>0</v>
      </c>
      <c r="M18" s="55">
        <f t="shared" ca="1" si="4"/>
        <v>444771.22209063842</v>
      </c>
      <c r="N18" s="55">
        <f t="shared" ca="1" si="4"/>
        <v>595914.89133889868</v>
      </c>
      <c r="O18" s="55">
        <f t="shared" ca="1" si="4"/>
        <v>748519.42150641454</v>
      </c>
      <c r="P18" s="55">
        <f t="shared" ca="1" si="4"/>
        <v>902595.45316768612</v>
      </c>
      <c r="Q18" s="55">
        <f t="shared" ca="1" si="4"/>
        <v>906988.88217602868</v>
      </c>
      <c r="R18" s="55">
        <f t="shared" ca="1" si="4"/>
        <v>911403.6964222244</v>
      </c>
      <c r="S18" s="55">
        <f t="shared" ca="1" si="4"/>
        <v>1221120.0000000002</v>
      </c>
      <c r="T18" s="55">
        <f t="shared" ca="1" si="4"/>
        <v>1073680.8804280581</v>
      </c>
      <c r="U18" s="55">
        <f t="shared" ca="1" si="4"/>
        <v>924777.49406107166</v>
      </c>
      <c r="V18" s="55">
        <f t="shared" ca="1" si="4"/>
        <v>929278.89527510514</v>
      </c>
      <c r="W18" s="55">
        <f t="shared" ca="1" si="4"/>
        <v>778168.50607263576</v>
      </c>
      <c r="X18" s="55">
        <f t="shared" ca="1" si="4"/>
        <v>1251130.0489988828</v>
      </c>
      <c r="Y18" s="55">
        <f t="shared" ca="1" si="4"/>
        <v>1571524.9847202559</v>
      </c>
      <c r="Z18" s="55">
        <f t="shared" ca="1" si="4"/>
        <v>1579174.4620480817</v>
      </c>
      <c r="AA18" s="55">
        <f t="shared" ca="1" si="4"/>
        <v>1110802.8215155194</v>
      </c>
      <c r="AB18" s="55">
        <f t="shared" ca="1" si="4"/>
        <v>797292.6502981229</v>
      </c>
      <c r="AC18" s="55">
        <f t="shared" ca="1" si="4"/>
        <v>801173.51258882543</v>
      </c>
      <c r="AD18" s="55">
        <f t="shared" ca="1" si="4"/>
        <v>966087.9182075581</v>
      </c>
      <c r="AE18" s="55">
        <f t="shared" ca="1" si="4"/>
        <v>1294387.2000000007</v>
      </c>
      <c r="AF18" s="55">
        <f t="shared" ca="1" si="4"/>
        <v>1138101.7332537419</v>
      </c>
      <c r="AG18" s="55">
        <f t="shared" ca="1" si="4"/>
        <v>980264.14370473637</v>
      </c>
      <c r="AH18" s="55">
        <f t="shared" ca="1" si="4"/>
        <v>985035.62899161188</v>
      </c>
      <c r="AI18" s="55">
        <f t="shared" ca="1" si="4"/>
        <v>824858.61643699417</v>
      </c>
      <c r="AJ18" s="55">
        <f t="shared" ca="1" si="4"/>
        <v>1326197.8519388163</v>
      </c>
      <c r="AK18" s="55">
        <f t="shared" ca="1" si="4"/>
        <v>1665816.4838034725</v>
      </c>
      <c r="AL18" s="55">
        <f t="shared" ca="1" si="4"/>
        <v>1673924.9297709677</v>
      </c>
      <c r="AM18" s="55">
        <f t="shared" ca="1" si="4"/>
        <v>1177450.9908064513</v>
      </c>
      <c r="AN18" s="55">
        <f t="shared" ca="1" si="4"/>
        <v>845130.2093160107</v>
      </c>
      <c r="AO18" s="55">
        <f t="shared" ca="1" si="4"/>
        <v>849243.92334415531</v>
      </c>
      <c r="AP18" s="55">
        <f t="shared" ca="1" si="4"/>
        <v>1024053.1933000119</v>
      </c>
      <c r="AQ18" s="55">
        <f t="shared" ca="1" si="4"/>
        <v>1372050.4320000012</v>
      </c>
      <c r="AR18" s="55">
        <f t="shared" ca="1" si="4"/>
        <v>1206387.8372489666</v>
      </c>
      <c r="AS18" s="55">
        <f t="shared" ca="1" si="4"/>
        <v>1039079.9923270207</v>
      </c>
      <c r="AT18" s="55">
        <f t="shared" ca="1" si="4"/>
        <v>1044137.7667311088</v>
      </c>
      <c r="AU18" s="55">
        <f t="shared" ca="1" si="4"/>
        <v>874350.13342321385</v>
      </c>
      <c r="AV18" s="55">
        <f t="shared" ca="1" si="4"/>
        <v>1405769.7230551455</v>
      </c>
      <c r="AW18" s="55">
        <f t="shared" ca="1" si="4"/>
        <v>1765765.4728316809</v>
      </c>
      <c r="AX18" s="55">
        <f t="shared" ca="1" si="4"/>
        <v>1774360.4255572259</v>
      </c>
      <c r="AY18" s="55">
        <f t="shared" ca="1" si="4"/>
        <v>1248098.0502548383</v>
      </c>
      <c r="AZ18" s="55">
        <f t="shared" ca="1" si="4"/>
        <v>895838.02187497134</v>
      </c>
      <c r="BA18" s="55">
        <f t="shared" ca="1" si="4"/>
        <v>900198.5587448047</v>
      </c>
      <c r="BB18" s="55">
        <f t="shared" ca="1" si="4"/>
        <v>1085496.3848980127</v>
      </c>
      <c r="BC18" s="55"/>
      <c r="BD18" s="57">
        <f ca="1">SUM(G18:BC18)</f>
        <v>45910403.444529973</v>
      </c>
    </row>
    <row r="19" spans="1:56" hidden="1" outlineLevel="1" x14ac:dyDescent="0.3">
      <c r="A19" s="243" t="str">
        <f>Проект!A$193</f>
        <v>Себестоимость еды</v>
      </c>
      <c r="B19" s="136">
        <f t="shared" ca="1" si="3"/>
        <v>45910403.444529973</v>
      </c>
      <c r="C19" s="48" t="str">
        <f ca="1">Параметры!C$64</f>
        <v>руб.</v>
      </c>
      <c r="D19" s="11"/>
      <c r="F19" s="6" t="s">
        <v>3424</v>
      </c>
      <c r="G19" s="55">
        <f ca="1">Проект!G$197*CHOOSE(Проект!$D$197,1,Параметры!G$53,Параметры!G$59)/Параметры!G$64</f>
        <v>0</v>
      </c>
      <c r="H19" s="55">
        <f ca="1">Проект!H$197*CHOOSE(Проект!$D$197,1,Параметры!H$53,Параметры!H$59)/Параметры!H$64</f>
        <v>0</v>
      </c>
      <c r="I19" s="55">
        <f ca="1">Проект!I$197*CHOOSE(Проект!$D$197,1,Параметры!I$53,Параметры!I$59)/Параметры!I$64</f>
        <v>0</v>
      </c>
      <c r="J19" s="55">
        <f ca="1">Проект!J$197*CHOOSE(Проект!$D$197,1,Параметры!J$53,Параметры!J$59)/Параметры!J$64</f>
        <v>0</v>
      </c>
      <c r="K19" s="55">
        <f ca="1">Проект!K$197*CHOOSE(Проект!$D$197,1,Параметры!K$53,Параметры!K$59)/Параметры!K$64</f>
        <v>0</v>
      </c>
      <c r="L19" s="55">
        <f ca="1">Проект!L$197*CHOOSE(Проект!$D$197,1,Параметры!L$53,Параметры!L$59)/Параметры!L$64</f>
        <v>0</v>
      </c>
      <c r="M19" s="55">
        <f ca="1">Проект!M$197*CHOOSE(Проект!$D$197,1,Параметры!M$53,Параметры!M$59)/Параметры!M$64</f>
        <v>444771.22209063842</v>
      </c>
      <c r="N19" s="55">
        <f ca="1">Проект!N$197*CHOOSE(Проект!$D$197,1,Параметры!N$53,Параметры!N$59)/Параметры!N$64</f>
        <v>595914.89133889868</v>
      </c>
      <c r="O19" s="55">
        <f ca="1">Проект!O$197*CHOOSE(Проект!$D$197,1,Параметры!O$53,Параметры!O$59)/Параметры!O$64</f>
        <v>748519.42150641454</v>
      </c>
      <c r="P19" s="55">
        <f ca="1">Проект!P$197*CHOOSE(Проект!$D$197,1,Параметры!P$53,Параметры!P$59)/Параметры!P$64</f>
        <v>902595.45316768612</v>
      </c>
      <c r="Q19" s="55">
        <f ca="1">Проект!Q$197*CHOOSE(Проект!$D$197,1,Параметры!Q$53,Параметры!Q$59)/Параметры!Q$64</f>
        <v>906988.88217602868</v>
      </c>
      <c r="R19" s="55">
        <f ca="1">Проект!R$197*CHOOSE(Проект!$D$197,1,Параметры!R$53,Параметры!R$59)/Параметры!R$64</f>
        <v>911403.6964222244</v>
      </c>
      <c r="S19" s="55">
        <f ca="1">Проект!S$197*CHOOSE(Проект!$D$197,1,Параметры!S$53,Параметры!S$59)/Параметры!S$64</f>
        <v>1221120.0000000002</v>
      </c>
      <c r="T19" s="55">
        <f ca="1">Проект!T$197*CHOOSE(Проект!$D$197,1,Параметры!T$53,Параметры!T$59)/Параметры!T$64</f>
        <v>1073680.8804280581</v>
      </c>
      <c r="U19" s="55">
        <f ca="1">Проект!U$197*CHOOSE(Проект!$D$197,1,Параметры!U$53,Параметры!U$59)/Параметры!U$64</f>
        <v>924777.49406107166</v>
      </c>
      <c r="V19" s="55">
        <f ca="1">Проект!V$197*CHOOSE(Проект!$D$197,1,Параметры!V$53,Параметры!V$59)/Параметры!V$64</f>
        <v>929278.89527510514</v>
      </c>
      <c r="W19" s="55">
        <f ca="1">Проект!W$197*CHOOSE(Проект!$D$197,1,Параметры!W$53,Параметры!W$59)/Параметры!W$64</f>
        <v>778168.50607263576</v>
      </c>
      <c r="X19" s="55">
        <f ca="1">Проект!X$197*CHOOSE(Проект!$D$197,1,Параметры!X$53,Параметры!X$59)/Параметры!X$64</f>
        <v>1251130.0489988828</v>
      </c>
      <c r="Y19" s="55">
        <f ca="1">Проект!Y$197*CHOOSE(Проект!$D$197,1,Параметры!Y$53,Параметры!Y$59)/Параметры!Y$64</f>
        <v>1571524.9847202559</v>
      </c>
      <c r="Z19" s="55">
        <f ca="1">Проект!Z$197*CHOOSE(Проект!$D$197,1,Параметры!Z$53,Параметры!Z$59)/Параметры!Z$64</f>
        <v>1579174.4620480817</v>
      </c>
      <c r="AA19" s="55">
        <f ca="1">Проект!AA$197*CHOOSE(Проект!$D$197,1,Параметры!AA$53,Параметры!AA$59)/Параметры!AA$64</f>
        <v>1110802.8215155194</v>
      </c>
      <c r="AB19" s="55">
        <f ca="1">Проект!AB$197*CHOOSE(Проект!$D$197,1,Параметры!AB$53,Параметры!AB$59)/Параметры!AB$64</f>
        <v>797292.6502981229</v>
      </c>
      <c r="AC19" s="55">
        <f ca="1">Проект!AC$197*CHOOSE(Проект!$D$197,1,Параметры!AC$53,Параметры!AC$59)/Параметры!AC$64</f>
        <v>801173.51258882543</v>
      </c>
      <c r="AD19" s="55">
        <f ca="1">Проект!AD$197*CHOOSE(Проект!$D$197,1,Параметры!AD$53,Параметры!AD$59)/Параметры!AD$64</f>
        <v>966087.9182075581</v>
      </c>
      <c r="AE19" s="55">
        <f ca="1">Проект!AE$197*CHOOSE(Проект!$D$197,1,Параметры!AE$53,Параметры!AE$59)/Параметры!AE$64</f>
        <v>1294387.2000000007</v>
      </c>
      <c r="AF19" s="55">
        <f ca="1">Проект!AF$197*CHOOSE(Проект!$D$197,1,Параметры!AF$53,Параметры!AF$59)/Параметры!AF$64</f>
        <v>1138101.7332537419</v>
      </c>
      <c r="AG19" s="55">
        <f ca="1">Проект!AG$197*CHOOSE(Проект!$D$197,1,Параметры!AG$53,Параметры!AG$59)/Параметры!AG$64</f>
        <v>980264.14370473637</v>
      </c>
      <c r="AH19" s="55">
        <f ca="1">Проект!AH$197*CHOOSE(Проект!$D$197,1,Параметры!AH$53,Параметры!AH$59)/Параметры!AH$64</f>
        <v>985035.62899161188</v>
      </c>
      <c r="AI19" s="55">
        <f ca="1">Проект!AI$197*CHOOSE(Проект!$D$197,1,Параметры!AI$53,Параметры!AI$59)/Параметры!AI$64</f>
        <v>824858.61643699417</v>
      </c>
      <c r="AJ19" s="55">
        <f ca="1">Проект!AJ$197*CHOOSE(Проект!$D$197,1,Параметры!AJ$53,Параметры!AJ$59)/Параметры!AJ$64</f>
        <v>1326197.8519388163</v>
      </c>
      <c r="AK19" s="55">
        <f ca="1">Проект!AK$197*CHOOSE(Проект!$D$197,1,Параметры!AK$53,Параметры!AK$59)/Параметры!AK$64</f>
        <v>1665816.4838034725</v>
      </c>
      <c r="AL19" s="55">
        <f ca="1">Проект!AL$197*CHOOSE(Проект!$D$197,1,Параметры!AL$53,Параметры!AL$59)/Параметры!AL$64</f>
        <v>1673924.9297709677</v>
      </c>
      <c r="AM19" s="55">
        <f ca="1">Проект!AM$197*CHOOSE(Проект!$D$197,1,Параметры!AM$53,Параметры!AM$59)/Параметры!AM$64</f>
        <v>1177450.9908064513</v>
      </c>
      <c r="AN19" s="55">
        <f ca="1">Проект!AN$197*CHOOSE(Проект!$D$197,1,Параметры!AN$53,Параметры!AN$59)/Параметры!AN$64</f>
        <v>845130.2093160107</v>
      </c>
      <c r="AO19" s="55">
        <f ca="1">Проект!AO$197*CHOOSE(Проект!$D$197,1,Параметры!AO$53,Параметры!AO$59)/Параметры!AO$64</f>
        <v>849243.92334415531</v>
      </c>
      <c r="AP19" s="55">
        <f ca="1">Проект!AP$197*CHOOSE(Проект!$D$197,1,Параметры!AP$53,Параметры!AP$59)/Параметры!AP$64</f>
        <v>1024053.1933000119</v>
      </c>
      <c r="AQ19" s="55">
        <f ca="1">Проект!AQ$197*CHOOSE(Проект!$D$197,1,Параметры!AQ$53,Параметры!AQ$59)/Параметры!AQ$64</f>
        <v>1372050.4320000012</v>
      </c>
      <c r="AR19" s="55">
        <f ca="1">Проект!AR$197*CHOOSE(Проект!$D$197,1,Параметры!AR$53,Параметры!AR$59)/Параметры!AR$64</f>
        <v>1206387.8372489666</v>
      </c>
      <c r="AS19" s="55">
        <f ca="1">Проект!AS$197*CHOOSE(Проект!$D$197,1,Параметры!AS$53,Параметры!AS$59)/Параметры!AS$64</f>
        <v>1039079.9923270207</v>
      </c>
      <c r="AT19" s="55">
        <f ca="1">Проект!AT$197*CHOOSE(Проект!$D$197,1,Параметры!AT$53,Параметры!AT$59)/Параметры!AT$64</f>
        <v>1044137.7667311088</v>
      </c>
      <c r="AU19" s="55">
        <f ca="1">Проект!AU$197*CHOOSE(Проект!$D$197,1,Параметры!AU$53,Параметры!AU$59)/Параметры!AU$64</f>
        <v>874350.13342321385</v>
      </c>
      <c r="AV19" s="55">
        <f ca="1">Проект!AV$197*CHOOSE(Проект!$D$197,1,Параметры!AV$53,Параметры!AV$59)/Параметры!AV$64</f>
        <v>1405769.7230551455</v>
      </c>
      <c r="AW19" s="55">
        <f ca="1">Проект!AW$197*CHOOSE(Проект!$D$197,1,Параметры!AW$53,Параметры!AW$59)/Параметры!AW$64</f>
        <v>1765765.4728316809</v>
      </c>
      <c r="AX19" s="55">
        <f ca="1">Проект!AX$197*CHOOSE(Проект!$D$197,1,Параметры!AX$53,Параметры!AX$59)/Параметры!AX$64</f>
        <v>1774360.4255572259</v>
      </c>
      <c r="AY19" s="55">
        <f ca="1">Проект!AY$197*CHOOSE(Проект!$D$197,1,Параметры!AY$53,Параметры!AY$59)/Параметры!AY$64</f>
        <v>1248098.0502548383</v>
      </c>
      <c r="AZ19" s="55">
        <f ca="1">Проект!AZ$197*CHOOSE(Проект!$D$197,1,Параметры!AZ$53,Параметры!AZ$59)/Параметры!AZ$64</f>
        <v>895838.02187497134</v>
      </c>
      <c r="BA19" s="55">
        <f ca="1">Проект!BA$197*CHOOSE(Проект!$D$197,1,Параметры!BA$53,Параметры!BA$59)/Параметры!BA$64</f>
        <v>900198.5587448047</v>
      </c>
      <c r="BB19" s="55">
        <f ca="1">Проект!BB$197*CHOOSE(Проект!$D$197,1,Параметры!BB$53,Параметры!BB$59)/Параметры!BB$64</f>
        <v>1085496.3848980127</v>
      </c>
      <c r="BC19" s="55"/>
      <c r="BD19" s="57">
        <f ca="1">SUM(G19:BC19)</f>
        <v>45910403.444529973</v>
      </c>
    </row>
    <row r="20" spans="1:56" s="346" customFormat="1" hidden="1" x14ac:dyDescent="0.3">
      <c r="A20" s="347" t="str">
        <f>Проект!A$86</f>
        <v>Дополнительные услуги и аренда</v>
      </c>
      <c r="B20" s="340">
        <f t="shared" si="3"/>
        <v>0</v>
      </c>
      <c r="C20" s="341" t="str">
        <f ca="1">Параметры!C$64</f>
        <v>руб.</v>
      </c>
      <c r="D20" s="342"/>
      <c r="E20" s="343"/>
      <c r="F20" s="343" t="s">
        <v>3429</v>
      </c>
      <c r="G20" s="344">
        <v>0</v>
      </c>
      <c r="H20" s="344">
        <v>0</v>
      </c>
      <c r="I20" s="344">
        <v>0</v>
      </c>
      <c r="J20" s="344">
        <v>0</v>
      </c>
      <c r="K20" s="344">
        <v>0</v>
      </c>
      <c r="L20" s="344">
        <v>0</v>
      </c>
      <c r="M20" s="344">
        <v>0</v>
      </c>
      <c r="N20" s="344">
        <v>0</v>
      </c>
      <c r="O20" s="344">
        <v>0</v>
      </c>
      <c r="P20" s="344">
        <v>0</v>
      </c>
      <c r="Q20" s="344">
        <v>0</v>
      </c>
      <c r="R20" s="344">
        <v>0</v>
      </c>
      <c r="S20" s="344">
        <v>0</v>
      </c>
      <c r="T20" s="344">
        <v>0</v>
      </c>
      <c r="U20" s="344">
        <v>0</v>
      </c>
      <c r="V20" s="344">
        <v>0</v>
      </c>
      <c r="W20" s="344">
        <v>0</v>
      </c>
      <c r="X20" s="344">
        <v>0</v>
      </c>
      <c r="Y20" s="344">
        <v>0</v>
      </c>
      <c r="Z20" s="344">
        <v>0</v>
      </c>
      <c r="AA20" s="344">
        <v>0</v>
      </c>
      <c r="AB20" s="344">
        <v>0</v>
      </c>
      <c r="AC20" s="344">
        <v>0</v>
      </c>
      <c r="AD20" s="344">
        <v>0</v>
      </c>
      <c r="AE20" s="344">
        <v>0</v>
      </c>
      <c r="AF20" s="344">
        <v>0</v>
      </c>
      <c r="AG20" s="344">
        <v>0</v>
      </c>
      <c r="AH20" s="344">
        <v>0</v>
      </c>
      <c r="AI20" s="344">
        <v>0</v>
      </c>
      <c r="AJ20" s="344">
        <v>0</v>
      </c>
      <c r="AK20" s="344">
        <v>0</v>
      </c>
      <c r="AL20" s="344">
        <v>0</v>
      </c>
      <c r="AM20" s="344">
        <v>0</v>
      </c>
      <c r="AN20" s="344">
        <v>0</v>
      </c>
      <c r="AO20" s="344">
        <v>0</v>
      </c>
      <c r="AP20" s="344">
        <v>0</v>
      </c>
      <c r="AQ20" s="344">
        <v>0</v>
      </c>
      <c r="AR20" s="344">
        <v>0</v>
      </c>
      <c r="AS20" s="344">
        <v>0</v>
      </c>
      <c r="AT20" s="344">
        <v>0</v>
      </c>
      <c r="AU20" s="344">
        <v>0</v>
      </c>
      <c r="AV20" s="344">
        <v>0</v>
      </c>
      <c r="AW20" s="344">
        <v>0</v>
      </c>
      <c r="AX20" s="344">
        <v>0</v>
      </c>
      <c r="AY20" s="344">
        <v>0</v>
      </c>
      <c r="AZ20" s="344">
        <v>0</v>
      </c>
      <c r="BA20" s="344">
        <v>0</v>
      </c>
      <c r="BB20" s="344">
        <v>0</v>
      </c>
      <c r="BC20" s="344"/>
      <c r="BD20" s="345">
        <f>SUM(G20:BC20)</f>
        <v>0</v>
      </c>
    </row>
    <row r="21" spans="1:56" s="346" customFormat="1" hidden="1" x14ac:dyDescent="0.3">
      <c r="A21" s="347" t="str">
        <f>Проект!A$106</f>
        <v>Спа/банные услуги</v>
      </c>
      <c r="B21" s="340">
        <f t="shared" si="3"/>
        <v>0</v>
      </c>
      <c r="C21" s="341" t="str">
        <f ca="1">Параметры!C$64</f>
        <v>руб.</v>
      </c>
      <c r="D21" s="342"/>
      <c r="E21" s="343"/>
      <c r="F21" s="343" t="s">
        <v>3433</v>
      </c>
      <c r="G21" s="344">
        <v>0</v>
      </c>
      <c r="H21" s="344">
        <v>0</v>
      </c>
      <c r="I21" s="344">
        <v>0</v>
      </c>
      <c r="J21" s="344">
        <v>0</v>
      </c>
      <c r="K21" s="344">
        <v>0</v>
      </c>
      <c r="L21" s="344">
        <v>0</v>
      </c>
      <c r="M21" s="344">
        <v>0</v>
      </c>
      <c r="N21" s="344">
        <v>0</v>
      </c>
      <c r="O21" s="344">
        <v>0</v>
      </c>
      <c r="P21" s="344">
        <v>0</v>
      </c>
      <c r="Q21" s="344">
        <v>0</v>
      </c>
      <c r="R21" s="344">
        <v>0</v>
      </c>
      <c r="S21" s="344">
        <v>0</v>
      </c>
      <c r="T21" s="344">
        <v>0</v>
      </c>
      <c r="U21" s="344">
        <v>0</v>
      </c>
      <c r="V21" s="344">
        <v>0</v>
      </c>
      <c r="W21" s="344">
        <v>0</v>
      </c>
      <c r="X21" s="344">
        <v>0</v>
      </c>
      <c r="Y21" s="344">
        <v>0</v>
      </c>
      <c r="Z21" s="344">
        <v>0</v>
      </c>
      <c r="AA21" s="344">
        <v>0</v>
      </c>
      <c r="AB21" s="344">
        <v>0</v>
      </c>
      <c r="AC21" s="344">
        <v>0</v>
      </c>
      <c r="AD21" s="344">
        <v>0</v>
      </c>
      <c r="AE21" s="344">
        <v>0</v>
      </c>
      <c r="AF21" s="344">
        <v>0</v>
      </c>
      <c r="AG21" s="344">
        <v>0</v>
      </c>
      <c r="AH21" s="344">
        <v>0</v>
      </c>
      <c r="AI21" s="344">
        <v>0</v>
      </c>
      <c r="AJ21" s="344">
        <v>0</v>
      </c>
      <c r="AK21" s="344">
        <v>0</v>
      </c>
      <c r="AL21" s="344">
        <v>0</v>
      </c>
      <c r="AM21" s="344">
        <v>0</v>
      </c>
      <c r="AN21" s="344">
        <v>0</v>
      </c>
      <c r="AO21" s="344">
        <v>0</v>
      </c>
      <c r="AP21" s="344">
        <v>0</v>
      </c>
      <c r="AQ21" s="344">
        <v>0</v>
      </c>
      <c r="AR21" s="344">
        <v>0</v>
      </c>
      <c r="AS21" s="344">
        <v>0</v>
      </c>
      <c r="AT21" s="344">
        <v>0</v>
      </c>
      <c r="AU21" s="344">
        <v>0</v>
      </c>
      <c r="AV21" s="344">
        <v>0</v>
      </c>
      <c r="AW21" s="344">
        <v>0</v>
      </c>
      <c r="AX21" s="344">
        <v>0</v>
      </c>
      <c r="AY21" s="344">
        <v>0</v>
      </c>
      <c r="AZ21" s="344">
        <v>0</v>
      </c>
      <c r="BA21" s="344">
        <v>0</v>
      </c>
      <c r="BB21" s="344">
        <v>0</v>
      </c>
      <c r="BC21" s="344"/>
      <c r="BD21" s="345">
        <f>SUM(G21:BC21)</f>
        <v>0</v>
      </c>
    </row>
    <row r="22" spans="1:56" hidden="1" x14ac:dyDescent="0.3">
      <c r="A22" s="160"/>
      <c r="B22" s="160"/>
      <c r="C22" s="160"/>
      <c r="D22" s="161"/>
      <c r="E22" s="14" t="s">
        <v>3404</v>
      </c>
      <c r="F22" s="14"/>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162"/>
      <c r="AE22" s="162"/>
      <c r="AF22" s="162"/>
      <c r="AG22" s="162"/>
      <c r="AH22" s="162"/>
      <c r="AI22" s="162"/>
      <c r="AJ22" s="162"/>
      <c r="AK22" s="162"/>
      <c r="AL22" s="162"/>
      <c r="AM22" s="162"/>
      <c r="AN22" s="162"/>
      <c r="AO22" s="162"/>
      <c r="AP22" s="162"/>
      <c r="AQ22" s="162"/>
      <c r="AR22" s="162"/>
      <c r="AS22" s="162"/>
      <c r="AT22" s="162"/>
      <c r="AU22" s="162"/>
      <c r="AV22" s="162"/>
      <c r="AW22" s="162"/>
      <c r="AX22" s="162"/>
      <c r="AY22" s="162"/>
      <c r="AZ22" s="162"/>
      <c r="BA22" s="162"/>
      <c r="BB22" s="162"/>
      <c r="BC22" s="14"/>
      <c r="BD22" s="14"/>
    </row>
    <row r="23" spans="1:56" hidden="1" x14ac:dyDescent="0.3">
      <c r="A23" s="128"/>
      <c r="B23" s="128"/>
      <c r="C23" s="128"/>
      <c r="D23" s="129"/>
      <c r="E23" s="129"/>
      <c r="F23" s="63"/>
      <c r="G23" s="130"/>
      <c r="H23" s="130"/>
      <c r="I23" s="130"/>
      <c r="J23" s="130"/>
      <c r="K23" s="130"/>
      <c r="L23" s="130"/>
      <c r="M23" s="130"/>
      <c r="N23" s="130"/>
      <c r="O23" s="130"/>
      <c r="P23" s="130"/>
      <c r="Q23" s="130"/>
      <c r="R23" s="130"/>
      <c r="S23" s="130"/>
      <c r="T23" s="130"/>
      <c r="U23" s="130"/>
      <c r="V23" s="130"/>
      <c r="W23" s="130"/>
      <c r="X23" s="130"/>
      <c r="Y23" s="130"/>
      <c r="Z23" s="130"/>
      <c r="AA23" s="130"/>
      <c r="AB23" s="130"/>
      <c r="AC23" s="130"/>
      <c r="AD23" s="130"/>
      <c r="AE23" s="130"/>
      <c r="AF23" s="130"/>
      <c r="AG23" s="130"/>
      <c r="AH23" s="130"/>
      <c r="AI23" s="130"/>
      <c r="AJ23" s="130"/>
      <c r="AK23" s="130"/>
      <c r="AL23" s="130"/>
      <c r="AM23" s="130"/>
      <c r="AN23" s="130"/>
      <c r="AO23" s="130"/>
      <c r="AP23" s="130"/>
      <c r="AQ23" s="130"/>
      <c r="AR23" s="130"/>
      <c r="AS23" s="130"/>
      <c r="AT23" s="130"/>
      <c r="AU23" s="130"/>
      <c r="AV23" s="130"/>
      <c r="AW23" s="130"/>
      <c r="AX23" s="130"/>
      <c r="AY23" s="130"/>
      <c r="AZ23" s="130"/>
      <c r="BA23" s="130"/>
      <c r="BB23" s="130"/>
      <c r="BC23" s="63"/>
      <c r="BD23" s="63"/>
    </row>
    <row r="24" spans="1:56" x14ac:dyDescent="0.3">
      <c r="A24" s="9"/>
      <c r="B24" s="9"/>
      <c r="C24" s="9"/>
      <c r="D24" s="11"/>
      <c r="E24" s="1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6"/>
      <c r="BD24" s="6"/>
    </row>
    <row r="25" spans="1:56" s="9" customFormat="1" ht="25.5" customHeight="1" thickBot="1" x14ac:dyDescent="0.35">
      <c r="A25" s="323" t="str">
        <f ca="1">Language!A$1501</f>
        <v>ОТЧЕТ – ЗАТРАТЫ (без НДС)</v>
      </c>
      <c r="B25" s="337"/>
      <c r="C25" s="338"/>
      <c r="D25" s="326"/>
      <c r="E25" s="326" t="s">
        <v>2280</v>
      </c>
      <c r="F25" s="326"/>
      <c r="G25" s="327" t="str">
        <f ca="1">Параметры!G$34</f>
        <v>янв.25</v>
      </c>
      <c r="H25" s="327" t="str">
        <f ca="1">Параметры!H$34</f>
        <v>фев.25</v>
      </c>
      <c r="I25" s="327" t="str">
        <f ca="1">Параметры!I$34</f>
        <v>мар.25</v>
      </c>
      <c r="J25" s="327" t="str">
        <f ca="1">Параметры!J$34</f>
        <v>апр.25</v>
      </c>
      <c r="K25" s="327" t="str">
        <f ca="1">Параметры!K$34</f>
        <v>май.25</v>
      </c>
      <c r="L25" s="327" t="str">
        <f ca="1">Параметры!L$34</f>
        <v>июн.25</v>
      </c>
      <c r="M25" s="328" t="str">
        <f ca="1">Параметры!M$34</f>
        <v>июл.25</v>
      </c>
      <c r="N25" s="328" t="str">
        <f ca="1">Параметры!N$34</f>
        <v>авг.25</v>
      </c>
      <c r="O25" s="328" t="str">
        <f ca="1">Параметры!O$34</f>
        <v>сен.25</v>
      </c>
      <c r="P25" s="328" t="str">
        <f ca="1">Параметры!P$34</f>
        <v>окт.25</v>
      </c>
      <c r="Q25" s="328" t="str">
        <f ca="1">Параметры!Q$34</f>
        <v>ноя.25</v>
      </c>
      <c r="R25" s="328" t="str">
        <f ca="1">Параметры!R$34</f>
        <v>дек.25</v>
      </c>
      <c r="S25" s="328" t="str">
        <f ca="1">Параметры!S$34</f>
        <v>янв.26</v>
      </c>
      <c r="T25" s="328" t="str">
        <f ca="1">Параметры!T$34</f>
        <v>фев.26</v>
      </c>
      <c r="U25" s="328" t="str">
        <f ca="1">Параметры!U$34</f>
        <v>мар.26</v>
      </c>
      <c r="V25" s="328" t="str">
        <f ca="1">Параметры!V$34</f>
        <v>апр.26</v>
      </c>
      <c r="W25" s="328" t="str">
        <f ca="1">Параметры!W$34</f>
        <v>май.26</v>
      </c>
      <c r="X25" s="328" t="str">
        <f ca="1">Параметры!X$34</f>
        <v>июн.26</v>
      </c>
      <c r="Y25" s="328" t="str">
        <f ca="1">Параметры!Y$34</f>
        <v>июл.26</v>
      </c>
      <c r="Z25" s="328" t="str">
        <f ca="1">Параметры!Z$34</f>
        <v>авг.26</v>
      </c>
      <c r="AA25" s="328" t="str">
        <f ca="1">Параметры!AA$34</f>
        <v>сен.26</v>
      </c>
      <c r="AB25" s="328" t="str">
        <f ca="1">Параметры!AB$34</f>
        <v>окт.26</v>
      </c>
      <c r="AC25" s="328" t="str">
        <f ca="1">Параметры!AC$34</f>
        <v>ноя.26</v>
      </c>
      <c r="AD25" s="328" t="str">
        <f ca="1">Параметры!AD$34</f>
        <v>дек.26</v>
      </c>
      <c r="AE25" s="328" t="str">
        <f ca="1">Параметры!AE$34</f>
        <v>янв.27</v>
      </c>
      <c r="AF25" s="328" t="str">
        <f ca="1">Параметры!AF$34</f>
        <v>фев.27</v>
      </c>
      <c r="AG25" s="328" t="str">
        <f ca="1">Параметры!AG$34</f>
        <v>мар.27</v>
      </c>
      <c r="AH25" s="328" t="str">
        <f ca="1">Параметры!AH$34</f>
        <v>апр.27</v>
      </c>
      <c r="AI25" s="328" t="str">
        <f ca="1">Параметры!AI$34</f>
        <v>май.27</v>
      </c>
      <c r="AJ25" s="328" t="str">
        <f ca="1">Параметры!AJ$34</f>
        <v>июн.27</v>
      </c>
      <c r="AK25" s="328" t="str">
        <f ca="1">Параметры!AK$34</f>
        <v>июл.27</v>
      </c>
      <c r="AL25" s="328" t="str">
        <f ca="1">Параметры!AL$34</f>
        <v>авг.27</v>
      </c>
      <c r="AM25" s="328" t="str">
        <f ca="1">Параметры!AM$34</f>
        <v>сен.27</v>
      </c>
      <c r="AN25" s="328" t="str">
        <f ca="1">Параметры!AN$34</f>
        <v>окт.27</v>
      </c>
      <c r="AO25" s="328" t="str">
        <f ca="1">Параметры!AO$34</f>
        <v>ноя.27</v>
      </c>
      <c r="AP25" s="328" t="str">
        <f ca="1">Параметры!AP$34</f>
        <v>дек.27</v>
      </c>
      <c r="AQ25" s="328" t="str">
        <f ca="1">Параметры!AQ$34</f>
        <v>янв.28</v>
      </c>
      <c r="AR25" s="328" t="str">
        <f ca="1">Параметры!AR$34</f>
        <v>фев.28</v>
      </c>
      <c r="AS25" s="328" t="str">
        <f ca="1">Параметры!AS$34</f>
        <v>мар.28</v>
      </c>
      <c r="AT25" s="328" t="str">
        <f ca="1">Параметры!AT$34</f>
        <v>апр.28</v>
      </c>
      <c r="AU25" s="328" t="str">
        <f ca="1">Параметры!AU$34</f>
        <v>май.28</v>
      </c>
      <c r="AV25" s="328" t="str">
        <f ca="1">Параметры!AV$34</f>
        <v>июн.28</v>
      </c>
      <c r="AW25" s="328" t="str">
        <f ca="1">Параметры!AW$34</f>
        <v>июл.28</v>
      </c>
      <c r="AX25" s="328" t="str">
        <f ca="1">Параметры!AX$34</f>
        <v>авг.28</v>
      </c>
      <c r="AY25" s="328" t="str">
        <f ca="1">Параметры!AY$34</f>
        <v>сен.28</v>
      </c>
      <c r="AZ25" s="328" t="str">
        <f ca="1">Параметры!AZ$34</f>
        <v>окт.28</v>
      </c>
      <c r="BA25" s="328" t="str">
        <f ca="1">Параметры!BA$34</f>
        <v>ноя.28</v>
      </c>
      <c r="BB25" s="328" t="str">
        <f ca="1">Параметры!BB$34</f>
        <v>дек.28</v>
      </c>
      <c r="BC25" s="328"/>
      <c r="BD25" s="329" t="str">
        <f ca="1">Language!$A$1473</f>
        <v>ИТОГО</v>
      </c>
    </row>
    <row r="26" spans="1:56" ht="14.4" thickTop="1" x14ac:dyDescent="0.3">
      <c r="A26" s="247"/>
      <c r="B26" s="131"/>
      <c r="C26" s="9"/>
      <c r="D26" s="11"/>
      <c r="E26" s="11"/>
      <c r="G26" s="132"/>
      <c r="H26" s="132"/>
      <c r="I26" s="132"/>
      <c r="J26" s="132"/>
      <c r="K26" s="132"/>
      <c r="L26" s="132"/>
      <c r="M26" s="132"/>
      <c r="N26" s="132"/>
      <c r="O26" s="132"/>
      <c r="P26" s="132"/>
      <c r="Q26" s="132"/>
      <c r="R26" s="132"/>
      <c r="S26" s="132"/>
      <c r="T26" s="132"/>
      <c r="U26" s="132"/>
      <c r="V26" s="132"/>
      <c r="W26" s="132"/>
      <c r="X26" s="132"/>
      <c r="Y26" s="132"/>
      <c r="Z26" s="132"/>
      <c r="AA26" s="132"/>
      <c r="AB26" s="132"/>
      <c r="AC26" s="132"/>
      <c r="AD26" s="132"/>
      <c r="AE26" s="132"/>
      <c r="AF26" s="132"/>
      <c r="AG26" s="132"/>
      <c r="AH26" s="132"/>
      <c r="AI26" s="132"/>
      <c r="AJ26" s="132"/>
      <c r="AK26" s="132"/>
      <c r="AL26" s="132"/>
      <c r="AM26" s="132"/>
      <c r="AN26" s="132"/>
      <c r="AO26" s="132"/>
      <c r="AP26" s="132"/>
      <c r="AQ26" s="132"/>
      <c r="AR26" s="132"/>
      <c r="AS26" s="132"/>
      <c r="AT26" s="132"/>
      <c r="AU26" s="132"/>
      <c r="AV26" s="132"/>
      <c r="AW26" s="132"/>
      <c r="AX26" s="132"/>
      <c r="AY26" s="132"/>
      <c r="AZ26" s="132"/>
      <c r="BA26" s="132"/>
      <c r="BB26" s="132"/>
      <c r="BC26" s="74"/>
      <c r="BD26" s="74"/>
    </row>
    <row r="27" spans="1:56" s="34" customFormat="1" x14ac:dyDescent="0.3">
      <c r="A27" s="138" t="str">
        <f ca="1">Language!A$1505</f>
        <v>Сырье и материальные затраты</v>
      </c>
      <c r="B27" s="137">
        <f ca="1">BD27</f>
        <v>137887682.04801384</v>
      </c>
      <c r="C27" s="100" t="str">
        <f ca="1">Параметры!$C$64</f>
        <v>руб.</v>
      </c>
      <c r="D27" s="11">
        <v>0</v>
      </c>
      <c r="E27" s="11" t="s">
        <v>2284</v>
      </c>
      <c r="F27" s="6" t="s">
        <v>3439</v>
      </c>
      <c r="G27" s="58">
        <f ca="1">SUM(G28:G31)</f>
        <v>0</v>
      </c>
      <c r="H27" s="58">
        <f t="shared" ref="H27:BB27" ca="1" si="5">SUM(H28:H31)</f>
        <v>0</v>
      </c>
      <c r="I27" s="58">
        <f t="shared" ca="1" si="5"/>
        <v>0</v>
      </c>
      <c r="J27" s="58">
        <f t="shared" ca="1" si="5"/>
        <v>0</v>
      </c>
      <c r="K27" s="58">
        <f t="shared" ca="1" si="5"/>
        <v>0</v>
      </c>
      <c r="L27" s="58">
        <f t="shared" ca="1" si="5"/>
        <v>0</v>
      </c>
      <c r="M27" s="58">
        <f t="shared" ca="1" si="5"/>
        <v>2431206.4441812774</v>
      </c>
      <c r="N27" s="58">
        <f t="shared" ca="1" si="5"/>
        <v>2051838.2694797865</v>
      </c>
      <c r="O27" s="58">
        <f t="shared" ca="1" si="5"/>
        <v>2483152.0676721572</v>
      </c>
      <c r="P27" s="58">
        <f t="shared" ca="1" si="5"/>
        <v>2921234.9687416051</v>
      </c>
      <c r="Q27" s="58">
        <f t="shared" ca="1" si="5"/>
        <v>2529601.6472759843</v>
      </c>
      <c r="R27" s="58">
        <f t="shared" ca="1" si="5"/>
        <v>2549829.7161977394</v>
      </c>
      <c r="S27" s="58">
        <f t="shared" ca="1" si="5"/>
        <v>4270236.0481483517</v>
      </c>
      <c r="T27" s="58">
        <f t="shared" ca="1" si="5"/>
        <v>2597616.3608519412</v>
      </c>
      <c r="U27" s="58">
        <f t="shared" ca="1" si="5"/>
        <v>2183173.0581016289</v>
      </c>
      <c r="V27" s="58">
        <f t="shared" ca="1" si="5"/>
        <v>2632515.1885694247</v>
      </c>
      <c r="W27" s="58">
        <f t="shared" ca="1" si="5"/>
        <v>1776072.7556441731</v>
      </c>
      <c r="X27" s="58">
        <f t="shared" ca="1" si="5"/>
        <v>4882940.8819645569</v>
      </c>
      <c r="Y27" s="58">
        <f t="shared" ca="1" si="5"/>
        <v>5378668.5215680413</v>
      </c>
      <c r="Z27" s="58">
        <f t="shared" ca="1" si="5"/>
        <v>4530194.4456552994</v>
      </c>
      <c r="AA27" s="58">
        <f t="shared" ca="1" si="5"/>
        <v>1848338.1647113436</v>
      </c>
      <c r="AB27" s="58">
        <f t="shared" ca="1" si="5"/>
        <v>1395602.5439133476</v>
      </c>
      <c r="AC27" s="58">
        <f t="shared" ca="1" si="5"/>
        <v>2320247.0799066424</v>
      </c>
      <c r="AD27" s="58">
        <f t="shared" ca="1" si="5"/>
        <v>3267115.1788250795</v>
      </c>
      <c r="AE27" s="58">
        <f t="shared" ca="1" si="5"/>
        <v>4700676.0347919436</v>
      </c>
      <c r="AF27" s="58">
        <f t="shared" ca="1" si="5"/>
        <v>2859772.7670627916</v>
      </c>
      <c r="AG27" s="58">
        <f t="shared" ca="1" si="5"/>
        <v>2403667.6548336479</v>
      </c>
      <c r="AH27" s="58">
        <f t="shared" ca="1" si="5"/>
        <v>2898505.6390198981</v>
      </c>
      <c r="AI27" s="58">
        <f t="shared" ca="1" si="5"/>
        <v>1955714.4520088509</v>
      </c>
      <c r="AJ27" s="58">
        <f t="shared" ca="1" si="5"/>
        <v>5376820.1497289399</v>
      </c>
      <c r="AK27" s="58">
        <f t="shared" ca="1" si="5"/>
        <v>5923145.8438937701</v>
      </c>
      <c r="AL27" s="58">
        <f t="shared" ca="1" si="5"/>
        <v>4989204.4765939889</v>
      </c>
      <c r="AM27" s="58">
        <f t="shared" ca="1" si="5"/>
        <v>2035934.1387591492</v>
      </c>
      <c r="AN27" s="58">
        <f t="shared" ca="1" si="5"/>
        <v>1537330.4526715046</v>
      </c>
      <c r="AO27" s="58">
        <f t="shared" ca="1" si="5"/>
        <v>2555828.1607407667</v>
      </c>
      <c r="AP27" s="58">
        <f t="shared" ca="1" si="5"/>
        <v>3598998.8671325091</v>
      </c>
      <c r="AQ27" s="58">
        <f t="shared" ca="1" si="5"/>
        <v>5178476.7324502319</v>
      </c>
      <c r="AR27" s="58">
        <f t="shared" ca="1" si="5"/>
        <v>3150797.166521878</v>
      </c>
      <c r="AS27" s="58">
        <f t="shared" ca="1" si="5"/>
        <v>2648454.6481267828</v>
      </c>
      <c r="AT27" s="58">
        <f t="shared" ca="1" si="5"/>
        <v>3193809.203534646</v>
      </c>
      <c r="AU27" s="58">
        <f t="shared" ca="1" si="5"/>
        <v>2155167.0082702278</v>
      </c>
      <c r="AV27" s="58">
        <f t="shared" ca="1" si="5"/>
        <v>5925163.7614742164</v>
      </c>
      <c r="AW27" s="58">
        <f t="shared" ca="1" si="5"/>
        <v>6527700.9968425473</v>
      </c>
      <c r="AX27" s="58">
        <f t="shared" ca="1" si="5"/>
        <v>5498892.827204044</v>
      </c>
      <c r="AY27" s="58">
        <f t="shared" ca="1" si="5"/>
        <v>2244265.4578126315</v>
      </c>
      <c r="AZ27" s="58">
        <f t="shared" ca="1" si="5"/>
        <v>1694729.8170119976</v>
      </c>
      <c r="BA27" s="58">
        <f t="shared" ca="1" si="5"/>
        <v>2817454.9756714473</v>
      </c>
      <c r="BB27" s="58">
        <f t="shared" ca="1" si="5"/>
        <v>3967587.4744470157</v>
      </c>
      <c r="BC27" s="58"/>
      <c r="BD27" s="76">
        <f ca="1">SUM(G27:BC27)</f>
        <v>137887682.04801384</v>
      </c>
    </row>
    <row r="28" spans="1:56" x14ac:dyDescent="0.3">
      <c r="A28" s="243" t="str">
        <f>Проект!A$193</f>
        <v>Себестоимость еды</v>
      </c>
      <c r="B28" s="136">
        <f ca="1">BD28</f>
        <v>46995899.829427972</v>
      </c>
      <c r="C28" s="48" t="str">
        <f ca="1">Параметры!C$64</f>
        <v>руб.</v>
      </c>
      <c r="D28" s="11"/>
      <c r="E28" s="11"/>
      <c r="F28" s="6" t="s">
        <v>3421</v>
      </c>
      <c r="G28" s="55">
        <f ca="1">Проект!G$204*CHOOSE(Проект!$D$204,1,Параметры!G$53,Параметры!G$59)/Параметры!G$64</f>
        <v>0</v>
      </c>
      <c r="H28" s="55">
        <f ca="1">Проект!H$204*CHOOSE(Проект!$D$204,1,Параметры!H$53,Параметры!H$59)/Параметры!H$64</f>
        <v>0</v>
      </c>
      <c r="I28" s="55">
        <f ca="1">Проект!I$204*CHOOSE(Проект!$D$204,1,Параметры!I$53,Параметры!I$59)/Параметры!I$64</f>
        <v>0</v>
      </c>
      <c r="J28" s="55">
        <f ca="1">Проект!J$204*CHOOSE(Проект!$D$204,1,Параметры!J$53,Параметры!J$59)/Параметры!J$64</f>
        <v>0</v>
      </c>
      <c r="K28" s="55">
        <f ca="1">Проект!K$204*CHOOSE(Проект!$D$204,1,Параметры!K$53,Параметры!K$59)/Параметры!K$64</f>
        <v>0</v>
      </c>
      <c r="L28" s="55">
        <f ca="1">Проект!L$204*CHOOSE(Проект!$D$204,1,Параметры!L$53,Параметры!L$59)/Параметры!L$64</f>
        <v>0</v>
      </c>
      <c r="M28" s="55">
        <f ca="1">Проект!M$204*CHOOSE(Проект!$D$204,1,Параметры!M$53,Параметры!M$59)/Параметры!M$64</f>
        <v>889542.44418127683</v>
      </c>
      <c r="N28" s="55">
        <f ca="1">Проект!N$204*CHOOSE(Проект!$D$204,1,Параметры!N$53,Параметры!N$59)/Параметры!N$64</f>
        <v>747058.56058715889</v>
      </c>
      <c r="O28" s="55">
        <f ca="1">Проект!O$204*CHOOSE(Проект!$D$204,1,Параметры!O$53,Параметры!O$59)/Параметры!O$64</f>
        <v>901123.95167393039</v>
      </c>
      <c r="P28" s="55">
        <f ca="1">Проект!P$204*CHOOSE(Проект!$D$204,1,Параметры!P$53,Параметры!P$59)/Параметры!P$64</f>
        <v>1056671.4848289578</v>
      </c>
      <c r="Q28" s="55">
        <f ca="1">Проект!Q$204*CHOOSE(Проект!$D$204,1,Параметры!Q$53,Параметры!Q$59)/Параметры!Q$64</f>
        <v>911382.31118437124</v>
      </c>
      <c r="R28" s="55">
        <f ca="1">Проект!R$204*CHOOSE(Проект!$D$204,1,Параметры!R$53,Параметры!R$59)/Параметры!R$64</f>
        <v>915818.51066842012</v>
      </c>
      <c r="S28" s="55">
        <f ca="1">Проект!S$204*CHOOSE(Проект!$D$204,1,Параметры!S$53,Параметры!S$59)/Параметры!S$64</f>
        <v>1530836.3035777761</v>
      </c>
      <c r="T28" s="55">
        <f ca="1">Проект!T$204*CHOOSE(Проект!$D$204,1,Параметры!T$53,Параметры!T$59)/Параметры!T$64</f>
        <v>926241.76085611596</v>
      </c>
      <c r="U28" s="55">
        <f ca="1">Проект!U$204*CHOOSE(Проект!$D$204,1,Параметры!U$53,Параметры!U$59)/Параметры!U$64</f>
        <v>775874.10769408522</v>
      </c>
      <c r="V28" s="55">
        <f ca="1">Проект!V$204*CHOOSE(Проект!$D$204,1,Параметры!V$53,Параметры!V$59)/Параметры!V$64</f>
        <v>933780.29648913862</v>
      </c>
      <c r="W28" s="55">
        <f ca="1">Проект!W$204*CHOOSE(Проект!$D$204,1,Параметры!W$53,Параметры!W$59)/Параметры!W$64</f>
        <v>627058.11687016627</v>
      </c>
      <c r="X28" s="55">
        <f ca="1">Проект!X$204*CHOOSE(Проект!$D$204,1,Параметры!X$53,Параметры!X$59)/Параметры!X$64</f>
        <v>1724091.5919251298</v>
      </c>
      <c r="Y28" s="55">
        <f ca="1">Проект!Y$204*CHOOSE(Проект!$D$204,1,Параметры!Y$53,Параметры!Y$59)/Параметры!Y$64</f>
        <v>1891919.9204416291</v>
      </c>
      <c r="Z28" s="55">
        <f ca="1">Проект!Z$204*CHOOSE(Проект!$D$204,1,Параметры!Z$53,Параметры!Z$59)/Параметры!Z$64</f>
        <v>1586823.9393759072</v>
      </c>
      <c r="AA28" s="55">
        <f ca="1">Проект!AA$204*CHOOSE(Проект!$D$204,1,Параметры!AA$53,Параметры!AA$59)/Параметры!AA$64</f>
        <v>642431.18098295736</v>
      </c>
      <c r="AB28" s="55">
        <f ca="1">Проект!AB$204*CHOOSE(Проект!$D$204,1,Параметры!AB$53,Параметры!AB$59)/Параметры!AB$64</f>
        <v>483782.47908072639</v>
      </c>
      <c r="AC28" s="55">
        <f ca="1">Проект!AC$204*CHOOSE(Проект!$D$204,1,Параметры!AC$53,Параметры!AC$59)/Параметры!AC$64</f>
        <v>805054.37487952795</v>
      </c>
      <c r="AD28" s="55">
        <f ca="1">Проект!AD$204*CHOOSE(Проект!$D$204,1,Параметры!AD$53,Параметры!AD$59)/Параметры!AD$64</f>
        <v>1131002.3238262907</v>
      </c>
      <c r="AE28" s="55">
        <f ca="1">Проект!AE$204*CHOOSE(Проект!$D$204,1,Параметры!AE$53,Параметры!AE$59)/Параметры!AE$64</f>
        <v>1622686.4817924432</v>
      </c>
      <c r="AF28" s="55">
        <f ca="1">Проект!AF$204*CHOOSE(Проект!$D$204,1,Параметры!AF$53,Параметры!AF$59)/Параметры!AF$64</f>
        <v>981816.26650748309</v>
      </c>
      <c r="AG28" s="55">
        <f ca="1">Проект!AG$204*CHOOSE(Проект!$D$204,1,Параметры!AG$53,Параметры!AG$59)/Параметры!AG$64</f>
        <v>822426.55415573088</v>
      </c>
      <c r="AH28" s="55">
        <f ca="1">Проект!AH$204*CHOOSE(Проект!$D$204,1,Параметры!AH$53,Параметры!AH$59)/Параметры!AH$64</f>
        <v>989807.1142784874</v>
      </c>
      <c r="AI28" s="55">
        <f ca="1">Проект!AI$204*CHOOSE(Проект!$D$204,1,Параметры!AI$53,Параметры!AI$59)/Параметры!AI$64</f>
        <v>664681.60388237645</v>
      </c>
      <c r="AJ28" s="55">
        <f ca="1">Проект!AJ$204*CHOOSE(Проект!$D$204,1,Параметры!AJ$53,Параметры!AJ$59)/Параметры!AJ$64</f>
        <v>1827537.0874406383</v>
      </c>
      <c r="AK28" s="55">
        <f ca="1">Проект!AK$204*CHOOSE(Проект!$D$204,1,Параметры!AK$53,Параметры!AK$59)/Параметры!AK$64</f>
        <v>2005435.1156681287</v>
      </c>
      <c r="AL28" s="55">
        <f ca="1">Проект!AL$204*CHOOSE(Проект!$D$204,1,Параметры!AL$53,Параметры!AL$59)/Параметры!AL$64</f>
        <v>1682033.3757384629</v>
      </c>
      <c r="AM28" s="55">
        <f ca="1">Проект!AM$204*CHOOSE(Проект!$D$204,1,Параметры!AM$53,Параметры!AM$59)/Параметры!AM$64</f>
        <v>680977.05184193491</v>
      </c>
      <c r="AN28" s="55">
        <f ca="1">Проект!AN$204*CHOOSE(Проект!$D$204,1,Параметры!AN$53,Параметры!AN$59)/Параметры!AN$64</f>
        <v>512809.42782557011</v>
      </c>
      <c r="AO28" s="55">
        <f ca="1">Проект!AO$204*CHOOSE(Проект!$D$204,1,Параметры!AO$53,Параметры!AO$59)/Параметры!AO$64</f>
        <v>853357.63737229991</v>
      </c>
      <c r="AP28" s="55">
        <f ca="1">Проект!AP$204*CHOOSE(Проект!$D$204,1,Параметры!AP$53,Параметры!AP$59)/Параметры!AP$64</f>
        <v>1198862.4632558685</v>
      </c>
      <c r="AQ28" s="55">
        <f ca="1">Проект!AQ$204*CHOOSE(Проект!$D$204,1,Параметры!AQ$53,Параметры!AQ$59)/Параметры!AQ$64</f>
        <v>1720047.6706999904</v>
      </c>
      <c r="AR28" s="55">
        <f ca="1">Проект!AR$204*CHOOSE(Проект!$D$204,1,Параметры!AR$53,Параметры!AR$59)/Параметры!AR$64</f>
        <v>1040725.2424979319</v>
      </c>
      <c r="AS28" s="55">
        <f ca="1">Проект!AS$204*CHOOSE(Проект!$D$204,1,Параметры!AS$53,Параметры!AS$59)/Параметры!AS$64</f>
        <v>871772.14740507491</v>
      </c>
      <c r="AT28" s="55">
        <f ca="1">Проект!AT$204*CHOOSE(Проект!$D$204,1,Параметры!AT$53,Параметры!AT$59)/Параметры!AT$64</f>
        <v>1049195.5411351968</v>
      </c>
      <c r="AU28" s="55">
        <f ca="1">Проект!AU$204*CHOOSE(Проект!$D$204,1,Параметры!AU$53,Параметры!AU$59)/Параметры!AU$64</f>
        <v>704562.50011531904</v>
      </c>
      <c r="AV28" s="55">
        <f ca="1">Проект!AV$204*CHOOSE(Проект!$D$204,1,Параметры!AV$53,Параметры!AV$59)/Параметры!AV$64</f>
        <v>1937189.3126870771</v>
      </c>
      <c r="AW28" s="55">
        <f ca="1">Проект!AW$204*CHOOSE(Проект!$D$204,1,Параметры!AW$53,Параметры!AW$59)/Параметры!AW$64</f>
        <v>2125761.2226082161</v>
      </c>
      <c r="AX28" s="55">
        <f ca="1">Проект!AX$204*CHOOSE(Проект!$D$204,1,Параметры!AX$53,Параметры!AX$59)/Параметры!AX$64</f>
        <v>1782955.378282771</v>
      </c>
      <c r="AY28" s="55">
        <f ca="1">Проект!AY$204*CHOOSE(Проект!$D$204,1,Параметры!AY$53,Параметры!AY$59)/Параметры!AY$64</f>
        <v>721835.67495245067</v>
      </c>
      <c r="AZ28" s="55">
        <f ca="1">Проект!AZ$204*CHOOSE(Проект!$D$204,1,Параметры!AZ$53,Параметры!AZ$59)/Параметры!AZ$64</f>
        <v>543577.99349510437</v>
      </c>
      <c r="BA28" s="55">
        <f ca="1">Проект!BA$204*CHOOSE(Проект!$D$204,1,Параметры!BA$53,Параметры!BA$59)/Параметры!BA$64</f>
        <v>904559.09561463806</v>
      </c>
      <c r="BB28" s="55">
        <f ca="1">Проект!BB$204*CHOOSE(Проект!$D$204,1,Параметры!BB$53,Параметры!BB$59)/Параметры!BB$64</f>
        <v>1270794.2110512208</v>
      </c>
      <c r="BC28" s="55"/>
      <c r="BD28" s="57">
        <f ca="1">SUM(G28:BC28)</f>
        <v>46995899.829427972</v>
      </c>
    </row>
    <row r="29" spans="1:56" s="346" customFormat="1" x14ac:dyDescent="0.3">
      <c r="A29" s="339" t="str">
        <f>Проект!A$218</f>
        <v>Эквайринг (2,5%)</v>
      </c>
      <c r="B29" s="340">
        <f ca="1">BD29</f>
        <v>22722945.554646458</v>
      </c>
      <c r="C29" s="341" t="str">
        <f ca="1">Параметры!C$64</f>
        <v>руб.</v>
      </c>
      <c r="D29" s="342"/>
      <c r="E29" s="342"/>
      <c r="F29" s="343" t="s">
        <v>3465</v>
      </c>
      <c r="G29" s="344">
        <f ca="1">Проект!G$228*CHOOSE(Проект!$D$228,1,Параметры!G$53,Параметры!G$59)/Параметры!G$64</f>
        <v>0</v>
      </c>
      <c r="H29" s="344">
        <f ca="1">Проект!H$228*CHOOSE(Проект!$D$228,1,Параметры!H$53,Параметры!H$59)/Параметры!H$64</f>
        <v>0</v>
      </c>
      <c r="I29" s="344">
        <f ca="1">Проект!I$228*CHOOSE(Проект!$D$228,1,Параметры!I$53,Параметры!I$59)/Параметры!I$64</f>
        <v>0</v>
      </c>
      <c r="J29" s="344">
        <f ca="1">Проект!J$228*CHOOSE(Проект!$D$228,1,Параметры!J$53,Параметры!J$59)/Параметры!J$64</f>
        <v>0</v>
      </c>
      <c r="K29" s="344">
        <f ca="1">Проект!K$228*CHOOSE(Проект!$D$228,1,Параметры!K$53,Параметры!K$59)/Параметры!K$64</f>
        <v>0</v>
      </c>
      <c r="L29" s="344">
        <f ca="1">Проект!L$228*CHOOSE(Проект!$D$228,1,Параметры!L$53,Параметры!L$59)/Параметры!L$64</f>
        <v>0</v>
      </c>
      <c r="M29" s="344">
        <f ca="1">Проект!M$228*CHOOSE(Проект!$D$228,1,Параметры!M$53,Параметры!M$59)/Параметры!M$64</f>
        <v>385416.00000000006</v>
      </c>
      <c r="N29" s="344">
        <f ca="1">Проект!N$228*CHOOSE(Проект!$D$228,1,Параметры!N$53,Параметры!N$59)/Параметры!N$64</f>
        <v>326194.9272231569</v>
      </c>
      <c r="O29" s="344">
        <f ca="1">Проект!O$228*CHOOSE(Проект!$D$228,1,Параметры!O$53,Параметры!O$59)/Параметры!O$64</f>
        <v>395507.02899955679</v>
      </c>
      <c r="P29" s="344">
        <f ca="1">Проект!P$228*CHOOSE(Проект!$D$228,1,Параметры!P$53,Параметры!P$59)/Параметры!P$64</f>
        <v>466140.87097816187</v>
      </c>
      <c r="Q29" s="344">
        <f ca="1">Проект!Q$228*CHOOSE(Проект!$D$228,1,Параметры!Q$53,Параметры!Q$59)/Параметры!Q$64</f>
        <v>404554.83402290341</v>
      </c>
      <c r="R29" s="344">
        <f ca="1">Проект!R$228*CHOOSE(Проект!$D$228,1,Параметры!R$53,Параметры!R$59)/Параметры!R$64</f>
        <v>408502.80138232984</v>
      </c>
      <c r="S29" s="344">
        <f ca="1">Проект!S$228*CHOOSE(Проект!$D$228,1,Параметры!S$53,Параметры!S$59)/Параметры!S$64</f>
        <v>684849.93614264403</v>
      </c>
      <c r="T29" s="344">
        <f ca="1">Проект!T$228*CHOOSE(Проект!$D$228,1,Параметры!T$53,Параметры!T$59)/Параметры!T$64</f>
        <v>417843.64999895624</v>
      </c>
      <c r="U29" s="344">
        <f ca="1">Проект!U$228*CHOOSE(Проект!$D$228,1,Параметры!U$53,Параметры!U$59)/Параметры!U$64</f>
        <v>351824.73760188598</v>
      </c>
      <c r="V29" s="344">
        <f ca="1">Проект!V$228*CHOOSE(Проект!$D$228,1,Параметры!V$53,Параметры!V$59)/Параметры!V$64</f>
        <v>424683.72302007151</v>
      </c>
      <c r="W29" s="344">
        <f ca="1">Проект!W$228*CHOOSE(Проект!$D$228,1,Параметры!W$53,Параметры!W$59)/Параметры!W$64</f>
        <v>287253.65969350183</v>
      </c>
      <c r="X29" s="344">
        <f ca="1">Проект!X$228*CHOOSE(Проект!$D$228,1,Параметры!X$53,Параметры!X$59)/Параметры!X$64</f>
        <v>789712.32250985655</v>
      </c>
      <c r="Y29" s="344">
        <f ca="1">Проект!Y$228*CHOOSE(Проект!$D$228,1,Параметры!Y$53,Параметры!Y$59)/Параметры!Y$64</f>
        <v>871687.15028160322</v>
      </c>
      <c r="Z29" s="344">
        <f ca="1">Проект!Z$228*CHOOSE(Проект!$D$228,1,Параметры!Z$53,Параметры!Z$59)/Параметры!Z$64</f>
        <v>735842.62656984816</v>
      </c>
      <c r="AA29" s="344">
        <f ca="1">Проект!AA$228*CHOOSE(Проект!$D$228,1,Параметры!AA$53,Параметры!AA$59)/Параметры!AA$64</f>
        <v>301476.74593209638</v>
      </c>
      <c r="AB29" s="344">
        <f ca="1">Проект!AB$228*CHOOSE(Проект!$D$228,1,Параметры!AB$53,Параметры!AB$59)/Параметры!AB$64</f>
        <v>227955.01620815549</v>
      </c>
      <c r="AC29" s="344">
        <f ca="1">Проект!AC$228*CHOOSE(Проект!$D$228,1,Параметры!AC$53,Параметры!AC$59)/Параметры!AC$64</f>
        <v>378798.17625677865</v>
      </c>
      <c r="AD29" s="344">
        <f ca="1">Проект!AD$228*CHOOSE(Проект!$D$228,1,Параметры!AD$53,Параметры!AD$59)/Параметры!AD$64</f>
        <v>534028.2137496972</v>
      </c>
      <c r="AE29" s="344">
        <f ca="1">Проект!AE$228*CHOOSE(Проект!$D$228,1,Параметры!AE$53,Параметры!AE$59)/Параметры!AE$64</f>
        <v>769497.38824987516</v>
      </c>
      <c r="AF29" s="344">
        <f ca="1">Проект!AF$228*CHOOSE(Проект!$D$228,1,Параметры!AF$53,Параметры!AF$59)/Параметры!AF$64</f>
        <v>469489.12513882725</v>
      </c>
      <c r="AG29" s="344">
        <f ca="1">Проект!AG$228*CHOOSE(Проект!$D$228,1,Параметры!AG$53,Параметры!AG$59)/Параметры!AG$64</f>
        <v>395310.2751694792</v>
      </c>
      <c r="AH29" s="344">
        <f ca="1">Проект!AH$228*CHOOSE(Проект!$D$228,1,Параметры!AH$53,Параметры!AH$59)/Параметры!AH$64</f>
        <v>477174.63118535286</v>
      </c>
      <c r="AI29" s="344">
        <f ca="1">Проект!AI$228*CHOOSE(Проект!$D$228,1,Параметры!AI$53,Параметры!AI$59)/Параметры!AI$64</f>
        <v>322758.21203161869</v>
      </c>
      <c r="AJ29" s="344">
        <f ca="1">Проект!AJ$228*CHOOSE(Проект!$D$228,1,Параметры!AJ$53,Параметры!AJ$59)/Параметры!AJ$64</f>
        <v>887320.7655720755</v>
      </c>
      <c r="AK29" s="344">
        <f ca="1">Проект!AK$228*CHOOSE(Проект!$D$228,1,Параметры!AK$53,Параметры!AK$59)/Параметры!AK$64</f>
        <v>979427.68205641047</v>
      </c>
      <c r="AL29" s="344">
        <f ca="1">Проект!AL$228*CHOOSE(Проект!$D$228,1,Параметры!AL$53,Параметры!AL$59)/Параметры!AL$64</f>
        <v>826792.77521388151</v>
      </c>
      <c r="AM29" s="344">
        <f ca="1">Проект!AM$228*CHOOSE(Проект!$D$228,1,Параметры!AM$53,Параметры!AM$59)/Параметры!AM$64</f>
        <v>338739.27172930341</v>
      </c>
      <c r="AN29" s="344">
        <f ca="1">Проект!AN$228*CHOOSE(Проект!$D$228,1,Параметры!AN$53,Параметры!AN$59)/Параметры!AN$64</f>
        <v>256130.25621148385</v>
      </c>
      <c r="AO29" s="344">
        <f ca="1">Проект!AO$228*CHOOSE(Проект!$D$228,1,Параметры!AO$53,Параметры!AO$59)/Параметры!AO$64</f>
        <v>425617.6308421166</v>
      </c>
      <c r="AP29" s="344">
        <f ca="1">Проект!AP$228*CHOOSE(Проект!$D$228,1,Параметры!AP$53,Параметры!AP$59)/Параметры!AP$64</f>
        <v>600034.10096916021</v>
      </c>
      <c r="AQ29" s="344">
        <f ca="1">Проект!AQ$228*CHOOSE(Проект!$D$228,1,Параметры!AQ$53,Параметры!AQ$59)/Параметры!AQ$64</f>
        <v>864607.26543756051</v>
      </c>
      <c r="AR29" s="344">
        <f ca="1">Проект!AR$228*CHOOSE(Проект!$D$228,1,Параметры!AR$53,Параметры!AR$59)/Параметры!AR$64</f>
        <v>527517.98100598657</v>
      </c>
      <c r="AS29" s="344">
        <f ca="1">Проект!AS$228*CHOOSE(Проект!$D$228,1,Параметры!AS$53,Параметры!AS$59)/Параметры!AS$64</f>
        <v>444170.6251804271</v>
      </c>
      <c r="AT29" s="344">
        <f ca="1">Проект!AT$228*CHOOSE(Проект!$D$228,1,Параметры!AT$53,Параметры!AT$59)/Параметры!AT$64</f>
        <v>536153.41559986246</v>
      </c>
      <c r="AU29" s="344">
        <f ca="1">Проект!AU$228*CHOOSE(Проект!$D$228,1,Параметры!AU$53,Параметры!AU$59)/Параметры!AU$64</f>
        <v>362651.12703872705</v>
      </c>
      <c r="AV29" s="344">
        <f ca="1">Проект!AV$228*CHOOSE(Проект!$D$228,1,Параметры!AV$53,Параметры!AV$59)/Параметры!AV$64</f>
        <v>996993.61219678482</v>
      </c>
      <c r="AW29" s="344">
        <f ca="1">Проект!AW$228*CHOOSE(Проект!$D$228,1,Параметры!AW$53,Параметры!AW$59)/Параметры!AW$64</f>
        <v>1100484.943558583</v>
      </c>
      <c r="AX29" s="344">
        <f ca="1">Проект!AX$228*CHOOSE(Проект!$D$228,1,Параметры!AX$53,Параметры!AX$59)/Параметры!AX$64</f>
        <v>928984.36223031802</v>
      </c>
      <c r="AY29" s="344">
        <f ca="1">Проект!AY$228*CHOOSE(Проект!$D$228,1,Параметры!AY$53,Параметры!AY$59)/Параметры!AY$64</f>
        <v>380607.44571504532</v>
      </c>
      <c r="AZ29" s="344">
        <f ca="1">Проект!AZ$228*CHOOSE(Проект!$D$228,1,Параметры!AZ$53,Параметры!AZ$59)/Параметры!AZ$64</f>
        <v>287787.95587922342</v>
      </c>
      <c r="BA29" s="344">
        <f ca="1">Проект!BA$228*CHOOSE(Проект!$D$228,1,Параметры!BA$53,Параметры!BA$59)/Параметры!BA$64</f>
        <v>478223.97001420235</v>
      </c>
      <c r="BB29" s="344">
        <f ca="1">Проект!BB$228*CHOOSE(Проект!$D$228,1,Параметры!BB$53,Параметры!BB$59)/Параметры!BB$64</f>
        <v>674198.31584894878</v>
      </c>
      <c r="BC29" s="344"/>
      <c r="BD29" s="345">
        <f ca="1">SUM(G29:BC29)</f>
        <v>22722945.554646458</v>
      </c>
    </row>
    <row r="30" spans="1:56" s="346" customFormat="1" x14ac:dyDescent="0.3">
      <c r="A30" s="339" t="str">
        <f>Проект!A$242</f>
        <v>Агрегаторы бронирования (50% от потока, 15% комиссия)</v>
      </c>
      <c r="B30" s="340">
        <f ca="1">BD30</f>
        <v>68168836.663939372</v>
      </c>
      <c r="C30" s="341" t="str">
        <f ca="1">Параметры!C$64</f>
        <v>руб.</v>
      </c>
      <c r="D30" s="342"/>
      <c r="E30" s="342"/>
      <c r="F30" s="343" t="s">
        <v>3468</v>
      </c>
      <c r="G30" s="344">
        <f ca="1">Проект!G$252*CHOOSE(Проект!$D$252,1,Параметры!G$53,Параметры!G$59)/Параметры!G$64</f>
        <v>0</v>
      </c>
      <c r="H30" s="344">
        <f ca="1">Проект!H$252*CHOOSE(Проект!$D$252,1,Параметры!H$53,Параметры!H$59)/Параметры!H$64</f>
        <v>0</v>
      </c>
      <c r="I30" s="344">
        <f ca="1">Проект!I$252*CHOOSE(Проект!$D$252,1,Параметры!I$53,Параметры!I$59)/Параметры!I$64</f>
        <v>0</v>
      </c>
      <c r="J30" s="344">
        <f ca="1">Проект!J$252*CHOOSE(Проект!$D$252,1,Параметры!J$53,Параметры!J$59)/Параметры!J$64</f>
        <v>0</v>
      </c>
      <c r="K30" s="344">
        <f ca="1">Проект!K$252*CHOOSE(Проект!$D$252,1,Параметры!K$53,Параметры!K$59)/Параметры!K$64</f>
        <v>0</v>
      </c>
      <c r="L30" s="344">
        <f ca="1">Проект!L$252*CHOOSE(Проект!$D$252,1,Параметры!L$53,Параметры!L$59)/Параметры!L$64</f>
        <v>0</v>
      </c>
      <c r="M30" s="344">
        <f ca="1">Проект!M$252*CHOOSE(Проект!$D$252,1,Параметры!M$53,Параметры!M$59)/Параметры!M$64</f>
        <v>1156248.0000000002</v>
      </c>
      <c r="N30" s="344">
        <f ca="1">Проект!N$252*CHOOSE(Проект!$D$252,1,Параметры!N$53,Параметры!N$59)/Параметры!N$64</f>
        <v>978584.7816694706</v>
      </c>
      <c r="O30" s="344">
        <f ca="1">Проект!O$252*CHOOSE(Проект!$D$252,1,Параметры!O$53,Параметры!O$59)/Параметры!O$64</f>
        <v>1186521.0869986699</v>
      </c>
      <c r="P30" s="344">
        <f ca="1">Проект!P$252*CHOOSE(Проект!$D$252,1,Параметры!P$53,Параметры!P$59)/Параметры!P$64</f>
        <v>1398422.6129344855</v>
      </c>
      <c r="Q30" s="344">
        <f ca="1">Проект!Q$252*CHOOSE(Проект!$D$252,1,Параметры!Q$53,Параметры!Q$59)/Параметры!Q$64</f>
        <v>1213664.5020687098</v>
      </c>
      <c r="R30" s="344">
        <f ca="1">Проект!R$252*CHOOSE(Проект!$D$252,1,Параметры!R$53,Параметры!R$59)/Параметры!R$64</f>
        <v>1225508.4041469896</v>
      </c>
      <c r="S30" s="344">
        <f ca="1">Проект!S$252*CHOOSE(Проект!$D$252,1,Параметры!S$53,Параметры!S$59)/Параметры!S$64</f>
        <v>2054549.8084279317</v>
      </c>
      <c r="T30" s="344">
        <f ca="1">Проект!T$252*CHOOSE(Проект!$D$252,1,Параметры!T$53,Параметры!T$59)/Параметры!T$64</f>
        <v>1253530.9499968691</v>
      </c>
      <c r="U30" s="344">
        <f ca="1">Проект!U$252*CHOOSE(Проект!$D$252,1,Параметры!U$53,Параметры!U$59)/Параметры!U$64</f>
        <v>1055474.2128056574</v>
      </c>
      <c r="V30" s="344">
        <f ca="1">Проект!V$252*CHOOSE(Проект!$D$252,1,Параметры!V$53,Параметры!V$59)/Параметры!V$64</f>
        <v>1274051.1690602144</v>
      </c>
      <c r="W30" s="344">
        <f ca="1">Проект!W$252*CHOOSE(Проект!$D$252,1,Параметры!W$53,Параметры!W$59)/Параметры!W$64</f>
        <v>861760.97908050497</v>
      </c>
      <c r="X30" s="344">
        <f ca="1">Проект!X$252*CHOOSE(Проект!$D$252,1,Параметры!X$53,Параметры!X$59)/Параметры!X$64</f>
        <v>2369136.9675295707</v>
      </c>
      <c r="Y30" s="344">
        <f ca="1">Проект!Y$252*CHOOSE(Проект!$D$252,1,Параметры!Y$53,Параметры!Y$59)/Параметры!Y$64</f>
        <v>2615061.4508448085</v>
      </c>
      <c r="Z30" s="344">
        <f ca="1">Проект!Z$252*CHOOSE(Проект!$D$252,1,Параметры!Z$53,Параметры!Z$59)/Параметры!Z$64</f>
        <v>2207527.8797095437</v>
      </c>
      <c r="AA30" s="344">
        <f ca="1">Проект!AA$252*CHOOSE(Проект!$D$252,1,Параметры!AA$53,Параметры!AA$59)/Параметры!AA$64</f>
        <v>904430.23779628985</v>
      </c>
      <c r="AB30" s="344">
        <f ca="1">Проект!AB$252*CHOOSE(Проект!$D$252,1,Параметры!AB$53,Параметры!AB$59)/Параметры!AB$64</f>
        <v>683865.04862446571</v>
      </c>
      <c r="AC30" s="344">
        <f ca="1">Проект!AC$252*CHOOSE(Проект!$D$252,1,Параметры!AC$53,Параметры!AC$59)/Параметры!AC$64</f>
        <v>1136394.5287703357</v>
      </c>
      <c r="AD30" s="344">
        <f ca="1">Проект!AD$252*CHOOSE(Проект!$D$252,1,Параметры!AD$53,Параметры!AD$59)/Параметры!AD$64</f>
        <v>1602084.6412490918</v>
      </c>
      <c r="AE30" s="344">
        <f ca="1">Проект!AE$252*CHOOSE(Проект!$D$252,1,Параметры!AE$53,Параметры!AE$59)/Параметры!AE$64</f>
        <v>2308492.1647496251</v>
      </c>
      <c r="AF30" s="344">
        <f ca="1">Проект!AF$252*CHOOSE(Проект!$D$252,1,Параметры!AF$53,Параметры!AF$59)/Параметры!AF$64</f>
        <v>1408467.3754164812</v>
      </c>
      <c r="AG30" s="344">
        <f ca="1">Проект!AG$252*CHOOSE(Проект!$D$252,1,Параметры!AG$53,Параметры!AG$59)/Параметры!AG$64</f>
        <v>1185930.8255084378</v>
      </c>
      <c r="AH30" s="344">
        <f ca="1">Проект!AH$252*CHOOSE(Проект!$D$252,1,Параметры!AH$53,Параметры!AH$59)/Параметры!AH$64</f>
        <v>1431523.8935560579</v>
      </c>
      <c r="AI30" s="344">
        <f ca="1">Проект!AI$252*CHOOSE(Проект!$D$252,1,Параметры!AI$53,Параметры!AI$59)/Параметры!AI$64</f>
        <v>968274.63609485584</v>
      </c>
      <c r="AJ30" s="344">
        <f ca="1">Проект!AJ$252*CHOOSE(Проект!$D$252,1,Параметры!AJ$53,Параметры!AJ$59)/Параметры!AJ$64</f>
        <v>2661962.2967162263</v>
      </c>
      <c r="AK30" s="344">
        <f ca="1">Проект!AK$252*CHOOSE(Проект!$D$252,1,Параметры!AK$53,Параметры!AK$59)/Параметры!AK$64</f>
        <v>2938283.0461692307</v>
      </c>
      <c r="AL30" s="344">
        <f ca="1">Проект!AL$252*CHOOSE(Проект!$D$252,1,Параметры!AL$53,Параметры!AL$59)/Параметры!AL$64</f>
        <v>2480378.3256416447</v>
      </c>
      <c r="AM30" s="344">
        <f ca="1">Проект!AM$252*CHOOSE(Проект!$D$252,1,Параметры!AM$53,Параметры!AM$59)/Параметры!AM$64</f>
        <v>1016217.815187911</v>
      </c>
      <c r="AN30" s="344">
        <f ca="1">Проект!AN$252*CHOOSE(Проект!$D$252,1,Параметры!AN$53,Параметры!AN$59)/Параметры!AN$64</f>
        <v>768390.76863445062</v>
      </c>
      <c r="AO30" s="344">
        <f ca="1">Проект!AO$252*CHOOSE(Проект!$D$252,1,Параметры!AO$53,Параметры!AO$59)/Параметры!AO$64</f>
        <v>1276852.89252635</v>
      </c>
      <c r="AP30" s="344">
        <f ca="1">Проект!AP$252*CHOOSE(Проект!$D$252,1,Параметры!AP$53,Параметры!AP$59)/Параметры!AP$64</f>
        <v>1800102.3029074806</v>
      </c>
      <c r="AQ30" s="344">
        <f ca="1">Проект!AQ$252*CHOOSE(Проект!$D$252,1,Параметры!AQ$53,Параметры!AQ$59)/Параметры!AQ$64</f>
        <v>2593821.7963126805</v>
      </c>
      <c r="AR30" s="344">
        <f ca="1">Проект!AR$252*CHOOSE(Проект!$D$252,1,Параметры!AR$53,Параметры!AR$59)/Параметры!AR$64</f>
        <v>1582553.9430179598</v>
      </c>
      <c r="AS30" s="344">
        <f ca="1">Проект!AS$252*CHOOSE(Проект!$D$252,1,Параметры!AS$53,Параметры!AS$59)/Параметры!AS$64</f>
        <v>1332511.8755412812</v>
      </c>
      <c r="AT30" s="344">
        <f ca="1">Проект!AT$252*CHOOSE(Проект!$D$252,1,Параметры!AT$53,Параметры!AT$59)/Параметры!AT$64</f>
        <v>1608460.246799587</v>
      </c>
      <c r="AU30" s="344">
        <f ca="1">Проект!AU$252*CHOOSE(Проект!$D$252,1,Параметры!AU$53,Параметры!AU$59)/Параметры!AU$64</f>
        <v>1087953.3811161816</v>
      </c>
      <c r="AV30" s="344">
        <f ca="1">Проект!AV$252*CHOOSE(Проект!$D$252,1,Параметры!AV$53,Параметры!AV$59)/Параметры!AV$64</f>
        <v>2990980.8365903548</v>
      </c>
      <c r="AW30" s="344">
        <f ca="1">Проект!AW$252*CHOOSE(Проект!$D$252,1,Параметры!AW$53,Параметры!AW$59)/Параметры!AW$64</f>
        <v>3301454.8306757482</v>
      </c>
      <c r="AX30" s="344">
        <f ca="1">Проект!AX$252*CHOOSE(Проект!$D$252,1,Параметры!AX$53,Параметры!AX$59)/Параметры!AX$64</f>
        <v>2786953.0866909549</v>
      </c>
      <c r="AY30" s="344">
        <f ca="1">Проект!AY$252*CHOOSE(Проект!$D$252,1,Параметры!AY$53,Параметры!AY$59)/Параметры!AY$64</f>
        <v>1141822.3371451357</v>
      </c>
      <c r="AZ30" s="344">
        <f ca="1">Проект!AZ$252*CHOOSE(Проект!$D$252,1,Параметры!AZ$53,Параметры!AZ$59)/Параметры!AZ$64</f>
        <v>863363.8676376699</v>
      </c>
      <c r="BA30" s="344">
        <f ca="1">Проект!BA$252*CHOOSE(Проект!$D$252,1,Параметры!BA$53,Параметры!BA$59)/Параметры!BA$64</f>
        <v>1434671.910042607</v>
      </c>
      <c r="BB30" s="344">
        <f ca="1">Проект!BB$252*CHOOSE(Проект!$D$252,1,Параметры!BB$53,Параметры!BB$59)/Параметры!BB$64</f>
        <v>2022594.947546846</v>
      </c>
      <c r="BC30" s="344"/>
      <c r="BD30" s="345">
        <f ca="1">SUM(G30:BC30)</f>
        <v>68168836.663939372</v>
      </c>
    </row>
    <row r="31" spans="1:56" x14ac:dyDescent="0.3">
      <c r="A31" s="128"/>
      <c r="B31" s="135"/>
      <c r="C31" s="128"/>
      <c r="D31" s="129"/>
      <c r="E31" s="129"/>
      <c r="F31" s="63"/>
      <c r="G31" s="133"/>
      <c r="H31" s="133"/>
      <c r="I31" s="133"/>
      <c r="J31" s="133"/>
      <c r="K31" s="133"/>
      <c r="L31" s="133"/>
      <c r="M31" s="133"/>
      <c r="N31" s="133"/>
      <c r="O31" s="133"/>
      <c r="P31" s="133"/>
      <c r="Q31" s="133"/>
      <c r="R31" s="133"/>
      <c r="S31" s="133"/>
      <c r="T31" s="133"/>
      <c r="U31" s="133"/>
      <c r="V31" s="133"/>
      <c r="W31" s="133"/>
      <c r="X31" s="133"/>
      <c r="Y31" s="133"/>
      <c r="Z31" s="133"/>
      <c r="AA31" s="133"/>
      <c r="AB31" s="133"/>
      <c r="AC31" s="133"/>
      <c r="AD31" s="133"/>
      <c r="AE31" s="133"/>
      <c r="AF31" s="133"/>
      <c r="AG31" s="133"/>
      <c r="AH31" s="133"/>
      <c r="AI31" s="133"/>
      <c r="AJ31" s="133"/>
      <c r="AK31" s="133"/>
      <c r="AL31" s="133"/>
      <c r="AM31" s="133"/>
      <c r="AN31" s="133"/>
      <c r="AO31" s="133"/>
      <c r="AP31" s="133"/>
      <c r="AQ31" s="133"/>
      <c r="AR31" s="133"/>
      <c r="AS31" s="133"/>
      <c r="AT31" s="133"/>
      <c r="AU31" s="133"/>
      <c r="AV31" s="133"/>
      <c r="AW31" s="133"/>
      <c r="AX31" s="133"/>
      <c r="AY31" s="133"/>
      <c r="AZ31" s="133"/>
      <c r="BA31" s="133"/>
      <c r="BB31" s="133"/>
      <c r="BC31" s="134"/>
      <c r="BD31" s="134"/>
    </row>
    <row r="32" spans="1:56" s="34" customFormat="1" x14ac:dyDescent="0.3">
      <c r="A32" s="138" t="str">
        <f ca="1">Language!A$1506</f>
        <v>Персонал</v>
      </c>
      <c r="B32" s="137">
        <f ca="1">BD32</f>
        <v>61116845.81574966</v>
      </c>
      <c r="C32" s="100" t="str">
        <f ca="1">Параметры!$C$64</f>
        <v>руб.</v>
      </c>
      <c r="D32" s="11"/>
      <c r="E32" s="11"/>
      <c r="F32" s="6" t="s">
        <v>740</v>
      </c>
      <c r="G32" s="58">
        <f t="shared" ref="G32:BB32" ca="1" si="6">SUM(G34,G41,G45)</f>
        <v>0</v>
      </c>
      <c r="H32" s="58">
        <f t="shared" ca="1" si="6"/>
        <v>0</v>
      </c>
      <c r="I32" s="58">
        <f t="shared" ca="1" si="6"/>
        <v>0</v>
      </c>
      <c r="J32" s="58">
        <f t="shared" ca="1" si="6"/>
        <v>0</v>
      </c>
      <c r="K32" s="58">
        <f t="shared" ca="1" si="6"/>
        <v>0</v>
      </c>
      <c r="L32" s="58">
        <f t="shared" ca="1" si="6"/>
        <v>0</v>
      </c>
      <c r="M32" s="58">
        <f t="shared" ca="1" si="6"/>
        <v>1315009.3597575647</v>
      </c>
      <c r="N32" s="58">
        <f t="shared" ca="1" si="6"/>
        <v>1321410.2343100843</v>
      </c>
      <c r="O32" s="58">
        <f t="shared" ca="1" si="6"/>
        <v>1327842.2654431502</v>
      </c>
      <c r="P32" s="58">
        <f t="shared" ca="1" si="6"/>
        <v>1334305.6048129946</v>
      </c>
      <c r="Q32" s="58">
        <f t="shared" ca="1" si="6"/>
        <v>1340800.4048140424</v>
      </c>
      <c r="R32" s="58">
        <f t="shared" ca="1" si="6"/>
        <v>1347326.8185825073</v>
      </c>
      <c r="S32" s="58">
        <f t="shared" ca="1" si="6"/>
        <v>1353885.0000000005</v>
      </c>
      <c r="T32" s="58">
        <f t="shared" ca="1" si="6"/>
        <v>1360475.1036971598</v>
      </c>
      <c r="U32" s="58">
        <f t="shared" ca="1" si="6"/>
        <v>1367097.2850572963</v>
      </c>
      <c r="V32" s="58">
        <f t="shared" ca="1" si="6"/>
        <v>1373751.7002200559</v>
      </c>
      <c r="W32" s="58">
        <f t="shared" ca="1" si="6"/>
        <v>1380438.5060851029</v>
      </c>
      <c r="X32" s="58">
        <f t="shared" ca="1" si="6"/>
        <v>1387157.860315819</v>
      </c>
      <c r="Y32" s="58">
        <f t="shared" ca="1" si="6"/>
        <v>1393909.921343019</v>
      </c>
      <c r="Z32" s="58">
        <f t="shared" ca="1" si="6"/>
        <v>1400694.8483686894</v>
      </c>
      <c r="AA32" s="58">
        <f t="shared" ca="1" si="6"/>
        <v>1407512.8013697399</v>
      </c>
      <c r="AB32" s="58">
        <f t="shared" ca="1" si="6"/>
        <v>1414363.9411017748</v>
      </c>
      <c r="AC32" s="58">
        <f t="shared" ca="1" si="6"/>
        <v>1421248.4291028855</v>
      </c>
      <c r="AD32" s="58">
        <f t="shared" ca="1" si="6"/>
        <v>1428166.4276974578</v>
      </c>
      <c r="AE32" s="58">
        <f t="shared" ca="1" si="6"/>
        <v>1435118.1000000008</v>
      </c>
      <c r="AF32" s="58">
        <f t="shared" ca="1" si="6"/>
        <v>1442103.6099189897</v>
      </c>
      <c r="AG32" s="58">
        <f t="shared" ca="1" si="6"/>
        <v>1449123.1221607341</v>
      </c>
      <c r="AH32" s="58">
        <f t="shared" ca="1" si="6"/>
        <v>1456176.8022332597</v>
      </c>
      <c r="AI32" s="58">
        <f t="shared" ca="1" si="6"/>
        <v>1463264.8164502091</v>
      </c>
      <c r="AJ32" s="58">
        <f t="shared" ca="1" si="6"/>
        <v>1470387.331934768</v>
      </c>
      <c r="AK32" s="58">
        <f t="shared" ca="1" si="6"/>
        <v>1477544.5166236004</v>
      </c>
      <c r="AL32" s="58">
        <f t="shared" ca="1" si="6"/>
        <v>1484736.5392708112</v>
      </c>
      <c r="AM32" s="58">
        <f t="shared" ca="1" si="6"/>
        <v>1491963.5694519244</v>
      </c>
      <c r="AN32" s="58">
        <f t="shared" ca="1" si="6"/>
        <v>1499225.7775678812</v>
      </c>
      <c r="AO32" s="58">
        <f t="shared" ca="1" si="6"/>
        <v>1506523.3348490587</v>
      </c>
      <c r="AP32" s="58">
        <f t="shared" ca="1" si="6"/>
        <v>1513856.4133593058</v>
      </c>
      <c r="AQ32" s="58">
        <f t="shared" ca="1" si="6"/>
        <v>1521225.1860000007</v>
      </c>
      <c r="AR32" s="58">
        <f t="shared" ca="1" si="6"/>
        <v>1528629.8265141293</v>
      </c>
      <c r="AS32" s="58">
        <f t="shared" ca="1" si="6"/>
        <v>1536070.5094903784</v>
      </c>
      <c r="AT32" s="58">
        <f t="shared" ca="1" si="6"/>
        <v>1543547.4103672551</v>
      </c>
      <c r="AU32" s="58">
        <f t="shared" ca="1" si="6"/>
        <v>1551060.7054372218</v>
      </c>
      <c r="AV32" s="58">
        <f t="shared" ca="1" si="6"/>
        <v>1558610.5718508542</v>
      </c>
      <c r="AW32" s="58">
        <f t="shared" ca="1" si="6"/>
        <v>1566197.1876210165</v>
      </c>
      <c r="AX32" s="58">
        <f t="shared" ca="1" si="6"/>
        <v>1573820.7316270599</v>
      </c>
      <c r="AY32" s="58">
        <f t="shared" ca="1" si="6"/>
        <v>1581481.38361904</v>
      </c>
      <c r="AZ32" s="58">
        <f t="shared" ca="1" si="6"/>
        <v>1589179.3242219544</v>
      </c>
      <c r="BA32" s="58">
        <f t="shared" ca="1" si="6"/>
        <v>1596914.7349400027</v>
      </c>
      <c r="BB32" s="58">
        <f t="shared" ca="1" si="6"/>
        <v>1604687.798160864</v>
      </c>
      <c r="BC32" s="58"/>
      <c r="BD32" s="76">
        <f ca="1">SUM(G32:BC32)</f>
        <v>61116845.81574966</v>
      </c>
    </row>
    <row r="33" spans="1:56" s="34" customFormat="1" x14ac:dyDescent="0.3">
      <c r="A33" s="138"/>
      <c r="B33" s="137"/>
      <c r="C33" s="100"/>
      <c r="D33" s="11"/>
      <c r="E33" s="11"/>
      <c r="F33" s="6"/>
      <c r="G33" s="58"/>
      <c r="H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c r="AK33" s="58"/>
      <c r="AL33" s="58"/>
      <c r="AM33" s="58"/>
      <c r="AN33" s="58"/>
      <c r="AO33" s="58"/>
      <c r="AP33" s="58"/>
      <c r="AQ33" s="58"/>
      <c r="AR33" s="58"/>
      <c r="AS33" s="58"/>
      <c r="AT33" s="58"/>
      <c r="AU33" s="58"/>
      <c r="AV33" s="58"/>
      <c r="AW33" s="58"/>
      <c r="AX33" s="58"/>
      <c r="AY33" s="58"/>
      <c r="AZ33" s="58"/>
      <c r="BA33" s="58"/>
      <c r="BB33" s="58"/>
      <c r="BC33" s="58"/>
      <c r="BD33" s="76"/>
    </row>
    <row r="34" spans="1:56" s="34" customFormat="1" x14ac:dyDescent="0.3">
      <c r="A34" s="138" t="str">
        <f ca="1">Language!A$707</f>
        <v>Производственный персонал</v>
      </c>
      <c r="B34" s="137">
        <f t="shared" ref="B34" ca="1" si="7">BD34</f>
        <v>46699538.597675391</v>
      </c>
      <c r="C34" s="100" t="str">
        <f ca="1">Параметры!$C$64</f>
        <v>руб.</v>
      </c>
      <c r="D34" s="11">
        <v>0</v>
      </c>
      <c r="E34" s="6" t="s">
        <v>2320</v>
      </c>
      <c r="F34" s="6" t="s">
        <v>3488</v>
      </c>
      <c r="G34" s="58">
        <f t="shared" ref="G34:BB34" ca="1" si="8">SUM(G35:G40)</f>
        <v>0</v>
      </c>
      <c r="H34" s="58">
        <f t="shared" ca="1" si="8"/>
        <v>0</v>
      </c>
      <c r="I34" s="58">
        <f t="shared" ca="1" si="8"/>
        <v>0</v>
      </c>
      <c r="J34" s="58">
        <f t="shared" ca="1" si="8"/>
        <v>0</v>
      </c>
      <c r="K34" s="58">
        <f t="shared" ca="1" si="8"/>
        <v>0</v>
      </c>
      <c r="L34" s="58">
        <f t="shared" ca="1" si="8"/>
        <v>0</v>
      </c>
      <c r="M34" s="58">
        <f t="shared" ca="1" si="8"/>
        <v>1004802.0236096265</v>
      </c>
      <c r="N34" s="58">
        <f t="shared" ca="1" si="8"/>
        <v>1009692.9482677054</v>
      </c>
      <c r="O34" s="58">
        <f t="shared" ca="1" si="8"/>
        <v>1014607.6797488686</v>
      </c>
      <c r="P34" s="58">
        <f t="shared" ca="1" si="8"/>
        <v>1019546.3339340318</v>
      </c>
      <c r="Q34" s="58">
        <f t="shared" ca="1" si="8"/>
        <v>1024509.0272681658</v>
      </c>
      <c r="R34" s="58">
        <f t="shared" ca="1" si="8"/>
        <v>1029495.8767630439</v>
      </c>
      <c r="S34" s="58">
        <f t="shared" ca="1" si="8"/>
        <v>1034507.0000000003</v>
      </c>
      <c r="T34" s="58">
        <f t="shared" ca="1" si="8"/>
        <v>1039542.5151327016</v>
      </c>
      <c r="U34" s="58">
        <f t="shared" ca="1" si="8"/>
        <v>1044602.5408899341</v>
      </c>
      <c r="V34" s="58">
        <f t="shared" ca="1" si="8"/>
        <v>1049687.1965784016</v>
      </c>
      <c r="W34" s="58">
        <f t="shared" ca="1" si="8"/>
        <v>1054796.6020855401</v>
      </c>
      <c r="X34" s="58">
        <f t="shared" ca="1" si="8"/>
        <v>1059930.8778823437</v>
      </c>
      <c r="Y34" s="58">
        <f t="shared" ca="1" si="8"/>
        <v>1065090.1450262042</v>
      </c>
      <c r="Z34" s="58">
        <f t="shared" ca="1" si="8"/>
        <v>1070274.5251637679</v>
      </c>
      <c r="AA34" s="58">
        <f t="shared" ca="1" si="8"/>
        <v>1075484.1405338012</v>
      </c>
      <c r="AB34" s="58">
        <f t="shared" ca="1" si="8"/>
        <v>1080719.1139700741</v>
      </c>
      <c r="AC34" s="58">
        <f t="shared" ca="1" si="8"/>
        <v>1085979.568904256</v>
      </c>
      <c r="AD34" s="58">
        <f t="shared" ca="1" si="8"/>
        <v>1091265.6293688267</v>
      </c>
      <c r="AE34" s="58">
        <f t="shared" ca="1" si="8"/>
        <v>1096577.4200000006</v>
      </c>
      <c r="AF34" s="58">
        <f t="shared" ca="1" si="8"/>
        <v>1101915.066040664</v>
      </c>
      <c r="AG34" s="58">
        <f t="shared" ca="1" si="8"/>
        <v>1107278.6933433302</v>
      </c>
      <c r="AH34" s="58">
        <f t="shared" ca="1" si="8"/>
        <v>1112668.4283731061</v>
      </c>
      <c r="AI34" s="58">
        <f t="shared" ca="1" si="8"/>
        <v>1118084.3982106727</v>
      </c>
      <c r="AJ34" s="58">
        <f t="shared" ca="1" si="8"/>
        <v>1123526.7305552843</v>
      </c>
      <c r="AK34" s="58">
        <f t="shared" ca="1" si="8"/>
        <v>1128995.5537277767</v>
      </c>
      <c r="AL34" s="58">
        <f t="shared" ca="1" si="8"/>
        <v>1134490.9966735942</v>
      </c>
      <c r="AM34" s="58">
        <f t="shared" ca="1" si="8"/>
        <v>1140013.1889658293</v>
      </c>
      <c r="AN34" s="58">
        <f t="shared" ca="1" si="8"/>
        <v>1145562.2608082783</v>
      </c>
      <c r="AO34" s="58">
        <f t="shared" ca="1" si="8"/>
        <v>1151138.3430385115</v>
      </c>
      <c r="AP34" s="58">
        <f t="shared" ca="1" si="8"/>
        <v>1156741.5671309568</v>
      </c>
      <c r="AQ34" s="58">
        <f t="shared" ca="1" si="8"/>
        <v>1162372.0652000005</v>
      </c>
      <c r="AR34" s="58">
        <f t="shared" ca="1" si="8"/>
        <v>1168029.9700031038</v>
      </c>
      <c r="AS34" s="58">
        <f t="shared" ca="1" si="8"/>
        <v>1173715.41494393</v>
      </c>
      <c r="AT34" s="58">
        <f t="shared" ca="1" si="8"/>
        <v>1179428.5340754923</v>
      </c>
      <c r="AU34" s="58">
        <f t="shared" ca="1" si="8"/>
        <v>1185169.4621033131</v>
      </c>
      <c r="AV34" s="58">
        <f t="shared" ca="1" si="8"/>
        <v>1190938.3343886014</v>
      </c>
      <c r="AW34" s="58">
        <f t="shared" ca="1" si="8"/>
        <v>1196735.2869514432</v>
      </c>
      <c r="AX34" s="58">
        <f t="shared" ca="1" si="8"/>
        <v>1202560.4564740099</v>
      </c>
      <c r="AY34" s="58">
        <f t="shared" ca="1" si="8"/>
        <v>1208413.9803037792</v>
      </c>
      <c r="AZ34" s="58">
        <f t="shared" ca="1" si="8"/>
        <v>1214295.9964567753</v>
      </c>
      <c r="BA34" s="58">
        <f t="shared" ca="1" si="8"/>
        <v>1220206.6436208226</v>
      </c>
      <c r="BB34" s="58">
        <f t="shared" ca="1" si="8"/>
        <v>1226146.061158814</v>
      </c>
      <c r="BC34" s="145"/>
      <c r="BD34" s="76">
        <f t="shared" ref="BD34:BD36" ca="1" si="9">SUM(G34:BC34)</f>
        <v>46699538.597675391</v>
      </c>
    </row>
    <row r="35" spans="1:56" s="346" customFormat="1" x14ac:dyDescent="0.3">
      <c r="A35" s="339" t="str">
        <f>Проект!A$307</f>
        <v>Горничная</v>
      </c>
      <c r="B35" s="340">
        <f t="shared" ref="B35:B36" ca="1" si="10">BD35</f>
        <v>15044146.662338376</v>
      </c>
      <c r="C35" s="341" t="str">
        <f ca="1">Параметры!C$64</f>
        <v>руб.</v>
      </c>
      <c r="D35" s="342"/>
      <c r="E35" s="343"/>
      <c r="F35" s="343" t="s">
        <v>3446</v>
      </c>
      <c r="G35" s="344">
        <f ca="1">Проект!G$315*CHOOSE(Проект!$D$315,1,Параметры!G$53,Параметры!G$59)/Параметры!G$64</f>
        <v>0</v>
      </c>
      <c r="H35" s="344">
        <f ca="1">Проект!H$315*CHOOSE(Проект!$D$315,1,Параметры!H$53,Параметры!H$59)/Параметры!H$64</f>
        <v>0</v>
      </c>
      <c r="I35" s="344">
        <f ca="1">Проект!I$315*CHOOSE(Проект!$D$315,1,Параметры!I$53,Параметры!I$59)/Параметры!I$64</f>
        <v>0</v>
      </c>
      <c r="J35" s="344">
        <f ca="1">Проект!J$315*CHOOSE(Проект!$D$315,1,Параметры!J$53,Параметры!J$59)/Параметры!J$64</f>
        <v>0</v>
      </c>
      <c r="K35" s="344">
        <f ca="1">Проект!K$315*CHOOSE(Проект!$D$315,1,Параметры!K$53,Параметры!K$59)/Параметры!K$64</f>
        <v>0</v>
      </c>
      <c r="L35" s="344">
        <f ca="1">Проект!L$315*CHOOSE(Проект!$D$315,1,Параметры!L$53,Параметры!L$59)/Параметры!L$64</f>
        <v>0</v>
      </c>
      <c r="M35" s="344">
        <f ca="1">Проект!M$315*CHOOSE(Проект!$D$315,1,Параметры!M$53,Параметры!M$59)/Параметры!M$64</f>
        <v>323694.61163263139</v>
      </c>
      <c r="N35" s="344">
        <f ca="1">Проект!N$315*CHOOSE(Проект!$D$315,1,Параметры!N$53,Параметры!N$59)/Параметры!N$64</f>
        <v>325270.21152248234</v>
      </c>
      <c r="O35" s="344">
        <f ca="1">Проект!O$315*CHOOSE(Проект!$D$315,1,Параметры!O$53,Параметры!O$59)/Параметры!O$64</f>
        <v>326853.48072446778</v>
      </c>
      <c r="P35" s="344">
        <f ca="1">Проект!P$315*CHOOSE(Проект!$D$315,1,Параметры!P$53,Параметры!P$59)/Параметры!P$64</f>
        <v>328444.45656935254</v>
      </c>
      <c r="Q35" s="344">
        <f ca="1">Проект!Q$315*CHOOSE(Проект!$D$315,1,Параметры!Q$53,Параметры!Q$59)/Параметры!Q$64</f>
        <v>330043.17656961048</v>
      </c>
      <c r="R35" s="344">
        <f ca="1">Проект!R$315*CHOOSE(Проект!$D$315,1,Параметры!R$53,Параметры!R$59)/Параметры!R$64</f>
        <v>331649.6784203095</v>
      </c>
      <c r="S35" s="344">
        <f ca="1">Проект!S$315*CHOOSE(Проект!$D$315,1,Параметры!S$53,Параметры!S$59)/Параметры!S$64</f>
        <v>333264.00000000012</v>
      </c>
      <c r="T35" s="344">
        <f ca="1">Проект!T$315*CHOOSE(Проект!$D$315,1,Параметры!T$53,Параметры!T$59)/Параметры!T$64</f>
        <v>334886.1793716086</v>
      </c>
      <c r="U35" s="344">
        <f ca="1">Проект!U$315*CHOOSE(Проект!$D$315,1,Параметры!U$53,Параметры!U$59)/Параметры!U$64</f>
        <v>336516.25478333439</v>
      </c>
      <c r="V35" s="344">
        <f ca="1">Проект!V$315*CHOOSE(Проект!$D$315,1,Параметры!V$53,Параметры!V$59)/Параметры!V$64</f>
        <v>338154.26466955215</v>
      </c>
      <c r="W35" s="344">
        <f ca="1">Проект!W$315*CHOOSE(Проект!$D$315,1,Параметры!W$53,Параметры!W$59)/Параметры!W$64</f>
        <v>339800.24765171763</v>
      </c>
      <c r="X35" s="344">
        <f ca="1">Проект!X$315*CHOOSE(Проект!$D$315,1,Параметры!X$53,Параметры!X$59)/Параметры!X$64</f>
        <v>341454.24253927841</v>
      </c>
      <c r="Y35" s="344">
        <f ca="1">Проект!Y$315*CHOOSE(Проект!$D$315,1,Параметры!Y$53,Параметры!Y$59)/Параметры!Y$64</f>
        <v>343116.28833058925</v>
      </c>
      <c r="Z35" s="344">
        <f ca="1">Проект!Z$315*CHOOSE(Проект!$D$315,1,Параметры!Z$53,Параметры!Z$59)/Параметры!Z$64</f>
        <v>344786.42421383131</v>
      </c>
      <c r="AA35" s="344">
        <f ca="1">Проект!AA$315*CHOOSE(Проект!$D$315,1,Параметры!AA$53,Параметры!AA$59)/Параметры!AA$64</f>
        <v>346464.68956793594</v>
      </c>
      <c r="AB35" s="344">
        <f ca="1">Проект!AB$315*CHOOSE(Проект!$D$315,1,Параметры!AB$53,Параметры!AB$59)/Параметры!AB$64</f>
        <v>348151.12396351376</v>
      </c>
      <c r="AC35" s="344">
        <f ca="1">Проект!AC$315*CHOOSE(Проект!$D$315,1,Параметры!AC$53,Параметры!AC$59)/Параметры!AC$64</f>
        <v>349845.76716378715</v>
      </c>
      <c r="AD35" s="344">
        <f ca="1">Проект!AD$315*CHOOSE(Проект!$D$315,1,Параметры!AD$53,Параметры!AD$59)/Параметры!AD$64</f>
        <v>351548.65912552812</v>
      </c>
      <c r="AE35" s="344">
        <f ca="1">Проект!AE$315*CHOOSE(Проект!$D$315,1,Параметры!AE$53,Параметры!AE$59)/Параметры!AE$64</f>
        <v>353259.8400000002</v>
      </c>
      <c r="AF35" s="344">
        <f ca="1">Проект!AF$315*CHOOSE(Проект!$D$315,1,Параметры!AF$53,Параметры!AF$59)/Параметры!AF$64</f>
        <v>354979.35013390513</v>
      </c>
      <c r="AG35" s="344">
        <f ca="1">Проект!AG$315*CHOOSE(Проект!$D$315,1,Параметры!AG$53,Параметры!AG$59)/Параметры!AG$64</f>
        <v>356707.23007033451</v>
      </c>
      <c r="AH35" s="344">
        <f ca="1">Проект!AH$315*CHOOSE(Проект!$D$315,1,Параметры!AH$53,Параметры!AH$59)/Параметры!AH$64</f>
        <v>358443.52054972539</v>
      </c>
      <c r="AI35" s="344">
        <f ca="1">Проект!AI$315*CHOOSE(Проект!$D$315,1,Параметры!AI$53,Параметры!AI$59)/Параметры!AI$64</f>
        <v>360188.2625108207</v>
      </c>
      <c r="AJ35" s="344">
        <f ca="1">Проект!AJ$315*CHOOSE(Проект!$D$315,1,Параметры!AJ$53,Параметры!AJ$59)/Параметры!AJ$64</f>
        <v>361941.49709163525</v>
      </c>
      <c r="AK35" s="344">
        <f ca="1">Проект!AK$315*CHOOSE(Проект!$D$315,1,Параметры!AK$53,Параметры!AK$59)/Параметры!AK$64</f>
        <v>363703.26563042472</v>
      </c>
      <c r="AL35" s="344">
        <f ca="1">Проект!AL$315*CHOOSE(Проект!$D$315,1,Параметры!AL$53,Параметры!AL$59)/Параметры!AL$64</f>
        <v>365473.60966666113</v>
      </c>
      <c r="AM35" s="344">
        <f ca="1">Проект!AM$315*CHOOSE(Проект!$D$315,1,Параметры!AM$53,Параметры!AM$59)/Параметры!AM$64</f>
        <v>367252.57094201213</v>
      </c>
      <c r="AN35" s="344">
        <f ca="1">Проект!AN$315*CHOOSE(Проект!$D$315,1,Параметры!AN$53,Параметры!AN$59)/Параметры!AN$64</f>
        <v>369040.19140132453</v>
      </c>
      <c r="AO35" s="344">
        <f ca="1">Проект!AO$315*CHOOSE(Проект!$D$315,1,Параметры!AO$53,Параметры!AO$59)/Параметры!AO$64</f>
        <v>370836.51319361443</v>
      </c>
      <c r="AP35" s="344">
        <f ca="1">Проект!AP$315*CHOOSE(Проект!$D$315,1,Параметры!AP$53,Параметры!AP$59)/Параметры!AP$64</f>
        <v>372641.57867305982</v>
      </c>
      <c r="AQ35" s="344">
        <f ca="1">Проект!AQ$315*CHOOSE(Проект!$D$315,1,Параметры!AQ$53,Параметры!AQ$59)/Параметры!AQ$64</f>
        <v>374455.43040000019</v>
      </c>
      <c r="AR35" s="344">
        <f ca="1">Проект!AR$315*CHOOSE(Проект!$D$315,1,Параметры!AR$53,Параметры!AR$59)/Параметры!AR$64</f>
        <v>376278.11114193947</v>
      </c>
      <c r="AS35" s="344">
        <f ca="1">Проект!AS$315*CHOOSE(Проект!$D$315,1,Параметры!AS$53,Параметры!AS$59)/Параметры!AS$64</f>
        <v>378109.66387455462</v>
      </c>
      <c r="AT35" s="344">
        <f ca="1">Проект!AT$315*CHOOSE(Проект!$D$315,1,Параметры!AT$53,Параметры!AT$59)/Параметры!AT$64</f>
        <v>379950.13178270886</v>
      </c>
      <c r="AU35" s="344">
        <f ca="1">Проект!AU$315*CHOOSE(Проект!$D$315,1,Параметры!AU$53,Параметры!AU$59)/Параметры!AU$64</f>
        <v>381799.55826146994</v>
      </c>
      <c r="AV35" s="344">
        <f ca="1">Проект!AV$315*CHOOSE(Проект!$D$315,1,Параметры!AV$53,Параметры!AV$59)/Параметры!AV$64</f>
        <v>383657.98691713333</v>
      </c>
      <c r="AW35" s="344">
        <f ca="1">Проект!AW$315*CHOOSE(Проект!$D$315,1,Параметры!AW$53,Параметры!AW$59)/Параметры!AW$64</f>
        <v>385525.4615682502</v>
      </c>
      <c r="AX35" s="344">
        <f ca="1">Проект!AX$315*CHOOSE(Проект!$D$315,1,Параметры!AX$53,Параметры!AX$59)/Параметры!AX$64</f>
        <v>387402.02624666085</v>
      </c>
      <c r="AY35" s="344">
        <f ca="1">Проект!AY$315*CHOOSE(Проект!$D$315,1,Параметры!AY$53,Параметры!AY$59)/Параметры!AY$64</f>
        <v>389287.72519853292</v>
      </c>
      <c r="AZ35" s="344">
        <f ca="1">Проект!AZ$315*CHOOSE(Проект!$D$315,1,Параметры!AZ$53,Параметры!AZ$59)/Параметры!AZ$64</f>
        <v>391182.60288540414</v>
      </c>
      <c r="BA35" s="344">
        <f ca="1">Проект!BA$315*CHOOSE(Проект!$D$315,1,Параметры!BA$53,Параметры!BA$59)/Параметры!BA$64</f>
        <v>393086.70398523135</v>
      </c>
      <c r="BB35" s="344">
        <f ca="1">Проект!BB$315*CHOOSE(Проект!$D$315,1,Параметры!BB$53,Параметры!BB$59)/Параметры!BB$64</f>
        <v>395000.07339344348</v>
      </c>
      <c r="BC35" s="348"/>
      <c r="BD35" s="345">
        <f t="shared" ca="1" si="9"/>
        <v>15044146.662338376</v>
      </c>
    </row>
    <row r="36" spans="1:56" s="346" customFormat="1" x14ac:dyDescent="0.3">
      <c r="A36" s="339" t="str">
        <f>Проект!A$316</f>
        <v>Охранник</v>
      </c>
      <c r="B36" s="340">
        <f t="shared" ca="1" si="10"/>
        <v>8775752.2196973898</v>
      </c>
      <c r="C36" s="341" t="str">
        <f ca="1">Параметры!C$64</f>
        <v>руб.</v>
      </c>
      <c r="D36" s="342"/>
      <c r="E36" s="343"/>
      <c r="F36" s="343" t="s">
        <v>3449</v>
      </c>
      <c r="G36" s="344">
        <f ca="1">Проект!G$324*CHOOSE(Проект!$D$324,1,Параметры!G$53,Параметры!G$59)/Параметры!G$64</f>
        <v>0</v>
      </c>
      <c r="H36" s="344">
        <f ca="1">Проект!H$324*CHOOSE(Проект!$D$324,1,Параметры!H$53,Параметры!H$59)/Параметры!H$64</f>
        <v>0</v>
      </c>
      <c r="I36" s="344">
        <f ca="1">Проект!I$324*CHOOSE(Проект!$D$324,1,Параметры!I$53,Параметры!I$59)/Параметры!I$64</f>
        <v>0</v>
      </c>
      <c r="J36" s="344">
        <f ca="1">Проект!J$324*CHOOSE(Проект!$D$324,1,Параметры!J$53,Параметры!J$59)/Параметры!J$64</f>
        <v>0</v>
      </c>
      <c r="K36" s="344">
        <f ca="1">Проект!K$324*CHOOSE(Проект!$D$324,1,Параметры!K$53,Параметры!K$59)/Параметры!K$64</f>
        <v>0</v>
      </c>
      <c r="L36" s="344">
        <f ca="1">Проект!L$324*CHOOSE(Проект!$D$324,1,Параметры!L$53,Параметры!L$59)/Параметры!L$64</f>
        <v>0</v>
      </c>
      <c r="M36" s="344">
        <f ca="1">Проект!M$324*CHOOSE(Проект!$D$324,1,Параметры!M$53,Параметры!M$59)/Параметры!M$64</f>
        <v>188821.85678570159</v>
      </c>
      <c r="N36" s="344">
        <f ca="1">Проект!N$324*CHOOSE(Проект!$D$324,1,Параметры!N$53,Параметры!N$59)/Параметры!N$64</f>
        <v>189740.95672144796</v>
      </c>
      <c r="O36" s="344">
        <f ca="1">Проект!O$324*CHOOSE(Проект!$D$324,1,Параметры!O$53,Параметры!O$59)/Параметры!O$64</f>
        <v>190664.53042260616</v>
      </c>
      <c r="P36" s="344">
        <f ca="1">Проект!P$324*CHOOSE(Проект!$D$324,1,Параметры!P$53,Параметры!P$59)/Параметры!P$64</f>
        <v>191592.59966545561</v>
      </c>
      <c r="Q36" s="344">
        <f ca="1">Проект!Q$324*CHOOSE(Проект!$D$324,1,Параметры!Q$53,Параметры!Q$59)/Параметры!Q$64</f>
        <v>192525.18633227274</v>
      </c>
      <c r="R36" s="344">
        <f ca="1">Проект!R$324*CHOOSE(Проект!$D$324,1,Параметры!R$53,Параметры!R$59)/Параметры!R$64</f>
        <v>193462.31241184718</v>
      </c>
      <c r="S36" s="344">
        <f ca="1">Проект!S$324*CHOOSE(Проект!$D$324,1,Параметры!S$53,Параметры!S$59)/Параметры!S$64</f>
        <v>194404.00000000006</v>
      </c>
      <c r="T36" s="344">
        <f ca="1">Проект!T$324*CHOOSE(Проект!$D$324,1,Параметры!T$53,Параметры!T$59)/Параметры!T$64</f>
        <v>195350.27130010503</v>
      </c>
      <c r="U36" s="344">
        <f ca="1">Проект!U$324*CHOOSE(Проект!$D$324,1,Параметры!U$53,Параметры!U$59)/Параметры!U$64</f>
        <v>196301.14862361178</v>
      </c>
      <c r="V36" s="344">
        <f ca="1">Проект!V$324*CHOOSE(Проект!$D$324,1,Параметры!V$53,Параметры!V$59)/Параметры!V$64</f>
        <v>197256.65439057213</v>
      </c>
      <c r="W36" s="344">
        <f ca="1">Проект!W$324*CHOOSE(Проект!$D$324,1,Параметры!W$53,Параметры!W$59)/Параметры!W$64</f>
        <v>198216.81113016861</v>
      </c>
      <c r="X36" s="344">
        <f ca="1">Проект!X$324*CHOOSE(Проект!$D$324,1,Параметры!X$53,Параметры!X$59)/Параметры!X$64</f>
        <v>199181.64148124578</v>
      </c>
      <c r="Y36" s="344">
        <f ca="1">Проект!Y$324*CHOOSE(Проект!$D$324,1,Параметры!Y$53,Параметры!Y$59)/Параметры!Y$64</f>
        <v>200151.16819284376</v>
      </c>
      <c r="Z36" s="344">
        <f ca="1">Проект!Z$324*CHOOSE(Проект!$D$324,1,Параметры!Z$53,Параметры!Z$59)/Параметры!Z$64</f>
        <v>201125.41412473493</v>
      </c>
      <c r="AA36" s="344">
        <f ca="1">Проект!AA$324*CHOOSE(Проект!$D$324,1,Параметры!AA$53,Параметры!AA$59)/Параметры!AA$64</f>
        <v>202104.40224796263</v>
      </c>
      <c r="AB36" s="344">
        <f ca="1">Проект!AB$324*CHOOSE(Проект!$D$324,1,Параметры!AB$53,Параметры!AB$59)/Параметры!AB$64</f>
        <v>203088.15564538303</v>
      </c>
      <c r="AC36" s="344">
        <f ca="1">Проект!AC$324*CHOOSE(Проект!$D$324,1,Параметры!AC$53,Параметры!AC$59)/Параметры!AC$64</f>
        <v>204076.69751220918</v>
      </c>
      <c r="AD36" s="344">
        <f ca="1">Проект!AD$324*CHOOSE(Проект!$D$324,1,Параметры!AD$53,Параметры!AD$59)/Параметры!AD$64</f>
        <v>205070.0511565581</v>
      </c>
      <c r="AE36" s="344">
        <f ca="1">Проект!AE$324*CHOOSE(Проект!$D$324,1,Параметры!AE$53,Параметры!AE$59)/Параметры!AE$64</f>
        <v>206068.24000000011</v>
      </c>
      <c r="AF36" s="344">
        <f ca="1">Проект!AF$324*CHOOSE(Проект!$D$324,1,Параметры!AF$53,Параметры!AF$59)/Параметры!AF$64</f>
        <v>207071.28757811137</v>
      </c>
      <c r="AG36" s="344">
        <f ca="1">Проект!AG$324*CHOOSE(Проект!$D$324,1,Параметры!AG$53,Параметры!AG$59)/Параметры!AG$64</f>
        <v>208079.21754102851</v>
      </c>
      <c r="AH36" s="344">
        <f ca="1">Проект!AH$324*CHOOSE(Проект!$D$324,1,Параметры!AH$53,Параметры!AH$59)/Параметры!AH$64</f>
        <v>209092.05365400651</v>
      </c>
      <c r="AI36" s="344">
        <f ca="1">Проект!AI$324*CHOOSE(Проект!$D$324,1,Параметры!AI$53,Параметры!AI$59)/Параметры!AI$64</f>
        <v>210109.81979797879</v>
      </c>
      <c r="AJ36" s="344">
        <f ca="1">Проект!AJ$324*CHOOSE(Проект!$D$324,1,Параметры!AJ$53,Параметры!AJ$59)/Параметры!AJ$64</f>
        <v>211132.53997012059</v>
      </c>
      <c r="AK36" s="344">
        <f ca="1">Проект!AK$324*CHOOSE(Проект!$D$324,1,Параметры!AK$53,Параметры!AK$59)/Параметры!AK$64</f>
        <v>212160.23828441446</v>
      </c>
      <c r="AL36" s="344">
        <f ca="1">Проект!AL$324*CHOOSE(Проект!$D$324,1,Параметры!AL$53,Параметры!AL$59)/Параметры!AL$64</f>
        <v>213192.93897221907</v>
      </c>
      <c r="AM36" s="344">
        <f ca="1">Проект!AM$324*CHOOSE(Проект!$D$324,1,Параметры!AM$53,Параметры!AM$59)/Параметры!AM$64</f>
        <v>214230.6663828404</v>
      </c>
      <c r="AN36" s="344">
        <f ca="1">Проект!AN$324*CHOOSE(Проект!$D$324,1,Параметры!AN$53,Параметры!AN$59)/Параметры!AN$64</f>
        <v>215273.44498410603</v>
      </c>
      <c r="AO36" s="344">
        <f ca="1">Проект!AO$324*CHOOSE(Проект!$D$324,1,Параметры!AO$53,Параметры!AO$59)/Параметры!AO$64</f>
        <v>216321.29936294176</v>
      </c>
      <c r="AP36" s="344">
        <f ca="1">Проект!AP$324*CHOOSE(Проект!$D$324,1,Параметры!AP$53,Параметры!AP$59)/Параметры!AP$64</f>
        <v>217374.25422595162</v>
      </c>
      <c r="AQ36" s="344">
        <f ca="1">Проект!AQ$324*CHOOSE(Проект!$D$324,1,Параметры!AQ$53,Параметры!AQ$59)/Параметры!AQ$64</f>
        <v>218432.33440000017</v>
      </c>
      <c r="AR36" s="344">
        <f ca="1">Проект!AR$324*CHOOSE(Проект!$D$324,1,Параметры!AR$53,Параметры!AR$59)/Параметры!AR$64</f>
        <v>219495.56483279806</v>
      </c>
      <c r="AS36" s="344">
        <f ca="1">Проект!AS$324*CHOOSE(Проект!$D$324,1,Параметры!AS$53,Параметры!AS$59)/Параметры!AS$64</f>
        <v>220563.97059349023</v>
      </c>
      <c r="AT36" s="344">
        <f ca="1">Проект!AT$324*CHOOSE(Проект!$D$324,1,Параметры!AT$53,Параметры!AT$59)/Параметры!AT$64</f>
        <v>221637.57687324687</v>
      </c>
      <c r="AU36" s="344">
        <f ca="1">Проект!AU$324*CHOOSE(Проект!$D$324,1,Параметры!AU$53,Параметры!AU$59)/Параметры!AU$64</f>
        <v>222716.4089858575</v>
      </c>
      <c r="AV36" s="344">
        <f ca="1">Проект!AV$324*CHOOSE(Проект!$D$324,1,Параметры!AV$53,Параметры!AV$59)/Параметры!AV$64</f>
        <v>223800.4923683278</v>
      </c>
      <c r="AW36" s="344">
        <f ca="1">Проект!AW$324*CHOOSE(Проект!$D$324,1,Параметры!AW$53,Параметры!AW$59)/Параметры!AW$64</f>
        <v>224889.8525814793</v>
      </c>
      <c r="AX36" s="344">
        <f ca="1">Проект!AX$324*CHOOSE(Проект!$D$324,1,Параметры!AX$53,Параметры!AX$59)/Параметры!AX$64</f>
        <v>225984.5153105522</v>
      </c>
      <c r="AY36" s="344">
        <f ca="1">Проект!AY$324*CHOOSE(Проект!$D$324,1,Параметры!AY$53,Параметры!AY$59)/Параметры!AY$64</f>
        <v>227084.50636581087</v>
      </c>
      <c r="AZ36" s="344">
        <f ca="1">Проект!AZ$324*CHOOSE(Проект!$D$324,1,Параметры!AZ$53,Параметры!AZ$59)/Параметры!AZ$64</f>
        <v>228189.85168315243</v>
      </c>
      <c r="BA36" s="344">
        <f ca="1">Проект!BA$324*CHOOSE(Проект!$D$324,1,Параметры!BA$53,Параметры!BA$59)/Параметры!BA$64</f>
        <v>229300.5773247183</v>
      </c>
      <c r="BB36" s="344">
        <f ca="1">Проект!BB$324*CHOOSE(Проект!$D$324,1,Параметры!BB$53,Параметры!BB$59)/Параметры!BB$64</f>
        <v>230416.70947950869</v>
      </c>
      <c r="BC36" s="348"/>
      <c r="BD36" s="345">
        <f t="shared" ca="1" si="9"/>
        <v>8775752.2196973898</v>
      </c>
    </row>
    <row r="37" spans="1:56" s="346" customFormat="1" x14ac:dyDescent="0.3">
      <c r="A37" s="339" t="str">
        <f>Проект!A$325</f>
        <v>Дворник</v>
      </c>
      <c r="B37" s="340">
        <f ca="1">BD37</f>
        <v>2193938.0549243474</v>
      </c>
      <c r="C37" s="341" t="str">
        <f ca="1">Параметры!C$64</f>
        <v>руб.</v>
      </c>
      <c r="D37" s="342"/>
      <c r="E37" s="343"/>
      <c r="F37" s="343" t="s">
        <v>3513</v>
      </c>
      <c r="G37" s="344">
        <f ca="1">Проект!G$333*CHOOSE(Проект!$D$333,1,Параметры!G$53,Параметры!G$59)/Параметры!G$64</f>
        <v>0</v>
      </c>
      <c r="H37" s="344">
        <f ca="1">Проект!H$333*CHOOSE(Проект!$D$333,1,Параметры!H$53,Параметры!H$59)/Параметры!H$64</f>
        <v>0</v>
      </c>
      <c r="I37" s="344">
        <f ca="1">Проект!I$333*CHOOSE(Проект!$D$333,1,Параметры!I$53,Параметры!I$59)/Параметры!I$64</f>
        <v>0</v>
      </c>
      <c r="J37" s="344">
        <f ca="1">Проект!J$333*CHOOSE(Проект!$D$333,1,Параметры!J$53,Параметры!J$59)/Параметры!J$64</f>
        <v>0</v>
      </c>
      <c r="K37" s="344">
        <f ca="1">Проект!K$333*CHOOSE(Проект!$D$333,1,Параметры!K$53,Параметры!K$59)/Параметры!K$64</f>
        <v>0</v>
      </c>
      <c r="L37" s="344">
        <f ca="1">Проект!L$333*CHOOSE(Проект!$D$333,1,Параметры!L$53,Параметры!L$59)/Параметры!L$64</f>
        <v>0</v>
      </c>
      <c r="M37" s="344">
        <f ca="1">Проект!M$333*CHOOSE(Проект!$D$333,1,Параметры!M$53,Параметры!M$59)/Параметры!M$64</f>
        <v>47205.464196425397</v>
      </c>
      <c r="N37" s="344">
        <f ca="1">Проект!N$333*CHOOSE(Проект!$D$333,1,Параметры!N$53,Параметры!N$59)/Параметры!N$64</f>
        <v>47435.23918036199</v>
      </c>
      <c r="O37" s="344">
        <f ca="1">Проект!O$333*CHOOSE(Проект!$D$333,1,Параметры!O$53,Параметры!O$59)/Параметры!O$64</f>
        <v>47666.132605651539</v>
      </c>
      <c r="P37" s="344">
        <f ca="1">Проект!P$333*CHOOSE(Проект!$D$333,1,Параметры!P$53,Параметры!P$59)/Параметры!P$64</f>
        <v>47898.149916363902</v>
      </c>
      <c r="Q37" s="344">
        <f ca="1">Проект!Q$333*CHOOSE(Проект!$D$333,1,Параметры!Q$53,Параметры!Q$59)/Параметры!Q$64</f>
        <v>48131.296583068186</v>
      </c>
      <c r="R37" s="344">
        <f ca="1">Проект!R$333*CHOOSE(Проект!$D$333,1,Параметры!R$53,Параметры!R$59)/Параметры!R$64</f>
        <v>48365.578102961794</v>
      </c>
      <c r="S37" s="344">
        <f ca="1">Проект!S$333*CHOOSE(Проект!$D$333,1,Параметры!S$53,Параметры!S$59)/Параметры!S$64</f>
        <v>48601.000000000015</v>
      </c>
      <c r="T37" s="344">
        <f ca="1">Проект!T$333*CHOOSE(Проект!$D$333,1,Параметры!T$53,Параметры!T$59)/Параметры!T$64</f>
        <v>48837.567825026257</v>
      </c>
      <c r="U37" s="344">
        <f ca="1">Проект!U$333*CHOOSE(Проект!$D$333,1,Параметры!U$53,Параметры!U$59)/Параметры!U$64</f>
        <v>49075.287155902945</v>
      </c>
      <c r="V37" s="344">
        <f ca="1">Проект!V$333*CHOOSE(Проект!$D$333,1,Параметры!V$53,Параметры!V$59)/Параметры!V$64</f>
        <v>49314.163597643033</v>
      </c>
      <c r="W37" s="344">
        <f ca="1">Проект!W$333*CHOOSE(Проект!$D$333,1,Параметры!W$53,Параметры!W$59)/Параметры!W$64</f>
        <v>49554.202782542154</v>
      </c>
      <c r="X37" s="344">
        <f ca="1">Проект!X$333*CHOOSE(Проект!$D$333,1,Параметры!X$53,Параметры!X$59)/Параметры!X$64</f>
        <v>49795.410370311445</v>
      </c>
      <c r="Y37" s="344">
        <f ca="1">Проект!Y$333*CHOOSE(Проект!$D$333,1,Параметры!Y$53,Параметры!Y$59)/Параметры!Y$64</f>
        <v>50037.79204821094</v>
      </c>
      <c r="Z37" s="344">
        <f ca="1">Проект!Z$333*CHOOSE(Проект!$D$333,1,Параметры!Z$53,Параметры!Z$59)/Параметры!Z$64</f>
        <v>50281.353531183733</v>
      </c>
      <c r="AA37" s="344">
        <f ca="1">Проект!AA$333*CHOOSE(Проект!$D$333,1,Параметры!AA$53,Параметры!AA$59)/Параметры!AA$64</f>
        <v>50526.100561990657</v>
      </c>
      <c r="AB37" s="344">
        <f ca="1">Проект!AB$333*CHOOSE(Проект!$D$333,1,Параметры!AB$53,Параметры!AB$59)/Параметры!AB$64</f>
        <v>50772.038911345757</v>
      </c>
      <c r="AC37" s="344">
        <f ca="1">Проект!AC$333*CHOOSE(Проект!$D$333,1,Параметры!AC$53,Параметры!AC$59)/Параметры!AC$64</f>
        <v>51019.174378052296</v>
      </c>
      <c r="AD37" s="344">
        <f ca="1">Проект!AD$333*CHOOSE(Проект!$D$333,1,Параметры!AD$53,Параметры!AD$59)/Параметры!AD$64</f>
        <v>51267.512789139524</v>
      </c>
      <c r="AE37" s="344">
        <f ca="1">Проект!AE$333*CHOOSE(Проект!$D$333,1,Параметры!AE$53,Параметры!AE$59)/Параметры!AE$64</f>
        <v>51517.060000000027</v>
      </c>
      <c r="AF37" s="344">
        <f ca="1">Проект!AF$333*CHOOSE(Проект!$D$333,1,Параметры!AF$53,Параметры!AF$59)/Параметры!AF$64</f>
        <v>51767.821894527842</v>
      </c>
      <c r="AG37" s="344">
        <f ca="1">Проект!AG$333*CHOOSE(Проект!$D$333,1,Параметры!AG$53,Параметры!AG$59)/Параметры!AG$64</f>
        <v>52019.804385257128</v>
      </c>
      <c r="AH37" s="344">
        <f ca="1">Проект!AH$333*CHOOSE(Проект!$D$333,1,Параметры!AH$53,Параметры!AH$59)/Параметры!AH$64</f>
        <v>52273.013413501627</v>
      </c>
      <c r="AI37" s="344">
        <f ca="1">Проект!AI$333*CHOOSE(Проект!$D$333,1,Параметры!AI$53,Параметры!AI$59)/Параметры!AI$64</f>
        <v>52527.454949494699</v>
      </c>
      <c r="AJ37" s="344">
        <f ca="1">Проект!AJ$333*CHOOSE(Проект!$D$333,1,Параметры!AJ$53,Параметры!AJ$59)/Параметры!AJ$64</f>
        <v>52783.134992530147</v>
      </c>
      <c r="AK37" s="344">
        <f ca="1">Проект!AK$333*CHOOSE(Проект!$D$333,1,Параметры!AK$53,Параметры!AK$59)/Параметры!AK$64</f>
        <v>53040.059571103615</v>
      </c>
      <c r="AL37" s="344">
        <f ca="1">Проект!AL$333*CHOOSE(Проект!$D$333,1,Параметры!AL$53,Параметры!AL$59)/Параметры!AL$64</f>
        <v>53298.234743054767</v>
      </c>
      <c r="AM37" s="344">
        <f ca="1">Проект!AM$333*CHOOSE(Проект!$D$333,1,Параметры!AM$53,Параметры!AM$59)/Параметры!AM$64</f>
        <v>53557.6665957101</v>
      </c>
      <c r="AN37" s="344">
        <f ca="1">Проект!AN$333*CHOOSE(Проект!$D$333,1,Параметры!AN$53,Параметры!AN$59)/Параметры!AN$64</f>
        <v>53818.361246026507</v>
      </c>
      <c r="AO37" s="344">
        <f ca="1">Проект!AO$333*CHOOSE(Проект!$D$333,1,Параметры!AO$53,Параметры!AO$59)/Параметры!AO$64</f>
        <v>54080.32484073544</v>
      </c>
      <c r="AP37" s="344">
        <f ca="1">Проект!AP$333*CHOOSE(Проект!$D$333,1,Параметры!AP$53,Параметры!AP$59)/Параметры!AP$64</f>
        <v>54343.563556487905</v>
      </c>
      <c r="AQ37" s="344">
        <f ca="1">Проект!AQ$333*CHOOSE(Проект!$D$333,1,Параметры!AQ$53,Параметры!AQ$59)/Параметры!AQ$64</f>
        <v>54608.083600000042</v>
      </c>
      <c r="AR37" s="344">
        <f ca="1">Проект!AR$333*CHOOSE(Проект!$D$333,1,Параметры!AR$53,Параметры!AR$59)/Параметры!AR$64</f>
        <v>54873.891208199515</v>
      </c>
      <c r="AS37" s="344">
        <f ca="1">Проект!AS$333*CHOOSE(Проект!$D$333,1,Параметры!AS$53,Параметры!AS$59)/Параметры!AS$64</f>
        <v>55140.992648372558</v>
      </c>
      <c r="AT37" s="344">
        <f ca="1">Проект!AT$333*CHOOSE(Проект!$D$333,1,Параметры!AT$53,Параметры!AT$59)/Параметры!AT$64</f>
        <v>55409.394218311718</v>
      </c>
      <c r="AU37" s="344">
        <f ca="1">Проект!AU$333*CHOOSE(Проект!$D$333,1,Параметры!AU$53,Параметры!AU$59)/Параметры!AU$64</f>
        <v>55679.102246464376</v>
      </c>
      <c r="AV37" s="344">
        <f ca="1">Проект!AV$333*CHOOSE(Проект!$D$333,1,Параметры!AV$53,Параметры!AV$59)/Параметры!AV$64</f>
        <v>55950.123092081951</v>
      </c>
      <c r="AW37" s="344">
        <f ca="1">Проект!AW$333*CHOOSE(Проект!$D$333,1,Параметры!AW$53,Параметры!AW$59)/Параметры!AW$64</f>
        <v>56222.463145369824</v>
      </c>
      <c r="AX37" s="344">
        <f ca="1">Проект!AX$333*CHOOSE(Проект!$D$333,1,Параметры!AX$53,Параметры!AX$59)/Параметры!AX$64</f>
        <v>56496.128827638051</v>
      </c>
      <c r="AY37" s="344">
        <f ca="1">Проект!AY$333*CHOOSE(Проект!$D$333,1,Параметры!AY$53,Параметры!AY$59)/Параметры!AY$64</f>
        <v>56771.126591452718</v>
      </c>
      <c r="AZ37" s="344">
        <f ca="1">Проект!AZ$333*CHOOSE(Проект!$D$333,1,Параметры!AZ$53,Параметры!AZ$59)/Параметры!AZ$64</f>
        <v>57047.462920788108</v>
      </c>
      <c r="BA37" s="344">
        <f ca="1">Проект!BA$333*CHOOSE(Проект!$D$333,1,Параметры!BA$53,Параметры!BA$59)/Параметры!BA$64</f>
        <v>57325.144331179574</v>
      </c>
      <c r="BB37" s="344">
        <f ca="1">Проект!BB$333*CHOOSE(Проект!$D$333,1,Параметры!BB$53,Параметры!BB$59)/Параметры!BB$64</f>
        <v>57604.177369877172</v>
      </c>
      <c r="BC37" s="348"/>
      <c r="BD37" s="345">
        <f ca="1">SUM(G37:BC37)</f>
        <v>2193938.0549243474</v>
      </c>
    </row>
    <row r="38" spans="1:56" s="346" customFormat="1" x14ac:dyDescent="0.3">
      <c r="A38" s="339" t="str">
        <f>Проект!A$334</f>
        <v>Сотрудник бани</v>
      </c>
      <c r="B38" s="340">
        <f ca="1">BD38</f>
        <v>7522073.331169188</v>
      </c>
      <c r="C38" s="341" t="str">
        <f ca="1">Параметры!C$64</f>
        <v>руб.</v>
      </c>
      <c r="D38" s="342"/>
      <c r="E38" s="343"/>
      <c r="F38" s="343" t="s">
        <v>3517</v>
      </c>
      <c r="G38" s="344">
        <f ca="1">Проект!G$342*CHOOSE(Проект!$D$342,1,Параметры!G$53,Параметры!G$59)/Параметры!G$64</f>
        <v>0</v>
      </c>
      <c r="H38" s="344">
        <f ca="1">Проект!H$342*CHOOSE(Проект!$D$342,1,Параметры!H$53,Параметры!H$59)/Параметры!H$64</f>
        <v>0</v>
      </c>
      <c r="I38" s="344">
        <f ca="1">Проект!I$342*CHOOSE(Проект!$D$342,1,Параметры!I$53,Параметры!I$59)/Параметры!I$64</f>
        <v>0</v>
      </c>
      <c r="J38" s="344">
        <f ca="1">Проект!J$342*CHOOSE(Проект!$D$342,1,Параметры!J$53,Параметры!J$59)/Параметры!J$64</f>
        <v>0</v>
      </c>
      <c r="K38" s="344">
        <f ca="1">Проект!K$342*CHOOSE(Проект!$D$342,1,Параметры!K$53,Параметры!K$59)/Параметры!K$64</f>
        <v>0</v>
      </c>
      <c r="L38" s="344">
        <f ca="1">Проект!L$342*CHOOSE(Проект!$D$342,1,Параметры!L$53,Параметры!L$59)/Параметры!L$64</f>
        <v>0</v>
      </c>
      <c r="M38" s="344">
        <f ca="1">Проект!M$342*CHOOSE(Проект!$D$342,1,Параметры!M$53,Параметры!M$59)/Параметры!M$64</f>
        <v>161847.3058163157</v>
      </c>
      <c r="N38" s="344">
        <f ca="1">Проект!N$342*CHOOSE(Проект!$D$342,1,Параметры!N$53,Параметры!N$59)/Параметры!N$64</f>
        <v>162635.10576124117</v>
      </c>
      <c r="O38" s="344">
        <f ca="1">Проект!O$342*CHOOSE(Проект!$D$342,1,Параметры!O$53,Параметры!O$59)/Параметры!O$64</f>
        <v>163426.74036223389</v>
      </c>
      <c r="P38" s="344">
        <f ca="1">Проект!P$342*CHOOSE(Проект!$D$342,1,Параметры!P$53,Параметры!P$59)/Параметры!P$64</f>
        <v>164222.22828467627</v>
      </c>
      <c r="Q38" s="344">
        <f ca="1">Проект!Q$342*CHOOSE(Проект!$D$342,1,Параметры!Q$53,Параметры!Q$59)/Параметры!Q$64</f>
        <v>165021.58828480524</v>
      </c>
      <c r="R38" s="344">
        <f ca="1">Проект!R$342*CHOOSE(Проект!$D$342,1,Параметры!R$53,Параметры!R$59)/Параметры!R$64</f>
        <v>165824.83921015475</v>
      </c>
      <c r="S38" s="344">
        <f ca="1">Проект!S$342*CHOOSE(Проект!$D$342,1,Параметры!S$53,Параметры!S$59)/Параметры!S$64</f>
        <v>166632.00000000006</v>
      </c>
      <c r="T38" s="344">
        <f ca="1">Проект!T$342*CHOOSE(Проект!$D$342,1,Параметры!T$53,Параметры!T$59)/Параметры!T$64</f>
        <v>167443.0896858043</v>
      </c>
      <c r="U38" s="344">
        <f ca="1">Проект!U$342*CHOOSE(Проект!$D$342,1,Параметры!U$53,Параметры!U$59)/Параметры!U$64</f>
        <v>168258.12739166719</v>
      </c>
      <c r="V38" s="344">
        <f ca="1">Проект!V$342*CHOOSE(Проект!$D$342,1,Параметры!V$53,Параметры!V$59)/Параметры!V$64</f>
        <v>169077.13233477608</v>
      </c>
      <c r="W38" s="344">
        <f ca="1">Проект!W$342*CHOOSE(Проект!$D$342,1,Параметры!W$53,Параметры!W$59)/Параметры!W$64</f>
        <v>169900.12382585881</v>
      </c>
      <c r="X38" s="344">
        <f ca="1">Проект!X$342*CHOOSE(Проект!$D$342,1,Параметры!X$53,Параметры!X$59)/Параметры!X$64</f>
        <v>170727.1212696392</v>
      </c>
      <c r="Y38" s="344">
        <f ca="1">Проект!Y$342*CHOOSE(Проект!$D$342,1,Параметры!Y$53,Параметры!Y$59)/Параметры!Y$64</f>
        <v>171558.14416529462</v>
      </c>
      <c r="Z38" s="344">
        <f ca="1">Проект!Z$342*CHOOSE(Проект!$D$342,1,Параметры!Z$53,Параметры!Z$59)/Параметры!Z$64</f>
        <v>172393.21210691566</v>
      </c>
      <c r="AA38" s="344">
        <f ca="1">Проект!AA$342*CHOOSE(Проект!$D$342,1,Параметры!AA$53,Параметры!AA$59)/Параметры!AA$64</f>
        <v>173232.34478396797</v>
      </c>
      <c r="AB38" s="344">
        <f ca="1">Проект!AB$342*CHOOSE(Проект!$D$342,1,Параметры!AB$53,Параметры!AB$59)/Параметры!AB$64</f>
        <v>174075.56198175688</v>
      </c>
      <c r="AC38" s="344">
        <f ca="1">Проект!AC$342*CHOOSE(Проект!$D$342,1,Параметры!AC$53,Параметры!AC$59)/Параметры!AC$64</f>
        <v>174922.88358189358</v>
      </c>
      <c r="AD38" s="344">
        <f ca="1">Проект!AD$342*CHOOSE(Проект!$D$342,1,Параметры!AD$53,Параметры!AD$59)/Параметры!AD$64</f>
        <v>175774.32956276406</v>
      </c>
      <c r="AE38" s="344">
        <f ca="1">Проект!AE$342*CHOOSE(Проект!$D$342,1,Параметры!AE$53,Параметры!AE$59)/Параметры!AE$64</f>
        <v>176629.9200000001</v>
      </c>
      <c r="AF38" s="344">
        <f ca="1">Проект!AF$342*CHOOSE(Проект!$D$342,1,Параметры!AF$53,Параметры!AF$59)/Параметры!AF$64</f>
        <v>177489.67506695256</v>
      </c>
      <c r="AG38" s="344">
        <f ca="1">Проект!AG$342*CHOOSE(Проект!$D$342,1,Параметры!AG$53,Параметры!AG$59)/Параметры!AG$64</f>
        <v>178353.61503516725</v>
      </c>
      <c r="AH38" s="344">
        <f ca="1">Проект!AH$342*CHOOSE(Проект!$D$342,1,Параметры!AH$53,Параметры!AH$59)/Параметры!AH$64</f>
        <v>179221.7602748627</v>
      </c>
      <c r="AI38" s="344">
        <f ca="1">Проект!AI$342*CHOOSE(Проект!$D$342,1,Параметры!AI$53,Параметры!AI$59)/Параметры!AI$64</f>
        <v>180094.13125541035</v>
      </c>
      <c r="AJ38" s="344">
        <f ca="1">Проект!AJ$342*CHOOSE(Проект!$D$342,1,Параметры!AJ$53,Параметры!AJ$59)/Параметры!AJ$64</f>
        <v>180970.74854581762</v>
      </c>
      <c r="AK38" s="344">
        <f ca="1">Проект!AK$342*CHOOSE(Проект!$D$342,1,Параметры!AK$53,Параметры!AK$59)/Параметры!AK$64</f>
        <v>181851.63281521236</v>
      </c>
      <c r="AL38" s="344">
        <f ca="1">Проект!AL$342*CHOOSE(Проект!$D$342,1,Параметры!AL$53,Параметры!AL$59)/Параметры!AL$64</f>
        <v>182736.80483333056</v>
      </c>
      <c r="AM38" s="344">
        <f ca="1">Проект!AM$342*CHOOSE(Проект!$D$342,1,Параметры!AM$53,Параметры!AM$59)/Параметры!AM$64</f>
        <v>183626.28547100606</v>
      </c>
      <c r="AN38" s="344">
        <f ca="1">Проект!AN$342*CHOOSE(Проект!$D$342,1,Параметры!AN$53,Параметры!AN$59)/Параметры!AN$64</f>
        <v>184520.09570066226</v>
      </c>
      <c r="AO38" s="344">
        <f ca="1">Проект!AO$342*CHOOSE(Проект!$D$342,1,Параметры!AO$53,Параметры!AO$59)/Параметры!AO$64</f>
        <v>185418.25659680722</v>
      </c>
      <c r="AP38" s="344">
        <f ca="1">Проект!AP$342*CHOOSE(Проект!$D$342,1,Параметры!AP$53,Параметры!AP$59)/Параметры!AP$64</f>
        <v>186320.78933652991</v>
      </c>
      <c r="AQ38" s="344">
        <f ca="1">Проект!AQ$342*CHOOSE(Проект!$D$342,1,Параметры!AQ$53,Параметры!AQ$59)/Параметры!AQ$64</f>
        <v>187227.71520000009</v>
      </c>
      <c r="AR38" s="344">
        <f ca="1">Проект!AR$342*CHOOSE(Проект!$D$342,1,Параметры!AR$53,Параметры!AR$59)/Параметры!AR$64</f>
        <v>188139.05557096974</v>
      </c>
      <c r="AS38" s="344">
        <f ca="1">Проект!AS$342*CHOOSE(Проект!$D$342,1,Параметры!AS$53,Параметры!AS$59)/Параметры!AS$64</f>
        <v>189054.83193727731</v>
      </c>
      <c r="AT38" s="344">
        <f ca="1">Проект!AT$342*CHOOSE(Проект!$D$342,1,Параметры!AT$53,Параметры!AT$59)/Параметры!AT$64</f>
        <v>189975.06589135443</v>
      </c>
      <c r="AU38" s="344">
        <f ca="1">Проект!AU$342*CHOOSE(Проект!$D$342,1,Параметры!AU$53,Параметры!AU$59)/Параметры!AU$64</f>
        <v>190899.77913073497</v>
      </c>
      <c r="AV38" s="344">
        <f ca="1">Проект!AV$342*CHOOSE(Проект!$D$342,1,Параметры!AV$53,Параметры!AV$59)/Параметры!AV$64</f>
        <v>191828.99345856666</v>
      </c>
      <c r="AW38" s="344">
        <f ca="1">Проект!AW$342*CHOOSE(Проект!$D$342,1,Параметры!AW$53,Параметры!AW$59)/Параметры!AW$64</f>
        <v>192762.7307841251</v>
      </c>
      <c r="AX38" s="344">
        <f ca="1">Проект!AX$342*CHOOSE(Проект!$D$342,1,Параметры!AX$53,Параметры!AX$59)/Параметры!AX$64</f>
        <v>193701.01312333043</v>
      </c>
      <c r="AY38" s="344">
        <f ca="1">Проект!AY$342*CHOOSE(Проект!$D$342,1,Параметры!AY$53,Параметры!AY$59)/Параметры!AY$64</f>
        <v>194643.86259926646</v>
      </c>
      <c r="AZ38" s="344">
        <f ca="1">Проект!AZ$342*CHOOSE(Проект!$D$342,1,Параметры!AZ$53,Параметры!AZ$59)/Параметры!AZ$64</f>
        <v>195591.30144270207</v>
      </c>
      <c r="BA38" s="344">
        <f ca="1">Проект!BA$342*CHOOSE(Проект!$D$342,1,Параметры!BA$53,Параметры!BA$59)/Параметры!BA$64</f>
        <v>196543.35199261567</v>
      </c>
      <c r="BB38" s="344">
        <f ca="1">Проект!BB$342*CHOOSE(Проект!$D$342,1,Параметры!BB$53,Параметры!BB$59)/Параметры!BB$64</f>
        <v>197500.03669672174</v>
      </c>
      <c r="BC38" s="348"/>
      <c r="BD38" s="345">
        <f ca="1">SUM(G38:BC38)</f>
        <v>7522073.331169188</v>
      </c>
    </row>
    <row r="39" spans="1:56" s="346" customFormat="1" x14ac:dyDescent="0.3">
      <c r="A39" s="339" t="str">
        <f>Проект!A$343</f>
        <v>Сотрудник кухни</v>
      </c>
      <c r="B39" s="340">
        <f ca="1">BD39</f>
        <v>13163628.329546081</v>
      </c>
      <c r="C39" s="341" t="str">
        <f ca="1">Параметры!C$64</f>
        <v>руб.</v>
      </c>
      <c r="D39" s="342"/>
      <c r="E39" s="343"/>
      <c r="F39" s="343" t="s">
        <v>3520</v>
      </c>
      <c r="G39" s="344">
        <f ca="1">Проект!G$351*CHOOSE(Проект!$D$351,1,Параметры!G$53,Параметры!G$59)/Параметры!G$64</f>
        <v>0</v>
      </c>
      <c r="H39" s="344">
        <f ca="1">Проект!H$351*CHOOSE(Проект!$D$351,1,Параметры!H$53,Параметры!H$59)/Параметры!H$64</f>
        <v>0</v>
      </c>
      <c r="I39" s="344">
        <f ca="1">Проект!I$351*CHOOSE(Проект!$D$351,1,Параметры!I$53,Параметры!I$59)/Параметры!I$64</f>
        <v>0</v>
      </c>
      <c r="J39" s="344">
        <f ca="1">Проект!J$351*CHOOSE(Проект!$D$351,1,Параметры!J$53,Параметры!J$59)/Параметры!J$64</f>
        <v>0</v>
      </c>
      <c r="K39" s="344">
        <f ca="1">Проект!K$351*CHOOSE(Проект!$D$351,1,Параметры!K$53,Параметры!K$59)/Параметры!K$64</f>
        <v>0</v>
      </c>
      <c r="L39" s="344">
        <f ca="1">Проект!L$351*CHOOSE(Проект!$D$351,1,Параметры!L$53,Параметры!L$59)/Параметры!L$64</f>
        <v>0</v>
      </c>
      <c r="M39" s="344">
        <f ca="1">Проект!M$351*CHOOSE(Проект!$D$351,1,Параметры!M$53,Параметры!M$59)/Параметры!M$64</f>
        <v>283232.78517855238</v>
      </c>
      <c r="N39" s="344">
        <f ca="1">Проект!N$351*CHOOSE(Проект!$D$351,1,Параметры!N$53,Параметры!N$59)/Параметры!N$64</f>
        <v>284611.43508217193</v>
      </c>
      <c r="O39" s="344">
        <f ca="1">Проект!O$351*CHOOSE(Проект!$D$351,1,Параметры!O$53,Параметры!O$59)/Параметры!O$64</f>
        <v>285996.79563390923</v>
      </c>
      <c r="P39" s="344">
        <f ca="1">Проект!P$351*CHOOSE(Проект!$D$351,1,Параметры!P$53,Параметры!P$59)/Параметры!P$64</f>
        <v>287388.8994981834</v>
      </c>
      <c r="Q39" s="344">
        <f ca="1">Проект!Q$351*CHOOSE(Проект!$D$351,1,Параметры!Q$53,Параметры!Q$59)/Параметры!Q$64</f>
        <v>288787.77949840913</v>
      </c>
      <c r="R39" s="344">
        <f ca="1">Проект!R$351*CHOOSE(Проект!$D$351,1,Параметры!R$53,Параметры!R$59)/Параметры!R$64</f>
        <v>290193.46861777076</v>
      </c>
      <c r="S39" s="344">
        <f ca="1">Проект!S$351*CHOOSE(Проект!$D$351,1,Параметры!S$53,Параметры!S$59)/Параметры!S$64</f>
        <v>291606.00000000012</v>
      </c>
      <c r="T39" s="344">
        <f ca="1">Проект!T$351*CHOOSE(Проект!$D$351,1,Параметры!T$53,Параметры!T$59)/Параметры!T$64</f>
        <v>293025.40695015748</v>
      </c>
      <c r="U39" s="344">
        <f ca="1">Проект!U$351*CHOOSE(Проект!$D$351,1,Параметры!U$53,Параметры!U$59)/Параметры!U$64</f>
        <v>294451.72293541767</v>
      </c>
      <c r="V39" s="344">
        <f ca="1">Проект!V$351*CHOOSE(Проект!$D$351,1,Параметры!V$53,Параметры!V$59)/Параметры!V$64</f>
        <v>295884.98158585816</v>
      </c>
      <c r="W39" s="344">
        <f ca="1">Проект!W$351*CHOOSE(Проект!$D$351,1,Параметры!W$53,Параметры!W$59)/Параметры!W$64</f>
        <v>297325.21669525292</v>
      </c>
      <c r="X39" s="344">
        <f ca="1">Проект!X$351*CHOOSE(Проект!$D$351,1,Параметры!X$53,Параметры!X$59)/Параметры!X$64</f>
        <v>298772.46222186869</v>
      </c>
      <c r="Y39" s="344">
        <f ca="1">Проект!Y$351*CHOOSE(Проект!$D$351,1,Параметры!Y$53,Параметры!Y$59)/Параметры!Y$64</f>
        <v>300226.75228926569</v>
      </c>
      <c r="Z39" s="344">
        <f ca="1">Проект!Z$351*CHOOSE(Проект!$D$351,1,Параметры!Z$53,Параметры!Z$59)/Параметры!Z$64</f>
        <v>301688.1211871024</v>
      </c>
      <c r="AA39" s="344">
        <f ca="1">Проект!AA$351*CHOOSE(Проект!$D$351,1,Параметры!AA$53,Параметры!AA$59)/Параметры!AA$64</f>
        <v>303156.60337194393</v>
      </c>
      <c r="AB39" s="344">
        <f ca="1">Проект!AB$351*CHOOSE(Проект!$D$351,1,Параметры!AB$53,Параметры!AB$59)/Параметры!AB$64</f>
        <v>304632.23346807458</v>
      </c>
      <c r="AC39" s="344">
        <f ca="1">Проект!AC$351*CHOOSE(Проект!$D$351,1,Параметры!AC$53,Параметры!AC$59)/Параметры!AC$64</f>
        <v>306115.04626831377</v>
      </c>
      <c r="AD39" s="344">
        <f ca="1">Проект!AD$351*CHOOSE(Проект!$D$351,1,Параметры!AD$53,Параметры!AD$59)/Параметры!AD$64</f>
        <v>307605.07673483714</v>
      </c>
      <c r="AE39" s="344">
        <f ca="1">Проект!AE$351*CHOOSE(Проект!$D$351,1,Параметры!AE$53,Параметры!AE$59)/Параметры!AE$64</f>
        <v>309102.36000000016</v>
      </c>
      <c r="AF39" s="344">
        <f ca="1">Проект!AF$351*CHOOSE(Проект!$D$351,1,Параметры!AF$53,Параметры!AF$59)/Параметры!AF$64</f>
        <v>310606.93136716704</v>
      </c>
      <c r="AG39" s="344">
        <f ca="1">Проект!AG$351*CHOOSE(Проект!$D$351,1,Параметры!AG$53,Параметры!AG$59)/Параметры!AG$64</f>
        <v>312118.82631154277</v>
      </c>
      <c r="AH39" s="344">
        <f ca="1">Проект!AH$351*CHOOSE(Проект!$D$351,1,Параметры!AH$53,Параметры!AH$59)/Параметры!AH$64</f>
        <v>313638.08048100973</v>
      </c>
      <c r="AI39" s="344">
        <f ca="1">Проект!AI$351*CHOOSE(Проект!$D$351,1,Параметры!AI$53,Параметры!AI$59)/Параметры!AI$64</f>
        <v>315164.72969696822</v>
      </c>
      <c r="AJ39" s="344">
        <f ca="1">Проект!AJ$351*CHOOSE(Проект!$D$351,1,Параметры!AJ$53,Параметры!AJ$59)/Параметры!AJ$64</f>
        <v>316698.80995518086</v>
      </c>
      <c r="AK39" s="344">
        <f ca="1">Проект!AK$351*CHOOSE(Проект!$D$351,1,Параметры!AK$53,Параметры!AK$59)/Параметры!AK$64</f>
        <v>318240.35742662172</v>
      </c>
      <c r="AL39" s="344">
        <f ca="1">Проект!AL$351*CHOOSE(Проект!$D$351,1,Параметры!AL$53,Параметры!AL$59)/Параметры!AL$64</f>
        <v>319789.40845832857</v>
      </c>
      <c r="AM39" s="344">
        <f ca="1">Проект!AM$351*CHOOSE(Проект!$D$351,1,Параметры!AM$53,Параметры!AM$59)/Параметры!AM$64</f>
        <v>321345.99957426061</v>
      </c>
      <c r="AN39" s="344">
        <f ca="1">Проект!AN$351*CHOOSE(Проект!$D$351,1,Параметры!AN$53,Параметры!AN$59)/Параметры!AN$64</f>
        <v>322910.16747615905</v>
      </c>
      <c r="AO39" s="344">
        <f ca="1">Проект!AO$351*CHOOSE(Проект!$D$351,1,Параметры!AO$53,Параметры!AO$59)/Параметры!AO$64</f>
        <v>324481.94904441264</v>
      </c>
      <c r="AP39" s="344">
        <f ca="1">Проект!AP$351*CHOOSE(Проект!$D$351,1,Параметры!AP$53,Параметры!AP$59)/Параметры!AP$64</f>
        <v>326061.38133892743</v>
      </c>
      <c r="AQ39" s="344">
        <f ca="1">Проект!AQ$351*CHOOSE(Проект!$D$351,1,Параметры!AQ$53,Параметры!AQ$59)/Параметры!AQ$64</f>
        <v>327648.50160000019</v>
      </c>
      <c r="AR39" s="344">
        <f ca="1">Проект!AR$351*CHOOSE(Проект!$D$351,1,Параметры!AR$53,Параметры!AR$59)/Параметры!AR$64</f>
        <v>329243.34724919708</v>
      </c>
      <c r="AS39" s="344">
        <f ca="1">Проект!AS$351*CHOOSE(Проект!$D$351,1,Параметры!AS$53,Параметры!AS$59)/Параметры!AS$64</f>
        <v>330845.95589023532</v>
      </c>
      <c r="AT39" s="344">
        <f ca="1">Проект!AT$351*CHOOSE(Проект!$D$351,1,Параметры!AT$53,Параметры!AT$59)/Параметры!AT$64</f>
        <v>332456.36530987034</v>
      </c>
      <c r="AU39" s="344">
        <f ca="1">Проект!AU$351*CHOOSE(Проект!$D$351,1,Параметры!AU$53,Параметры!AU$59)/Параметры!AU$64</f>
        <v>334074.61347878625</v>
      </c>
      <c r="AV39" s="344">
        <f ca="1">Проект!AV$351*CHOOSE(Проект!$D$351,1,Параметры!AV$53,Параметры!AV$59)/Параметры!AV$64</f>
        <v>335700.73855249165</v>
      </c>
      <c r="AW39" s="344">
        <f ca="1">Проект!AW$351*CHOOSE(Проект!$D$351,1,Параметры!AW$53,Параметры!AW$59)/Параметры!AW$64</f>
        <v>337334.77887221897</v>
      </c>
      <c r="AX39" s="344">
        <f ca="1">Проект!AX$351*CHOOSE(Проект!$D$351,1,Параметры!AX$53,Параметры!AX$59)/Параметры!AX$64</f>
        <v>338976.77296582831</v>
      </c>
      <c r="AY39" s="344">
        <f ca="1">Проект!AY$351*CHOOSE(Проект!$D$351,1,Параметры!AY$53,Параметры!AY$59)/Параметры!AY$64</f>
        <v>340626.75954871631</v>
      </c>
      <c r="AZ39" s="344">
        <f ca="1">Проект!AZ$351*CHOOSE(Проект!$D$351,1,Параметры!AZ$53,Параметры!AZ$59)/Параметры!AZ$64</f>
        <v>342284.77752472862</v>
      </c>
      <c r="BA39" s="344">
        <f ca="1">Проект!BA$351*CHOOSE(Проект!$D$351,1,Параметры!BA$53,Параметры!BA$59)/Параметры!BA$64</f>
        <v>343950.86598707747</v>
      </c>
      <c r="BB39" s="344">
        <f ca="1">Проект!BB$351*CHOOSE(Проект!$D$351,1,Параметры!BB$53,Параметры!BB$59)/Параметры!BB$64</f>
        <v>345625.06421926303</v>
      </c>
      <c r="BC39" s="348"/>
      <c r="BD39" s="345">
        <f ca="1">SUM(G39:BC39)</f>
        <v>13163628.329546081</v>
      </c>
    </row>
    <row r="40" spans="1:56" x14ac:dyDescent="0.3">
      <c r="A40" s="9"/>
      <c r="B40" s="136"/>
      <c r="D40" s="11"/>
      <c r="E40" s="11"/>
      <c r="G40" s="132"/>
      <c r="H40" s="132"/>
      <c r="I40" s="132"/>
      <c r="J40" s="132"/>
      <c r="K40" s="132"/>
      <c r="L40" s="132"/>
      <c r="M40" s="132"/>
      <c r="N40" s="132"/>
      <c r="O40" s="132"/>
      <c r="P40" s="132"/>
      <c r="Q40" s="132"/>
      <c r="R40" s="132"/>
      <c r="S40" s="132"/>
      <c r="T40" s="132"/>
      <c r="U40" s="132"/>
      <c r="V40" s="132"/>
      <c r="W40" s="132"/>
      <c r="X40" s="132"/>
      <c r="Y40" s="132"/>
      <c r="Z40" s="132"/>
      <c r="AA40" s="132"/>
      <c r="AB40" s="132"/>
      <c r="AC40" s="132"/>
      <c r="AD40" s="132"/>
      <c r="AE40" s="132"/>
      <c r="AF40" s="132"/>
      <c r="AG40" s="132"/>
      <c r="AH40" s="132"/>
      <c r="AI40" s="132"/>
      <c r="AJ40" s="132"/>
      <c r="AK40" s="132"/>
      <c r="AL40" s="132"/>
      <c r="AM40" s="132"/>
      <c r="AN40" s="132"/>
      <c r="AO40" s="132"/>
      <c r="AP40" s="132"/>
      <c r="AQ40" s="132"/>
      <c r="AR40" s="132"/>
      <c r="AS40" s="132"/>
      <c r="AT40" s="132"/>
      <c r="AU40" s="132"/>
      <c r="AV40" s="132"/>
      <c r="AW40" s="132"/>
      <c r="AX40" s="132"/>
      <c r="AY40" s="132"/>
      <c r="AZ40" s="132"/>
      <c r="BA40" s="132"/>
      <c r="BB40" s="132"/>
      <c r="BC40" s="74"/>
      <c r="BD40" s="57"/>
    </row>
    <row r="41" spans="1:56" s="34" customFormat="1" x14ac:dyDescent="0.3">
      <c r="A41" s="138" t="str">
        <f ca="1">Language!A$708</f>
        <v>Административный персонал</v>
      </c>
      <c r="B41" s="137">
        <f t="shared" ref="B41:B45" ca="1" si="11">BD41</f>
        <v>12223369.163149931</v>
      </c>
      <c r="C41" s="100" t="str">
        <f ca="1">Параметры!$C$64</f>
        <v>руб.</v>
      </c>
      <c r="D41" s="139">
        <v>0</v>
      </c>
      <c r="E41" s="6" t="s">
        <v>2325</v>
      </c>
      <c r="F41" s="6" t="s">
        <v>3521</v>
      </c>
      <c r="G41" s="58">
        <f t="shared" ref="G41:BB41" ca="1" si="12">SUM(G42:G44)</f>
        <v>0</v>
      </c>
      <c r="H41" s="58">
        <f t="shared" ca="1" si="12"/>
        <v>0</v>
      </c>
      <c r="I41" s="58">
        <f t="shared" ca="1" si="12"/>
        <v>0</v>
      </c>
      <c r="J41" s="58">
        <f t="shared" ca="1" si="12"/>
        <v>0</v>
      </c>
      <c r="K41" s="58">
        <f t="shared" ca="1" si="12"/>
        <v>0</v>
      </c>
      <c r="L41" s="58">
        <f t="shared" ca="1" si="12"/>
        <v>0</v>
      </c>
      <c r="M41" s="58">
        <f t="shared" ca="1" si="12"/>
        <v>263001.87195151293</v>
      </c>
      <c r="N41" s="58">
        <f t="shared" ca="1" si="12"/>
        <v>264282.04686201678</v>
      </c>
      <c r="O41" s="58">
        <f t="shared" ca="1" si="12"/>
        <v>265568.45308863011</v>
      </c>
      <c r="P41" s="58">
        <f t="shared" ca="1" si="12"/>
        <v>266861.12096259888</v>
      </c>
      <c r="Q41" s="58">
        <f t="shared" ca="1" si="12"/>
        <v>268160.08096280851</v>
      </c>
      <c r="R41" s="58">
        <f t="shared" ca="1" si="12"/>
        <v>269465.36371650151</v>
      </c>
      <c r="S41" s="58">
        <f t="shared" ca="1" si="12"/>
        <v>270777.00000000012</v>
      </c>
      <c r="T41" s="58">
        <f t="shared" ca="1" si="12"/>
        <v>272095.02073943196</v>
      </c>
      <c r="U41" s="58">
        <f t="shared" ca="1" si="12"/>
        <v>273419.45701145922</v>
      </c>
      <c r="V41" s="58">
        <f t="shared" ca="1" si="12"/>
        <v>274750.34004401119</v>
      </c>
      <c r="W41" s="58">
        <f t="shared" ca="1" si="12"/>
        <v>276087.70121702063</v>
      </c>
      <c r="X41" s="58">
        <f t="shared" ca="1" si="12"/>
        <v>277431.5720631638</v>
      </c>
      <c r="Y41" s="58">
        <f t="shared" ca="1" si="12"/>
        <v>278781.98426860385</v>
      </c>
      <c r="Z41" s="58">
        <f t="shared" ca="1" si="12"/>
        <v>280138.96967373788</v>
      </c>
      <c r="AA41" s="58">
        <f t="shared" ca="1" si="12"/>
        <v>281502.56027394801</v>
      </c>
      <c r="AB41" s="58">
        <f t="shared" ca="1" si="12"/>
        <v>282872.78822035494</v>
      </c>
      <c r="AC41" s="58">
        <f t="shared" ca="1" si="12"/>
        <v>284249.68582057708</v>
      </c>
      <c r="AD41" s="58">
        <f t="shared" ca="1" si="12"/>
        <v>285633.28553949157</v>
      </c>
      <c r="AE41" s="58">
        <f t="shared" ca="1" si="12"/>
        <v>287023.62000000011</v>
      </c>
      <c r="AF41" s="58">
        <f t="shared" ca="1" si="12"/>
        <v>288420.72198379796</v>
      </c>
      <c r="AG41" s="58">
        <f t="shared" ca="1" si="12"/>
        <v>289824.62443214684</v>
      </c>
      <c r="AH41" s="58">
        <f t="shared" ca="1" si="12"/>
        <v>291235.36044665187</v>
      </c>
      <c r="AI41" s="58">
        <f t="shared" ca="1" si="12"/>
        <v>292652.96329004189</v>
      </c>
      <c r="AJ41" s="58">
        <f t="shared" ca="1" si="12"/>
        <v>294077.4663869536</v>
      </c>
      <c r="AK41" s="58">
        <f t="shared" ca="1" si="12"/>
        <v>295508.9033247201</v>
      </c>
      <c r="AL41" s="58">
        <f t="shared" ca="1" si="12"/>
        <v>296947.30785416224</v>
      </c>
      <c r="AM41" s="58">
        <f t="shared" ca="1" si="12"/>
        <v>298392.71389038488</v>
      </c>
      <c r="AN41" s="58">
        <f t="shared" ca="1" si="12"/>
        <v>299845.15551357623</v>
      </c>
      <c r="AO41" s="58">
        <f t="shared" ca="1" si="12"/>
        <v>301304.66696981172</v>
      </c>
      <c r="AP41" s="58">
        <f t="shared" ca="1" si="12"/>
        <v>302771.28267186112</v>
      </c>
      <c r="AQ41" s="58">
        <f t="shared" ca="1" si="12"/>
        <v>304245.0372000002</v>
      </c>
      <c r="AR41" s="58">
        <f t="shared" ca="1" si="12"/>
        <v>305725.96530282591</v>
      </c>
      <c r="AS41" s="58">
        <f t="shared" ca="1" si="12"/>
        <v>307214.10189807572</v>
      </c>
      <c r="AT41" s="58">
        <f t="shared" ca="1" si="12"/>
        <v>308709.48207345104</v>
      </c>
      <c r="AU41" s="58">
        <f t="shared" ca="1" si="12"/>
        <v>310212.14108744438</v>
      </c>
      <c r="AV41" s="58">
        <f t="shared" ca="1" si="12"/>
        <v>311722.11437017092</v>
      </c>
      <c r="AW41" s="58">
        <f t="shared" ca="1" si="12"/>
        <v>313239.43752420339</v>
      </c>
      <c r="AX41" s="58">
        <f t="shared" ca="1" si="12"/>
        <v>314764.14632541203</v>
      </c>
      <c r="AY41" s="58">
        <f t="shared" ca="1" si="12"/>
        <v>316296.27672380803</v>
      </c>
      <c r="AZ41" s="58">
        <f t="shared" ca="1" si="12"/>
        <v>317835.86484439089</v>
      </c>
      <c r="BA41" s="58">
        <f t="shared" ca="1" si="12"/>
        <v>319382.94698800048</v>
      </c>
      <c r="BB41" s="58">
        <f t="shared" ca="1" si="12"/>
        <v>320937.55963217287</v>
      </c>
      <c r="BC41" s="145"/>
      <c r="BD41" s="76">
        <f ca="1">SUM(G41:BC41)</f>
        <v>12223369.163149931</v>
      </c>
    </row>
    <row r="42" spans="1:56" s="346" customFormat="1" x14ac:dyDescent="0.3">
      <c r="A42" s="339" t="str">
        <f>Проект!A$355</f>
        <v>Управляющий</v>
      </c>
      <c r="B42" s="340">
        <f ca="1">BD42</f>
        <v>3761036.665584594</v>
      </c>
      <c r="C42" s="341" t="str">
        <f ca="1">Параметры!C$64</f>
        <v>руб.</v>
      </c>
      <c r="D42" s="342"/>
      <c r="E42" s="343"/>
      <c r="F42" s="343" t="s">
        <v>3436</v>
      </c>
      <c r="G42" s="344">
        <f ca="1">Проект!G$363*CHOOSE(Проект!$D$363,1,Параметры!G$53,Параметры!G$59)/Параметры!G$64</f>
        <v>0</v>
      </c>
      <c r="H42" s="344">
        <f ca="1">Проект!H$363*CHOOSE(Проект!$D$363,1,Параметры!H$53,Параметры!H$59)/Параметры!H$64</f>
        <v>0</v>
      </c>
      <c r="I42" s="344">
        <f ca="1">Проект!I$363*CHOOSE(Проект!$D$363,1,Параметры!I$53,Параметры!I$59)/Параметры!I$64</f>
        <v>0</v>
      </c>
      <c r="J42" s="344">
        <f ca="1">Проект!J$363*CHOOSE(Проект!$D$363,1,Параметры!J$53,Параметры!J$59)/Параметры!J$64</f>
        <v>0</v>
      </c>
      <c r="K42" s="344">
        <f ca="1">Проект!K$363*CHOOSE(Проект!$D$363,1,Параметры!K$53,Параметры!K$59)/Параметры!K$64</f>
        <v>0</v>
      </c>
      <c r="L42" s="344">
        <f ca="1">Проект!L$363*CHOOSE(Проект!$D$363,1,Параметры!L$53,Параметры!L$59)/Параметры!L$64</f>
        <v>0</v>
      </c>
      <c r="M42" s="344">
        <f ca="1">Проект!M$363*CHOOSE(Проект!$D$363,1,Параметры!M$53,Параметры!M$59)/Параметры!M$64</f>
        <v>80923.652908157819</v>
      </c>
      <c r="N42" s="344">
        <f ca="1">Проект!N$363*CHOOSE(Проект!$D$363,1,Параметры!N$53,Параметры!N$59)/Параметры!N$64</f>
        <v>81317.552880620555</v>
      </c>
      <c r="O42" s="344">
        <f ca="1">Проект!O$363*CHOOSE(Проект!$D$363,1,Параметры!O$53,Параметры!O$59)/Параметры!O$64</f>
        <v>81713.370181116945</v>
      </c>
      <c r="P42" s="344">
        <f ca="1">Проект!P$363*CHOOSE(Проект!$D$363,1,Параметры!P$53,Параметры!P$59)/Параметры!P$64</f>
        <v>82111.11414233812</v>
      </c>
      <c r="Q42" s="344">
        <f ca="1">Проект!Q$363*CHOOSE(Проект!$D$363,1,Параметры!Q$53,Параметры!Q$59)/Параметры!Q$64</f>
        <v>82510.794142402607</v>
      </c>
      <c r="R42" s="344">
        <f ca="1">Проект!R$363*CHOOSE(Проект!$D$363,1,Параметры!R$53,Параметры!R$59)/Параметры!R$64</f>
        <v>82912.419605077361</v>
      </c>
      <c r="S42" s="344">
        <f ca="1">Проект!S$363*CHOOSE(Проект!$D$363,1,Параметры!S$53,Параметры!S$59)/Параметры!S$64</f>
        <v>83316.000000000029</v>
      </c>
      <c r="T42" s="344">
        <f ca="1">Проект!T$363*CHOOSE(Проект!$D$363,1,Параметры!T$53,Параметры!T$59)/Параметры!T$64</f>
        <v>83721.544842902134</v>
      </c>
      <c r="U42" s="344">
        <f ca="1">Проект!U$363*CHOOSE(Проект!$D$363,1,Параметры!U$53,Параметры!U$59)/Параметры!U$64</f>
        <v>84129.063695833596</v>
      </c>
      <c r="V42" s="344">
        <f ca="1">Проект!V$363*CHOOSE(Проект!$D$363,1,Параметры!V$53,Параметры!V$59)/Параметры!V$64</f>
        <v>84538.566167388024</v>
      </c>
      <c r="W42" s="344">
        <f ca="1">Проект!W$363*CHOOSE(Проект!$D$363,1,Параметры!W$53,Параметры!W$59)/Параметры!W$64</f>
        <v>84950.061912929406</v>
      </c>
      <c r="X42" s="344">
        <f ca="1">Проект!X$363*CHOOSE(Проект!$D$363,1,Параметры!X$53,Параметры!X$59)/Параметры!X$64</f>
        <v>85363.560634819602</v>
      </c>
      <c r="Y42" s="344">
        <f ca="1">Проект!Y$363*CHOOSE(Проект!$D$363,1,Параметры!Y$53,Параметры!Y$59)/Параметры!Y$64</f>
        <v>85779.072082647312</v>
      </c>
      <c r="Z42" s="344">
        <f ca="1">Проект!Z$363*CHOOSE(Проект!$D$363,1,Параметры!Z$53,Параметры!Z$59)/Параметры!Z$64</f>
        <v>86196.606053457799</v>
      </c>
      <c r="AA42" s="344">
        <f ca="1">Проект!AA$363*CHOOSE(Проект!$D$363,1,Параметры!AA$53,Параметры!AA$59)/Параметры!AA$64</f>
        <v>86616.172391983971</v>
      </c>
      <c r="AB42" s="344">
        <f ca="1">Проект!AB$363*CHOOSE(Проект!$D$363,1,Параметры!AB$53,Параметры!AB$59)/Параметры!AB$64</f>
        <v>87037.780990878411</v>
      </c>
      <c r="AC42" s="344">
        <f ca="1">Проект!AC$363*CHOOSE(Проект!$D$363,1,Параметры!AC$53,Параметры!AC$59)/Параметры!AC$64</f>
        <v>87461.441790946774</v>
      </c>
      <c r="AD42" s="344">
        <f ca="1">Проект!AD$363*CHOOSE(Проект!$D$363,1,Параметры!AD$53,Параметры!AD$59)/Параметры!AD$64</f>
        <v>87887.164781382016</v>
      </c>
      <c r="AE42" s="344">
        <f ca="1">Проект!AE$363*CHOOSE(Проект!$D$363,1,Параметры!AE$53,Параметры!AE$59)/Параметры!AE$64</f>
        <v>88314.960000000021</v>
      </c>
      <c r="AF42" s="344">
        <f ca="1">Проект!AF$363*CHOOSE(Проект!$D$363,1,Параметры!AF$53,Параметры!AF$59)/Параметры!AF$64</f>
        <v>88744.837533476268</v>
      </c>
      <c r="AG42" s="344">
        <f ca="1">Проект!AG$363*CHOOSE(Проект!$D$363,1,Параметры!AG$53,Параметры!AG$59)/Параметры!AG$64</f>
        <v>89176.807517583613</v>
      </c>
      <c r="AH42" s="344">
        <f ca="1">Проект!AH$363*CHOOSE(Проект!$D$363,1,Параметры!AH$53,Параметры!AH$59)/Параметры!AH$64</f>
        <v>89610.880137431319</v>
      </c>
      <c r="AI42" s="344">
        <f ca="1">Проект!AI$363*CHOOSE(Проект!$D$363,1,Параметры!AI$53,Параметры!AI$59)/Параметры!AI$64</f>
        <v>90047.065627705175</v>
      </c>
      <c r="AJ42" s="344">
        <f ca="1">Проект!AJ$363*CHOOSE(Проект!$D$363,1,Параметры!AJ$53,Параметры!AJ$59)/Параметры!AJ$64</f>
        <v>90485.374272908783</v>
      </c>
      <c r="AK42" s="344">
        <f ca="1">Проект!AK$363*CHOOSE(Проект!$D$363,1,Параметры!AK$53,Параметры!AK$59)/Параметры!AK$64</f>
        <v>90925.816407606166</v>
      </c>
      <c r="AL42" s="344">
        <f ca="1">Проект!AL$363*CHOOSE(Проект!$D$363,1,Параметры!AL$53,Параметры!AL$59)/Параметры!AL$64</f>
        <v>91368.402416665282</v>
      </c>
      <c r="AM42" s="344">
        <f ca="1">Проект!AM$363*CHOOSE(Проект!$D$363,1,Параметры!AM$53,Параметры!AM$59)/Параметры!AM$64</f>
        <v>91813.142735503017</v>
      </c>
      <c r="AN42" s="344">
        <f ca="1">Проект!AN$363*CHOOSE(Проект!$D$363,1,Параметры!AN$53,Параметры!AN$59)/Параметры!AN$64</f>
        <v>92260.047850331131</v>
      </c>
      <c r="AO42" s="344">
        <f ca="1">Проект!AO$363*CHOOSE(Проект!$D$363,1,Параметры!AO$53,Параметры!AO$59)/Параметры!AO$64</f>
        <v>92709.128298403608</v>
      </c>
      <c r="AP42" s="344">
        <f ca="1">Проект!AP$363*CHOOSE(Проект!$D$363,1,Параметры!AP$53,Параметры!AP$59)/Параметры!AP$64</f>
        <v>93160.394668264955</v>
      </c>
      <c r="AQ42" s="344">
        <f ca="1">Проект!AQ$363*CHOOSE(Проект!$D$363,1,Параметры!AQ$53,Параметры!AQ$59)/Параметры!AQ$64</f>
        <v>93613.857600000047</v>
      </c>
      <c r="AR42" s="344">
        <f ca="1">Проект!AR$363*CHOOSE(Проект!$D$363,1,Параметры!AR$53,Параметры!AR$59)/Параметры!AR$64</f>
        <v>94069.527785484883</v>
      </c>
      <c r="AS42" s="344">
        <f ca="1">Проект!AS$363*CHOOSE(Проект!$D$363,1,Параметры!AS$53,Параметры!AS$59)/Параметры!AS$64</f>
        <v>94527.41596863867</v>
      </c>
      <c r="AT42" s="344">
        <f ca="1">Проект!AT$363*CHOOSE(Проект!$D$363,1,Параметры!AT$53,Параметры!AT$59)/Параметры!AT$64</f>
        <v>94987.532945677231</v>
      </c>
      <c r="AU42" s="344">
        <f ca="1">Проект!AU$363*CHOOSE(Проект!$D$363,1,Параметры!AU$53,Параметры!AU$59)/Параметры!AU$64</f>
        <v>95449.889565367514</v>
      </c>
      <c r="AV42" s="344">
        <f ca="1">Проект!AV$363*CHOOSE(Проект!$D$363,1,Параметры!AV$53,Параметры!AV$59)/Параметры!AV$64</f>
        <v>95914.496729283346</v>
      </c>
      <c r="AW42" s="344">
        <f ca="1">Проект!AW$363*CHOOSE(Проект!$D$363,1,Параметры!AW$53,Параметры!AW$59)/Параметры!AW$64</f>
        <v>96381.36539206258</v>
      </c>
      <c r="AX42" s="344">
        <f ca="1">Проект!AX$363*CHOOSE(Проект!$D$363,1,Параметры!AX$53,Параметры!AX$59)/Параметры!AX$64</f>
        <v>96850.506561665243</v>
      </c>
      <c r="AY42" s="344">
        <f ca="1">Проект!AY$363*CHOOSE(Проект!$D$363,1,Параметры!AY$53,Параметры!AY$59)/Параметры!AY$64</f>
        <v>97321.931299633245</v>
      </c>
      <c r="AZ42" s="344">
        <f ca="1">Проект!AZ$363*CHOOSE(Проект!$D$363,1,Параметры!AZ$53,Параметры!AZ$59)/Параметры!AZ$64</f>
        <v>97795.650721351034</v>
      </c>
      <c r="BA42" s="344">
        <f ca="1">Проект!BA$363*CHOOSE(Проект!$D$363,1,Параметры!BA$53,Параметры!BA$59)/Параметры!BA$64</f>
        <v>98271.675996307851</v>
      </c>
      <c r="BB42" s="344">
        <f ca="1">Проект!BB$363*CHOOSE(Проект!$D$363,1,Параметры!BB$53,Параметры!BB$59)/Параметры!BB$64</f>
        <v>98750.018348360885</v>
      </c>
      <c r="BC42" s="348"/>
      <c r="BD42" s="345">
        <f ca="1">SUM(G42:BC42)</f>
        <v>3761036.665584594</v>
      </c>
    </row>
    <row r="43" spans="1:56" s="346" customFormat="1" x14ac:dyDescent="0.3">
      <c r="A43" s="339" t="str">
        <f>Проект!A$364</f>
        <v>Администраторы</v>
      </c>
      <c r="B43" s="340">
        <f ca="1">BD43</f>
        <v>8462332.4975653384</v>
      </c>
      <c r="C43" s="341" t="str">
        <f ca="1">Параметры!C$64</f>
        <v>руб.</v>
      </c>
      <c r="D43" s="342"/>
      <c r="E43" s="343"/>
      <c r="F43" s="343" t="s">
        <v>3440</v>
      </c>
      <c r="G43" s="344">
        <f ca="1">Проект!G$372*CHOOSE(Проект!$D$372,1,Параметры!G$53,Параметры!G$59)/Параметры!G$64</f>
        <v>0</v>
      </c>
      <c r="H43" s="344">
        <f ca="1">Проект!H$372*CHOOSE(Проект!$D$372,1,Параметры!H$53,Параметры!H$59)/Параметры!H$64</f>
        <v>0</v>
      </c>
      <c r="I43" s="344">
        <f ca="1">Проект!I$372*CHOOSE(Проект!$D$372,1,Параметры!I$53,Параметры!I$59)/Параметры!I$64</f>
        <v>0</v>
      </c>
      <c r="J43" s="344">
        <f ca="1">Проект!J$372*CHOOSE(Проект!$D$372,1,Параметры!J$53,Параметры!J$59)/Параметры!J$64</f>
        <v>0</v>
      </c>
      <c r="K43" s="344">
        <f ca="1">Проект!K$372*CHOOSE(Проект!$D$372,1,Параметры!K$53,Параметры!K$59)/Параметры!K$64</f>
        <v>0</v>
      </c>
      <c r="L43" s="344">
        <f ca="1">Проект!L$372*CHOOSE(Проект!$D$372,1,Параметры!L$53,Параметры!L$59)/Параметры!L$64</f>
        <v>0</v>
      </c>
      <c r="M43" s="344">
        <f ca="1">Проект!M$372*CHOOSE(Проект!$D$372,1,Параметры!M$53,Параметры!M$59)/Параметры!M$64</f>
        <v>182078.21904335511</v>
      </c>
      <c r="N43" s="344">
        <f ca="1">Проект!N$372*CHOOSE(Проект!$D$372,1,Параметры!N$53,Параметры!N$59)/Параметры!N$64</f>
        <v>182964.49398139626</v>
      </c>
      <c r="O43" s="344">
        <f ca="1">Проект!O$372*CHOOSE(Проект!$D$372,1,Параметры!O$53,Параметры!O$59)/Параметры!O$64</f>
        <v>183855.08290751313</v>
      </c>
      <c r="P43" s="344">
        <f ca="1">Проект!P$372*CHOOSE(Проект!$D$372,1,Параметры!P$53,Параметры!P$59)/Параметры!P$64</f>
        <v>184750.00682026078</v>
      </c>
      <c r="Q43" s="344">
        <f ca="1">Проект!Q$372*CHOOSE(Проект!$D$372,1,Параметры!Q$53,Параметры!Q$59)/Параметры!Q$64</f>
        <v>185649.28682040589</v>
      </c>
      <c r="R43" s="344">
        <f ca="1">Проект!R$372*CHOOSE(Проект!$D$372,1,Параметры!R$53,Параметры!R$59)/Параметры!R$64</f>
        <v>186552.94411142412</v>
      </c>
      <c r="S43" s="344">
        <f ca="1">Проект!S$372*CHOOSE(Проект!$D$372,1,Параметры!S$53,Параметры!S$59)/Параметры!S$64</f>
        <v>187461.00000000009</v>
      </c>
      <c r="T43" s="344">
        <f ca="1">Проект!T$372*CHOOSE(Проект!$D$372,1,Параметры!T$53,Параметры!T$59)/Параметры!T$64</f>
        <v>188373.47589652985</v>
      </c>
      <c r="U43" s="344">
        <f ca="1">Проект!U$372*CHOOSE(Проект!$D$372,1,Параметры!U$53,Параметры!U$59)/Параметры!U$64</f>
        <v>189290.39331562564</v>
      </c>
      <c r="V43" s="344">
        <f ca="1">Проект!V$372*CHOOSE(Проект!$D$372,1,Параметры!V$53,Параметры!V$59)/Параметры!V$64</f>
        <v>190211.77387662316</v>
      </c>
      <c r="W43" s="344">
        <f ca="1">Проект!W$372*CHOOSE(Проект!$D$372,1,Параметры!W$53,Параметры!W$59)/Параметры!W$64</f>
        <v>191137.63930409125</v>
      </c>
      <c r="X43" s="344">
        <f ca="1">Проект!X$372*CHOOSE(Проект!$D$372,1,Параметры!X$53,Параметры!X$59)/Параметры!X$64</f>
        <v>192068.01142834418</v>
      </c>
      <c r="Y43" s="344">
        <f ca="1">Проект!Y$372*CHOOSE(Проект!$D$372,1,Параметры!Y$53,Параметры!Y$59)/Параметры!Y$64</f>
        <v>193002.91218595655</v>
      </c>
      <c r="Z43" s="344">
        <f ca="1">Проект!Z$372*CHOOSE(Проект!$D$372,1,Параметры!Z$53,Параметры!Z$59)/Параметры!Z$64</f>
        <v>193942.36362028011</v>
      </c>
      <c r="AA43" s="344">
        <f ca="1">Проект!AA$372*CHOOSE(Проект!$D$372,1,Параметры!AA$53,Параметры!AA$59)/Параметры!AA$64</f>
        <v>194886.38788196401</v>
      </c>
      <c r="AB43" s="344">
        <f ca="1">Проект!AB$372*CHOOSE(Проект!$D$372,1,Параметры!AB$53,Параметры!AB$59)/Параметры!AB$64</f>
        <v>195835.0072294765</v>
      </c>
      <c r="AC43" s="344">
        <f ca="1">Проект!AC$372*CHOOSE(Проект!$D$372,1,Параметры!AC$53,Параметры!AC$59)/Параметры!AC$64</f>
        <v>196788.24402963032</v>
      </c>
      <c r="AD43" s="344">
        <f ca="1">Проект!AD$372*CHOOSE(Проект!$D$372,1,Параметры!AD$53,Параметры!AD$59)/Параметры!AD$64</f>
        <v>197746.12075810958</v>
      </c>
      <c r="AE43" s="344">
        <f ca="1">Проект!AE$372*CHOOSE(Проект!$D$372,1,Параметры!AE$53,Параметры!AE$59)/Параметры!AE$64</f>
        <v>198708.66000000012</v>
      </c>
      <c r="AF43" s="344">
        <f ca="1">Проект!AF$372*CHOOSE(Проект!$D$372,1,Параметры!AF$53,Параметры!AF$59)/Параметры!AF$64</f>
        <v>199675.8844503217</v>
      </c>
      <c r="AG43" s="344">
        <f ca="1">Проект!AG$372*CHOOSE(Проект!$D$372,1,Параметры!AG$53,Параметры!AG$59)/Параметры!AG$64</f>
        <v>200647.81691456324</v>
      </c>
      <c r="AH43" s="344">
        <f ca="1">Проект!AH$372*CHOOSE(Проект!$D$372,1,Параметры!AH$53,Параметры!AH$59)/Параметры!AH$64</f>
        <v>201624.48030922055</v>
      </c>
      <c r="AI43" s="344">
        <f ca="1">Проект!AI$372*CHOOSE(Проект!$D$372,1,Параметры!AI$53,Параметры!AI$59)/Параметры!AI$64</f>
        <v>202605.89766233671</v>
      </c>
      <c r="AJ43" s="344">
        <f ca="1">Проект!AJ$372*CHOOSE(Проект!$D$372,1,Параметры!AJ$53,Параметры!AJ$59)/Параметры!AJ$64</f>
        <v>203592.09211404482</v>
      </c>
      <c r="AK43" s="344">
        <f ca="1">Проект!AK$372*CHOOSE(Проект!$D$372,1,Параметры!AK$53,Параметры!AK$59)/Параметры!AK$64</f>
        <v>204583.08691711392</v>
      </c>
      <c r="AL43" s="344">
        <f ca="1">Проект!AL$372*CHOOSE(Проект!$D$372,1,Параметры!AL$53,Параметры!AL$59)/Параметры!AL$64</f>
        <v>205578.90543749696</v>
      </c>
      <c r="AM43" s="344">
        <f ca="1">Проект!AM$372*CHOOSE(Проект!$D$372,1,Параметры!AM$53,Параметры!AM$59)/Параметры!AM$64</f>
        <v>206579.57115488185</v>
      </c>
      <c r="AN43" s="344">
        <f ca="1">Проект!AN$372*CHOOSE(Проект!$D$372,1,Параметры!AN$53,Параметры!AN$59)/Параметры!AN$64</f>
        <v>207585.10766324511</v>
      </c>
      <c r="AO43" s="344">
        <f ca="1">Проект!AO$372*CHOOSE(Проект!$D$372,1,Параметры!AO$53,Параметры!AO$59)/Параметры!AO$64</f>
        <v>208595.53867140811</v>
      </c>
      <c r="AP43" s="344">
        <f ca="1">Проект!AP$372*CHOOSE(Проект!$D$372,1,Параметры!AP$53,Параметры!AP$59)/Параметры!AP$64</f>
        <v>209610.88800359616</v>
      </c>
      <c r="AQ43" s="344">
        <f ca="1">Проект!AQ$372*CHOOSE(Проект!$D$372,1,Параметры!AQ$53,Параметры!AQ$59)/Параметры!AQ$64</f>
        <v>210631.17960000015</v>
      </c>
      <c r="AR43" s="344">
        <f ca="1">Проект!AR$372*CHOOSE(Проект!$D$372,1,Параметры!AR$53,Параметры!AR$59)/Параметры!AR$64</f>
        <v>211656.43751734099</v>
      </c>
      <c r="AS43" s="344">
        <f ca="1">Проект!AS$372*CHOOSE(Проект!$D$372,1,Параметры!AS$53,Параметры!AS$59)/Параметры!AS$64</f>
        <v>212686.68592943705</v>
      </c>
      <c r="AT43" s="344">
        <f ca="1">Проект!AT$372*CHOOSE(Проект!$D$372,1,Параметры!AT$53,Параметры!AT$59)/Параметры!AT$64</f>
        <v>213721.94912777381</v>
      </c>
      <c r="AU43" s="344">
        <f ca="1">Проект!AU$372*CHOOSE(Проект!$D$372,1,Параметры!AU$53,Параметры!AU$59)/Параметры!AU$64</f>
        <v>214762.2515220769</v>
      </c>
      <c r="AV43" s="344">
        <f ca="1">Проект!AV$372*CHOOSE(Проект!$D$372,1,Параметры!AV$53,Параметры!AV$59)/Параметры!AV$64</f>
        <v>215807.61764088756</v>
      </c>
      <c r="AW43" s="344">
        <f ca="1">Проект!AW$372*CHOOSE(Проект!$D$372,1,Параметры!AW$53,Параметры!AW$59)/Параметры!AW$64</f>
        <v>216858.07213214081</v>
      </c>
      <c r="AX43" s="344">
        <f ca="1">Проект!AX$372*CHOOSE(Проект!$D$372,1,Параметры!AX$53,Параметры!AX$59)/Параметры!AX$64</f>
        <v>217913.63976374679</v>
      </c>
      <c r="AY43" s="344">
        <f ca="1">Проект!AY$372*CHOOSE(Проект!$D$372,1,Параметры!AY$53,Параметры!AY$59)/Параметры!AY$64</f>
        <v>218974.3454241748</v>
      </c>
      <c r="AZ43" s="344">
        <f ca="1">Проект!AZ$372*CHOOSE(Проект!$D$372,1,Параметры!AZ$53,Параметры!AZ$59)/Параметры!AZ$64</f>
        <v>220040.21412303986</v>
      </c>
      <c r="BA43" s="344">
        <f ca="1">Проект!BA$372*CHOOSE(Проект!$D$372,1,Параметры!BA$53,Параметры!BA$59)/Параметры!BA$64</f>
        <v>221111.27099169264</v>
      </c>
      <c r="BB43" s="344">
        <f ca="1">Проект!BB$372*CHOOSE(Проект!$D$372,1,Параметры!BB$53,Параметры!BB$59)/Параметры!BB$64</f>
        <v>222187.54128381197</v>
      </c>
      <c r="BC43" s="348"/>
      <c r="BD43" s="345">
        <f ca="1">SUM(G43:BC43)</f>
        <v>8462332.4975653384</v>
      </c>
    </row>
    <row r="44" spans="1:56" x14ac:dyDescent="0.3">
      <c r="A44" s="9"/>
      <c r="B44" s="136"/>
      <c r="D44" s="11"/>
      <c r="E44" s="11"/>
      <c r="G44" s="132"/>
      <c r="H44" s="132"/>
      <c r="I44" s="132"/>
      <c r="J44" s="132"/>
      <c r="K44" s="132"/>
      <c r="L44" s="132"/>
      <c r="M44" s="132"/>
      <c r="N44" s="132"/>
      <c r="O44" s="132"/>
      <c r="P44" s="132"/>
      <c r="Q44" s="132"/>
      <c r="R44" s="132"/>
      <c r="S44" s="132"/>
      <c r="T44" s="132"/>
      <c r="U44" s="132"/>
      <c r="V44" s="132"/>
      <c r="W44" s="132"/>
      <c r="X44" s="132"/>
      <c r="Y44" s="132"/>
      <c r="Z44" s="132"/>
      <c r="AA44" s="132"/>
      <c r="AB44" s="132"/>
      <c r="AC44" s="132"/>
      <c r="AD44" s="132"/>
      <c r="AE44" s="132"/>
      <c r="AF44" s="132"/>
      <c r="AG44" s="132"/>
      <c r="AH44" s="132"/>
      <c r="AI44" s="132"/>
      <c r="AJ44" s="132"/>
      <c r="AK44" s="132"/>
      <c r="AL44" s="132"/>
      <c r="AM44" s="132"/>
      <c r="AN44" s="132"/>
      <c r="AO44" s="132"/>
      <c r="AP44" s="132"/>
      <c r="AQ44" s="132"/>
      <c r="AR44" s="132"/>
      <c r="AS44" s="132"/>
      <c r="AT44" s="132"/>
      <c r="AU44" s="132"/>
      <c r="AV44" s="132"/>
      <c r="AW44" s="132"/>
      <c r="AX44" s="132"/>
      <c r="AY44" s="132"/>
      <c r="AZ44" s="132"/>
      <c r="BA44" s="132"/>
      <c r="BB44" s="132"/>
      <c r="BC44" s="74"/>
      <c r="BD44" s="57"/>
    </row>
    <row r="45" spans="1:56" s="34" customFormat="1" x14ac:dyDescent="0.3">
      <c r="A45" s="138" t="str">
        <f ca="1">Language!A$709</f>
        <v>Коммерческий персонал</v>
      </c>
      <c r="B45" s="137">
        <f t="shared" ca="1" si="11"/>
        <v>2193938.0549243474</v>
      </c>
      <c r="C45" s="100" t="str">
        <f ca="1">Параметры!$C$64</f>
        <v>руб.</v>
      </c>
      <c r="D45" s="11">
        <v>0</v>
      </c>
      <c r="E45" s="6" t="s">
        <v>2326</v>
      </c>
      <c r="F45" s="6" t="s">
        <v>3490</v>
      </c>
      <c r="G45" s="58">
        <f t="shared" ref="G45:AL45" ca="1" si="13">SUM(G46:G47)</f>
        <v>0</v>
      </c>
      <c r="H45" s="58">
        <f t="shared" ca="1" si="13"/>
        <v>0</v>
      </c>
      <c r="I45" s="58">
        <f t="shared" ca="1" si="13"/>
        <v>0</v>
      </c>
      <c r="J45" s="58">
        <f t="shared" ca="1" si="13"/>
        <v>0</v>
      </c>
      <c r="K45" s="58">
        <f t="shared" ca="1" si="13"/>
        <v>0</v>
      </c>
      <c r="L45" s="58">
        <f t="shared" ca="1" si="13"/>
        <v>0</v>
      </c>
      <c r="M45" s="58">
        <f t="shared" ca="1" si="13"/>
        <v>47205.464196425397</v>
      </c>
      <c r="N45" s="58">
        <f t="shared" ca="1" si="13"/>
        <v>47435.23918036199</v>
      </c>
      <c r="O45" s="58">
        <f t="shared" ca="1" si="13"/>
        <v>47666.132605651539</v>
      </c>
      <c r="P45" s="58">
        <f t="shared" ca="1" si="13"/>
        <v>47898.149916363902</v>
      </c>
      <c r="Q45" s="58">
        <f t="shared" ca="1" si="13"/>
        <v>48131.296583068186</v>
      </c>
      <c r="R45" s="58">
        <f t="shared" ca="1" si="13"/>
        <v>48365.578102961794</v>
      </c>
      <c r="S45" s="58">
        <f t="shared" ca="1" si="13"/>
        <v>48601.000000000015</v>
      </c>
      <c r="T45" s="58">
        <f t="shared" ca="1" si="13"/>
        <v>48837.567825026257</v>
      </c>
      <c r="U45" s="58">
        <f t="shared" ca="1" si="13"/>
        <v>49075.287155902945</v>
      </c>
      <c r="V45" s="58">
        <f t="shared" ca="1" si="13"/>
        <v>49314.163597643033</v>
      </c>
      <c r="W45" s="58">
        <f t="shared" ca="1" si="13"/>
        <v>49554.202782542154</v>
      </c>
      <c r="X45" s="58">
        <f t="shared" ca="1" si="13"/>
        <v>49795.410370311445</v>
      </c>
      <c r="Y45" s="58">
        <f t="shared" ca="1" si="13"/>
        <v>50037.79204821094</v>
      </c>
      <c r="Z45" s="58">
        <f t="shared" ca="1" si="13"/>
        <v>50281.353531183733</v>
      </c>
      <c r="AA45" s="58">
        <f t="shared" ca="1" si="13"/>
        <v>50526.100561990657</v>
      </c>
      <c r="AB45" s="58">
        <f t="shared" ca="1" si="13"/>
        <v>50772.038911345757</v>
      </c>
      <c r="AC45" s="58">
        <f t="shared" ca="1" si="13"/>
        <v>51019.174378052296</v>
      </c>
      <c r="AD45" s="58">
        <f t="shared" ca="1" si="13"/>
        <v>51267.512789139524</v>
      </c>
      <c r="AE45" s="58">
        <f t="shared" ca="1" si="13"/>
        <v>51517.060000000027</v>
      </c>
      <c r="AF45" s="58">
        <f t="shared" ca="1" si="13"/>
        <v>51767.821894527842</v>
      </c>
      <c r="AG45" s="58">
        <f t="shared" ca="1" si="13"/>
        <v>52019.804385257128</v>
      </c>
      <c r="AH45" s="58">
        <f t="shared" ca="1" si="13"/>
        <v>52273.013413501627</v>
      </c>
      <c r="AI45" s="58">
        <f t="shared" ca="1" si="13"/>
        <v>52527.454949494699</v>
      </c>
      <c r="AJ45" s="58">
        <f t="shared" ca="1" si="13"/>
        <v>52783.134992530147</v>
      </c>
      <c r="AK45" s="58">
        <f t="shared" ca="1" si="13"/>
        <v>53040.059571103615</v>
      </c>
      <c r="AL45" s="58">
        <f t="shared" ca="1" si="13"/>
        <v>53298.234743054767</v>
      </c>
      <c r="AM45" s="58">
        <f t="shared" ref="AM45:BB45" ca="1" si="14">SUM(AM46:AM47)</f>
        <v>53557.6665957101</v>
      </c>
      <c r="AN45" s="58">
        <f t="shared" ca="1" si="14"/>
        <v>53818.361246026507</v>
      </c>
      <c r="AO45" s="58">
        <f t="shared" ca="1" si="14"/>
        <v>54080.32484073544</v>
      </c>
      <c r="AP45" s="58">
        <f t="shared" ca="1" si="14"/>
        <v>54343.563556487905</v>
      </c>
      <c r="AQ45" s="58">
        <f t="shared" ca="1" si="14"/>
        <v>54608.083600000042</v>
      </c>
      <c r="AR45" s="58">
        <f t="shared" ca="1" si="14"/>
        <v>54873.891208199515</v>
      </c>
      <c r="AS45" s="58">
        <f t="shared" ca="1" si="14"/>
        <v>55140.992648372558</v>
      </c>
      <c r="AT45" s="58">
        <f t="shared" ca="1" si="14"/>
        <v>55409.394218311718</v>
      </c>
      <c r="AU45" s="58">
        <f t="shared" ca="1" si="14"/>
        <v>55679.102246464376</v>
      </c>
      <c r="AV45" s="58">
        <f t="shared" ca="1" si="14"/>
        <v>55950.123092081951</v>
      </c>
      <c r="AW45" s="58">
        <f t="shared" ca="1" si="14"/>
        <v>56222.463145369824</v>
      </c>
      <c r="AX45" s="58">
        <f t="shared" ca="1" si="14"/>
        <v>56496.128827638051</v>
      </c>
      <c r="AY45" s="58">
        <f t="shared" ca="1" si="14"/>
        <v>56771.126591452718</v>
      </c>
      <c r="AZ45" s="58">
        <f t="shared" ca="1" si="14"/>
        <v>57047.462920788108</v>
      </c>
      <c r="BA45" s="58">
        <f t="shared" ca="1" si="14"/>
        <v>57325.144331179574</v>
      </c>
      <c r="BB45" s="58">
        <f t="shared" ca="1" si="14"/>
        <v>57604.177369877172</v>
      </c>
      <c r="BC45" s="145"/>
      <c r="BD45" s="76">
        <f ca="1">SUM(G45:BC45)</f>
        <v>2193938.0549243474</v>
      </c>
    </row>
    <row r="46" spans="1:56" s="346" customFormat="1" x14ac:dyDescent="0.3">
      <c r="A46" s="339" t="str">
        <f>Проект!A$376</f>
        <v>Бухгалтер</v>
      </c>
      <c r="B46" s="340">
        <f ca="1">BD46</f>
        <v>2193938.0549243474</v>
      </c>
      <c r="C46" s="341" t="str">
        <f ca="1">Параметры!C$64</f>
        <v>руб.</v>
      </c>
      <c r="D46" s="342"/>
      <c r="E46" s="343"/>
      <c r="F46" s="343" t="s">
        <v>3443</v>
      </c>
      <c r="G46" s="344">
        <f ca="1">Проект!G$384*CHOOSE(Проект!$D$384,1,Параметры!G$53,Параметры!G$59)/Параметры!G$64</f>
        <v>0</v>
      </c>
      <c r="H46" s="344">
        <f ca="1">Проект!H$384*CHOOSE(Проект!$D$384,1,Параметры!H$53,Параметры!H$59)/Параметры!H$64</f>
        <v>0</v>
      </c>
      <c r="I46" s="344">
        <f ca="1">Проект!I$384*CHOOSE(Проект!$D$384,1,Параметры!I$53,Параметры!I$59)/Параметры!I$64</f>
        <v>0</v>
      </c>
      <c r="J46" s="344">
        <f ca="1">Проект!J$384*CHOOSE(Проект!$D$384,1,Параметры!J$53,Параметры!J$59)/Параметры!J$64</f>
        <v>0</v>
      </c>
      <c r="K46" s="344">
        <f ca="1">Проект!K$384*CHOOSE(Проект!$D$384,1,Параметры!K$53,Параметры!K$59)/Параметры!K$64</f>
        <v>0</v>
      </c>
      <c r="L46" s="344">
        <f ca="1">Проект!L$384*CHOOSE(Проект!$D$384,1,Параметры!L$53,Параметры!L$59)/Параметры!L$64</f>
        <v>0</v>
      </c>
      <c r="M46" s="344">
        <f ca="1">Проект!M$384*CHOOSE(Проект!$D$384,1,Параметры!M$53,Параметры!M$59)/Параметры!M$64</f>
        <v>47205.464196425397</v>
      </c>
      <c r="N46" s="344">
        <f ca="1">Проект!N$384*CHOOSE(Проект!$D$384,1,Параметры!N$53,Параметры!N$59)/Параметры!N$64</f>
        <v>47435.23918036199</v>
      </c>
      <c r="O46" s="344">
        <f ca="1">Проект!O$384*CHOOSE(Проект!$D$384,1,Параметры!O$53,Параметры!O$59)/Параметры!O$64</f>
        <v>47666.132605651539</v>
      </c>
      <c r="P46" s="344">
        <f ca="1">Проект!P$384*CHOOSE(Проект!$D$384,1,Параметры!P$53,Параметры!P$59)/Параметры!P$64</f>
        <v>47898.149916363902</v>
      </c>
      <c r="Q46" s="344">
        <f ca="1">Проект!Q$384*CHOOSE(Проект!$D$384,1,Параметры!Q$53,Параметры!Q$59)/Параметры!Q$64</f>
        <v>48131.296583068186</v>
      </c>
      <c r="R46" s="344">
        <f ca="1">Проект!R$384*CHOOSE(Проект!$D$384,1,Параметры!R$53,Параметры!R$59)/Параметры!R$64</f>
        <v>48365.578102961794</v>
      </c>
      <c r="S46" s="344">
        <f ca="1">Проект!S$384*CHOOSE(Проект!$D$384,1,Параметры!S$53,Параметры!S$59)/Параметры!S$64</f>
        <v>48601.000000000015</v>
      </c>
      <c r="T46" s="344">
        <f ca="1">Проект!T$384*CHOOSE(Проект!$D$384,1,Параметры!T$53,Параметры!T$59)/Параметры!T$64</f>
        <v>48837.567825026257</v>
      </c>
      <c r="U46" s="344">
        <f ca="1">Проект!U$384*CHOOSE(Проект!$D$384,1,Параметры!U$53,Параметры!U$59)/Параметры!U$64</f>
        <v>49075.287155902945</v>
      </c>
      <c r="V46" s="344">
        <f ca="1">Проект!V$384*CHOOSE(Проект!$D$384,1,Параметры!V$53,Параметры!V$59)/Параметры!V$64</f>
        <v>49314.163597643033</v>
      </c>
      <c r="W46" s="344">
        <f ca="1">Проект!W$384*CHOOSE(Проект!$D$384,1,Параметры!W$53,Параметры!W$59)/Параметры!W$64</f>
        <v>49554.202782542154</v>
      </c>
      <c r="X46" s="344">
        <f ca="1">Проект!X$384*CHOOSE(Проект!$D$384,1,Параметры!X$53,Параметры!X$59)/Параметры!X$64</f>
        <v>49795.410370311445</v>
      </c>
      <c r="Y46" s="344">
        <f ca="1">Проект!Y$384*CHOOSE(Проект!$D$384,1,Параметры!Y$53,Параметры!Y$59)/Параметры!Y$64</f>
        <v>50037.79204821094</v>
      </c>
      <c r="Z46" s="344">
        <f ca="1">Проект!Z$384*CHOOSE(Проект!$D$384,1,Параметры!Z$53,Параметры!Z$59)/Параметры!Z$64</f>
        <v>50281.353531183733</v>
      </c>
      <c r="AA46" s="344">
        <f ca="1">Проект!AA$384*CHOOSE(Проект!$D$384,1,Параметры!AA$53,Параметры!AA$59)/Параметры!AA$64</f>
        <v>50526.100561990657</v>
      </c>
      <c r="AB46" s="344">
        <f ca="1">Проект!AB$384*CHOOSE(Проект!$D$384,1,Параметры!AB$53,Параметры!AB$59)/Параметры!AB$64</f>
        <v>50772.038911345757</v>
      </c>
      <c r="AC46" s="344">
        <f ca="1">Проект!AC$384*CHOOSE(Проект!$D$384,1,Параметры!AC$53,Параметры!AC$59)/Параметры!AC$64</f>
        <v>51019.174378052296</v>
      </c>
      <c r="AD46" s="344">
        <f ca="1">Проект!AD$384*CHOOSE(Проект!$D$384,1,Параметры!AD$53,Параметры!AD$59)/Параметры!AD$64</f>
        <v>51267.512789139524</v>
      </c>
      <c r="AE46" s="344">
        <f ca="1">Проект!AE$384*CHOOSE(Проект!$D$384,1,Параметры!AE$53,Параметры!AE$59)/Параметры!AE$64</f>
        <v>51517.060000000027</v>
      </c>
      <c r="AF46" s="344">
        <f ca="1">Проект!AF$384*CHOOSE(Проект!$D$384,1,Параметры!AF$53,Параметры!AF$59)/Параметры!AF$64</f>
        <v>51767.821894527842</v>
      </c>
      <c r="AG46" s="344">
        <f ca="1">Проект!AG$384*CHOOSE(Проект!$D$384,1,Параметры!AG$53,Параметры!AG$59)/Параметры!AG$64</f>
        <v>52019.804385257128</v>
      </c>
      <c r="AH46" s="344">
        <f ca="1">Проект!AH$384*CHOOSE(Проект!$D$384,1,Параметры!AH$53,Параметры!AH$59)/Параметры!AH$64</f>
        <v>52273.013413501627</v>
      </c>
      <c r="AI46" s="344">
        <f ca="1">Проект!AI$384*CHOOSE(Проект!$D$384,1,Параметры!AI$53,Параметры!AI$59)/Параметры!AI$64</f>
        <v>52527.454949494699</v>
      </c>
      <c r="AJ46" s="344">
        <f ca="1">Проект!AJ$384*CHOOSE(Проект!$D$384,1,Параметры!AJ$53,Параметры!AJ$59)/Параметры!AJ$64</f>
        <v>52783.134992530147</v>
      </c>
      <c r="AK46" s="344">
        <f ca="1">Проект!AK$384*CHOOSE(Проект!$D$384,1,Параметры!AK$53,Параметры!AK$59)/Параметры!AK$64</f>
        <v>53040.059571103615</v>
      </c>
      <c r="AL46" s="344">
        <f ca="1">Проект!AL$384*CHOOSE(Проект!$D$384,1,Параметры!AL$53,Параметры!AL$59)/Параметры!AL$64</f>
        <v>53298.234743054767</v>
      </c>
      <c r="AM46" s="344">
        <f ca="1">Проект!AM$384*CHOOSE(Проект!$D$384,1,Параметры!AM$53,Параметры!AM$59)/Параметры!AM$64</f>
        <v>53557.6665957101</v>
      </c>
      <c r="AN46" s="344">
        <f ca="1">Проект!AN$384*CHOOSE(Проект!$D$384,1,Параметры!AN$53,Параметры!AN$59)/Параметры!AN$64</f>
        <v>53818.361246026507</v>
      </c>
      <c r="AO46" s="344">
        <f ca="1">Проект!AO$384*CHOOSE(Проект!$D$384,1,Параметры!AO$53,Параметры!AO$59)/Параметры!AO$64</f>
        <v>54080.32484073544</v>
      </c>
      <c r="AP46" s="344">
        <f ca="1">Проект!AP$384*CHOOSE(Проект!$D$384,1,Параметры!AP$53,Параметры!AP$59)/Параметры!AP$64</f>
        <v>54343.563556487905</v>
      </c>
      <c r="AQ46" s="344">
        <f ca="1">Проект!AQ$384*CHOOSE(Проект!$D$384,1,Параметры!AQ$53,Параметры!AQ$59)/Параметры!AQ$64</f>
        <v>54608.083600000042</v>
      </c>
      <c r="AR46" s="344">
        <f ca="1">Проект!AR$384*CHOOSE(Проект!$D$384,1,Параметры!AR$53,Параметры!AR$59)/Параметры!AR$64</f>
        <v>54873.891208199515</v>
      </c>
      <c r="AS46" s="344">
        <f ca="1">Проект!AS$384*CHOOSE(Проект!$D$384,1,Параметры!AS$53,Параметры!AS$59)/Параметры!AS$64</f>
        <v>55140.992648372558</v>
      </c>
      <c r="AT46" s="344">
        <f ca="1">Проект!AT$384*CHOOSE(Проект!$D$384,1,Параметры!AT$53,Параметры!AT$59)/Параметры!AT$64</f>
        <v>55409.394218311718</v>
      </c>
      <c r="AU46" s="344">
        <f ca="1">Проект!AU$384*CHOOSE(Проект!$D$384,1,Параметры!AU$53,Параметры!AU$59)/Параметры!AU$64</f>
        <v>55679.102246464376</v>
      </c>
      <c r="AV46" s="344">
        <f ca="1">Проект!AV$384*CHOOSE(Проект!$D$384,1,Параметры!AV$53,Параметры!AV$59)/Параметры!AV$64</f>
        <v>55950.123092081951</v>
      </c>
      <c r="AW46" s="344">
        <f ca="1">Проект!AW$384*CHOOSE(Проект!$D$384,1,Параметры!AW$53,Параметры!AW$59)/Параметры!AW$64</f>
        <v>56222.463145369824</v>
      </c>
      <c r="AX46" s="344">
        <f ca="1">Проект!AX$384*CHOOSE(Проект!$D$384,1,Параметры!AX$53,Параметры!AX$59)/Параметры!AX$64</f>
        <v>56496.128827638051</v>
      </c>
      <c r="AY46" s="344">
        <f ca="1">Проект!AY$384*CHOOSE(Проект!$D$384,1,Параметры!AY$53,Параметры!AY$59)/Параметры!AY$64</f>
        <v>56771.126591452718</v>
      </c>
      <c r="AZ46" s="344">
        <f ca="1">Проект!AZ$384*CHOOSE(Проект!$D$384,1,Параметры!AZ$53,Параметры!AZ$59)/Параметры!AZ$64</f>
        <v>57047.462920788108</v>
      </c>
      <c r="BA46" s="344">
        <f ca="1">Проект!BA$384*CHOOSE(Проект!$D$384,1,Параметры!BA$53,Параметры!BA$59)/Параметры!BA$64</f>
        <v>57325.144331179574</v>
      </c>
      <c r="BB46" s="344">
        <f ca="1">Проект!BB$384*CHOOSE(Проект!$D$384,1,Параметры!BB$53,Параметры!BB$59)/Параметры!BB$64</f>
        <v>57604.177369877172</v>
      </c>
      <c r="BC46" s="348"/>
      <c r="BD46" s="345">
        <f ca="1">SUM(G46:BC46)</f>
        <v>2193938.0549243474</v>
      </c>
    </row>
    <row r="47" spans="1:56" x14ac:dyDescent="0.3">
      <c r="A47" s="128"/>
      <c r="B47" s="135"/>
      <c r="C47" s="128"/>
      <c r="D47" s="129"/>
      <c r="E47" s="129"/>
      <c r="F47" s="63"/>
      <c r="G47" s="133"/>
      <c r="H47" s="133"/>
      <c r="I47" s="133"/>
      <c r="J47" s="133"/>
      <c r="K47" s="133"/>
      <c r="L47" s="133"/>
      <c r="M47" s="133"/>
      <c r="N47" s="133"/>
      <c r="O47" s="133"/>
      <c r="P47" s="133"/>
      <c r="Q47" s="133"/>
      <c r="R47" s="133"/>
      <c r="S47" s="133"/>
      <c r="T47" s="133"/>
      <c r="U47" s="133"/>
      <c r="V47" s="133"/>
      <c r="W47" s="133"/>
      <c r="X47" s="133"/>
      <c r="Y47" s="133"/>
      <c r="Z47" s="133"/>
      <c r="AA47" s="133"/>
      <c r="AB47" s="133"/>
      <c r="AC47" s="133"/>
      <c r="AD47" s="133"/>
      <c r="AE47" s="133"/>
      <c r="AF47" s="133"/>
      <c r="AG47" s="133"/>
      <c r="AH47" s="133"/>
      <c r="AI47" s="133"/>
      <c r="AJ47" s="133"/>
      <c r="AK47" s="133"/>
      <c r="AL47" s="133"/>
      <c r="AM47" s="133"/>
      <c r="AN47" s="133"/>
      <c r="AO47" s="133"/>
      <c r="AP47" s="133"/>
      <c r="AQ47" s="133"/>
      <c r="AR47" s="133"/>
      <c r="AS47" s="133"/>
      <c r="AT47" s="133"/>
      <c r="AU47" s="133"/>
      <c r="AV47" s="133"/>
      <c r="AW47" s="133"/>
      <c r="AX47" s="133"/>
      <c r="AY47" s="133"/>
      <c r="AZ47" s="133"/>
      <c r="BA47" s="133"/>
      <c r="BB47" s="133"/>
      <c r="BC47" s="134"/>
      <c r="BD47" s="134"/>
    </row>
    <row r="48" spans="1:56" s="34" customFormat="1" x14ac:dyDescent="0.3">
      <c r="A48" s="138" t="str">
        <f ca="1">Language!A$1507</f>
        <v>Операционные расходы</v>
      </c>
      <c r="B48" s="137">
        <f ca="1">BD48</f>
        <v>111402298.56518772</v>
      </c>
      <c r="C48" s="100" t="str">
        <f ca="1">Параметры!$C$64</f>
        <v>руб.</v>
      </c>
      <c r="D48" s="11"/>
      <c r="E48" s="11"/>
      <c r="F48" s="6" t="s">
        <v>740</v>
      </c>
      <c r="G48" s="58">
        <f t="shared" ref="G48:AL48" ca="1" si="15">SUM(G50,G58,G60)</f>
        <v>0</v>
      </c>
      <c r="H48" s="58">
        <f t="shared" ca="1" si="15"/>
        <v>0</v>
      </c>
      <c r="I48" s="58">
        <f t="shared" ca="1" si="15"/>
        <v>0</v>
      </c>
      <c r="J48" s="58">
        <f t="shared" ca="1" si="15"/>
        <v>0</v>
      </c>
      <c r="K48" s="58">
        <f t="shared" ca="1" si="15"/>
        <v>0</v>
      </c>
      <c r="L48" s="58">
        <f t="shared" ca="1" si="15"/>
        <v>0</v>
      </c>
      <c r="M48" s="58">
        <f t="shared" ca="1" si="15"/>
        <v>1219721.4741470332</v>
      </c>
      <c r="N48" s="58">
        <f t="shared" ca="1" si="15"/>
        <v>1499226.0654483084</v>
      </c>
      <c r="O48" s="58">
        <f t="shared" ca="1" si="15"/>
        <v>1783979.2855096664</v>
      </c>
      <c r="P48" s="58">
        <f t="shared" ca="1" si="15"/>
        <v>2084503.4703403972</v>
      </c>
      <c r="Q48" s="58">
        <f t="shared" ca="1" si="15"/>
        <v>2102413.4750468852</v>
      </c>
      <c r="R48" s="58">
        <f t="shared" ca="1" si="15"/>
        <v>2162681.0363482563</v>
      </c>
      <c r="S48" s="58">
        <f t="shared" ca="1" si="15"/>
        <v>2725845.120000002</v>
      </c>
      <c r="T48" s="58">
        <f t="shared" ca="1" si="15"/>
        <v>2474752.2154551339</v>
      </c>
      <c r="U48" s="58">
        <f t="shared" ca="1" si="15"/>
        <v>2197105.1888303808</v>
      </c>
      <c r="V48" s="58">
        <f t="shared" ca="1" si="15"/>
        <v>2205194.0272337543</v>
      </c>
      <c r="W48" s="58">
        <f t="shared" ca="1" si="15"/>
        <v>1924796.5414302733</v>
      </c>
      <c r="X48" s="58">
        <f t="shared" ca="1" si="15"/>
        <v>2782535.9446023162</v>
      </c>
      <c r="Y48" s="58">
        <f t="shared" ca="1" si="15"/>
        <v>3362845.6265958576</v>
      </c>
      <c r="Z48" s="58">
        <f t="shared" ca="1" si="15"/>
        <v>3393335.5794820334</v>
      </c>
      <c r="AA48" s="58">
        <f t="shared" ca="1" si="15"/>
        <v>2563057.8527386812</v>
      </c>
      <c r="AB48" s="58">
        <f t="shared" ca="1" si="15"/>
        <v>2013284.9695526464</v>
      </c>
      <c r="AC48" s="58">
        <f t="shared" ca="1" si="15"/>
        <v>2030354.0334306136</v>
      </c>
      <c r="AD48" s="58">
        <f t="shared" ca="1" si="15"/>
        <v>2395370.2620384647</v>
      </c>
      <c r="AE48" s="58">
        <f t="shared" ca="1" si="15"/>
        <v>3027972.9208320035</v>
      </c>
      <c r="AF48" s="58">
        <f t="shared" ca="1" si="15"/>
        <v>2745675.6074783099</v>
      </c>
      <c r="AG48" s="58">
        <f t="shared" ca="1" si="15"/>
        <v>2434902.7363310978</v>
      </c>
      <c r="AH48" s="58">
        <f t="shared" ca="1" si="15"/>
        <v>2444511.0565213808</v>
      </c>
      <c r="AI48" s="58">
        <f t="shared" ca="1" si="15"/>
        <v>2130325.6932559037</v>
      </c>
      <c r="AJ48" s="58">
        <f t="shared" ca="1" si="15"/>
        <v>3094960.1883716178</v>
      </c>
      <c r="AK48" s="58">
        <f t="shared" ca="1" si="15"/>
        <v>3748231.0132540129</v>
      </c>
      <c r="AL48" s="58">
        <f t="shared" ca="1" si="15"/>
        <v>3782342.2208818421</v>
      </c>
      <c r="AM48" s="58">
        <f t="shared" ref="AM48:BB48" ca="1" si="16">SUM(AM50,AM58,AM60)</f>
        <v>2847892.4193010083</v>
      </c>
      <c r="AN48" s="58">
        <f t="shared" ca="1" si="16"/>
        <v>2228603.4934864864</v>
      </c>
      <c r="AO48" s="58">
        <f t="shared" ca="1" si="16"/>
        <v>2247619.116336653</v>
      </c>
      <c r="AP48" s="58">
        <f t="shared" ca="1" si="16"/>
        <v>2654742.7869998361</v>
      </c>
      <c r="AQ48" s="58">
        <f t="shared" ca="1" si="16"/>
        <v>3365356.5184868416</v>
      </c>
      <c r="AR48" s="58">
        <f t="shared" ca="1" si="16"/>
        <v>3047987.771847127</v>
      </c>
      <c r="AS48" s="58">
        <f t="shared" ca="1" si="16"/>
        <v>2700066.1814725818</v>
      </c>
      <c r="AT48" s="58">
        <f t="shared" ca="1" si="16"/>
        <v>2711412.9734802488</v>
      </c>
      <c r="AU48" s="58">
        <f t="shared" ca="1" si="16"/>
        <v>2359315.7062054733</v>
      </c>
      <c r="AV48" s="58">
        <f t="shared" ca="1" si="16"/>
        <v>3444110.2367317919</v>
      </c>
      <c r="AW48" s="58">
        <f t="shared" ca="1" si="16"/>
        <v>4179434.2937357677</v>
      </c>
      <c r="AX48" s="58">
        <f t="shared" ca="1" si="16"/>
        <v>4217605.504985217</v>
      </c>
      <c r="AY48" s="58">
        <f t="shared" ca="1" si="16"/>
        <v>3166014.9752482688</v>
      </c>
      <c r="AZ48" s="58">
        <f t="shared" ca="1" si="16"/>
        <v>2468523.9770803764</v>
      </c>
      <c r="BA48" s="58">
        <f t="shared" ca="1" si="16"/>
        <v>2489716.9629523205</v>
      </c>
      <c r="BB48" s="58">
        <f t="shared" ca="1" si="16"/>
        <v>2943972.0416808384</v>
      </c>
      <c r="BC48" s="58"/>
      <c r="BD48" s="76">
        <f ca="1">SUM(G48:BC48)</f>
        <v>111402298.56518772</v>
      </c>
    </row>
    <row r="49" spans="1:56" s="34" customFormat="1" x14ac:dyDescent="0.3">
      <c r="A49" s="138"/>
      <c r="B49" s="137"/>
      <c r="C49" s="100"/>
      <c r="D49" s="11"/>
      <c r="E49" s="11"/>
      <c r="F49" s="6"/>
      <c r="G49" s="58"/>
      <c r="H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c r="AK49" s="58"/>
      <c r="AL49" s="58"/>
      <c r="AM49" s="58"/>
      <c r="AN49" s="58"/>
      <c r="AO49" s="58"/>
      <c r="AP49" s="58"/>
      <c r="AQ49" s="58"/>
      <c r="AR49" s="58"/>
      <c r="AS49" s="58"/>
      <c r="AT49" s="58"/>
      <c r="AU49" s="58"/>
      <c r="AV49" s="58"/>
      <c r="AW49" s="58"/>
      <c r="AX49" s="58"/>
      <c r="AY49" s="58"/>
      <c r="AZ49" s="58"/>
      <c r="BA49" s="58"/>
      <c r="BB49" s="58"/>
      <c r="BC49" s="58"/>
      <c r="BD49" s="76"/>
    </row>
    <row r="50" spans="1:56" s="34" customFormat="1" x14ac:dyDescent="0.3">
      <c r="A50" s="138" t="str">
        <f ca="1">Language!A$762</f>
        <v>Производственные издержки</v>
      </c>
      <c r="B50" s="137">
        <f t="shared" ref="B50" ca="1" si="17">BD50</f>
        <v>67104252.195133716</v>
      </c>
      <c r="C50" s="100" t="str">
        <f ca="1">Параметры!$C$64</f>
        <v>руб.</v>
      </c>
      <c r="D50" s="139">
        <v>0</v>
      </c>
      <c r="E50" s="6" t="s">
        <v>2327</v>
      </c>
      <c r="F50" s="6" t="s">
        <v>3533</v>
      </c>
      <c r="G50" s="58">
        <f ca="1">SUM(G51:G57)</f>
        <v>0</v>
      </c>
      <c r="H50" s="58">
        <f t="shared" ref="H50:BB50" ca="1" si="18">SUM(H51:H57)</f>
        <v>0</v>
      </c>
      <c r="I50" s="58">
        <f t="shared" ca="1" si="18"/>
        <v>0</v>
      </c>
      <c r="J50" s="58">
        <f t="shared" ca="1" si="18"/>
        <v>0</v>
      </c>
      <c r="K50" s="58">
        <f t="shared" ca="1" si="18"/>
        <v>0</v>
      </c>
      <c r="L50" s="58">
        <f t="shared" ca="1" si="18"/>
        <v>0</v>
      </c>
      <c r="M50" s="58">
        <f t="shared" ca="1" si="18"/>
        <v>834305.47414703318</v>
      </c>
      <c r="N50" s="58">
        <f t="shared" ca="1" si="18"/>
        <v>980323.13822515146</v>
      </c>
      <c r="O50" s="58">
        <f t="shared" ca="1" si="18"/>
        <v>1129020.7928985313</v>
      </c>
      <c r="P50" s="58">
        <f t="shared" ca="1" si="18"/>
        <v>1290883.3530566678</v>
      </c>
      <c r="Q50" s="58">
        <f t="shared" ca="1" si="18"/>
        <v>1301048.5823821172</v>
      </c>
      <c r="R50" s="58">
        <f t="shared" ca="1" si="18"/>
        <v>1353495.7886335424</v>
      </c>
      <c r="S50" s="58">
        <f t="shared" ca="1" si="18"/>
        <v>1636402.560000001</v>
      </c>
      <c r="T50" s="58">
        <f t="shared" ca="1" si="18"/>
        <v>1512187.2854561771</v>
      </c>
      <c r="U50" s="58">
        <f t="shared" ca="1" si="18"/>
        <v>1363997.9862290164</v>
      </c>
      <c r="V50" s="58">
        <f t="shared" ca="1" si="18"/>
        <v>1363956.7029130005</v>
      </c>
      <c r="W50" s="58">
        <f t="shared" ca="1" si="18"/>
        <v>1216924.2195763947</v>
      </c>
      <c r="X50" s="58">
        <f t="shared" ca="1" si="18"/>
        <v>1638887.4611655204</v>
      </c>
      <c r="Y50" s="58">
        <f t="shared" ca="1" si="18"/>
        <v>1919334.2345958566</v>
      </c>
      <c r="Z50" s="58">
        <f t="shared" ca="1" si="18"/>
        <v>1935737.2569121846</v>
      </c>
      <c r="AA50" s="58">
        <f t="shared" ca="1" si="18"/>
        <v>1532781.9455216606</v>
      </c>
      <c r="AB50" s="58">
        <f t="shared" ca="1" si="18"/>
        <v>1270191.9997359805</v>
      </c>
      <c r="AC50" s="58">
        <f t="shared" ca="1" si="18"/>
        <v>1280009.3722655019</v>
      </c>
      <c r="AD50" s="58">
        <f t="shared" ca="1" si="18"/>
        <v>1486169.7177062114</v>
      </c>
      <c r="AE50" s="58">
        <f t="shared" ca="1" si="18"/>
        <v>1803875.260416002</v>
      </c>
      <c r="AF50" s="58">
        <f t="shared" ca="1" si="18"/>
        <v>1664137.6521314818</v>
      </c>
      <c r="AG50" s="58">
        <f t="shared" ca="1" si="18"/>
        <v>1498823.4834882047</v>
      </c>
      <c r="AH50" s="58">
        <f t="shared" ca="1" si="18"/>
        <v>1499296.7989145813</v>
      </c>
      <c r="AI50" s="58">
        <f t="shared" ca="1" si="18"/>
        <v>1334960.3524208853</v>
      </c>
      <c r="AJ50" s="58">
        <f t="shared" ca="1" si="18"/>
        <v>1809956.752382033</v>
      </c>
      <c r="AK50" s="58">
        <f t="shared" ca="1" si="18"/>
        <v>2126301.6132028098</v>
      </c>
      <c r="AL50" s="58">
        <f t="shared" ca="1" si="18"/>
        <v>2144584.7456423594</v>
      </c>
      <c r="AM50" s="58">
        <f t="shared" ca="1" si="18"/>
        <v>1690274.4099519635</v>
      </c>
      <c r="AN50" s="58">
        <f t="shared" ca="1" si="18"/>
        <v>1393664.2326004801</v>
      </c>
      <c r="AO50" s="58">
        <f t="shared" ca="1" si="18"/>
        <v>1404531.8550515333</v>
      </c>
      <c r="AP50" s="58">
        <f t="shared" ca="1" si="18"/>
        <v>1633165.055388116</v>
      </c>
      <c r="AQ50" s="58">
        <f t="shared" ca="1" si="18"/>
        <v>1989960.3872434208</v>
      </c>
      <c r="AR50" s="58">
        <f t="shared" ca="1" si="18"/>
        <v>1832771.7252194299</v>
      </c>
      <c r="AS50" s="58">
        <f t="shared" ca="1" si="18"/>
        <v>1648287.5329783061</v>
      </c>
      <c r="AT50" s="58">
        <f t="shared" ca="1" si="18"/>
        <v>1649370.2336332488</v>
      </c>
      <c r="AU50" s="58">
        <f t="shared" ca="1" si="18"/>
        <v>1465643.2092432461</v>
      </c>
      <c r="AV50" s="58">
        <f t="shared" ca="1" si="18"/>
        <v>2000280.3760538935</v>
      </c>
      <c r="AW50" s="58">
        <f t="shared" ca="1" si="18"/>
        <v>2357034.4198382357</v>
      </c>
      <c r="AX50" s="58">
        <f t="shared" ca="1" si="18"/>
        <v>2377421.2058061329</v>
      </c>
      <c r="AY50" s="58">
        <f t="shared" ca="1" si="18"/>
        <v>1865315.3799436812</v>
      </c>
      <c r="AZ50" s="58">
        <f t="shared" ca="1" si="18"/>
        <v>1530386.2235488591</v>
      </c>
      <c r="BA50" s="58">
        <f t="shared" ca="1" si="18"/>
        <v>1542424.1161723596</v>
      </c>
      <c r="BB50" s="58">
        <f t="shared" ca="1" si="18"/>
        <v>1796127.3024419092</v>
      </c>
      <c r="BC50" s="145"/>
      <c r="BD50" s="76">
        <f t="shared" ref="BD50:BD56" ca="1" si="19">SUM(G50:BC50)</f>
        <v>67104252.195133716</v>
      </c>
    </row>
    <row r="51" spans="1:56" s="346" customFormat="1" x14ac:dyDescent="0.3">
      <c r="A51" s="339" t="str">
        <f>Проект!A$449</f>
        <v>Коммунальные расходы всего объекта</v>
      </c>
      <c r="B51" s="340">
        <f t="shared" ref="B51:B56" ca="1" si="20">BD51</f>
        <v>3857471.4793863553</v>
      </c>
      <c r="C51" s="341" t="str">
        <f ca="1">Параметры!C$64</f>
        <v>руб.</v>
      </c>
      <c r="D51" s="342"/>
      <c r="E51" s="343"/>
      <c r="F51" s="343" t="s">
        <v>3453</v>
      </c>
      <c r="G51" s="344">
        <f ca="1">Проект!G$453*CHOOSE(Проект!$D$453,1,Параметры!G$53,Параметры!G$59)/Параметры!G$64</f>
        <v>0</v>
      </c>
      <c r="H51" s="344">
        <f ca="1">Проект!H$453*CHOOSE(Проект!$D$453,1,Параметры!H$53,Параметры!H$59)/Параметры!H$64</f>
        <v>0</v>
      </c>
      <c r="I51" s="344">
        <f ca="1">Проект!I$453*CHOOSE(Проект!$D$453,1,Параметры!I$53,Параметры!I$59)/Параметры!I$64</f>
        <v>0</v>
      </c>
      <c r="J51" s="344">
        <f ca="1">Проект!J$453*CHOOSE(Проект!$D$453,1,Параметры!J$53,Параметры!J$59)/Параметры!J$64</f>
        <v>0</v>
      </c>
      <c r="K51" s="344">
        <f ca="1">Проект!K$453*CHOOSE(Проект!$D$453,1,Параметры!K$53,Параметры!K$59)/Параметры!K$64</f>
        <v>0</v>
      </c>
      <c r="L51" s="344">
        <f ca="1">Проект!L$453*CHOOSE(Проект!$D$453,1,Параметры!L$53,Параметры!L$59)/Параметры!L$64</f>
        <v>0</v>
      </c>
      <c r="M51" s="344">
        <f ca="1">Проект!M$453*CHOOSE(Проект!$D$453,1,Параметры!M$53,Параметры!M$59)/Параметры!M$64</f>
        <v>41182.520563947997</v>
      </c>
      <c r="N51" s="344">
        <f ca="1">Проект!N$453*CHOOSE(Проект!$D$453,1,Параметры!N$53,Параметры!N$59)/Параметры!N$64</f>
        <v>51728.723206501629</v>
      </c>
      <c r="O51" s="344">
        <f ca="1">Проект!O$453*CHOOSE(Проект!$D$453,1,Параметры!O$53,Параметры!O$59)/Параметры!O$64</f>
        <v>62376.618458867881</v>
      </c>
      <c r="P51" s="344">
        <f ca="1">Проект!P$453*CHOOSE(Проект!$D$453,1,Параметры!P$53,Параметры!P$59)/Параметры!P$64</f>
        <v>83573.653071082052</v>
      </c>
      <c r="Q51" s="344">
        <f ca="1">Проект!Q$453*CHOOSE(Проект!$D$453,1,Параметры!Q$53,Параметры!Q$59)/Параметры!Q$64</f>
        <v>83980.45205333599</v>
      </c>
      <c r="R51" s="344">
        <f ca="1">Проект!R$453*CHOOSE(Проект!$D$453,1,Параметры!R$53,Параметры!R$59)/Параметры!R$64</f>
        <v>126583.84672530895</v>
      </c>
      <c r="S51" s="344">
        <f ca="1">Проект!S$453*CHOOSE(Проект!$D$453,1,Параметры!S$53,Параметры!S$59)/Параметры!S$64</f>
        <v>127200.00000000003</v>
      </c>
      <c r="T51" s="344">
        <f ca="1">Проект!T$453*CHOOSE(Проект!$D$453,1,Параметры!T$53,Параметры!T$59)/Параметры!T$64</f>
        <v>127819.15243191166</v>
      </c>
      <c r="U51" s="344">
        <f ca="1">Проект!U$453*CHOOSE(Проект!$D$453,1,Параметры!U$53,Параметры!U$59)/Параметры!U$64</f>
        <v>107034.43218299439</v>
      </c>
      <c r="V51" s="344">
        <f ca="1">Проект!V$453*CHOOSE(Проект!$D$453,1,Параметры!V$53,Параметры!V$59)/Параметры!V$64</f>
        <v>96799.884924490121</v>
      </c>
      <c r="W51" s="344">
        <f ca="1">Проект!W$453*CHOOSE(Проект!$D$453,1,Параметры!W$53,Параметры!W$59)/Параметры!W$64</f>
        <v>81059.219382566225</v>
      </c>
      <c r="X51" s="344">
        <f ca="1">Проект!X$453*CHOOSE(Проект!$D$453,1,Параметры!X$53,Параметры!X$59)/Параметры!X$64</f>
        <v>65163.023385358472</v>
      </c>
      <c r="Y51" s="344">
        <f ca="1">Проект!Y$453*CHOOSE(Проект!$D$453,1,Параметры!Y$53,Параметры!Y$59)/Параметры!Y$64</f>
        <v>43653.471797784885</v>
      </c>
      <c r="Z51" s="344">
        <f ca="1">Проект!Z$453*CHOOSE(Проект!$D$453,1,Параметры!Z$53,Параметры!Z$59)/Параметры!Z$64</f>
        <v>43865.957279113383</v>
      </c>
      <c r="AA51" s="344">
        <f ca="1">Проект!AA$453*CHOOSE(Проект!$D$453,1,Параметры!AA$53,Параметры!AA$59)/Параметры!AA$64</f>
        <v>66119.215566399973</v>
      </c>
      <c r="AB51" s="344">
        <f ca="1">Проект!AB$453*CHOOSE(Проект!$D$453,1,Параметры!AB$53,Параметры!AB$59)/Параметры!AB$64</f>
        <v>88588.072255346997</v>
      </c>
      <c r="AC51" s="344">
        <f ca="1">Проект!AC$453*CHOOSE(Проект!$D$453,1,Параметры!AC$53,Параметры!AC$59)/Параметры!AC$64</f>
        <v>89019.279176536162</v>
      </c>
      <c r="AD51" s="344">
        <f ca="1">Проект!AD$453*CHOOSE(Проект!$D$453,1,Параметры!AD$53,Параметры!AD$59)/Параметры!AD$64</f>
        <v>134178.87752882752</v>
      </c>
      <c r="AE51" s="344">
        <f ca="1">Проект!AE$453*CHOOSE(Проект!$D$453,1,Параметры!AE$53,Параметры!AE$59)/Параметры!AE$64</f>
        <v>134832.00000000006</v>
      </c>
      <c r="AF51" s="344">
        <f ca="1">Проект!AF$453*CHOOSE(Проект!$D$453,1,Параметры!AF$53,Параметры!AF$59)/Параметры!AF$64</f>
        <v>135488.30157782641</v>
      </c>
      <c r="AG51" s="344">
        <f ca="1">Проект!AG$453*CHOOSE(Проект!$D$453,1,Параметры!AG$53,Параметры!AG$59)/Параметры!AG$64</f>
        <v>113456.49811397411</v>
      </c>
      <c r="AH51" s="344">
        <f ca="1">Проект!AH$453*CHOOSE(Проект!$D$453,1,Параметры!AH$53,Параметры!AH$59)/Параметры!AH$64</f>
        <v>102607.87801995958</v>
      </c>
      <c r="AI51" s="344">
        <f ca="1">Проект!AI$453*CHOOSE(Проект!$D$453,1,Параметры!AI$53,Параметры!AI$59)/Параметры!AI$64</f>
        <v>85922.772545520231</v>
      </c>
      <c r="AJ51" s="344">
        <f ca="1">Проект!AJ$453*CHOOSE(Проект!$D$453,1,Параметры!AJ$53,Параметры!AJ$59)/Параметры!AJ$64</f>
        <v>69072.804788480018</v>
      </c>
      <c r="AK51" s="344">
        <f ca="1">Проект!AK$453*CHOOSE(Проект!$D$453,1,Параметры!AK$53,Параметры!AK$59)/Параметры!AK$64</f>
        <v>46272.680105652013</v>
      </c>
      <c r="AL51" s="344">
        <f ca="1">Проект!AL$453*CHOOSE(Проект!$D$453,1,Параметры!AL$53,Параметры!AL$59)/Параметры!AL$64</f>
        <v>46497.914715860214</v>
      </c>
      <c r="AM51" s="344">
        <f ca="1">Проект!AM$453*CHOOSE(Проект!$D$453,1,Параметры!AM$53,Параметры!AM$59)/Параметры!AM$64</f>
        <v>70086.368500384007</v>
      </c>
      <c r="AN51" s="344">
        <f ca="1">Проект!AN$453*CHOOSE(Проект!$D$453,1,Параметры!AN$53,Параметры!AN$59)/Параметры!AN$64</f>
        <v>93903.356590667856</v>
      </c>
      <c r="AO51" s="344">
        <f ca="1">Проект!AO$453*CHOOSE(Проект!$D$453,1,Параметры!AO$53,Параметры!AO$59)/Параметры!AO$64</f>
        <v>94360.435927128361</v>
      </c>
      <c r="AP51" s="344">
        <f ca="1">Проект!AP$453*CHOOSE(Проект!$D$453,1,Параметры!AP$53,Параметры!AP$59)/Параметры!AP$64</f>
        <v>142229.61018055721</v>
      </c>
      <c r="AQ51" s="344">
        <f ca="1">Проект!AQ$453*CHOOSE(Проект!$D$453,1,Параметры!AQ$53,Параметры!AQ$59)/Параметры!AQ$64</f>
        <v>142921.92000000013</v>
      </c>
      <c r="AR51" s="344">
        <f ca="1">Проект!AR$453*CHOOSE(Проект!$D$453,1,Параметры!AR$53,Параметры!AR$59)/Параметры!AR$64</f>
        <v>143617.59967249603</v>
      </c>
      <c r="AS51" s="344">
        <f ca="1">Проект!AS$453*CHOOSE(Проект!$D$453,1,Параметры!AS$53,Параметры!AS$59)/Параметры!AS$64</f>
        <v>120263.88800081259</v>
      </c>
      <c r="AT51" s="344">
        <f ca="1">Проект!AT$453*CHOOSE(Проект!$D$453,1,Параметры!AT$53,Параметры!AT$59)/Параметры!AT$64</f>
        <v>108764.35070115716</v>
      </c>
      <c r="AU51" s="344">
        <f ca="1">Проект!AU$453*CHOOSE(Проект!$D$453,1,Параметры!AU$53,Параметры!AU$59)/Параметры!AU$64</f>
        <v>91078.138898251447</v>
      </c>
      <c r="AV51" s="344">
        <f ca="1">Проект!AV$453*CHOOSE(Проект!$D$453,1,Параметры!AV$53,Параметры!AV$59)/Параметры!AV$64</f>
        <v>73217.173075788829</v>
      </c>
      <c r="AW51" s="344">
        <f ca="1">Проект!AW$453*CHOOSE(Проект!$D$453,1,Параметры!AW$53,Параметры!AW$59)/Параметры!AW$64</f>
        <v>49049.040911991135</v>
      </c>
      <c r="AX51" s="344">
        <f ca="1">Проект!AX$453*CHOOSE(Проект!$D$453,1,Параметры!AX$53,Параметры!AX$59)/Параметры!AX$64</f>
        <v>49287.789598811825</v>
      </c>
      <c r="AY51" s="344">
        <f ca="1">Проект!AY$453*CHOOSE(Проект!$D$453,1,Параметры!AY$53,Параметры!AY$59)/Параметры!AY$64</f>
        <v>74291.550610407052</v>
      </c>
      <c r="AZ51" s="344">
        <f ca="1">Проект!AZ$453*CHOOSE(Проект!$D$453,1,Параметры!AZ$53,Параметры!AZ$59)/Параметры!AZ$64</f>
        <v>99537.557986107931</v>
      </c>
      <c r="BA51" s="344">
        <f ca="1">Проект!BA$453*CHOOSE(Проект!$D$453,1,Параметры!BA$53,Параметры!BA$59)/Параметры!BA$64</f>
        <v>100022.06208275608</v>
      </c>
      <c r="BB51" s="344">
        <f ca="1">Проект!BB$453*CHOOSE(Проект!$D$453,1,Параметры!BB$53,Параметры!BB$59)/Параметры!BB$64</f>
        <v>150763.38679139066</v>
      </c>
      <c r="BC51" s="348"/>
      <c r="BD51" s="345">
        <f t="shared" ca="1" si="19"/>
        <v>3857471.4793863553</v>
      </c>
    </row>
    <row r="52" spans="1:56" s="346" customFormat="1" x14ac:dyDescent="0.3">
      <c r="A52" s="339" t="str">
        <f>Проект!A$459</f>
        <v>ПО и связь</v>
      </c>
      <c r="B52" s="340">
        <f t="shared" ca="1" si="20"/>
        <v>478503.39256801468</v>
      </c>
      <c r="C52" s="341" t="str">
        <f ca="1">Параметры!C$64</f>
        <v>руб.</v>
      </c>
      <c r="D52" s="342"/>
      <c r="E52" s="343"/>
      <c r="F52" s="343" t="s">
        <v>3458</v>
      </c>
      <c r="G52" s="344">
        <f ca="1">Проект!G$463*CHOOSE(Проект!$D$463,1,Параметры!G$53,Параметры!G$59)/Параметры!G$64</f>
        <v>0</v>
      </c>
      <c r="H52" s="344">
        <f ca="1">Проект!H$463*CHOOSE(Проект!$D$463,1,Параметры!H$53,Параметры!H$59)/Параметры!H$64</f>
        <v>0</v>
      </c>
      <c r="I52" s="344">
        <f ca="1">Проект!I$463*CHOOSE(Проект!$D$463,1,Параметры!I$53,Параметры!I$59)/Параметры!I$64</f>
        <v>0</v>
      </c>
      <c r="J52" s="344">
        <f ca="1">Проект!J$463*CHOOSE(Проект!$D$463,1,Параметры!J$53,Параметры!J$59)/Параметры!J$64</f>
        <v>0</v>
      </c>
      <c r="K52" s="344">
        <f ca="1">Проект!K$463*CHOOSE(Проект!$D$463,1,Параметры!K$53,Параметры!K$59)/Параметры!K$64</f>
        <v>0</v>
      </c>
      <c r="L52" s="344">
        <f ca="1">Проект!L$463*CHOOSE(Проект!$D$463,1,Параметры!L$53,Параметры!L$59)/Параметры!L$64</f>
        <v>0</v>
      </c>
      <c r="M52" s="344">
        <f ca="1">Проект!M$463*CHOOSE(Проект!$D$463,1,Параметры!M$53,Параметры!M$59)/Параметры!M$64</f>
        <v>10295.630140986999</v>
      </c>
      <c r="N52" s="344">
        <f ca="1">Проект!N$463*CHOOSE(Проект!$D$463,1,Параметры!N$53,Параметры!N$59)/Параметры!N$64</f>
        <v>10345.744641300325</v>
      </c>
      <c r="O52" s="344">
        <f ca="1">Проект!O$463*CHOOSE(Проект!$D$463,1,Параметры!O$53,Параметры!O$59)/Параметры!O$64</f>
        <v>10396.103076477981</v>
      </c>
      <c r="P52" s="344">
        <f ca="1">Проект!P$463*CHOOSE(Проект!$D$463,1,Параметры!P$53,Параметры!P$59)/Параметры!P$64</f>
        <v>10446.706633885256</v>
      </c>
      <c r="Q52" s="344">
        <f ca="1">Проект!Q$463*CHOOSE(Проект!$D$463,1,Параметры!Q$53,Параметры!Q$59)/Параметры!Q$64</f>
        <v>10497.556506666999</v>
      </c>
      <c r="R52" s="344">
        <f ca="1">Проект!R$463*CHOOSE(Проект!$D$463,1,Параметры!R$53,Параметры!R$59)/Параметры!R$64</f>
        <v>10548.653893775745</v>
      </c>
      <c r="S52" s="344">
        <f ca="1">Проект!S$463*CHOOSE(Проект!$D$463,1,Параметры!S$53,Параметры!S$59)/Параметры!S$64</f>
        <v>10600.000000000004</v>
      </c>
      <c r="T52" s="344">
        <f ca="1">Проект!T$463*CHOOSE(Проект!$D$463,1,Параметры!T$53,Параметры!T$59)/Параметры!T$64</f>
        <v>10651.596035992639</v>
      </c>
      <c r="U52" s="344">
        <f ca="1">Проект!U$463*CHOOSE(Проект!$D$463,1,Параметры!U$53,Параметры!U$59)/Параметры!U$64</f>
        <v>10703.443218299441</v>
      </c>
      <c r="V52" s="344">
        <f ca="1">Проект!V$463*CHOOSE(Проект!$D$463,1,Параметры!V$53,Параметры!V$59)/Параметры!V$64</f>
        <v>10755.542769387792</v>
      </c>
      <c r="W52" s="344">
        <f ca="1">Проект!W$463*CHOOSE(Проект!$D$463,1,Параметры!W$53,Параметры!W$59)/Параметры!W$64</f>
        <v>10807.895917675496</v>
      </c>
      <c r="X52" s="344">
        <f ca="1">Проект!X$463*CHOOSE(Проект!$D$463,1,Параметры!X$53,Параметры!X$59)/Параметры!X$64</f>
        <v>10860.503897559745</v>
      </c>
      <c r="Y52" s="344">
        <f ca="1">Проект!Y$463*CHOOSE(Проект!$D$463,1,Параметры!Y$53,Параметры!Y$59)/Параметры!Y$64</f>
        <v>10913.367949446221</v>
      </c>
      <c r="Z52" s="344">
        <f ca="1">Проект!Z$463*CHOOSE(Проект!$D$463,1,Параметры!Z$53,Параметры!Z$59)/Параметры!Z$64</f>
        <v>10966.489319778346</v>
      </c>
      <c r="AA52" s="344">
        <f ca="1">Проект!AA$463*CHOOSE(Проект!$D$463,1,Параметры!AA$53,Параметры!AA$59)/Параметры!AA$64</f>
        <v>11019.869261066662</v>
      </c>
      <c r="AB52" s="344">
        <f ca="1">Проект!AB$463*CHOOSE(Проект!$D$463,1,Параметры!AB$53,Параметры!AB$59)/Параметры!AB$64</f>
        <v>11073.509031918375</v>
      </c>
      <c r="AC52" s="344">
        <f ca="1">Проект!AC$463*CHOOSE(Проект!$D$463,1,Параметры!AC$53,Параметры!AC$59)/Параметры!AC$64</f>
        <v>11127.40989706702</v>
      </c>
      <c r="AD52" s="344">
        <f ca="1">Проект!AD$463*CHOOSE(Проект!$D$463,1,Параметры!AD$53,Параметры!AD$59)/Параметры!AD$64</f>
        <v>11181.573127402293</v>
      </c>
      <c r="AE52" s="344">
        <f ca="1">Проект!AE$463*CHOOSE(Проект!$D$463,1,Параметры!AE$53,Параметры!AE$59)/Параметры!AE$64</f>
        <v>11236.000000000005</v>
      </c>
      <c r="AF52" s="344">
        <f ca="1">Проект!AF$463*CHOOSE(Проект!$D$463,1,Параметры!AF$53,Параметры!AF$59)/Параметры!AF$64</f>
        <v>11290.691798152202</v>
      </c>
      <c r="AG52" s="344">
        <f ca="1">Проект!AG$463*CHOOSE(Проект!$D$463,1,Параметры!AG$53,Параметры!AG$59)/Параметры!AG$64</f>
        <v>11345.649811397412</v>
      </c>
      <c r="AH52" s="344">
        <f ca="1">Проект!AH$463*CHOOSE(Проект!$D$463,1,Параметры!AH$53,Параметры!AH$59)/Параметры!AH$64</f>
        <v>11400.875335551063</v>
      </c>
      <c r="AI52" s="344">
        <f ca="1">Проект!AI$463*CHOOSE(Проект!$D$463,1,Параметры!AI$53,Параметры!AI$59)/Параметры!AI$64</f>
        <v>11456.369672736031</v>
      </c>
      <c r="AJ52" s="344">
        <f ca="1">Проект!AJ$463*CHOOSE(Проект!$D$463,1,Параметры!AJ$53,Параметры!AJ$59)/Параметры!AJ$64</f>
        <v>11512.134131413337</v>
      </c>
      <c r="AK52" s="344">
        <f ca="1">Проект!AK$463*CHOOSE(Проект!$D$463,1,Параметры!AK$53,Параметры!AK$59)/Параметры!AK$64</f>
        <v>11568.170026413003</v>
      </c>
      <c r="AL52" s="344">
        <f ca="1">Проект!AL$463*CHOOSE(Проект!$D$463,1,Параметры!AL$53,Параметры!AL$59)/Параметры!AL$64</f>
        <v>11624.478678965053</v>
      </c>
      <c r="AM52" s="344">
        <f ca="1">Проект!AM$463*CHOOSE(Проект!$D$463,1,Параметры!AM$53,Параметры!AM$59)/Параметры!AM$64</f>
        <v>11681.061416730667</v>
      </c>
      <c r="AN52" s="344">
        <f ca="1">Проект!AN$463*CHOOSE(Проект!$D$463,1,Параметры!AN$53,Параметры!AN$59)/Параметры!AN$64</f>
        <v>11737.919573833482</v>
      </c>
      <c r="AO52" s="344">
        <f ca="1">Проект!AO$463*CHOOSE(Проект!$D$463,1,Параметры!AO$53,Параметры!AO$59)/Параметры!AO$64</f>
        <v>11795.054490891045</v>
      </c>
      <c r="AP52" s="344">
        <f ca="1">Проект!AP$463*CHOOSE(Проект!$D$463,1,Параметры!AP$53,Параметры!AP$59)/Параметры!AP$64</f>
        <v>11852.467515046434</v>
      </c>
      <c r="AQ52" s="344">
        <f ca="1">Проект!AQ$463*CHOOSE(Проект!$D$463,1,Параметры!AQ$53,Параметры!AQ$59)/Параметры!AQ$64</f>
        <v>11910.160000000009</v>
      </c>
      <c r="AR52" s="344">
        <f ca="1">Проект!AR$463*CHOOSE(Проект!$D$463,1,Параметры!AR$53,Параметры!AR$59)/Параметры!AR$64</f>
        <v>11968.133306041334</v>
      </c>
      <c r="AS52" s="344">
        <f ca="1">Проект!AS$463*CHOOSE(Проект!$D$463,1,Параметры!AS$53,Параметры!AS$59)/Параметры!AS$64</f>
        <v>12026.388800081259</v>
      </c>
      <c r="AT52" s="344">
        <f ca="1">Проект!AT$463*CHOOSE(Проект!$D$463,1,Параметры!AT$53,Параметры!AT$59)/Параметры!AT$64</f>
        <v>12084.927855684129</v>
      </c>
      <c r="AU52" s="344">
        <f ca="1">Проект!AU$463*CHOOSE(Проект!$D$463,1,Параметры!AU$53,Параметры!AU$59)/Параметры!AU$64</f>
        <v>12143.751853100193</v>
      </c>
      <c r="AV52" s="344">
        <f ca="1">Проект!AV$463*CHOOSE(Проект!$D$463,1,Параметры!AV$53,Параметры!AV$59)/Параметры!AV$64</f>
        <v>12202.862179298138</v>
      </c>
      <c r="AW52" s="344">
        <f ca="1">Проект!AW$463*CHOOSE(Проект!$D$463,1,Параметры!AW$53,Параметры!AW$59)/Параметры!AW$64</f>
        <v>12262.260227997784</v>
      </c>
      <c r="AX52" s="344">
        <f ca="1">Проект!AX$463*CHOOSE(Проект!$D$463,1,Параметры!AX$53,Параметры!AX$59)/Параметры!AX$64</f>
        <v>12321.947399702956</v>
      </c>
      <c r="AY52" s="344">
        <f ca="1">Проект!AY$463*CHOOSE(Проект!$D$463,1,Параметры!AY$53,Параметры!AY$59)/Параметры!AY$64</f>
        <v>12381.925101734509</v>
      </c>
      <c r="AZ52" s="344">
        <f ca="1">Проект!AZ$463*CHOOSE(Проект!$D$463,1,Параметры!AZ$53,Параметры!AZ$59)/Параметры!AZ$64</f>
        <v>12442.194748263491</v>
      </c>
      <c r="BA52" s="344">
        <f ca="1">Проект!BA$463*CHOOSE(Проект!$D$463,1,Параметры!BA$53,Параметры!BA$59)/Параметры!BA$64</f>
        <v>12502.75776034451</v>
      </c>
      <c r="BB52" s="344">
        <f ca="1">Проект!BB$463*CHOOSE(Проект!$D$463,1,Параметры!BB$53,Параметры!BB$59)/Параметры!BB$64</f>
        <v>12563.615565949221</v>
      </c>
      <c r="BC52" s="348"/>
      <c r="BD52" s="345">
        <f t="shared" ca="1" si="19"/>
        <v>478503.39256801468</v>
      </c>
    </row>
    <row r="53" spans="1:56" s="346" customFormat="1" x14ac:dyDescent="0.3">
      <c r="A53" s="339" t="str">
        <f>Проект!A$469</f>
        <v>Непредвиденные расходы (5%)</v>
      </c>
      <c r="B53" s="340">
        <f t="shared" ca="1" si="20"/>
        <v>44298046.370053977</v>
      </c>
      <c r="C53" s="341" t="str">
        <f ca="1">Параметры!C$64</f>
        <v>руб.</v>
      </c>
      <c r="D53" s="342"/>
      <c r="E53" s="343"/>
      <c r="F53" s="343" t="s">
        <v>3460</v>
      </c>
      <c r="G53" s="344">
        <f ca="1">Проект!G$473*CHOOSE(Проект!$D$473,1,Параметры!G$53,Параметры!G$59)/Параметры!G$64</f>
        <v>0</v>
      </c>
      <c r="H53" s="344">
        <f ca="1">Проект!H$473*CHOOSE(Проект!$D$473,1,Параметры!H$53,Параметры!H$59)/Параметры!H$64</f>
        <v>0</v>
      </c>
      <c r="I53" s="344">
        <f ca="1">Проект!I$473*CHOOSE(Проект!$D$473,1,Параметры!I$53,Параметры!I$59)/Параметры!I$64</f>
        <v>0</v>
      </c>
      <c r="J53" s="344">
        <f ca="1">Проект!J$473*CHOOSE(Проект!$D$473,1,Параметры!J$53,Параметры!J$59)/Параметры!J$64</f>
        <v>0</v>
      </c>
      <c r="K53" s="344">
        <f ca="1">Проект!K$473*CHOOSE(Проект!$D$473,1,Параметры!K$53,Параметры!K$59)/Параметры!K$64</f>
        <v>0</v>
      </c>
      <c r="L53" s="344">
        <f ca="1">Проект!L$473*CHOOSE(Проект!$D$473,1,Параметры!L$53,Параметры!L$59)/Параметры!L$64</f>
        <v>0</v>
      </c>
      <c r="M53" s="344">
        <f ca="1">Проект!M$473*CHOOSE(Проект!$D$473,1,Параметры!M$53,Параметры!M$59)/Параметры!M$64</f>
        <v>385416.00000000006</v>
      </c>
      <c r="N53" s="344">
        <f ca="1">Проект!N$473*CHOOSE(Проект!$D$473,1,Параметры!N$53,Параметры!N$59)/Параметры!N$64</f>
        <v>518902.9272231569</v>
      </c>
      <c r="O53" s="344">
        <f ca="1">Проект!O$473*CHOOSE(Проект!$D$473,1,Параметры!O$53,Параметры!O$59)/Параметры!O$64</f>
        <v>654958.49261113524</v>
      </c>
      <c r="P53" s="344">
        <f ca="1">Проект!P$473*CHOOSE(Проект!$D$473,1,Параметры!P$53,Параметры!P$59)/Параметры!P$64</f>
        <v>793620.11728372949</v>
      </c>
      <c r="Q53" s="344">
        <f ca="1">Проект!Q$473*CHOOSE(Проект!$D$473,1,Параметры!Q$53,Параметры!Q$59)/Параметры!Q$64</f>
        <v>801364.89266476815</v>
      </c>
      <c r="R53" s="344">
        <f ca="1">Проект!R$473*CHOOSE(Проект!$D$473,1,Параметры!R$53,Параметры!R$59)/Параметры!R$64</f>
        <v>809185.24771471391</v>
      </c>
      <c r="S53" s="344">
        <f ca="1">Проект!S$473*CHOOSE(Проект!$D$473,1,Параметры!S$53,Параметры!S$59)/Параметры!S$64</f>
        <v>1089442.560000001</v>
      </c>
      <c r="T53" s="344">
        <f ca="1">Проект!T$473*CHOOSE(Проект!$D$473,1,Параметры!T$53,Параметры!T$59)/Параметры!T$64</f>
        <v>962564.92999895674</v>
      </c>
      <c r="U53" s="344">
        <f ca="1">Проект!U$473*CHOOSE(Проект!$D$473,1,Параметры!U$53,Параметры!U$59)/Параметры!U$64</f>
        <v>833107.20260136435</v>
      </c>
      <c r="V53" s="344">
        <f ca="1">Проект!V$473*CHOOSE(Проект!$D$473,1,Параметры!V$53,Параметры!V$59)/Параметры!V$64</f>
        <v>841237.32432075369</v>
      </c>
      <c r="W53" s="344">
        <f ca="1">Проект!W$473*CHOOSE(Проект!$D$473,1,Параметры!W$53,Параметры!W$59)/Параметры!W$64</f>
        <v>707872.32185387868</v>
      </c>
      <c r="X53" s="344">
        <f ca="1">Проект!X$473*CHOOSE(Проект!$D$473,1,Параметры!X$53,Параметры!X$59)/Параметры!X$64</f>
        <v>1143648.4834367959</v>
      </c>
      <c r="Y53" s="344">
        <f ca="1">Проект!Y$473*CHOOSE(Проект!$D$473,1,Параметры!Y$53,Параметры!Y$59)/Параметры!Y$64</f>
        <v>1443511.3920000012</v>
      </c>
      <c r="Z53" s="344">
        <f ca="1">Проект!Z$473*CHOOSE(Проект!$D$473,1,Параметры!Z$53,Параметры!Z$59)/Параметры!Z$64</f>
        <v>1457598.3225698487</v>
      </c>
      <c r="AA53" s="344">
        <f ca="1">Проект!AA$473*CHOOSE(Проект!$D$473,1,Параметры!AA$53,Параметры!AA$59)/Параметры!AA$64</f>
        <v>1030275.9072170208</v>
      </c>
      <c r="AB53" s="344">
        <f ca="1">Проект!AB$473*CHOOSE(Проект!$D$473,1,Параметры!AB$53,Параметры!AB$59)/Параметры!AB$64</f>
        <v>743092.96981666586</v>
      </c>
      <c r="AC53" s="344">
        <f ca="1">Проект!AC$473*CHOOSE(Проект!$D$473,1,Параметры!AC$53,Параметры!AC$59)/Параметры!AC$64</f>
        <v>750344.66116511158</v>
      </c>
      <c r="AD53" s="344">
        <f ca="1">Проект!AD$473*CHOOSE(Проект!$D$473,1,Параметры!AD$53,Параметры!AD$59)/Параметры!AD$64</f>
        <v>909200.54433225305</v>
      </c>
      <c r="AE53" s="344">
        <f ca="1">Проект!AE$473*CHOOSE(Проект!$D$473,1,Параметры!AE$53,Параметры!AE$59)/Параметры!AE$64</f>
        <v>1224097.6604160017</v>
      </c>
      <c r="AF53" s="344">
        <f ca="1">Проект!AF$473*CHOOSE(Проект!$D$473,1,Параметры!AF$53,Параметры!AF$59)/Параметры!AF$64</f>
        <v>1081537.9553468281</v>
      </c>
      <c r="AG53" s="344">
        <f ca="1">Проект!AG$473*CHOOSE(Проект!$D$473,1,Параметры!AG$53,Параметры!AG$59)/Параметры!AG$64</f>
        <v>936079.25284289324</v>
      </c>
      <c r="AH53" s="344">
        <f ca="1">Проект!AH$473*CHOOSE(Проект!$D$473,1,Параметры!AH$53,Параметры!AH$59)/Параметры!AH$64</f>
        <v>945214.25760679948</v>
      </c>
      <c r="AI53" s="344">
        <f ca="1">Проект!AI$473*CHOOSE(Проект!$D$473,1,Параметры!AI$53,Параметры!AI$59)/Параметры!AI$64</f>
        <v>795365.34083501843</v>
      </c>
      <c r="AJ53" s="344">
        <f ca="1">Проект!AJ$473*CHOOSE(Проект!$D$473,1,Параметры!AJ$53,Параметры!AJ$59)/Параметры!AJ$64</f>
        <v>1285003.4359895848</v>
      </c>
      <c r="AK53" s="344">
        <f ca="1">Проект!AK$473*CHOOSE(Проект!$D$473,1,Параметры!AK$53,Параметры!AK$59)/Параметры!AK$64</f>
        <v>1621929.4000512029</v>
      </c>
      <c r="AL53" s="344">
        <f ca="1">Проект!AL$473*CHOOSE(Проект!$D$473,1,Параметры!AL$53,Параметры!AL$59)/Параметры!AL$64</f>
        <v>1637757.4752394829</v>
      </c>
      <c r="AM53" s="344">
        <f ca="1">Проект!AM$473*CHOOSE(Проект!$D$473,1,Параметры!AM$53,Параметры!AM$59)/Параметры!AM$64</f>
        <v>1157618.0093490449</v>
      </c>
      <c r="AN53" s="344">
        <f ca="1">Проект!AN$473*CHOOSE(Проект!$D$473,1,Параметры!AN$53,Параметры!AN$59)/Параметры!AN$64</f>
        <v>834939.26088600629</v>
      </c>
      <c r="AO53" s="344">
        <f ca="1">Проект!AO$473*CHOOSE(Проект!$D$473,1,Параметры!AO$53,Параметры!AO$59)/Параметры!AO$64</f>
        <v>843087.26128511969</v>
      </c>
      <c r="AP53" s="344">
        <f ca="1">Проект!AP$473*CHOOSE(Проект!$D$473,1,Параметры!AP$53,Параметры!AP$59)/Параметры!AP$64</f>
        <v>1021577.7316117201</v>
      </c>
      <c r="AQ53" s="344">
        <f ca="1">Проект!AQ$473*CHOOSE(Проект!$D$473,1,Параметры!AQ$53,Параметры!AQ$59)/Параметры!AQ$64</f>
        <v>1375396.1312434205</v>
      </c>
      <c r="AR53" s="344">
        <f ca="1">Проект!AR$473*CHOOSE(Проект!$D$473,1,Параметры!AR$53,Параметры!AR$59)/Параметры!AR$64</f>
        <v>1215216.0466276968</v>
      </c>
      <c r="AS53" s="344">
        <f ca="1">Проект!AS$473*CHOOSE(Проект!$D$473,1,Параметры!AS$53,Параметры!AS$59)/Параметры!AS$64</f>
        <v>1051778.6484942755</v>
      </c>
      <c r="AT53" s="344">
        <f ca="1">Проект!AT$473*CHOOSE(Проект!$D$473,1,Параметры!AT$53,Параметры!AT$59)/Параметры!AT$64</f>
        <v>1062042.7398470002</v>
      </c>
      <c r="AU53" s="344">
        <f ca="1">Проект!AU$473*CHOOSE(Проект!$D$473,1,Параметры!AU$53,Параметры!AU$59)/Параметры!AU$64</f>
        <v>893672.49696222716</v>
      </c>
      <c r="AV53" s="344">
        <f ca="1">Проект!AV$473*CHOOSE(Проект!$D$473,1,Параметры!AV$53,Параметры!AV$59)/Параметры!AV$64</f>
        <v>1443829.8606778984</v>
      </c>
      <c r="AW53" s="344">
        <f ca="1">Проект!AW$473*CHOOSE(Проект!$D$473,1,Параметры!AW$53,Параметры!AW$59)/Параметры!AW$64</f>
        <v>1822399.873897532</v>
      </c>
      <c r="AX53" s="344">
        <f ca="1">Проект!AX$473*CHOOSE(Проект!$D$473,1,Параметры!AX$53,Параметры!AX$59)/Параметры!AX$64</f>
        <v>1840184.2991790841</v>
      </c>
      <c r="AY53" s="344">
        <f ca="1">Проект!AY$473*CHOOSE(Проект!$D$473,1,Параметры!AY$53,Параметры!AY$59)/Параметры!AY$64</f>
        <v>1300699.5953045874</v>
      </c>
      <c r="AZ53" s="344">
        <f ca="1">Проект!AZ$473*CHOOSE(Проект!$D$473,1,Параметры!AZ$53,Параметры!AZ$59)/Параметры!AZ$64</f>
        <v>938137.75353151711</v>
      </c>
      <c r="BA53" s="344">
        <f ca="1">Проект!BA$473*CHOOSE(Проект!$D$473,1,Параметры!BA$53,Параметры!BA$59)/Параметры!BA$64</f>
        <v>947292.84677996091</v>
      </c>
      <c r="BB53" s="344">
        <f ca="1">Проект!BB$473*CHOOSE(Проект!$D$473,1,Параметры!BB$53,Параметры!BB$59)/Параметры!BB$64</f>
        <v>1147844.7392389292</v>
      </c>
      <c r="BC53" s="348"/>
      <c r="BD53" s="345">
        <f t="shared" ca="1" si="19"/>
        <v>44298046.370053977</v>
      </c>
    </row>
    <row r="54" spans="1:56" s="346" customFormat="1" x14ac:dyDescent="0.3">
      <c r="A54" s="339" t="str">
        <f>Проект!A$479</f>
        <v>Питание штата</v>
      </c>
      <c r="B54" s="340">
        <f t="shared" ca="1" si="20"/>
        <v>17943877.22130055</v>
      </c>
      <c r="C54" s="341" t="str">
        <f ca="1">Параметры!C$64</f>
        <v>руб.</v>
      </c>
      <c r="D54" s="342"/>
      <c r="E54" s="343"/>
      <c r="F54" s="343" t="s">
        <v>3463</v>
      </c>
      <c r="G54" s="344">
        <f ca="1">Проект!G$483*CHOOSE(Проект!$D$483,1,Параметры!G$53,Параметры!G$59)/Параметры!G$64</f>
        <v>0</v>
      </c>
      <c r="H54" s="344">
        <f ca="1">Проект!H$483*CHOOSE(Проект!$D$483,1,Параметры!H$53,Параметры!H$59)/Параметры!H$64</f>
        <v>0</v>
      </c>
      <c r="I54" s="344">
        <f ca="1">Проект!I$483*CHOOSE(Проект!$D$483,1,Параметры!I$53,Параметры!I$59)/Параметры!I$64</f>
        <v>0</v>
      </c>
      <c r="J54" s="344">
        <f ca="1">Проект!J$483*CHOOSE(Проект!$D$483,1,Параметры!J$53,Параметры!J$59)/Параметры!J$64</f>
        <v>0</v>
      </c>
      <c r="K54" s="344">
        <f ca="1">Проект!K$483*CHOOSE(Проект!$D$483,1,Параметры!K$53,Параметры!K$59)/Параметры!K$64</f>
        <v>0</v>
      </c>
      <c r="L54" s="344">
        <f ca="1">Проект!L$483*CHOOSE(Проект!$D$483,1,Параметры!L$53,Параметры!L$59)/Параметры!L$64</f>
        <v>0</v>
      </c>
      <c r="M54" s="344">
        <f ca="1">Проект!M$483*CHOOSE(Проект!$D$483,1,Параметры!M$53,Параметры!M$59)/Параметры!M$64</f>
        <v>386086.13028701249</v>
      </c>
      <c r="N54" s="344">
        <f ca="1">Проект!N$483*CHOOSE(Проект!$D$483,1,Параметры!N$53,Параметры!N$59)/Параметры!N$64</f>
        <v>387965.42404876219</v>
      </c>
      <c r="O54" s="344">
        <f ca="1">Проект!O$483*CHOOSE(Проект!$D$483,1,Параметры!O$53,Параметры!O$59)/Параметры!O$64</f>
        <v>389853.86536792427</v>
      </c>
      <c r="P54" s="344">
        <f ca="1">Проект!P$483*CHOOSE(Проект!$D$483,1,Параметры!P$53,Параметры!P$59)/Параметры!P$64</f>
        <v>391751.4987706971</v>
      </c>
      <c r="Q54" s="344">
        <f ca="1">Проект!Q$483*CHOOSE(Проект!$D$483,1,Параметры!Q$53,Параметры!Q$59)/Параметры!Q$64</f>
        <v>393658.36900001246</v>
      </c>
      <c r="R54" s="344">
        <f ca="1">Проект!R$483*CHOOSE(Проект!$D$483,1,Параметры!R$53,Параметры!R$59)/Параметры!R$64</f>
        <v>395574.52101659047</v>
      </c>
      <c r="S54" s="344">
        <f ca="1">Проект!S$483*CHOOSE(Проект!$D$483,1,Параметры!S$53,Параметры!S$59)/Параметры!S$64</f>
        <v>397500.00000000012</v>
      </c>
      <c r="T54" s="344">
        <f ca="1">Проект!T$483*CHOOSE(Проект!$D$483,1,Параметры!T$53,Параметры!T$59)/Параметры!T$64</f>
        <v>399434.85134972393</v>
      </c>
      <c r="U54" s="344">
        <f ca="1">Проект!U$483*CHOOSE(Проект!$D$483,1,Параметры!U$53,Параметры!U$59)/Параметры!U$64</f>
        <v>401379.12068622897</v>
      </c>
      <c r="V54" s="344">
        <f ca="1">Проект!V$483*CHOOSE(Проект!$D$483,1,Параметры!V$53,Параметры!V$59)/Параметры!V$64</f>
        <v>403332.85385204217</v>
      </c>
      <c r="W54" s="344">
        <f ca="1">Проект!W$483*CHOOSE(Проект!$D$483,1,Параметры!W$53,Параметры!W$59)/Параметры!W$64</f>
        <v>405296.09691283113</v>
      </c>
      <c r="X54" s="344">
        <f ca="1">Проект!X$483*CHOOSE(Проект!$D$483,1,Параметры!X$53,Параметры!X$59)/Параметры!X$64</f>
        <v>407268.89615849045</v>
      </c>
      <c r="Y54" s="344">
        <f ca="1">Проект!Y$483*CHOOSE(Проект!$D$483,1,Параметры!Y$53,Параметры!Y$59)/Параметры!Y$64</f>
        <v>409251.29810423334</v>
      </c>
      <c r="Z54" s="344">
        <f ca="1">Проект!Z$483*CHOOSE(Проект!$D$483,1,Параметры!Z$53,Параметры!Z$59)/Параметры!Z$64</f>
        <v>411243.34949168796</v>
      </c>
      <c r="AA54" s="344">
        <f ca="1">Проект!AA$483*CHOOSE(Проект!$D$483,1,Параметры!AA$53,Параметры!AA$59)/Параметры!AA$64</f>
        <v>413245.09728999983</v>
      </c>
      <c r="AB54" s="344">
        <f ca="1">Проект!AB$483*CHOOSE(Проект!$D$483,1,Параметры!AB$53,Параметры!AB$59)/Параметры!AB$64</f>
        <v>415256.588696939</v>
      </c>
      <c r="AC54" s="344">
        <f ca="1">Проект!AC$483*CHOOSE(Проект!$D$483,1,Параметры!AC$53,Параметры!AC$59)/Параметры!AC$64</f>
        <v>417277.87114001327</v>
      </c>
      <c r="AD54" s="344">
        <f ca="1">Проект!AD$483*CHOOSE(Проект!$D$483,1,Параметры!AD$53,Параметры!AD$59)/Параметры!AD$64</f>
        <v>419308.99227758602</v>
      </c>
      <c r="AE54" s="344">
        <f ca="1">Проект!AE$483*CHOOSE(Проект!$D$483,1,Параметры!AE$53,Параметры!AE$59)/Параметры!AE$64</f>
        <v>421350.00000000023</v>
      </c>
      <c r="AF54" s="344">
        <f ca="1">Проект!AF$483*CHOOSE(Проект!$D$483,1,Параметры!AF$53,Параметры!AF$59)/Параметры!AF$64</f>
        <v>423400.94243070757</v>
      </c>
      <c r="AG54" s="344">
        <f ca="1">Проект!AG$483*CHOOSE(Проект!$D$483,1,Параметры!AG$53,Параметры!AG$59)/Параметры!AG$64</f>
        <v>425461.8679274029</v>
      </c>
      <c r="AH54" s="344">
        <f ca="1">Проект!AH$483*CHOOSE(Проект!$D$483,1,Параметры!AH$53,Параметры!AH$59)/Параметры!AH$64</f>
        <v>427532.82508316491</v>
      </c>
      <c r="AI54" s="344">
        <f ca="1">Проект!AI$483*CHOOSE(Проект!$D$483,1,Параметры!AI$53,Параметры!AI$59)/Параметры!AI$64</f>
        <v>429613.86272760114</v>
      </c>
      <c r="AJ54" s="344">
        <f ca="1">Проект!AJ$483*CHOOSE(Проект!$D$483,1,Параметры!AJ$53,Параметры!AJ$59)/Параметры!AJ$64</f>
        <v>431705.02992800012</v>
      </c>
      <c r="AK54" s="344">
        <f ca="1">Проект!AK$483*CHOOSE(Проект!$D$483,1,Параметры!AK$53,Параметры!AK$59)/Параметры!AK$64</f>
        <v>433806.37599048758</v>
      </c>
      <c r="AL54" s="344">
        <f ca="1">Проект!AL$483*CHOOSE(Проект!$D$483,1,Параметры!AL$53,Параметры!AL$59)/Параметры!AL$64</f>
        <v>435917.9504611895</v>
      </c>
      <c r="AM54" s="344">
        <f ca="1">Проект!AM$483*CHOOSE(Проект!$D$483,1,Параметры!AM$53,Параметры!AM$59)/Параметры!AM$64</f>
        <v>438039.80312739999</v>
      </c>
      <c r="AN54" s="344">
        <f ca="1">Проект!AN$483*CHOOSE(Проект!$D$483,1,Параметры!AN$53,Параметры!AN$59)/Параметры!AN$64</f>
        <v>440171.98401875555</v>
      </c>
      <c r="AO54" s="344">
        <f ca="1">Проект!AO$483*CHOOSE(Проект!$D$483,1,Параметры!AO$53,Параметры!AO$59)/Параметры!AO$64</f>
        <v>442314.54340841423</v>
      </c>
      <c r="AP54" s="344">
        <f ca="1">Проект!AP$483*CHOOSE(Проект!$D$483,1,Параметры!AP$53,Параметры!AP$59)/Параметры!AP$64</f>
        <v>444467.53181424126</v>
      </c>
      <c r="AQ54" s="344">
        <f ca="1">Проект!AQ$483*CHOOSE(Проект!$D$483,1,Параметры!AQ$53,Параметры!AQ$59)/Параметры!AQ$64</f>
        <v>446631.00000000035</v>
      </c>
      <c r="AR54" s="344">
        <f ca="1">Проект!AR$483*CHOOSE(Проект!$D$483,1,Параметры!AR$53,Параметры!AR$59)/Параметры!AR$64</f>
        <v>448804.99897655006</v>
      </c>
      <c r="AS54" s="344">
        <f ca="1">Проект!AS$483*CHOOSE(Проект!$D$483,1,Параметры!AS$53,Параметры!AS$59)/Параметры!AS$64</f>
        <v>450989.58000304719</v>
      </c>
      <c r="AT54" s="344">
        <f ca="1">Проект!AT$483*CHOOSE(Проект!$D$483,1,Параметры!AT$53,Параметры!AT$59)/Параметры!AT$64</f>
        <v>453184.79458815482</v>
      </c>
      <c r="AU54" s="344">
        <f ca="1">Проект!AU$483*CHOOSE(Проект!$D$483,1,Параметры!AU$53,Параметры!AU$59)/Параметры!AU$64</f>
        <v>455390.69449125725</v>
      </c>
      <c r="AV54" s="344">
        <f ca="1">Проект!AV$483*CHOOSE(Проект!$D$483,1,Параметры!AV$53,Параметры!AV$59)/Параметры!AV$64</f>
        <v>457607.33172368014</v>
      </c>
      <c r="AW54" s="344">
        <f ca="1">Проект!AW$483*CHOOSE(Проект!$D$483,1,Параметры!AW$53,Параметры!AW$59)/Параметры!AW$64</f>
        <v>459834.75854991685</v>
      </c>
      <c r="AX54" s="344">
        <f ca="1">Проект!AX$483*CHOOSE(Проект!$D$483,1,Параметры!AX$53,Параметры!AX$59)/Параметры!AX$64</f>
        <v>462073.02748886088</v>
      </c>
      <c r="AY54" s="344">
        <f ca="1">Проект!AY$483*CHOOSE(Проект!$D$483,1,Параметры!AY$53,Параметры!AY$59)/Параметры!AY$64</f>
        <v>464322.19131504407</v>
      </c>
      <c r="AZ54" s="344">
        <f ca="1">Проект!AZ$483*CHOOSE(Проект!$D$483,1,Параметры!AZ$53,Параметры!AZ$59)/Параметры!AZ$64</f>
        <v>466582.30305988091</v>
      </c>
      <c r="BA54" s="344">
        <f ca="1">Проект!BA$483*CHOOSE(Проект!$D$483,1,Параметры!BA$53,Параметры!BA$59)/Параметры!BA$64</f>
        <v>468853.4160129191</v>
      </c>
      <c r="BB54" s="344">
        <f ca="1">Проект!BB$483*CHOOSE(Проект!$D$483,1,Параметры!BB$53,Параметры!BB$59)/Параметры!BB$64</f>
        <v>471135.58372309583</v>
      </c>
      <c r="BC54" s="348"/>
      <c r="BD54" s="345">
        <f t="shared" ca="1" si="19"/>
        <v>17943877.22130055</v>
      </c>
    </row>
    <row r="55" spans="1:56" s="346" customFormat="1" x14ac:dyDescent="0.3">
      <c r="A55" s="339" t="str">
        <f>Проект!A$489</f>
        <v>Вывоз твердых бытовых расходов</v>
      </c>
      <c r="B55" s="340">
        <f t="shared" ca="1" si="20"/>
        <v>287102.03554080881</v>
      </c>
      <c r="C55" s="341" t="str">
        <f ca="1">Параметры!C$64</f>
        <v>руб.</v>
      </c>
      <c r="D55" s="342"/>
      <c r="E55" s="343"/>
      <c r="F55" s="343" t="s">
        <v>3530</v>
      </c>
      <c r="G55" s="344">
        <f ca="1">Проект!G$493*CHOOSE(Проект!$D$493,1,Параметры!G$53,Параметры!G$59)/Параметры!G$64</f>
        <v>0</v>
      </c>
      <c r="H55" s="344">
        <f ca="1">Проект!H$493*CHOOSE(Проект!$D$493,1,Параметры!H$53,Параметры!H$59)/Параметры!H$64</f>
        <v>0</v>
      </c>
      <c r="I55" s="344">
        <f ca="1">Проект!I$493*CHOOSE(Проект!$D$493,1,Параметры!I$53,Параметры!I$59)/Параметры!I$64</f>
        <v>0</v>
      </c>
      <c r="J55" s="344">
        <f ca="1">Проект!J$493*CHOOSE(Проект!$D$493,1,Параметры!J$53,Параметры!J$59)/Параметры!J$64</f>
        <v>0</v>
      </c>
      <c r="K55" s="344">
        <f ca="1">Проект!K$493*CHOOSE(Проект!$D$493,1,Параметры!K$53,Параметры!K$59)/Параметры!K$64</f>
        <v>0</v>
      </c>
      <c r="L55" s="344">
        <f ca="1">Проект!L$493*CHOOSE(Проект!$D$493,1,Параметры!L$53,Параметры!L$59)/Параметры!L$64</f>
        <v>0</v>
      </c>
      <c r="M55" s="344">
        <f ca="1">Проект!M$493*CHOOSE(Проект!$D$493,1,Параметры!M$53,Параметры!M$59)/Параметры!M$64</f>
        <v>6177.3780845922001</v>
      </c>
      <c r="N55" s="344">
        <f ca="1">Проект!N$493*CHOOSE(Проект!$D$493,1,Параметры!N$53,Параметры!N$59)/Параметры!N$64</f>
        <v>6207.4467847801952</v>
      </c>
      <c r="O55" s="344">
        <f ca="1">Проект!O$493*CHOOSE(Проект!$D$493,1,Параметры!O$53,Параметры!O$59)/Параметры!O$64</f>
        <v>6237.6618458867879</v>
      </c>
      <c r="P55" s="344">
        <f ca="1">Проект!P$493*CHOOSE(Проект!$D$493,1,Параметры!P$53,Параметры!P$59)/Параметры!P$64</f>
        <v>6268.0239803311542</v>
      </c>
      <c r="Q55" s="344">
        <f ca="1">Проект!Q$493*CHOOSE(Проект!$D$493,1,Параметры!Q$53,Параметры!Q$59)/Параметры!Q$64</f>
        <v>6298.5339040001991</v>
      </c>
      <c r="R55" s="344">
        <f ca="1">Проект!R$493*CHOOSE(Проект!$D$493,1,Параметры!R$53,Параметры!R$59)/Параметры!R$64</f>
        <v>6329.192336265447</v>
      </c>
      <c r="S55" s="344">
        <f ca="1">Проект!S$493*CHOOSE(Проект!$D$493,1,Параметры!S$53,Параметры!S$59)/Параметры!S$64</f>
        <v>6360.0000000000018</v>
      </c>
      <c r="T55" s="344">
        <f ca="1">Проект!T$493*CHOOSE(Проект!$D$493,1,Параметры!T$53,Параметры!T$59)/Параметры!T$64</f>
        <v>6390.9576215955831</v>
      </c>
      <c r="U55" s="344">
        <f ca="1">Проект!U$493*CHOOSE(Проект!$D$493,1,Параметры!U$53,Параметры!U$59)/Параметры!U$64</f>
        <v>6422.0659309796638</v>
      </c>
      <c r="V55" s="344">
        <f ca="1">Проект!V$493*CHOOSE(Проект!$D$493,1,Параметры!V$53,Параметры!V$59)/Параметры!V$64</f>
        <v>6453.3256616326753</v>
      </c>
      <c r="W55" s="344">
        <f ca="1">Проект!W$493*CHOOSE(Проект!$D$493,1,Параметры!W$53,Параметры!W$59)/Параметры!W$64</f>
        <v>6484.7375506052977</v>
      </c>
      <c r="X55" s="344">
        <f ca="1">Проект!X$493*CHOOSE(Проект!$D$493,1,Параметры!X$53,Параметры!X$59)/Параметры!X$64</f>
        <v>6516.3023385358474</v>
      </c>
      <c r="Y55" s="344">
        <f ca="1">Проект!Y$493*CHOOSE(Проект!$D$493,1,Параметры!Y$53,Параметры!Y$59)/Параметры!Y$64</f>
        <v>6548.0207696677335</v>
      </c>
      <c r="Z55" s="344">
        <f ca="1">Проект!Z$493*CHOOSE(Проект!$D$493,1,Параметры!Z$53,Параметры!Z$59)/Параметры!Z$64</f>
        <v>6579.8935918670068</v>
      </c>
      <c r="AA55" s="344">
        <f ca="1">Проект!AA$493*CHOOSE(Проект!$D$493,1,Параметры!AA$53,Параметры!AA$59)/Параметры!AA$64</f>
        <v>6611.9215566399971</v>
      </c>
      <c r="AB55" s="344">
        <f ca="1">Проект!AB$493*CHOOSE(Проект!$D$493,1,Параметры!AB$53,Параметры!AB$59)/Параметры!AB$64</f>
        <v>6644.1054191510239</v>
      </c>
      <c r="AC55" s="344">
        <f ca="1">Проект!AC$493*CHOOSE(Проект!$D$493,1,Параметры!AC$53,Параметры!AC$59)/Параметры!AC$64</f>
        <v>6676.4459382402119</v>
      </c>
      <c r="AD55" s="344">
        <f ca="1">Проект!AD$493*CHOOSE(Проект!$D$493,1,Параметры!AD$53,Параметры!AD$59)/Параметры!AD$64</f>
        <v>6708.9438764413762</v>
      </c>
      <c r="AE55" s="344">
        <f ca="1">Проект!AE$493*CHOOSE(Проект!$D$493,1,Параметры!AE$53,Параметры!AE$59)/Параметры!AE$64</f>
        <v>6741.600000000004</v>
      </c>
      <c r="AF55" s="344">
        <f ca="1">Проект!AF$493*CHOOSE(Проект!$D$493,1,Параметры!AF$53,Параметры!AF$59)/Параметры!AF$64</f>
        <v>6774.4150788913212</v>
      </c>
      <c r="AG55" s="344">
        <f ca="1">Проект!AG$493*CHOOSE(Проект!$D$493,1,Параметры!AG$53,Параметры!AG$59)/Параметры!AG$64</f>
        <v>6807.3898868384467</v>
      </c>
      <c r="AH55" s="344">
        <f ca="1">Проект!AH$493*CHOOSE(Проект!$D$493,1,Параметры!AH$53,Параметры!AH$59)/Параметры!AH$64</f>
        <v>6840.5252013306381</v>
      </c>
      <c r="AI55" s="344">
        <f ca="1">Проект!AI$493*CHOOSE(Проект!$D$493,1,Параметры!AI$53,Параметры!AI$59)/Параметры!AI$64</f>
        <v>6873.8218036416183</v>
      </c>
      <c r="AJ55" s="344">
        <f ca="1">Проект!AJ$493*CHOOSE(Проект!$D$493,1,Параметры!AJ$53,Параметры!AJ$59)/Параметры!AJ$64</f>
        <v>6907.2804788480016</v>
      </c>
      <c r="AK55" s="344">
        <f ca="1">Проект!AK$493*CHOOSE(Проект!$D$493,1,Параметры!AK$53,Параметры!AK$59)/Параметры!AK$64</f>
        <v>6940.9020158478015</v>
      </c>
      <c r="AL55" s="344">
        <f ca="1">Проект!AL$493*CHOOSE(Проект!$D$493,1,Параметры!AL$53,Параметры!AL$59)/Параметры!AL$64</f>
        <v>6974.6872073790319</v>
      </c>
      <c r="AM55" s="344">
        <f ca="1">Проект!AM$493*CHOOSE(Проект!$D$493,1,Параметры!AM$53,Параметры!AM$59)/Параметры!AM$64</f>
        <v>7008.6368500384006</v>
      </c>
      <c r="AN55" s="344">
        <f ca="1">Проект!AN$493*CHOOSE(Проект!$D$493,1,Параметры!AN$53,Параметры!AN$59)/Параметры!AN$64</f>
        <v>7042.7517443000888</v>
      </c>
      <c r="AO55" s="344">
        <f ca="1">Проект!AO$493*CHOOSE(Проект!$D$493,1,Параметры!AO$53,Параметры!AO$59)/Параметры!AO$64</f>
        <v>7077.0326945346278</v>
      </c>
      <c r="AP55" s="344">
        <f ca="1">Проект!AP$493*CHOOSE(Проект!$D$493,1,Параметры!AP$53,Параметры!AP$59)/Параметры!AP$64</f>
        <v>7111.4805090278605</v>
      </c>
      <c r="AQ55" s="344">
        <f ca="1">Проект!AQ$493*CHOOSE(Проект!$D$493,1,Параметры!AQ$53,Параметры!AQ$59)/Параметры!AQ$64</f>
        <v>7146.0960000000059</v>
      </c>
      <c r="AR55" s="344">
        <f ca="1">Проект!AR$493*CHOOSE(Проект!$D$493,1,Параметры!AR$53,Параметры!AR$59)/Параметры!AR$64</f>
        <v>7180.8799836248008</v>
      </c>
      <c r="AS55" s="344">
        <f ca="1">Проект!AS$493*CHOOSE(Проект!$D$493,1,Параметры!AS$53,Параметры!AS$59)/Параметры!AS$64</f>
        <v>7215.8332800487551</v>
      </c>
      <c r="AT55" s="344">
        <f ca="1">Проект!AT$493*CHOOSE(Проект!$D$493,1,Параметры!AT$53,Параметры!AT$59)/Параметры!AT$64</f>
        <v>7250.9567134104773</v>
      </c>
      <c r="AU55" s="344">
        <f ca="1">Проект!AU$493*CHOOSE(Проект!$D$493,1,Параметры!AU$53,Параметры!AU$59)/Параметры!AU$64</f>
        <v>7286.251111860116</v>
      </c>
      <c r="AV55" s="344">
        <f ca="1">Проект!AV$493*CHOOSE(Проект!$D$493,1,Параметры!AV$53,Параметры!AV$59)/Параметры!AV$64</f>
        <v>7321.7173075788824</v>
      </c>
      <c r="AW55" s="344">
        <f ca="1">Проект!AW$493*CHOOSE(Проект!$D$493,1,Параметры!AW$53,Параметры!AW$59)/Параметры!AW$64</f>
        <v>7357.3561367986704</v>
      </c>
      <c r="AX55" s="344">
        <f ca="1">Проект!AX$493*CHOOSE(Проект!$D$493,1,Параметры!AX$53,Параметры!AX$59)/Параметры!AX$64</f>
        <v>7393.168439821774</v>
      </c>
      <c r="AY55" s="344">
        <f ca="1">Проект!AY$493*CHOOSE(Проект!$D$493,1,Параметры!AY$53,Параметры!AY$59)/Параметры!AY$64</f>
        <v>7429.1550610407048</v>
      </c>
      <c r="AZ55" s="344">
        <f ca="1">Проект!AZ$493*CHOOSE(Проект!$D$493,1,Параметры!AZ$53,Параметры!AZ$59)/Параметры!AZ$64</f>
        <v>7465.3168489580949</v>
      </c>
      <c r="BA55" s="344">
        <f ca="1">Проект!BA$493*CHOOSE(Проект!$D$493,1,Параметры!BA$53,Параметры!BA$59)/Параметры!BA$64</f>
        <v>7501.654656206706</v>
      </c>
      <c r="BB55" s="344">
        <f ca="1">Проект!BB$493*CHOOSE(Проект!$D$493,1,Параметры!BB$53,Параметры!BB$59)/Параметры!BB$64</f>
        <v>7538.1693395695329</v>
      </c>
      <c r="BC55" s="348"/>
      <c r="BD55" s="345">
        <f t="shared" ca="1" si="19"/>
        <v>287102.03554080881</v>
      </c>
    </row>
    <row r="56" spans="1:56" s="346" customFormat="1" x14ac:dyDescent="0.3">
      <c r="A56" s="339" t="str">
        <f>Проект!A$499</f>
        <v>Тревожная кнопка</v>
      </c>
      <c r="B56" s="340">
        <f t="shared" ca="1" si="20"/>
        <v>239251.69628400734</v>
      </c>
      <c r="C56" s="341" t="str">
        <f ca="1">Параметры!C$64</f>
        <v>руб.</v>
      </c>
      <c r="D56" s="342"/>
      <c r="E56" s="343"/>
      <c r="F56" s="343" t="s">
        <v>3534</v>
      </c>
      <c r="G56" s="344">
        <f ca="1">Проект!G$503*CHOOSE(Проект!$D$503,1,Параметры!G$53,Параметры!G$59)/Параметры!G$64</f>
        <v>0</v>
      </c>
      <c r="H56" s="344">
        <f ca="1">Проект!H$503*CHOOSE(Проект!$D$503,1,Параметры!H$53,Параметры!H$59)/Параметры!H$64</f>
        <v>0</v>
      </c>
      <c r="I56" s="344">
        <f ca="1">Проект!I$503*CHOOSE(Проект!$D$503,1,Параметры!I$53,Параметры!I$59)/Параметры!I$64</f>
        <v>0</v>
      </c>
      <c r="J56" s="344">
        <f ca="1">Проект!J$503*CHOOSE(Проект!$D$503,1,Параметры!J$53,Параметры!J$59)/Параметры!J$64</f>
        <v>0</v>
      </c>
      <c r="K56" s="344">
        <f ca="1">Проект!K$503*CHOOSE(Проект!$D$503,1,Параметры!K$53,Параметры!K$59)/Параметры!K$64</f>
        <v>0</v>
      </c>
      <c r="L56" s="344">
        <f ca="1">Проект!L$503*CHOOSE(Проект!$D$503,1,Параметры!L$53,Параметры!L$59)/Параметры!L$64</f>
        <v>0</v>
      </c>
      <c r="M56" s="344">
        <f ca="1">Проект!M$503*CHOOSE(Проект!$D$503,1,Параметры!M$53,Параметры!M$59)/Параметры!M$64</f>
        <v>5147.8150704934997</v>
      </c>
      <c r="N56" s="344">
        <f ca="1">Проект!N$503*CHOOSE(Проект!$D$503,1,Параметры!N$53,Параметры!N$59)/Параметры!N$64</f>
        <v>5172.8723206501627</v>
      </c>
      <c r="O56" s="344">
        <f ca="1">Проект!O$503*CHOOSE(Проект!$D$503,1,Параметры!O$53,Параметры!O$59)/Параметры!O$64</f>
        <v>5198.0515382389904</v>
      </c>
      <c r="P56" s="344">
        <f ca="1">Проект!P$503*CHOOSE(Проект!$D$503,1,Параметры!P$53,Параметры!P$59)/Параметры!P$64</f>
        <v>5223.3533169426282</v>
      </c>
      <c r="Q56" s="344">
        <f ca="1">Проект!Q$503*CHOOSE(Проект!$D$503,1,Параметры!Q$53,Параметры!Q$59)/Параметры!Q$64</f>
        <v>5248.7782533334994</v>
      </c>
      <c r="R56" s="344">
        <f ca="1">Проект!R$503*CHOOSE(Проект!$D$503,1,Параметры!R$53,Параметры!R$59)/Параметры!R$64</f>
        <v>5274.3269468878725</v>
      </c>
      <c r="S56" s="344">
        <f ca="1">Проект!S$503*CHOOSE(Проект!$D$503,1,Параметры!S$53,Параметры!S$59)/Параметры!S$64</f>
        <v>5300.0000000000018</v>
      </c>
      <c r="T56" s="344">
        <f ca="1">Проект!T$503*CHOOSE(Проект!$D$503,1,Параметры!T$53,Параметры!T$59)/Параметры!T$64</f>
        <v>5325.7980179963197</v>
      </c>
      <c r="U56" s="344">
        <f ca="1">Проект!U$503*CHOOSE(Проект!$D$503,1,Параметры!U$53,Параметры!U$59)/Параметры!U$64</f>
        <v>5351.7216091497203</v>
      </c>
      <c r="V56" s="344">
        <f ca="1">Проект!V$503*CHOOSE(Проект!$D$503,1,Параметры!V$53,Параметры!V$59)/Параметры!V$64</f>
        <v>5377.7713846938959</v>
      </c>
      <c r="W56" s="344">
        <f ca="1">Проект!W$503*CHOOSE(Проект!$D$503,1,Параметры!W$53,Параметры!W$59)/Параметры!W$64</f>
        <v>5403.947958837748</v>
      </c>
      <c r="X56" s="344">
        <f ca="1">Проект!X$503*CHOOSE(Проект!$D$503,1,Параметры!X$53,Параметры!X$59)/Параметры!X$64</f>
        <v>5430.2519487798727</v>
      </c>
      <c r="Y56" s="344">
        <f ca="1">Проект!Y$503*CHOOSE(Проект!$D$503,1,Параметры!Y$53,Параметры!Y$59)/Параметры!Y$64</f>
        <v>5456.6839747231106</v>
      </c>
      <c r="Z56" s="344">
        <f ca="1">Проект!Z$503*CHOOSE(Проект!$D$503,1,Параметры!Z$53,Параметры!Z$59)/Параметры!Z$64</f>
        <v>5483.2446598891729</v>
      </c>
      <c r="AA56" s="344">
        <f ca="1">Проект!AA$503*CHOOSE(Проект!$D$503,1,Параметры!AA$53,Параметры!AA$59)/Параметры!AA$64</f>
        <v>5509.9346305333311</v>
      </c>
      <c r="AB56" s="344">
        <f ca="1">Проект!AB$503*CHOOSE(Проект!$D$503,1,Параметры!AB$53,Параметры!AB$59)/Параметры!AB$64</f>
        <v>5536.7545159591873</v>
      </c>
      <c r="AC56" s="344">
        <f ca="1">Проект!AC$503*CHOOSE(Проект!$D$503,1,Параметры!AC$53,Параметры!AC$59)/Параметры!AC$64</f>
        <v>5563.7049485335101</v>
      </c>
      <c r="AD56" s="344">
        <f ca="1">Проект!AD$503*CHOOSE(Проект!$D$503,1,Параметры!AD$53,Параметры!AD$59)/Параметры!AD$64</f>
        <v>5590.7865637011464</v>
      </c>
      <c r="AE56" s="344">
        <f ca="1">Проект!AE$503*CHOOSE(Проект!$D$503,1,Параметры!AE$53,Параметры!AE$59)/Параметры!AE$64</f>
        <v>5618.0000000000027</v>
      </c>
      <c r="AF56" s="344">
        <f ca="1">Проект!AF$503*CHOOSE(Проект!$D$503,1,Параметры!AF$53,Параметры!AF$59)/Параметры!AF$64</f>
        <v>5645.345899076101</v>
      </c>
      <c r="AG56" s="344">
        <f ca="1">Проект!AG$503*CHOOSE(Проект!$D$503,1,Параметры!AG$53,Параметры!AG$59)/Параметры!AG$64</f>
        <v>5672.8249056987061</v>
      </c>
      <c r="AH56" s="344">
        <f ca="1">Проект!AH$503*CHOOSE(Проект!$D$503,1,Параметры!AH$53,Параметры!AH$59)/Параметры!AH$64</f>
        <v>5700.4376677755317</v>
      </c>
      <c r="AI56" s="344">
        <f ca="1">Проект!AI$503*CHOOSE(Проект!$D$503,1,Параметры!AI$53,Параметры!AI$59)/Параметры!AI$64</f>
        <v>5728.1848363680156</v>
      </c>
      <c r="AJ56" s="344">
        <f ca="1">Проект!AJ$503*CHOOSE(Проект!$D$503,1,Параметры!AJ$53,Параметры!AJ$59)/Параметры!AJ$64</f>
        <v>5756.0670657066685</v>
      </c>
      <c r="AK56" s="344">
        <f ca="1">Проект!AK$503*CHOOSE(Проект!$D$503,1,Параметры!AK$53,Параметры!AK$59)/Параметры!AK$64</f>
        <v>5784.0850132065016</v>
      </c>
      <c r="AL56" s="344">
        <f ca="1">Проект!AL$503*CHOOSE(Проект!$D$503,1,Параметры!AL$53,Параметры!AL$59)/Параметры!AL$64</f>
        <v>5812.2393394825267</v>
      </c>
      <c r="AM56" s="344">
        <f ca="1">Проект!AM$503*CHOOSE(Проект!$D$503,1,Параметры!AM$53,Параметры!AM$59)/Параметры!AM$64</f>
        <v>5840.5307083653333</v>
      </c>
      <c r="AN56" s="344">
        <f ca="1">Проект!AN$503*CHOOSE(Проект!$D$503,1,Параметры!AN$53,Параметры!AN$59)/Параметры!AN$64</f>
        <v>5868.959786916741</v>
      </c>
      <c r="AO56" s="344">
        <f ca="1">Проект!AO$503*CHOOSE(Проект!$D$503,1,Параметры!AO$53,Параметры!AO$59)/Параметры!AO$64</f>
        <v>5897.5272454455226</v>
      </c>
      <c r="AP56" s="344">
        <f ca="1">Проект!AP$503*CHOOSE(Проект!$D$503,1,Параметры!AP$53,Параметры!AP$59)/Параметры!AP$64</f>
        <v>5926.2337575232168</v>
      </c>
      <c r="AQ56" s="344">
        <f ca="1">Проект!AQ$503*CHOOSE(Проект!$D$503,1,Параметры!AQ$53,Параметры!AQ$59)/Параметры!AQ$64</f>
        <v>5955.0800000000045</v>
      </c>
      <c r="AR56" s="344">
        <f ca="1">Проект!AR$503*CHOOSE(Проект!$D$503,1,Параметры!AR$53,Параметры!AR$59)/Параметры!AR$64</f>
        <v>5984.0666530206672</v>
      </c>
      <c r="AS56" s="344">
        <f ca="1">Проект!AS$503*CHOOSE(Проект!$D$503,1,Параметры!AS$53,Параметры!AS$59)/Параметры!AS$64</f>
        <v>6013.1944000406293</v>
      </c>
      <c r="AT56" s="344">
        <f ca="1">Проект!AT$503*CHOOSE(Проект!$D$503,1,Параметры!AT$53,Параметры!AT$59)/Параметры!AT$64</f>
        <v>6042.4639278420645</v>
      </c>
      <c r="AU56" s="344">
        <f ca="1">Проект!AU$503*CHOOSE(Проект!$D$503,1,Параметры!AU$53,Параметры!AU$59)/Параметры!AU$64</f>
        <v>6071.8759265500967</v>
      </c>
      <c r="AV56" s="344">
        <f ca="1">Проект!AV$503*CHOOSE(Проект!$D$503,1,Параметры!AV$53,Параметры!AV$59)/Параметры!AV$64</f>
        <v>6101.4310896490688</v>
      </c>
      <c r="AW56" s="344">
        <f ca="1">Проект!AW$503*CHOOSE(Проект!$D$503,1,Параметры!AW$53,Параметры!AW$59)/Параметры!AW$64</f>
        <v>6131.1301139988918</v>
      </c>
      <c r="AX56" s="344">
        <f ca="1">Проект!AX$503*CHOOSE(Проект!$D$503,1,Параметры!AX$53,Параметры!AX$59)/Параметры!AX$64</f>
        <v>6160.9736998514782</v>
      </c>
      <c r="AY56" s="344">
        <f ca="1">Проект!AY$503*CHOOSE(Проект!$D$503,1,Параметры!AY$53,Параметры!AY$59)/Параметры!AY$64</f>
        <v>6190.9625508672543</v>
      </c>
      <c r="AZ56" s="344">
        <f ca="1">Проект!AZ$503*CHOOSE(Проект!$D$503,1,Параметры!AZ$53,Параметры!AZ$59)/Параметры!AZ$64</f>
        <v>6221.0973741317457</v>
      </c>
      <c r="BA56" s="344">
        <f ca="1">Проект!BA$503*CHOOSE(Проект!$D$503,1,Параметры!BA$53,Параметры!BA$59)/Параметры!BA$64</f>
        <v>6251.3788801722549</v>
      </c>
      <c r="BB56" s="344">
        <f ca="1">Проект!BB$503*CHOOSE(Проект!$D$503,1,Параметры!BB$53,Параметры!BB$59)/Параметры!BB$64</f>
        <v>6281.8077829746107</v>
      </c>
      <c r="BC56" s="348"/>
      <c r="BD56" s="345">
        <f t="shared" ca="1" si="19"/>
        <v>239251.69628400734</v>
      </c>
    </row>
    <row r="57" spans="1:56" x14ac:dyDescent="0.3">
      <c r="A57" s="9"/>
      <c r="B57" s="136"/>
      <c r="D57" s="11"/>
      <c r="E57" s="11"/>
      <c r="G57" s="132"/>
      <c r="H57" s="132"/>
      <c r="I57" s="132"/>
      <c r="J57" s="132"/>
      <c r="K57" s="132"/>
      <c r="L57" s="132"/>
      <c r="M57" s="132"/>
      <c r="N57" s="132"/>
      <c r="O57" s="132"/>
      <c r="P57" s="132"/>
      <c r="Q57" s="132"/>
      <c r="R57" s="132"/>
      <c r="S57" s="132"/>
      <c r="T57" s="132"/>
      <c r="U57" s="132"/>
      <c r="V57" s="132"/>
      <c r="W57" s="132"/>
      <c r="X57" s="132"/>
      <c r="Y57" s="132"/>
      <c r="Z57" s="132"/>
      <c r="AA57" s="132"/>
      <c r="AB57" s="132"/>
      <c r="AC57" s="132"/>
      <c r="AD57" s="132"/>
      <c r="AE57" s="132"/>
      <c r="AF57" s="132"/>
      <c r="AG57" s="132"/>
      <c r="AH57" s="132"/>
      <c r="AI57" s="132"/>
      <c r="AJ57" s="132"/>
      <c r="AK57" s="132"/>
      <c r="AL57" s="132"/>
      <c r="AM57" s="132"/>
      <c r="AN57" s="132"/>
      <c r="AO57" s="132"/>
      <c r="AP57" s="132"/>
      <c r="AQ57" s="132"/>
      <c r="AR57" s="132"/>
      <c r="AS57" s="132"/>
      <c r="AT57" s="132"/>
      <c r="AU57" s="132"/>
      <c r="AV57" s="132"/>
      <c r="AW57" s="132"/>
      <c r="AX57" s="132"/>
      <c r="AY57" s="132"/>
      <c r="AZ57" s="132"/>
      <c r="BA57" s="132"/>
      <c r="BB57" s="132"/>
      <c r="BC57" s="74"/>
      <c r="BD57" s="57"/>
    </row>
    <row r="58" spans="1:56" s="34" customFormat="1" hidden="1" x14ac:dyDescent="0.3">
      <c r="A58" s="138" t="str">
        <f ca="1">Language!A$763</f>
        <v>Управленческие издержки</v>
      </c>
      <c r="B58" s="137">
        <f t="shared" ref="B58:B60" si="21">BD58</f>
        <v>0</v>
      </c>
      <c r="C58" s="100" t="str">
        <f ca="1">Параметры!$C$64</f>
        <v>руб.</v>
      </c>
      <c r="D58" s="139">
        <v>0</v>
      </c>
      <c r="E58" s="6" t="s">
        <v>2328</v>
      </c>
      <c r="F58" s="6" t="s">
        <v>3450</v>
      </c>
      <c r="G58" s="58">
        <f t="shared" ref="G58:M58" si="22">SUM(G59:G59)</f>
        <v>0</v>
      </c>
      <c r="H58" s="58">
        <f t="shared" si="22"/>
        <v>0</v>
      </c>
      <c r="I58" s="58">
        <f t="shared" si="22"/>
        <v>0</v>
      </c>
      <c r="J58" s="58">
        <f t="shared" si="22"/>
        <v>0</v>
      </c>
      <c r="K58" s="58">
        <f t="shared" si="22"/>
        <v>0</v>
      </c>
      <c r="L58" s="58">
        <f t="shared" si="22"/>
        <v>0</v>
      </c>
      <c r="M58" s="58">
        <f t="shared" si="22"/>
        <v>0</v>
      </c>
      <c r="N58" s="58">
        <f t="shared" ref="N58:O58" si="23">SUM(N59:N59)</f>
        <v>0</v>
      </c>
      <c r="O58" s="58">
        <f t="shared" si="23"/>
        <v>0</v>
      </c>
      <c r="P58" s="58">
        <f t="shared" ref="P58:Q58" si="24">SUM(P59:P59)</f>
        <v>0</v>
      </c>
      <c r="Q58" s="58">
        <f t="shared" si="24"/>
        <v>0</v>
      </c>
      <c r="R58" s="58">
        <f t="shared" ref="R58:S58" si="25">SUM(R59:R59)</f>
        <v>0</v>
      </c>
      <c r="S58" s="58">
        <f t="shared" si="25"/>
        <v>0</v>
      </c>
      <c r="T58" s="58">
        <f t="shared" ref="T58:U58" si="26">SUM(T59:T59)</f>
        <v>0</v>
      </c>
      <c r="U58" s="58">
        <f t="shared" si="26"/>
        <v>0</v>
      </c>
      <c r="V58" s="58">
        <f t="shared" ref="V58:W58" si="27">SUM(V59:V59)</f>
        <v>0</v>
      </c>
      <c r="W58" s="58">
        <f t="shared" si="27"/>
        <v>0</v>
      </c>
      <c r="X58" s="58">
        <f t="shared" ref="X58:Y58" si="28">SUM(X59:X59)</f>
        <v>0</v>
      </c>
      <c r="Y58" s="58">
        <f t="shared" si="28"/>
        <v>0</v>
      </c>
      <c r="Z58" s="58">
        <f t="shared" ref="Z58:AA58" si="29">SUM(Z59:Z59)</f>
        <v>0</v>
      </c>
      <c r="AA58" s="58">
        <f t="shared" si="29"/>
        <v>0</v>
      </c>
      <c r="AB58" s="58">
        <f t="shared" ref="AB58:AC58" si="30">SUM(AB59:AB59)</f>
        <v>0</v>
      </c>
      <c r="AC58" s="58">
        <f t="shared" si="30"/>
        <v>0</v>
      </c>
      <c r="AD58" s="58">
        <f t="shared" ref="AD58:AE58" si="31">SUM(AD59:AD59)</f>
        <v>0</v>
      </c>
      <c r="AE58" s="58">
        <f t="shared" si="31"/>
        <v>0</v>
      </c>
      <c r="AF58" s="58">
        <f t="shared" ref="AF58:AG58" si="32">SUM(AF59:AF59)</f>
        <v>0</v>
      </c>
      <c r="AG58" s="58">
        <f t="shared" si="32"/>
        <v>0</v>
      </c>
      <c r="AH58" s="58">
        <f t="shared" ref="AH58:AI58" si="33">SUM(AH59:AH59)</f>
        <v>0</v>
      </c>
      <c r="AI58" s="58">
        <f t="shared" si="33"/>
        <v>0</v>
      </c>
      <c r="AJ58" s="58">
        <f t="shared" ref="AJ58:AK58" si="34">SUM(AJ59:AJ59)</f>
        <v>0</v>
      </c>
      <c r="AK58" s="58">
        <f t="shared" si="34"/>
        <v>0</v>
      </c>
      <c r="AL58" s="58">
        <f t="shared" ref="AL58:AM58" si="35">SUM(AL59:AL59)</f>
        <v>0</v>
      </c>
      <c r="AM58" s="58">
        <f t="shared" si="35"/>
        <v>0</v>
      </c>
      <c r="AN58" s="58">
        <f t="shared" ref="AN58:AO58" si="36">SUM(AN59:AN59)</f>
        <v>0</v>
      </c>
      <c r="AO58" s="58">
        <f t="shared" si="36"/>
        <v>0</v>
      </c>
      <c r="AP58" s="58">
        <f t="shared" ref="AP58:AQ58" si="37">SUM(AP59:AP59)</f>
        <v>0</v>
      </c>
      <c r="AQ58" s="58">
        <f t="shared" si="37"/>
        <v>0</v>
      </c>
      <c r="AR58" s="58">
        <f t="shared" ref="AR58:AS58" si="38">SUM(AR59:AR59)</f>
        <v>0</v>
      </c>
      <c r="AS58" s="58">
        <f t="shared" si="38"/>
        <v>0</v>
      </c>
      <c r="AT58" s="58">
        <f t="shared" ref="AT58:AU58" si="39">SUM(AT59:AT59)</f>
        <v>0</v>
      </c>
      <c r="AU58" s="58">
        <f t="shared" si="39"/>
        <v>0</v>
      </c>
      <c r="AV58" s="58">
        <f t="shared" ref="AV58:AW58" si="40">SUM(AV59:AV59)</f>
        <v>0</v>
      </c>
      <c r="AW58" s="58">
        <f t="shared" si="40"/>
        <v>0</v>
      </c>
      <c r="AX58" s="58">
        <f t="shared" ref="AX58:AY58" si="41">SUM(AX59:AX59)</f>
        <v>0</v>
      </c>
      <c r="AY58" s="58">
        <f t="shared" si="41"/>
        <v>0</v>
      </c>
      <c r="AZ58" s="58">
        <f t="shared" ref="AZ58:BA58" si="42">SUM(AZ59:AZ59)</f>
        <v>0</v>
      </c>
      <c r="BA58" s="58">
        <f t="shared" si="42"/>
        <v>0</v>
      </c>
      <c r="BB58" s="58">
        <f t="shared" ref="BB58" si="43">SUM(BB59:BB59)</f>
        <v>0</v>
      </c>
      <c r="BC58" s="145"/>
      <c r="BD58" s="76">
        <f>SUM(G58:BC58)</f>
        <v>0</v>
      </c>
    </row>
    <row r="59" spans="1:56" hidden="1" x14ac:dyDescent="0.3">
      <c r="A59" s="9"/>
      <c r="B59" s="136"/>
      <c r="D59" s="11"/>
      <c r="E59" s="11"/>
      <c r="G59" s="132"/>
      <c r="H59" s="132"/>
      <c r="I59" s="132"/>
      <c r="J59" s="132"/>
      <c r="K59" s="132"/>
      <c r="L59" s="132"/>
      <c r="M59" s="132"/>
      <c r="N59" s="132"/>
      <c r="O59" s="132"/>
      <c r="P59" s="132"/>
      <c r="Q59" s="132"/>
      <c r="R59" s="132"/>
      <c r="S59" s="132"/>
      <c r="T59" s="132"/>
      <c r="U59" s="132"/>
      <c r="V59" s="132"/>
      <c r="W59" s="132"/>
      <c r="X59" s="132"/>
      <c r="Y59" s="132"/>
      <c r="Z59" s="132"/>
      <c r="AA59" s="132"/>
      <c r="AB59" s="132"/>
      <c r="AC59" s="132"/>
      <c r="AD59" s="132"/>
      <c r="AE59" s="132"/>
      <c r="AF59" s="132"/>
      <c r="AG59" s="132"/>
      <c r="AH59" s="132"/>
      <c r="AI59" s="132"/>
      <c r="AJ59" s="132"/>
      <c r="AK59" s="132"/>
      <c r="AL59" s="132"/>
      <c r="AM59" s="132"/>
      <c r="AN59" s="132"/>
      <c r="AO59" s="132"/>
      <c r="AP59" s="132"/>
      <c r="AQ59" s="132"/>
      <c r="AR59" s="132"/>
      <c r="AS59" s="132"/>
      <c r="AT59" s="132"/>
      <c r="AU59" s="132"/>
      <c r="AV59" s="132"/>
      <c r="AW59" s="132"/>
      <c r="AX59" s="132"/>
      <c r="AY59" s="132"/>
      <c r="AZ59" s="132"/>
      <c r="BA59" s="132"/>
      <c r="BB59" s="132"/>
      <c r="BC59" s="74"/>
      <c r="BD59" s="57"/>
    </row>
    <row r="60" spans="1:56" s="34" customFormat="1" x14ac:dyDescent="0.3">
      <c r="A60" s="138" t="str">
        <f ca="1">Language!A$764</f>
        <v>Коммерческие издержки</v>
      </c>
      <c r="B60" s="137">
        <f t="shared" ca="1" si="21"/>
        <v>44298046.370053977</v>
      </c>
      <c r="C60" s="100" t="str">
        <f ca="1">Параметры!$C$64</f>
        <v>руб.</v>
      </c>
      <c r="D60" s="139">
        <v>0</v>
      </c>
      <c r="E60" s="6" t="s">
        <v>2329</v>
      </c>
      <c r="F60" s="6" t="s">
        <v>3413</v>
      </c>
      <c r="G60" s="58">
        <f ca="1">SUM(G61:G62)</f>
        <v>0</v>
      </c>
      <c r="H60" s="58">
        <f t="shared" ref="H60:BB60" ca="1" si="44">SUM(H61:H62)</f>
        <v>0</v>
      </c>
      <c r="I60" s="58">
        <f t="shared" ca="1" si="44"/>
        <v>0</v>
      </c>
      <c r="J60" s="58">
        <f t="shared" ca="1" si="44"/>
        <v>0</v>
      </c>
      <c r="K60" s="58">
        <f t="shared" ca="1" si="44"/>
        <v>0</v>
      </c>
      <c r="L60" s="58">
        <f t="shared" ca="1" si="44"/>
        <v>0</v>
      </c>
      <c r="M60" s="58">
        <f t="shared" ca="1" si="44"/>
        <v>385416.00000000006</v>
      </c>
      <c r="N60" s="58">
        <f t="shared" ca="1" si="44"/>
        <v>518902.9272231569</v>
      </c>
      <c r="O60" s="58">
        <f t="shared" ca="1" si="44"/>
        <v>654958.49261113524</v>
      </c>
      <c r="P60" s="58">
        <f t="shared" ca="1" si="44"/>
        <v>793620.11728372949</v>
      </c>
      <c r="Q60" s="58">
        <f t="shared" ca="1" si="44"/>
        <v>801364.89266476815</v>
      </c>
      <c r="R60" s="58">
        <f t="shared" ca="1" si="44"/>
        <v>809185.24771471391</v>
      </c>
      <c r="S60" s="58">
        <f t="shared" ca="1" si="44"/>
        <v>1089442.560000001</v>
      </c>
      <c r="T60" s="58">
        <f t="shared" ca="1" si="44"/>
        <v>962564.92999895674</v>
      </c>
      <c r="U60" s="58">
        <f t="shared" ca="1" si="44"/>
        <v>833107.20260136435</v>
      </c>
      <c r="V60" s="58">
        <f t="shared" ca="1" si="44"/>
        <v>841237.32432075369</v>
      </c>
      <c r="W60" s="58">
        <f t="shared" ca="1" si="44"/>
        <v>707872.32185387868</v>
      </c>
      <c r="X60" s="58">
        <f t="shared" ca="1" si="44"/>
        <v>1143648.4834367959</v>
      </c>
      <c r="Y60" s="58">
        <f t="shared" ca="1" si="44"/>
        <v>1443511.3920000012</v>
      </c>
      <c r="Z60" s="58">
        <f t="shared" ca="1" si="44"/>
        <v>1457598.3225698487</v>
      </c>
      <c r="AA60" s="58">
        <f t="shared" ca="1" si="44"/>
        <v>1030275.9072170208</v>
      </c>
      <c r="AB60" s="58">
        <f t="shared" ca="1" si="44"/>
        <v>743092.96981666586</v>
      </c>
      <c r="AC60" s="58">
        <f t="shared" ca="1" si="44"/>
        <v>750344.66116511158</v>
      </c>
      <c r="AD60" s="58">
        <f t="shared" ca="1" si="44"/>
        <v>909200.54433225305</v>
      </c>
      <c r="AE60" s="58">
        <f t="shared" ca="1" si="44"/>
        <v>1224097.6604160017</v>
      </c>
      <c r="AF60" s="58">
        <f t="shared" ca="1" si="44"/>
        <v>1081537.9553468281</v>
      </c>
      <c r="AG60" s="58">
        <f t="shared" ca="1" si="44"/>
        <v>936079.25284289324</v>
      </c>
      <c r="AH60" s="58">
        <f t="shared" ca="1" si="44"/>
        <v>945214.25760679948</v>
      </c>
      <c r="AI60" s="58">
        <f t="shared" ca="1" si="44"/>
        <v>795365.34083501843</v>
      </c>
      <c r="AJ60" s="58">
        <f t="shared" ca="1" si="44"/>
        <v>1285003.4359895848</v>
      </c>
      <c r="AK60" s="58">
        <f t="shared" ca="1" si="44"/>
        <v>1621929.4000512029</v>
      </c>
      <c r="AL60" s="58">
        <f t="shared" ca="1" si="44"/>
        <v>1637757.4752394829</v>
      </c>
      <c r="AM60" s="58">
        <f t="shared" ca="1" si="44"/>
        <v>1157618.0093490449</v>
      </c>
      <c r="AN60" s="58">
        <f t="shared" ca="1" si="44"/>
        <v>834939.26088600629</v>
      </c>
      <c r="AO60" s="58">
        <f t="shared" ca="1" si="44"/>
        <v>843087.26128511969</v>
      </c>
      <c r="AP60" s="58">
        <f t="shared" ca="1" si="44"/>
        <v>1021577.7316117201</v>
      </c>
      <c r="AQ60" s="58">
        <f t="shared" ca="1" si="44"/>
        <v>1375396.1312434205</v>
      </c>
      <c r="AR60" s="58">
        <f t="shared" ca="1" si="44"/>
        <v>1215216.0466276968</v>
      </c>
      <c r="AS60" s="58">
        <f t="shared" ca="1" si="44"/>
        <v>1051778.6484942755</v>
      </c>
      <c r="AT60" s="58">
        <f t="shared" ca="1" si="44"/>
        <v>1062042.7398470002</v>
      </c>
      <c r="AU60" s="58">
        <f t="shared" ca="1" si="44"/>
        <v>893672.49696222716</v>
      </c>
      <c r="AV60" s="58">
        <f t="shared" ca="1" si="44"/>
        <v>1443829.8606778984</v>
      </c>
      <c r="AW60" s="58">
        <f t="shared" ca="1" si="44"/>
        <v>1822399.873897532</v>
      </c>
      <c r="AX60" s="58">
        <f t="shared" ca="1" si="44"/>
        <v>1840184.2991790841</v>
      </c>
      <c r="AY60" s="58">
        <f t="shared" ca="1" si="44"/>
        <v>1300699.5953045874</v>
      </c>
      <c r="AZ60" s="58">
        <f t="shared" ca="1" si="44"/>
        <v>938137.75353151711</v>
      </c>
      <c r="BA60" s="58">
        <f t="shared" ca="1" si="44"/>
        <v>947292.84677996091</v>
      </c>
      <c r="BB60" s="58">
        <f t="shared" ca="1" si="44"/>
        <v>1147844.7392389292</v>
      </c>
      <c r="BC60" s="145"/>
      <c r="BD60" s="76">
        <f ca="1">SUM(G60:BC60)</f>
        <v>44298046.370053977</v>
      </c>
    </row>
    <row r="61" spans="1:56" s="346" customFormat="1" x14ac:dyDescent="0.3">
      <c r="A61" s="339" t="str">
        <f>Проект!A$515</f>
        <v>Маркетинговые расходы (5%)</v>
      </c>
      <c r="B61" s="340">
        <f ca="1">BD61</f>
        <v>44298046.370053977</v>
      </c>
      <c r="C61" s="341" t="str">
        <f ca="1">Параметры!C$64</f>
        <v>руб.</v>
      </c>
      <c r="D61" s="342"/>
      <c r="E61" s="343"/>
      <c r="F61" s="343" t="s">
        <v>3455</v>
      </c>
      <c r="G61" s="344">
        <f ca="1">Проект!G$519*CHOOSE(Проект!$D$519,1,Параметры!G$53,Параметры!G$59)/Параметры!G$64</f>
        <v>0</v>
      </c>
      <c r="H61" s="344">
        <f ca="1">Проект!H$519*CHOOSE(Проект!$D$519,1,Параметры!H$53,Параметры!H$59)/Параметры!H$64</f>
        <v>0</v>
      </c>
      <c r="I61" s="344">
        <f ca="1">Проект!I$519*CHOOSE(Проект!$D$519,1,Параметры!I$53,Параметры!I$59)/Параметры!I$64</f>
        <v>0</v>
      </c>
      <c r="J61" s="344">
        <f ca="1">Проект!J$519*CHOOSE(Проект!$D$519,1,Параметры!J$53,Параметры!J$59)/Параметры!J$64</f>
        <v>0</v>
      </c>
      <c r="K61" s="344">
        <f ca="1">Проект!K$519*CHOOSE(Проект!$D$519,1,Параметры!K$53,Параметры!K$59)/Параметры!K$64</f>
        <v>0</v>
      </c>
      <c r="L61" s="344">
        <f ca="1">Проект!L$519*CHOOSE(Проект!$D$519,1,Параметры!L$53,Параметры!L$59)/Параметры!L$64</f>
        <v>0</v>
      </c>
      <c r="M61" s="344">
        <f ca="1">Проект!M$519*CHOOSE(Проект!$D$519,1,Параметры!M$53,Параметры!M$59)/Параметры!M$64</f>
        <v>385416.00000000006</v>
      </c>
      <c r="N61" s="344">
        <f ca="1">Проект!N$519*CHOOSE(Проект!$D$519,1,Параметры!N$53,Параметры!N$59)/Параметры!N$64</f>
        <v>518902.9272231569</v>
      </c>
      <c r="O61" s="344">
        <f ca="1">Проект!O$519*CHOOSE(Проект!$D$519,1,Параметры!O$53,Параметры!O$59)/Параметры!O$64</f>
        <v>654958.49261113524</v>
      </c>
      <c r="P61" s="344">
        <f ca="1">Проект!P$519*CHOOSE(Проект!$D$519,1,Параметры!P$53,Параметры!P$59)/Параметры!P$64</f>
        <v>793620.11728372949</v>
      </c>
      <c r="Q61" s="344">
        <f ca="1">Проект!Q$519*CHOOSE(Проект!$D$519,1,Параметры!Q$53,Параметры!Q$59)/Параметры!Q$64</f>
        <v>801364.89266476815</v>
      </c>
      <c r="R61" s="344">
        <f ca="1">Проект!R$519*CHOOSE(Проект!$D$519,1,Параметры!R$53,Параметры!R$59)/Параметры!R$64</f>
        <v>809185.24771471391</v>
      </c>
      <c r="S61" s="344">
        <f ca="1">Проект!S$519*CHOOSE(Проект!$D$519,1,Параметры!S$53,Параметры!S$59)/Параметры!S$64</f>
        <v>1089442.560000001</v>
      </c>
      <c r="T61" s="344">
        <f ca="1">Проект!T$519*CHOOSE(Проект!$D$519,1,Параметры!T$53,Параметры!T$59)/Параметры!T$64</f>
        <v>962564.92999895674</v>
      </c>
      <c r="U61" s="344">
        <f ca="1">Проект!U$519*CHOOSE(Проект!$D$519,1,Параметры!U$53,Параметры!U$59)/Параметры!U$64</f>
        <v>833107.20260136435</v>
      </c>
      <c r="V61" s="344">
        <f ca="1">Проект!V$519*CHOOSE(Проект!$D$519,1,Параметры!V$53,Параметры!V$59)/Параметры!V$64</f>
        <v>841237.32432075369</v>
      </c>
      <c r="W61" s="344">
        <f ca="1">Проект!W$519*CHOOSE(Проект!$D$519,1,Параметры!W$53,Параметры!W$59)/Параметры!W$64</f>
        <v>707872.32185387868</v>
      </c>
      <c r="X61" s="344">
        <f ca="1">Проект!X$519*CHOOSE(Проект!$D$519,1,Параметры!X$53,Параметры!X$59)/Параметры!X$64</f>
        <v>1143648.4834367959</v>
      </c>
      <c r="Y61" s="344">
        <f ca="1">Проект!Y$519*CHOOSE(Проект!$D$519,1,Параметры!Y$53,Параметры!Y$59)/Параметры!Y$64</f>
        <v>1443511.3920000012</v>
      </c>
      <c r="Z61" s="344">
        <f ca="1">Проект!Z$519*CHOOSE(Проект!$D$519,1,Параметры!Z$53,Параметры!Z$59)/Параметры!Z$64</f>
        <v>1457598.3225698487</v>
      </c>
      <c r="AA61" s="344">
        <f ca="1">Проект!AA$519*CHOOSE(Проект!$D$519,1,Параметры!AA$53,Параметры!AA$59)/Параметры!AA$64</f>
        <v>1030275.9072170208</v>
      </c>
      <c r="AB61" s="344">
        <f ca="1">Проект!AB$519*CHOOSE(Проект!$D$519,1,Параметры!AB$53,Параметры!AB$59)/Параметры!AB$64</f>
        <v>743092.96981666586</v>
      </c>
      <c r="AC61" s="344">
        <f ca="1">Проект!AC$519*CHOOSE(Проект!$D$519,1,Параметры!AC$53,Параметры!AC$59)/Параметры!AC$64</f>
        <v>750344.66116511158</v>
      </c>
      <c r="AD61" s="344">
        <f ca="1">Проект!AD$519*CHOOSE(Проект!$D$519,1,Параметры!AD$53,Параметры!AD$59)/Параметры!AD$64</f>
        <v>909200.54433225305</v>
      </c>
      <c r="AE61" s="344">
        <f ca="1">Проект!AE$519*CHOOSE(Проект!$D$519,1,Параметры!AE$53,Параметры!AE$59)/Параметры!AE$64</f>
        <v>1224097.6604160017</v>
      </c>
      <c r="AF61" s="344">
        <f ca="1">Проект!AF$519*CHOOSE(Проект!$D$519,1,Параметры!AF$53,Параметры!AF$59)/Параметры!AF$64</f>
        <v>1081537.9553468281</v>
      </c>
      <c r="AG61" s="344">
        <f ca="1">Проект!AG$519*CHOOSE(Проект!$D$519,1,Параметры!AG$53,Параметры!AG$59)/Параметры!AG$64</f>
        <v>936079.25284289324</v>
      </c>
      <c r="AH61" s="344">
        <f ca="1">Проект!AH$519*CHOOSE(Проект!$D$519,1,Параметры!AH$53,Параметры!AH$59)/Параметры!AH$64</f>
        <v>945214.25760679948</v>
      </c>
      <c r="AI61" s="344">
        <f ca="1">Проект!AI$519*CHOOSE(Проект!$D$519,1,Параметры!AI$53,Параметры!AI$59)/Параметры!AI$64</f>
        <v>795365.34083501843</v>
      </c>
      <c r="AJ61" s="344">
        <f ca="1">Проект!AJ$519*CHOOSE(Проект!$D$519,1,Параметры!AJ$53,Параметры!AJ$59)/Параметры!AJ$64</f>
        <v>1285003.4359895848</v>
      </c>
      <c r="AK61" s="344">
        <f ca="1">Проект!AK$519*CHOOSE(Проект!$D$519,1,Параметры!AK$53,Параметры!AK$59)/Параметры!AK$64</f>
        <v>1621929.4000512029</v>
      </c>
      <c r="AL61" s="344">
        <f ca="1">Проект!AL$519*CHOOSE(Проект!$D$519,1,Параметры!AL$53,Параметры!AL$59)/Параметры!AL$64</f>
        <v>1637757.4752394829</v>
      </c>
      <c r="AM61" s="344">
        <f ca="1">Проект!AM$519*CHOOSE(Проект!$D$519,1,Параметры!AM$53,Параметры!AM$59)/Параметры!AM$64</f>
        <v>1157618.0093490449</v>
      </c>
      <c r="AN61" s="344">
        <f ca="1">Проект!AN$519*CHOOSE(Проект!$D$519,1,Параметры!AN$53,Параметры!AN$59)/Параметры!AN$64</f>
        <v>834939.26088600629</v>
      </c>
      <c r="AO61" s="344">
        <f ca="1">Проект!AO$519*CHOOSE(Проект!$D$519,1,Параметры!AO$53,Параметры!AO$59)/Параметры!AO$64</f>
        <v>843087.26128511969</v>
      </c>
      <c r="AP61" s="344">
        <f ca="1">Проект!AP$519*CHOOSE(Проект!$D$519,1,Параметры!AP$53,Параметры!AP$59)/Параметры!AP$64</f>
        <v>1021577.7316117201</v>
      </c>
      <c r="AQ61" s="344">
        <f ca="1">Проект!AQ$519*CHOOSE(Проект!$D$519,1,Параметры!AQ$53,Параметры!AQ$59)/Параметры!AQ$64</f>
        <v>1375396.1312434205</v>
      </c>
      <c r="AR61" s="344">
        <f ca="1">Проект!AR$519*CHOOSE(Проект!$D$519,1,Параметры!AR$53,Параметры!AR$59)/Параметры!AR$64</f>
        <v>1215216.0466276968</v>
      </c>
      <c r="AS61" s="344">
        <f ca="1">Проект!AS$519*CHOOSE(Проект!$D$519,1,Параметры!AS$53,Параметры!AS$59)/Параметры!AS$64</f>
        <v>1051778.6484942755</v>
      </c>
      <c r="AT61" s="344">
        <f ca="1">Проект!AT$519*CHOOSE(Проект!$D$519,1,Параметры!AT$53,Параметры!AT$59)/Параметры!AT$64</f>
        <v>1062042.7398470002</v>
      </c>
      <c r="AU61" s="344">
        <f ca="1">Проект!AU$519*CHOOSE(Проект!$D$519,1,Параметры!AU$53,Параметры!AU$59)/Параметры!AU$64</f>
        <v>893672.49696222716</v>
      </c>
      <c r="AV61" s="344">
        <f ca="1">Проект!AV$519*CHOOSE(Проект!$D$519,1,Параметры!AV$53,Параметры!AV$59)/Параметры!AV$64</f>
        <v>1443829.8606778984</v>
      </c>
      <c r="AW61" s="344">
        <f ca="1">Проект!AW$519*CHOOSE(Проект!$D$519,1,Параметры!AW$53,Параметры!AW$59)/Параметры!AW$64</f>
        <v>1822399.873897532</v>
      </c>
      <c r="AX61" s="344">
        <f ca="1">Проект!AX$519*CHOOSE(Проект!$D$519,1,Параметры!AX$53,Параметры!AX$59)/Параметры!AX$64</f>
        <v>1840184.2991790841</v>
      </c>
      <c r="AY61" s="344">
        <f ca="1">Проект!AY$519*CHOOSE(Проект!$D$519,1,Параметры!AY$53,Параметры!AY$59)/Параметры!AY$64</f>
        <v>1300699.5953045874</v>
      </c>
      <c r="AZ61" s="344">
        <f ca="1">Проект!AZ$519*CHOOSE(Проект!$D$519,1,Параметры!AZ$53,Параметры!AZ$59)/Параметры!AZ$64</f>
        <v>938137.75353151711</v>
      </c>
      <c r="BA61" s="344">
        <f ca="1">Проект!BA$519*CHOOSE(Проект!$D$519,1,Параметры!BA$53,Параметры!BA$59)/Параметры!BA$64</f>
        <v>947292.84677996091</v>
      </c>
      <c r="BB61" s="344">
        <f ca="1">Проект!BB$519*CHOOSE(Проект!$D$519,1,Параметры!BB$53,Параметры!BB$59)/Параметры!BB$64</f>
        <v>1147844.7392389292</v>
      </c>
      <c r="BC61" s="348"/>
      <c r="BD61" s="345">
        <f ca="1">SUM(G61:BC61)</f>
        <v>44298046.370053977</v>
      </c>
    </row>
    <row r="62" spans="1:56" x14ac:dyDescent="0.3">
      <c r="A62" s="128"/>
      <c r="B62" s="135"/>
      <c r="C62" s="128"/>
      <c r="D62" s="129"/>
      <c r="E62" s="129"/>
      <c r="F62" s="63"/>
      <c r="G62" s="133"/>
      <c r="H62" s="133"/>
      <c r="I62" s="133"/>
      <c r="J62" s="133"/>
      <c r="K62" s="133"/>
      <c r="L62" s="133"/>
      <c r="M62" s="133"/>
      <c r="N62" s="133"/>
      <c r="O62" s="133"/>
      <c r="P62" s="133"/>
      <c r="Q62" s="133"/>
      <c r="R62" s="133"/>
      <c r="S62" s="133"/>
      <c r="T62" s="133"/>
      <c r="U62" s="133"/>
      <c r="V62" s="133"/>
      <c r="W62" s="133"/>
      <c r="X62" s="133"/>
      <c r="Y62" s="133"/>
      <c r="Z62" s="133"/>
      <c r="AA62" s="133"/>
      <c r="AB62" s="133"/>
      <c r="AC62" s="133"/>
      <c r="AD62" s="133"/>
      <c r="AE62" s="133"/>
      <c r="AF62" s="133"/>
      <c r="AG62" s="133"/>
      <c r="AH62" s="133"/>
      <c r="AI62" s="133"/>
      <c r="AJ62" s="133"/>
      <c r="AK62" s="133"/>
      <c r="AL62" s="133"/>
      <c r="AM62" s="133"/>
      <c r="AN62" s="133"/>
      <c r="AO62" s="133"/>
      <c r="AP62" s="133"/>
      <c r="AQ62" s="133"/>
      <c r="AR62" s="133"/>
      <c r="AS62" s="133"/>
      <c r="AT62" s="133"/>
      <c r="AU62" s="133"/>
      <c r="AV62" s="133"/>
      <c r="AW62" s="133"/>
      <c r="AX62" s="133"/>
      <c r="AY62" s="133"/>
      <c r="AZ62" s="133"/>
      <c r="BA62" s="133"/>
      <c r="BB62" s="133"/>
      <c r="BC62" s="134"/>
      <c r="BD62" s="134"/>
    </row>
    <row r="63" spans="1:56" s="34" customFormat="1" x14ac:dyDescent="0.3">
      <c r="A63" s="138" t="str">
        <f ca="1">Language!A$1508</f>
        <v>Амортизация</v>
      </c>
      <c r="B63" s="137">
        <f ca="1">BD63</f>
        <v>26034166.666666687</v>
      </c>
      <c r="C63" s="100" t="str">
        <f ca="1">Параметры!$C$64</f>
        <v>руб.</v>
      </c>
      <c r="D63" s="11"/>
      <c r="E63" s="11"/>
      <c r="F63" s="6" t="s">
        <v>740</v>
      </c>
      <c r="G63" s="58">
        <f ca="1">SUM(Проект!G953,Проект!G968,Проект!G982)/Параметры!G$64</f>
        <v>0</v>
      </c>
      <c r="H63" s="58">
        <f ca="1">SUM(Проект!H953,Проект!H968,Проект!H982)/Параметры!H$64</f>
        <v>0</v>
      </c>
      <c r="I63" s="58">
        <f ca="1">SUM(Проект!I953,Проект!I968,Проект!I982)/Параметры!I$64</f>
        <v>0</v>
      </c>
      <c r="J63" s="58">
        <f ca="1">SUM(Проект!J953,Проект!J968,Проект!J982)/Параметры!J$64</f>
        <v>0</v>
      </c>
      <c r="K63" s="58">
        <f ca="1">SUM(Проект!K953,Проект!K968,Проект!K982)/Параметры!K$64</f>
        <v>0</v>
      </c>
      <c r="L63" s="58">
        <f ca="1">SUM(Проект!L953,Проект!L968,Проект!L982)/Параметры!L$64</f>
        <v>0</v>
      </c>
      <c r="M63" s="58">
        <f ca="1">SUM(Проект!M953,Проект!M968,Проект!M982)/Параметры!M$64</f>
        <v>619861.11111111101</v>
      </c>
      <c r="N63" s="58">
        <f ca="1">SUM(Проект!N953,Проект!N968,Проект!N982)/Параметры!N$64</f>
        <v>619861.11111111101</v>
      </c>
      <c r="O63" s="58">
        <f ca="1">SUM(Проект!O953,Проект!O968,Проект!O982)/Параметры!O$64</f>
        <v>619861.11111111101</v>
      </c>
      <c r="P63" s="58">
        <f ca="1">SUM(Проект!P953,Проект!P968,Проект!P982)/Параметры!P$64</f>
        <v>619861.11111111101</v>
      </c>
      <c r="Q63" s="58">
        <f ca="1">SUM(Проект!Q953,Проект!Q968,Проект!Q982)/Параметры!Q$64</f>
        <v>619861.11111111101</v>
      </c>
      <c r="R63" s="58">
        <f ca="1">SUM(Проект!R953,Проект!R968,Проект!R982)/Параметры!R$64</f>
        <v>619861.11111111101</v>
      </c>
      <c r="S63" s="58">
        <f ca="1">SUM(Проект!S953,Проект!S968,Проект!S982)/Параметры!S$64</f>
        <v>619861.11111111101</v>
      </c>
      <c r="T63" s="58">
        <f ca="1">SUM(Проект!T953,Проект!T968,Проект!T982)/Параметры!T$64</f>
        <v>619861.11111111101</v>
      </c>
      <c r="U63" s="58">
        <f ca="1">SUM(Проект!U953,Проект!U968,Проект!U982)/Параметры!U$64</f>
        <v>619861.11111111101</v>
      </c>
      <c r="V63" s="58">
        <f ca="1">SUM(Проект!V953,Проект!V968,Проект!V982)/Параметры!V$64</f>
        <v>619861.11111111101</v>
      </c>
      <c r="W63" s="58">
        <f ca="1">SUM(Проект!W953,Проект!W968,Проект!W982)/Параметры!W$64</f>
        <v>619861.11111111101</v>
      </c>
      <c r="X63" s="58">
        <f ca="1">SUM(Проект!X953,Проект!X968,Проект!X982)/Параметры!X$64</f>
        <v>619861.11111111101</v>
      </c>
      <c r="Y63" s="58">
        <f ca="1">SUM(Проект!Y953,Проект!Y968,Проект!Y982)/Параметры!Y$64</f>
        <v>619861.11111111101</v>
      </c>
      <c r="Z63" s="58">
        <f ca="1">SUM(Проект!Z953,Проект!Z968,Проект!Z982)/Параметры!Z$64</f>
        <v>619861.11111111101</v>
      </c>
      <c r="AA63" s="58">
        <f ca="1">SUM(Проект!AA953,Проект!AA968,Проект!AA982)/Параметры!AA$64</f>
        <v>619861.11111111101</v>
      </c>
      <c r="AB63" s="58">
        <f ca="1">SUM(Проект!AB953,Проект!AB968,Проект!AB982)/Параметры!AB$64</f>
        <v>619861.11111111101</v>
      </c>
      <c r="AC63" s="58">
        <f ca="1">SUM(Проект!AC953,Проект!AC968,Проект!AC982)/Параметры!AC$64</f>
        <v>619861.11111111101</v>
      </c>
      <c r="AD63" s="58">
        <f ca="1">SUM(Проект!AD953,Проект!AD968,Проект!AD982)/Параметры!AD$64</f>
        <v>619861.11111111101</v>
      </c>
      <c r="AE63" s="58">
        <f ca="1">SUM(Проект!AE953,Проект!AE968,Проект!AE982)/Параметры!AE$64</f>
        <v>619861.11111111101</v>
      </c>
      <c r="AF63" s="58">
        <f ca="1">SUM(Проект!AF953,Проект!AF968,Проект!AF982)/Параметры!AF$64</f>
        <v>619861.11111111101</v>
      </c>
      <c r="AG63" s="58">
        <f ca="1">SUM(Проект!AG953,Проект!AG968,Проект!AG982)/Параметры!AG$64</f>
        <v>619861.11111111101</v>
      </c>
      <c r="AH63" s="58">
        <f ca="1">SUM(Проект!AH953,Проект!AH968,Проект!AH982)/Параметры!AH$64</f>
        <v>619861.11111111101</v>
      </c>
      <c r="AI63" s="58">
        <f ca="1">SUM(Проект!AI953,Проект!AI968,Проект!AI982)/Параметры!AI$64</f>
        <v>619861.11111111101</v>
      </c>
      <c r="AJ63" s="58">
        <f ca="1">SUM(Проект!AJ953,Проект!AJ968,Проект!AJ982)/Параметры!AJ$64</f>
        <v>619861.11111111101</v>
      </c>
      <c r="AK63" s="58">
        <f ca="1">SUM(Проект!AK953,Проект!AK968,Проект!AK982)/Параметры!AK$64</f>
        <v>619861.11111111101</v>
      </c>
      <c r="AL63" s="58">
        <f ca="1">SUM(Проект!AL953,Проект!AL968,Проект!AL982)/Параметры!AL$64</f>
        <v>619861.11111111101</v>
      </c>
      <c r="AM63" s="58">
        <f ca="1">SUM(Проект!AM953,Проект!AM968,Проект!AM982)/Параметры!AM$64</f>
        <v>619861.11111111101</v>
      </c>
      <c r="AN63" s="58">
        <f ca="1">SUM(Проект!AN953,Проект!AN968,Проект!AN982)/Параметры!AN$64</f>
        <v>619861.11111111101</v>
      </c>
      <c r="AO63" s="58">
        <f ca="1">SUM(Проект!AO953,Проект!AO968,Проект!AO982)/Параметры!AO$64</f>
        <v>619861.11111111101</v>
      </c>
      <c r="AP63" s="58">
        <f ca="1">SUM(Проект!AP953,Проект!AP968,Проект!AP982)/Параметры!AP$64</f>
        <v>619861.11111111101</v>
      </c>
      <c r="AQ63" s="58">
        <f ca="1">SUM(Проект!AQ953,Проект!AQ968,Проект!AQ982)/Параметры!AQ$64</f>
        <v>619861.11111111101</v>
      </c>
      <c r="AR63" s="58">
        <f ca="1">SUM(Проект!AR953,Проект!AR968,Проект!AR982)/Параметры!AR$64</f>
        <v>619861.11111111101</v>
      </c>
      <c r="AS63" s="58">
        <f ca="1">SUM(Проект!AS953,Проект!AS968,Проект!AS982)/Параметры!AS$64</f>
        <v>619861.11111111101</v>
      </c>
      <c r="AT63" s="58">
        <f ca="1">SUM(Проект!AT953,Проект!AT968,Проект!AT982)/Параметры!AT$64</f>
        <v>619861.11111111101</v>
      </c>
      <c r="AU63" s="58">
        <f ca="1">SUM(Проект!AU953,Проект!AU968,Проект!AU982)/Параметры!AU$64</f>
        <v>619861.11111111101</v>
      </c>
      <c r="AV63" s="58">
        <f ca="1">SUM(Проект!AV953,Проект!AV968,Проект!AV982)/Параметры!AV$64</f>
        <v>619861.11111111101</v>
      </c>
      <c r="AW63" s="58">
        <f ca="1">SUM(Проект!AW953,Проект!AW968,Проект!AW982)/Параметры!AW$64</f>
        <v>619861.11111111101</v>
      </c>
      <c r="AX63" s="58">
        <f ca="1">SUM(Проект!AX953,Проект!AX968,Проект!AX982)/Параметры!AX$64</f>
        <v>619861.11111111101</v>
      </c>
      <c r="AY63" s="58">
        <f ca="1">SUM(Проект!AY953,Проект!AY968,Проект!AY982)/Параметры!AY$64</f>
        <v>619861.11111111101</v>
      </c>
      <c r="AZ63" s="58">
        <f ca="1">SUM(Проект!AZ953,Проект!AZ968,Проект!AZ982)/Параметры!AZ$64</f>
        <v>619861.11111111101</v>
      </c>
      <c r="BA63" s="58">
        <f ca="1">SUM(Проект!BA953,Проект!BA968,Проект!BA982)/Параметры!BA$64</f>
        <v>619861.11111111101</v>
      </c>
      <c r="BB63" s="58">
        <f ca="1">SUM(Проект!BB953,Проект!BB968,Проект!BB982)/Параметры!BB$64</f>
        <v>619861.11111111101</v>
      </c>
      <c r="BC63" s="58"/>
      <c r="BD63" s="76">
        <f ca="1">SUM(G63:BC63)</f>
        <v>26034166.666666687</v>
      </c>
    </row>
    <row r="64" spans="1:56" s="34" customFormat="1" x14ac:dyDescent="0.3">
      <c r="A64" s="140"/>
      <c r="B64" s="141"/>
      <c r="C64" s="142"/>
      <c r="D64" s="129"/>
      <c r="E64" s="129"/>
      <c r="F64" s="63"/>
      <c r="G64" s="143"/>
      <c r="H64" s="143"/>
      <c r="I64" s="143"/>
      <c r="J64" s="143"/>
      <c r="K64" s="143"/>
      <c r="L64" s="143"/>
      <c r="M64" s="143"/>
      <c r="N64" s="143"/>
      <c r="O64" s="143"/>
      <c r="P64" s="143"/>
      <c r="Q64" s="143"/>
      <c r="R64" s="143"/>
      <c r="S64" s="143"/>
      <c r="T64" s="143"/>
      <c r="U64" s="143"/>
      <c r="V64" s="143"/>
      <c r="W64" s="143"/>
      <c r="X64" s="143"/>
      <c r="Y64" s="143"/>
      <c r="Z64" s="143"/>
      <c r="AA64" s="143"/>
      <c r="AB64" s="143"/>
      <c r="AC64" s="143"/>
      <c r="AD64" s="143"/>
      <c r="AE64" s="143"/>
      <c r="AF64" s="143"/>
      <c r="AG64" s="143"/>
      <c r="AH64" s="143"/>
      <c r="AI64" s="143"/>
      <c r="AJ64" s="143"/>
      <c r="AK64" s="143"/>
      <c r="AL64" s="143"/>
      <c r="AM64" s="143"/>
      <c r="AN64" s="143"/>
      <c r="AO64" s="143"/>
      <c r="AP64" s="143"/>
      <c r="AQ64" s="143"/>
      <c r="AR64" s="143"/>
      <c r="AS64" s="143"/>
      <c r="AT64" s="143"/>
      <c r="AU64" s="143"/>
      <c r="AV64" s="143"/>
      <c r="AW64" s="143"/>
      <c r="AX64" s="143"/>
      <c r="AY64" s="143"/>
      <c r="AZ64" s="143"/>
      <c r="BA64" s="143"/>
      <c r="BB64" s="143"/>
      <c r="BC64" s="143"/>
      <c r="BD64" s="144"/>
    </row>
    <row r="65" spans="1:58" s="34" customFormat="1" x14ac:dyDescent="0.3">
      <c r="A65" s="138" t="str">
        <f ca="1">Language!A$1502</f>
        <v>Итого</v>
      </c>
      <c r="B65" s="137">
        <f ca="1">BD65</f>
        <v>336440993.09561789</v>
      </c>
      <c r="C65" s="100" t="str">
        <f ca="1">Параметры!$C$64</f>
        <v>руб.</v>
      </c>
      <c r="D65" s="139"/>
      <c r="E65" s="139"/>
      <c r="F65" s="6" t="s">
        <v>740</v>
      </c>
      <c r="G65" s="58">
        <f t="shared" ref="G65:BB65" ca="1" si="45">SUMIF($E26:$E64,"DATA*",G26:G64)+G63</f>
        <v>0</v>
      </c>
      <c r="H65" s="58">
        <f t="shared" ca="1" si="45"/>
        <v>0</v>
      </c>
      <c r="I65" s="58">
        <f t="shared" ca="1" si="45"/>
        <v>0</v>
      </c>
      <c r="J65" s="58">
        <f t="shared" ca="1" si="45"/>
        <v>0</v>
      </c>
      <c r="K65" s="58">
        <f t="shared" ca="1" si="45"/>
        <v>0</v>
      </c>
      <c r="L65" s="58">
        <f t="shared" ca="1" si="45"/>
        <v>0</v>
      </c>
      <c r="M65" s="58">
        <f t="shared" ca="1" si="45"/>
        <v>5585798.3891969863</v>
      </c>
      <c r="N65" s="58">
        <f t="shared" ca="1" si="45"/>
        <v>5492335.6803492904</v>
      </c>
      <c r="O65" s="58">
        <f t="shared" ca="1" si="45"/>
        <v>6214834.729736085</v>
      </c>
      <c r="P65" s="58">
        <f t="shared" ca="1" si="45"/>
        <v>6959905.1550061079</v>
      </c>
      <c r="Q65" s="58">
        <f t="shared" ca="1" si="45"/>
        <v>6592676.6382480226</v>
      </c>
      <c r="R65" s="58">
        <f t="shared" ca="1" si="45"/>
        <v>6679698.6822396144</v>
      </c>
      <c r="S65" s="58">
        <f t="shared" ca="1" si="45"/>
        <v>8969827.2792594656</v>
      </c>
      <c r="T65" s="58">
        <f t="shared" ca="1" si="45"/>
        <v>7052704.7911153454</v>
      </c>
      <c r="U65" s="58">
        <f t="shared" ca="1" si="45"/>
        <v>6367236.6431004172</v>
      </c>
      <c r="V65" s="58">
        <f t="shared" ca="1" si="45"/>
        <v>6831322.0271343458</v>
      </c>
      <c r="W65" s="58">
        <f t="shared" ca="1" si="45"/>
        <v>5701168.9142706608</v>
      </c>
      <c r="X65" s="58">
        <f t="shared" ca="1" si="45"/>
        <v>9672495.7979938053</v>
      </c>
      <c r="Y65" s="58">
        <f t="shared" ca="1" si="45"/>
        <v>10755285.180618029</v>
      </c>
      <c r="Z65" s="58">
        <f t="shared" ca="1" si="45"/>
        <v>9944085.9846171327</v>
      </c>
      <c r="AA65" s="58">
        <f t="shared" ca="1" si="45"/>
        <v>6438769.9299308769</v>
      </c>
      <c r="AB65" s="58">
        <f t="shared" ca="1" si="45"/>
        <v>5443112.5656788796</v>
      </c>
      <c r="AC65" s="58">
        <f t="shared" ca="1" si="45"/>
        <v>6391710.6535512526</v>
      </c>
      <c r="AD65" s="58">
        <f t="shared" ca="1" si="45"/>
        <v>7710512.9796721125</v>
      </c>
      <c r="AE65" s="58">
        <f t="shared" ca="1" si="45"/>
        <v>9783628.1667350605</v>
      </c>
      <c r="AF65" s="58">
        <f t="shared" ca="1" si="45"/>
        <v>7667413.0955712022</v>
      </c>
      <c r="AG65" s="58">
        <f t="shared" ca="1" si="45"/>
        <v>6907554.6244365908</v>
      </c>
      <c r="AH65" s="58">
        <f t="shared" ca="1" si="45"/>
        <v>7419054.6088856496</v>
      </c>
      <c r="AI65" s="58">
        <f t="shared" ca="1" si="45"/>
        <v>6169166.0728260744</v>
      </c>
      <c r="AJ65" s="58">
        <f t="shared" ca="1" si="45"/>
        <v>10562028.781146437</v>
      </c>
      <c r="AK65" s="58">
        <f t="shared" ca="1" si="45"/>
        <v>11768782.484882493</v>
      </c>
      <c r="AL65" s="58">
        <f t="shared" ca="1" si="45"/>
        <v>10876144.347857755</v>
      </c>
      <c r="AM65" s="58">
        <f t="shared" ca="1" si="45"/>
        <v>6995651.2386231916</v>
      </c>
      <c r="AN65" s="58">
        <f t="shared" ca="1" si="45"/>
        <v>5885020.8348369831</v>
      </c>
      <c r="AO65" s="58">
        <f t="shared" ca="1" si="45"/>
        <v>6929831.7230375893</v>
      </c>
      <c r="AP65" s="58">
        <f t="shared" ca="1" si="45"/>
        <v>8387459.1786027625</v>
      </c>
      <c r="AQ65" s="58">
        <f t="shared" ca="1" si="45"/>
        <v>10684919.548048187</v>
      </c>
      <c r="AR65" s="58">
        <f t="shared" ca="1" si="45"/>
        <v>8347275.8759942455</v>
      </c>
      <c r="AS65" s="58">
        <f t="shared" ca="1" si="45"/>
        <v>7504452.4502008529</v>
      </c>
      <c r="AT65" s="58">
        <f t="shared" ca="1" si="45"/>
        <v>8068630.6984932618</v>
      </c>
      <c r="AU65" s="58">
        <f t="shared" ca="1" si="45"/>
        <v>6685404.5310240341</v>
      </c>
      <c r="AV65" s="58">
        <f t="shared" ca="1" si="45"/>
        <v>11547745.681167975</v>
      </c>
      <c r="AW65" s="58">
        <f t="shared" ca="1" si="45"/>
        <v>12893193.589310441</v>
      </c>
      <c r="AX65" s="58">
        <f t="shared" ca="1" si="45"/>
        <v>11910180.174927432</v>
      </c>
      <c r="AY65" s="58">
        <f t="shared" ca="1" si="45"/>
        <v>7611622.9277910506</v>
      </c>
      <c r="AZ65" s="58">
        <f t="shared" ca="1" si="45"/>
        <v>6372294.2294254396</v>
      </c>
      <c r="BA65" s="58">
        <f t="shared" ca="1" si="45"/>
        <v>7523947.784674881</v>
      </c>
      <c r="BB65" s="58">
        <f t="shared" ca="1" si="45"/>
        <v>9136108.4253998287</v>
      </c>
      <c r="BC65" s="58"/>
      <c r="BD65" s="76">
        <f ca="1">SUM(G65:BC65)</f>
        <v>336440993.09561789</v>
      </c>
    </row>
    <row r="66" spans="1:58" x14ac:dyDescent="0.3">
      <c r="A66" s="9"/>
      <c r="B66" s="131"/>
      <c r="C66" s="9"/>
      <c r="D66" s="11"/>
      <c r="E66" s="6" t="s">
        <v>2281</v>
      </c>
      <c r="G66" s="132"/>
      <c r="H66" s="132"/>
      <c r="I66" s="132"/>
      <c r="J66" s="132"/>
      <c r="K66" s="132"/>
      <c r="L66" s="132"/>
      <c r="M66" s="132"/>
      <c r="N66" s="132"/>
      <c r="O66" s="132"/>
      <c r="P66" s="132"/>
      <c r="Q66" s="132"/>
      <c r="R66" s="132"/>
      <c r="S66" s="132"/>
      <c r="T66" s="132"/>
      <c r="U66" s="132"/>
      <c r="V66" s="132"/>
      <c r="W66" s="132"/>
      <c r="X66" s="132"/>
      <c r="Y66" s="132"/>
      <c r="Z66" s="132"/>
      <c r="AA66" s="132"/>
      <c r="AB66" s="132"/>
      <c r="AC66" s="132"/>
      <c r="AD66" s="132"/>
      <c r="AE66" s="132"/>
      <c r="AF66" s="132"/>
      <c r="AG66" s="132"/>
      <c r="AH66" s="132"/>
      <c r="AI66" s="132"/>
      <c r="AJ66" s="132"/>
      <c r="AK66" s="132"/>
      <c r="AL66" s="132"/>
      <c r="AM66" s="132"/>
      <c r="AN66" s="132"/>
      <c r="AO66" s="132"/>
      <c r="AP66" s="132"/>
      <c r="AQ66" s="132"/>
      <c r="AR66" s="132"/>
      <c r="AS66" s="132"/>
      <c r="AT66" s="132"/>
      <c r="AU66" s="132"/>
      <c r="AV66" s="132"/>
      <c r="AW66" s="132"/>
      <c r="AX66" s="132"/>
      <c r="AY66" s="132"/>
      <c r="AZ66" s="132"/>
      <c r="BA66" s="132"/>
      <c r="BB66" s="132"/>
      <c r="BC66" s="74"/>
      <c r="BD66" s="74"/>
    </row>
    <row r="67" spans="1:58" x14ac:dyDescent="0.3">
      <c r="A67" s="128"/>
      <c r="B67" s="128"/>
      <c r="C67" s="128"/>
      <c r="D67" s="129"/>
      <c r="E67" s="129"/>
      <c r="F67" s="63"/>
      <c r="G67" s="130"/>
      <c r="H67" s="130"/>
      <c r="I67" s="130"/>
      <c r="J67" s="130"/>
      <c r="K67" s="130"/>
      <c r="L67" s="130"/>
      <c r="M67" s="130"/>
      <c r="N67" s="130"/>
      <c r="O67" s="130"/>
      <c r="P67" s="130"/>
      <c r="Q67" s="130"/>
      <c r="R67" s="130"/>
      <c r="S67" s="130"/>
      <c r="T67" s="130"/>
      <c r="U67" s="130"/>
      <c r="V67" s="130"/>
      <c r="W67" s="130"/>
      <c r="X67" s="130"/>
      <c r="Y67" s="130"/>
      <c r="Z67" s="130"/>
      <c r="AA67" s="130"/>
      <c r="AB67" s="130"/>
      <c r="AC67" s="130"/>
      <c r="AD67" s="130"/>
      <c r="AE67" s="130"/>
      <c r="AF67" s="130"/>
      <c r="AG67" s="130"/>
      <c r="AH67" s="130"/>
      <c r="AI67" s="130"/>
      <c r="AJ67" s="130"/>
      <c r="AK67" s="130"/>
      <c r="AL67" s="130"/>
      <c r="AM67" s="130"/>
      <c r="AN67" s="130"/>
      <c r="AO67" s="130"/>
      <c r="AP67" s="130"/>
      <c r="AQ67" s="130"/>
      <c r="AR67" s="130"/>
      <c r="AS67" s="130"/>
      <c r="AT67" s="130"/>
      <c r="AU67" s="130"/>
      <c r="AV67" s="130"/>
      <c r="AW67" s="130"/>
      <c r="AX67" s="130"/>
      <c r="AY67" s="130"/>
      <c r="AZ67" s="130"/>
      <c r="BA67" s="130"/>
      <c r="BB67" s="130"/>
      <c r="BC67" s="63"/>
      <c r="BD67" s="63"/>
    </row>
    <row r="68" spans="1:58" x14ac:dyDescent="0.3">
      <c r="A68" s="9"/>
      <c r="B68" s="9"/>
      <c r="C68" s="9"/>
      <c r="D68" s="11"/>
      <c r="E68" s="1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6"/>
      <c r="BD68" s="6"/>
    </row>
    <row r="69" spans="1:58" s="9" customFormat="1" ht="25.5" customHeight="1" thickBot="1" x14ac:dyDescent="0.35">
      <c r="A69" s="323" t="str">
        <f ca="1">Language!A1503</f>
        <v>ОТЧЕТ – ИНВЕСТИЦИИ (с НДС)</v>
      </c>
      <c r="B69" s="337"/>
      <c r="C69" s="338"/>
      <c r="D69" s="326"/>
      <c r="E69" s="326" t="s">
        <v>2275</v>
      </c>
      <c r="F69" s="326"/>
      <c r="G69" s="327" t="str">
        <f ca="1">Параметры!G$34</f>
        <v>янв.25</v>
      </c>
      <c r="H69" s="327" t="str">
        <f ca="1">Параметры!H$34</f>
        <v>фев.25</v>
      </c>
      <c r="I69" s="327" t="str">
        <f ca="1">Параметры!I$34</f>
        <v>мар.25</v>
      </c>
      <c r="J69" s="327" t="str">
        <f ca="1">Параметры!J$34</f>
        <v>апр.25</v>
      </c>
      <c r="K69" s="327" t="str">
        <f ca="1">Параметры!K$34</f>
        <v>май.25</v>
      </c>
      <c r="L69" s="327" t="str">
        <f ca="1">Параметры!L$34</f>
        <v>июн.25</v>
      </c>
      <c r="M69" s="328" t="str">
        <f ca="1">Параметры!M$34</f>
        <v>июл.25</v>
      </c>
      <c r="N69" s="328" t="str">
        <f ca="1">Параметры!N$34</f>
        <v>авг.25</v>
      </c>
      <c r="O69" s="328" t="str">
        <f ca="1">Параметры!O$34</f>
        <v>сен.25</v>
      </c>
      <c r="P69" s="328" t="str">
        <f ca="1">Параметры!P$34</f>
        <v>окт.25</v>
      </c>
      <c r="Q69" s="328" t="str">
        <f ca="1">Параметры!Q$34</f>
        <v>ноя.25</v>
      </c>
      <c r="R69" s="328" t="str">
        <f ca="1">Параметры!R$34</f>
        <v>дек.25</v>
      </c>
      <c r="S69" s="328" t="str">
        <f ca="1">Параметры!S$34</f>
        <v>янв.26</v>
      </c>
      <c r="T69" s="328" t="str">
        <f ca="1">Параметры!T$34</f>
        <v>фев.26</v>
      </c>
      <c r="U69" s="328" t="str">
        <f ca="1">Параметры!U$34</f>
        <v>мар.26</v>
      </c>
      <c r="V69" s="328" t="str">
        <f ca="1">Параметры!V$34</f>
        <v>апр.26</v>
      </c>
      <c r="W69" s="328" t="str">
        <f ca="1">Параметры!W$34</f>
        <v>май.26</v>
      </c>
      <c r="X69" s="328" t="str">
        <f ca="1">Параметры!X$34</f>
        <v>июн.26</v>
      </c>
      <c r="Y69" s="328" t="str">
        <f ca="1">Параметры!Y$34</f>
        <v>июл.26</v>
      </c>
      <c r="Z69" s="328" t="str">
        <f ca="1">Параметры!Z$34</f>
        <v>авг.26</v>
      </c>
      <c r="AA69" s="328" t="str">
        <f ca="1">Параметры!AA$34</f>
        <v>сен.26</v>
      </c>
      <c r="AB69" s="328" t="str">
        <f ca="1">Параметры!AB$34</f>
        <v>окт.26</v>
      </c>
      <c r="AC69" s="328" t="str">
        <f ca="1">Параметры!AC$34</f>
        <v>ноя.26</v>
      </c>
      <c r="AD69" s="328" t="str">
        <f ca="1">Параметры!AD$34</f>
        <v>дек.26</v>
      </c>
      <c r="AE69" s="328" t="str">
        <f ca="1">Параметры!AE$34</f>
        <v>янв.27</v>
      </c>
      <c r="AF69" s="328" t="str">
        <f ca="1">Параметры!AF$34</f>
        <v>фев.27</v>
      </c>
      <c r="AG69" s="328" t="str">
        <f ca="1">Параметры!AG$34</f>
        <v>мар.27</v>
      </c>
      <c r="AH69" s="328" t="str">
        <f ca="1">Параметры!AH$34</f>
        <v>апр.27</v>
      </c>
      <c r="AI69" s="328" t="str">
        <f ca="1">Параметры!AI$34</f>
        <v>май.27</v>
      </c>
      <c r="AJ69" s="328" t="str">
        <f ca="1">Параметры!AJ$34</f>
        <v>июн.27</v>
      </c>
      <c r="AK69" s="328" t="str">
        <f ca="1">Параметры!AK$34</f>
        <v>июл.27</v>
      </c>
      <c r="AL69" s="328" t="str">
        <f ca="1">Параметры!AL$34</f>
        <v>авг.27</v>
      </c>
      <c r="AM69" s="328" t="str">
        <f ca="1">Параметры!AM$34</f>
        <v>сен.27</v>
      </c>
      <c r="AN69" s="328" t="str">
        <f ca="1">Параметры!AN$34</f>
        <v>окт.27</v>
      </c>
      <c r="AO69" s="328" t="str">
        <f ca="1">Параметры!AO$34</f>
        <v>ноя.27</v>
      </c>
      <c r="AP69" s="328" t="str">
        <f ca="1">Параметры!AP$34</f>
        <v>дек.27</v>
      </c>
      <c r="AQ69" s="328" t="str">
        <f ca="1">Параметры!AQ$34</f>
        <v>янв.28</v>
      </c>
      <c r="AR69" s="328" t="str">
        <f ca="1">Параметры!AR$34</f>
        <v>фев.28</v>
      </c>
      <c r="AS69" s="328" t="str">
        <f ca="1">Параметры!AS$34</f>
        <v>мар.28</v>
      </c>
      <c r="AT69" s="328" t="str">
        <f ca="1">Параметры!AT$34</f>
        <v>апр.28</v>
      </c>
      <c r="AU69" s="328" t="str">
        <f ca="1">Параметры!AU$34</f>
        <v>май.28</v>
      </c>
      <c r="AV69" s="328" t="str">
        <f ca="1">Параметры!AV$34</f>
        <v>июн.28</v>
      </c>
      <c r="AW69" s="328" t="str">
        <f ca="1">Параметры!AW$34</f>
        <v>июл.28</v>
      </c>
      <c r="AX69" s="328" t="str">
        <f ca="1">Параметры!AX$34</f>
        <v>авг.28</v>
      </c>
      <c r="AY69" s="328" t="str">
        <f ca="1">Параметры!AY$34</f>
        <v>сен.28</v>
      </c>
      <c r="AZ69" s="328" t="str">
        <f ca="1">Параметры!AZ$34</f>
        <v>окт.28</v>
      </c>
      <c r="BA69" s="328" t="str">
        <f ca="1">Параметры!BA$34</f>
        <v>ноя.28</v>
      </c>
      <c r="BB69" s="328" t="str">
        <f ca="1">Параметры!BB$34</f>
        <v>дек.28</v>
      </c>
      <c r="BC69" s="328"/>
      <c r="BD69" s="329" t="str">
        <f ca="1">Language!$A$1473</f>
        <v>ИТОГО</v>
      </c>
    </row>
    <row r="70" spans="1:58" ht="14.4" thickTop="1" x14ac:dyDescent="0.3">
      <c r="A70" s="247"/>
      <c r="B70" s="131"/>
      <c r="C70" s="9"/>
      <c r="D70" s="11"/>
      <c r="E70" s="11"/>
      <c r="G70" s="132"/>
      <c r="H70" s="132"/>
      <c r="I70" s="132"/>
      <c r="J70" s="132"/>
      <c r="K70" s="132"/>
      <c r="L70" s="132"/>
      <c r="M70" s="132"/>
      <c r="N70" s="132"/>
      <c r="O70" s="132"/>
      <c r="P70" s="132"/>
      <c r="Q70" s="132"/>
      <c r="R70" s="132"/>
      <c r="S70" s="132"/>
      <c r="T70" s="132"/>
      <c r="U70" s="132"/>
      <c r="V70" s="132"/>
      <c r="W70" s="132"/>
      <c r="X70" s="132"/>
      <c r="Y70" s="132"/>
      <c r="Z70" s="132"/>
      <c r="AA70" s="132"/>
      <c r="AB70" s="132"/>
      <c r="AC70" s="132"/>
      <c r="AD70" s="132"/>
      <c r="AE70" s="132"/>
      <c r="AF70" s="132"/>
      <c r="AG70" s="132"/>
      <c r="AH70" s="132"/>
      <c r="AI70" s="132"/>
      <c r="AJ70" s="132"/>
      <c r="AK70" s="132"/>
      <c r="AL70" s="132"/>
      <c r="AM70" s="132"/>
      <c r="AN70" s="132"/>
      <c r="AO70" s="132"/>
      <c r="AP70" s="132"/>
      <c r="AQ70" s="132"/>
      <c r="AR70" s="132"/>
      <c r="AS70" s="132"/>
      <c r="AT70" s="132"/>
      <c r="AU70" s="132"/>
      <c r="AV70" s="132"/>
      <c r="AW70" s="132"/>
      <c r="AX70" s="132"/>
      <c r="AY70" s="132"/>
      <c r="AZ70" s="132"/>
      <c r="BA70" s="132"/>
      <c r="BB70" s="132"/>
      <c r="BC70" s="74"/>
      <c r="BD70" s="74"/>
      <c r="BE70" s="55"/>
      <c r="BF70" s="55"/>
    </row>
    <row r="71" spans="1:58" x14ac:dyDescent="0.3">
      <c r="A71" s="34" t="str">
        <f ca="1">Language!A$945</f>
        <v>Земля</v>
      </c>
      <c r="B71" s="137">
        <f>BD71</f>
        <v>800000</v>
      </c>
      <c r="C71" s="100" t="str">
        <f ca="1">Параметры!$C$64</f>
        <v>руб.</v>
      </c>
      <c r="D71" s="11">
        <v>0</v>
      </c>
      <c r="E71" s="6" t="s">
        <v>2285</v>
      </c>
      <c r="F71" s="6" t="s">
        <v>3413</v>
      </c>
      <c r="G71" s="58">
        <f>SUM(G72:G73)</f>
        <v>266667</v>
      </c>
      <c r="H71" s="58">
        <f t="shared" ref="H71:K71" si="46">SUM(H72:H73)</f>
        <v>266667</v>
      </c>
      <c r="I71" s="58">
        <f t="shared" si="46"/>
        <v>266666</v>
      </c>
      <c r="J71" s="58">
        <f t="shared" si="46"/>
        <v>0</v>
      </c>
      <c r="K71" s="58">
        <f t="shared" si="46"/>
        <v>0</v>
      </c>
      <c r="L71" s="58">
        <f t="shared" ref="L71:M71" si="47">SUM(L73:L73)</f>
        <v>0</v>
      </c>
      <c r="M71" s="58">
        <f t="shared" si="47"/>
        <v>0</v>
      </c>
      <c r="N71" s="58">
        <f t="shared" ref="N71:O71" si="48">SUM(N73:N73)</f>
        <v>0</v>
      </c>
      <c r="O71" s="58">
        <f t="shared" si="48"/>
        <v>0</v>
      </c>
      <c r="P71" s="58">
        <f t="shared" ref="P71:Q71" si="49">SUM(P73:P73)</f>
        <v>0</v>
      </c>
      <c r="Q71" s="58">
        <f t="shared" si="49"/>
        <v>0</v>
      </c>
      <c r="R71" s="58">
        <f t="shared" ref="R71:S71" si="50">SUM(R73:R73)</f>
        <v>0</v>
      </c>
      <c r="S71" s="58">
        <f t="shared" si="50"/>
        <v>0</v>
      </c>
      <c r="T71" s="58">
        <f t="shared" ref="T71:U71" si="51">SUM(T73:T73)</f>
        <v>0</v>
      </c>
      <c r="U71" s="58">
        <f t="shared" si="51"/>
        <v>0</v>
      </c>
      <c r="V71" s="58">
        <f t="shared" ref="V71:W71" si="52">SUM(V73:V73)</f>
        <v>0</v>
      </c>
      <c r="W71" s="58">
        <f t="shared" si="52"/>
        <v>0</v>
      </c>
      <c r="X71" s="58">
        <f t="shared" ref="X71:Y71" si="53">SUM(X73:X73)</f>
        <v>0</v>
      </c>
      <c r="Y71" s="58">
        <f t="shared" si="53"/>
        <v>0</v>
      </c>
      <c r="Z71" s="58">
        <f t="shared" ref="Z71:AA71" si="54">SUM(Z73:Z73)</f>
        <v>0</v>
      </c>
      <c r="AA71" s="58">
        <f t="shared" si="54"/>
        <v>0</v>
      </c>
      <c r="AB71" s="58">
        <f t="shared" ref="AB71:AC71" si="55">SUM(AB73:AB73)</f>
        <v>0</v>
      </c>
      <c r="AC71" s="58">
        <f t="shared" si="55"/>
        <v>0</v>
      </c>
      <c r="AD71" s="58">
        <f t="shared" ref="AD71:AE71" si="56">SUM(AD73:AD73)</f>
        <v>0</v>
      </c>
      <c r="AE71" s="58">
        <f t="shared" si="56"/>
        <v>0</v>
      </c>
      <c r="AF71" s="58">
        <f t="shared" ref="AF71:AG71" si="57">SUM(AF73:AF73)</f>
        <v>0</v>
      </c>
      <c r="AG71" s="58">
        <f t="shared" si="57"/>
        <v>0</v>
      </c>
      <c r="AH71" s="58">
        <f t="shared" ref="AH71:AI71" si="58">SUM(AH73:AH73)</f>
        <v>0</v>
      </c>
      <c r="AI71" s="58">
        <f t="shared" si="58"/>
        <v>0</v>
      </c>
      <c r="AJ71" s="58">
        <f t="shared" ref="AJ71:AK71" si="59">SUM(AJ73:AJ73)</f>
        <v>0</v>
      </c>
      <c r="AK71" s="58">
        <f t="shared" si="59"/>
        <v>0</v>
      </c>
      <c r="AL71" s="58">
        <f t="shared" ref="AL71:AM71" si="60">SUM(AL73:AL73)</f>
        <v>0</v>
      </c>
      <c r="AM71" s="58">
        <f t="shared" si="60"/>
        <v>0</v>
      </c>
      <c r="AN71" s="58">
        <f t="shared" ref="AN71:AO71" si="61">SUM(AN73:AN73)</f>
        <v>0</v>
      </c>
      <c r="AO71" s="58">
        <f t="shared" si="61"/>
        <v>0</v>
      </c>
      <c r="AP71" s="58">
        <f t="shared" ref="AP71:AQ71" si="62">SUM(AP73:AP73)</f>
        <v>0</v>
      </c>
      <c r="AQ71" s="58">
        <f t="shared" si="62"/>
        <v>0</v>
      </c>
      <c r="AR71" s="58">
        <f t="shared" ref="AR71:AS71" si="63">SUM(AR73:AR73)</f>
        <v>0</v>
      </c>
      <c r="AS71" s="58">
        <f t="shared" si="63"/>
        <v>0</v>
      </c>
      <c r="AT71" s="58">
        <f t="shared" ref="AT71:AU71" si="64">SUM(AT73:AT73)</f>
        <v>0</v>
      </c>
      <c r="AU71" s="58">
        <f t="shared" si="64"/>
        <v>0</v>
      </c>
      <c r="AV71" s="58">
        <f t="shared" ref="AV71:AW71" si="65">SUM(AV73:AV73)</f>
        <v>0</v>
      </c>
      <c r="AW71" s="58">
        <f t="shared" si="65"/>
        <v>0</v>
      </c>
      <c r="AX71" s="58">
        <f t="shared" ref="AX71:AY71" si="66">SUM(AX73:AX73)</f>
        <v>0</v>
      </c>
      <c r="AY71" s="58">
        <f t="shared" si="66"/>
        <v>0</v>
      </c>
      <c r="AZ71" s="58">
        <f t="shared" ref="AZ71:BA71" si="67">SUM(AZ73:AZ73)</f>
        <v>0</v>
      </c>
      <c r="BA71" s="58">
        <f t="shared" si="67"/>
        <v>0</v>
      </c>
      <c r="BB71" s="58">
        <f t="shared" ref="BB71" si="68">SUM(BB73:BB73)</f>
        <v>0</v>
      </c>
      <c r="BD71" s="76">
        <f>SUM(G71:BC71)</f>
        <v>800000</v>
      </c>
    </row>
    <row r="72" spans="1:58" s="346" customFormat="1" x14ac:dyDescent="0.3">
      <c r="A72" s="349" t="str">
        <f>Проект!A$734</f>
        <v>Облагораживание территории</v>
      </c>
      <c r="B72" s="340">
        <f>BD72</f>
        <v>800000</v>
      </c>
      <c r="C72" s="341" t="str">
        <f ca="1">Параметры!C$64</f>
        <v>руб.</v>
      </c>
      <c r="D72" s="342"/>
      <c r="E72" s="343"/>
      <c r="F72" s="343" t="s">
        <v>3481</v>
      </c>
      <c r="G72" s="344">
        <f>Проект!G$739*CHOOSE(Проект!$D$739,1,Параметры!G$53,Параметры!G$59)/Параметры!G$64</f>
        <v>266667</v>
      </c>
      <c r="H72" s="344">
        <f>Проект!H$739*CHOOSE(Проект!$D$739,1,Параметры!H$53,Параметры!H$59)/Параметры!H$64</f>
        <v>266667</v>
      </c>
      <c r="I72" s="344">
        <f>Проект!I$739*CHOOSE(Проект!$D$739,1,Параметры!I$53,Параметры!I$59)/Параметры!I$64</f>
        <v>266666</v>
      </c>
      <c r="J72" s="344">
        <f>Проект!J$739*CHOOSE(Проект!$D$739,1,Параметры!J$53,Параметры!J$59)/Параметры!J$64</f>
        <v>0</v>
      </c>
      <c r="K72" s="344">
        <f>Проект!K$739*CHOOSE(Проект!$D$739,1,Параметры!K$53,Параметры!K$59)/Параметры!K$64</f>
        <v>0</v>
      </c>
      <c r="L72" s="344">
        <f>Проект!L$739*CHOOSE(Проект!$D$739,1,Параметры!L$53,Параметры!L$59)/Параметры!L$64</f>
        <v>0</v>
      </c>
      <c r="M72" s="344">
        <f>Проект!M$739*CHOOSE(Проект!$D$739,1,Параметры!M$53,Параметры!M$59)/Параметры!M$64</f>
        <v>0</v>
      </c>
      <c r="N72" s="344">
        <f>Проект!N$739*CHOOSE(Проект!$D$739,1,Параметры!N$53,Параметры!N$59)/Параметры!N$64</f>
        <v>0</v>
      </c>
      <c r="O72" s="344">
        <f>Проект!O$739*CHOOSE(Проект!$D$739,1,Параметры!O$53,Параметры!O$59)/Параметры!O$64</f>
        <v>0</v>
      </c>
      <c r="P72" s="344">
        <f>Проект!P$739*CHOOSE(Проект!$D$739,1,Параметры!P$53,Параметры!P$59)/Параметры!P$64</f>
        <v>0</v>
      </c>
      <c r="Q72" s="344">
        <f>Проект!Q$739*CHOOSE(Проект!$D$739,1,Параметры!Q$53,Параметры!Q$59)/Параметры!Q$64</f>
        <v>0</v>
      </c>
      <c r="R72" s="344">
        <f>Проект!R$739*CHOOSE(Проект!$D$739,1,Параметры!R$53,Параметры!R$59)/Параметры!R$64</f>
        <v>0</v>
      </c>
      <c r="S72" s="344">
        <f>Проект!S$739*CHOOSE(Проект!$D$739,1,Параметры!S$53,Параметры!S$59)/Параметры!S$64</f>
        <v>0</v>
      </c>
      <c r="T72" s="344">
        <f>Проект!T$739*CHOOSE(Проект!$D$739,1,Параметры!T$53,Параметры!T$59)/Параметры!T$64</f>
        <v>0</v>
      </c>
      <c r="U72" s="344">
        <f>Проект!U$739*CHOOSE(Проект!$D$739,1,Параметры!U$53,Параметры!U$59)/Параметры!U$64</f>
        <v>0</v>
      </c>
      <c r="V72" s="344">
        <f>Проект!V$739*CHOOSE(Проект!$D$739,1,Параметры!V$53,Параметры!V$59)/Параметры!V$64</f>
        <v>0</v>
      </c>
      <c r="W72" s="344">
        <f>Проект!W$739*CHOOSE(Проект!$D$739,1,Параметры!W$53,Параметры!W$59)/Параметры!W$64</f>
        <v>0</v>
      </c>
      <c r="X72" s="344">
        <f>Проект!X$739*CHOOSE(Проект!$D$739,1,Параметры!X$53,Параметры!X$59)/Параметры!X$64</f>
        <v>0</v>
      </c>
      <c r="Y72" s="344">
        <f>Проект!Y$739*CHOOSE(Проект!$D$739,1,Параметры!Y$53,Параметры!Y$59)/Параметры!Y$64</f>
        <v>0</v>
      </c>
      <c r="Z72" s="344">
        <f>Проект!Z$739*CHOOSE(Проект!$D$739,1,Параметры!Z$53,Параметры!Z$59)/Параметры!Z$64</f>
        <v>0</v>
      </c>
      <c r="AA72" s="344">
        <f>Проект!AA$739*CHOOSE(Проект!$D$739,1,Параметры!AA$53,Параметры!AA$59)/Параметры!AA$64</f>
        <v>0</v>
      </c>
      <c r="AB72" s="344">
        <f>Проект!AB$739*CHOOSE(Проект!$D$739,1,Параметры!AB$53,Параметры!AB$59)/Параметры!AB$64</f>
        <v>0</v>
      </c>
      <c r="AC72" s="344">
        <f>Проект!AC$739*CHOOSE(Проект!$D$739,1,Параметры!AC$53,Параметры!AC$59)/Параметры!AC$64</f>
        <v>0</v>
      </c>
      <c r="AD72" s="344">
        <f>Проект!AD$739*CHOOSE(Проект!$D$739,1,Параметры!AD$53,Параметры!AD$59)/Параметры!AD$64</f>
        <v>0</v>
      </c>
      <c r="AE72" s="344">
        <f>Проект!AE$739*CHOOSE(Проект!$D$739,1,Параметры!AE$53,Параметры!AE$59)/Параметры!AE$64</f>
        <v>0</v>
      </c>
      <c r="AF72" s="344">
        <f>Проект!AF$739*CHOOSE(Проект!$D$739,1,Параметры!AF$53,Параметры!AF$59)/Параметры!AF$64</f>
        <v>0</v>
      </c>
      <c r="AG72" s="344">
        <f>Проект!AG$739*CHOOSE(Проект!$D$739,1,Параметры!AG$53,Параметры!AG$59)/Параметры!AG$64</f>
        <v>0</v>
      </c>
      <c r="AH72" s="344">
        <f>Проект!AH$739*CHOOSE(Проект!$D$739,1,Параметры!AH$53,Параметры!AH$59)/Параметры!AH$64</f>
        <v>0</v>
      </c>
      <c r="AI72" s="344">
        <f>Проект!AI$739*CHOOSE(Проект!$D$739,1,Параметры!AI$53,Параметры!AI$59)/Параметры!AI$64</f>
        <v>0</v>
      </c>
      <c r="AJ72" s="344">
        <f>Проект!AJ$739*CHOOSE(Проект!$D$739,1,Параметры!AJ$53,Параметры!AJ$59)/Параметры!AJ$64</f>
        <v>0</v>
      </c>
      <c r="AK72" s="344">
        <f>Проект!AK$739*CHOOSE(Проект!$D$739,1,Параметры!AK$53,Параметры!AK$59)/Параметры!AK$64</f>
        <v>0</v>
      </c>
      <c r="AL72" s="344">
        <f>Проект!AL$739*CHOOSE(Проект!$D$739,1,Параметры!AL$53,Параметры!AL$59)/Параметры!AL$64</f>
        <v>0</v>
      </c>
      <c r="AM72" s="344">
        <f>Проект!AM$739*CHOOSE(Проект!$D$739,1,Параметры!AM$53,Параметры!AM$59)/Параметры!AM$64</f>
        <v>0</v>
      </c>
      <c r="AN72" s="344">
        <f>Проект!AN$739*CHOOSE(Проект!$D$739,1,Параметры!AN$53,Параметры!AN$59)/Параметры!AN$64</f>
        <v>0</v>
      </c>
      <c r="AO72" s="344">
        <f>Проект!AO$739*CHOOSE(Проект!$D$739,1,Параметры!AO$53,Параметры!AO$59)/Параметры!AO$64</f>
        <v>0</v>
      </c>
      <c r="AP72" s="344">
        <f>Проект!AP$739*CHOOSE(Проект!$D$739,1,Параметры!AP$53,Параметры!AP$59)/Параметры!AP$64</f>
        <v>0</v>
      </c>
      <c r="AQ72" s="344">
        <f>Проект!AQ$739*CHOOSE(Проект!$D$739,1,Параметры!AQ$53,Параметры!AQ$59)/Параметры!AQ$64</f>
        <v>0</v>
      </c>
      <c r="AR72" s="344">
        <f>Проект!AR$739*CHOOSE(Проект!$D$739,1,Параметры!AR$53,Параметры!AR$59)/Параметры!AR$64</f>
        <v>0</v>
      </c>
      <c r="AS72" s="344">
        <f>Проект!AS$739*CHOOSE(Проект!$D$739,1,Параметры!AS$53,Параметры!AS$59)/Параметры!AS$64</f>
        <v>0</v>
      </c>
      <c r="AT72" s="344">
        <f>Проект!AT$739*CHOOSE(Проект!$D$739,1,Параметры!AT$53,Параметры!AT$59)/Параметры!AT$64</f>
        <v>0</v>
      </c>
      <c r="AU72" s="344">
        <f>Проект!AU$739*CHOOSE(Проект!$D$739,1,Параметры!AU$53,Параметры!AU$59)/Параметры!AU$64</f>
        <v>0</v>
      </c>
      <c r="AV72" s="344">
        <f>Проект!AV$739*CHOOSE(Проект!$D$739,1,Параметры!AV$53,Параметры!AV$59)/Параметры!AV$64</f>
        <v>0</v>
      </c>
      <c r="AW72" s="344">
        <f>Проект!AW$739*CHOOSE(Проект!$D$739,1,Параметры!AW$53,Параметры!AW$59)/Параметры!AW$64</f>
        <v>0</v>
      </c>
      <c r="AX72" s="344">
        <f>Проект!AX$739*CHOOSE(Проект!$D$739,1,Параметры!AX$53,Параметры!AX$59)/Параметры!AX$64</f>
        <v>0</v>
      </c>
      <c r="AY72" s="344">
        <f>Проект!AY$739*CHOOSE(Проект!$D$739,1,Параметры!AY$53,Параметры!AY$59)/Параметры!AY$64</f>
        <v>0</v>
      </c>
      <c r="AZ72" s="344">
        <f>Проект!AZ$739*CHOOSE(Проект!$D$739,1,Параметры!AZ$53,Параметры!AZ$59)/Параметры!AZ$64</f>
        <v>0</v>
      </c>
      <c r="BA72" s="344">
        <f>Проект!BA$739*CHOOSE(Проект!$D$739,1,Параметры!BA$53,Параметры!BA$59)/Параметры!BA$64</f>
        <v>0</v>
      </c>
      <c r="BB72" s="344">
        <f>Проект!BB$739*CHOOSE(Проект!$D$739,1,Параметры!BB$53,Параметры!BB$59)/Параметры!BB$64</f>
        <v>0</v>
      </c>
      <c r="BD72" s="345">
        <f>SUM(G72:BC72)</f>
        <v>800000</v>
      </c>
    </row>
    <row r="73" spans="1:58" x14ac:dyDescent="0.3">
      <c r="A73" s="62"/>
      <c r="B73" s="62"/>
      <c r="C73" s="62"/>
      <c r="D73" s="63"/>
      <c r="E73" s="63"/>
      <c r="F73" s="63"/>
      <c r="G73" s="62"/>
      <c r="H73" s="62"/>
      <c r="I73" s="62"/>
      <c r="J73" s="62"/>
      <c r="K73" s="62"/>
      <c r="L73" s="62"/>
      <c r="M73" s="62"/>
      <c r="N73" s="62"/>
      <c r="O73" s="62"/>
      <c r="P73" s="62"/>
      <c r="Q73" s="62"/>
      <c r="R73" s="62"/>
      <c r="S73" s="62"/>
      <c r="T73" s="62"/>
      <c r="U73" s="62"/>
      <c r="V73" s="62"/>
      <c r="W73" s="62"/>
      <c r="X73" s="62"/>
      <c r="Y73" s="62"/>
      <c r="Z73" s="62"/>
      <c r="AA73" s="62"/>
      <c r="AB73" s="62"/>
      <c r="AC73" s="62"/>
      <c r="AD73" s="62"/>
      <c r="AE73" s="62"/>
      <c r="AF73" s="62"/>
      <c r="AG73" s="62"/>
      <c r="AH73" s="62"/>
      <c r="AI73" s="62"/>
      <c r="AJ73" s="62"/>
      <c r="AK73" s="62"/>
      <c r="AL73" s="62"/>
      <c r="AM73" s="62"/>
      <c r="AN73" s="62"/>
      <c r="AO73" s="62"/>
      <c r="AP73" s="62"/>
      <c r="AQ73" s="62"/>
      <c r="AR73" s="62"/>
      <c r="AS73" s="62"/>
      <c r="AT73" s="62"/>
      <c r="AU73" s="62"/>
      <c r="AV73" s="62"/>
      <c r="AW73" s="62"/>
      <c r="AX73" s="62"/>
      <c r="AY73" s="62"/>
      <c r="AZ73" s="62"/>
      <c r="BA73" s="62"/>
      <c r="BB73" s="62"/>
      <c r="BC73" s="62"/>
      <c r="BD73" s="125"/>
    </row>
    <row r="74" spans="1:58" x14ac:dyDescent="0.3">
      <c r="A74" s="34" t="str">
        <f ca="1">Language!A$946</f>
        <v>Здания и сооружения</v>
      </c>
      <c r="B74" s="137">
        <f t="shared" ref="B74" si="69">BD74</f>
        <v>205000000</v>
      </c>
      <c r="C74" s="100" t="str">
        <f ca="1">Параметры!$C$64</f>
        <v>руб.</v>
      </c>
      <c r="D74" s="11">
        <v>0</v>
      </c>
      <c r="E74" s="6" t="s">
        <v>2286</v>
      </c>
      <c r="F74" s="6" t="s">
        <v>3497</v>
      </c>
      <c r="G74" s="58">
        <f t="shared" ref="G74:N74" si="70">SUM(G75:G79)</f>
        <v>0</v>
      </c>
      <c r="H74" s="58">
        <f t="shared" si="70"/>
        <v>0</v>
      </c>
      <c r="I74" s="58">
        <f t="shared" si="70"/>
        <v>135000000</v>
      </c>
      <c r="J74" s="58">
        <f t="shared" si="70"/>
        <v>17000000</v>
      </c>
      <c r="K74" s="58">
        <f t="shared" si="70"/>
        <v>17000000</v>
      </c>
      <c r="L74" s="58">
        <f t="shared" si="70"/>
        <v>16000000</v>
      </c>
      <c r="M74" s="58">
        <f t="shared" si="70"/>
        <v>10000000</v>
      </c>
      <c r="N74" s="58">
        <f t="shared" si="70"/>
        <v>10000000</v>
      </c>
      <c r="O74" s="58">
        <f t="shared" ref="O74" si="71">SUM(O79:O79)</f>
        <v>0</v>
      </c>
      <c r="P74" s="58">
        <f t="shared" ref="P74:Q74" si="72">SUM(P79:P79)</f>
        <v>0</v>
      </c>
      <c r="Q74" s="58">
        <f t="shared" si="72"/>
        <v>0</v>
      </c>
      <c r="R74" s="58">
        <f t="shared" ref="R74:S74" si="73">SUM(R79:R79)</f>
        <v>0</v>
      </c>
      <c r="S74" s="58">
        <f t="shared" si="73"/>
        <v>0</v>
      </c>
      <c r="T74" s="58">
        <f t="shared" ref="T74:U74" si="74">SUM(T79:T79)</f>
        <v>0</v>
      </c>
      <c r="U74" s="58">
        <f t="shared" si="74"/>
        <v>0</v>
      </c>
      <c r="V74" s="58">
        <f t="shared" ref="V74:W74" si="75">SUM(V79:V79)</f>
        <v>0</v>
      </c>
      <c r="W74" s="58">
        <f t="shared" si="75"/>
        <v>0</v>
      </c>
      <c r="X74" s="58">
        <f t="shared" ref="X74:Y74" si="76">SUM(X79:X79)</f>
        <v>0</v>
      </c>
      <c r="Y74" s="58">
        <f t="shared" si="76"/>
        <v>0</v>
      </c>
      <c r="Z74" s="58">
        <f t="shared" ref="Z74:AA74" si="77">SUM(Z79:Z79)</f>
        <v>0</v>
      </c>
      <c r="AA74" s="58">
        <f t="shared" si="77"/>
        <v>0</v>
      </c>
      <c r="AB74" s="58">
        <f t="shared" ref="AB74:AC74" si="78">SUM(AB79:AB79)</f>
        <v>0</v>
      </c>
      <c r="AC74" s="58">
        <f t="shared" si="78"/>
        <v>0</v>
      </c>
      <c r="AD74" s="58">
        <f t="shared" ref="AD74:AE74" si="79">SUM(AD79:AD79)</f>
        <v>0</v>
      </c>
      <c r="AE74" s="58">
        <f t="shared" si="79"/>
        <v>0</v>
      </c>
      <c r="AF74" s="58">
        <f t="shared" ref="AF74:AG74" si="80">SUM(AF79:AF79)</f>
        <v>0</v>
      </c>
      <c r="AG74" s="58">
        <f t="shared" si="80"/>
        <v>0</v>
      </c>
      <c r="AH74" s="58">
        <f t="shared" ref="AH74:AI74" si="81">SUM(AH79:AH79)</f>
        <v>0</v>
      </c>
      <c r="AI74" s="58">
        <f t="shared" si="81"/>
        <v>0</v>
      </c>
      <c r="AJ74" s="58">
        <f t="shared" ref="AJ74:AK74" si="82">SUM(AJ79:AJ79)</f>
        <v>0</v>
      </c>
      <c r="AK74" s="58">
        <f t="shared" si="82"/>
        <v>0</v>
      </c>
      <c r="AL74" s="58">
        <f t="shared" ref="AL74:AM74" si="83">SUM(AL79:AL79)</f>
        <v>0</v>
      </c>
      <c r="AM74" s="58">
        <f t="shared" si="83"/>
        <v>0</v>
      </c>
      <c r="AN74" s="58">
        <f t="shared" ref="AN74:AO74" si="84">SUM(AN79:AN79)</f>
        <v>0</v>
      </c>
      <c r="AO74" s="58">
        <f t="shared" si="84"/>
        <v>0</v>
      </c>
      <c r="AP74" s="58">
        <f t="shared" ref="AP74:AQ74" si="85">SUM(AP79:AP79)</f>
        <v>0</v>
      </c>
      <c r="AQ74" s="58">
        <f t="shared" si="85"/>
        <v>0</v>
      </c>
      <c r="AR74" s="58">
        <f t="shared" ref="AR74:AS74" si="86">SUM(AR79:AR79)</f>
        <v>0</v>
      </c>
      <c r="AS74" s="58">
        <f t="shared" si="86"/>
        <v>0</v>
      </c>
      <c r="AT74" s="58">
        <f t="shared" ref="AT74:AU74" si="87">SUM(AT79:AT79)</f>
        <v>0</v>
      </c>
      <c r="AU74" s="58">
        <f t="shared" si="87"/>
        <v>0</v>
      </c>
      <c r="AV74" s="58">
        <f t="shared" ref="AV74:AW74" si="88">SUM(AV79:AV79)</f>
        <v>0</v>
      </c>
      <c r="AW74" s="58">
        <f t="shared" si="88"/>
        <v>0</v>
      </c>
      <c r="AX74" s="58">
        <f t="shared" ref="AX74:AY74" si="89">SUM(AX79:AX79)</f>
        <v>0</v>
      </c>
      <c r="AY74" s="58">
        <f t="shared" si="89"/>
        <v>0</v>
      </c>
      <c r="AZ74" s="58">
        <f t="shared" ref="AZ74:BA74" si="90">SUM(AZ79:AZ79)</f>
        <v>0</v>
      </c>
      <c r="BA74" s="58">
        <f t="shared" si="90"/>
        <v>0</v>
      </c>
      <c r="BB74" s="58">
        <f t="shared" ref="BB74" si="91">SUM(BB79:BB79)</f>
        <v>0</v>
      </c>
      <c r="BD74" s="76">
        <f>SUM(G74:BC74)</f>
        <v>205000000</v>
      </c>
    </row>
    <row r="75" spans="1:58" s="346" customFormat="1" x14ac:dyDescent="0.3">
      <c r="A75" s="349" t="str">
        <f>Проект!A$750</f>
        <v>Покупка здания ресторана</v>
      </c>
      <c r="B75" s="340">
        <f>BD75</f>
        <v>50000000</v>
      </c>
      <c r="C75" s="341" t="str">
        <f ca="1">Параметры!C$64</f>
        <v>руб.</v>
      </c>
      <c r="D75" s="342"/>
      <c r="E75" s="343"/>
      <c r="F75" s="343" t="s">
        <v>3493</v>
      </c>
      <c r="G75" s="344">
        <f>Проект!G$759*CHOOSE(Проект!$D$759,1,Параметры!G$53,Параметры!G$59)/Параметры!G$64</f>
        <v>0</v>
      </c>
      <c r="H75" s="344">
        <f>Проект!H$759*CHOOSE(Проект!$D$759,1,Параметры!H$53,Параметры!H$59)/Параметры!H$64</f>
        <v>0</v>
      </c>
      <c r="I75" s="344">
        <f>Проект!I$759*CHOOSE(Проект!$D$759,1,Параметры!I$53,Параметры!I$59)/Параметры!I$64</f>
        <v>50000000</v>
      </c>
      <c r="J75" s="344">
        <f>Проект!J$759*CHOOSE(Проект!$D$759,1,Параметры!J$53,Параметры!J$59)/Параметры!J$64</f>
        <v>0</v>
      </c>
      <c r="K75" s="344">
        <f>Проект!K$759*CHOOSE(Проект!$D$759,1,Параметры!K$53,Параметры!K$59)/Параметры!K$64</f>
        <v>0</v>
      </c>
      <c r="L75" s="344">
        <f>Проект!L$759*CHOOSE(Проект!$D$759,1,Параметры!L$53,Параметры!L$59)/Параметры!L$64</f>
        <v>0</v>
      </c>
      <c r="M75" s="344">
        <f>Проект!M$759*CHOOSE(Проект!$D$759,1,Параметры!M$53,Параметры!M$59)/Параметры!M$64</f>
        <v>0</v>
      </c>
      <c r="N75" s="344">
        <f>Проект!N$759*CHOOSE(Проект!$D$759,1,Параметры!N$53,Параметры!N$59)/Параметры!N$64</f>
        <v>0</v>
      </c>
      <c r="O75" s="344">
        <f>Проект!O$759*CHOOSE(Проект!$D$759,1,Параметры!O$53,Параметры!O$59)/Параметры!O$64</f>
        <v>0</v>
      </c>
      <c r="P75" s="344">
        <f>Проект!P$759*CHOOSE(Проект!$D$759,1,Параметры!P$53,Параметры!P$59)/Параметры!P$64</f>
        <v>0</v>
      </c>
      <c r="Q75" s="344">
        <f>Проект!Q$759*CHOOSE(Проект!$D$759,1,Параметры!Q$53,Параметры!Q$59)/Параметры!Q$64</f>
        <v>0</v>
      </c>
      <c r="R75" s="344">
        <f>Проект!R$759*CHOOSE(Проект!$D$759,1,Параметры!R$53,Параметры!R$59)/Параметры!R$64</f>
        <v>0</v>
      </c>
      <c r="S75" s="344">
        <f>Проект!S$759*CHOOSE(Проект!$D$759,1,Параметры!S$53,Параметры!S$59)/Параметры!S$64</f>
        <v>0</v>
      </c>
      <c r="T75" s="344">
        <f>Проект!T$759*CHOOSE(Проект!$D$759,1,Параметры!T$53,Параметры!T$59)/Параметры!T$64</f>
        <v>0</v>
      </c>
      <c r="U75" s="344">
        <f>Проект!U$759*CHOOSE(Проект!$D$759,1,Параметры!U$53,Параметры!U$59)/Параметры!U$64</f>
        <v>0</v>
      </c>
      <c r="V75" s="344">
        <f>Проект!V$759*CHOOSE(Проект!$D$759,1,Параметры!V$53,Параметры!V$59)/Параметры!V$64</f>
        <v>0</v>
      </c>
      <c r="W75" s="344">
        <f>Проект!W$759*CHOOSE(Проект!$D$759,1,Параметры!W$53,Параметры!W$59)/Параметры!W$64</f>
        <v>0</v>
      </c>
      <c r="X75" s="344">
        <f>Проект!X$759*CHOOSE(Проект!$D$759,1,Параметры!X$53,Параметры!X$59)/Параметры!X$64</f>
        <v>0</v>
      </c>
      <c r="Y75" s="344">
        <f>Проект!Y$759*CHOOSE(Проект!$D$759,1,Параметры!Y$53,Параметры!Y$59)/Параметры!Y$64</f>
        <v>0</v>
      </c>
      <c r="Z75" s="344">
        <f>Проект!Z$759*CHOOSE(Проект!$D$759,1,Параметры!Z$53,Параметры!Z$59)/Параметры!Z$64</f>
        <v>0</v>
      </c>
      <c r="AA75" s="344">
        <f>Проект!AA$759*CHOOSE(Проект!$D$759,1,Параметры!AA$53,Параметры!AA$59)/Параметры!AA$64</f>
        <v>0</v>
      </c>
      <c r="AB75" s="344">
        <f>Проект!AB$759*CHOOSE(Проект!$D$759,1,Параметры!AB$53,Параметры!AB$59)/Параметры!AB$64</f>
        <v>0</v>
      </c>
      <c r="AC75" s="344">
        <f>Проект!AC$759*CHOOSE(Проект!$D$759,1,Параметры!AC$53,Параметры!AC$59)/Параметры!AC$64</f>
        <v>0</v>
      </c>
      <c r="AD75" s="344">
        <f>Проект!AD$759*CHOOSE(Проект!$D$759,1,Параметры!AD$53,Параметры!AD$59)/Параметры!AD$64</f>
        <v>0</v>
      </c>
      <c r="AE75" s="344">
        <f>Проект!AE$759*CHOOSE(Проект!$D$759,1,Параметры!AE$53,Параметры!AE$59)/Параметры!AE$64</f>
        <v>0</v>
      </c>
      <c r="AF75" s="344">
        <f>Проект!AF$759*CHOOSE(Проект!$D$759,1,Параметры!AF$53,Параметры!AF$59)/Параметры!AF$64</f>
        <v>0</v>
      </c>
      <c r="AG75" s="344">
        <f>Проект!AG$759*CHOOSE(Проект!$D$759,1,Параметры!AG$53,Параметры!AG$59)/Параметры!AG$64</f>
        <v>0</v>
      </c>
      <c r="AH75" s="344">
        <f>Проект!AH$759*CHOOSE(Проект!$D$759,1,Параметры!AH$53,Параметры!AH$59)/Параметры!AH$64</f>
        <v>0</v>
      </c>
      <c r="AI75" s="344">
        <f>Проект!AI$759*CHOOSE(Проект!$D$759,1,Параметры!AI$53,Параметры!AI$59)/Параметры!AI$64</f>
        <v>0</v>
      </c>
      <c r="AJ75" s="344">
        <f>Проект!AJ$759*CHOOSE(Проект!$D$759,1,Параметры!AJ$53,Параметры!AJ$59)/Параметры!AJ$64</f>
        <v>0</v>
      </c>
      <c r="AK75" s="344">
        <f>Проект!AK$759*CHOOSE(Проект!$D$759,1,Параметры!AK$53,Параметры!AK$59)/Параметры!AK$64</f>
        <v>0</v>
      </c>
      <c r="AL75" s="344">
        <f>Проект!AL$759*CHOOSE(Проект!$D$759,1,Параметры!AL$53,Параметры!AL$59)/Параметры!AL$64</f>
        <v>0</v>
      </c>
      <c r="AM75" s="344">
        <f>Проект!AM$759*CHOOSE(Проект!$D$759,1,Параметры!AM$53,Параметры!AM$59)/Параметры!AM$64</f>
        <v>0</v>
      </c>
      <c r="AN75" s="344">
        <f>Проект!AN$759*CHOOSE(Проект!$D$759,1,Параметры!AN$53,Параметры!AN$59)/Параметры!AN$64</f>
        <v>0</v>
      </c>
      <c r="AO75" s="344">
        <f>Проект!AO$759*CHOOSE(Проект!$D$759,1,Параметры!AO$53,Параметры!AO$59)/Параметры!AO$64</f>
        <v>0</v>
      </c>
      <c r="AP75" s="344">
        <f>Проект!AP$759*CHOOSE(Проект!$D$759,1,Параметры!AP$53,Параметры!AP$59)/Параметры!AP$64</f>
        <v>0</v>
      </c>
      <c r="AQ75" s="344">
        <f>Проект!AQ$759*CHOOSE(Проект!$D$759,1,Параметры!AQ$53,Параметры!AQ$59)/Параметры!AQ$64</f>
        <v>0</v>
      </c>
      <c r="AR75" s="344">
        <f>Проект!AR$759*CHOOSE(Проект!$D$759,1,Параметры!AR$53,Параметры!AR$59)/Параметры!AR$64</f>
        <v>0</v>
      </c>
      <c r="AS75" s="344">
        <f>Проект!AS$759*CHOOSE(Проект!$D$759,1,Параметры!AS$53,Параметры!AS$59)/Параметры!AS$64</f>
        <v>0</v>
      </c>
      <c r="AT75" s="344">
        <f>Проект!AT$759*CHOOSE(Проект!$D$759,1,Параметры!AT$53,Параметры!AT$59)/Параметры!AT$64</f>
        <v>0</v>
      </c>
      <c r="AU75" s="344">
        <f>Проект!AU$759*CHOOSE(Проект!$D$759,1,Параметры!AU$53,Параметры!AU$59)/Параметры!AU$64</f>
        <v>0</v>
      </c>
      <c r="AV75" s="344">
        <f>Проект!AV$759*CHOOSE(Проект!$D$759,1,Параметры!AV$53,Параметры!AV$59)/Параметры!AV$64</f>
        <v>0</v>
      </c>
      <c r="AW75" s="344">
        <f>Проект!AW$759*CHOOSE(Проект!$D$759,1,Параметры!AW$53,Параметры!AW$59)/Параметры!AW$64</f>
        <v>0</v>
      </c>
      <c r="AX75" s="344">
        <f>Проект!AX$759*CHOOSE(Проект!$D$759,1,Параметры!AX$53,Параметры!AX$59)/Параметры!AX$64</f>
        <v>0</v>
      </c>
      <c r="AY75" s="344">
        <f>Проект!AY$759*CHOOSE(Проект!$D$759,1,Параметры!AY$53,Параметры!AY$59)/Параметры!AY$64</f>
        <v>0</v>
      </c>
      <c r="AZ75" s="344">
        <f>Проект!AZ$759*CHOOSE(Проект!$D$759,1,Параметры!AZ$53,Параметры!AZ$59)/Параметры!AZ$64</f>
        <v>0</v>
      </c>
      <c r="BA75" s="344">
        <f>Проект!BA$759*CHOOSE(Проект!$D$759,1,Параметры!BA$53,Параметры!BA$59)/Параметры!BA$64</f>
        <v>0</v>
      </c>
      <c r="BB75" s="344">
        <f>Проект!BB$759*CHOOSE(Проект!$D$759,1,Параметры!BB$53,Параметры!BB$59)/Параметры!BB$64</f>
        <v>0</v>
      </c>
      <c r="BD75" s="345">
        <f>SUM(G75:BC75)</f>
        <v>50000000</v>
      </c>
    </row>
    <row r="76" spans="1:58" s="346" customFormat="1" x14ac:dyDescent="0.3">
      <c r="A76" s="349" t="str">
        <f>Проект!A$776</f>
        <v>Реконструкция здания ресторана</v>
      </c>
      <c r="B76" s="340">
        <f>BD76</f>
        <v>60000000</v>
      </c>
      <c r="C76" s="341" t="str">
        <f ca="1">Параметры!C$64</f>
        <v>руб.</v>
      </c>
      <c r="D76" s="342"/>
      <c r="E76" s="343"/>
      <c r="F76" s="343" t="s">
        <v>3496</v>
      </c>
      <c r="G76" s="344">
        <f>Проект!G$785*CHOOSE(Проект!$D$785,1,Параметры!G$53,Параметры!G$59)/Параметры!G$64</f>
        <v>0</v>
      </c>
      <c r="H76" s="344">
        <f>Проект!H$785*CHOOSE(Проект!$D$785,1,Параметры!H$53,Параметры!H$59)/Параметры!H$64</f>
        <v>0</v>
      </c>
      <c r="I76" s="344">
        <f>Проект!I$785*CHOOSE(Проект!$D$785,1,Параметры!I$53,Параметры!I$59)/Параметры!I$64</f>
        <v>10000000</v>
      </c>
      <c r="J76" s="344">
        <f>Проект!J$785*CHOOSE(Проект!$D$785,1,Параметры!J$53,Параметры!J$59)/Параметры!J$64</f>
        <v>10000000</v>
      </c>
      <c r="K76" s="344">
        <f>Проект!K$785*CHOOSE(Проект!$D$785,1,Параметры!K$53,Параметры!K$59)/Параметры!K$64</f>
        <v>10000000</v>
      </c>
      <c r="L76" s="344">
        <f>Проект!L$785*CHOOSE(Проект!$D$785,1,Параметры!L$53,Параметры!L$59)/Параметры!L$64</f>
        <v>10000000</v>
      </c>
      <c r="M76" s="344">
        <f>Проект!M$785*CHOOSE(Проект!$D$785,1,Параметры!M$53,Параметры!M$59)/Параметры!M$64</f>
        <v>10000000</v>
      </c>
      <c r="N76" s="344">
        <f>Проект!N$785*CHOOSE(Проект!$D$785,1,Параметры!N$53,Параметры!N$59)/Параметры!N$64</f>
        <v>10000000</v>
      </c>
      <c r="O76" s="344">
        <f>Проект!O$785*CHOOSE(Проект!$D$785,1,Параметры!O$53,Параметры!O$59)/Параметры!O$64</f>
        <v>0</v>
      </c>
      <c r="P76" s="344">
        <f>Проект!P$785*CHOOSE(Проект!$D$785,1,Параметры!P$53,Параметры!P$59)/Параметры!P$64</f>
        <v>0</v>
      </c>
      <c r="Q76" s="344">
        <f>Проект!Q$785*CHOOSE(Проект!$D$785,1,Параметры!Q$53,Параметры!Q$59)/Параметры!Q$64</f>
        <v>0</v>
      </c>
      <c r="R76" s="344">
        <f>Проект!R$785*CHOOSE(Проект!$D$785,1,Параметры!R$53,Параметры!R$59)/Параметры!R$64</f>
        <v>0</v>
      </c>
      <c r="S76" s="344">
        <f>Проект!S$785*CHOOSE(Проект!$D$785,1,Параметры!S$53,Параметры!S$59)/Параметры!S$64</f>
        <v>0</v>
      </c>
      <c r="T76" s="344">
        <f>Проект!T$785*CHOOSE(Проект!$D$785,1,Параметры!T$53,Параметры!T$59)/Параметры!T$64</f>
        <v>0</v>
      </c>
      <c r="U76" s="344">
        <f>Проект!U$785*CHOOSE(Проект!$D$785,1,Параметры!U$53,Параметры!U$59)/Параметры!U$64</f>
        <v>0</v>
      </c>
      <c r="V76" s="344">
        <f>Проект!V$785*CHOOSE(Проект!$D$785,1,Параметры!V$53,Параметры!V$59)/Параметры!V$64</f>
        <v>0</v>
      </c>
      <c r="W76" s="344">
        <f>Проект!W$785*CHOOSE(Проект!$D$785,1,Параметры!W$53,Параметры!W$59)/Параметры!W$64</f>
        <v>0</v>
      </c>
      <c r="X76" s="344">
        <f>Проект!X$785*CHOOSE(Проект!$D$785,1,Параметры!X$53,Параметры!X$59)/Параметры!X$64</f>
        <v>0</v>
      </c>
      <c r="Y76" s="344">
        <f>Проект!Y$785*CHOOSE(Проект!$D$785,1,Параметры!Y$53,Параметры!Y$59)/Параметры!Y$64</f>
        <v>0</v>
      </c>
      <c r="Z76" s="344">
        <f>Проект!Z$785*CHOOSE(Проект!$D$785,1,Параметры!Z$53,Параметры!Z$59)/Параметры!Z$64</f>
        <v>0</v>
      </c>
      <c r="AA76" s="344">
        <f>Проект!AA$785*CHOOSE(Проект!$D$785,1,Параметры!AA$53,Параметры!AA$59)/Параметры!AA$64</f>
        <v>0</v>
      </c>
      <c r="AB76" s="344">
        <f>Проект!AB$785*CHOOSE(Проект!$D$785,1,Параметры!AB$53,Параметры!AB$59)/Параметры!AB$64</f>
        <v>0</v>
      </c>
      <c r="AC76" s="344">
        <f>Проект!AC$785*CHOOSE(Проект!$D$785,1,Параметры!AC$53,Параметры!AC$59)/Параметры!AC$64</f>
        <v>0</v>
      </c>
      <c r="AD76" s="344">
        <f>Проект!AD$785*CHOOSE(Проект!$D$785,1,Параметры!AD$53,Параметры!AD$59)/Параметры!AD$64</f>
        <v>0</v>
      </c>
      <c r="AE76" s="344">
        <f>Проект!AE$785*CHOOSE(Проект!$D$785,1,Параметры!AE$53,Параметры!AE$59)/Параметры!AE$64</f>
        <v>0</v>
      </c>
      <c r="AF76" s="344">
        <f>Проект!AF$785*CHOOSE(Проект!$D$785,1,Параметры!AF$53,Параметры!AF$59)/Параметры!AF$64</f>
        <v>0</v>
      </c>
      <c r="AG76" s="344">
        <f>Проект!AG$785*CHOOSE(Проект!$D$785,1,Параметры!AG$53,Параметры!AG$59)/Параметры!AG$64</f>
        <v>0</v>
      </c>
      <c r="AH76" s="344">
        <f>Проект!AH$785*CHOOSE(Проект!$D$785,1,Параметры!AH$53,Параметры!AH$59)/Параметры!AH$64</f>
        <v>0</v>
      </c>
      <c r="AI76" s="344">
        <f>Проект!AI$785*CHOOSE(Проект!$D$785,1,Параметры!AI$53,Параметры!AI$59)/Параметры!AI$64</f>
        <v>0</v>
      </c>
      <c r="AJ76" s="344">
        <f>Проект!AJ$785*CHOOSE(Проект!$D$785,1,Параметры!AJ$53,Параметры!AJ$59)/Параметры!AJ$64</f>
        <v>0</v>
      </c>
      <c r="AK76" s="344">
        <f>Проект!AK$785*CHOOSE(Проект!$D$785,1,Параметры!AK$53,Параметры!AK$59)/Параметры!AK$64</f>
        <v>0</v>
      </c>
      <c r="AL76" s="344">
        <f>Проект!AL$785*CHOOSE(Проект!$D$785,1,Параметры!AL$53,Параметры!AL$59)/Параметры!AL$64</f>
        <v>0</v>
      </c>
      <c r="AM76" s="344">
        <f>Проект!AM$785*CHOOSE(Проект!$D$785,1,Параметры!AM$53,Параметры!AM$59)/Параметры!AM$64</f>
        <v>0</v>
      </c>
      <c r="AN76" s="344">
        <f>Проект!AN$785*CHOOSE(Проект!$D$785,1,Параметры!AN$53,Параметры!AN$59)/Параметры!AN$64</f>
        <v>0</v>
      </c>
      <c r="AO76" s="344">
        <f>Проект!AO$785*CHOOSE(Проект!$D$785,1,Параметры!AO$53,Параметры!AO$59)/Параметры!AO$64</f>
        <v>0</v>
      </c>
      <c r="AP76" s="344">
        <f>Проект!AP$785*CHOOSE(Проект!$D$785,1,Параметры!AP$53,Параметры!AP$59)/Параметры!AP$64</f>
        <v>0</v>
      </c>
      <c r="AQ76" s="344">
        <f>Проект!AQ$785*CHOOSE(Проект!$D$785,1,Параметры!AQ$53,Параметры!AQ$59)/Параметры!AQ$64</f>
        <v>0</v>
      </c>
      <c r="AR76" s="344">
        <f>Проект!AR$785*CHOOSE(Проект!$D$785,1,Параметры!AR$53,Параметры!AR$59)/Параметры!AR$64</f>
        <v>0</v>
      </c>
      <c r="AS76" s="344">
        <f>Проект!AS$785*CHOOSE(Проект!$D$785,1,Параметры!AS$53,Параметры!AS$59)/Параметры!AS$64</f>
        <v>0</v>
      </c>
      <c r="AT76" s="344">
        <f>Проект!AT$785*CHOOSE(Проект!$D$785,1,Параметры!AT$53,Параметры!AT$59)/Параметры!AT$64</f>
        <v>0</v>
      </c>
      <c r="AU76" s="344">
        <f>Проект!AU$785*CHOOSE(Проект!$D$785,1,Параметры!AU$53,Параметры!AU$59)/Параметры!AU$64</f>
        <v>0</v>
      </c>
      <c r="AV76" s="344">
        <f>Проект!AV$785*CHOOSE(Проект!$D$785,1,Параметры!AV$53,Параметры!AV$59)/Параметры!AV$64</f>
        <v>0</v>
      </c>
      <c r="AW76" s="344">
        <f>Проект!AW$785*CHOOSE(Проект!$D$785,1,Параметры!AW$53,Параметры!AW$59)/Параметры!AW$64</f>
        <v>0</v>
      </c>
      <c r="AX76" s="344">
        <f>Проект!AX$785*CHOOSE(Проект!$D$785,1,Параметры!AX$53,Параметры!AX$59)/Параметры!AX$64</f>
        <v>0</v>
      </c>
      <c r="AY76" s="344">
        <f>Проект!AY$785*CHOOSE(Проект!$D$785,1,Параметры!AY$53,Параметры!AY$59)/Параметры!AY$64</f>
        <v>0</v>
      </c>
      <c r="AZ76" s="344">
        <f>Проект!AZ$785*CHOOSE(Проект!$D$785,1,Параметры!AZ$53,Параметры!AZ$59)/Параметры!AZ$64</f>
        <v>0</v>
      </c>
      <c r="BA76" s="344">
        <f>Проект!BA$785*CHOOSE(Проект!$D$785,1,Параметры!BA$53,Параметры!BA$59)/Параметры!BA$64</f>
        <v>0</v>
      </c>
      <c r="BB76" s="344">
        <f>Проект!BB$785*CHOOSE(Проект!$D$785,1,Параметры!BB$53,Параметры!BB$59)/Параметры!BB$64</f>
        <v>0</v>
      </c>
      <c r="BD76" s="345">
        <f>SUM(G76:BC76)</f>
        <v>60000000</v>
      </c>
    </row>
    <row r="77" spans="1:58" s="346" customFormat="1" x14ac:dyDescent="0.3">
      <c r="A77" s="349" t="str">
        <f>Проект!A$802</f>
        <v>Выкуп незавершенного строительства корпуса</v>
      </c>
      <c r="B77" s="340">
        <f>BD77</f>
        <v>75000000</v>
      </c>
      <c r="C77" s="341" t="str">
        <f ca="1">Параметры!C$64</f>
        <v>руб.</v>
      </c>
      <c r="D77" s="342"/>
      <c r="E77" s="343"/>
      <c r="F77" s="343" t="s">
        <v>3500</v>
      </c>
      <c r="G77" s="344">
        <f>Проект!G$811*CHOOSE(Проект!$D$811,1,Параметры!G$53,Параметры!G$59)/Параметры!G$64</f>
        <v>0</v>
      </c>
      <c r="H77" s="344">
        <f>Проект!H$811*CHOOSE(Проект!$D$811,1,Параметры!H$53,Параметры!H$59)/Параметры!H$64</f>
        <v>0</v>
      </c>
      <c r="I77" s="344">
        <f>Проект!I$811*CHOOSE(Проект!$D$811,1,Параметры!I$53,Параметры!I$59)/Параметры!I$64</f>
        <v>75000000</v>
      </c>
      <c r="J77" s="344">
        <f>Проект!J$811*CHOOSE(Проект!$D$811,1,Параметры!J$53,Параметры!J$59)/Параметры!J$64</f>
        <v>0</v>
      </c>
      <c r="K77" s="344">
        <f>Проект!K$811*CHOOSE(Проект!$D$811,1,Параметры!K$53,Параметры!K$59)/Параметры!K$64</f>
        <v>0</v>
      </c>
      <c r="L77" s="344">
        <f>Проект!L$811*CHOOSE(Проект!$D$811,1,Параметры!L$53,Параметры!L$59)/Параметры!L$64</f>
        <v>0</v>
      </c>
      <c r="M77" s="344">
        <f>Проект!M$811*CHOOSE(Проект!$D$811,1,Параметры!M$53,Параметры!M$59)/Параметры!M$64</f>
        <v>0</v>
      </c>
      <c r="N77" s="344">
        <f>Проект!N$811*CHOOSE(Проект!$D$811,1,Параметры!N$53,Параметры!N$59)/Параметры!N$64</f>
        <v>0</v>
      </c>
      <c r="O77" s="344">
        <f>Проект!O$811*CHOOSE(Проект!$D$811,1,Параметры!O$53,Параметры!O$59)/Параметры!O$64</f>
        <v>0</v>
      </c>
      <c r="P77" s="344">
        <f>Проект!P$811*CHOOSE(Проект!$D$811,1,Параметры!P$53,Параметры!P$59)/Параметры!P$64</f>
        <v>0</v>
      </c>
      <c r="Q77" s="344">
        <f>Проект!Q$811*CHOOSE(Проект!$D$811,1,Параметры!Q$53,Параметры!Q$59)/Параметры!Q$64</f>
        <v>0</v>
      </c>
      <c r="R77" s="344">
        <f>Проект!R$811*CHOOSE(Проект!$D$811,1,Параметры!R$53,Параметры!R$59)/Параметры!R$64</f>
        <v>0</v>
      </c>
      <c r="S77" s="344">
        <f>Проект!S$811*CHOOSE(Проект!$D$811,1,Параметры!S$53,Параметры!S$59)/Параметры!S$64</f>
        <v>0</v>
      </c>
      <c r="T77" s="344">
        <f>Проект!T$811*CHOOSE(Проект!$D$811,1,Параметры!T$53,Параметры!T$59)/Параметры!T$64</f>
        <v>0</v>
      </c>
      <c r="U77" s="344">
        <f>Проект!U$811*CHOOSE(Проект!$D$811,1,Параметры!U$53,Параметры!U$59)/Параметры!U$64</f>
        <v>0</v>
      </c>
      <c r="V77" s="344">
        <f>Проект!V$811*CHOOSE(Проект!$D$811,1,Параметры!V$53,Параметры!V$59)/Параметры!V$64</f>
        <v>0</v>
      </c>
      <c r="W77" s="344">
        <f>Проект!W$811*CHOOSE(Проект!$D$811,1,Параметры!W$53,Параметры!W$59)/Параметры!W$64</f>
        <v>0</v>
      </c>
      <c r="X77" s="344">
        <f>Проект!X$811*CHOOSE(Проект!$D$811,1,Параметры!X$53,Параметры!X$59)/Параметры!X$64</f>
        <v>0</v>
      </c>
      <c r="Y77" s="344">
        <f>Проект!Y$811*CHOOSE(Проект!$D$811,1,Параметры!Y$53,Параметры!Y$59)/Параметры!Y$64</f>
        <v>0</v>
      </c>
      <c r="Z77" s="344">
        <f>Проект!Z$811*CHOOSE(Проект!$D$811,1,Параметры!Z$53,Параметры!Z$59)/Параметры!Z$64</f>
        <v>0</v>
      </c>
      <c r="AA77" s="344">
        <f>Проект!AA$811*CHOOSE(Проект!$D$811,1,Параметры!AA$53,Параметры!AA$59)/Параметры!AA$64</f>
        <v>0</v>
      </c>
      <c r="AB77" s="344">
        <f>Проект!AB$811*CHOOSE(Проект!$D$811,1,Параметры!AB$53,Параметры!AB$59)/Параметры!AB$64</f>
        <v>0</v>
      </c>
      <c r="AC77" s="344">
        <f>Проект!AC$811*CHOOSE(Проект!$D$811,1,Параметры!AC$53,Параметры!AC$59)/Параметры!AC$64</f>
        <v>0</v>
      </c>
      <c r="AD77" s="344">
        <f>Проект!AD$811*CHOOSE(Проект!$D$811,1,Параметры!AD$53,Параметры!AD$59)/Параметры!AD$64</f>
        <v>0</v>
      </c>
      <c r="AE77" s="344">
        <f>Проект!AE$811*CHOOSE(Проект!$D$811,1,Параметры!AE$53,Параметры!AE$59)/Параметры!AE$64</f>
        <v>0</v>
      </c>
      <c r="AF77" s="344">
        <f>Проект!AF$811*CHOOSE(Проект!$D$811,1,Параметры!AF$53,Параметры!AF$59)/Параметры!AF$64</f>
        <v>0</v>
      </c>
      <c r="AG77" s="344">
        <f>Проект!AG$811*CHOOSE(Проект!$D$811,1,Параметры!AG$53,Параметры!AG$59)/Параметры!AG$64</f>
        <v>0</v>
      </c>
      <c r="AH77" s="344">
        <f>Проект!AH$811*CHOOSE(Проект!$D$811,1,Параметры!AH$53,Параметры!AH$59)/Параметры!AH$64</f>
        <v>0</v>
      </c>
      <c r="AI77" s="344">
        <f>Проект!AI$811*CHOOSE(Проект!$D$811,1,Параметры!AI$53,Параметры!AI$59)/Параметры!AI$64</f>
        <v>0</v>
      </c>
      <c r="AJ77" s="344">
        <f>Проект!AJ$811*CHOOSE(Проект!$D$811,1,Параметры!AJ$53,Параметры!AJ$59)/Параметры!AJ$64</f>
        <v>0</v>
      </c>
      <c r="AK77" s="344">
        <f>Проект!AK$811*CHOOSE(Проект!$D$811,1,Параметры!AK$53,Параметры!AK$59)/Параметры!AK$64</f>
        <v>0</v>
      </c>
      <c r="AL77" s="344">
        <f>Проект!AL$811*CHOOSE(Проект!$D$811,1,Параметры!AL$53,Параметры!AL$59)/Параметры!AL$64</f>
        <v>0</v>
      </c>
      <c r="AM77" s="344">
        <f>Проект!AM$811*CHOOSE(Проект!$D$811,1,Параметры!AM$53,Параметры!AM$59)/Параметры!AM$64</f>
        <v>0</v>
      </c>
      <c r="AN77" s="344">
        <f>Проект!AN$811*CHOOSE(Проект!$D$811,1,Параметры!AN$53,Параметры!AN$59)/Параметры!AN$64</f>
        <v>0</v>
      </c>
      <c r="AO77" s="344">
        <f>Проект!AO$811*CHOOSE(Проект!$D$811,1,Параметры!AO$53,Параметры!AO$59)/Параметры!AO$64</f>
        <v>0</v>
      </c>
      <c r="AP77" s="344">
        <f>Проект!AP$811*CHOOSE(Проект!$D$811,1,Параметры!AP$53,Параметры!AP$59)/Параметры!AP$64</f>
        <v>0</v>
      </c>
      <c r="AQ77" s="344">
        <f>Проект!AQ$811*CHOOSE(Проект!$D$811,1,Параметры!AQ$53,Параметры!AQ$59)/Параметры!AQ$64</f>
        <v>0</v>
      </c>
      <c r="AR77" s="344">
        <f>Проект!AR$811*CHOOSE(Проект!$D$811,1,Параметры!AR$53,Параметры!AR$59)/Параметры!AR$64</f>
        <v>0</v>
      </c>
      <c r="AS77" s="344">
        <f>Проект!AS$811*CHOOSE(Проект!$D$811,1,Параметры!AS$53,Параметры!AS$59)/Параметры!AS$64</f>
        <v>0</v>
      </c>
      <c r="AT77" s="344">
        <f>Проект!AT$811*CHOOSE(Проект!$D$811,1,Параметры!AT$53,Параметры!AT$59)/Параметры!AT$64</f>
        <v>0</v>
      </c>
      <c r="AU77" s="344">
        <f>Проект!AU$811*CHOOSE(Проект!$D$811,1,Параметры!AU$53,Параметры!AU$59)/Параметры!AU$64</f>
        <v>0</v>
      </c>
      <c r="AV77" s="344">
        <f>Проект!AV$811*CHOOSE(Проект!$D$811,1,Параметры!AV$53,Параметры!AV$59)/Параметры!AV$64</f>
        <v>0</v>
      </c>
      <c r="AW77" s="344">
        <f>Проект!AW$811*CHOOSE(Проект!$D$811,1,Параметры!AW$53,Параметры!AW$59)/Параметры!AW$64</f>
        <v>0</v>
      </c>
      <c r="AX77" s="344">
        <f>Проект!AX$811*CHOOSE(Проект!$D$811,1,Параметры!AX$53,Параметры!AX$59)/Параметры!AX$64</f>
        <v>0</v>
      </c>
      <c r="AY77" s="344">
        <f>Проект!AY$811*CHOOSE(Проект!$D$811,1,Параметры!AY$53,Параметры!AY$59)/Параметры!AY$64</f>
        <v>0</v>
      </c>
      <c r="AZ77" s="344">
        <f>Проект!AZ$811*CHOOSE(Проект!$D$811,1,Параметры!AZ$53,Параметры!AZ$59)/Параметры!AZ$64</f>
        <v>0</v>
      </c>
      <c r="BA77" s="344">
        <f>Проект!BA$811*CHOOSE(Проект!$D$811,1,Параметры!BA$53,Параметры!BA$59)/Параметры!BA$64</f>
        <v>0</v>
      </c>
      <c r="BB77" s="344">
        <f>Проект!BB$811*CHOOSE(Проект!$D$811,1,Параметры!BB$53,Параметры!BB$59)/Параметры!BB$64</f>
        <v>0</v>
      </c>
      <c r="BD77" s="345">
        <f>SUM(G77:BC77)</f>
        <v>75000000</v>
      </c>
    </row>
    <row r="78" spans="1:58" s="346" customFormat="1" x14ac:dyDescent="0.3">
      <c r="A78" s="349" t="str">
        <f>Проект!A$828</f>
        <v>Завершение строительства корпуса</v>
      </c>
      <c r="B78" s="340">
        <f>BD78</f>
        <v>20000000</v>
      </c>
      <c r="C78" s="341" t="str">
        <f ca="1">Параметры!C$64</f>
        <v>руб.</v>
      </c>
      <c r="D78" s="342"/>
      <c r="E78" s="343"/>
      <c r="F78" s="343" t="s">
        <v>3503</v>
      </c>
      <c r="G78" s="344">
        <f>Проект!G$837*CHOOSE(Проект!$D$837,1,Параметры!G$53,Параметры!G$59)/Параметры!G$64</f>
        <v>0</v>
      </c>
      <c r="H78" s="344">
        <f>Проект!H$837*CHOOSE(Проект!$D$837,1,Параметры!H$53,Параметры!H$59)/Параметры!H$64</f>
        <v>0</v>
      </c>
      <c r="I78" s="344">
        <f>Проект!I$837*CHOOSE(Проект!$D$837,1,Параметры!I$53,Параметры!I$59)/Параметры!I$64</f>
        <v>0</v>
      </c>
      <c r="J78" s="344">
        <f>Проект!J$837*CHOOSE(Проект!$D$837,1,Параметры!J$53,Параметры!J$59)/Параметры!J$64</f>
        <v>7000000</v>
      </c>
      <c r="K78" s="344">
        <f>Проект!K$837*CHOOSE(Проект!$D$837,1,Параметры!K$53,Параметры!K$59)/Параметры!K$64</f>
        <v>7000000</v>
      </c>
      <c r="L78" s="344">
        <f>Проект!L$837*CHOOSE(Проект!$D$837,1,Параметры!L$53,Параметры!L$59)/Параметры!L$64</f>
        <v>6000000</v>
      </c>
      <c r="M78" s="344">
        <f>Проект!M$837*CHOOSE(Проект!$D$837,1,Параметры!M$53,Параметры!M$59)/Параметры!M$64</f>
        <v>0</v>
      </c>
      <c r="N78" s="344">
        <f>Проект!N$837*CHOOSE(Проект!$D$837,1,Параметры!N$53,Параметры!N$59)/Параметры!N$64</f>
        <v>0</v>
      </c>
      <c r="O78" s="344">
        <f>Проект!O$837*CHOOSE(Проект!$D$837,1,Параметры!O$53,Параметры!O$59)/Параметры!O$64</f>
        <v>0</v>
      </c>
      <c r="P78" s="344">
        <f>Проект!P$837*CHOOSE(Проект!$D$837,1,Параметры!P$53,Параметры!P$59)/Параметры!P$64</f>
        <v>0</v>
      </c>
      <c r="Q78" s="344">
        <f>Проект!Q$837*CHOOSE(Проект!$D$837,1,Параметры!Q$53,Параметры!Q$59)/Параметры!Q$64</f>
        <v>0</v>
      </c>
      <c r="R78" s="344">
        <f>Проект!R$837*CHOOSE(Проект!$D$837,1,Параметры!R$53,Параметры!R$59)/Параметры!R$64</f>
        <v>0</v>
      </c>
      <c r="S78" s="344">
        <f>Проект!S$837*CHOOSE(Проект!$D$837,1,Параметры!S$53,Параметры!S$59)/Параметры!S$64</f>
        <v>0</v>
      </c>
      <c r="T78" s="344">
        <f>Проект!T$837*CHOOSE(Проект!$D$837,1,Параметры!T$53,Параметры!T$59)/Параметры!T$64</f>
        <v>0</v>
      </c>
      <c r="U78" s="344">
        <f>Проект!U$837*CHOOSE(Проект!$D$837,1,Параметры!U$53,Параметры!U$59)/Параметры!U$64</f>
        <v>0</v>
      </c>
      <c r="V78" s="344">
        <f>Проект!V$837*CHOOSE(Проект!$D$837,1,Параметры!V$53,Параметры!V$59)/Параметры!V$64</f>
        <v>0</v>
      </c>
      <c r="W78" s="344">
        <f>Проект!W$837*CHOOSE(Проект!$D$837,1,Параметры!W$53,Параметры!W$59)/Параметры!W$64</f>
        <v>0</v>
      </c>
      <c r="X78" s="344">
        <f>Проект!X$837*CHOOSE(Проект!$D$837,1,Параметры!X$53,Параметры!X$59)/Параметры!X$64</f>
        <v>0</v>
      </c>
      <c r="Y78" s="344">
        <f>Проект!Y$837*CHOOSE(Проект!$D$837,1,Параметры!Y$53,Параметры!Y$59)/Параметры!Y$64</f>
        <v>0</v>
      </c>
      <c r="Z78" s="344">
        <f>Проект!Z$837*CHOOSE(Проект!$D$837,1,Параметры!Z$53,Параметры!Z$59)/Параметры!Z$64</f>
        <v>0</v>
      </c>
      <c r="AA78" s="344">
        <f>Проект!AA$837*CHOOSE(Проект!$D$837,1,Параметры!AA$53,Параметры!AA$59)/Параметры!AA$64</f>
        <v>0</v>
      </c>
      <c r="AB78" s="344">
        <f>Проект!AB$837*CHOOSE(Проект!$D$837,1,Параметры!AB$53,Параметры!AB$59)/Параметры!AB$64</f>
        <v>0</v>
      </c>
      <c r="AC78" s="344">
        <f>Проект!AC$837*CHOOSE(Проект!$D$837,1,Параметры!AC$53,Параметры!AC$59)/Параметры!AC$64</f>
        <v>0</v>
      </c>
      <c r="AD78" s="344">
        <f>Проект!AD$837*CHOOSE(Проект!$D$837,1,Параметры!AD$53,Параметры!AD$59)/Параметры!AD$64</f>
        <v>0</v>
      </c>
      <c r="AE78" s="344">
        <f>Проект!AE$837*CHOOSE(Проект!$D$837,1,Параметры!AE$53,Параметры!AE$59)/Параметры!AE$64</f>
        <v>0</v>
      </c>
      <c r="AF78" s="344">
        <f>Проект!AF$837*CHOOSE(Проект!$D$837,1,Параметры!AF$53,Параметры!AF$59)/Параметры!AF$64</f>
        <v>0</v>
      </c>
      <c r="AG78" s="344">
        <f>Проект!AG$837*CHOOSE(Проект!$D$837,1,Параметры!AG$53,Параметры!AG$59)/Параметры!AG$64</f>
        <v>0</v>
      </c>
      <c r="AH78" s="344">
        <f>Проект!AH$837*CHOOSE(Проект!$D$837,1,Параметры!AH$53,Параметры!AH$59)/Параметры!AH$64</f>
        <v>0</v>
      </c>
      <c r="AI78" s="344">
        <f>Проект!AI$837*CHOOSE(Проект!$D$837,1,Параметры!AI$53,Параметры!AI$59)/Параметры!AI$64</f>
        <v>0</v>
      </c>
      <c r="AJ78" s="344">
        <f>Проект!AJ$837*CHOOSE(Проект!$D$837,1,Параметры!AJ$53,Параметры!AJ$59)/Параметры!AJ$64</f>
        <v>0</v>
      </c>
      <c r="AK78" s="344">
        <f>Проект!AK$837*CHOOSE(Проект!$D$837,1,Параметры!AK$53,Параметры!AK$59)/Параметры!AK$64</f>
        <v>0</v>
      </c>
      <c r="AL78" s="344">
        <f>Проект!AL$837*CHOOSE(Проект!$D$837,1,Параметры!AL$53,Параметры!AL$59)/Параметры!AL$64</f>
        <v>0</v>
      </c>
      <c r="AM78" s="344">
        <f>Проект!AM$837*CHOOSE(Проект!$D$837,1,Параметры!AM$53,Параметры!AM$59)/Параметры!AM$64</f>
        <v>0</v>
      </c>
      <c r="AN78" s="344">
        <f>Проект!AN$837*CHOOSE(Проект!$D$837,1,Параметры!AN$53,Параметры!AN$59)/Параметры!AN$64</f>
        <v>0</v>
      </c>
      <c r="AO78" s="344">
        <f>Проект!AO$837*CHOOSE(Проект!$D$837,1,Параметры!AO$53,Параметры!AO$59)/Параметры!AO$64</f>
        <v>0</v>
      </c>
      <c r="AP78" s="344">
        <f>Проект!AP$837*CHOOSE(Проект!$D$837,1,Параметры!AP$53,Параметры!AP$59)/Параметры!AP$64</f>
        <v>0</v>
      </c>
      <c r="AQ78" s="344">
        <f>Проект!AQ$837*CHOOSE(Проект!$D$837,1,Параметры!AQ$53,Параметры!AQ$59)/Параметры!AQ$64</f>
        <v>0</v>
      </c>
      <c r="AR78" s="344">
        <f>Проект!AR$837*CHOOSE(Проект!$D$837,1,Параметры!AR$53,Параметры!AR$59)/Параметры!AR$64</f>
        <v>0</v>
      </c>
      <c r="AS78" s="344">
        <f>Проект!AS$837*CHOOSE(Проект!$D$837,1,Параметры!AS$53,Параметры!AS$59)/Параметры!AS$64</f>
        <v>0</v>
      </c>
      <c r="AT78" s="344">
        <f>Проект!AT$837*CHOOSE(Проект!$D$837,1,Параметры!AT$53,Параметры!AT$59)/Параметры!AT$64</f>
        <v>0</v>
      </c>
      <c r="AU78" s="344">
        <f>Проект!AU$837*CHOOSE(Проект!$D$837,1,Параметры!AU$53,Параметры!AU$59)/Параметры!AU$64</f>
        <v>0</v>
      </c>
      <c r="AV78" s="344">
        <f>Проект!AV$837*CHOOSE(Проект!$D$837,1,Параметры!AV$53,Параметры!AV$59)/Параметры!AV$64</f>
        <v>0</v>
      </c>
      <c r="AW78" s="344">
        <f>Проект!AW$837*CHOOSE(Проект!$D$837,1,Параметры!AW$53,Параметры!AW$59)/Параметры!AW$64</f>
        <v>0</v>
      </c>
      <c r="AX78" s="344">
        <f>Проект!AX$837*CHOOSE(Проект!$D$837,1,Параметры!AX$53,Параметры!AX$59)/Параметры!AX$64</f>
        <v>0</v>
      </c>
      <c r="AY78" s="344">
        <f>Проект!AY$837*CHOOSE(Проект!$D$837,1,Параметры!AY$53,Параметры!AY$59)/Параметры!AY$64</f>
        <v>0</v>
      </c>
      <c r="AZ78" s="344">
        <f>Проект!AZ$837*CHOOSE(Проект!$D$837,1,Параметры!AZ$53,Параметры!AZ$59)/Параметры!AZ$64</f>
        <v>0</v>
      </c>
      <c r="BA78" s="344">
        <f>Проект!BA$837*CHOOSE(Проект!$D$837,1,Параметры!BA$53,Параметры!BA$59)/Параметры!BA$64</f>
        <v>0</v>
      </c>
      <c r="BB78" s="344">
        <f>Проект!BB$837*CHOOSE(Проект!$D$837,1,Параметры!BB$53,Параметры!BB$59)/Параметры!BB$64</f>
        <v>0</v>
      </c>
      <c r="BD78" s="345">
        <f>SUM(G78:BC78)</f>
        <v>20000000</v>
      </c>
    </row>
    <row r="79" spans="1:58" x14ac:dyDescent="0.3">
      <c r="A79" s="62"/>
      <c r="B79" s="62"/>
      <c r="C79" s="62"/>
      <c r="D79" s="63"/>
      <c r="E79" s="63"/>
      <c r="F79" s="63"/>
      <c r="G79" s="62"/>
      <c r="H79" s="62"/>
      <c r="I79" s="62"/>
      <c r="J79" s="62"/>
      <c r="K79" s="62"/>
      <c r="L79" s="62"/>
      <c r="M79" s="62"/>
      <c r="N79" s="62"/>
      <c r="O79" s="62"/>
      <c r="P79" s="62"/>
      <c r="Q79" s="62"/>
      <c r="R79" s="62"/>
      <c r="S79" s="62"/>
      <c r="T79" s="62"/>
      <c r="U79" s="62"/>
      <c r="V79" s="62"/>
      <c r="W79" s="62"/>
      <c r="X79" s="62"/>
      <c r="Y79" s="62"/>
      <c r="Z79" s="62"/>
      <c r="AA79" s="62"/>
      <c r="AB79" s="62"/>
      <c r="AC79" s="62"/>
      <c r="AD79" s="62"/>
      <c r="AE79" s="62"/>
      <c r="AF79" s="62"/>
      <c r="AG79" s="62"/>
      <c r="AH79" s="62"/>
      <c r="AI79" s="62"/>
      <c r="AJ79" s="62"/>
      <c r="AK79" s="62"/>
      <c r="AL79" s="62"/>
      <c r="AM79" s="62"/>
      <c r="AN79" s="62"/>
      <c r="AO79" s="62"/>
      <c r="AP79" s="62"/>
      <c r="AQ79" s="62"/>
      <c r="AR79" s="62"/>
      <c r="AS79" s="62"/>
      <c r="AT79" s="62"/>
      <c r="AU79" s="62"/>
      <c r="AV79" s="62"/>
      <c r="AW79" s="62"/>
      <c r="AX79" s="62"/>
      <c r="AY79" s="62"/>
      <c r="AZ79" s="62"/>
      <c r="BA79" s="62"/>
      <c r="BB79" s="62"/>
      <c r="BC79" s="62"/>
      <c r="BD79" s="125"/>
    </row>
    <row r="80" spans="1:58" x14ac:dyDescent="0.3">
      <c r="A80" s="34" t="str">
        <f ca="1">Language!A$947</f>
        <v>Оборудование</v>
      </c>
      <c r="B80" s="137">
        <f t="shared" ref="B80" si="92">BD80</f>
        <v>5900000</v>
      </c>
      <c r="C80" s="100" t="str">
        <f ca="1">Параметры!$C$64</f>
        <v>руб.</v>
      </c>
      <c r="D80" s="11">
        <v>0</v>
      </c>
      <c r="E80" s="6" t="s">
        <v>2287</v>
      </c>
      <c r="F80" s="6" t="s">
        <v>3523</v>
      </c>
      <c r="G80" s="58">
        <f t="shared" ref="G80:P80" si="93">SUM(G81:G83)</f>
        <v>0</v>
      </c>
      <c r="H80" s="58">
        <f t="shared" si="93"/>
        <v>1366666.6666666667</v>
      </c>
      <c r="I80" s="58">
        <f t="shared" si="93"/>
        <v>1366666.6666666667</v>
      </c>
      <c r="J80" s="58">
        <f t="shared" si="93"/>
        <v>1366666.6666666667</v>
      </c>
      <c r="K80" s="58">
        <f t="shared" si="93"/>
        <v>0</v>
      </c>
      <c r="L80" s="58">
        <f t="shared" si="93"/>
        <v>1800000</v>
      </c>
      <c r="M80" s="58">
        <f t="shared" si="93"/>
        <v>0</v>
      </c>
      <c r="N80" s="58">
        <f t="shared" si="93"/>
        <v>0</v>
      </c>
      <c r="O80" s="58">
        <f t="shared" si="93"/>
        <v>0</v>
      </c>
      <c r="P80" s="58">
        <f t="shared" si="93"/>
        <v>0</v>
      </c>
      <c r="Q80" s="58">
        <f t="shared" ref="Q80" si="94">SUM(Q83:Q83)</f>
        <v>0</v>
      </c>
      <c r="R80" s="58">
        <f t="shared" ref="R80:S80" si="95">SUM(R83:R83)</f>
        <v>0</v>
      </c>
      <c r="S80" s="58">
        <f t="shared" si="95"/>
        <v>0</v>
      </c>
      <c r="T80" s="58">
        <f t="shared" ref="T80:U80" si="96">SUM(T83:T83)</f>
        <v>0</v>
      </c>
      <c r="U80" s="58">
        <f t="shared" si="96"/>
        <v>0</v>
      </c>
      <c r="V80" s="58">
        <f t="shared" ref="V80:W80" si="97">SUM(V83:V83)</f>
        <v>0</v>
      </c>
      <c r="W80" s="58">
        <f t="shared" si="97"/>
        <v>0</v>
      </c>
      <c r="X80" s="58">
        <f t="shared" ref="X80:Y80" si="98">SUM(X83:X83)</f>
        <v>0</v>
      </c>
      <c r="Y80" s="58">
        <f t="shared" si="98"/>
        <v>0</v>
      </c>
      <c r="Z80" s="58">
        <f t="shared" ref="Z80:AA80" si="99">SUM(Z83:Z83)</f>
        <v>0</v>
      </c>
      <c r="AA80" s="58">
        <f t="shared" si="99"/>
        <v>0</v>
      </c>
      <c r="AB80" s="58">
        <f t="shared" ref="AB80:AC80" si="100">SUM(AB83:AB83)</f>
        <v>0</v>
      </c>
      <c r="AC80" s="58">
        <f t="shared" si="100"/>
        <v>0</v>
      </c>
      <c r="AD80" s="58">
        <f t="shared" ref="AD80:AE80" si="101">SUM(AD83:AD83)</f>
        <v>0</v>
      </c>
      <c r="AE80" s="58">
        <f t="shared" si="101"/>
        <v>0</v>
      </c>
      <c r="AF80" s="58">
        <f t="shared" ref="AF80:AG80" si="102">SUM(AF83:AF83)</f>
        <v>0</v>
      </c>
      <c r="AG80" s="58">
        <f t="shared" si="102"/>
        <v>0</v>
      </c>
      <c r="AH80" s="58">
        <f t="shared" ref="AH80:AI80" si="103">SUM(AH83:AH83)</f>
        <v>0</v>
      </c>
      <c r="AI80" s="58">
        <f t="shared" si="103"/>
        <v>0</v>
      </c>
      <c r="AJ80" s="58">
        <f t="shared" ref="AJ80:AK80" si="104">SUM(AJ83:AJ83)</f>
        <v>0</v>
      </c>
      <c r="AK80" s="58">
        <f t="shared" si="104"/>
        <v>0</v>
      </c>
      <c r="AL80" s="58">
        <f t="shared" ref="AL80:AM80" si="105">SUM(AL83:AL83)</f>
        <v>0</v>
      </c>
      <c r="AM80" s="58">
        <f t="shared" si="105"/>
        <v>0</v>
      </c>
      <c r="AN80" s="58">
        <f t="shared" ref="AN80:AO80" si="106">SUM(AN83:AN83)</f>
        <v>0</v>
      </c>
      <c r="AO80" s="58">
        <f t="shared" si="106"/>
        <v>0</v>
      </c>
      <c r="AP80" s="58">
        <f t="shared" ref="AP80:AQ80" si="107">SUM(AP83:AP83)</f>
        <v>0</v>
      </c>
      <c r="AQ80" s="58">
        <f t="shared" si="107"/>
        <v>0</v>
      </c>
      <c r="AR80" s="58">
        <f t="shared" ref="AR80:AS80" si="108">SUM(AR83:AR83)</f>
        <v>0</v>
      </c>
      <c r="AS80" s="58">
        <f t="shared" si="108"/>
        <v>0</v>
      </c>
      <c r="AT80" s="58">
        <f t="shared" ref="AT80:AU80" si="109">SUM(AT83:AT83)</f>
        <v>0</v>
      </c>
      <c r="AU80" s="58">
        <f t="shared" si="109"/>
        <v>0</v>
      </c>
      <c r="AV80" s="58">
        <f t="shared" ref="AV80:AW80" si="110">SUM(AV83:AV83)</f>
        <v>0</v>
      </c>
      <c r="AW80" s="58">
        <f t="shared" si="110"/>
        <v>0</v>
      </c>
      <c r="AX80" s="58">
        <f t="shared" ref="AX80:AY80" si="111">SUM(AX83:AX83)</f>
        <v>0</v>
      </c>
      <c r="AY80" s="58">
        <f t="shared" si="111"/>
        <v>0</v>
      </c>
      <c r="AZ80" s="58">
        <f t="shared" ref="AZ80:BA80" si="112">SUM(AZ83:AZ83)</f>
        <v>0</v>
      </c>
      <c r="BA80" s="58">
        <f t="shared" si="112"/>
        <v>0</v>
      </c>
      <c r="BB80" s="58">
        <f t="shared" ref="BB80" si="113">SUM(BB83:BB83)</f>
        <v>0</v>
      </c>
      <c r="BD80" s="76">
        <f>SUM(G80:BC80)</f>
        <v>5900000</v>
      </c>
    </row>
    <row r="81" spans="1:58" s="346" customFormat="1" x14ac:dyDescent="0.3">
      <c r="A81" s="349" t="str">
        <f>Проект!A$857</f>
        <v>Инвентарь для проекта</v>
      </c>
      <c r="B81" s="340">
        <f>BD81</f>
        <v>1800000</v>
      </c>
      <c r="C81" s="341" t="str">
        <f ca="1">Параметры!C$64</f>
        <v>руб.</v>
      </c>
      <c r="D81" s="342"/>
      <c r="E81" s="343"/>
      <c r="F81" s="343" t="s">
        <v>3472</v>
      </c>
      <c r="G81" s="344">
        <f>Проект!G$869*CHOOSE(Проект!$D$869,1,Параметры!G$53,Параметры!G$59)/Параметры!G$64</f>
        <v>0</v>
      </c>
      <c r="H81" s="344">
        <f>Проект!H$869*CHOOSE(Проект!$D$869,1,Параметры!H$53,Параметры!H$59)/Параметры!H$64</f>
        <v>0</v>
      </c>
      <c r="I81" s="344">
        <f>Проект!I$869*CHOOSE(Проект!$D$869,1,Параметры!I$53,Параметры!I$59)/Параметры!I$64</f>
        <v>0</v>
      </c>
      <c r="J81" s="344">
        <f>Проект!J$869*CHOOSE(Проект!$D$869,1,Параметры!J$53,Параметры!J$59)/Параметры!J$64</f>
        <v>0</v>
      </c>
      <c r="K81" s="344">
        <f>Проект!K$869*CHOOSE(Проект!$D$869,1,Параметры!K$53,Параметры!K$59)/Параметры!K$64</f>
        <v>0</v>
      </c>
      <c r="L81" s="344">
        <f>Проект!L$869*CHOOSE(Проект!$D$869,1,Параметры!L$53,Параметры!L$59)/Параметры!L$64</f>
        <v>1800000</v>
      </c>
      <c r="M81" s="344">
        <f>Проект!M$869*CHOOSE(Проект!$D$869,1,Параметры!M$53,Параметры!M$59)/Параметры!M$64</f>
        <v>0</v>
      </c>
      <c r="N81" s="344">
        <f>Проект!N$869*CHOOSE(Проект!$D$869,1,Параметры!N$53,Параметры!N$59)/Параметры!N$64</f>
        <v>0</v>
      </c>
      <c r="O81" s="344">
        <f>Проект!O$869*CHOOSE(Проект!$D$869,1,Параметры!O$53,Параметры!O$59)/Параметры!O$64</f>
        <v>0</v>
      </c>
      <c r="P81" s="344">
        <f>Проект!P$869*CHOOSE(Проект!$D$869,1,Параметры!P$53,Параметры!P$59)/Параметры!P$64</f>
        <v>0</v>
      </c>
      <c r="Q81" s="344">
        <f>Проект!Q$869*CHOOSE(Проект!$D$869,1,Параметры!Q$53,Параметры!Q$59)/Параметры!Q$64</f>
        <v>0</v>
      </c>
      <c r="R81" s="344">
        <f>Проект!R$869*CHOOSE(Проект!$D$869,1,Параметры!R$53,Параметры!R$59)/Параметры!R$64</f>
        <v>0</v>
      </c>
      <c r="S81" s="344">
        <f>Проект!S$869*CHOOSE(Проект!$D$869,1,Параметры!S$53,Параметры!S$59)/Параметры!S$64</f>
        <v>0</v>
      </c>
      <c r="T81" s="344">
        <f>Проект!T$869*CHOOSE(Проект!$D$869,1,Параметры!T$53,Параметры!T$59)/Параметры!T$64</f>
        <v>0</v>
      </c>
      <c r="U81" s="344">
        <f>Проект!U$869*CHOOSE(Проект!$D$869,1,Параметры!U$53,Параметры!U$59)/Параметры!U$64</f>
        <v>0</v>
      </c>
      <c r="V81" s="344">
        <f>Проект!V$869*CHOOSE(Проект!$D$869,1,Параметры!V$53,Параметры!V$59)/Параметры!V$64</f>
        <v>0</v>
      </c>
      <c r="W81" s="344">
        <f>Проект!W$869*CHOOSE(Проект!$D$869,1,Параметры!W$53,Параметры!W$59)/Параметры!W$64</f>
        <v>0</v>
      </c>
      <c r="X81" s="344">
        <f>Проект!X$869*CHOOSE(Проект!$D$869,1,Параметры!X$53,Параметры!X$59)/Параметры!X$64</f>
        <v>0</v>
      </c>
      <c r="Y81" s="344">
        <f>Проект!Y$869*CHOOSE(Проект!$D$869,1,Параметры!Y$53,Параметры!Y$59)/Параметры!Y$64</f>
        <v>0</v>
      </c>
      <c r="Z81" s="344">
        <f>Проект!Z$869*CHOOSE(Проект!$D$869,1,Параметры!Z$53,Параметры!Z$59)/Параметры!Z$64</f>
        <v>0</v>
      </c>
      <c r="AA81" s="344">
        <f>Проект!AA$869*CHOOSE(Проект!$D$869,1,Параметры!AA$53,Параметры!AA$59)/Параметры!AA$64</f>
        <v>0</v>
      </c>
      <c r="AB81" s="344">
        <f>Проект!AB$869*CHOOSE(Проект!$D$869,1,Параметры!AB$53,Параметры!AB$59)/Параметры!AB$64</f>
        <v>0</v>
      </c>
      <c r="AC81" s="344">
        <f>Проект!AC$869*CHOOSE(Проект!$D$869,1,Параметры!AC$53,Параметры!AC$59)/Параметры!AC$64</f>
        <v>0</v>
      </c>
      <c r="AD81" s="344">
        <f>Проект!AD$869*CHOOSE(Проект!$D$869,1,Параметры!AD$53,Параметры!AD$59)/Параметры!AD$64</f>
        <v>0</v>
      </c>
      <c r="AE81" s="344">
        <f>Проект!AE$869*CHOOSE(Проект!$D$869,1,Параметры!AE$53,Параметры!AE$59)/Параметры!AE$64</f>
        <v>0</v>
      </c>
      <c r="AF81" s="344">
        <f>Проект!AF$869*CHOOSE(Проект!$D$869,1,Параметры!AF$53,Параметры!AF$59)/Параметры!AF$64</f>
        <v>0</v>
      </c>
      <c r="AG81" s="344">
        <f>Проект!AG$869*CHOOSE(Проект!$D$869,1,Параметры!AG$53,Параметры!AG$59)/Параметры!AG$64</f>
        <v>0</v>
      </c>
      <c r="AH81" s="344">
        <f>Проект!AH$869*CHOOSE(Проект!$D$869,1,Параметры!AH$53,Параметры!AH$59)/Параметры!AH$64</f>
        <v>0</v>
      </c>
      <c r="AI81" s="344">
        <f>Проект!AI$869*CHOOSE(Проект!$D$869,1,Параметры!AI$53,Параметры!AI$59)/Параметры!AI$64</f>
        <v>0</v>
      </c>
      <c r="AJ81" s="344">
        <f>Проект!AJ$869*CHOOSE(Проект!$D$869,1,Параметры!AJ$53,Параметры!AJ$59)/Параметры!AJ$64</f>
        <v>0</v>
      </c>
      <c r="AK81" s="344">
        <f>Проект!AK$869*CHOOSE(Проект!$D$869,1,Параметры!AK$53,Параметры!AK$59)/Параметры!AK$64</f>
        <v>0</v>
      </c>
      <c r="AL81" s="344">
        <f>Проект!AL$869*CHOOSE(Проект!$D$869,1,Параметры!AL$53,Параметры!AL$59)/Параметры!AL$64</f>
        <v>0</v>
      </c>
      <c r="AM81" s="344">
        <f>Проект!AM$869*CHOOSE(Проект!$D$869,1,Параметры!AM$53,Параметры!AM$59)/Параметры!AM$64</f>
        <v>0</v>
      </c>
      <c r="AN81" s="344">
        <f>Проект!AN$869*CHOOSE(Проект!$D$869,1,Параметры!AN$53,Параметры!AN$59)/Параметры!AN$64</f>
        <v>0</v>
      </c>
      <c r="AO81" s="344">
        <f>Проект!AO$869*CHOOSE(Проект!$D$869,1,Параметры!AO$53,Параметры!AO$59)/Параметры!AO$64</f>
        <v>0</v>
      </c>
      <c r="AP81" s="344">
        <f>Проект!AP$869*CHOOSE(Проект!$D$869,1,Параметры!AP$53,Параметры!AP$59)/Параметры!AP$64</f>
        <v>0</v>
      </c>
      <c r="AQ81" s="344">
        <f>Проект!AQ$869*CHOOSE(Проект!$D$869,1,Параметры!AQ$53,Параметры!AQ$59)/Параметры!AQ$64</f>
        <v>0</v>
      </c>
      <c r="AR81" s="344">
        <f>Проект!AR$869*CHOOSE(Проект!$D$869,1,Параметры!AR$53,Параметры!AR$59)/Параметры!AR$64</f>
        <v>0</v>
      </c>
      <c r="AS81" s="344">
        <f>Проект!AS$869*CHOOSE(Проект!$D$869,1,Параметры!AS$53,Параметры!AS$59)/Параметры!AS$64</f>
        <v>0</v>
      </c>
      <c r="AT81" s="344">
        <f>Проект!AT$869*CHOOSE(Проект!$D$869,1,Параметры!AT$53,Параметры!AT$59)/Параметры!AT$64</f>
        <v>0</v>
      </c>
      <c r="AU81" s="344">
        <f>Проект!AU$869*CHOOSE(Проект!$D$869,1,Параметры!AU$53,Параметры!AU$59)/Параметры!AU$64</f>
        <v>0</v>
      </c>
      <c r="AV81" s="344">
        <f>Проект!AV$869*CHOOSE(Проект!$D$869,1,Параметры!AV$53,Параметры!AV$59)/Параметры!AV$64</f>
        <v>0</v>
      </c>
      <c r="AW81" s="344">
        <f>Проект!AW$869*CHOOSE(Проект!$D$869,1,Параметры!AW$53,Параметры!AW$59)/Параметры!AW$64</f>
        <v>0</v>
      </c>
      <c r="AX81" s="344">
        <f>Проект!AX$869*CHOOSE(Проект!$D$869,1,Параметры!AX$53,Параметры!AX$59)/Параметры!AX$64</f>
        <v>0</v>
      </c>
      <c r="AY81" s="344">
        <f>Проект!AY$869*CHOOSE(Проект!$D$869,1,Параметры!AY$53,Параметры!AY$59)/Параметры!AY$64</f>
        <v>0</v>
      </c>
      <c r="AZ81" s="344">
        <f>Проект!AZ$869*CHOOSE(Проект!$D$869,1,Параметры!AZ$53,Параметры!AZ$59)/Параметры!AZ$64</f>
        <v>0</v>
      </c>
      <c r="BA81" s="344">
        <f>Проект!BA$869*CHOOSE(Проект!$D$869,1,Параметры!BA$53,Параметры!BA$59)/Параметры!BA$64</f>
        <v>0</v>
      </c>
      <c r="BB81" s="344">
        <f>Проект!BB$869*CHOOSE(Проект!$D$869,1,Параметры!BB$53,Параметры!BB$59)/Параметры!BB$64</f>
        <v>0</v>
      </c>
      <c r="BD81" s="345">
        <f>SUM(G81:BC81)</f>
        <v>1800000</v>
      </c>
    </row>
    <row r="82" spans="1:58" s="346" customFormat="1" x14ac:dyDescent="0.3">
      <c r="A82" s="349" t="str">
        <f>Проект!A$887</f>
        <v>Инженерные сети</v>
      </c>
      <c r="B82" s="340">
        <f>BD82</f>
        <v>4100000</v>
      </c>
      <c r="C82" s="341" t="str">
        <f ca="1">Параметры!C$64</f>
        <v>руб.</v>
      </c>
      <c r="D82" s="342"/>
      <c r="E82" s="343"/>
      <c r="F82" s="343" t="s">
        <v>3478</v>
      </c>
      <c r="G82" s="344">
        <f>Проект!G$899*CHOOSE(Проект!$D$899,1,Параметры!G$53,Параметры!G$59)/Параметры!G$64</f>
        <v>0</v>
      </c>
      <c r="H82" s="344">
        <f>Проект!H$899*CHOOSE(Проект!$D$899,1,Параметры!H$53,Параметры!H$59)/Параметры!H$64</f>
        <v>1366666.6666666667</v>
      </c>
      <c r="I82" s="344">
        <f>Проект!I$899*CHOOSE(Проект!$D$899,1,Параметры!I$53,Параметры!I$59)/Параметры!I$64</f>
        <v>1366666.6666666667</v>
      </c>
      <c r="J82" s="344">
        <f>Проект!J$899*CHOOSE(Проект!$D$899,1,Параметры!J$53,Параметры!J$59)/Параметры!J$64</f>
        <v>1366666.6666666667</v>
      </c>
      <c r="K82" s="344">
        <f>Проект!K$899*CHOOSE(Проект!$D$899,1,Параметры!K$53,Параметры!K$59)/Параметры!K$64</f>
        <v>0</v>
      </c>
      <c r="L82" s="344">
        <f>Проект!L$899*CHOOSE(Проект!$D$899,1,Параметры!L$53,Параметры!L$59)/Параметры!L$64</f>
        <v>0</v>
      </c>
      <c r="M82" s="344">
        <f>Проект!M$899*CHOOSE(Проект!$D$899,1,Параметры!M$53,Параметры!M$59)/Параметры!M$64</f>
        <v>0</v>
      </c>
      <c r="N82" s="344">
        <f>Проект!N$899*CHOOSE(Проект!$D$899,1,Параметры!N$53,Параметры!N$59)/Параметры!N$64</f>
        <v>0</v>
      </c>
      <c r="O82" s="344">
        <f>Проект!O$899*CHOOSE(Проект!$D$899,1,Параметры!O$53,Параметры!O$59)/Параметры!O$64</f>
        <v>0</v>
      </c>
      <c r="P82" s="344">
        <f>Проект!P$899*CHOOSE(Проект!$D$899,1,Параметры!P$53,Параметры!P$59)/Параметры!P$64</f>
        <v>0</v>
      </c>
      <c r="Q82" s="344">
        <f>Проект!Q$899*CHOOSE(Проект!$D$899,1,Параметры!Q$53,Параметры!Q$59)/Параметры!Q$64</f>
        <v>0</v>
      </c>
      <c r="R82" s="344">
        <f>Проект!R$899*CHOOSE(Проект!$D$899,1,Параметры!R$53,Параметры!R$59)/Параметры!R$64</f>
        <v>0</v>
      </c>
      <c r="S82" s="344">
        <f>Проект!S$899*CHOOSE(Проект!$D$899,1,Параметры!S$53,Параметры!S$59)/Параметры!S$64</f>
        <v>0</v>
      </c>
      <c r="T82" s="344">
        <f>Проект!T$899*CHOOSE(Проект!$D$899,1,Параметры!T$53,Параметры!T$59)/Параметры!T$64</f>
        <v>0</v>
      </c>
      <c r="U82" s="344">
        <f>Проект!U$899*CHOOSE(Проект!$D$899,1,Параметры!U$53,Параметры!U$59)/Параметры!U$64</f>
        <v>0</v>
      </c>
      <c r="V82" s="344">
        <f>Проект!V$899*CHOOSE(Проект!$D$899,1,Параметры!V$53,Параметры!V$59)/Параметры!V$64</f>
        <v>0</v>
      </c>
      <c r="W82" s="344">
        <f>Проект!W$899*CHOOSE(Проект!$D$899,1,Параметры!W$53,Параметры!W$59)/Параметры!W$64</f>
        <v>0</v>
      </c>
      <c r="X82" s="344">
        <f>Проект!X$899*CHOOSE(Проект!$D$899,1,Параметры!X$53,Параметры!X$59)/Параметры!X$64</f>
        <v>0</v>
      </c>
      <c r="Y82" s="344">
        <f>Проект!Y$899*CHOOSE(Проект!$D$899,1,Параметры!Y$53,Параметры!Y$59)/Параметры!Y$64</f>
        <v>0</v>
      </c>
      <c r="Z82" s="344">
        <f>Проект!Z$899*CHOOSE(Проект!$D$899,1,Параметры!Z$53,Параметры!Z$59)/Параметры!Z$64</f>
        <v>0</v>
      </c>
      <c r="AA82" s="344">
        <f>Проект!AA$899*CHOOSE(Проект!$D$899,1,Параметры!AA$53,Параметры!AA$59)/Параметры!AA$64</f>
        <v>0</v>
      </c>
      <c r="AB82" s="344">
        <f>Проект!AB$899*CHOOSE(Проект!$D$899,1,Параметры!AB$53,Параметры!AB$59)/Параметры!AB$64</f>
        <v>0</v>
      </c>
      <c r="AC82" s="344">
        <f>Проект!AC$899*CHOOSE(Проект!$D$899,1,Параметры!AC$53,Параметры!AC$59)/Параметры!AC$64</f>
        <v>0</v>
      </c>
      <c r="AD82" s="344">
        <f>Проект!AD$899*CHOOSE(Проект!$D$899,1,Параметры!AD$53,Параметры!AD$59)/Параметры!AD$64</f>
        <v>0</v>
      </c>
      <c r="AE82" s="344">
        <f>Проект!AE$899*CHOOSE(Проект!$D$899,1,Параметры!AE$53,Параметры!AE$59)/Параметры!AE$64</f>
        <v>0</v>
      </c>
      <c r="AF82" s="344">
        <f>Проект!AF$899*CHOOSE(Проект!$D$899,1,Параметры!AF$53,Параметры!AF$59)/Параметры!AF$64</f>
        <v>0</v>
      </c>
      <c r="AG82" s="344">
        <f>Проект!AG$899*CHOOSE(Проект!$D$899,1,Параметры!AG$53,Параметры!AG$59)/Параметры!AG$64</f>
        <v>0</v>
      </c>
      <c r="AH82" s="344">
        <f>Проект!AH$899*CHOOSE(Проект!$D$899,1,Параметры!AH$53,Параметры!AH$59)/Параметры!AH$64</f>
        <v>0</v>
      </c>
      <c r="AI82" s="344">
        <f>Проект!AI$899*CHOOSE(Проект!$D$899,1,Параметры!AI$53,Параметры!AI$59)/Параметры!AI$64</f>
        <v>0</v>
      </c>
      <c r="AJ82" s="344">
        <f>Проект!AJ$899*CHOOSE(Проект!$D$899,1,Параметры!AJ$53,Параметры!AJ$59)/Параметры!AJ$64</f>
        <v>0</v>
      </c>
      <c r="AK82" s="344">
        <f>Проект!AK$899*CHOOSE(Проект!$D$899,1,Параметры!AK$53,Параметры!AK$59)/Параметры!AK$64</f>
        <v>0</v>
      </c>
      <c r="AL82" s="344">
        <f>Проект!AL$899*CHOOSE(Проект!$D$899,1,Параметры!AL$53,Параметры!AL$59)/Параметры!AL$64</f>
        <v>0</v>
      </c>
      <c r="AM82" s="344">
        <f>Проект!AM$899*CHOOSE(Проект!$D$899,1,Параметры!AM$53,Параметры!AM$59)/Параметры!AM$64</f>
        <v>0</v>
      </c>
      <c r="AN82" s="344">
        <f>Проект!AN$899*CHOOSE(Проект!$D$899,1,Параметры!AN$53,Параметры!AN$59)/Параметры!AN$64</f>
        <v>0</v>
      </c>
      <c r="AO82" s="344">
        <f>Проект!AO$899*CHOOSE(Проект!$D$899,1,Параметры!AO$53,Параметры!AO$59)/Параметры!AO$64</f>
        <v>0</v>
      </c>
      <c r="AP82" s="344">
        <f>Проект!AP$899*CHOOSE(Проект!$D$899,1,Параметры!AP$53,Параметры!AP$59)/Параметры!AP$64</f>
        <v>0</v>
      </c>
      <c r="AQ82" s="344">
        <f>Проект!AQ$899*CHOOSE(Проект!$D$899,1,Параметры!AQ$53,Параметры!AQ$59)/Параметры!AQ$64</f>
        <v>0</v>
      </c>
      <c r="AR82" s="344">
        <f>Проект!AR$899*CHOOSE(Проект!$D$899,1,Параметры!AR$53,Параметры!AR$59)/Параметры!AR$64</f>
        <v>0</v>
      </c>
      <c r="AS82" s="344">
        <f>Проект!AS$899*CHOOSE(Проект!$D$899,1,Параметры!AS$53,Параметры!AS$59)/Параметры!AS$64</f>
        <v>0</v>
      </c>
      <c r="AT82" s="344">
        <f>Проект!AT$899*CHOOSE(Проект!$D$899,1,Параметры!AT$53,Параметры!AT$59)/Параметры!AT$64</f>
        <v>0</v>
      </c>
      <c r="AU82" s="344">
        <f>Проект!AU$899*CHOOSE(Проект!$D$899,1,Параметры!AU$53,Параметры!AU$59)/Параметры!AU$64</f>
        <v>0</v>
      </c>
      <c r="AV82" s="344">
        <f>Проект!AV$899*CHOOSE(Проект!$D$899,1,Параметры!AV$53,Параметры!AV$59)/Параметры!AV$64</f>
        <v>0</v>
      </c>
      <c r="AW82" s="344">
        <f>Проект!AW$899*CHOOSE(Проект!$D$899,1,Параметры!AW$53,Параметры!AW$59)/Параметры!AW$64</f>
        <v>0</v>
      </c>
      <c r="AX82" s="344">
        <f>Проект!AX$899*CHOOSE(Проект!$D$899,1,Параметры!AX$53,Параметры!AX$59)/Параметры!AX$64</f>
        <v>0</v>
      </c>
      <c r="AY82" s="344">
        <f>Проект!AY$899*CHOOSE(Проект!$D$899,1,Параметры!AY$53,Параметры!AY$59)/Параметры!AY$64</f>
        <v>0</v>
      </c>
      <c r="AZ82" s="344">
        <f>Проект!AZ$899*CHOOSE(Проект!$D$899,1,Параметры!AZ$53,Параметры!AZ$59)/Параметры!AZ$64</f>
        <v>0</v>
      </c>
      <c r="BA82" s="344">
        <f>Проект!BA$899*CHOOSE(Проект!$D$899,1,Параметры!BA$53,Параметры!BA$59)/Параметры!BA$64</f>
        <v>0</v>
      </c>
      <c r="BB82" s="344">
        <f>Проект!BB$899*CHOOSE(Проект!$D$899,1,Параметры!BB$53,Параметры!BB$59)/Параметры!BB$64</f>
        <v>0</v>
      </c>
      <c r="BD82" s="345">
        <f>SUM(G82:BC82)</f>
        <v>4100000</v>
      </c>
    </row>
    <row r="83" spans="1:58" x14ac:dyDescent="0.3">
      <c r="A83" s="62"/>
      <c r="B83" s="62"/>
      <c r="C83" s="62"/>
      <c r="D83" s="63"/>
      <c r="E83" s="63"/>
      <c r="F83" s="63"/>
      <c r="G83" s="62"/>
      <c r="H83" s="62"/>
      <c r="I83" s="62"/>
      <c r="J83" s="62"/>
      <c r="K83" s="62"/>
      <c r="L83" s="62"/>
      <c r="M83" s="62"/>
      <c r="N83" s="62"/>
      <c r="O83" s="62"/>
      <c r="P83" s="62"/>
      <c r="Q83" s="62"/>
      <c r="R83" s="62"/>
      <c r="S83" s="62"/>
      <c r="T83" s="62"/>
      <c r="U83" s="62"/>
      <c r="V83" s="62"/>
      <c r="W83" s="62"/>
      <c r="X83" s="62"/>
      <c r="Y83" s="62"/>
      <c r="Z83" s="62"/>
      <c r="AA83" s="62"/>
      <c r="AB83" s="62"/>
      <c r="AC83" s="62"/>
      <c r="AD83" s="62"/>
      <c r="AE83" s="62"/>
      <c r="AF83" s="62"/>
      <c r="AG83" s="62"/>
      <c r="AH83" s="62"/>
      <c r="AI83" s="62"/>
      <c r="AJ83" s="62"/>
      <c r="AK83" s="62"/>
      <c r="AL83" s="62"/>
      <c r="AM83" s="62"/>
      <c r="AN83" s="62"/>
      <c r="AO83" s="62"/>
      <c r="AP83" s="62"/>
      <c r="AQ83" s="62"/>
      <c r="AR83" s="62"/>
      <c r="AS83" s="62"/>
      <c r="AT83" s="62"/>
      <c r="AU83" s="62"/>
      <c r="AV83" s="62"/>
      <c r="AW83" s="62"/>
      <c r="AX83" s="62"/>
      <c r="AY83" s="62"/>
      <c r="AZ83" s="62"/>
      <c r="BA83" s="62"/>
      <c r="BB83" s="62"/>
      <c r="BC83" s="62"/>
      <c r="BD83" s="125"/>
    </row>
    <row r="84" spans="1:58" x14ac:dyDescent="0.3">
      <c r="A84" s="34" t="str">
        <f ca="1">Language!A$948</f>
        <v>Нематериальные активы</v>
      </c>
      <c r="B84" s="137">
        <f>BD84</f>
        <v>150000</v>
      </c>
      <c r="C84" s="100" t="str">
        <f ca="1">Параметры!$C$64</f>
        <v>руб.</v>
      </c>
      <c r="D84" s="11">
        <v>0</v>
      </c>
      <c r="E84" s="6" t="s">
        <v>2288</v>
      </c>
      <c r="F84" s="6" t="s">
        <v>3414</v>
      </c>
      <c r="G84" s="58">
        <f>SUM(G85:G86)</f>
        <v>25000</v>
      </c>
      <c r="H84" s="58">
        <f t="shared" ref="H84:N84" si="114">SUM(H85:H86)</f>
        <v>25000</v>
      </c>
      <c r="I84" s="58">
        <f t="shared" si="114"/>
        <v>25000</v>
      </c>
      <c r="J84" s="58">
        <f t="shared" si="114"/>
        <v>25000</v>
      </c>
      <c r="K84" s="58">
        <f t="shared" si="114"/>
        <v>25000</v>
      </c>
      <c r="L84" s="58">
        <f t="shared" si="114"/>
        <v>25000</v>
      </c>
      <c r="M84" s="58">
        <f t="shared" si="114"/>
        <v>0</v>
      </c>
      <c r="N84" s="58">
        <f t="shared" si="114"/>
        <v>0</v>
      </c>
      <c r="O84" s="58">
        <f t="shared" ref="O84" si="115">SUM(O86:O86)</f>
        <v>0</v>
      </c>
      <c r="P84" s="58">
        <f t="shared" ref="P84:Q84" si="116">SUM(P86:P86)</f>
        <v>0</v>
      </c>
      <c r="Q84" s="58">
        <f t="shared" si="116"/>
        <v>0</v>
      </c>
      <c r="R84" s="58">
        <f t="shared" ref="R84:S84" si="117">SUM(R86:R86)</f>
        <v>0</v>
      </c>
      <c r="S84" s="58">
        <f t="shared" si="117"/>
        <v>0</v>
      </c>
      <c r="T84" s="58">
        <f t="shared" ref="T84:U84" si="118">SUM(T86:T86)</f>
        <v>0</v>
      </c>
      <c r="U84" s="58">
        <f t="shared" si="118"/>
        <v>0</v>
      </c>
      <c r="V84" s="58">
        <f t="shared" ref="V84:W84" si="119">SUM(V86:V86)</f>
        <v>0</v>
      </c>
      <c r="W84" s="58">
        <f t="shared" si="119"/>
        <v>0</v>
      </c>
      <c r="X84" s="58">
        <f t="shared" ref="X84:Y84" si="120">SUM(X86:X86)</f>
        <v>0</v>
      </c>
      <c r="Y84" s="58">
        <f t="shared" si="120"/>
        <v>0</v>
      </c>
      <c r="Z84" s="58">
        <f t="shared" ref="Z84:AA84" si="121">SUM(Z86:Z86)</f>
        <v>0</v>
      </c>
      <c r="AA84" s="58">
        <f t="shared" si="121"/>
        <v>0</v>
      </c>
      <c r="AB84" s="58">
        <f t="shared" ref="AB84:AC84" si="122">SUM(AB86:AB86)</f>
        <v>0</v>
      </c>
      <c r="AC84" s="58">
        <f t="shared" si="122"/>
        <v>0</v>
      </c>
      <c r="AD84" s="58">
        <f t="shared" ref="AD84:AE84" si="123">SUM(AD86:AD86)</f>
        <v>0</v>
      </c>
      <c r="AE84" s="58">
        <f t="shared" si="123"/>
        <v>0</v>
      </c>
      <c r="AF84" s="58">
        <f t="shared" ref="AF84:AG84" si="124">SUM(AF86:AF86)</f>
        <v>0</v>
      </c>
      <c r="AG84" s="58">
        <f t="shared" si="124"/>
        <v>0</v>
      </c>
      <c r="AH84" s="58">
        <f t="shared" ref="AH84:AI84" si="125">SUM(AH86:AH86)</f>
        <v>0</v>
      </c>
      <c r="AI84" s="58">
        <f t="shared" si="125"/>
        <v>0</v>
      </c>
      <c r="AJ84" s="58">
        <f t="shared" ref="AJ84:AK84" si="126">SUM(AJ86:AJ86)</f>
        <v>0</v>
      </c>
      <c r="AK84" s="58">
        <f t="shared" si="126"/>
        <v>0</v>
      </c>
      <c r="AL84" s="58">
        <f t="shared" ref="AL84:AM84" si="127">SUM(AL86:AL86)</f>
        <v>0</v>
      </c>
      <c r="AM84" s="58">
        <f t="shared" si="127"/>
        <v>0</v>
      </c>
      <c r="AN84" s="58">
        <f t="shared" ref="AN84:AO84" si="128">SUM(AN86:AN86)</f>
        <v>0</v>
      </c>
      <c r="AO84" s="58">
        <f t="shared" si="128"/>
        <v>0</v>
      </c>
      <c r="AP84" s="58">
        <f t="shared" ref="AP84:AQ84" si="129">SUM(AP86:AP86)</f>
        <v>0</v>
      </c>
      <c r="AQ84" s="58">
        <f t="shared" si="129"/>
        <v>0</v>
      </c>
      <c r="AR84" s="58">
        <f t="shared" ref="AR84:AS84" si="130">SUM(AR86:AR86)</f>
        <v>0</v>
      </c>
      <c r="AS84" s="58">
        <f t="shared" si="130"/>
        <v>0</v>
      </c>
      <c r="AT84" s="58">
        <f t="shared" ref="AT84:AU84" si="131">SUM(AT86:AT86)</f>
        <v>0</v>
      </c>
      <c r="AU84" s="58">
        <f t="shared" si="131"/>
        <v>0</v>
      </c>
      <c r="AV84" s="58">
        <f t="shared" ref="AV84:AW84" si="132">SUM(AV86:AV86)</f>
        <v>0</v>
      </c>
      <c r="AW84" s="58">
        <f t="shared" si="132"/>
        <v>0</v>
      </c>
      <c r="AX84" s="58">
        <f t="shared" ref="AX84:AY84" si="133">SUM(AX86:AX86)</f>
        <v>0</v>
      </c>
      <c r="AY84" s="58">
        <f t="shared" si="133"/>
        <v>0</v>
      </c>
      <c r="AZ84" s="58">
        <f t="shared" ref="AZ84:BA84" si="134">SUM(AZ86:AZ86)</f>
        <v>0</v>
      </c>
      <c r="BA84" s="58">
        <f t="shared" si="134"/>
        <v>0</v>
      </c>
      <c r="BB84" s="58">
        <f t="shared" ref="BB84" si="135">SUM(BB86:BB86)</f>
        <v>0</v>
      </c>
      <c r="BD84" s="76">
        <f>SUM(G84:BC84)</f>
        <v>150000</v>
      </c>
    </row>
    <row r="85" spans="1:58" s="346" customFormat="1" x14ac:dyDescent="0.3">
      <c r="A85" s="349" t="str">
        <f>Проект!A$920</f>
        <v>Регистрационные действия при открытии проекта</v>
      </c>
      <c r="B85" s="340">
        <f>BD85</f>
        <v>150000</v>
      </c>
      <c r="C85" s="341" t="str">
        <f ca="1">Параметры!C$64</f>
        <v>руб.</v>
      </c>
      <c r="D85" s="342"/>
      <c r="E85" s="343"/>
      <c r="F85" s="343" t="s">
        <v>3475</v>
      </c>
      <c r="G85" s="344">
        <f>Проект!G$928*CHOOSE(Проект!$D$928,1,Параметры!G$53,Параметры!G$59)/Параметры!G$64</f>
        <v>25000</v>
      </c>
      <c r="H85" s="344">
        <f>Проект!H$928*CHOOSE(Проект!$D$928,1,Параметры!H$53,Параметры!H$59)/Параметры!H$64</f>
        <v>25000</v>
      </c>
      <c r="I85" s="344">
        <f>Проект!I$928*CHOOSE(Проект!$D$928,1,Параметры!I$53,Параметры!I$59)/Параметры!I$64</f>
        <v>25000</v>
      </c>
      <c r="J85" s="344">
        <f>Проект!J$928*CHOOSE(Проект!$D$928,1,Параметры!J$53,Параметры!J$59)/Параметры!J$64</f>
        <v>25000</v>
      </c>
      <c r="K85" s="344">
        <f>Проект!K$928*CHOOSE(Проект!$D$928,1,Параметры!K$53,Параметры!K$59)/Параметры!K$64</f>
        <v>25000</v>
      </c>
      <c r="L85" s="344">
        <f>Проект!L$928*CHOOSE(Проект!$D$928,1,Параметры!L$53,Параметры!L$59)/Параметры!L$64</f>
        <v>25000</v>
      </c>
      <c r="M85" s="344">
        <f>Проект!M$928*CHOOSE(Проект!$D$928,1,Параметры!M$53,Параметры!M$59)/Параметры!M$64</f>
        <v>0</v>
      </c>
      <c r="N85" s="344">
        <f>Проект!N$928*CHOOSE(Проект!$D$928,1,Параметры!N$53,Параметры!N$59)/Параметры!N$64</f>
        <v>0</v>
      </c>
      <c r="O85" s="344">
        <f>Проект!O$928*CHOOSE(Проект!$D$928,1,Параметры!O$53,Параметры!O$59)/Параметры!O$64</f>
        <v>0</v>
      </c>
      <c r="P85" s="344">
        <f>Проект!P$928*CHOOSE(Проект!$D$928,1,Параметры!P$53,Параметры!P$59)/Параметры!P$64</f>
        <v>0</v>
      </c>
      <c r="Q85" s="344">
        <f>Проект!Q$928*CHOOSE(Проект!$D$928,1,Параметры!Q$53,Параметры!Q$59)/Параметры!Q$64</f>
        <v>0</v>
      </c>
      <c r="R85" s="344">
        <f>Проект!R$928*CHOOSE(Проект!$D$928,1,Параметры!R$53,Параметры!R$59)/Параметры!R$64</f>
        <v>0</v>
      </c>
      <c r="S85" s="344">
        <f>Проект!S$928*CHOOSE(Проект!$D$928,1,Параметры!S$53,Параметры!S$59)/Параметры!S$64</f>
        <v>0</v>
      </c>
      <c r="T85" s="344">
        <f>Проект!T$928*CHOOSE(Проект!$D$928,1,Параметры!T$53,Параметры!T$59)/Параметры!T$64</f>
        <v>0</v>
      </c>
      <c r="U85" s="344">
        <f>Проект!U$928*CHOOSE(Проект!$D$928,1,Параметры!U$53,Параметры!U$59)/Параметры!U$64</f>
        <v>0</v>
      </c>
      <c r="V85" s="344">
        <f>Проект!V$928*CHOOSE(Проект!$D$928,1,Параметры!V$53,Параметры!V$59)/Параметры!V$64</f>
        <v>0</v>
      </c>
      <c r="W85" s="344">
        <f>Проект!W$928*CHOOSE(Проект!$D$928,1,Параметры!W$53,Параметры!W$59)/Параметры!W$64</f>
        <v>0</v>
      </c>
      <c r="X85" s="344">
        <f>Проект!X$928*CHOOSE(Проект!$D$928,1,Параметры!X$53,Параметры!X$59)/Параметры!X$64</f>
        <v>0</v>
      </c>
      <c r="Y85" s="344">
        <f>Проект!Y$928*CHOOSE(Проект!$D$928,1,Параметры!Y$53,Параметры!Y$59)/Параметры!Y$64</f>
        <v>0</v>
      </c>
      <c r="Z85" s="344">
        <f>Проект!Z$928*CHOOSE(Проект!$D$928,1,Параметры!Z$53,Параметры!Z$59)/Параметры!Z$64</f>
        <v>0</v>
      </c>
      <c r="AA85" s="344">
        <f>Проект!AA$928*CHOOSE(Проект!$D$928,1,Параметры!AA$53,Параметры!AA$59)/Параметры!AA$64</f>
        <v>0</v>
      </c>
      <c r="AB85" s="344">
        <f>Проект!AB$928*CHOOSE(Проект!$D$928,1,Параметры!AB$53,Параметры!AB$59)/Параметры!AB$64</f>
        <v>0</v>
      </c>
      <c r="AC85" s="344">
        <f>Проект!AC$928*CHOOSE(Проект!$D$928,1,Параметры!AC$53,Параметры!AC$59)/Параметры!AC$64</f>
        <v>0</v>
      </c>
      <c r="AD85" s="344">
        <f>Проект!AD$928*CHOOSE(Проект!$D$928,1,Параметры!AD$53,Параметры!AD$59)/Параметры!AD$64</f>
        <v>0</v>
      </c>
      <c r="AE85" s="344">
        <f>Проект!AE$928*CHOOSE(Проект!$D$928,1,Параметры!AE$53,Параметры!AE$59)/Параметры!AE$64</f>
        <v>0</v>
      </c>
      <c r="AF85" s="344">
        <f>Проект!AF$928*CHOOSE(Проект!$D$928,1,Параметры!AF$53,Параметры!AF$59)/Параметры!AF$64</f>
        <v>0</v>
      </c>
      <c r="AG85" s="344">
        <f>Проект!AG$928*CHOOSE(Проект!$D$928,1,Параметры!AG$53,Параметры!AG$59)/Параметры!AG$64</f>
        <v>0</v>
      </c>
      <c r="AH85" s="344">
        <f>Проект!AH$928*CHOOSE(Проект!$D$928,1,Параметры!AH$53,Параметры!AH$59)/Параметры!AH$64</f>
        <v>0</v>
      </c>
      <c r="AI85" s="344">
        <f>Проект!AI$928*CHOOSE(Проект!$D$928,1,Параметры!AI$53,Параметры!AI$59)/Параметры!AI$64</f>
        <v>0</v>
      </c>
      <c r="AJ85" s="344">
        <f>Проект!AJ$928*CHOOSE(Проект!$D$928,1,Параметры!AJ$53,Параметры!AJ$59)/Параметры!AJ$64</f>
        <v>0</v>
      </c>
      <c r="AK85" s="344">
        <f>Проект!AK$928*CHOOSE(Проект!$D$928,1,Параметры!AK$53,Параметры!AK$59)/Параметры!AK$64</f>
        <v>0</v>
      </c>
      <c r="AL85" s="344">
        <f>Проект!AL$928*CHOOSE(Проект!$D$928,1,Параметры!AL$53,Параметры!AL$59)/Параметры!AL$64</f>
        <v>0</v>
      </c>
      <c r="AM85" s="344">
        <f>Проект!AM$928*CHOOSE(Проект!$D$928,1,Параметры!AM$53,Параметры!AM$59)/Параметры!AM$64</f>
        <v>0</v>
      </c>
      <c r="AN85" s="344">
        <f>Проект!AN$928*CHOOSE(Проект!$D$928,1,Параметры!AN$53,Параметры!AN$59)/Параметры!AN$64</f>
        <v>0</v>
      </c>
      <c r="AO85" s="344">
        <f>Проект!AO$928*CHOOSE(Проект!$D$928,1,Параметры!AO$53,Параметры!AO$59)/Параметры!AO$64</f>
        <v>0</v>
      </c>
      <c r="AP85" s="344">
        <f>Проект!AP$928*CHOOSE(Проект!$D$928,1,Параметры!AP$53,Параметры!AP$59)/Параметры!AP$64</f>
        <v>0</v>
      </c>
      <c r="AQ85" s="344">
        <f>Проект!AQ$928*CHOOSE(Проект!$D$928,1,Параметры!AQ$53,Параметры!AQ$59)/Параметры!AQ$64</f>
        <v>0</v>
      </c>
      <c r="AR85" s="344">
        <f>Проект!AR$928*CHOOSE(Проект!$D$928,1,Параметры!AR$53,Параметры!AR$59)/Параметры!AR$64</f>
        <v>0</v>
      </c>
      <c r="AS85" s="344">
        <f>Проект!AS$928*CHOOSE(Проект!$D$928,1,Параметры!AS$53,Параметры!AS$59)/Параметры!AS$64</f>
        <v>0</v>
      </c>
      <c r="AT85" s="344">
        <f>Проект!AT$928*CHOOSE(Проект!$D$928,1,Параметры!AT$53,Параметры!AT$59)/Параметры!AT$64</f>
        <v>0</v>
      </c>
      <c r="AU85" s="344">
        <f>Проект!AU$928*CHOOSE(Проект!$D$928,1,Параметры!AU$53,Параметры!AU$59)/Параметры!AU$64</f>
        <v>0</v>
      </c>
      <c r="AV85" s="344">
        <f>Проект!AV$928*CHOOSE(Проект!$D$928,1,Параметры!AV$53,Параметры!AV$59)/Параметры!AV$64</f>
        <v>0</v>
      </c>
      <c r="AW85" s="344">
        <f>Проект!AW$928*CHOOSE(Проект!$D$928,1,Параметры!AW$53,Параметры!AW$59)/Параметры!AW$64</f>
        <v>0</v>
      </c>
      <c r="AX85" s="344">
        <f>Проект!AX$928*CHOOSE(Проект!$D$928,1,Параметры!AX$53,Параметры!AX$59)/Параметры!AX$64</f>
        <v>0</v>
      </c>
      <c r="AY85" s="344">
        <f>Проект!AY$928*CHOOSE(Проект!$D$928,1,Параметры!AY$53,Параметры!AY$59)/Параметры!AY$64</f>
        <v>0</v>
      </c>
      <c r="AZ85" s="344">
        <f>Проект!AZ$928*CHOOSE(Проект!$D$928,1,Параметры!AZ$53,Параметры!AZ$59)/Параметры!AZ$64</f>
        <v>0</v>
      </c>
      <c r="BA85" s="344">
        <f>Проект!BA$928*CHOOSE(Проект!$D$928,1,Параметры!BA$53,Параметры!BA$59)/Параметры!BA$64</f>
        <v>0</v>
      </c>
      <c r="BB85" s="344">
        <f>Проект!BB$928*CHOOSE(Проект!$D$928,1,Параметры!BB$53,Параметры!BB$59)/Параметры!BB$64</f>
        <v>0</v>
      </c>
      <c r="BD85" s="345">
        <f>SUM(G85:BC85)</f>
        <v>150000</v>
      </c>
    </row>
    <row r="86" spans="1:58" x14ac:dyDescent="0.3">
      <c r="A86" s="128"/>
      <c r="B86" s="135"/>
      <c r="C86" s="128"/>
      <c r="D86" s="129"/>
      <c r="E86" s="129"/>
      <c r="F86" s="63"/>
      <c r="G86" s="133"/>
      <c r="H86" s="133"/>
      <c r="I86" s="133"/>
      <c r="J86" s="133"/>
      <c r="K86" s="133"/>
      <c r="L86" s="133"/>
      <c r="M86" s="133"/>
      <c r="N86" s="133"/>
      <c r="O86" s="133"/>
      <c r="P86" s="133"/>
      <c r="Q86" s="133"/>
      <c r="R86" s="133"/>
      <c r="S86" s="133"/>
      <c r="T86" s="133"/>
      <c r="U86" s="133"/>
      <c r="V86" s="133"/>
      <c r="W86" s="133"/>
      <c r="X86" s="133"/>
      <c r="Y86" s="133"/>
      <c r="Z86" s="133"/>
      <c r="AA86" s="133"/>
      <c r="AB86" s="133"/>
      <c r="AC86" s="133"/>
      <c r="AD86" s="133"/>
      <c r="AE86" s="133"/>
      <c r="AF86" s="133"/>
      <c r="AG86" s="133"/>
      <c r="AH86" s="133"/>
      <c r="AI86" s="133"/>
      <c r="AJ86" s="133"/>
      <c r="AK86" s="133"/>
      <c r="AL86" s="133"/>
      <c r="AM86" s="133"/>
      <c r="AN86" s="133"/>
      <c r="AO86" s="133"/>
      <c r="AP86" s="133"/>
      <c r="AQ86" s="133"/>
      <c r="AR86" s="133"/>
      <c r="AS86" s="133"/>
      <c r="AT86" s="133"/>
      <c r="AU86" s="133"/>
      <c r="AV86" s="133"/>
      <c r="AW86" s="133"/>
      <c r="AX86" s="133"/>
      <c r="AY86" s="133"/>
      <c r="AZ86" s="133"/>
      <c r="BA86" s="133"/>
      <c r="BB86" s="133"/>
      <c r="BC86" s="134"/>
      <c r="BD86" s="134"/>
      <c r="BE86" s="55"/>
      <c r="BF86" s="55"/>
    </row>
    <row r="87" spans="1:58" s="34" customFormat="1" x14ac:dyDescent="0.3">
      <c r="A87" s="138" t="str">
        <f ca="1">Language!A$1502</f>
        <v>Итого</v>
      </c>
      <c r="B87" s="137">
        <f ca="1">BD87</f>
        <v>211849999.99999997</v>
      </c>
      <c r="C87" s="100" t="str">
        <f ca="1">Параметры!$C$64</f>
        <v>руб.</v>
      </c>
      <c r="D87" s="139"/>
      <c r="E87" s="139"/>
      <c r="F87" s="6" t="s">
        <v>740</v>
      </c>
      <c r="G87" s="58">
        <f t="shared" ref="G87:BB87" ca="1" si="136">SUMIF($E70:$E87,"*.FIXED",G70:G86)</f>
        <v>291667</v>
      </c>
      <c r="H87" s="58">
        <f t="shared" ca="1" si="136"/>
        <v>1658333.6666666667</v>
      </c>
      <c r="I87" s="58">
        <f t="shared" ca="1" si="136"/>
        <v>136658332.66666666</v>
      </c>
      <c r="J87" s="58">
        <f t="shared" ca="1" si="136"/>
        <v>18391666.666666668</v>
      </c>
      <c r="K87" s="58">
        <f t="shared" ca="1" si="136"/>
        <v>17025000</v>
      </c>
      <c r="L87" s="58">
        <f t="shared" ca="1" si="136"/>
        <v>17825000</v>
      </c>
      <c r="M87" s="58">
        <f t="shared" ca="1" si="136"/>
        <v>10000000</v>
      </c>
      <c r="N87" s="58">
        <f t="shared" ca="1" si="136"/>
        <v>10000000</v>
      </c>
      <c r="O87" s="58">
        <f t="shared" ca="1" si="136"/>
        <v>0</v>
      </c>
      <c r="P87" s="58">
        <f t="shared" ca="1" si="136"/>
        <v>0</v>
      </c>
      <c r="Q87" s="58">
        <f t="shared" ca="1" si="136"/>
        <v>0</v>
      </c>
      <c r="R87" s="58">
        <f t="shared" ca="1" si="136"/>
        <v>0</v>
      </c>
      <c r="S87" s="58">
        <f t="shared" ca="1" si="136"/>
        <v>0</v>
      </c>
      <c r="T87" s="58">
        <f t="shared" ca="1" si="136"/>
        <v>0</v>
      </c>
      <c r="U87" s="58">
        <f t="shared" ca="1" si="136"/>
        <v>0</v>
      </c>
      <c r="V87" s="58">
        <f t="shared" ca="1" si="136"/>
        <v>0</v>
      </c>
      <c r="W87" s="58">
        <f t="shared" ca="1" si="136"/>
        <v>0</v>
      </c>
      <c r="X87" s="58">
        <f t="shared" ca="1" si="136"/>
        <v>0</v>
      </c>
      <c r="Y87" s="58">
        <f t="shared" ca="1" si="136"/>
        <v>0</v>
      </c>
      <c r="Z87" s="58">
        <f t="shared" ca="1" si="136"/>
        <v>0</v>
      </c>
      <c r="AA87" s="58">
        <f t="shared" ca="1" si="136"/>
        <v>0</v>
      </c>
      <c r="AB87" s="58">
        <f t="shared" ca="1" si="136"/>
        <v>0</v>
      </c>
      <c r="AC87" s="58">
        <f t="shared" ca="1" si="136"/>
        <v>0</v>
      </c>
      <c r="AD87" s="58">
        <f t="shared" ca="1" si="136"/>
        <v>0</v>
      </c>
      <c r="AE87" s="58">
        <f t="shared" ca="1" si="136"/>
        <v>0</v>
      </c>
      <c r="AF87" s="58">
        <f t="shared" ca="1" si="136"/>
        <v>0</v>
      </c>
      <c r="AG87" s="58">
        <f t="shared" ca="1" si="136"/>
        <v>0</v>
      </c>
      <c r="AH87" s="58">
        <f t="shared" ca="1" si="136"/>
        <v>0</v>
      </c>
      <c r="AI87" s="58">
        <f t="shared" ca="1" si="136"/>
        <v>0</v>
      </c>
      <c r="AJ87" s="58">
        <f t="shared" ca="1" si="136"/>
        <v>0</v>
      </c>
      <c r="AK87" s="58">
        <f t="shared" ca="1" si="136"/>
        <v>0</v>
      </c>
      <c r="AL87" s="58">
        <f t="shared" ca="1" si="136"/>
        <v>0</v>
      </c>
      <c r="AM87" s="58">
        <f t="shared" ca="1" si="136"/>
        <v>0</v>
      </c>
      <c r="AN87" s="58">
        <f t="shared" ca="1" si="136"/>
        <v>0</v>
      </c>
      <c r="AO87" s="58">
        <f t="shared" ca="1" si="136"/>
        <v>0</v>
      </c>
      <c r="AP87" s="58">
        <f t="shared" ca="1" si="136"/>
        <v>0</v>
      </c>
      <c r="AQ87" s="58">
        <f t="shared" ca="1" si="136"/>
        <v>0</v>
      </c>
      <c r="AR87" s="58">
        <f t="shared" ca="1" si="136"/>
        <v>0</v>
      </c>
      <c r="AS87" s="58">
        <f t="shared" ca="1" si="136"/>
        <v>0</v>
      </c>
      <c r="AT87" s="58">
        <f t="shared" ca="1" si="136"/>
        <v>0</v>
      </c>
      <c r="AU87" s="58">
        <f t="shared" ca="1" si="136"/>
        <v>0</v>
      </c>
      <c r="AV87" s="58">
        <f t="shared" ca="1" si="136"/>
        <v>0</v>
      </c>
      <c r="AW87" s="58">
        <f t="shared" ca="1" si="136"/>
        <v>0</v>
      </c>
      <c r="AX87" s="58">
        <f t="shared" ca="1" si="136"/>
        <v>0</v>
      </c>
      <c r="AY87" s="58">
        <f t="shared" ca="1" si="136"/>
        <v>0</v>
      </c>
      <c r="AZ87" s="58">
        <f t="shared" ca="1" si="136"/>
        <v>0</v>
      </c>
      <c r="BA87" s="58">
        <f t="shared" ca="1" si="136"/>
        <v>0</v>
      </c>
      <c r="BB87" s="58">
        <f t="shared" ca="1" si="136"/>
        <v>0</v>
      </c>
      <c r="BC87" s="58"/>
      <c r="BD87" s="76">
        <f ca="1">SUM(G87:BC87)</f>
        <v>211849999.99999997</v>
      </c>
    </row>
    <row r="88" spans="1:58" x14ac:dyDescent="0.3">
      <c r="A88" s="9"/>
      <c r="B88" s="131"/>
      <c r="C88" s="9"/>
      <c r="D88" s="11"/>
      <c r="E88" s="14" t="s">
        <v>2276</v>
      </c>
      <c r="G88" s="132"/>
      <c r="H88" s="132"/>
      <c r="I88" s="132"/>
      <c r="J88" s="132"/>
      <c r="K88" s="132"/>
      <c r="L88" s="132"/>
      <c r="M88" s="132"/>
      <c r="N88" s="132"/>
      <c r="O88" s="132"/>
      <c r="P88" s="132"/>
      <c r="Q88" s="132"/>
      <c r="R88" s="132"/>
      <c r="S88" s="132"/>
      <c r="T88" s="132"/>
      <c r="U88" s="132"/>
      <c r="V88" s="132"/>
      <c r="W88" s="132"/>
      <c r="X88" s="132"/>
      <c r="Y88" s="132"/>
      <c r="Z88" s="132"/>
      <c r="AA88" s="132"/>
      <c r="AB88" s="132"/>
      <c r="AC88" s="132"/>
      <c r="AD88" s="132"/>
      <c r="AE88" s="132"/>
      <c r="AF88" s="132"/>
      <c r="AG88" s="132"/>
      <c r="AH88" s="132"/>
      <c r="AI88" s="132"/>
      <c r="AJ88" s="132"/>
      <c r="AK88" s="132"/>
      <c r="AL88" s="132"/>
      <c r="AM88" s="132"/>
      <c r="AN88" s="132"/>
      <c r="AO88" s="132"/>
      <c r="AP88" s="132"/>
      <c r="AQ88" s="132"/>
      <c r="AR88" s="132"/>
      <c r="AS88" s="132"/>
      <c r="AT88" s="132"/>
      <c r="AU88" s="132"/>
      <c r="AV88" s="132"/>
      <c r="AW88" s="132"/>
      <c r="AX88" s="132"/>
      <c r="AY88" s="132"/>
      <c r="AZ88" s="132"/>
      <c r="BA88" s="132"/>
      <c r="BB88" s="132"/>
      <c r="BC88" s="74"/>
      <c r="BD88" s="74"/>
      <c r="BE88" s="55"/>
      <c r="BF88" s="55"/>
    </row>
    <row r="89" spans="1:58" x14ac:dyDescent="0.3">
      <c r="A89" s="128"/>
      <c r="B89" s="128"/>
      <c r="C89" s="128"/>
      <c r="D89" s="129"/>
      <c r="E89" s="129"/>
      <c r="F89" s="129"/>
      <c r="G89" s="130"/>
      <c r="H89" s="130"/>
      <c r="I89" s="130"/>
      <c r="J89" s="130"/>
      <c r="K89" s="130"/>
      <c r="L89" s="130"/>
      <c r="M89" s="130"/>
      <c r="N89" s="130"/>
      <c r="O89" s="130"/>
      <c r="P89" s="130"/>
      <c r="Q89" s="130"/>
      <c r="R89" s="130"/>
      <c r="S89" s="130"/>
      <c r="T89" s="130"/>
      <c r="U89" s="130"/>
      <c r="V89" s="130"/>
      <c r="W89" s="130"/>
      <c r="X89" s="130"/>
      <c r="Y89" s="130"/>
      <c r="Z89" s="130"/>
      <c r="AA89" s="130"/>
      <c r="AB89" s="130"/>
      <c r="AC89" s="130"/>
      <c r="AD89" s="130"/>
      <c r="AE89" s="130"/>
      <c r="AF89" s="130"/>
      <c r="AG89" s="130"/>
      <c r="AH89" s="130"/>
      <c r="AI89" s="130"/>
      <c r="AJ89" s="130"/>
      <c r="AK89" s="130"/>
      <c r="AL89" s="130"/>
      <c r="AM89" s="130"/>
      <c r="AN89" s="130"/>
      <c r="AO89" s="130"/>
      <c r="AP89" s="130"/>
      <c r="AQ89" s="130"/>
      <c r="AR89" s="130"/>
      <c r="AS89" s="130"/>
      <c r="AT89" s="130"/>
      <c r="AU89" s="130"/>
      <c r="AV89" s="130"/>
      <c r="AW89" s="130"/>
      <c r="AX89" s="130"/>
      <c r="AY89" s="130"/>
      <c r="AZ89" s="130"/>
      <c r="BA89" s="130"/>
      <c r="BB89" s="130"/>
      <c r="BC89" s="63"/>
      <c r="BD89" s="63"/>
    </row>
    <row r="91" spans="1:58" s="9" customFormat="1" ht="25.5" customHeight="1" thickBot="1" x14ac:dyDescent="0.35">
      <c r="A91" s="323" t="str">
        <f ca="1">Language!A1214</f>
        <v>ОТЧЕТ О ПРИБЫЛЯХ И УБЫТКАХ</v>
      </c>
      <c r="B91" s="337"/>
      <c r="C91" s="338"/>
      <c r="D91" s="326"/>
      <c r="E91" s="326" t="s">
        <v>894</v>
      </c>
      <c r="F91" s="326"/>
      <c r="G91" s="327" t="str">
        <f ca="1">Параметры!G$34</f>
        <v>янв.25</v>
      </c>
      <c r="H91" s="327" t="str">
        <f ca="1">Параметры!H$34</f>
        <v>фев.25</v>
      </c>
      <c r="I91" s="327" t="str">
        <f ca="1">Параметры!I$34</f>
        <v>мар.25</v>
      </c>
      <c r="J91" s="327" t="str">
        <f ca="1">Параметры!J$34</f>
        <v>апр.25</v>
      </c>
      <c r="K91" s="327" t="str">
        <f ca="1">Параметры!K$34</f>
        <v>май.25</v>
      </c>
      <c r="L91" s="327" t="str">
        <f ca="1">Параметры!L$34</f>
        <v>июн.25</v>
      </c>
      <c r="M91" s="328" t="str">
        <f ca="1">Параметры!M$34</f>
        <v>июл.25</v>
      </c>
      <c r="N91" s="328" t="str">
        <f ca="1">Параметры!N$34</f>
        <v>авг.25</v>
      </c>
      <c r="O91" s="328" t="str">
        <f ca="1">Параметры!O$34</f>
        <v>сен.25</v>
      </c>
      <c r="P91" s="328" t="str">
        <f ca="1">Параметры!P$34</f>
        <v>окт.25</v>
      </c>
      <c r="Q91" s="328" t="str">
        <f ca="1">Параметры!Q$34</f>
        <v>ноя.25</v>
      </c>
      <c r="R91" s="328" t="str">
        <f ca="1">Параметры!R$34</f>
        <v>дек.25</v>
      </c>
      <c r="S91" s="328" t="str">
        <f ca="1">Параметры!S$34</f>
        <v>янв.26</v>
      </c>
      <c r="T91" s="328" t="str">
        <f ca="1">Параметры!T$34</f>
        <v>фев.26</v>
      </c>
      <c r="U91" s="328" t="str">
        <f ca="1">Параметры!U$34</f>
        <v>мар.26</v>
      </c>
      <c r="V91" s="328" t="str">
        <f ca="1">Параметры!V$34</f>
        <v>апр.26</v>
      </c>
      <c r="W91" s="328" t="str">
        <f ca="1">Параметры!W$34</f>
        <v>май.26</v>
      </c>
      <c r="X91" s="328" t="str">
        <f ca="1">Параметры!X$34</f>
        <v>июн.26</v>
      </c>
      <c r="Y91" s="328" t="str">
        <f ca="1">Параметры!Y$34</f>
        <v>июл.26</v>
      </c>
      <c r="Z91" s="328" t="str">
        <f ca="1">Параметры!Z$34</f>
        <v>авг.26</v>
      </c>
      <c r="AA91" s="328" t="str">
        <f ca="1">Параметры!AA$34</f>
        <v>сен.26</v>
      </c>
      <c r="AB91" s="328" t="str">
        <f ca="1">Параметры!AB$34</f>
        <v>окт.26</v>
      </c>
      <c r="AC91" s="328" t="str">
        <f ca="1">Параметры!AC$34</f>
        <v>ноя.26</v>
      </c>
      <c r="AD91" s="328" t="str">
        <f ca="1">Параметры!AD$34</f>
        <v>дек.26</v>
      </c>
      <c r="AE91" s="328" t="str">
        <f ca="1">Параметры!AE$34</f>
        <v>янв.27</v>
      </c>
      <c r="AF91" s="328" t="str">
        <f ca="1">Параметры!AF$34</f>
        <v>фев.27</v>
      </c>
      <c r="AG91" s="328" t="str">
        <f ca="1">Параметры!AG$34</f>
        <v>мар.27</v>
      </c>
      <c r="AH91" s="328" t="str">
        <f ca="1">Параметры!AH$34</f>
        <v>апр.27</v>
      </c>
      <c r="AI91" s="328" t="str">
        <f ca="1">Параметры!AI$34</f>
        <v>май.27</v>
      </c>
      <c r="AJ91" s="328" t="str">
        <f ca="1">Параметры!AJ$34</f>
        <v>июн.27</v>
      </c>
      <c r="AK91" s="328" t="str">
        <f ca="1">Параметры!AK$34</f>
        <v>июл.27</v>
      </c>
      <c r="AL91" s="328" t="str">
        <f ca="1">Параметры!AL$34</f>
        <v>авг.27</v>
      </c>
      <c r="AM91" s="328" t="str">
        <f ca="1">Параметры!AM$34</f>
        <v>сен.27</v>
      </c>
      <c r="AN91" s="328" t="str">
        <f ca="1">Параметры!AN$34</f>
        <v>окт.27</v>
      </c>
      <c r="AO91" s="328" t="str">
        <f ca="1">Параметры!AO$34</f>
        <v>ноя.27</v>
      </c>
      <c r="AP91" s="328" t="str">
        <f ca="1">Параметры!AP$34</f>
        <v>дек.27</v>
      </c>
      <c r="AQ91" s="328" t="str">
        <f ca="1">Параметры!AQ$34</f>
        <v>янв.28</v>
      </c>
      <c r="AR91" s="328" t="str">
        <f ca="1">Параметры!AR$34</f>
        <v>фев.28</v>
      </c>
      <c r="AS91" s="328" t="str">
        <f ca="1">Параметры!AS$34</f>
        <v>мар.28</v>
      </c>
      <c r="AT91" s="328" t="str">
        <f ca="1">Параметры!AT$34</f>
        <v>апр.28</v>
      </c>
      <c r="AU91" s="328" t="str">
        <f ca="1">Параметры!AU$34</f>
        <v>май.28</v>
      </c>
      <c r="AV91" s="328" t="str">
        <f ca="1">Параметры!AV$34</f>
        <v>июн.28</v>
      </c>
      <c r="AW91" s="328" t="str">
        <f ca="1">Параметры!AW$34</f>
        <v>июл.28</v>
      </c>
      <c r="AX91" s="328" t="str">
        <f ca="1">Параметры!AX$34</f>
        <v>авг.28</v>
      </c>
      <c r="AY91" s="328" t="str">
        <f ca="1">Параметры!AY$34</f>
        <v>сен.28</v>
      </c>
      <c r="AZ91" s="328" t="str">
        <f ca="1">Параметры!AZ$34</f>
        <v>окт.28</v>
      </c>
      <c r="BA91" s="328" t="str">
        <f ca="1">Параметры!BA$34</f>
        <v>ноя.28</v>
      </c>
      <c r="BB91" s="328" t="str">
        <f ca="1">Параметры!BB$34</f>
        <v>дек.28</v>
      </c>
      <c r="BC91" s="328"/>
      <c r="BD91" s="329" t="str">
        <f ca="1">Language!$A$1473</f>
        <v>ИТОГО</v>
      </c>
    </row>
    <row r="92" spans="1:58" ht="14.4" thickTop="1" x14ac:dyDescent="0.3">
      <c r="A92" s="247"/>
    </row>
    <row r="93" spans="1:58" x14ac:dyDescent="0.3">
      <c r="A93" s="10" t="str">
        <f ca="1">Language!A1215</f>
        <v>Выручка</v>
      </c>
      <c r="C93" s="48" t="str">
        <f ca="1">Параметры!$C$64</f>
        <v>руб.</v>
      </c>
      <c r="E93" s="6" t="s">
        <v>947</v>
      </c>
      <c r="F93" s="6" t="s">
        <v>740</v>
      </c>
      <c r="G93" s="55">
        <f t="shared" ref="G93:BB93" ca="1" si="137">G6</f>
        <v>0</v>
      </c>
      <c r="H93" s="55">
        <f t="shared" ca="1" si="137"/>
        <v>0</v>
      </c>
      <c r="I93" s="55">
        <f t="shared" ca="1" si="137"/>
        <v>0</v>
      </c>
      <c r="J93" s="55">
        <f t="shared" ca="1" si="137"/>
        <v>0</v>
      </c>
      <c r="K93" s="55">
        <f t="shared" ca="1" si="137"/>
        <v>0</v>
      </c>
      <c r="L93" s="55">
        <f t="shared" ca="1" si="137"/>
        <v>0</v>
      </c>
      <c r="M93" s="55">
        <f t="shared" ca="1" si="137"/>
        <v>7486982.2385257483</v>
      </c>
      <c r="N93" s="55">
        <f t="shared" ca="1" si="137"/>
        <v>10031234.004204797</v>
      </c>
      <c r="O93" s="55">
        <f t="shared" ca="1" si="137"/>
        <v>12600076.928691318</v>
      </c>
      <c r="P93" s="55">
        <f t="shared" ca="1" si="137"/>
        <v>15193690.128322721</v>
      </c>
      <c r="Q93" s="55">
        <f t="shared" ca="1" si="137"/>
        <v>15267646.183296487</v>
      </c>
      <c r="R93" s="55">
        <f t="shared" ca="1" si="137"/>
        <v>15341962.223107448</v>
      </c>
      <c r="S93" s="55">
        <f t="shared" ca="1" si="137"/>
        <v>20555520.000000011</v>
      </c>
      <c r="T93" s="55">
        <f t="shared" ca="1" si="137"/>
        <v>18073628.153872319</v>
      </c>
      <c r="U93" s="55">
        <f t="shared" ca="1" si="137"/>
        <v>15567087.816694712</v>
      </c>
      <c r="V93" s="55">
        <f t="shared" ca="1" si="137"/>
        <v>15642861.403797608</v>
      </c>
      <c r="W93" s="55">
        <f t="shared" ca="1" si="137"/>
        <v>13099169.852222705</v>
      </c>
      <c r="X93" s="55">
        <f t="shared" ca="1" si="137"/>
        <v>21060689.158147868</v>
      </c>
      <c r="Y93" s="55">
        <f t="shared" ca="1" si="137"/>
        <v>26454003.909457654</v>
      </c>
      <c r="Z93" s="55">
        <f t="shared" ca="1" si="137"/>
        <v>26582770.111142725</v>
      </c>
      <c r="AA93" s="55">
        <f t="shared" ca="1" si="137"/>
        <v>18698514.162177924</v>
      </c>
      <c r="AB93" s="55">
        <f t="shared" ca="1" si="137"/>
        <v>13421092.946685074</v>
      </c>
      <c r="AC93" s="55">
        <f t="shared" ca="1" si="137"/>
        <v>13486420.795245234</v>
      </c>
      <c r="AD93" s="55">
        <f t="shared" ca="1" si="137"/>
        <v>16262479.956493899</v>
      </c>
      <c r="AE93" s="55">
        <f t="shared" ca="1" si="137"/>
        <v>21788851.200000018</v>
      </c>
      <c r="AF93" s="55">
        <f t="shared" ca="1" si="137"/>
        <v>19158045.843104653</v>
      </c>
      <c r="AG93" s="55">
        <f t="shared" ca="1" si="137"/>
        <v>16501113.085696394</v>
      </c>
      <c r="AH93" s="55">
        <f t="shared" ca="1" si="137"/>
        <v>16581433.088025467</v>
      </c>
      <c r="AI93" s="55">
        <f t="shared" ca="1" si="137"/>
        <v>13885120.043356068</v>
      </c>
      <c r="AJ93" s="55">
        <f t="shared" ca="1" si="137"/>
        <v>22324330.507636741</v>
      </c>
      <c r="AK93" s="55">
        <f t="shared" ca="1" si="137"/>
        <v>28041244.144025121</v>
      </c>
      <c r="AL93" s="55">
        <f t="shared" ca="1" si="137"/>
        <v>28177736.317811292</v>
      </c>
      <c r="AM93" s="55">
        <f t="shared" ca="1" si="137"/>
        <v>19820425.011908598</v>
      </c>
      <c r="AN93" s="55">
        <f t="shared" ca="1" si="137"/>
        <v>14226358.52348618</v>
      </c>
      <c r="AO93" s="55">
        <f t="shared" ca="1" si="137"/>
        <v>14295606.042959951</v>
      </c>
      <c r="AP93" s="55">
        <f t="shared" ca="1" si="137"/>
        <v>17238228.753883537</v>
      </c>
      <c r="AQ93" s="55">
        <f t="shared" ca="1" si="137"/>
        <v>23096182.272000026</v>
      </c>
      <c r="AR93" s="55">
        <f t="shared" ca="1" si="137"/>
        <v>20307528.593690943</v>
      </c>
      <c r="AS93" s="55">
        <f t="shared" ca="1" si="137"/>
        <v>17491179.870838184</v>
      </c>
      <c r="AT93" s="55">
        <f t="shared" ca="1" si="137"/>
        <v>17576319.073307</v>
      </c>
      <c r="AU93" s="55">
        <f t="shared" ca="1" si="137"/>
        <v>14718227.245957442</v>
      </c>
      <c r="AV93" s="55">
        <f t="shared" ca="1" si="137"/>
        <v>23663790.338094961</v>
      </c>
      <c r="AW93" s="55">
        <f t="shared" ca="1" si="137"/>
        <v>29723718.792666636</v>
      </c>
      <c r="AX93" s="55">
        <f t="shared" ca="1" si="137"/>
        <v>29868400.496879984</v>
      </c>
      <c r="AY93" s="55">
        <f t="shared" ca="1" si="137"/>
        <v>21009650.51262312</v>
      </c>
      <c r="AZ93" s="55">
        <f t="shared" ca="1" si="137"/>
        <v>15079940.034895359</v>
      </c>
      <c r="BA93" s="55">
        <f t="shared" ca="1" si="137"/>
        <v>15153342.405537553</v>
      </c>
      <c r="BB93" s="55">
        <f t="shared" ca="1" si="137"/>
        <v>18272522.479116555</v>
      </c>
      <c r="BC93" s="55"/>
      <c r="BD93" s="57">
        <f t="shared" ref="BD93:BD98" ca="1" si="138">SUM(G93:BC93)</f>
        <v>772825124.64958811</v>
      </c>
    </row>
    <row r="94" spans="1:58" x14ac:dyDescent="0.3">
      <c r="A94" s="10" t="str">
        <f ca="1">Language!A1216</f>
        <v>Себестоимость:</v>
      </c>
      <c r="C94" s="48" t="str">
        <f ca="1">Параметры!$C$64</f>
        <v>руб.</v>
      </c>
      <c r="E94" s="6" t="s">
        <v>959</v>
      </c>
      <c r="F94" s="6" t="s">
        <v>740</v>
      </c>
      <c r="G94" s="55">
        <f ca="1">SUM(G95:G97)</f>
        <v>0</v>
      </c>
      <c r="H94" s="55">
        <f t="shared" ref="H94:L94" ca="1" si="139">SUM(H95:H97)</f>
        <v>0</v>
      </c>
      <c r="I94" s="55">
        <f t="shared" ca="1" si="139"/>
        <v>0</v>
      </c>
      <c r="J94" s="55">
        <f t="shared" ca="1" si="139"/>
        <v>0</v>
      </c>
      <c r="K94" s="55">
        <f t="shared" ca="1" si="139"/>
        <v>0</v>
      </c>
      <c r="L94" s="55">
        <f t="shared" ca="1" si="139"/>
        <v>0</v>
      </c>
      <c r="M94" s="55">
        <f t="shared" ref="M94:N94" ca="1" si="140">SUM(M95:M97)</f>
        <v>-3054710.7198472982</v>
      </c>
      <c r="N94" s="55">
        <f t="shared" ca="1" si="140"/>
        <v>-3623736.8322780691</v>
      </c>
      <c r="O94" s="55">
        <f t="shared" ref="O94:P94" ca="1" si="141">SUM(O95:O97)</f>
        <v>-4202064.8793760845</v>
      </c>
      <c r="P94" s="55">
        <f t="shared" ca="1" si="141"/>
        <v>-4800265.3747258447</v>
      </c>
      <c r="Q94" s="55">
        <f t="shared" ref="Q94:R94" ca="1" si="142">SUM(Q95:Q97)</f>
        <v>-4835276.2771558473</v>
      </c>
      <c r="R94" s="55">
        <f t="shared" ca="1" si="142"/>
        <v>-4912765.8572482383</v>
      </c>
      <c r="S94" s="55">
        <f t="shared" ref="S94:T94" ca="1" si="143">SUM(S95:S97)</f>
        <v>-6070914.6800000034</v>
      </c>
      <c r="T94" s="55">
        <f t="shared" ca="1" si="143"/>
        <v>-5550540.5410148501</v>
      </c>
      <c r="U94" s="55">
        <f t="shared" ref="U94:V94" ca="1" si="144">SUM(U95:U97)</f>
        <v>-4999592.4263827503</v>
      </c>
      <c r="V94" s="55">
        <f t="shared" ca="1" si="144"/>
        <v>-5025397.4434080143</v>
      </c>
      <c r="W94" s="55">
        <f t="shared" ref="W94:X94" ca="1" si="145">SUM(W95:W97)</f>
        <v>-4465633.9714423269</v>
      </c>
      <c r="X94" s="55">
        <f t="shared" ca="1" si="145"/>
        <v>-6237245.3549203388</v>
      </c>
      <c r="Y94" s="55">
        <f t="shared" ref="Y94:Z94" ca="1" si="146">SUM(Y95:Y97)</f>
        <v>-7442972.1483423188</v>
      </c>
      <c r="Z94" s="55">
        <f t="shared" ca="1" si="146"/>
        <v>-7500382.8892637314</v>
      </c>
      <c r="AA94" s="55">
        <f t="shared" ref="AA94:AB94" ca="1" si="147">SUM(AA95:AA97)</f>
        <v>-5779620.7220050227</v>
      </c>
      <c r="AB94" s="55">
        <f t="shared" ca="1" si="147"/>
        <v>-4634389.7036375087</v>
      </c>
      <c r="AC94" s="55">
        <f t="shared" ref="AC94:AD94" ca="1" si="148">SUM(AC95:AC97)</f>
        <v>-4667851.7760888059</v>
      </c>
      <c r="AD94" s="55">
        <f t="shared" ca="1" si="148"/>
        <v>-5361924.353947103</v>
      </c>
      <c r="AE94" s="55">
        <f t="shared" ref="AE94:AF94" ca="1" si="149">SUM(AE95:AE97)</f>
        <v>-6643035.2012480069</v>
      </c>
      <c r="AF94" s="55">
        <f t="shared" ca="1" si="149"/>
        <v>-6067230.3621195434</v>
      </c>
      <c r="AG94" s="55">
        <f t="shared" ref="AG94:AH94" ca="1" si="150">SUM(AG95:AG97)</f>
        <v>-5458524.8262220575</v>
      </c>
      <c r="AH94" s="55">
        <f t="shared" ca="1" si="150"/>
        <v>-5487429.3714928981</v>
      </c>
      <c r="AI94" s="55">
        <f t="shared" ref="AI94:AJ94" ca="1" si="151">SUM(AI95:AI97)</f>
        <v>-4868634.0487385886</v>
      </c>
      <c r="AJ94" s="55">
        <f t="shared" ca="1" si="151"/>
        <v>-6829688.2068553027</v>
      </c>
      <c r="AK94" s="55">
        <f t="shared" ref="AK94:AL94" ca="1" si="152">SUM(AK95:AK97)</f>
        <v>-8164972.4508364648</v>
      </c>
      <c r="AL94" s="55">
        <f t="shared" ca="1" si="152"/>
        <v>-8228515.6225658879</v>
      </c>
      <c r="AM94" s="55">
        <f t="shared" ref="AM94:AN94" ca="1" si="153">SUM(AM95:AM97)</f>
        <v>-6322974.6084223343</v>
      </c>
      <c r="AN94" s="55">
        <f t="shared" ca="1" si="153"/>
        <v>-5054235.2244967809</v>
      </c>
      <c r="AO94" s="55">
        <f t="shared" ref="AO94:AP94" ca="1" si="154">SUM(AO95:AO97)</f>
        <v>-5091088.6440044399</v>
      </c>
      <c r="AP94" s="55">
        <f t="shared" ca="1" si="154"/>
        <v>-5857115.2790425252</v>
      </c>
      <c r="AQ94" s="55">
        <f t="shared" ref="AQ94:AR94" ca="1" si="155">SUM(AQ95:AQ97)</f>
        <v>-7275175.1469302634</v>
      </c>
      <c r="AR94" s="55">
        <f t="shared" ca="1" si="155"/>
        <v>-6637621.6257268935</v>
      </c>
      <c r="AS94" s="55">
        <f t="shared" ref="AS94:AT94" ca="1" si="156">SUM(AS95:AS97)</f>
        <v>-5964640.2372378074</v>
      </c>
      <c r="AT94" s="55">
        <f t="shared" ca="1" si="156"/>
        <v>-5997022.0141338501</v>
      </c>
      <c r="AU94" s="55">
        <f t="shared" ref="AU94:AV94" ca="1" si="157">SUM(AU95:AU97)</f>
        <v>-5312507.7986942278</v>
      </c>
      <c r="AV94" s="55">
        <f t="shared" ca="1" si="157"/>
        <v>-7484648.1548534371</v>
      </c>
      <c r="AW94" s="55">
        <f t="shared" ref="AW94:AX94" ca="1" si="158">SUM(AW95:AW97)</f>
        <v>-8964334.9274164252</v>
      </c>
      <c r="AX94" s="55">
        <f t="shared" ca="1" si="158"/>
        <v>-9034710.6861955374</v>
      </c>
      <c r="AY94" s="55">
        <f t="shared" ref="AY94:AZ94" ca="1" si="159">SUM(AY95:AY97)</f>
        <v>-6923226.6011114735</v>
      </c>
      <c r="AZ94" s="55">
        <f t="shared" ca="1" si="159"/>
        <v>-5516795.7489436399</v>
      </c>
      <c r="BA94" s="55">
        <f t="shared" ref="BA94:BB94" ca="1" si="160">SUM(BA95:BA97)</f>
        <v>-5557415.0120979082</v>
      </c>
      <c r="BB94" s="55">
        <f t="shared" ca="1" si="160"/>
        <v>-6403459.226976594</v>
      </c>
      <c r="BC94" s="55"/>
      <c r="BD94" s="57">
        <f t="shared" ca="1" si="138"/>
        <v>-248310286.977447</v>
      </c>
    </row>
    <row r="95" spans="1:58" x14ac:dyDescent="0.3">
      <c r="A95" s="35" t="str">
        <f ca="1">Language!A1217</f>
        <v>сырье и материалы</v>
      </c>
      <c r="C95" s="48" t="str">
        <f ca="1">Параметры!$C$64</f>
        <v>руб.</v>
      </c>
      <c r="E95" s="6" t="s">
        <v>960</v>
      </c>
      <c r="F95" s="6" t="s">
        <v>740</v>
      </c>
      <c r="G95" s="55">
        <f ca="1">-Проект!G268/Параметры!G$64</f>
        <v>0</v>
      </c>
      <c r="H95" s="55">
        <f ca="1">-Проект!H268/Параметры!H$64</f>
        <v>0</v>
      </c>
      <c r="I95" s="55">
        <f ca="1">-Проект!I268/Параметры!I$64</f>
        <v>0</v>
      </c>
      <c r="J95" s="55">
        <f ca="1">-Проект!J268/Параметры!J$64</f>
        <v>0</v>
      </c>
      <c r="K95" s="55">
        <f ca="1">-Проект!K268/Параметры!K$64</f>
        <v>0</v>
      </c>
      <c r="L95" s="55">
        <f ca="1">-Проект!L268/Параметры!L$64</f>
        <v>0</v>
      </c>
      <c r="M95" s="55">
        <f ca="1">-Проект!M268/Параметры!M$64</f>
        <v>-1215603.2220906387</v>
      </c>
      <c r="N95" s="55">
        <f ca="1">-Проект!N268/Параметры!N$64</f>
        <v>-1633720.7457852126</v>
      </c>
      <c r="O95" s="55">
        <f ca="1">-Проект!O268/Параметры!O$64</f>
        <v>-2058436.4067286849</v>
      </c>
      <c r="P95" s="55">
        <f ca="1">-Проект!P268/Параметры!P$64</f>
        <v>-2489835.687735145</v>
      </c>
      <c r="Q95" s="55">
        <f ca="1">-Проект!Q268/Параметры!Q$64</f>
        <v>-2509718.6675055646</v>
      </c>
      <c r="R95" s="55">
        <f ca="1">-Проект!R268/Параметры!R$64</f>
        <v>-2529774.1918516522</v>
      </c>
      <c r="S95" s="55">
        <f ca="1">-Проект!S268/Параметры!S$64</f>
        <v>-3400005.120000002</v>
      </c>
      <c r="T95" s="55">
        <f ca="1">-Проект!T268/Параметры!T$64</f>
        <v>-2998810.7404259713</v>
      </c>
      <c r="U95" s="55">
        <f ca="1">-Проект!U268/Параметры!U$64</f>
        <v>-2590991.8992638001</v>
      </c>
      <c r="V95" s="55">
        <f ca="1">-Проект!V268/Параметры!V$64</f>
        <v>-2611753.5439166124</v>
      </c>
      <c r="W95" s="55">
        <f ca="1">-Проект!W268/Параметры!W$64</f>
        <v>-2193913.1497803926</v>
      </c>
      <c r="X95" s="55">
        <f ca="1">-Проект!X268/Параметры!X$64</f>
        <v>-3538427.0158724748</v>
      </c>
      <c r="Y95" s="55">
        <f ca="1">-Проект!Y268/Параметры!Y$64</f>
        <v>-4458547.768720258</v>
      </c>
      <c r="Z95" s="55">
        <f ca="1">-Проект!Z268/Параметры!Z$64</f>
        <v>-4494371.1071877787</v>
      </c>
      <c r="AA95" s="55">
        <f ca="1">-Проект!AA268/Параметры!AA$64</f>
        <v>-3171354.6359495609</v>
      </c>
      <c r="AB95" s="55">
        <f ca="1">-Проект!AB268/Параметры!AB$64</f>
        <v>-2283478.5899314545</v>
      </c>
      <c r="AC95" s="55">
        <f ca="1">-Проект!AC268/Параметры!AC$64</f>
        <v>-2301862.8349190485</v>
      </c>
      <c r="AD95" s="55">
        <f ca="1">-Проект!AD268/Параметры!AD$64</f>
        <v>-2784489.0068720644</v>
      </c>
      <c r="AE95" s="55">
        <f ca="1">-Проект!AE268/Параметры!AE$64</f>
        <v>-3742582.520832004</v>
      </c>
      <c r="AF95" s="55">
        <f ca="1">-Проект!AF268/Параметры!AF$64</f>
        <v>-3301177.6439473974</v>
      </c>
      <c r="AG95" s="55">
        <f ca="1">-Проект!AG268/Параметры!AG$64</f>
        <v>-2852422.6493905229</v>
      </c>
      <c r="AH95" s="55">
        <f ca="1">-Проект!AH268/Параметры!AH$64</f>
        <v>-2875464.1442052107</v>
      </c>
      <c r="AI95" s="55">
        <f ca="1">-Проект!AI268/Параметры!AI$64</f>
        <v>-2415589.2981070308</v>
      </c>
      <c r="AJ95" s="55">
        <f ca="1">-Проект!AJ268/Параметры!AJ$64</f>
        <v>-3896204.7239179853</v>
      </c>
      <c r="AK95" s="55">
        <f ca="1">-Проект!AK268/Параметры!AK$64</f>
        <v>-4909675.2839058777</v>
      </c>
      <c r="AL95" s="55">
        <f ca="1">-Проект!AL268/Параметры!AL$64</f>
        <v>-4949439.8802499343</v>
      </c>
      <c r="AM95" s="55">
        <f ca="1">-Проект!AM268/Параметры!AM$64</f>
        <v>-3492687.0095045413</v>
      </c>
      <c r="AN95" s="55">
        <f ca="1">-Проект!AN268/Параметры!AN$64</f>
        <v>-2515008.7310880227</v>
      </c>
      <c r="AO95" s="55">
        <f ca="1">-Проект!AO268/Параметры!AO$64</f>
        <v>-2535418.4459143947</v>
      </c>
      <c r="AP95" s="55">
        <f ca="1">-Проект!AP268/Параметры!AP$64</f>
        <v>-3067208.6565234521</v>
      </c>
      <c r="AQ95" s="55">
        <f ca="1">-Проект!AQ268/Параметры!AQ$64</f>
        <v>-4122842.6944868416</v>
      </c>
      <c r="AR95" s="55">
        <f ca="1">-Проект!AR268/Параметры!AR$64</f>
        <v>-3636819.9305043598</v>
      </c>
      <c r="AS95" s="55">
        <f ca="1">-Проект!AS268/Параметры!AS$64</f>
        <v>-3142637.289315572</v>
      </c>
      <c r="AT95" s="55">
        <f ca="1">-Проект!AT268/Параметры!AT$64</f>
        <v>-3168223.246425109</v>
      </c>
      <c r="AU95" s="55">
        <f ca="1">-Проект!AU268/Параметры!AU$64</f>
        <v>-2661695.1273476682</v>
      </c>
      <c r="AV95" s="55">
        <f ca="1">-Проект!AV268/Параметры!AV$64</f>
        <v>-4293429.4444109425</v>
      </c>
      <c r="AW95" s="55">
        <f ca="1">-Проект!AW268/Параметры!AW$64</f>
        <v>-5410565.2206267454</v>
      </c>
      <c r="AX95" s="55">
        <f ca="1">-Проект!AX268/Параметры!AX$64</f>
        <v>-5454729.0239153951</v>
      </c>
      <c r="AY95" s="55">
        <f ca="1">-Проект!AY268/Параметры!AY$64</f>
        <v>-3849497.2408640133</v>
      </c>
      <c r="AZ95" s="55">
        <f ca="1">-Проект!AZ268/Параметры!AZ$64</f>
        <v>-2772113.5289380057</v>
      </c>
      <c r="BA95" s="55">
        <f ca="1">-Проект!BA268/Параметры!BA$64</f>
        <v>-2794784.2523047263</v>
      </c>
      <c r="BB95" s="55">
        <f ca="1">-Проект!BB268/Параметры!BB$64</f>
        <v>-3381185.863375871</v>
      </c>
      <c r="BC95" s="55"/>
      <c r="BD95" s="57">
        <f t="shared" ca="1" si="138"/>
        <v>-134506496.18463793</v>
      </c>
    </row>
    <row r="96" spans="1:58" x14ac:dyDescent="0.3">
      <c r="A96" s="35" t="str">
        <f ca="1">Language!A1218</f>
        <v>производственный персонал</v>
      </c>
      <c r="C96" s="48" t="str">
        <f ca="1">Параметры!$C$64</f>
        <v>руб.</v>
      </c>
      <c r="E96" s="6" t="s">
        <v>961</v>
      </c>
      <c r="F96" s="6" t="s">
        <v>740</v>
      </c>
      <c r="G96" s="55">
        <f t="shared" ref="G96:BB96" ca="1" si="161">-G34</f>
        <v>0</v>
      </c>
      <c r="H96" s="55">
        <f t="shared" ca="1" si="161"/>
        <v>0</v>
      </c>
      <c r="I96" s="55">
        <f t="shared" ca="1" si="161"/>
        <v>0</v>
      </c>
      <c r="J96" s="55">
        <f t="shared" ca="1" si="161"/>
        <v>0</v>
      </c>
      <c r="K96" s="55">
        <f t="shared" ca="1" si="161"/>
        <v>0</v>
      </c>
      <c r="L96" s="55">
        <f t="shared" ca="1" si="161"/>
        <v>0</v>
      </c>
      <c r="M96" s="55">
        <f t="shared" ca="1" si="161"/>
        <v>-1004802.0236096265</v>
      </c>
      <c r="N96" s="55">
        <f t="shared" ca="1" si="161"/>
        <v>-1009692.9482677054</v>
      </c>
      <c r="O96" s="55">
        <f t="shared" ca="1" si="161"/>
        <v>-1014607.6797488686</v>
      </c>
      <c r="P96" s="55">
        <f t="shared" ca="1" si="161"/>
        <v>-1019546.3339340318</v>
      </c>
      <c r="Q96" s="55">
        <f t="shared" ca="1" si="161"/>
        <v>-1024509.0272681658</v>
      </c>
      <c r="R96" s="55">
        <f t="shared" ca="1" si="161"/>
        <v>-1029495.8767630439</v>
      </c>
      <c r="S96" s="55">
        <f t="shared" ca="1" si="161"/>
        <v>-1034507.0000000003</v>
      </c>
      <c r="T96" s="55">
        <f t="shared" ca="1" si="161"/>
        <v>-1039542.5151327016</v>
      </c>
      <c r="U96" s="55">
        <f t="shared" ca="1" si="161"/>
        <v>-1044602.5408899341</v>
      </c>
      <c r="V96" s="55">
        <f t="shared" ca="1" si="161"/>
        <v>-1049687.1965784016</v>
      </c>
      <c r="W96" s="55">
        <f t="shared" ca="1" si="161"/>
        <v>-1054796.6020855401</v>
      </c>
      <c r="X96" s="55">
        <f t="shared" ca="1" si="161"/>
        <v>-1059930.8778823437</v>
      </c>
      <c r="Y96" s="55">
        <f t="shared" ca="1" si="161"/>
        <v>-1065090.1450262042</v>
      </c>
      <c r="Z96" s="55">
        <f t="shared" ca="1" si="161"/>
        <v>-1070274.5251637679</v>
      </c>
      <c r="AA96" s="55">
        <f t="shared" ca="1" si="161"/>
        <v>-1075484.1405338012</v>
      </c>
      <c r="AB96" s="55">
        <f t="shared" ca="1" si="161"/>
        <v>-1080719.1139700741</v>
      </c>
      <c r="AC96" s="55">
        <f t="shared" ca="1" si="161"/>
        <v>-1085979.568904256</v>
      </c>
      <c r="AD96" s="55">
        <f t="shared" ca="1" si="161"/>
        <v>-1091265.6293688267</v>
      </c>
      <c r="AE96" s="55">
        <f t="shared" ca="1" si="161"/>
        <v>-1096577.4200000006</v>
      </c>
      <c r="AF96" s="55">
        <f t="shared" ca="1" si="161"/>
        <v>-1101915.066040664</v>
      </c>
      <c r="AG96" s="55">
        <f t="shared" ca="1" si="161"/>
        <v>-1107278.6933433302</v>
      </c>
      <c r="AH96" s="55">
        <f t="shared" ca="1" si="161"/>
        <v>-1112668.4283731061</v>
      </c>
      <c r="AI96" s="55">
        <f t="shared" ca="1" si="161"/>
        <v>-1118084.3982106727</v>
      </c>
      <c r="AJ96" s="55">
        <f t="shared" ca="1" si="161"/>
        <v>-1123526.7305552843</v>
      </c>
      <c r="AK96" s="55">
        <f t="shared" ca="1" si="161"/>
        <v>-1128995.5537277767</v>
      </c>
      <c r="AL96" s="55">
        <f t="shared" ca="1" si="161"/>
        <v>-1134490.9966735942</v>
      </c>
      <c r="AM96" s="55">
        <f t="shared" ca="1" si="161"/>
        <v>-1140013.1889658293</v>
      </c>
      <c r="AN96" s="55">
        <f t="shared" ca="1" si="161"/>
        <v>-1145562.2608082783</v>
      </c>
      <c r="AO96" s="55">
        <f t="shared" ca="1" si="161"/>
        <v>-1151138.3430385115</v>
      </c>
      <c r="AP96" s="55">
        <f t="shared" ca="1" si="161"/>
        <v>-1156741.5671309568</v>
      </c>
      <c r="AQ96" s="55">
        <f t="shared" ca="1" si="161"/>
        <v>-1162372.0652000005</v>
      </c>
      <c r="AR96" s="55">
        <f t="shared" ca="1" si="161"/>
        <v>-1168029.9700031038</v>
      </c>
      <c r="AS96" s="55">
        <f t="shared" ca="1" si="161"/>
        <v>-1173715.41494393</v>
      </c>
      <c r="AT96" s="55">
        <f t="shared" ca="1" si="161"/>
        <v>-1179428.5340754923</v>
      </c>
      <c r="AU96" s="55">
        <f t="shared" ca="1" si="161"/>
        <v>-1185169.4621033131</v>
      </c>
      <c r="AV96" s="55">
        <f t="shared" ca="1" si="161"/>
        <v>-1190938.3343886014</v>
      </c>
      <c r="AW96" s="55">
        <f t="shared" ca="1" si="161"/>
        <v>-1196735.2869514432</v>
      </c>
      <c r="AX96" s="55">
        <f t="shared" ca="1" si="161"/>
        <v>-1202560.4564740099</v>
      </c>
      <c r="AY96" s="55">
        <f t="shared" ca="1" si="161"/>
        <v>-1208413.9803037792</v>
      </c>
      <c r="AZ96" s="55">
        <f t="shared" ca="1" si="161"/>
        <v>-1214295.9964567753</v>
      </c>
      <c r="BA96" s="55">
        <f t="shared" ca="1" si="161"/>
        <v>-1220206.6436208226</v>
      </c>
      <c r="BB96" s="55">
        <f t="shared" ca="1" si="161"/>
        <v>-1226146.061158814</v>
      </c>
      <c r="BC96" s="55"/>
      <c r="BD96" s="57">
        <f t="shared" ca="1" si="138"/>
        <v>-46699538.597675391</v>
      </c>
    </row>
    <row r="97" spans="1:56" x14ac:dyDescent="0.3">
      <c r="A97" s="35" t="str">
        <f ca="1">Language!A1219</f>
        <v>производственные расходы</v>
      </c>
      <c r="C97" s="48" t="str">
        <f ca="1">Параметры!$C$64</f>
        <v>руб.</v>
      </c>
      <c r="E97" s="6" t="s">
        <v>962</v>
      </c>
      <c r="F97" s="6" t="s">
        <v>740</v>
      </c>
      <c r="G97" s="55">
        <f t="shared" ref="G97:BB97" ca="1" si="162">-G50</f>
        <v>0</v>
      </c>
      <c r="H97" s="55">
        <f t="shared" ca="1" si="162"/>
        <v>0</v>
      </c>
      <c r="I97" s="55">
        <f t="shared" ca="1" si="162"/>
        <v>0</v>
      </c>
      <c r="J97" s="55">
        <f t="shared" ca="1" si="162"/>
        <v>0</v>
      </c>
      <c r="K97" s="55">
        <f t="shared" ca="1" si="162"/>
        <v>0</v>
      </c>
      <c r="L97" s="55">
        <f t="shared" ca="1" si="162"/>
        <v>0</v>
      </c>
      <c r="M97" s="55">
        <f t="shared" ca="1" si="162"/>
        <v>-834305.47414703318</v>
      </c>
      <c r="N97" s="55">
        <f t="shared" ca="1" si="162"/>
        <v>-980323.13822515146</v>
      </c>
      <c r="O97" s="55">
        <f t="shared" ca="1" si="162"/>
        <v>-1129020.7928985313</v>
      </c>
      <c r="P97" s="55">
        <f t="shared" ca="1" si="162"/>
        <v>-1290883.3530566678</v>
      </c>
      <c r="Q97" s="55">
        <f t="shared" ca="1" si="162"/>
        <v>-1301048.5823821172</v>
      </c>
      <c r="R97" s="55">
        <f t="shared" ca="1" si="162"/>
        <v>-1353495.7886335424</v>
      </c>
      <c r="S97" s="55">
        <f t="shared" ca="1" si="162"/>
        <v>-1636402.560000001</v>
      </c>
      <c r="T97" s="55">
        <f t="shared" ca="1" si="162"/>
        <v>-1512187.2854561771</v>
      </c>
      <c r="U97" s="55">
        <f t="shared" ca="1" si="162"/>
        <v>-1363997.9862290164</v>
      </c>
      <c r="V97" s="55">
        <f t="shared" ca="1" si="162"/>
        <v>-1363956.7029130005</v>
      </c>
      <c r="W97" s="55">
        <f t="shared" ca="1" si="162"/>
        <v>-1216924.2195763947</v>
      </c>
      <c r="X97" s="55">
        <f t="shared" ca="1" si="162"/>
        <v>-1638887.4611655204</v>
      </c>
      <c r="Y97" s="55">
        <f t="shared" ca="1" si="162"/>
        <v>-1919334.2345958566</v>
      </c>
      <c r="Z97" s="55">
        <f t="shared" ca="1" si="162"/>
        <v>-1935737.2569121846</v>
      </c>
      <c r="AA97" s="55">
        <f t="shared" ca="1" si="162"/>
        <v>-1532781.9455216606</v>
      </c>
      <c r="AB97" s="55">
        <f t="shared" ca="1" si="162"/>
        <v>-1270191.9997359805</v>
      </c>
      <c r="AC97" s="55">
        <f t="shared" ca="1" si="162"/>
        <v>-1280009.3722655019</v>
      </c>
      <c r="AD97" s="55">
        <f t="shared" ca="1" si="162"/>
        <v>-1486169.7177062114</v>
      </c>
      <c r="AE97" s="55">
        <f t="shared" ca="1" si="162"/>
        <v>-1803875.260416002</v>
      </c>
      <c r="AF97" s="55">
        <f t="shared" ca="1" si="162"/>
        <v>-1664137.6521314818</v>
      </c>
      <c r="AG97" s="55">
        <f t="shared" ca="1" si="162"/>
        <v>-1498823.4834882047</v>
      </c>
      <c r="AH97" s="55">
        <f t="shared" ca="1" si="162"/>
        <v>-1499296.7989145813</v>
      </c>
      <c r="AI97" s="55">
        <f t="shared" ca="1" si="162"/>
        <v>-1334960.3524208853</v>
      </c>
      <c r="AJ97" s="55">
        <f t="shared" ca="1" si="162"/>
        <v>-1809956.752382033</v>
      </c>
      <c r="AK97" s="55">
        <f t="shared" ca="1" si="162"/>
        <v>-2126301.6132028098</v>
      </c>
      <c r="AL97" s="55">
        <f t="shared" ca="1" si="162"/>
        <v>-2144584.7456423594</v>
      </c>
      <c r="AM97" s="55">
        <f t="shared" ca="1" si="162"/>
        <v>-1690274.4099519635</v>
      </c>
      <c r="AN97" s="55">
        <f t="shared" ca="1" si="162"/>
        <v>-1393664.2326004801</v>
      </c>
      <c r="AO97" s="55">
        <f t="shared" ca="1" si="162"/>
        <v>-1404531.8550515333</v>
      </c>
      <c r="AP97" s="55">
        <f t="shared" ca="1" si="162"/>
        <v>-1633165.055388116</v>
      </c>
      <c r="AQ97" s="55">
        <f t="shared" ca="1" si="162"/>
        <v>-1989960.3872434208</v>
      </c>
      <c r="AR97" s="55">
        <f t="shared" ca="1" si="162"/>
        <v>-1832771.7252194299</v>
      </c>
      <c r="AS97" s="55">
        <f t="shared" ca="1" si="162"/>
        <v>-1648287.5329783061</v>
      </c>
      <c r="AT97" s="55">
        <f t="shared" ca="1" si="162"/>
        <v>-1649370.2336332488</v>
      </c>
      <c r="AU97" s="55">
        <f t="shared" ca="1" si="162"/>
        <v>-1465643.2092432461</v>
      </c>
      <c r="AV97" s="55">
        <f t="shared" ca="1" si="162"/>
        <v>-2000280.3760538935</v>
      </c>
      <c r="AW97" s="55">
        <f t="shared" ca="1" si="162"/>
        <v>-2357034.4198382357</v>
      </c>
      <c r="AX97" s="55">
        <f t="shared" ca="1" si="162"/>
        <v>-2377421.2058061329</v>
      </c>
      <c r="AY97" s="55">
        <f t="shared" ca="1" si="162"/>
        <v>-1865315.3799436812</v>
      </c>
      <c r="AZ97" s="55">
        <f t="shared" ca="1" si="162"/>
        <v>-1530386.2235488591</v>
      </c>
      <c r="BA97" s="55">
        <f t="shared" ca="1" si="162"/>
        <v>-1542424.1161723596</v>
      </c>
      <c r="BB97" s="55">
        <f t="shared" ca="1" si="162"/>
        <v>-1796127.3024419092</v>
      </c>
      <c r="BC97" s="55"/>
      <c r="BD97" s="57">
        <f t="shared" ca="1" si="138"/>
        <v>-67104252.195133716</v>
      </c>
    </row>
    <row r="98" spans="1:56" x14ac:dyDescent="0.3">
      <c r="A98" s="43" t="str">
        <f ca="1">Language!A1221</f>
        <v>Валовая прибыль</v>
      </c>
      <c r="B98" s="80"/>
      <c r="C98" s="45" t="str">
        <f ca="1">Параметры!$C$64</f>
        <v>руб.</v>
      </c>
      <c r="D98" s="46"/>
      <c r="E98" s="46" t="s">
        <v>1535</v>
      </c>
      <c r="F98" s="46" t="s">
        <v>740</v>
      </c>
      <c r="G98" s="81">
        <f t="shared" ref="G98" ca="1" si="163">SUM(G93:G94)</f>
        <v>0</v>
      </c>
      <c r="H98" s="81">
        <f t="shared" ref="H98:L98" ca="1" si="164">SUM(H93:H94)</f>
        <v>0</v>
      </c>
      <c r="I98" s="81">
        <f t="shared" ca="1" si="164"/>
        <v>0</v>
      </c>
      <c r="J98" s="81">
        <f t="shared" ca="1" si="164"/>
        <v>0</v>
      </c>
      <c r="K98" s="81">
        <f t="shared" ca="1" si="164"/>
        <v>0</v>
      </c>
      <c r="L98" s="81">
        <f t="shared" ca="1" si="164"/>
        <v>0</v>
      </c>
      <c r="M98" s="81">
        <f t="shared" ref="M98:N98" ca="1" si="165">SUM(M93:M94)</f>
        <v>4432271.51867845</v>
      </c>
      <c r="N98" s="81">
        <f t="shared" ca="1" si="165"/>
        <v>6407497.1719267275</v>
      </c>
      <c r="O98" s="81">
        <f t="shared" ref="O98:P98" ca="1" si="166">SUM(O93:O94)</f>
        <v>8398012.0493152328</v>
      </c>
      <c r="P98" s="81">
        <f t="shared" ca="1" si="166"/>
        <v>10393424.753596876</v>
      </c>
      <c r="Q98" s="81">
        <f t="shared" ref="Q98:R98" ca="1" si="167">SUM(Q93:Q94)</f>
        <v>10432369.90614064</v>
      </c>
      <c r="R98" s="81">
        <f t="shared" ca="1" si="167"/>
        <v>10429196.36585921</v>
      </c>
      <c r="S98" s="81">
        <f t="shared" ref="S98:T98" ca="1" si="168">SUM(S93:S94)</f>
        <v>14484605.320000008</v>
      </c>
      <c r="T98" s="81">
        <f t="shared" ca="1" si="168"/>
        <v>12523087.612857468</v>
      </c>
      <c r="U98" s="81">
        <f t="shared" ref="U98:V98" ca="1" si="169">SUM(U93:U94)</f>
        <v>10567495.390311962</v>
      </c>
      <c r="V98" s="81">
        <f t="shared" ca="1" si="169"/>
        <v>10617463.960389594</v>
      </c>
      <c r="W98" s="81">
        <f t="shared" ref="W98:X98" ca="1" si="170">SUM(W93:W94)</f>
        <v>8633535.8807803784</v>
      </c>
      <c r="X98" s="81">
        <f t="shared" ca="1" si="170"/>
        <v>14823443.803227529</v>
      </c>
      <c r="Y98" s="81">
        <f t="shared" ref="Y98:Z98" ca="1" si="171">SUM(Y93:Y94)</f>
        <v>19011031.761115335</v>
      </c>
      <c r="Z98" s="81">
        <f t="shared" ca="1" si="171"/>
        <v>19082387.221878994</v>
      </c>
      <c r="AA98" s="81">
        <f t="shared" ref="AA98:AB98" ca="1" si="172">SUM(AA93:AA94)</f>
        <v>12918893.440172901</v>
      </c>
      <c r="AB98" s="81">
        <f t="shared" ca="1" si="172"/>
        <v>8786703.2430475652</v>
      </c>
      <c r="AC98" s="81">
        <f t="shared" ref="AC98:AD98" ca="1" si="173">SUM(AC93:AC94)</f>
        <v>8818569.0191564281</v>
      </c>
      <c r="AD98" s="81">
        <f t="shared" ca="1" si="173"/>
        <v>10900555.602546796</v>
      </c>
      <c r="AE98" s="81">
        <f t="shared" ref="AE98:AF98" ca="1" si="174">SUM(AE93:AE94)</f>
        <v>15145815.998752011</v>
      </c>
      <c r="AF98" s="81">
        <f t="shared" ca="1" si="174"/>
        <v>13090815.480985109</v>
      </c>
      <c r="AG98" s="81">
        <f t="shared" ref="AG98:AH98" ca="1" si="175">SUM(AG93:AG94)</f>
        <v>11042588.259474337</v>
      </c>
      <c r="AH98" s="81">
        <f t="shared" ca="1" si="175"/>
        <v>11094003.716532569</v>
      </c>
      <c r="AI98" s="81">
        <f t="shared" ref="AI98:AJ98" ca="1" si="176">SUM(AI93:AI94)</f>
        <v>9016485.9946174808</v>
      </c>
      <c r="AJ98" s="81">
        <f t="shared" ca="1" si="176"/>
        <v>15494642.300781438</v>
      </c>
      <c r="AK98" s="81">
        <f t="shared" ref="AK98:AL98" ca="1" si="177">SUM(AK93:AK94)</f>
        <v>19876271.693188656</v>
      </c>
      <c r="AL98" s="81">
        <f t="shared" ca="1" si="177"/>
        <v>19949220.695245404</v>
      </c>
      <c r="AM98" s="81">
        <f t="shared" ref="AM98:AN98" ca="1" si="178">SUM(AM93:AM94)</f>
        <v>13497450.403486263</v>
      </c>
      <c r="AN98" s="81">
        <f t="shared" ca="1" si="178"/>
        <v>9172123.2989894003</v>
      </c>
      <c r="AO98" s="81">
        <f t="shared" ref="AO98:AP98" ca="1" si="179">SUM(AO93:AO94)</f>
        <v>9204517.3989555109</v>
      </c>
      <c r="AP98" s="81">
        <f t="shared" ca="1" si="179"/>
        <v>11381113.474841012</v>
      </c>
      <c r="AQ98" s="81">
        <f t="shared" ref="AQ98:AR98" ca="1" si="180">SUM(AQ93:AQ94)</f>
        <v>15821007.125069764</v>
      </c>
      <c r="AR98" s="81">
        <f t="shared" ca="1" si="180"/>
        <v>13669906.967964049</v>
      </c>
      <c r="AS98" s="81">
        <f t="shared" ref="AS98:AT98" ca="1" si="181">SUM(AS93:AS94)</f>
        <v>11526539.633600377</v>
      </c>
      <c r="AT98" s="81">
        <f t="shared" ca="1" si="181"/>
        <v>11579297.05917315</v>
      </c>
      <c r="AU98" s="81">
        <f t="shared" ref="AU98:AV98" ca="1" si="182">SUM(AU93:AU94)</f>
        <v>9405719.4472632147</v>
      </c>
      <c r="AV98" s="81">
        <f t="shared" ca="1" si="182"/>
        <v>16179142.183241524</v>
      </c>
      <c r="AW98" s="81">
        <f t="shared" ref="AW98:AX98" ca="1" si="183">SUM(AW93:AW94)</f>
        <v>20759383.865250211</v>
      </c>
      <c r="AX98" s="81">
        <f t="shared" ca="1" si="183"/>
        <v>20833689.810684446</v>
      </c>
      <c r="AY98" s="81">
        <f t="shared" ref="AY98:AZ98" ca="1" si="184">SUM(AY93:AY94)</f>
        <v>14086423.911511647</v>
      </c>
      <c r="AZ98" s="81">
        <f t="shared" ca="1" si="184"/>
        <v>9563144.2859517187</v>
      </c>
      <c r="BA98" s="81">
        <f t="shared" ref="BA98:BB98" ca="1" si="185">SUM(BA93:BA94)</f>
        <v>9595927.3934396449</v>
      </c>
      <c r="BB98" s="81">
        <f t="shared" ca="1" si="185"/>
        <v>11869063.252139961</v>
      </c>
      <c r="BC98" s="81"/>
      <c r="BD98" s="82">
        <f t="shared" ca="1" si="138"/>
        <v>524514837.67214108</v>
      </c>
    </row>
    <row r="99" spans="1:56" x14ac:dyDescent="0.3">
      <c r="A99" s="10"/>
      <c r="G99" s="55"/>
      <c r="H99" s="55"/>
      <c r="I99" s="55"/>
      <c r="J99" s="55"/>
      <c r="K99" s="55"/>
      <c r="L99" s="55"/>
      <c r="M99" s="55"/>
      <c r="N99" s="55"/>
      <c r="O99" s="55"/>
      <c r="P99" s="55"/>
      <c r="Q99" s="55"/>
      <c r="R99" s="55"/>
      <c r="S99" s="55"/>
      <c r="T99" s="55"/>
      <c r="U99" s="55"/>
      <c r="V99" s="55"/>
      <c r="W99" s="55"/>
      <c r="X99" s="55"/>
      <c r="Y99" s="55"/>
      <c r="Z99" s="55"/>
      <c r="AA99" s="55"/>
      <c r="AB99" s="55"/>
      <c r="AC99" s="55"/>
      <c r="AD99" s="55"/>
      <c r="AE99" s="55"/>
      <c r="AF99" s="55"/>
      <c r="AG99" s="55"/>
      <c r="AH99" s="55"/>
      <c r="AI99" s="55"/>
      <c r="AJ99" s="55"/>
      <c r="AK99" s="55"/>
      <c r="AL99" s="55"/>
      <c r="AM99" s="55"/>
      <c r="AN99" s="55"/>
      <c r="AO99" s="55"/>
      <c r="AP99" s="55"/>
      <c r="AQ99" s="55"/>
      <c r="AR99" s="55"/>
      <c r="AS99" s="55"/>
      <c r="AT99" s="55"/>
      <c r="AU99" s="55"/>
      <c r="AV99" s="55"/>
      <c r="AW99" s="55"/>
      <c r="AX99" s="55"/>
      <c r="AY99" s="55"/>
      <c r="AZ99" s="55"/>
      <c r="BA99" s="55"/>
      <c r="BB99" s="55"/>
      <c r="BC99" s="55"/>
      <c r="BD99" s="57"/>
    </row>
    <row r="100" spans="1:56" x14ac:dyDescent="0.3">
      <c r="A100" s="35" t="str">
        <f ca="1">Language!A1222</f>
        <v>Административный и коммерческий персонал</v>
      </c>
      <c r="C100" s="48" t="str">
        <f ca="1">Параметры!$C$64</f>
        <v>руб.</v>
      </c>
      <c r="E100" s="6" t="s">
        <v>963</v>
      </c>
      <c r="F100" s="6" t="s">
        <v>740</v>
      </c>
      <c r="G100" s="55">
        <f t="shared" ref="G100:BB100" ca="1" si="186">-SUM(G41,G45)</f>
        <v>0</v>
      </c>
      <c r="H100" s="55">
        <f t="shared" ca="1" si="186"/>
        <v>0</v>
      </c>
      <c r="I100" s="55">
        <f t="shared" ca="1" si="186"/>
        <v>0</v>
      </c>
      <c r="J100" s="55">
        <f t="shared" ca="1" si="186"/>
        <v>0</v>
      </c>
      <c r="K100" s="55">
        <f t="shared" ca="1" si="186"/>
        <v>0</v>
      </c>
      <c r="L100" s="55">
        <f t="shared" ca="1" si="186"/>
        <v>0</v>
      </c>
      <c r="M100" s="55">
        <f t="shared" ca="1" si="186"/>
        <v>-310207.33614793833</v>
      </c>
      <c r="N100" s="55">
        <f t="shared" ca="1" si="186"/>
        <v>-311717.28604237875</v>
      </c>
      <c r="O100" s="55">
        <f t="shared" ca="1" si="186"/>
        <v>-313234.58569428162</v>
      </c>
      <c r="P100" s="55">
        <f t="shared" ca="1" si="186"/>
        <v>-314759.27087896276</v>
      </c>
      <c r="Q100" s="55">
        <f t="shared" ca="1" si="186"/>
        <v>-316291.37754587672</v>
      </c>
      <c r="R100" s="55">
        <f t="shared" ca="1" si="186"/>
        <v>-317830.94181946327</v>
      </c>
      <c r="S100" s="55">
        <f t="shared" ca="1" si="186"/>
        <v>-319378.00000000012</v>
      </c>
      <c r="T100" s="55">
        <f t="shared" ca="1" si="186"/>
        <v>-320932.58856445819</v>
      </c>
      <c r="U100" s="55">
        <f t="shared" ca="1" si="186"/>
        <v>-322494.74416736217</v>
      </c>
      <c r="V100" s="55">
        <f t="shared" ca="1" si="186"/>
        <v>-324064.50364165421</v>
      </c>
      <c r="W100" s="55">
        <f t="shared" ca="1" si="186"/>
        <v>-325641.90399956278</v>
      </c>
      <c r="X100" s="55">
        <f t="shared" ca="1" si="186"/>
        <v>-327226.98243347526</v>
      </c>
      <c r="Y100" s="55">
        <f t="shared" ca="1" si="186"/>
        <v>-328819.77631681476</v>
      </c>
      <c r="Z100" s="55">
        <f t="shared" ca="1" si="186"/>
        <v>-330420.32320492162</v>
      </c>
      <c r="AA100" s="55">
        <f t="shared" ca="1" si="186"/>
        <v>-332028.66083593864</v>
      </c>
      <c r="AB100" s="55">
        <f t="shared" ca="1" si="186"/>
        <v>-333644.8271317007</v>
      </c>
      <c r="AC100" s="55">
        <f t="shared" ca="1" si="186"/>
        <v>-335268.86019862938</v>
      </c>
      <c r="AD100" s="55">
        <f t="shared" ca="1" si="186"/>
        <v>-336900.79832863109</v>
      </c>
      <c r="AE100" s="55">
        <f t="shared" ca="1" si="186"/>
        <v>-338540.68000000017</v>
      </c>
      <c r="AF100" s="55">
        <f t="shared" ca="1" si="186"/>
        <v>-340188.54387832579</v>
      </c>
      <c r="AG100" s="55">
        <f t="shared" ca="1" si="186"/>
        <v>-341844.42881740397</v>
      </c>
      <c r="AH100" s="55">
        <f t="shared" ca="1" si="186"/>
        <v>-343508.37386015349</v>
      </c>
      <c r="AI100" s="55">
        <f t="shared" ca="1" si="186"/>
        <v>-345180.41823953658</v>
      </c>
      <c r="AJ100" s="55">
        <f t="shared" ca="1" si="186"/>
        <v>-346860.60137948376</v>
      </c>
      <c r="AK100" s="55">
        <f t="shared" ca="1" si="186"/>
        <v>-348548.9628958237</v>
      </c>
      <c r="AL100" s="55">
        <f t="shared" ca="1" si="186"/>
        <v>-350245.54259721702</v>
      </c>
      <c r="AM100" s="55">
        <f t="shared" ca="1" si="186"/>
        <v>-351950.38048609497</v>
      </c>
      <c r="AN100" s="55">
        <f t="shared" ca="1" si="186"/>
        <v>-353663.51675960276</v>
      </c>
      <c r="AO100" s="55">
        <f t="shared" ca="1" si="186"/>
        <v>-355384.99181054719</v>
      </c>
      <c r="AP100" s="55">
        <f t="shared" ca="1" si="186"/>
        <v>-357114.84622834902</v>
      </c>
      <c r="AQ100" s="55">
        <f t="shared" ca="1" si="186"/>
        <v>-358853.12080000027</v>
      </c>
      <c r="AR100" s="55">
        <f t="shared" ca="1" si="186"/>
        <v>-360599.8565110254</v>
      </c>
      <c r="AS100" s="55">
        <f t="shared" ca="1" si="186"/>
        <v>-362355.09454644826</v>
      </c>
      <c r="AT100" s="55">
        <f t="shared" ca="1" si="186"/>
        <v>-364118.87629176275</v>
      </c>
      <c r="AU100" s="55">
        <f t="shared" ca="1" si="186"/>
        <v>-365891.24333390873</v>
      </c>
      <c r="AV100" s="55">
        <f t="shared" ca="1" si="186"/>
        <v>-367672.23746225284</v>
      </c>
      <c r="AW100" s="55">
        <f t="shared" ca="1" si="186"/>
        <v>-369461.90066957322</v>
      </c>
      <c r="AX100" s="55">
        <f t="shared" ca="1" si="186"/>
        <v>-371260.27515305008</v>
      </c>
      <c r="AY100" s="55">
        <f t="shared" ca="1" si="186"/>
        <v>-373067.40331526077</v>
      </c>
      <c r="AZ100" s="55">
        <f t="shared" ca="1" si="186"/>
        <v>-374883.32776517898</v>
      </c>
      <c r="BA100" s="55">
        <f t="shared" ca="1" si="186"/>
        <v>-376708.09131918004</v>
      </c>
      <c r="BB100" s="55">
        <f t="shared" ca="1" si="186"/>
        <v>-378541.73700205004</v>
      </c>
      <c r="BC100" s="55"/>
      <c r="BD100" s="57">
        <f ca="1">SUM(G100:BC100)</f>
        <v>-14417307.218074279</v>
      </c>
    </row>
    <row r="101" spans="1:56" x14ac:dyDescent="0.3">
      <c r="A101" s="35" t="str">
        <f ca="1">Language!A1223</f>
        <v>Административные расходы</v>
      </c>
      <c r="C101" s="48" t="str">
        <f ca="1">Параметры!$C$64</f>
        <v>руб.</v>
      </c>
      <c r="E101" s="6" t="s">
        <v>964</v>
      </c>
      <c r="F101" s="6" t="s">
        <v>740</v>
      </c>
      <c r="G101" s="55">
        <f t="shared" ref="G101:BB101" si="187">-G58</f>
        <v>0</v>
      </c>
      <c r="H101" s="55">
        <f t="shared" si="187"/>
        <v>0</v>
      </c>
      <c r="I101" s="55">
        <f t="shared" si="187"/>
        <v>0</v>
      </c>
      <c r="J101" s="55">
        <f t="shared" si="187"/>
        <v>0</v>
      </c>
      <c r="K101" s="55">
        <f t="shared" si="187"/>
        <v>0</v>
      </c>
      <c r="L101" s="55">
        <f t="shared" si="187"/>
        <v>0</v>
      </c>
      <c r="M101" s="55">
        <f t="shared" si="187"/>
        <v>0</v>
      </c>
      <c r="N101" s="55">
        <f t="shared" si="187"/>
        <v>0</v>
      </c>
      <c r="O101" s="55">
        <f t="shared" si="187"/>
        <v>0</v>
      </c>
      <c r="P101" s="55">
        <f t="shared" si="187"/>
        <v>0</v>
      </c>
      <c r="Q101" s="55">
        <f t="shared" si="187"/>
        <v>0</v>
      </c>
      <c r="R101" s="55">
        <f t="shared" si="187"/>
        <v>0</v>
      </c>
      <c r="S101" s="55">
        <f t="shared" si="187"/>
        <v>0</v>
      </c>
      <c r="T101" s="55">
        <f t="shared" si="187"/>
        <v>0</v>
      </c>
      <c r="U101" s="55">
        <f t="shared" si="187"/>
        <v>0</v>
      </c>
      <c r="V101" s="55">
        <f t="shared" si="187"/>
        <v>0</v>
      </c>
      <c r="W101" s="55">
        <f t="shared" si="187"/>
        <v>0</v>
      </c>
      <c r="X101" s="55">
        <f t="shared" si="187"/>
        <v>0</v>
      </c>
      <c r="Y101" s="55">
        <f t="shared" si="187"/>
        <v>0</v>
      </c>
      <c r="Z101" s="55">
        <f t="shared" si="187"/>
        <v>0</v>
      </c>
      <c r="AA101" s="55">
        <f t="shared" si="187"/>
        <v>0</v>
      </c>
      <c r="AB101" s="55">
        <f t="shared" si="187"/>
        <v>0</v>
      </c>
      <c r="AC101" s="55">
        <f t="shared" si="187"/>
        <v>0</v>
      </c>
      <c r="AD101" s="55">
        <f t="shared" si="187"/>
        <v>0</v>
      </c>
      <c r="AE101" s="55">
        <f t="shared" si="187"/>
        <v>0</v>
      </c>
      <c r="AF101" s="55">
        <f t="shared" si="187"/>
        <v>0</v>
      </c>
      <c r="AG101" s="55">
        <f t="shared" si="187"/>
        <v>0</v>
      </c>
      <c r="AH101" s="55">
        <f t="shared" si="187"/>
        <v>0</v>
      </c>
      <c r="AI101" s="55">
        <f t="shared" si="187"/>
        <v>0</v>
      </c>
      <c r="AJ101" s="55">
        <f t="shared" si="187"/>
        <v>0</v>
      </c>
      <c r="AK101" s="55">
        <f t="shared" si="187"/>
        <v>0</v>
      </c>
      <c r="AL101" s="55">
        <f t="shared" si="187"/>
        <v>0</v>
      </c>
      <c r="AM101" s="55">
        <f t="shared" si="187"/>
        <v>0</v>
      </c>
      <c r="AN101" s="55">
        <f t="shared" si="187"/>
        <v>0</v>
      </c>
      <c r="AO101" s="55">
        <f t="shared" si="187"/>
        <v>0</v>
      </c>
      <c r="AP101" s="55">
        <f t="shared" si="187"/>
        <v>0</v>
      </c>
      <c r="AQ101" s="55">
        <f t="shared" si="187"/>
        <v>0</v>
      </c>
      <c r="AR101" s="55">
        <f t="shared" si="187"/>
        <v>0</v>
      </c>
      <c r="AS101" s="55">
        <f t="shared" si="187"/>
        <v>0</v>
      </c>
      <c r="AT101" s="55">
        <f t="shared" si="187"/>
        <v>0</v>
      </c>
      <c r="AU101" s="55">
        <f t="shared" si="187"/>
        <v>0</v>
      </c>
      <c r="AV101" s="55">
        <f t="shared" si="187"/>
        <v>0</v>
      </c>
      <c r="AW101" s="55">
        <f t="shared" si="187"/>
        <v>0</v>
      </c>
      <c r="AX101" s="55">
        <f t="shared" si="187"/>
        <v>0</v>
      </c>
      <c r="AY101" s="55">
        <f t="shared" si="187"/>
        <v>0</v>
      </c>
      <c r="AZ101" s="55">
        <f t="shared" si="187"/>
        <v>0</v>
      </c>
      <c r="BA101" s="55">
        <f t="shared" si="187"/>
        <v>0</v>
      </c>
      <c r="BB101" s="55">
        <f t="shared" si="187"/>
        <v>0</v>
      </c>
      <c r="BC101" s="55"/>
      <c r="BD101" s="57">
        <f>SUM(G101:BC101)</f>
        <v>0</v>
      </c>
    </row>
    <row r="102" spans="1:56" x14ac:dyDescent="0.3">
      <c r="A102" s="35" t="str">
        <f ca="1">Language!A1224</f>
        <v>Коммерческие расходы</v>
      </c>
      <c r="C102" s="48" t="str">
        <f ca="1">Параметры!$C$64</f>
        <v>руб.</v>
      </c>
      <c r="E102" s="6" t="s">
        <v>965</v>
      </c>
      <c r="F102" s="6" t="s">
        <v>740</v>
      </c>
      <c r="G102" s="55">
        <f t="shared" ref="G102:BB102" ca="1" si="188">-G60</f>
        <v>0</v>
      </c>
      <c r="H102" s="55">
        <f t="shared" ca="1" si="188"/>
        <v>0</v>
      </c>
      <c r="I102" s="55">
        <f t="shared" ca="1" si="188"/>
        <v>0</v>
      </c>
      <c r="J102" s="55">
        <f t="shared" ca="1" si="188"/>
        <v>0</v>
      </c>
      <c r="K102" s="55">
        <f t="shared" ca="1" si="188"/>
        <v>0</v>
      </c>
      <c r="L102" s="55">
        <f t="shared" ca="1" si="188"/>
        <v>0</v>
      </c>
      <c r="M102" s="55">
        <f t="shared" ca="1" si="188"/>
        <v>-385416.00000000006</v>
      </c>
      <c r="N102" s="55">
        <f t="shared" ca="1" si="188"/>
        <v>-518902.9272231569</v>
      </c>
      <c r="O102" s="55">
        <f t="shared" ca="1" si="188"/>
        <v>-654958.49261113524</v>
      </c>
      <c r="P102" s="55">
        <f t="shared" ca="1" si="188"/>
        <v>-793620.11728372949</v>
      </c>
      <c r="Q102" s="55">
        <f t="shared" ca="1" si="188"/>
        <v>-801364.89266476815</v>
      </c>
      <c r="R102" s="55">
        <f t="shared" ca="1" si="188"/>
        <v>-809185.24771471391</v>
      </c>
      <c r="S102" s="55">
        <f t="shared" ca="1" si="188"/>
        <v>-1089442.560000001</v>
      </c>
      <c r="T102" s="55">
        <f t="shared" ca="1" si="188"/>
        <v>-962564.92999895674</v>
      </c>
      <c r="U102" s="55">
        <f t="shared" ca="1" si="188"/>
        <v>-833107.20260136435</v>
      </c>
      <c r="V102" s="55">
        <f t="shared" ca="1" si="188"/>
        <v>-841237.32432075369</v>
      </c>
      <c r="W102" s="55">
        <f t="shared" ca="1" si="188"/>
        <v>-707872.32185387868</v>
      </c>
      <c r="X102" s="55">
        <f t="shared" ca="1" si="188"/>
        <v>-1143648.4834367959</v>
      </c>
      <c r="Y102" s="55">
        <f t="shared" ca="1" si="188"/>
        <v>-1443511.3920000012</v>
      </c>
      <c r="Z102" s="55">
        <f t="shared" ca="1" si="188"/>
        <v>-1457598.3225698487</v>
      </c>
      <c r="AA102" s="55">
        <f t="shared" ca="1" si="188"/>
        <v>-1030275.9072170208</v>
      </c>
      <c r="AB102" s="55">
        <f t="shared" ca="1" si="188"/>
        <v>-743092.96981666586</v>
      </c>
      <c r="AC102" s="55">
        <f t="shared" ca="1" si="188"/>
        <v>-750344.66116511158</v>
      </c>
      <c r="AD102" s="55">
        <f t="shared" ca="1" si="188"/>
        <v>-909200.54433225305</v>
      </c>
      <c r="AE102" s="55">
        <f t="shared" ca="1" si="188"/>
        <v>-1224097.6604160017</v>
      </c>
      <c r="AF102" s="55">
        <f t="shared" ca="1" si="188"/>
        <v>-1081537.9553468281</v>
      </c>
      <c r="AG102" s="55">
        <f t="shared" ca="1" si="188"/>
        <v>-936079.25284289324</v>
      </c>
      <c r="AH102" s="55">
        <f t="shared" ca="1" si="188"/>
        <v>-945214.25760679948</v>
      </c>
      <c r="AI102" s="55">
        <f t="shared" ca="1" si="188"/>
        <v>-795365.34083501843</v>
      </c>
      <c r="AJ102" s="55">
        <f t="shared" ca="1" si="188"/>
        <v>-1285003.4359895848</v>
      </c>
      <c r="AK102" s="55">
        <f t="shared" ca="1" si="188"/>
        <v>-1621929.4000512029</v>
      </c>
      <c r="AL102" s="55">
        <f t="shared" ca="1" si="188"/>
        <v>-1637757.4752394829</v>
      </c>
      <c r="AM102" s="55">
        <f t="shared" ca="1" si="188"/>
        <v>-1157618.0093490449</v>
      </c>
      <c r="AN102" s="55">
        <f t="shared" ca="1" si="188"/>
        <v>-834939.26088600629</v>
      </c>
      <c r="AO102" s="55">
        <f t="shared" ca="1" si="188"/>
        <v>-843087.26128511969</v>
      </c>
      <c r="AP102" s="55">
        <f t="shared" ca="1" si="188"/>
        <v>-1021577.7316117201</v>
      </c>
      <c r="AQ102" s="55">
        <f t="shared" ca="1" si="188"/>
        <v>-1375396.1312434205</v>
      </c>
      <c r="AR102" s="55">
        <f t="shared" ca="1" si="188"/>
        <v>-1215216.0466276968</v>
      </c>
      <c r="AS102" s="55">
        <f t="shared" ca="1" si="188"/>
        <v>-1051778.6484942755</v>
      </c>
      <c r="AT102" s="55">
        <f t="shared" ca="1" si="188"/>
        <v>-1062042.7398470002</v>
      </c>
      <c r="AU102" s="55">
        <f t="shared" ca="1" si="188"/>
        <v>-893672.49696222716</v>
      </c>
      <c r="AV102" s="55">
        <f t="shared" ca="1" si="188"/>
        <v>-1443829.8606778984</v>
      </c>
      <c r="AW102" s="55">
        <f t="shared" ca="1" si="188"/>
        <v>-1822399.873897532</v>
      </c>
      <c r="AX102" s="55">
        <f t="shared" ca="1" si="188"/>
        <v>-1840184.2991790841</v>
      </c>
      <c r="AY102" s="55">
        <f t="shared" ca="1" si="188"/>
        <v>-1300699.5953045874</v>
      </c>
      <c r="AZ102" s="55">
        <f t="shared" ca="1" si="188"/>
        <v>-938137.75353151711</v>
      </c>
      <c r="BA102" s="55">
        <f t="shared" ca="1" si="188"/>
        <v>-947292.84677996091</v>
      </c>
      <c r="BB102" s="55">
        <f t="shared" ca="1" si="188"/>
        <v>-1147844.7392389292</v>
      </c>
      <c r="BC102" s="55"/>
      <c r="BD102" s="57">
        <f ca="1">SUM(G102:BC102)</f>
        <v>-44298046.370053977</v>
      </c>
    </row>
    <row r="103" spans="1:56" x14ac:dyDescent="0.3">
      <c r="A103" s="35" t="str">
        <f ca="1">Language!A1225</f>
        <v>Налоги и сборы</v>
      </c>
      <c r="C103" s="48" t="str">
        <f ca="1">Параметры!$C$64</f>
        <v>руб.</v>
      </c>
      <c r="E103" s="6" t="s">
        <v>966</v>
      </c>
      <c r="F103" s="6" t="s">
        <v>740</v>
      </c>
      <c r="G103" s="55">
        <f ca="1">-SUM(Проект!G1287,Проект!G1291:G1293,Проект!G1313)/Параметры!G$64</f>
        <v>0</v>
      </c>
      <c r="H103" s="55">
        <f ca="1">-SUM(Проект!H1287,Проект!H1291:H1293,Проект!H1313)/Параметры!H$64</f>
        <v>0</v>
      </c>
      <c r="I103" s="55">
        <f ca="1">-SUM(Проект!I1287,Проект!I1291:I1293,Проект!I1313)/Параметры!I$64</f>
        <v>0</v>
      </c>
      <c r="J103" s="55">
        <f ca="1">-SUM(Проект!J1287,Проект!J1291:J1293,Проект!J1313)/Параметры!J$64</f>
        <v>0</v>
      </c>
      <c r="K103" s="55">
        <f ca="1">-SUM(Проект!K1287,Проект!K1291:K1293,Проект!K1313)/Параметры!K$64</f>
        <v>0</v>
      </c>
      <c r="L103" s="55">
        <f ca="1">-SUM(Проект!L1287,Проект!L1291:L1293,Проект!L1313)/Параметры!L$64</f>
        <v>0</v>
      </c>
      <c r="M103" s="55">
        <f ca="1">-SUM(Проект!M1287,Проект!M1291:M1293,Проект!M1313)/Параметры!M$64</f>
        <v>0</v>
      </c>
      <c r="N103" s="55">
        <f ca="1">-SUM(Проект!N1287,Проект!N1291:N1293,Проект!N1313)/Параметры!N$64</f>
        <v>0</v>
      </c>
      <c r="O103" s="55">
        <f ca="1">-SUM(Проект!O1287,Проект!O1291:O1293,Проект!O1313)/Параметры!O$64</f>
        <v>0</v>
      </c>
      <c r="P103" s="55">
        <f ca="1">-SUM(Проект!P1287,Проект!P1291:P1293,Проект!P1313)/Параметры!P$64</f>
        <v>0</v>
      </c>
      <c r="Q103" s="55">
        <f ca="1">-SUM(Проект!Q1287,Проект!Q1291:Q1293,Проект!Q1313)/Параметры!Q$64</f>
        <v>0</v>
      </c>
      <c r="R103" s="55">
        <f ca="1">-SUM(Проект!R1287,Проект!R1291:R1293,Проект!R1313)/Параметры!R$64</f>
        <v>0</v>
      </c>
      <c r="S103" s="55">
        <f ca="1">-SUM(Проект!S1287,Проект!S1291:S1293,Проект!S1313)/Параметры!S$64</f>
        <v>0</v>
      </c>
      <c r="T103" s="55">
        <f ca="1">-SUM(Проект!T1287,Проект!T1291:T1293,Проект!T1313)/Параметры!T$64</f>
        <v>0</v>
      </c>
      <c r="U103" s="55">
        <f ca="1">-SUM(Проект!U1287,Проект!U1291:U1293,Проект!U1313)/Параметры!U$64</f>
        <v>0</v>
      </c>
      <c r="V103" s="55">
        <f ca="1">-SUM(Проект!V1287,Проект!V1291:V1293,Проект!V1313)/Параметры!V$64</f>
        <v>0</v>
      </c>
      <c r="W103" s="55">
        <f ca="1">-SUM(Проект!W1287,Проект!W1291:W1293,Проект!W1313)/Параметры!W$64</f>
        <v>0</v>
      </c>
      <c r="X103" s="55">
        <f ca="1">-SUM(Проект!X1287,Проект!X1291:X1293,Проект!X1313)/Параметры!X$64</f>
        <v>0</v>
      </c>
      <c r="Y103" s="55">
        <f ca="1">-SUM(Проект!Y1287,Проект!Y1291:Y1293,Проект!Y1313)/Параметры!Y$64</f>
        <v>0</v>
      </c>
      <c r="Z103" s="55">
        <f ca="1">-SUM(Проект!Z1287,Проект!Z1291:Z1293,Проект!Z1313)/Параметры!Z$64</f>
        <v>0</v>
      </c>
      <c r="AA103" s="55">
        <f ca="1">-SUM(Проект!AA1287,Проект!AA1291:AA1293,Проект!AA1313)/Параметры!AA$64</f>
        <v>0</v>
      </c>
      <c r="AB103" s="55">
        <f ca="1">-SUM(Проект!AB1287,Проект!AB1291:AB1293,Проект!AB1313)/Параметры!AB$64</f>
        <v>0</v>
      </c>
      <c r="AC103" s="55">
        <f ca="1">-SUM(Проект!AC1287,Проект!AC1291:AC1293,Проект!AC1313)/Параметры!AC$64</f>
        <v>0</v>
      </c>
      <c r="AD103" s="55">
        <f ca="1">-SUM(Проект!AD1287,Проект!AD1291:AD1293,Проект!AD1313)/Параметры!AD$64</f>
        <v>0</v>
      </c>
      <c r="AE103" s="55">
        <f ca="1">-SUM(Проект!AE1287,Проект!AE1291:AE1293,Проект!AE1313)/Параметры!AE$64</f>
        <v>0</v>
      </c>
      <c r="AF103" s="55">
        <f ca="1">-SUM(Проект!AF1287,Проект!AF1291:AF1293,Проект!AF1313)/Параметры!AF$64</f>
        <v>0</v>
      </c>
      <c r="AG103" s="55">
        <f ca="1">-SUM(Проект!AG1287,Проект!AG1291:AG1293,Проект!AG1313)/Параметры!AG$64</f>
        <v>0</v>
      </c>
      <c r="AH103" s="55">
        <f ca="1">-SUM(Проект!AH1287,Проект!AH1291:AH1293,Проект!AH1313)/Параметры!AH$64</f>
        <v>0</v>
      </c>
      <c r="AI103" s="55">
        <f ca="1">-SUM(Проект!AI1287,Проект!AI1291:AI1293,Проект!AI1313)/Параметры!AI$64</f>
        <v>0</v>
      </c>
      <c r="AJ103" s="55">
        <f ca="1">-SUM(Проект!AJ1287,Проект!AJ1291:AJ1293,Проект!AJ1313)/Параметры!AJ$64</f>
        <v>0</v>
      </c>
      <c r="AK103" s="55">
        <f ca="1">-SUM(Проект!AK1287,Проект!AK1291:AK1293,Проект!AK1313)/Параметры!AK$64</f>
        <v>0</v>
      </c>
      <c r="AL103" s="55">
        <f ca="1">-SUM(Проект!AL1287,Проект!AL1291:AL1293,Проект!AL1313)/Параметры!AL$64</f>
        <v>0</v>
      </c>
      <c r="AM103" s="55">
        <f ca="1">-SUM(Проект!AM1287,Проект!AM1291:AM1293,Проект!AM1313)/Параметры!AM$64</f>
        <v>0</v>
      </c>
      <c r="AN103" s="55">
        <f ca="1">-SUM(Проект!AN1287,Проект!AN1291:AN1293,Проект!AN1313)/Параметры!AN$64</f>
        <v>0</v>
      </c>
      <c r="AO103" s="55">
        <f ca="1">-SUM(Проект!AO1287,Проект!AO1291:AO1293,Проект!AO1313)/Параметры!AO$64</f>
        <v>0</v>
      </c>
      <c r="AP103" s="55">
        <f ca="1">-SUM(Проект!AP1287,Проект!AP1291:AP1293,Проект!AP1313)/Параметры!AP$64</f>
        <v>0</v>
      </c>
      <c r="AQ103" s="55">
        <f ca="1">-SUM(Проект!AQ1287,Проект!AQ1291:AQ1293,Проект!AQ1313)/Параметры!AQ$64</f>
        <v>0</v>
      </c>
      <c r="AR103" s="55">
        <f ca="1">-SUM(Проект!AR1287,Проект!AR1291:AR1293,Проект!AR1313)/Параметры!AR$64</f>
        <v>0</v>
      </c>
      <c r="AS103" s="55">
        <f ca="1">-SUM(Проект!AS1287,Проект!AS1291:AS1293,Проект!AS1313)/Параметры!AS$64</f>
        <v>0</v>
      </c>
      <c r="AT103" s="55">
        <f ca="1">-SUM(Проект!AT1287,Проект!AT1291:AT1293,Проект!AT1313)/Параметры!AT$64</f>
        <v>0</v>
      </c>
      <c r="AU103" s="55">
        <f ca="1">-SUM(Проект!AU1287,Проект!AU1291:AU1293,Проект!AU1313)/Параметры!AU$64</f>
        <v>0</v>
      </c>
      <c r="AV103" s="55">
        <f ca="1">-SUM(Проект!AV1287,Проект!AV1291:AV1293,Проект!AV1313)/Параметры!AV$64</f>
        <v>0</v>
      </c>
      <c r="AW103" s="55">
        <f ca="1">-SUM(Проект!AW1287,Проект!AW1291:AW1293,Проект!AW1313)/Параметры!AW$64</f>
        <v>0</v>
      </c>
      <c r="AX103" s="55">
        <f ca="1">-SUM(Проект!AX1287,Проект!AX1291:AX1293,Проект!AX1313)/Параметры!AX$64</f>
        <v>0</v>
      </c>
      <c r="AY103" s="55">
        <f ca="1">-SUM(Проект!AY1287,Проект!AY1291:AY1293,Проект!AY1313)/Параметры!AY$64</f>
        <v>0</v>
      </c>
      <c r="AZ103" s="55">
        <f ca="1">-SUM(Проект!AZ1287,Проект!AZ1291:AZ1293,Проект!AZ1313)/Параметры!AZ$64</f>
        <v>0</v>
      </c>
      <c r="BA103" s="55">
        <f ca="1">-SUM(Проект!BA1287,Проект!BA1291:BA1293,Проект!BA1313)/Параметры!BA$64</f>
        <v>0</v>
      </c>
      <c r="BB103" s="55">
        <f ca="1">-SUM(Проект!BB1287,Проект!BB1291:BB1293,Проект!BB1313)/Параметры!BB$64</f>
        <v>0</v>
      </c>
      <c r="BC103" s="55"/>
      <c r="BD103" s="57">
        <f ca="1">SUM(G103:BC103)</f>
        <v>0</v>
      </c>
    </row>
    <row r="104" spans="1:56" x14ac:dyDescent="0.3">
      <c r="A104" s="43" t="str">
        <f ca="1">Language!A1226</f>
        <v>EBITDA</v>
      </c>
      <c r="B104" s="80"/>
      <c r="C104" s="45" t="str">
        <f ca="1">Параметры!$C$64</f>
        <v>руб.</v>
      </c>
      <c r="D104" s="46"/>
      <c r="E104" s="46" t="s">
        <v>967</v>
      </c>
      <c r="F104" s="46" t="s">
        <v>740</v>
      </c>
      <c r="G104" s="81">
        <f ca="1">SUM(G98,G100:G103)</f>
        <v>0</v>
      </c>
      <c r="H104" s="81">
        <f t="shared" ref="H104:L104" ca="1" si="189">SUM(H98,H100:H103)</f>
        <v>0</v>
      </c>
      <c r="I104" s="81">
        <f t="shared" ca="1" si="189"/>
        <v>0</v>
      </c>
      <c r="J104" s="81">
        <f t="shared" ca="1" si="189"/>
        <v>0</v>
      </c>
      <c r="K104" s="81">
        <f t="shared" ca="1" si="189"/>
        <v>0</v>
      </c>
      <c r="L104" s="81">
        <f t="shared" ca="1" si="189"/>
        <v>0</v>
      </c>
      <c r="M104" s="81">
        <f t="shared" ref="M104:N104" ca="1" si="190">SUM(M98,M100:M103)</f>
        <v>3736648.1825305116</v>
      </c>
      <c r="N104" s="81">
        <f t="shared" ca="1" si="190"/>
        <v>5576876.9586611912</v>
      </c>
      <c r="O104" s="81">
        <f t="shared" ref="O104:P104" ca="1" si="191">SUM(O98,O100:O103)</f>
        <v>7429818.971009816</v>
      </c>
      <c r="P104" s="81">
        <f t="shared" ca="1" si="191"/>
        <v>9285045.3654341828</v>
      </c>
      <c r="Q104" s="81">
        <f t="shared" ref="Q104:R104" ca="1" si="192">SUM(Q98,Q100:Q103)</f>
        <v>9314713.6359299961</v>
      </c>
      <c r="R104" s="81">
        <f t="shared" ca="1" si="192"/>
        <v>9302180.1763250344</v>
      </c>
      <c r="S104" s="81">
        <f t="shared" ref="S104:T104" ca="1" si="193">SUM(S98,S100:S103)</f>
        <v>13075784.760000007</v>
      </c>
      <c r="T104" s="81">
        <f t="shared" ca="1" si="193"/>
        <v>11239590.094294054</v>
      </c>
      <c r="U104" s="81">
        <f t="shared" ref="U104:V104" ca="1" si="194">SUM(U98,U100:U103)</f>
        <v>9411893.4435432367</v>
      </c>
      <c r="V104" s="81">
        <f t="shared" ca="1" si="194"/>
        <v>9452162.1324271858</v>
      </c>
      <c r="W104" s="81">
        <f t="shared" ref="W104:X104" ca="1" si="195">SUM(W98,W100:W103)</f>
        <v>7600021.6549269371</v>
      </c>
      <c r="X104" s="81">
        <f t="shared" ca="1" si="195"/>
        <v>13352568.337357257</v>
      </c>
      <c r="Y104" s="81">
        <f t="shared" ref="Y104:Z104" ca="1" si="196">SUM(Y98,Y100:Y103)</f>
        <v>17238700.59279852</v>
      </c>
      <c r="Z104" s="81">
        <f t="shared" ca="1" si="196"/>
        <v>17294368.576104224</v>
      </c>
      <c r="AA104" s="81">
        <f t="shared" ref="AA104:AB104" ca="1" si="197">SUM(AA98,AA100:AA103)</f>
        <v>11556588.872119943</v>
      </c>
      <c r="AB104" s="81">
        <f t="shared" ca="1" si="197"/>
        <v>7709965.4460991994</v>
      </c>
      <c r="AC104" s="81">
        <f t="shared" ref="AC104:AD104" ca="1" si="198">SUM(AC98,AC100:AC103)</f>
        <v>7732955.4977926863</v>
      </c>
      <c r="AD104" s="81">
        <f t="shared" ca="1" si="198"/>
        <v>9654454.2598859128</v>
      </c>
      <c r="AE104" s="81">
        <f t="shared" ref="AE104:AF104" ca="1" si="199">SUM(AE98,AE100:AE103)</f>
        <v>13583177.65833601</v>
      </c>
      <c r="AF104" s="81">
        <f t="shared" ca="1" si="199"/>
        <v>11669088.981759954</v>
      </c>
      <c r="AG104" s="81">
        <f t="shared" ref="AG104:AH104" ca="1" si="200">SUM(AG98,AG100:AG103)</f>
        <v>9764664.5778140388</v>
      </c>
      <c r="AH104" s="81">
        <f t="shared" ca="1" si="200"/>
        <v>9805281.0850656163</v>
      </c>
      <c r="AI104" s="81">
        <f t="shared" ref="AI104:AJ104" ca="1" si="201">SUM(AI98,AI100:AI103)</f>
        <v>7875940.2355429269</v>
      </c>
      <c r="AJ104" s="81">
        <f t="shared" ca="1" si="201"/>
        <v>13862778.263412369</v>
      </c>
      <c r="AK104" s="81">
        <f t="shared" ref="AK104:AL104" ca="1" si="202">SUM(AK98,AK100:AK103)</f>
        <v>17905793.330241628</v>
      </c>
      <c r="AL104" s="81">
        <f t="shared" ca="1" si="202"/>
        <v>17961217.677408706</v>
      </c>
      <c r="AM104" s="81">
        <f t="shared" ref="AM104:AN104" ca="1" si="203">SUM(AM98,AM100:AM103)</f>
        <v>11987882.013651123</v>
      </c>
      <c r="AN104" s="81">
        <f t="shared" ca="1" si="203"/>
        <v>7983520.5213437919</v>
      </c>
      <c r="AO104" s="81">
        <f t="shared" ref="AO104:AP104" ca="1" si="204">SUM(AO98,AO100:AO103)</f>
        <v>8006045.1458598441</v>
      </c>
      <c r="AP104" s="81">
        <f t="shared" ca="1" si="204"/>
        <v>10002420.897000944</v>
      </c>
      <c r="AQ104" s="81">
        <f t="shared" ref="AQ104:AR104" ca="1" si="205">SUM(AQ98,AQ100:AQ103)</f>
        <v>14086757.873026343</v>
      </c>
      <c r="AR104" s="81">
        <f t="shared" ca="1" si="205"/>
        <v>12094091.064825328</v>
      </c>
      <c r="AS104" s="81">
        <f t="shared" ref="AS104:AT104" ca="1" si="206">SUM(AS98,AS100:AS103)</f>
        <v>10112405.890559653</v>
      </c>
      <c r="AT104" s="81">
        <f t="shared" ca="1" si="206"/>
        <v>10153135.443034386</v>
      </c>
      <c r="AU104" s="81">
        <f t="shared" ref="AU104:AV104" ca="1" si="207">SUM(AU98,AU100:AU103)</f>
        <v>8146155.7069670781</v>
      </c>
      <c r="AV104" s="81">
        <f t="shared" ca="1" si="207"/>
        <v>14367640.085101373</v>
      </c>
      <c r="AW104" s="81">
        <f t="shared" ref="AW104:AX104" ca="1" si="208">SUM(AW98,AW100:AW103)</f>
        <v>18567522.090683103</v>
      </c>
      <c r="AX104" s="81">
        <f t="shared" ca="1" si="208"/>
        <v>18622245.236352313</v>
      </c>
      <c r="AY104" s="81">
        <f t="shared" ref="AY104:AZ104" ca="1" si="209">SUM(AY98,AY100:AY103)</f>
        <v>12412656.912891798</v>
      </c>
      <c r="AZ104" s="81">
        <f t="shared" ca="1" si="209"/>
        <v>8250123.2046550214</v>
      </c>
      <c r="BA104" s="81">
        <f t="shared" ref="BA104:BB104" ca="1" si="210">SUM(BA98,BA100:BA103)</f>
        <v>8271926.4553405046</v>
      </c>
      <c r="BB104" s="81">
        <f t="shared" ca="1" si="210"/>
        <v>10342676.775898982</v>
      </c>
      <c r="BC104" s="81"/>
      <c r="BD104" s="82">
        <f ca="1">SUM(G104:BC104)</f>
        <v>465799484.08401281</v>
      </c>
    </row>
    <row r="105" spans="1:56" x14ac:dyDescent="0.3">
      <c r="A105" s="10"/>
      <c r="G105" s="55"/>
      <c r="H105" s="55"/>
      <c r="I105" s="55"/>
      <c r="J105" s="55"/>
      <c r="K105" s="55"/>
      <c r="L105" s="55"/>
      <c r="M105" s="55"/>
      <c r="N105" s="55"/>
      <c r="O105" s="55"/>
      <c r="P105" s="55"/>
      <c r="Q105" s="55"/>
      <c r="R105" s="55"/>
      <c r="S105" s="55"/>
      <c r="T105" s="55"/>
      <c r="U105" s="55"/>
      <c r="V105" s="55"/>
      <c r="W105" s="55"/>
      <c r="X105" s="55"/>
      <c r="Y105" s="55"/>
      <c r="Z105" s="55"/>
      <c r="AA105" s="55"/>
      <c r="AB105" s="55"/>
      <c r="AC105" s="55"/>
      <c r="AD105" s="55"/>
      <c r="AE105" s="55"/>
      <c r="AF105" s="55"/>
      <c r="AG105" s="55"/>
      <c r="AH105" s="55"/>
      <c r="AI105" s="55"/>
      <c r="AJ105" s="55"/>
      <c r="AK105" s="55"/>
      <c r="AL105" s="55"/>
      <c r="AM105" s="55"/>
      <c r="AN105" s="55"/>
      <c r="AO105" s="55"/>
      <c r="AP105" s="55"/>
      <c r="AQ105" s="55"/>
      <c r="AR105" s="55"/>
      <c r="AS105" s="55"/>
      <c r="AT105" s="55"/>
      <c r="AU105" s="55"/>
      <c r="AV105" s="55"/>
      <c r="AW105" s="55"/>
      <c r="AX105" s="55"/>
      <c r="AY105" s="55"/>
      <c r="AZ105" s="55"/>
      <c r="BA105" s="55"/>
      <c r="BB105" s="55"/>
      <c r="BC105" s="55"/>
      <c r="BD105" s="57"/>
    </row>
    <row r="106" spans="1:56" x14ac:dyDescent="0.3">
      <c r="A106" s="35" t="str">
        <f ca="1">Language!A1227</f>
        <v>Лизинговые платежи</v>
      </c>
      <c r="C106" s="48" t="str">
        <f ca="1">Параметры!$C$64</f>
        <v>руб.</v>
      </c>
      <c r="E106" s="6" t="s">
        <v>968</v>
      </c>
      <c r="F106" s="6" t="s">
        <v>740</v>
      </c>
      <c r="G106" s="55">
        <f>-SUM(Проект!G1049:G1050)/Параметры!G$64</f>
        <v>0</v>
      </c>
      <c r="H106" s="55">
        <f>-SUM(Проект!H1049:H1050)/Параметры!H$64</f>
        <v>0</v>
      </c>
      <c r="I106" s="55">
        <f>-SUM(Проект!I1049:I1050)/Параметры!I$64</f>
        <v>0</v>
      </c>
      <c r="J106" s="55">
        <f>-SUM(Проект!J1049:J1050)/Параметры!J$64</f>
        <v>0</v>
      </c>
      <c r="K106" s="55">
        <f>-SUM(Проект!K1049:K1050)/Параметры!K$64</f>
        <v>0</v>
      </c>
      <c r="L106" s="55">
        <f>-SUM(Проект!L1049:L1050)/Параметры!L$64</f>
        <v>0</v>
      </c>
      <c r="M106" s="55">
        <f>-SUM(Проект!M1049:M1050)/Параметры!M$64</f>
        <v>0</v>
      </c>
      <c r="N106" s="55">
        <f>-SUM(Проект!N1049:N1050)/Параметры!N$64</f>
        <v>0</v>
      </c>
      <c r="O106" s="55">
        <f>-SUM(Проект!O1049:O1050)/Параметры!O$64</f>
        <v>0</v>
      </c>
      <c r="P106" s="55">
        <f>-SUM(Проект!P1049:P1050)/Параметры!P$64</f>
        <v>0</v>
      </c>
      <c r="Q106" s="55">
        <f>-SUM(Проект!Q1049:Q1050)/Параметры!Q$64</f>
        <v>0</v>
      </c>
      <c r="R106" s="55">
        <f>-SUM(Проект!R1049:R1050)/Параметры!R$64</f>
        <v>0</v>
      </c>
      <c r="S106" s="55">
        <f>-SUM(Проект!S1049:S1050)/Параметры!S$64</f>
        <v>0</v>
      </c>
      <c r="T106" s="55">
        <f>-SUM(Проект!T1049:T1050)/Параметры!T$64</f>
        <v>0</v>
      </c>
      <c r="U106" s="55">
        <f>-SUM(Проект!U1049:U1050)/Параметры!U$64</f>
        <v>0</v>
      </c>
      <c r="V106" s="55">
        <f>-SUM(Проект!V1049:V1050)/Параметры!V$64</f>
        <v>0</v>
      </c>
      <c r="W106" s="55">
        <f>-SUM(Проект!W1049:W1050)/Параметры!W$64</f>
        <v>0</v>
      </c>
      <c r="X106" s="55">
        <f>-SUM(Проект!X1049:X1050)/Параметры!X$64</f>
        <v>0</v>
      </c>
      <c r="Y106" s="55">
        <f>-SUM(Проект!Y1049:Y1050)/Параметры!Y$64</f>
        <v>0</v>
      </c>
      <c r="Z106" s="55">
        <f>-SUM(Проект!Z1049:Z1050)/Параметры!Z$64</f>
        <v>0</v>
      </c>
      <c r="AA106" s="55">
        <f>-SUM(Проект!AA1049:AA1050)/Параметры!AA$64</f>
        <v>0</v>
      </c>
      <c r="AB106" s="55">
        <f>-SUM(Проект!AB1049:AB1050)/Параметры!AB$64</f>
        <v>0</v>
      </c>
      <c r="AC106" s="55">
        <f>-SUM(Проект!AC1049:AC1050)/Параметры!AC$64</f>
        <v>0</v>
      </c>
      <c r="AD106" s="55">
        <f>-SUM(Проект!AD1049:AD1050)/Параметры!AD$64</f>
        <v>0</v>
      </c>
      <c r="AE106" s="55">
        <f>-SUM(Проект!AE1049:AE1050)/Параметры!AE$64</f>
        <v>0</v>
      </c>
      <c r="AF106" s="55">
        <f>-SUM(Проект!AF1049:AF1050)/Параметры!AF$64</f>
        <v>0</v>
      </c>
      <c r="AG106" s="55">
        <f>-SUM(Проект!AG1049:AG1050)/Параметры!AG$64</f>
        <v>0</v>
      </c>
      <c r="AH106" s="55">
        <f>-SUM(Проект!AH1049:AH1050)/Параметры!AH$64</f>
        <v>0</v>
      </c>
      <c r="AI106" s="55">
        <f>-SUM(Проект!AI1049:AI1050)/Параметры!AI$64</f>
        <v>0</v>
      </c>
      <c r="AJ106" s="55">
        <f>-SUM(Проект!AJ1049:AJ1050)/Параметры!AJ$64</f>
        <v>0</v>
      </c>
      <c r="AK106" s="55">
        <f>-SUM(Проект!AK1049:AK1050)/Параметры!AK$64</f>
        <v>0</v>
      </c>
      <c r="AL106" s="55">
        <f>-SUM(Проект!AL1049:AL1050)/Параметры!AL$64</f>
        <v>0</v>
      </c>
      <c r="AM106" s="55">
        <f>-SUM(Проект!AM1049:AM1050)/Параметры!AM$64</f>
        <v>0</v>
      </c>
      <c r="AN106" s="55">
        <f>-SUM(Проект!AN1049:AN1050)/Параметры!AN$64</f>
        <v>0</v>
      </c>
      <c r="AO106" s="55">
        <f>-SUM(Проект!AO1049:AO1050)/Параметры!AO$64</f>
        <v>0</v>
      </c>
      <c r="AP106" s="55">
        <f>-SUM(Проект!AP1049:AP1050)/Параметры!AP$64</f>
        <v>0</v>
      </c>
      <c r="AQ106" s="55">
        <f>-SUM(Проект!AQ1049:AQ1050)/Параметры!AQ$64</f>
        <v>0</v>
      </c>
      <c r="AR106" s="55">
        <f>-SUM(Проект!AR1049:AR1050)/Параметры!AR$64</f>
        <v>0</v>
      </c>
      <c r="AS106" s="55">
        <f>-SUM(Проект!AS1049:AS1050)/Параметры!AS$64</f>
        <v>0</v>
      </c>
      <c r="AT106" s="55">
        <f>-SUM(Проект!AT1049:AT1050)/Параметры!AT$64</f>
        <v>0</v>
      </c>
      <c r="AU106" s="55">
        <f>-SUM(Проект!AU1049:AU1050)/Параметры!AU$64</f>
        <v>0</v>
      </c>
      <c r="AV106" s="55">
        <f>-SUM(Проект!AV1049:AV1050)/Параметры!AV$64</f>
        <v>0</v>
      </c>
      <c r="AW106" s="55">
        <f>-SUM(Проект!AW1049:AW1050)/Параметры!AW$64</f>
        <v>0</v>
      </c>
      <c r="AX106" s="55">
        <f>-SUM(Проект!AX1049:AX1050)/Параметры!AX$64</f>
        <v>0</v>
      </c>
      <c r="AY106" s="55">
        <f>-SUM(Проект!AY1049:AY1050)/Параметры!AY$64</f>
        <v>0</v>
      </c>
      <c r="AZ106" s="55">
        <f>-SUM(Проект!AZ1049:AZ1050)/Параметры!AZ$64</f>
        <v>0</v>
      </c>
      <c r="BA106" s="55">
        <f>-SUM(Проект!BA1049:BA1050)/Параметры!BA$64</f>
        <v>0</v>
      </c>
      <c r="BB106" s="55">
        <f>-SUM(Проект!BB1049:BB1050)/Параметры!BB$64</f>
        <v>0</v>
      </c>
      <c r="BC106" s="55"/>
      <c r="BD106" s="57">
        <f>SUM(G106:BC106)</f>
        <v>0</v>
      </c>
    </row>
    <row r="107" spans="1:56" x14ac:dyDescent="0.3">
      <c r="A107" s="35" t="str">
        <f ca="1">Language!A1228</f>
        <v>Амортизация</v>
      </c>
      <c r="C107" s="48" t="str">
        <f ca="1">Параметры!$C$64</f>
        <v>руб.</v>
      </c>
      <c r="E107" s="6" t="s">
        <v>969</v>
      </c>
      <c r="F107" s="6" t="s">
        <v>740</v>
      </c>
      <c r="G107" s="55">
        <f ca="1">-G63-SUM(Старт!G70,Старт!G77,Старт!G84)/Параметры!G$64</f>
        <v>0</v>
      </c>
      <c r="H107" s="55">
        <f ca="1">-H63-SUM(Старт!H70,Старт!H77,Старт!H84)/Параметры!H$64</f>
        <v>0</v>
      </c>
      <c r="I107" s="55">
        <f ca="1">-I63-SUM(Старт!I70,Старт!I77,Старт!I84)/Параметры!I$64</f>
        <v>0</v>
      </c>
      <c r="J107" s="55">
        <f ca="1">-J63-SUM(Старт!J70,Старт!J77,Старт!J84)/Параметры!J$64</f>
        <v>0</v>
      </c>
      <c r="K107" s="55">
        <f ca="1">-K63-SUM(Старт!K70,Старт!K77,Старт!K84)/Параметры!K$64</f>
        <v>0</v>
      </c>
      <c r="L107" s="55">
        <f ca="1">-L63-SUM(Старт!L70,Старт!L77,Старт!L84)/Параметры!L$64</f>
        <v>0</v>
      </c>
      <c r="M107" s="55">
        <f ca="1">-M63-SUM(Старт!M70,Старт!M77,Старт!M84)/Параметры!M$64</f>
        <v>-619861.11111111101</v>
      </c>
      <c r="N107" s="55">
        <f ca="1">-N63-SUM(Старт!N70,Старт!N77,Старт!N84)/Параметры!N$64</f>
        <v>-619861.11111111101</v>
      </c>
      <c r="O107" s="55">
        <f ca="1">-O63-SUM(Старт!O70,Старт!O77,Старт!O84)/Параметры!O$64</f>
        <v>-619861.11111111101</v>
      </c>
      <c r="P107" s="55">
        <f ca="1">-P63-SUM(Старт!P70,Старт!P77,Старт!P84)/Параметры!P$64</f>
        <v>-619861.11111111101</v>
      </c>
      <c r="Q107" s="55">
        <f ca="1">-Q63-SUM(Старт!Q70,Старт!Q77,Старт!Q84)/Параметры!Q$64</f>
        <v>-619861.11111111101</v>
      </c>
      <c r="R107" s="55">
        <f ca="1">-R63-SUM(Старт!R70,Старт!R77,Старт!R84)/Параметры!R$64</f>
        <v>-619861.11111111101</v>
      </c>
      <c r="S107" s="55">
        <f ca="1">-S63-SUM(Старт!S70,Старт!S77,Старт!S84)/Параметры!S$64</f>
        <v>-619861.11111111101</v>
      </c>
      <c r="T107" s="55">
        <f ca="1">-T63-SUM(Старт!T70,Старт!T77,Старт!T84)/Параметры!T$64</f>
        <v>-619861.11111111101</v>
      </c>
      <c r="U107" s="55">
        <f ca="1">-U63-SUM(Старт!U70,Старт!U77,Старт!U84)/Параметры!U$64</f>
        <v>-619861.11111111101</v>
      </c>
      <c r="V107" s="55">
        <f ca="1">-V63-SUM(Старт!V70,Старт!V77,Старт!V84)/Параметры!V$64</f>
        <v>-619861.11111111101</v>
      </c>
      <c r="W107" s="55">
        <f ca="1">-W63-SUM(Старт!W70,Старт!W77,Старт!W84)/Параметры!W$64</f>
        <v>-619861.11111111101</v>
      </c>
      <c r="X107" s="55">
        <f ca="1">-X63-SUM(Старт!X70,Старт!X77,Старт!X84)/Параметры!X$64</f>
        <v>-619861.11111111101</v>
      </c>
      <c r="Y107" s="55">
        <f ca="1">-Y63-SUM(Старт!Y70,Старт!Y77,Старт!Y84)/Параметры!Y$64</f>
        <v>-619861.11111111101</v>
      </c>
      <c r="Z107" s="55">
        <f ca="1">-Z63-SUM(Старт!Z70,Старт!Z77,Старт!Z84)/Параметры!Z$64</f>
        <v>-619861.11111111101</v>
      </c>
      <c r="AA107" s="55">
        <f ca="1">-AA63-SUM(Старт!AA70,Старт!AA77,Старт!AA84)/Параметры!AA$64</f>
        <v>-619861.11111111101</v>
      </c>
      <c r="AB107" s="55">
        <f ca="1">-AB63-SUM(Старт!AB70,Старт!AB77,Старт!AB84)/Параметры!AB$64</f>
        <v>-619861.11111111101</v>
      </c>
      <c r="AC107" s="55">
        <f ca="1">-AC63-SUM(Старт!AC70,Старт!AC77,Старт!AC84)/Параметры!AC$64</f>
        <v>-619861.11111111101</v>
      </c>
      <c r="AD107" s="55">
        <f ca="1">-AD63-SUM(Старт!AD70,Старт!AD77,Старт!AD84)/Параметры!AD$64</f>
        <v>-619861.11111111101</v>
      </c>
      <c r="AE107" s="55">
        <f ca="1">-AE63-SUM(Старт!AE70,Старт!AE77,Старт!AE84)/Параметры!AE$64</f>
        <v>-619861.11111111101</v>
      </c>
      <c r="AF107" s="55">
        <f ca="1">-AF63-SUM(Старт!AF70,Старт!AF77,Старт!AF84)/Параметры!AF$64</f>
        <v>-619861.11111111101</v>
      </c>
      <c r="AG107" s="55">
        <f ca="1">-AG63-SUM(Старт!AG70,Старт!AG77,Старт!AG84)/Параметры!AG$64</f>
        <v>-619861.11111111101</v>
      </c>
      <c r="AH107" s="55">
        <f ca="1">-AH63-SUM(Старт!AH70,Старт!AH77,Старт!AH84)/Параметры!AH$64</f>
        <v>-619861.11111111101</v>
      </c>
      <c r="AI107" s="55">
        <f ca="1">-AI63-SUM(Старт!AI70,Старт!AI77,Старт!AI84)/Параметры!AI$64</f>
        <v>-619861.11111111101</v>
      </c>
      <c r="AJ107" s="55">
        <f ca="1">-AJ63-SUM(Старт!AJ70,Старт!AJ77,Старт!AJ84)/Параметры!AJ$64</f>
        <v>-619861.11111111101</v>
      </c>
      <c r="AK107" s="55">
        <f ca="1">-AK63-SUM(Старт!AK70,Старт!AK77,Старт!AK84)/Параметры!AK$64</f>
        <v>-619861.11111111101</v>
      </c>
      <c r="AL107" s="55">
        <f ca="1">-AL63-SUM(Старт!AL70,Старт!AL77,Старт!AL84)/Параметры!AL$64</f>
        <v>-619861.11111111101</v>
      </c>
      <c r="AM107" s="55">
        <f ca="1">-AM63-SUM(Старт!AM70,Старт!AM77,Старт!AM84)/Параметры!AM$64</f>
        <v>-619861.11111111101</v>
      </c>
      <c r="AN107" s="55">
        <f ca="1">-AN63-SUM(Старт!AN70,Старт!AN77,Старт!AN84)/Параметры!AN$64</f>
        <v>-619861.11111111101</v>
      </c>
      <c r="AO107" s="55">
        <f ca="1">-AO63-SUM(Старт!AO70,Старт!AO77,Старт!AO84)/Параметры!AO$64</f>
        <v>-619861.11111111101</v>
      </c>
      <c r="AP107" s="55">
        <f ca="1">-AP63-SUM(Старт!AP70,Старт!AP77,Старт!AP84)/Параметры!AP$64</f>
        <v>-619861.11111111101</v>
      </c>
      <c r="AQ107" s="55">
        <f ca="1">-AQ63-SUM(Старт!AQ70,Старт!AQ77,Старт!AQ84)/Параметры!AQ$64</f>
        <v>-619861.11111111101</v>
      </c>
      <c r="AR107" s="55">
        <f ca="1">-AR63-SUM(Старт!AR70,Старт!AR77,Старт!AR84)/Параметры!AR$64</f>
        <v>-619861.11111111101</v>
      </c>
      <c r="AS107" s="55">
        <f ca="1">-AS63-SUM(Старт!AS70,Старт!AS77,Старт!AS84)/Параметры!AS$64</f>
        <v>-619861.11111111101</v>
      </c>
      <c r="AT107" s="55">
        <f ca="1">-AT63-SUM(Старт!AT70,Старт!AT77,Старт!AT84)/Параметры!AT$64</f>
        <v>-619861.11111111101</v>
      </c>
      <c r="AU107" s="55">
        <f ca="1">-AU63-SUM(Старт!AU70,Старт!AU77,Старт!AU84)/Параметры!AU$64</f>
        <v>-619861.11111111101</v>
      </c>
      <c r="AV107" s="55">
        <f ca="1">-AV63-SUM(Старт!AV70,Старт!AV77,Старт!AV84)/Параметры!AV$64</f>
        <v>-619861.11111111101</v>
      </c>
      <c r="AW107" s="55">
        <f ca="1">-AW63-SUM(Старт!AW70,Старт!AW77,Старт!AW84)/Параметры!AW$64</f>
        <v>-619861.11111111101</v>
      </c>
      <c r="AX107" s="55">
        <f ca="1">-AX63-SUM(Старт!AX70,Старт!AX77,Старт!AX84)/Параметры!AX$64</f>
        <v>-619861.11111111101</v>
      </c>
      <c r="AY107" s="55">
        <f ca="1">-AY63-SUM(Старт!AY70,Старт!AY77,Старт!AY84)/Параметры!AY$64</f>
        <v>-619861.11111111101</v>
      </c>
      <c r="AZ107" s="55">
        <f ca="1">-AZ63-SUM(Старт!AZ70,Старт!AZ77,Старт!AZ84)/Параметры!AZ$64</f>
        <v>-619861.11111111101</v>
      </c>
      <c r="BA107" s="55">
        <f ca="1">-BA63-SUM(Старт!BA70,Старт!BA77,Старт!BA84)/Параметры!BA$64</f>
        <v>-619861.11111111101</v>
      </c>
      <c r="BB107" s="55">
        <f ca="1">-BB63-SUM(Старт!BB70,Старт!BB77,Старт!BB84)/Параметры!BB$64</f>
        <v>-619861.11111111101</v>
      </c>
      <c r="BC107" s="55"/>
      <c r="BD107" s="57">
        <f ca="1">SUM(G107:BC107)</f>
        <v>-26034166.666666687</v>
      </c>
    </row>
    <row r="108" spans="1:56" x14ac:dyDescent="0.3">
      <c r="A108" s="35" t="str">
        <f ca="1">Language!A1229</f>
        <v>Проценты к уплате</v>
      </c>
      <c r="C108" s="48" t="str">
        <f ca="1">Параметры!$C$64</f>
        <v>руб.</v>
      </c>
      <c r="E108" s="6" t="s">
        <v>970</v>
      </c>
      <c r="F108" s="6" t="s">
        <v>740</v>
      </c>
      <c r="G108" s="55">
        <f>(-Проект!G1251-Старт!G127)/Параметры!G$64</f>
        <v>-4413541.6875</v>
      </c>
      <c r="H108" s="55">
        <f>(-Проект!H1251-Старт!H127)/Параметры!H$64</f>
        <v>-4413541.6875</v>
      </c>
      <c r="I108" s="55">
        <f>(-Проект!I1251-Старт!I127)/Параметры!I$64</f>
        <v>-4413541.6875</v>
      </c>
      <c r="J108" s="55">
        <f>(-Проект!J1251-Старт!J127)/Параметры!J$64</f>
        <v>-4413541.6875</v>
      </c>
      <c r="K108" s="55">
        <f>(-Проект!K1251-Старт!K127)/Параметры!K$64</f>
        <v>-4413541.6875</v>
      </c>
      <c r="L108" s="55">
        <f>(-Проект!L1251-Старт!L127)/Параметры!L$64</f>
        <v>-4413541.6875</v>
      </c>
      <c r="M108" s="55">
        <f>(-Проект!M1251-Старт!M127)/Параметры!M$64</f>
        <v>-4392708.354166667</v>
      </c>
      <c r="N108" s="55">
        <f>(-Проект!N1251-Старт!N127)/Параметры!N$64</f>
        <v>-4351041.6875</v>
      </c>
      <c r="O108" s="55">
        <f>(-Проект!O1251-Старт!O127)/Параметры!O$64</f>
        <v>-4288541.6875</v>
      </c>
      <c r="P108" s="55">
        <f>(-Проект!P1251-Старт!P127)/Параметры!P$64</f>
        <v>-4226041.6875</v>
      </c>
      <c r="Q108" s="55">
        <f>(-Проект!Q1251-Старт!Q127)/Параметры!Q$64</f>
        <v>-4163541.6875</v>
      </c>
      <c r="R108" s="55">
        <f>(-Проект!R1251-Старт!R127)/Параметры!R$64</f>
        <v>-4080208.3541666665</v>
      </c>
      <c r="S108" s="55">
        <f>(-Проект!S1251-Старт!S127)/Параметры!S$64</f>
        <v>-3996875.0208333335</v>
      </c>
      <c r="T108" s="55">
        <f>(-Проект!T1251-Старт!T127)/Параметры!T$64</f>
        <v>-3913541.6875</v>
      </c>
      <c r="U108" s="55">
        <f>(-Проект!U1251-Старт!U127)/Параметры!U$64</f>
        <v>-3830208.3541666665</v>
      </c>
      <c r="V108" s="55">
        <f>(-Проект!V1251-Старт!V127)/Параметры!V$64</f>
        <v>-3726041.6875</v>
      </c>
      <c r="W108" s="55">
        <f>(-Проект!W1251-Старт!W127)/Параметры!W$64</f>
        <v>-3621875.0208333335</v>
      </c>
      <c r="X108" s="55">
        <f>(-Проект!X1251-Старт!X127)/Параметры!X$64</f>
        <v>-3517708.3541666665</v>
      </c>
      <c r="Y108" s="55">
        <f>(-Проект!Y1251-Старт!Y127)/Параметры!Y$64</f>
        <v>-3351041.6875</v>
      </c>
      <c r="Z108" s="55">
        <f>(-Проект!Z1251-Старт!Z127)/Параметры!Z$64</f>
        <v>-3184375.0208333335</v>
      </c>
      <c r="AA108" s="55">
        <f>(-Проект!AA1251-Старт!AA127)/Параметры!AA$64</f>
        <v>-3017708.3541666665</v>
      </c>
      <c r="AB108" s="55">
        <f>(-Проект!AB1251-Старт!AB127)/Параметры!AB$64</f>
        <v>-2851041.6875</v>
      </c>
      <c r="AC108" s="55">
        <f>(-Проект!AC1251-Старт!AC127)/Параметры!AC$64</f>
        <v>-2684375.0208333335</v>
      </c>
      <c r="AD108" s="55">
        <f>(-Проект!AD1251-Старт!AD127)/Параметры!AD$64</f>
        <v>-2517708.3541666665</v>
      </c>
      <c r="AE108" s="55">
        <f>(-Проект!AE1251-Старт!AE127)/Параметры!AE$64</f>
        <v>-2351041.6875</v>
      </c>
      <c r="AF108" s="55">
        <f>(-Проект!AF1251-Старт!AF127)/Параметры!AF$64</f>
        <v>-2184375.0208333335</v>
      </c>
      <c r="AG108" s="55">
        <f>(-Проект!AG1251-Старт!AG127)/Параметры!AG$64</f>
        <v>-2017708.3541666667</v>
      </c>
      <c r="AH108" s="55">
        <f>(-Проект!AH1251-Старт!AH127)/Параметры!AH$64</f>
        <v>-1851041.6875</v>
      </c>
      <c r="AI108" s="55">
        <f>(-Проект!AI1251-Старт!AI127)/Параметры!AI$64</f>
        <v>-1684375.0208333333</v>
      </c>
      <c r="AJ108" s="55">
        <f>(-Проект!AJ1251-Старт!AJ127)/Параметры!AJ$64</f>
        <v>-1517708.3541666667</v>
      </c>
      <c r="AK108" s="55">
        <f>(-Проект!AK1251-Старт!AK127)/Параметры!AK$64</f>
        <v>-1351041.6875</v>
      </c>
      <c r="AL108" s="55">
        <f>(-Проект!AL1251-Старт!AL127)/Параметры!AL$64</f>
        <v>-1184375.0208333333</v>
      </c>
      <c r="AM108" s="55">
        <f>(-Проект!AM1251-Старт!AM127)/Параметры!AM$64</f>
        <v>-1017708.3541666666</v>
      </c>
      <c r="AN108" s="55">
        <f>(-Проект!AN1251-Старт!AN127)/Параметры!AN$64</f>
        <v>-851041.6875</v>
      </c>
      <c r="AO108" s="55">
        <f>(-Проект!AO1251-Старт!AO127)/Параметры!AO$64</f>
        <v>-684375.02083333337</v>
      </c>
      <c r="AP108" s="55">
        <f>(-Проект!AP1251-Старт!AP127)/Параметры!AP$64</f>
        <v>-517708.35416666669</v>
      </c>
      <c r="AQ108" s="55">
        <f>(-Проект!AQ1251-Старт!AQ127)/Параметры!AQ$64</f>
        <v>-351041.6875</v>
      </c>
      <c r="AR108" s="55">
        <f>(-Проект!AR1251-Старт!AR127)/Параметры!AR$64</f>
        <v>-184375.02083333334</v>
      </c>
      <c r="AS108" s="55">
        <f>(-Проект!AS1251-Старт!AS127)/Параметры!AS$64</f>
        <v>-17708.354166666668</v>
      </c>
      <c r="AT108" s="55">
        <f>(-Проект!AT1251-Старт!AT127)/Параметры!AT$64</f>
        <v>0</v>
      </c>
      <c r="AU108" s="55">
        <f>(-Проект!AU1251-Старт!AU127)/Параметры!AU$64</f>
        <v>0</v>
      </c>
      <c r="AV108" s="55">
        <f>(-Проект!AV1251-Старт!AV127)/Параметры!AV$64</f>
        <v>0</v>
      </c>
      <c r="AW108" s="55">
        <f>(-Проект!AW1251-Старт!AW127)/Параметры!AW$64</f>
        <v>0</v>
      </c>
      <c r="AX108" s="55">
        <f>(-Проект!AX1251-Старт!AX127)/Параметры!AX$64</f>
        <v>0</v>
      </c>
      <c r="AY108" s="55">
        <f>(-Проект!AY1251-Старт!AY127)/Параметры!AY$64</f>
        <v>0</v>
      </c>
      <c r="AZ108" s="55">
        <f>(-Проект!AZ1251-Старт!AZ127)/Параметры!AZ$64</f>
        <v>0</v>
      </c>
      <c r="BA108" s="55">
        <f>(-Проект!BA1251-Старт!BA127)/Параметры!BA$64</f>
        <v>0</v>
      </c>
      <c r="BB108" s="55">
        <f>(-Проект!BB1251-Старт!BB127)/Параметры!BB$64</f>
        <v>0</v>
      </c>
      <c r="BC108" s="55"/>
      <c r="BD108" s="57">
        <f>SUM(G108:BC108)</f>
        <v>-109961459.14583334</v>
      </c>
    </row>
    <row r="109" spans="1:56" x14ac:dyDescent="0.3">
      <c r="A109" s="10" t="str">
        <f ca="1">Language!A1230</f>
        <v>Прибыль (убыток) от операционной деятельности</v>
      </c>
      <c r="C109" s="48" t="str">
        <f ca="1">Параметры!$C$64</f>
        <v>руб.</v>
      </c>
      <c r="E109" s="6" t="s">
        <v>971</v>
      </c>
      <c r="F109" s="6" t="s">
        <v>740</v>
      </c>
      <c r="G109" s="55">
        <f ca="1">SUM(G104,G106:G108)</f>
        <v>-4413541.6875</v>
      </c>
      <c r="H109" s="55">
        <f t="shared" ref="H109:L109" ca="1" si="211">SUM(H104,H106:H108)</f>
        <v>-4413541.6875</v>
      </c>
      <c r="I109" s="55">
        <f t="shared" ca="1" si="211"/>
        <v>-4413541.6875</v>
      </c>
      <c r="J109" s="55">
        <f t="shared" ca="1" si="211"/>
        <v>-4413541.6875</v>
      </c>
      <c r="K109" s="55">
        <f t="shared" ca="1" si="211"/>
        <v>-4413541.6875</v>
      </c>
      <c r="L109" s="55">
        <f t="shared" ca="1" si="211"/>
        <v>-4413541.6875</v>
      </c>
      <c r="M109" s="55">
        <f t="shared" ref="M109:N109" ca="1" si="212">SUM(M104,M106:M108)</f>
        <v>-1275921.2827472663</v>
      </c>
      <c r="N109" s="55">
        <f t="shared" ca="1" si="212"/>
        <v>605974.16005008016</v>
      </c>
      <c r="O109" s="55">
        <f t="shared" ref="O109:P109" ca="1" si="213">SUM(O104,O106:O108)</f>
        <v>2521416.172398705</v>
      </c>
      <c r="P109" s="55">
        <f t="shared" ca="1" si="213"/>
        <v>4439142.5668230727</v>
      </c>
      <c r="Q109" s="55">
        <f t="shared" ref="Q109:R109" ca="1" si="214">SUM(Q104,Q106:Q108)</f>
        <v>4531310.8373188861</v>
      </c>
      <c r="R109" s="55">
        <f t="shared" ca="1" si="214"/>
        <v>4602110.7110472564</v>
      </c>
      <c r="S109" s="55">
        <f t="shared" ref="S109:T109" ca="1" si="215">SUM(S104,S106:S108)</f>
        <v>8459048.6280555632</v>
      </c>
      <c r="T109" s="55">
        <f t="shared" ca="1" si="215"/>
        <v>6706187.2956829444</v>
      </c>
      <c r="U109" s="55">
        <f t="shared" ref="U109:V109" ca="1" si="216">SUM(U104,U106:U108)</f>
        <v>4961823.9782654587</v>
      </c>
      <c r="V109" s="55">
        <f t="shared" ca="1" si="216"/>
        <v>5106259.3338160738</v>
      </c>
      <c r="W109" s="55">
        <f t="shared" ref="W109:X109" ca="1" si="217">SUM(W104,W106:W108)</f>
        <v>3358285.5229824926</v>
      </c>
      <c r="X109" s="55">
        <f t="shared" ca="1" si="217"/>
        <v>9214998.8720794786</v>
      </c>
      <c r="Y109" s="55">
        <f t="shared" ref="Y109:Z109" ca="1" si="218">SUM(Y104,Y106:Y108)</f>
        <v>13267797.794187408</v>
      </c>
      <c r="Z109" s="55">
        <f t="shared" ca="1" si="218"/>
        <v>13490132.444159778</v>
      </c>
      <c r="AA109" s="55">
        <f t="shared" ref="AA109:AB109" ca="1" si="219">SUM(AA104,AA106:AA108)</f>
        <v>7919019.4068421666</v>
      </c>
      <c r="AB109" s="55">
        <f t="shared" ca="1" si="219"/>
        <v>4239062.6474880883</v>
      </c>
      <c r="AC109" s="55">
        <f t="shared" ref="AC109:AD109" ca="1" si="220">SUM(AC104,AC106:AC108)</f>
        <v>4428719.3658482414</v>
      </c>
      <c r="AD109" s="55">
        <f t="shared" ca="1" si="220"/>
        <v>6516884.7946081366</v>
      </c>
      <c r="AE109" s="55">
        <f t="shared" ref="AE109:AF109" ca="1" si="221">SUM(AE104,AE106:AE108)</f>
        <v>10612274.859724898</v>
      </c>
      <c r="AF109" s="55">
        <f t="shared" ca="1" si="221"/>
        <v>8864852.8498155084</v>
      </c>
      <c r="AG109" s="55">
        <f t="shared" ref="AG109:AH109" ca="1" si="222">SUM(AG104,AG106:AG108)</f>
        <v>7127095.1125362599</v>
      </c>
      <c r="AH109" s="55">
        <f t="shared" ca="1" si="222"/>
        <v>7334378.2864545062</v>
      </c>
      <c r="AI109" s="55">
        <f t="shared" ref="AI109:AJ109" ca="1" si="223">SUM(AI104,AI106:AI108)</f>
        <v>5571704.1035984829</v>
      </c>
      <c r="AJ109" s="55">
        <f t="shared" ca="1" si="223"/>
        <v>11725208.798134593</v>
      </c>
      <c r="AK109" s="55">
        <f t="shared" ref="AK109:AL109" ca="1" si="224">SUM(AK104,AK106:AK108)</f>
        <v>15934890.531630516</v>
      </c>
      <c r="AL109" s="55">
        <f t="shared" ca="1" si="224"/>
        <v>16156981.545464261</v>
      </c>
      <c r="AM109" s="55">
        <f t="shared" ref="AM109:AN109" ca="1" si="225">SUM(AM104,AM106:AM108)</f>
        <v>10350312.548373347</v>
      </c>
      <c r="AN109" s="55">
        <f t="shared" ca="1" si="225"/>
        <v>6512617.7227326808</v>
      </c>
      <c r="AO109" s="55">
        <f t="shared" ref="AO109:AP109" ca="1" si="226">SUM(AO104,AO106:AO108)</f>
        <v>6701809.0139154</v>
      </c>
      <c r="AP109" s="55">
        <f t="shared" ca="1" si="226"/>
        <v>8864851.4317231681</v>
      </c>
      <c r="AQ109" s="55">
        <f t="shared" ref="AQ109:AR109" ca="1" si="227">SUM(AQ104,AQ106:AQ108)</f>
        <v>13115855.074415233</v>
      </c>
      <c r="AR109" s="55">
        <f t="shared" ca="1" si="227"/>
        <v>11289854.932880884</v>
      </c>
      <c r="AS109" s="55">
        <f t="shared" ref="AS109:AT109" ca="1" si="228">SUM(AS104,AS106:AS108)</f>
        <v>9474836.4252818767</v>
      </c>
      <c r="AT109" s="55">
        <f t="shared" ca="1" si="228"/>
        <v>9533274.3319232762</v>
      </c>
      <c r="AU109" s="55">
        <f t="shared" ref="AU109:AV109" ca="1" si="229">SUM(AU104,AU106:AU108)</f>
        <v>7526294.5958559671</v>
      </c>
      <c r="AV109" s="55">
        <f t="shared" ca="1" si="229"/>
        <v>13747778.973990262</v>
      </c>
      <c r="AW109" s="55">
        <f t="shared" ref="AW109:AX109" ca="1" si="230">SUM(AW104,AW106:AW108)</f>
        <v>17947660.979571991</v>
      </c>
      <c r="AX109" s="55">
        <f t="shared" ca="1" si="230"/>
        <v>18002384.125241201</v>
      </c>
      <c r="AY109" s="55">
        <f t="shared" ref="AY109:AZ109" ca="1" si="231">SUM(AY104,AY106:AY108)</f>
        <v>11792795.801780686</v>
      </c>
      <c r="AZ109" s="55">
        <f t="shared" ca="1" si="231"/>
        <v>7630262.0935439104</v>
      </c>
      <c r="BA109" s="55">
        <f t="shared" ref="BA109:BB109" ca="1" si="232">SUM(BA104,BA106:BA108)</f>
        <v>7652065.3442293936</v>
      </c>
      <c r="BB109" s="55">
        <f t="shared" ca="1" si="232"/>
        <v>9722815.6647878699</v>
      </c>
      <c r="BC109" s="55"/>
      <c r="BD109" s="57">
        <f ca="1">SUM(G109:BC109)</f>
        <v>329803858.27151275</v>
      </c>
    </row>
    <row r="110" spans="1:56" x14ac:dyDescent="0.3">
      <c r="A110" s="10"/>
      <c r="G110" s="55"/>
      <c r="H110" s="55"/>
      <c r="I110" s="55"/>
      <c r="J110" s="55"/>
      <c r="K110" s="55"/>
      <c r="L110" s="55"/>
      <c r="M110" s="55"/>
      <c r="N110" s="55"/>
      <c r="O110" s="55"/>
      <c r="P110" s="55"/>
      <c r="Q110" s="55"/>
      <c r="R110" s="55"/>
      <c r="S110" s="55"/>
      <c r="T110" s="55"/>
      <c r="U110" s="55"/>
      <c r="V110" s="55"/>
      <c r="W110" s="55"/>
      <c r="X110" s="55"/>
      <c r="Y110" s="55"/>
      <c r="Z110" s="55"/>
      <c r="AA110" s="55"/>
      <c r="AB110" s="55"/>
      <c r="AC110" s="55"/>
      <c r="AD110" s="55"/>
      <c r="AE110" s="55"/>
      <c r="AF110" s="55"/>
      <c r="AG110" s="55"/>
      <c r="AH110" s="55"/>
      <c r="AI110" s="55"/>
      <c r="AJ110" s="55"/>
      <c r="AK110" s="55"/>
      <c r="AL110" s="55"/>
      <c r="AM110" s="55"/>
      <c r="AN110" s="55"/>
      <c r="AO110" s="55"/>
      <c r="AP110" s="55"/>
      <c r="AQ110" s="55"/>
      <c r="AR110" s="55"/>
      <c r="AS110" s="55"/>
      <c r="AT110" s="55"/>
      <c r="AU110" s="55"/>
      <c r="AV110" s="55"/>
      <c r="AW110" s="55"/>
      <c r="AX110" s="55"/>
      <c r="AY110" s="55"/>
      <c r="AZ110" s="55"/>
      <c r="BA110" s="55"/>
      <c r="BB110" s="55"/>
      <c r="BC110" s="55"/>
      <c r="BD110" s="57"/>
    </row>
    <row r="111" spans="1:56" x14ac:dyDescent="0.3">
      <c r="A111" s="35" t="str">
        <f ca="1">Language!A1231</f>
        <v>Доходы от реализации внеоборотных активов</v>
      </c>
      <c r="C111" s="48" t="str">
        <f ca="1">Параметры!$C$64</f>
        <v>руб.</v>
      </c>
      <c r="E111" s="6" t="s">
        <v>972</v>
      </c>
      <c r="F111" s="6" t="s">
        <v>740</v>
      </c>
      <c r="G111" s="55">
        <f>SUM(Проект!G948,Проект!G960,Проект!G975,Проект!G987,Проект!G986)/Параметры!G$64</f>
        <v>0</v>
      </c>
      <c r="H111" s="55">
        <f>SUM(Проект!H948,Проект!H960,Проект!H975,Проект!H987,Проект!H986)/Параметры!H$64</f>
        <v>0</v>
      </c>
      <c r="I111" s="55">
        <f>SUM(Проект!I948,Проект!I960,Проект!I975,Проект!I987,Проект!I986)/Параметры!I$64</f>
        <v>0</v>
      </c>
      <c r="J111" s="55">
        <f>SUM(Проект!J948,Проект!J960,Проект!J975,Проект!J987,Проект!J986)/Параметры!J$64</f>
        <v>0</v>
      </c>
      <c r="K111" s="55">
        <f>SUM(Проект!K948,Проект!K960,Проект!K975,Проект!K987,Проект!K986)/Параметры!K$64</f>
        <v>0</v>
      </c>
      <c r="L111" s="55">
        <f>SUM(Проект!L948,Проект!L960,Проект!L975,Проект!L987,Проект!L986)/Параметры!L$64</f>
        <v>0</v>
      </c>
      <c r="M111" s="55">
        <f>SUM(Проект!M948,Проект!M960,Проект!M975,Проект!M987,Проект!M986)/Параметры!M$64</f>
        <v>0</v>
      </c>
      <c r="N111" s="55">
        <f>SUM(Проект!N948,Проект!N960,Проект!N975,Проект!N987,Проект!N986)/Параметры!N$64</f>
        <v>0</v>
      </c>
      <c r="O111" s="55">
        <f>SUM(Проект!O948,Проект!O960,Проект!O975,Проект!O987,Проект!O986)/Параметры!O$64</f>
        <v>0</v>
      </c>
      <c r="P111" s="55">
        <f>SUM(Проект!P948,Проект!P960,Проект!P975,Проект!P987,Проект!P986)/Параметры!P$64</f>
        <v>0</v>
      </c>
      <c r="Q111" s="55">
        <f>SUM(Проект!Q948,Проект!Q960,Проект!Q975,Проект!Q987,Проект!Q986)/Параметры!Q$64</f>
        <v>0</v>
      </c>
      <c r="R111" s="55">
        <f>SUM(Проект!R948,Проект!R960,Проект!R975,Проект!R987,Проект!R986)/Параметры!R$64</f>
        <v>0</v>
      </c>
      <c r="S111" s="55">
        <f>SUM(Проект!S948,Проект!S960,Проект!S975,Проект!S987,Проект!S986)/Параметры!S$64</f>
        <v>0</v>
      </c>
      <c r="T111" s="55">
        <f>SUM(Проект!T948,Проект!T960,Проект!T975,Проект!T987,Проект!T986)/Параметры!T$64</f>
        <v>0</v>
      </c>
      <c r="U111" s="55">
        <f>SUM(Проект!U948,Проект!U960,Проект!U975,Проект!U987,Проект!U986)/Параметры!U$64</f>
        <v>0</v>
      </c>
      <c r="V111" s="55">
        <f>SUM(Проект!V948,Проект!V960,Проект!V975,Проект!V987,Проект!V986)/Параметры!V$64</f>
        <v>0</v>
      </c>
      <c r="W111" s="55">
        <f>SUM(Проект!W948,Проект!W960,Проект!W975,Проект!W987,Проект!W986)/Параметры!W$64</f>
        <v>0</v>
      </c>
      <c r="X111" s="55">
        <f>SUM(Проект!X948,Проект!X960,Проект!X975,Проект!X987,Проект!X986)/Параметры!X$64</f>
        <v>0</v>
      </c>
      <c r="Y111" s="55">
        <f>SUM(Проект!Y948,Проект!Y960,Проект!Y975,Проект!Y987,Проект!Y986)/Параметры!Y$64</f>
        <v>0</v>
      </c>
      <c r="Z111" s="55">
        <f>SUM(Проект!Z948,Проект!Z960,Проект!Z975,Проект!Z987,Проект!Z986)/Параметры!Z$64</f>
        <v>0</v>
      </c>
      <c r="AA111" s="55">
        <f>SUM(Проект!AA948,Проект!AA960,Проект!AA975,Проект!AA987,Проект!AA986)/Параметры!AA$64</f>
        <v>0</v>
      </c>
      <c r="AB111" s="55">
        <f>SUM(Проект!AB948,Проект!AB960,Проект!AB975,Проект!AB987,Проект!AB986)/Параметры!AB$64</f>
        <v>0</v>
      </c>
      <c r="AC111" s="55">
        <f>SUM(Проект!AC948,Проект!AC960,Проект!AC975,Проект!AC987,Проект!AC986)/Параметры!AC$64</f>
        <v>0</v>
      </c>
      <c r="AD111" s="55">
        <f>SUM(Проект!AD948,Проект!AD960,Проект!AD975,Проект!AD987,Проект!AD986)/Параметры!AD$64</f>
        <v>0</v>
      </c>
      <c r="AE111" s="55">
        <f>SUM(Проект!AE948,Проект!AE960,Проект!AE975,Проект!AE987,Проект!AE986)/Параметры!AE$64</f>
        <v>0</v>
      </c>
      <c r="AF111" s="55">
        <f>SUM(Проект!AF948,Проект!AF960,Проект!AF975,Проект!AF987,Проект!AF986)/Параметры!AF$64</f>
        <v>0</v>
      </c>
      <c r="AG111" s="55">
        <f>SUM(Проект!AG948,Проект!AG960,Проект!AG975,Проект!AG987,Проект!AG986)/Параметры!AG$64</f>
        <v>0</v>
      </c>
      <c r="AH111" s="55">
        <f>SUM(Проект!AH948,Проект!AH960,Проект!AH975,Проект!AH987,Проект!AH986)/Параметры!AH$64</f>
        <v>0</v>
      </c>
      <c r="AI111" s="55">
        <f>SUM(Проект!AI948,Проект!AI960,Проект!AI975,Проект!AI987,Проект!AI986)/Параметры!AI$64</f>
        <v>0</v>
      </c>
      <c r="AJ111" s="55">
        <f>SUM(Проект!AJ948,Проект!AJ960,Проект!AJ975,Проект!AJ987,Проект!AJ986)/Параметры!AJ$64</f>
        <v>0</v>
      </c>
      <c r="AK111" s="55">
        <f>SUM(Проект!AK948,Проект!AK960,Проект!AK975,Проект!AK987,Проект!AK986)/Параметры!AK$64</f>
        <v>0</v>
      </c>
      <c r="AL111" s="55">
        <f>SUM(Проект!AL948,Проект!AL960,Проект!AL975,Проект!AL987,Проект!AL986)/Параметры!AL$64</f>
        <v>0</v>
      </c>
      <c r="AM111" s="55">
        <f>SUM(Проект!AM948,Проект!AM960,Проект!AM975,Проект!AM987,Проект!AM986)/Параметры!AM$64</f>
        <v>0</v>
      </c>
      <c r="AN111" s="55">
        <f>SUM(Проект!AN948,Проект!AN960,Проект!AN975,Проект!AN987,Проект!AN986)/Параметры!AN$64</f>
        <v>0</v>
      </c>
      <c r="AO111" s="55">
        <f>SUM(Проект!AO948,Проект!AO960,Проект!AO975,Проект!AO987,Проект!AO986)/Параметры!AO$64</f>
        <v>0</v>
      </c>
      <c r="AP111" s="55">
        <f>SUM(Проект!AP948,Проект!AP960,Проект!AP975,Проект!AP987,Проект!AP986)/Параметры!AP$64</f>
        <v>0</v>
      </c>
      <c r="AQ111" s="55">
        <f>SUM(Проект!AQ948,Проект!AQ960,Проект!AQ975,Проект!AQ987,Проект!AQ986)/Параметры!AQ$64</f>
        <v>0</v>
      </c>
      <c r="AR111" s="55">
        <f>SUM(Проект!AR948,Проект!AR960,Проект!AR975,Проект!AR987,Проект!AR986)/Параметры!AR$64</f>
        <v>0</v>
      </c>
      <c r="AS111" s="55">
        <f>SUM(Проект!AS948,Проект!AS960,Проект!AS975,Проект!AS987,Проект!AS986)/Параметры!AS$64</f>
        <v>0</v>
      </c>
      <c r="AT111" s="55">
        <f>SUM(Проект!AT948,Проект!AT960,Проект!AT975,Проект!AT987,Проект!AT986)/Параметры!AT$64</f>
        <v>0</v>
      </c>
      <c r="AU111" s="55">
        <f>SUM(Проект!AU948,Проект!AU960,Проект!AU975,Проект!AU987,Проект!AU986)/Параметры!AU$64</f>
        <v>0</v>
      </c>
      <c r="AV111" s="55">
        <f>SUM(Проект!AV948,Проект!AV960,Проект!AV975,Проект!AV987,Проект!AV986)/Параметры!AV$64</f>
        <v>0</v>
      </c>
      <c r="AW111" s="55">
        <f>SUM(Проект!AW948,Проект!AW960,Проект!AW975,Проект!AW987,Проект!AW986)/Параметры!AW$64</f>
        <v>0</v>
      </c>
      <c r="AX111" s="55">
        <f>SUM(Проект!AX948,Проект!AX960,Проект!AX975,Проект!AX987,Проект!AX986)/Параметры!AX$64</f>
        <v>0</v>
      </c>
      <c r="AY111" s="55">
        <f>SUM(Проект!AY948,Проект!AY960,Проект!AY975,Проект!AY987,Проект!AY986)/Параметры!AY$64</f>
        <v>0</v>
      </c>
      <c r="AZ111" s="55">
        <f>SUM(Проект!AZ948,Проект!AZ960,Проект!AZ975,Проект!AZ987,Проект!AZ986)/Параметры!AZ$64</f>
        <v>0</v>
      </c>
      <c r="BA111" s="55">
        <f>SUM(Проект!BA948,Проект!BA960,Проект!BA975,Проект!BA987,Проект!BA986)/Параметры!BA$64</f>
        <v>0</v>
      </c>
      <c r="BB111" s="55">
        <f>SUM(Проект!BB948,Проект!BB960,Проект!BB975,Проект!BB987,Проект!BB986)/Параметры!BB$64</f>
        <v>0</v>
      </c>
      <c r="BC111" s="55"/>
      <c r="BD111" s="57">
        <f t="shared" ref="BD111:BD117" si="233">SUM(G111:BC111)</f>
        <v>0</v>
      </c>
    </row>
    <row r="112" spans="1:56" x14ac:dyDescent="0.3">
      <c r="A112" s="35" t="str">
        <f ca="1">Language!A1232</f>
        <v>Курсовые разницы</v>
      </c>
      <c r="C112" s="48" t="str">
        <f ca="1">Параметры!$C$64</f>
        <v>руб.</v>
      </c>
      <c r="E112" s="6" t="s">
        <v>973</v>
      </c>
      <c r="F112" s="6" t="s">
        <v>740</v>
      </c>
      <c r="G112" s="55">
        <f>SUM(Проект!G995,Проект!G1084,Проект!G1092,Проект!G1136,Проект!G1259)/Параметры!G$64</f>
        <v>0</v>
      </c>
      <c r="H112" s="55">
        <f>SUM(Проект!H995,Проект!H1084,Проект!H1092,Проект!H1136,Проект!H1259)/Параметры!H$64</f>
        <v>0</v>
      </c>
      <c r="I112" s="55">
        <f>SUM(Проект!I995,Проект!I1084,Проект!I1092,Проект!I1136,Проект!I1259)/Параметры!I$64</f>
        <v>0</v>
      </c>
      <c r="J112" s="55">
        <f>SUM(Проект!J995,Проект!J1084,Проект!J1092,Проект!J1136,Проект!J1259)/Параметры!J$64</f>
        <v>0</v>
      </c>
      <c r="K112" s="55">
        <f>SUM(Проект!K995,Проект!K1084,Проект!K1092,Проект!K1136,Проект!K1259)/Параметры!K$64</f>
        <v>0</v>
      </c>
      <c r="L112" s="55">
        <f>SUM(Проект!L995,Проект!L1084,Проект!L1092,Проект!L1136,Проект!L1259)/Параметры!L$64</f>
        <v>0</v>
      </c>
      <c r="M112" s="55">
        <f>SUM(Проект!M995,Проект!M1084,Проект!M1092,Проект!M1136,Проект!M1259)/Параметры!M$64</f>
        <v>1.1175870895385742E-8</v>
      </c>
      <c r="N112" s="55">
        <f>SUM(Проект!N995,Проект!N1084,Проект!N1092,Проект!N1136,Проект!N1259)/Параметры!N$64</f>
        <v>-2.6077032089233398E-8</v>
      </c>
      <c r="O112" s="55">
        <f>SUM(Проект!O995,Проект!O1084,Проект!O1092,Проект!O1136,Проект!O1259)/Параметры!O$64</f>
        <v>0</v>
      </c>
      <c r="P112" s="55">
        <f>SUM(Проект!P995,Проект!P1084,Проект!P1092,Проект!P1136,Проект!P1259)/Параметры!P$64</f>
        <v>0</v>
      </c>
      <c r="Q112" s="55">
        <f>SUM(Проект!Q995,Проект!Q1084,Проект!Q1092,Проект!Q1136,Проект!Q1259)/Параметры!Q$64</f>
        <v>0</v>
      </c>
      <c r="R112" s="55">
        <f>SUM(Проект!R995,Проект!R1084,Проект!R1092,Проект!R1136,Проект!R1259)/Параметры!R$64</f>
        <v>-1.862645149230957E-9</v>
      </c>
      <c r="S112" s="55">
        <f>SUM(Проект!S995,Проект!S1084,Проект!S1092,Проект!S1136,Проект!S1259)/Параметры!S$64</f>
        <v>1.862645149230957E-9</v>
      </c>
      <c r="T112" s="55">
        <f>SUM(Проект!T995,Проект!T1084,Проект!T1092,Проект!T1136,Проект!T1259)/Параметры!T$64</f>
        <v>0</v>
      </c>
      <c r="U112" s="55">
        <f>SUM(Проект!U995,Проект!U1084,Проект!U1092,Проект!U1136,Проект!U1259)/Параметры!U$64</f>
        <v>-3.7252902984619141E-9</v>
      </c>
      <c r="V112" s="55">
        <f>SUM(Проект!V995,Проект!V1084,Проект!V1092,Проект!V1136,Проект!V1259)/Параметры!V$64</f>
        <v>7.4505805969238281E-9</v>
      </c>
      <c r="W112" s="55">
        <f>SUM(Проект!W995,Проект!W1084,Проект!W1092,Проект!W1136,Проект!W1259)/Параметры!W$64</f>
        <v>-3.7252902984619141E-9</v>
      </c>
      <c r="X112" s="55">
        <f>SUM(Проект!X995,Проект!X1084,Проект!X1092,Проект!X1136,Проект!X1259)/Параметры!X$64</f>
        <v>7.4505805969238281E-9</v>
      </c>
      <c r="Y112" s="55">
        <f>SUM(Проект!Y995,Проект!Y1084,Проект!Y1092,Проект!Y1136,Проект!Y1259)/Параметры!Y$64</f>
        <v>0</v>
      </c>
      <c r="Z112" s="55">
        <f>SUM(Проект!Z995,Проект!Z1084,Проект!Z1092,Проект!Z1136,Проект!Z1259)/Параметры!Z$64</f>
        <v>-7.4505805969238281E-9</v>
      </c>
      <c r="AA112" s="55">
        <f>SUM(Проект!AA995,Проект!AA1084,Проект!AA1092,Проект!AA1136,Проект!AA1259)/Параметры!AA$64</f>
        <v>7.4505805969238281E-9</v>
      </c>
      <c r="AB112" s="55">
        <f>SUM(Проект!AB995,Проект!AB1084,Проект!AB1092,Проект!AB1136,Проект!AB1259)/Параметры!AB$64</f>
        <v>0</v>
      </c>
      <c r="AC112" s="55">
        <f>SUM(Проект!AC995,Проект!AC1084,Проект!AC1092,Проект!AC1136,Проект!AC1259)/Параметры!AC$64</f>
        <v>-7.4505805969238281E-9</v>
      </c>
      <c r="AD112" s="55">
        <f>SUM(Проект!AD995,Проект!AD1084,Проект!AD1092,Проект!AD1136,Проект!AD1259)/Параметры!AD$64</f>
        <v>7.4505805969238281E-9</v>
      </c>
      <c r="AE112" s="55">
        <f>SUM(Проект!AE995,Проект!AE1084,Проект!AE1092,Проект!AE1136,Проект!AE1259)/Параметры!AE$64</f>
        <v>0</v>
      </c>
      <c r="AF112" s="55">
        <f>SUM(Проект!AF995,Проект!AF1084,Проект!AF1092,Проект!AF1136,Проект!AF1259)/Параметры!AF$64</f>
        <v>-7.4505805969238281E-9</v>
      </c>
      <c r="AG112" s="55">
        <f>SUM(Проект!AG995,Проект!AG1084,Проект!AG1092,Проект!AG1136,Проект!AG1259)/Параметры!AG$64</f>
        <v>7.4505805969238281E-9</v>
      </c>
      <c r="AH112" s="55">
        <f>SUM(Проект!AH995,Проект!AH1084,Проект!AH1092,Проект!AH1136,Проект!AH1259)/Параметры!AH$64</f>
        <v>0</v>
      </c>
      <c r="AI112" s="55">
        <f>SUM(Проект!AI995,Проект!AI1084,Проект!AI1092,Проект!AI1136,Проект!AI1259)/Параметры!AI$64</f>
        <v>-7.4505805969238281E-9</v>
      </c>
      <c r="AJ112" s="55">
        <f>SUM(Проект!AJ995,Проект!AJ1084,Проект!AJ1092,Проект!AJ1136,Проект!AJ1259)/Параметры!AJ$64</f>
        <v>0</v>
      </c>
      <c r="AK112" s="55">
        <f>SUM(Проект!AK995,Проект!AK1084,Проект!AK1092,Проект!AK1136,Проект!AK1259)/Параметры!AK$64</f>
        <v>0</v>
      </c>
      <c r="AL112" s="55">
        <f>SUM(Проект!AL995,Проект!AL1084,Проект!AL1092,Проект!AL1136,Проект!AL1259)/Параметры!AL$64</f>
        <v>0</v>
      </c>
      <c r="AM112" s="55">
        <f>SUM(Проект!AM995,Проект!AM1084,Проект!AM1092,Проект!AM1136,Проект!AM1259)/Параметры!AM$64</f>
        <v>0</v>
      </c>
      <c r="AN112" s="55">
        <f>SUM(Проект!AN995,Проект!AN1084,Проект!AN1092,Проект!AN1136,Проект!AN1259)/Параметры!AN$64</f>
        <v>0</v>
      </c>
      <c r="AO112" s="55">
        <f>SUM(Проект!AO995,Проект!AO1084,Проект!AO1092,Проект!AO1136,Проект!AO1259)/Параметры!AO$64</f>
        <v>0</v>
      </c>
      <c r="AP112" s="55">
        <f>SUM(Проект!AP995,Проект!AP1084,Проект!AP1092,Проект!AP1136,Проект!AP1259)/Параметры!AP$64</f>
        <v>0</v>
      </c>
      <c r="AQ112" s="55">
        <f>SUM(Проект!AQ995,Проект!AQ1084,Проект!AQ1092,Проект!AQ1136,Проект!AQ1259)/Параметры!AQ$64</f>
        <v>0</v>
      </c>
      <c r="AR112" s="55">
        <f>SUM(Проект!AR995,Проект!AR1084,Проект!AR1092,Проект!AR1136,Проект!AR1259)/Параметры!AR$64</f>
        <v>0</v>
      </c>
      <c r="AS112" s="55">
        <f>SUM(Проект!AS995,Проект!AS1084,Проект!AS1092,Проект!AS1136,Проект!AS1259)/Параметры!AS$64</f>
        <v>0</v>
      </c>
      <c r="AT112" s="55">
        <f>SUM(Проект!AT995,Проект!AT1084,Проект!AT1092,Проект!AT1136,Проект!AT1259)/Параметры!AT$64</f>
        <v>0</v>
      </c>
      <c r="AU112" s="55">
        <f>SUM(Проект!AU995,Проект!AU1084,Проект!AU1092,Проект!AU1136,Проект!AU1259)/Параметры!AU$64</f>
        <v>0</v>
      </c>
      <c r="AV112" s="55">
        <f>SUM(Проект!AV995,Проект!AV1084,Проект!AV1092,Проект!AV1136,Проект!AV1259)/Параметры!AV$64</f>
        <v>0</v>
      </c>
      <c r="AW112" s="55">
        <f>SUM(Проект!AW995,Проект!AW1084,Проект!AW1092,Проект!AW1136,Проект!AW1259)/Параметры!AW$64</f>
        <v>0</v>
      </c>
      <c r="AX112" s="55">
        <f>SUM(Проект!AX995,Проект!AX1084,Проект!AX1092,Проект!AX1136,Проект!AX1259)/Параметры!AX$64</f>
        <v>0</v>
      </c>
      <c r="AY112" s="55">
        <f>SUM(Проект!AY995,Проект!AY1084,Проект!AY1092,Проект!AY1136,Проект!AY1259)/Параметры!AY$64</f>
        <v>0</v>
      </c>
      <c r="AZ112" s="55">
        <f>SUM(Проект!AZ995,Проект!AZ1084,Проект!AZ1092,Проект!AZ1136,Проект!AZ1259)/Параметры!AZ$64</f>
        <v>0</v>
      </c>
      <c r="BA112" s="55">
        <f>SUM(Проект!BA995,Проект!BA1084,Проект!BA1092,Проект!BA1136,Проект!BA1259)/Параметры!BA$64</f>
        <v>0</v>
      </c>
      <c r="BB112" s="55">
        <f>SUM(Проект!BB995,Проект!BB1084,Проект!BB1092,Проект!BB1136,Проект!BB1259)/Параметры!BB$64</f>
        <v>0</v>
      </c>
      <c r="BC112" s="55"/>
      <c r="BD112" s="57">
        <f t="shared" si="233"/>
        <v>-1.4901161193847656E-8</v>
      </c>
    </row>
    <row r="113" spans="1:56" x14ac:dyDescent="0.3">
      <c r="A113" s="35" t="str">
        <f ca="1">Language!A1233</f>
        <v>Прочие доходы</v>
      </c>
      <c r="C113" s="48" t="str">
        <f ca="1">Параметры!$C$64</f>
        <v>руб.</v>
      </c>
      <c r="E113" s="6" t="s">
        <v>974</v>
      </c>
      <c r="F113" s="6" t="s">
        <v>740</v>
      </c>
      <c r="G113" s="55">
        <f>SUM(Проект!G1088,Проект!G1132,Проект!G1160)/Параметры!G$64</f>
        <v>0</v>
      </c>
      <c r="H113" s="55">
        <f>SUM(Проект!H1088,Проект!H1132,Проект!H1160)/Параметры!H$64</f>
        <v>0</v>
      </c>
      <c r="I113" s="55">
        <f>SUM(Проект!I1088,Проект!I1132,Проект!I1160)/Параметры!I$64</f>
        <v>0</v>
      </c>
      <c r="J113" s="55">
        <f>SUM(Проект!J1088,Проект!J1132,Проект!J1160)/Параметры!J$64</f>
        <v>0</v>
      </c>
      <c r="K113" s="55">
        <f>SUM(Проект!K1088,Проект!K1132,Проект!K1160)/Параметры!K$64</f>
        <v>0</v>
      </c>
      <c r="L113" s="55">
        <f>SUM(Проект!L1088,Проект!L1132,Проект!L1160)/Параметры!L$64</f>
        <v>0</v>
      </c>
      <c r="M113" s="55">
        <f>SUM(Проект!M1088,Проект!M1132,Проект!M1160)/Параметры!M$64</f>
        <v>0</v>
      </c>
      <c r="N113" s="55">
        <f>SUM(Проект!N1088,Проект!N1132,Проект!N1160)/Параметры!N$64</f>
        <v>0</v>
      </c>
      <c r="O113" s="55">
        <f>SUM(Проект!O1088,Проект!O1132,Проект!O1160)/Параметры!O$64</f>
        <v>0</v>
      </c>
      <c r="P113" s="55">
        <f>SUM(Проект!P1088,Проект!P1132,Проект!P1160)/Параметры!P$64</f>
        <v>0</v>
      </c>
      <c r="Q113" s="55">
        <f>SUM(Проект!Q1088,Проект!Q1132,Проект!Q1160)/Параметры!Q$64</f>
        <v>0</v>
      </c>
      <c r="R113" s="55">
        <f>SUM(Проект!R1088,Проект!R1132,Проект!R1160)/Параметры!R$64</f>
        <v>0</v>
      </c>
      <c r="S113" s="55">
        <f>SUM(Проект!S1088,Проект!S1132,Проект!S1160)/Параметры!S$64</f>
        <v>0</v>
      </c>
      <c r="T113" s="55">
        <f>SUM(Проект!T1088,Проект!T1132,Проект!T1160)/Параметры!T$64</f>
        <v>0</v>
      </c>
      <c r="U113" s="55">
        <f>SUM(Проект!U1088,Проект!U1132,Проект!U1160)/Параметры!U$64</f>
        <v>0</v>
      </c>
      <c r="V113" s="55">
        <f>SUM(Проект!V1088,Проект!V1132,Проект!V1160)/Параметры!V$64</f>
        <v>0</v>
      </c>
      <c r="W113" s="55">
        <f>SUM(Проект!W1088,Проект!W1132,Проект!W1160)/Параметры!W$64</f>
        <v>0</v>
      </c>
      <c r="X113" s="55">
        <f>SUM(Проект!X1088,Проект!X1132,Проект!X1160)/Параметры!X$64</f>
        <v>0</v>
      </c>
      <c r="Y113" s="55">
        <f>SUM(Проект!Y1088,Проект!Y1132,Проект!Y1160)/Параметры!Y$64</f>
        <v>0</v>
      </c>
      <c r="Z113" s="55">
        <f>SUM(Проект!Z1088,Проект!Z1132,Проект!Z1160)/Параметры!Z$64</f>
        <v>0</v>
      </c>
      <c r="AA113" s="55">
        <f>SUM(Проект!AA1088,Проект!AA1132,Проект!AA1160)/Параметры!AA$64</f>
        <v>0</v>
      </c>
      <c r="AB113" s="55">
        <f>SUM(Проект!AB1088,Проект!AB1132,Проект!AB1160)/Параметры!AB$64</f>
        <v>0</v>
      </c>
      <c r="AC113" s="55">
        <f>SUM(Проект!AC1088,Проект!AC1132,Проект!AC1160)/Параметры!AC$64</f>
        <v>0</v>
      </c>
      <c r="AD113" s="55">
        <f>SUM(Проект!AD1088,Проект!AD1132,Проект!AD1160)/Параметры!AD$64</f>
        <v>0</v>
      </c>
      <c r="AE113" s="55">
        <f>SUM(Проект!AE1088,Проект!AE1132,Проект!AE1160)/Параметры!AE$64</f>
        <v>0</v>
      </c>
      <c r="AF113" s="55">
        <f>SUM(Проект!AF1088,Проект!AF1132,Проект!AF1160)/Параметры!AF$64</f>
        <v>0</v>
      </c>
      <c r="AG113" s="55">
        <f>SUM(Проект!AG1088,Проект!AG1132,Проект!AG1160)/Параметры!AG$64</f>
        <v>0</v>
      </c>
      <c r="AH113" s="55">
        <f>SUM(Проект!AH1088,Проект!AH1132,Проект!AH1160)/Параметры!AH$64</f>
        <v>0</v>
      </c>
      <c r="AI113" s="55">
        <f>SUM(Проект!AI1088,Проект!AI1132,Проект!AI1160)/Параметры!AI$64</f>
        <v>0</v>
      </c>
      <c r="AJ113" s="55">
        <f>SUM(Проект!AJ1088,Проект!AJ1132,Проект!AJ1160)/Параметры!AJ$64</f>
        <v>0</v>
      </c>
      <c r="AK113" s="55">
        <f>SUM(Проект!AK1088,Проект!AK1132,Проект!AK1160)/Параметры!AK$64</f>
        <v>0</v>
      </c>
      <c r="AL113" s="55">
        <f>SUM(Проект!AL1088,Проект!AL1132,Проект!AL1160)/Параметры!AL$64</f>
        <v>0</v>
      </c>
      <c r="AM113" s="55">
        <f>SUM(Проект!AM1088,Проект!AM1132,Проект!AM1160)/Параметры!AM$64</f>
        <v>0</v>
      </c>
      <c r="AN113" s="55">
        <f>SUM(Проект!AN1088,Проект!AN1132,Проект!AN1160)/Параметры!AN$64</f>
        <v>0</v>
      </c>
      <c r="AO113" s="55">
        <f>SUM(Проект!AO1088,Проект!AO1132,Проект!AO1160)/Параметры!AO$64</f>
        <v>0</v>
      </c>
      <c r="AP113" s="55">
        <f>SUM(Проект!AP1088,Проект!AP1132,Проект!AP1160)/Параметры!AP$64</f>
        <v>0</v>
      </c>
      <c r="AQ113" s="55">
        <f>SUM(Проект!AQ1088,Проект!AQ1132,Проект!AQ1160)/Параметры!AQ$64</f>
        <v>0</v>
      </c>
      <c r="AR113" s="55">
        <f>SUM(Проект!AR1088,Проект!AR1132,Проект!AR1160)/Параметры!AR$64</f>
        <v>0</v>
      </c>
      <c r="AS113" s="55">
        <f>SUM(Проект!AS1088,Проект!AS1132,Проект!AS1160)/Параметры!AS$64</f>
        <v>0</v>
      </c>
      <c r="AT113" s="55">
        <f>SUM(Проект!AT1088,Проект!AT1132,Проект!AT1160)/Параметры!AT$64</f>
        <v>0</v>
      </c>
      <c r="AU113" s="55">
        <f>SUM(Проект!AU1088,Проект!AU1132,Проект!AU1160)/Параметры!AU$64</f>
        <v>0</v>
      </c>
      <c r="AV113" s="55">
        <f>SUM(Проект!AV1088,Проект!AV1132,Проект!AV1160)/Параметры!AV$64</f>
        <v>0</v>
      </c>
      <c r="AW113" s="55">
        <f>SUM(Проект!AW1088,Проект!AW1132,Проект!AW1160)/Параметры!AW$64</f>
        <v>0</v>
      </c>
      <c r="AX113" s="55">
        <f>SUM(Проект!AX1088,Проект!AX1132,Проект!AX1160)/Параметры!AX$64</f>
        <v>0</v>
      </c>
      <c r="AY113" s="55">
        <f>SUM(Проект!AY1088,Проект!AY1132,Проект!AY1160)/Параметры!AY$64</f>
        <v>0</v>
      </c>
      <c r="AZ113" s="55">
        <f>SUM(Проект!AZ1088,Проект!AZ1132,Проект!AZ1160)/Параметры!AZ$64</f>
        <v>0</v>
      </c>
      <c r="BA113" s="55">
        <f>SUM(Проект!BA1088,Проект!BA1132,Проект!BA1160)/Параметры!BA$64</f>
        <v>0</v>
      </c>
      <c r="BB113" s="55">
        <f>SUM(Проект!BB1088,Проект!BB1132,Проект!BB1160)/Параметры!BB$64</f>
        <v>0</v>
      </c>
      <c r="BC113" s="55"/>
      <c r="BD113" s="57">
        <f t="shared" si="233"/>
        <v>0</v>
      </c>
    </row>
    <row r="114" spans="1:56" x14ac:dyDescent="0.3">
      <c r="A114" s="35" t="str">
        <f ca="1">Language!A1234</f>
        <v>Прочие расходы</v>
      </c>
      <c r="C114" s="48" t="str">
        <f ca="1">Параметры!$C$64</f>
        <v>руб.</v>
      </c>
      <c r="E114" s="6" t="s">
        <v>975</v>
      </c>
      <c r="F114" s="6" t="s">
        <v>740</v>
      </c>
      <c r="G114" s="55">
        <f>SUM(Проект!G1163)/Параметры!G$64</f>
        <v>0</v>
      </c>
      <c r="H114" s="55">
        <f>SUM(Проект!H1163)/Параметры!H$64</f>
        <v>0</v>
      </c>
      <c r="I114" s="55">
        <f>SUM(Проект!I1163)/Параметры!I$64</f>
        <v>0</v>
      </c>
      <c r="J114" s="55">
        <f>SUM(Проект!J1163)/Параметры!J$64</f>
        <v>0</v>
      </c>
      <c r="K114" s="55">
        <f>SUM(Проект!K1163)/Параметры!K$64</f>
        <v>0</v>
      </c>
      <c r="L114" s="55">
        <f>SUM(Проект!L1163)/Параметры!L$64</f>
        <v>0</v>
      </c>
      <c r="M114" s="55">
        <f>SUM(Проект!M1163)/Параметры!M$64</f>
        <v>0</v>
      </c>
      <c r="N114" s="55">
        <f>SUM(Проект!N1163)/Параметры!N$64</f>
        <v>0</v>
      </c>
      <c r="O114" s="55">
        <f>SUM(Проект!O1163)/Параметры!O$64</f>
        <v>0</v>
      </c>
      <c r="P114" s="55">
        <f>SUM(Проект!P1163)/Параметры!P$64</f>
        <v>0</v>
      </c>
      <c r="Q114" s="55">
        <f>SUM(Проект!Q1163)/Параметры!Q$64</f>
        <v>0</v>
      </c>
      <c r="R114" s="55">
        <f>SUM(Проект!R1163)/Параметры!R$64</f>
        <v>0</v>
      </c>
      <c r="S114" s="55">
        <f>SUM(Проект!S1163)/Параметры!S$64</f>
        <v>0</v>
      </c>
      <c r="T114" s="55">
        <f>SUM(Проект!T1163)/Параметры!T$64</f>
        <v>0</v>
      </c>
      <c r="U114" s="55">
        <f>SUM(Проект!U1163)/Параметры!U$64</f>
        <v>0</v>
      </c>
      <c r="V114" s="55">
        <f>SUM(Проект!V1163)/Параметры!V$64</f>
        <v>0</v>
      </c>
      <c r="W114" s="55">
        <f>SUM(Проект!W1163)/Параметры!W$64</f>
        <v>0</v>
      </c>
      <c r="X114" s="55">
        <f>SUM(Проект!X1163)/Параметры!X$64</f>
        <v>0</v>
      </c>
      <c r="Y114" s="55">
        <f>SUM(Проект!Y1163)/Параметры!Y$64</f>
        <v>0</v>
      </c>
      <c r="Z114" s="55">
        <f>SUM(Проект!Z1163)/Параметры!Z$64</f>
        <v>0</v>
      </c>
      <c r="AA114" s="55">
        <f>SUM(Проект!AA1163)/Параметры!AA$64</f>
        <v>0</v>
      </c>
      <c r="AB114" s="55">
        <f>SUM(Проект!AB1163)/Параметры!AB$64</f>
        <v>0</v>
      </c>
      <c r="AC114" s="55">
        <f>SUM(Проект!AC1163)/Параметры!AC$64</f>
        <v>0</v>
      </c>
      <c r="AD114" s="55">
        <f>SUM(Проект!AD1163)/Параметры!AD$64</f>
        <v>0</v>
      </c>
      <c r="AE114" s="55">
        <f>SUM(Проект!AE1163)/Параметры!AE$64</f>
        <v>0</v>
      </c>
      <c r="AF114" s="55">
        <f>SUM(Проект!AF1163)/Параметры!AF$64</f>
        <v>0</v>
      </c>
      <c r="AG114" s="55">
        <f>SUM(Проект!AG1163)/Параметры!AG$64</f>
        <v>0</v>
      </c>
      <c r="AH114" s="55">
        <f>SUM(Проект!AH1163)/Параметры!AH$64</f>
        <v>0</v>
      </c>
      <c r="AI114" s="55">
        <f>SUM(Проект!AI1163)/Параметры!AI$64</f>
        <v>0</v>
      </c>
      <c r="AJ114" s="55">
        <f>SUM(Проект!AJ1163)/Параметры!AJ$64</f>
        <v>0</v>
      </c>
      <c r="AK114" s="55">
        <f>SUM(Проект!AK1163)/Параметры!AK$64</f>
        <v>0</v>
      </c>
      <c r="AL114" s="55">
        <f>SUM(Проект!AL1163)/Параметры!AL$64</f>
        <v>0</v>
      </c>
      <c r="AM114" s="55">
        <f>SUM(Проект!AM1163)/Параметры!AM$64</f>
        <v>0</v>
      </c>
      <c r="AN114" s="55">
        <f>SUM(Проект!AN1163)/Параметры!AN$64</f>
        <v>0</v>
      </c>
      <c r="AO114" s="55">
        <f>SUM(Проект!AO1163)/Параметры!AO$64</f>
        <v>0</v>
      </c>
      <c r="AP114" s="55">
        <f>SUM(Проект!AP1163)/Параметры!AP$64</f>
        <v>0</v>
      </c>
      <c r="AQ114" s="55">
        <f>SUM(Проект!AQ1163)/Параметры!AQ$64</f>
        <v>0</v>
      </c>
      <c r="AR114" s="55">
        <f>SUM(Проект!AR1163)/Параметры!AR$64</f>
        <v>0</v>
      </c>
      <c r="AS114" s="55">
        <f>SUM(Проект!AS1163)/Параметры!AS$64</f>
        <v>0</v>
      </c>
      <c r="AT114" s="55">
        <f>SUM(Проект!AT1163)/Параметры!AT$64</f>
        <v>0</v>
      </c>
      <c r="AU114" s="55">
        <f>SUM(Проект!AU1163)/Параметры!AU$64</f>
        <v>0</v>
      </c>
      <c r="AV114" s="55">
        <f>SUM(Проект!AV1163)/Параметры!AV$64</f>
        <v>0</v>
      </c>
      <c r="AW114" s="55">
        <f>SUM(Проект!AW1163)/Параметры!AW$64</f>
        <v>0</v>
      </c>
      <c r="AX114" s="55">
        <f>SUM(Проект!AX1163)/Параметры!AX$64</f>
        <v>0</v>
      </c>
      <c r="AY114" s="55">
        <f>SUM(Проект!AY1163)/Параметры!AY$64</f>
        <v>0</v>
      </c>
      <c r="AZ114" s="55">
        <f>SUM(Проект!AZ1163)/Параметры!AZ$64</f>
        <v>0</v>
      </c>
      <c r="BA114" s="55">
        <f>SUM(Проект!BA1163)/Параметры!BA$64</f>
        <v>0</v>
      </c>
      <c r="BB114" s="55">
        <f>SUM(Проект!BB1163)/Параметры!BB$64</f>
        <v>0</v>
      </c>
      <c r="BC114" s="55"/>
      <c r="BD114" s="57">
        <f t="shared" si="233"/>
        <v>0</v>
      </c>
    </row>
    <row r="115" spans="1:56" x14ac:dyDescent="0.3">
      <c r="A115" s="10" t="str">
        <f ca="1">Language!A1235</f>
        <v>Прибыль до налогообложения</v>
      </c>
      <c r="C115" s="48" t="str">
        <f ca="1">Параметры!$C$64</f>
        <v>руб.</v>
      </c>
      <c r="E115" s="6" t="s">
        <v>976</v>
      </c>
      <c r="F115" s="6" t="s">
        <v>740</v>
      </c>
      <c r="G115" s="55">
        <f ca="1">SUM(G109,G111:G114)</f>
        <v>-4413541.6875</v>
      </c>
      <c r="H115" s="55">
        <f t="shared" ref="H115:L115" ca="1" si="234">SUM(H109,H111:H114)</f>
        <v>-4413541.6875</v>
      </c>
      <c r="I115" s="55">
        <f t="shared" ca="1" si="234"/>
        <v>-4413541.6875</v>
      </c>
      <c r="J115" s="55">
        <f t="shared" ca="1" si="234"/>
        <v>-4413541.6875</v>
      </c>
      <c r="K115" s="55">
        <f t="shared" ca="1" si="234"/>
        <v>-4413541.6875</v>
      </c>
      <c r="L115" s="55">
        <f t="shared" ca="1" si="234"/>
        <v>-4413541.6875</v>
      </c>
      <c r="M115" s="55">
        <f t="shared" ref="M115:N115" ca="1" si="235">SUM(M109,M111:M114)</f>
        <v>-1275921.2827472552</v>
      </c>
      <c r="N115" s="55">
        <f t="shared" ca="1" si="235"/>
        <v>605974.16005005408</v>
      </c>
      <c r="O115" s="55">
        <f t="shared" ref="O115:P115" ca="1" si="236">SUM(O109,O111:O114)</f>
        <v>2521416.172398705</v>
      </c>
      <c r="P115" s="55">
        <f t="shared" ca="1" si="236"/>
        <v>4439142.5668230727</v>
      </c>
      <c r="Q115" s="55">
        <f t="shared" ref="Q115:R115" ca="1" si="237">SUM(Q109,Q111:Q114)</f>
        <v>4531310.8373188861</v>
      </c>
      <c r="R115" s="55">
        <f t="shared" ca="1" si="237"/>
        <v>4602110.7110472545</v>
      </c>
      <c r="S115" s="55">
        <f t="shared" ref="S115:T115" ca="1" si="238">SUM(S109,S111:S114)</f>
        <v>8459048.6280555651</v>
      </c>
      <c r="T115" s="55">
        <f t="shared" ca="1" si="238"/>
        <v>6706187.2956829444</v>
      </c>
      <c r="U115" s="55">
        <f t="shared" ref="U115:V115" ca="1" si="239">SUM(U109,U111:U114)</f>
        <v>4961823.978265455</v>
      </c>
      <c r="V115" s="55">
        <f t="shared" ca="1" si="239"/>
        <v>5106259.3338160813</v>
      </c>
      <c r="W115" s="55">
        <f t="shared" ref="W115:X115" ca="1" si="240">SUM(W109,W111:W114)</f>
        <v>3358285.5229824889</v>
      </c>
      <c r="X115" s="55">
        <f t="shared" ca="1" si="240"/>
        <v>9214998.872079486</v>
      </c>
      <c r="Y115" s="55">
        <f t="shared" ref="Y115:Z115" ca="1" si="241">SUM(Y109,Y111:Y114)</f>
        <v>13267797.794187408</v>
      </c>
      <c r="Z115" s="55">
        <f t="shared" ca="1" si="241"/>
        <v>13490132.44415977</v>
      </c>
      <c r="AA115" s="55">
        <f t="shared" ref="AA115:AB115" ca="1" si="242">SUM(AA109,AA111:AA114)</f>
        <v>7919019.406842174</v>
      </c>
      <c r="AB115" s="55">
        <f t="shared" ca="1" si="242"/>
        <v>4239062.6474880883</v>
      </c>
      <c r="AC115" s="55">
        <f t="shared" ref="AC115:AD115" ca="1" si="243">SUM(AC109,AC111:AC114)</f>
        <v>4428719.3658482339</v>
      </c>
      <c r="AD115" s="55">
        <f t="shared" ca="1" si="243"/>
        <v>6516884.7946081441</v>
      </c>
      <c r="AE115" s="55">
        <f t="shared" ref="AE115:AF115" ca="1" si="244">SUM(AE109,AE111:AE114)</f>
        <v>10612274.859724898</v>
      </c>
      <c r="AF115" s="55">
        <f t="shared" ca="1" si="244"/>
        <v>8864852.8498155009</v>
      </c>
      <c r="AG115" s="55">
        <f t="shared" ref="AG115:AH115" ca="1" si="245">SUM(AG109,AG111:AG114)</f>
        <v>7127095.1125362674</v>
      </c>
      <c r="AH115" s="55">
        <f t="shared" ca="1" si="245"/>
        <v>7334378.2864545062</v>
      </c>
      <c r="AI115" s="55">
        <f t="shared" ref="AI115:AJ115" ca="1" si="246">SUM(AI109,AI111:AI114)</f>
        <v>5571704.1035984755</v>
      </c>
      <c r="AJ115" s="55">
        <f t="shared" ca="1" si="246"/>
        <v>11725208.798134593</v>
      </c>
      <c r="AK115" s="55">
        <f t="shared" ref="AK115:AL115" ca="1" si="247">SUM(AK109,AK111:AK114)</f>
        <v>15934890.531630516</v>
      </c>
      <c r="AL115" s="55">
        <f t="shared" ca="1" si="247"/>
        <v>16156981.545464261</v>
      </c>
      <c r="AM115" s="55">
        <f t="shared" ref="AM115:AN115" ca="1" si="248">SUM(AM109,AM111:AM114)</f>
        <v>10350312.548373347</v>
      </c>
      <c r="AN115" s="55">
        <f t="shared" ca="1" si="248"/>
        <v>6512617.7227326808</v>
      </c>
      <c r="AO115" s="55">
        <f t="shared" ref="AO115:AP115" ca="1" si="249">SUM(AO109,AO111:AO114)</f>
        <v>6701809.0139154</v>
      </c>
      <c r="AP115" s="55">
        <f t="shared" ca="1" si="249"/>
        <v>8864851.4317231681</v>
      </c>
      <c r="AQ115" s="55">
        <f t="shared" ref="AQ115:AR115" ca="1" si="250">SUM(AQ109,AQ111:AQ114)</f>
        <v>13115855.074415233</v>
      </c>
      <c r="AR115" s="55">
        <f t="shared" ca="1" si="250"/>
        <v>11289854.932880884</v>
      </c>
      <c r="AS115" s="55">
        <f t="shared" ref="AS115:AT115" ca="1" si="251">SUM(AS109,AS111:AS114)</f>
        <v>9474836.4252818767</v>
      </c>
      <c r="AT115" s="55">
        <f t="shared" ca="1" si="251"/>
        <v>9533274.3319232762</v>
      </c>
      <c r="AU115" s="55">
        <f t="shared" ref="AU115:AV115" ca="1" si="252">SUM(AU109,AU111:AU114)</f>
        <v>7526294.5958559671</v>
      </c>
      <c r="AV115" s="55">
        <f t="shared" ca="1" si="252"/>
        <v>13747778.973990262</v>
      </c>
      <c r="AW115" s="55">
        <f t="shared" ref="AW115:AX115" ca="1" si="253">SUM(AW109,AW111:AW114)</f>
        <v>17947660.979571991</v>
      </c>
      <c r="AX115" s="55">
        <f t="shared" ca="1" si="253"/>
        <v>18002384.125241201</v>
      </c>
      <c r="AY115" s="55">
        <f t="shared" ref="AY115:AZ115" ca="1" si="254">SUM(AY109,AY111:AY114)</f>
        <v>11792795.801780686</v>
      </c>
      <c r="AZ115" s="55">
        <f t="shared" ca="1" si="254"/>
        <v>7630262.0935439104</v>
      </c>
      <c r="BA115" s="55">
        <f t="shared" ref="BA115:BB115" ca="1" si="255">SUM(BA109,BA111:BA114)</f>
        <v>7652065.3442293936</v>
      </c>
      <c r="BB115" s="55">
        <f t="shared" ca="1" si="255"/>
        <v>9722815.6647878699</v>
      </c>
      <c r="BC115" s="55"/>
      <c r="BD115" s="57">
        <f t="shared" ca="1" si="233"/>
        <v>329803858.27151275</v>
      </c>
    </row>
    <row r="116" spans="1:56" x14ac:dyDescent="0.3">
      <c r="A116" s="35" t="str">
        <f ca="1">Language!A1236</f>
        <v>Налог на прибыль</v>
      </c>
      <c r="C116" s="48" t="str">
        <f ca="1">Параметры!$C$64</f>
        <v>руб.</v>
      </c>
      <c r="E116" s="6" t="s">
        <v>977</v>
      </c>
      <c r="F116" s="6" t="s">
        <v>740</v>
      </c>
      <c r="G116" s="55">
        <f ca="1">-SUM(Проект!G1325,Проект!G1339,Проект!G1344)/Параметры!G$64</f>
        <v>0</v>
      </c>
      <c r="H116" s="55">
        <f ca="1">-SUM(Проект!H1325,Проект!H1339,Проект!H1344)/Параметры!H$64</f>
        <v>0</v>
      </c>
      <c r="I116" s="55">
        <f ca="1">-SUM(Проект!I1325,Проект!I1339,Проект!I1344)/Параметры!I$64</f>
        <v>0</v>
      </c>
      <c r="J116" s="55">
        <f ca="1">-SUM(Проект!J1325,Проект!J1339,Проект!J1344)/Параметры!J$64</f>
        <v>0</v>
      </c>
      <c r="K116" s="55">
        <f ca="1">-SUM(Проект!K1325,Проект!K1339,Проект!K1344)/Параметры!K$64</f>
        <v>0</v>
      </c>
      <c r="L116" s="55">
        <f ca="1">-SUM(Проект!L1325,Проект!L1339,Проект!L1344)/Параметры!L$64</f>
        <v>0</v>
      </c>
      <c r="M116" s="55">
        <f ca="1">-SUM(Проект!M1325,Проект!M1339,Проект!M1344)/Параметры!M$64</f>
        <v>-299479.28954102995</v>
      </c>
      <c r="N116" s="55">
        <f ca="1">-SUM(Проект!N1325,Проект!N1339,Проект!N1344)/Параметры!N$64</f>
        <v>-550989.00493870687</v>
      </c>
      <c r="O116" s="55">
        <f ca="1">-SUM(Проект!O1325,Проект!O1339,Проект!O1344)/Параметры!O$64</f>
        <v>-704627.75723174855</v>
      </c>
      <c r="P116" s="55">
        <f ca="1">-SUM(Проект!P1325,Проект!P1339,Проект!P1344)/Параметры!P$64</f>
        <v>-859749.14370673511</v>
      </c>
      <c r="Q116" s="55">
        <f ca="1">-SUM(Проект!Q1325,Проект!Q1339,Проект!Q1344)/Параметры!Q$64</f>
        <v>-914579.64989831392</v>
      </c>
      <c r="R116" s="55">
        <f ca="1">-SUM(Проект!R1325,Проект!R1339,Проект!R1344)/Параметры!R$64</f>
        <v>-919031.41259022767</v>
      </c>
      <c r="S116" s="55">
        <f ca="1">-SUM(Проект!S1325,Проект!S1339,Проект!S1344)/Параметры!S$64</f>
        <v>-1129060.0444621495</v>
      </c>
      <c r="T116" s="55">
        <f ca="1">-SUM(Проект!T1325,Проект!T1339,Проект!T1344)/Параметры!T$64</f>
        <v>-1134055.5261548928</v>
      </c>
      <c r="U116" s="55">
        <f ca="1">-SUM(Проект!U1325,Проект!U1339,Проект!U1344)/Параметры!U$64</f>
        <v>-984156.07574523462</v>
      </c>
      <c r="V116" s="55">
        <f ca="1">-SUM(Проект!V1325,Проект!V1339,Проект!V1344)/Параметры!V$64</f>
        <v>-937056.21248579852</v>
      </c>
      <c r="W116" s="55">
        <f ca="1">-SUM(Проект!W1325,Проект!W1339,Проект!W1344)/Параметры!W$64</f>
        <v>-836824.02216486039</v>
      </c>
      <c r="X116" s="55">
        <f ca="1">-SUM(Проект!X1325,Проект!X1339,Проект!X1344)/Параметры!X$64</f>
        <v>-1104410.9633703688</v>
      </c>
      <c r="Y116" s="55">
        <f ca="1">-SUM(Проект!Y1325,Проект!Y1339,Проект!Y1344)/Параметры!Y$64</f>
        <v>-1479373.9395412637</v>
      </c>
      <c r="Z116" s="55">
        <f ca="1">-SUM(Проект!Z1325,Проект!Z1339,Проект!Z1344)/Параметры!Z$64</f>
        <v>-1592390.8826348619</v>
      </c>
      <c r="AA116" s="55">
        <f ca="1">-SUM(Проект!AA1325,Проект!AA1339,Проект!AA1344)/Параметры!AA$64</f>
        <v>-1279595.9687099715</v>
      </c>
      <c r="AB116" s="55">
        <f ca="1">-SUM(Проект!AB1325,Проект!AB1339,Проект!AB1344)/Параметры!AB$64</f>
        <v>-910814.00111096131</v>
      </c>
      <c r="AC116" s="55">
        <f ca="1">-SUM(Проект!AC1325,Проект!AC1339,Проект!AC1344)/Параметры!AC$64</f>
        <v>-807878.69074351084</v>
      </c>
      <c r="AD116" s="55">
        <f ca="1">-SUM(Проект!AD1325,Проект!AD1339,Проект!AD1344)/Параметры!AD$64</f>
        <v>-920227.61416466068</v>
      </c>
      <c r="AE116" s="55">
        <f ca="1">-SUM(Проект!AE1325,Проект!AE1339,Проект!AE1344)/Параметры!AE$64</f>
        <v>-1196803.6471298784</v>
      </c>
      <c r="AF116" s="55">
        <f ca="1">-SUM(Проект!AF1325,Проект!AF1339,Проект!AF1344)/Параметры!AF$64</f>
        <v>-1202098.8577241863</v>
      </c>
      <c r="AG116" s="55">
        <f ca="1">-SUM(Проект!AG1325,Проект!AG1339,Проект!AG1344)/Параметры!AG$64</f>
        <v>-1043205.440289949</v>
      </c>
      <c r="AH116" s="55">
        <f ca="1">-SUM(Проект!AH1325,Проект!AH1339,Проект!AH1344)/Параметры!AH$64</f>
        <v>-993279.58523494645</v>
      </c>
      <c r="AI116" s="55">
        <f ca="1">-SUM(Проект!AI1325,Проект!AI1339,Проект!AI1344)/Параметры!AI$64</f>
        <v>-887033.46349475218</v>
      </c>
      <c r="AJ116" s="55">
        <f ca="1">-SUM(Проект!AJ1325,Проект!AJ1339,Проект!AJ1344)/Параметры!AJ$64</f>
        <v>-1170675.6211725911</v>
      </c>
      <c r="AK116" s="55">
        <f ca="1">-SUM(Проект!AK1325,Проект!AK1339,Проект!AK1344)/Параметры!AK$64</f>
        <v>-1568136.3759137397</v>
      </c>
      <c r="AL116" s="55">
        <f ca="1">-SUM(Проект!AL1325,Проект!AL1339,Проект!AL1344)/Параметры!AL$64</f>
        <v>-1687934.3355929537</v>
      </c>
      <c r="AM116" s="55">
        <f ca="1">-SUM(Проект!AM1325,Проект!AM1339,Проект!AM1344)/Параметры!AM$64</f>
        <v>-1356371.7268325696</v>
      </c>
      <c r="AN116" s="55">
        <f ca="1">-SUM(Проект!AN1325,Проект!AN1339,Проект!AN1344)/Параметры!AN$64</f>
        <v>-965462.84117761918</v>
      </c>
      <c r="AO116" s="55">
        <f ca="1">-SUM(Проект!AO1325,Проект!AO1339,Проект!AO1344)/Параметры!AO$64</f>
        <v>-856351.41218812147</v>
      </c>
      <c r="AP116" s="55">
        <f ca="1">-SUM(Проект!AP1325,Проект!AP1339,Проект!AP1344)/Параметры!AP$64</f>
        <v>-975441.27101454057</v>
      </c>
      <c r="AQ116" s="55">
        <f ca="1">-SUM(Проект!AQ1325,Проект!AQ1339,Проект!AQ1344)/Параметры!AQ$64</f>
        <v>-1268611.8659576715</v>
      </c>
      <c r="AR116" s="55">
        <f ca="1">-SUM(Проект!AR1325,Проект!AR1339,Проект!AR1344)/Параметры!AR$64</f>
        <v>-1274224.7891876381</v>
      </c>
      <c r="AS116" s="55">
        <f ca="1">-SUM(Проект!AS1325,Проект!AS1339,Проект!AS1344)/Параметры!AS$64</f>
        <v>-1105797.7667073463</v>
      </c>
      <c r="AT116" s="55">
        <f ca="1">-SUM(Проект!AT1325,Проект!AT1339,Проект!AT1344)/Параметры!AT$64</f>
        <v>-1052876.3603490437</v>
      </c>
      <c r="AU116" s="55">
        <f ca="1">-SUM(Проект!AU1325,Проект!AU1339,Проект!AU1344)/Параметры!AU$64</f>
        <v>-940255.47130443773</v>
      </c>
      <c r="AV116" s="55">
        <f ca="1">-SUM(Проект!AV1325,Проект!AV1339,Проект!AV1344)/Параметры!AV$64</f>
        <v>-1240916.1584429471</v>
      </c>
      <c r="AW116" s="55">
        <f ca="1">-SUM(Проект!AW1325,Проект!AW1339,Проект!AW1344)/Параметры!AW$64</f>
        <v>-1662224.5584685644</v>
      </c>
      <c r="AX116" s="55">
        <f ca="1">-SUM(Проект!AX1325,Проект!AX1339,Проект!AX1344)/Параметры!AX$64</f>
        <v>-1789210.3957285318</v>
      </c>
      <c r="AY116" s="55">
        <f ca="1">-SUM(Проект!AY1325,Проект!AY1339,Проект!AY1344)/Параметры!AY$64</f>
        <v>-1437754.0304425242</v>
      </c>
      <c r="AZ116" s="55">
        <f ca="1">-SUM(Проект!AZ1325,Проект!AZ1339,Проект!AZ1344)/Параметры!AZ$64</f>
        <v>-1023390.6116482767</v>
      </c>
      <c r="BA116" s="55">
        <f ca="1">-SUM(Проект!BA1325,Проект!BA1339,Проект!BA1344)/Параметры!BA$64</f>
        <v>-907732.49691940914</v>
      </c>
      <c r="BB116" s="55">
        <f ca="1">-SUM(Проект!BB1325,Проект!BB1339,Проект!BB1344)/Параметры!BB$64</f>
        <v>-1033967.7472754134</v>
      </c>
      <c r="BC116" s="55"/>
      <c r="BD116" s="57">
        <f t="shared" ca="1" si="233"/>
        <v>-46004057.029392935</v>
      </c>
    </row>
    <row r="117" spans="1:56" x14ac:dyDescent="0.3">
      <c r="A117" s="43" t="str">
        <f ca="1">Language!A1237</f>
        <v>Чистая прибыль (убыток)</v>
      </c>
      <c r="B117" s="80"/>
      <c r="C117" s="45" t="str">
        <f ca="1">Параметры!$C$64</f>
        <v>руб.</v>
      </c>
      <c r="D117" s="46"/>
      <c r="E117" s="46" t="s">
        <v>978</v>
      </c>
      <c r="F117" s="46" t="s">
        <v>740</v>
      </c>
      <c r="G117" s="81">
        <f ca="1">SUM(G115:G116)</f>
        <v>-4413541.6875</v>
      </c>
      <c r="H117" s="81">
        <f t="shared" ref="H117:L117" ca="1" si="256">SUM(H115:H116)</f>
        <v>-4413541.6875</v>
      </c>
      <c r="I117" s="81">
        <f t="shared" ca="1" si="256"/>
        <v>-4413541.6875</v>
      </c>
      <c r="J117" s="81">
        <f t="shared" ca="1" si="256"/>
        <v>-4413541.6875</v>
      </c>
      <c r="K117" s="81">
        <f t="shared" ca="1" si="256"/>
        <v>-4413541.6875</v>
      </c>
      <c r="L117" s="81">
        <f t="shared" ca="1" si="256"/>
        <v>-4413541.6875</v>
      </c>
      <c r="M117" s="81">
        <f t="shared" ref="M117:N117" ca="1" si="257">SUM(M115:M116)</f>
        <v>-1575400.572288285</v>
      </c>
      <c r="N117" s="81">
        <f t="shared" ca="1" si="257"/>
        <v>54985.155111347209</v>
      </c>
      <c r="O117" s="81">
        <f t="shared" ref="O117:P117" ca="1" si="258">SUM(O115:O116)</f>
        <v>1816788.4151669564</v>
      </c>
      <c r="P117" s="81">
        <f t="shared" ca="1" si="258"/>
        <v>3579393.4231163375</v>
      </c>
      <c r="Q117" s="81">
        <f t="shared" ref="Q117:R117" ca="1" si="259">SUM(Q115:Q116)</f>
        <v>3616731.1874205722</v>
      </c>
      <c r="R117" s="81">
        <f t="shared" ca="1" si="259"/>
        <v>3683079.2984570269</v>
      </c>
      <c r="S117" s="81">
        <f t="shared" ref="S117:T117" ca="1" si="260">SUM(S115:S116)</f>
        <v>7329988.5835934151</v>
      </c>
      <c r="T117" s="81">
        <f t="shared" ca="1" si="260"/>
        <v>5572131.7695280518</v>
      </c>
      <c r="U117" s="81">
        <f t="shared" ref="U117:V117" ca="1" si="261">SUM(U115:U116)</f>
        <v>3977667.9025202203</v>
      </c>
      <c r="V117" s="81">
        <f t="shared" ca="1" si="261"/>
        <v>4169203.1213302827</v>
      </c>
      <c r="W117" s="81">
        <f t="shared" ref="W117:X117" ca="1" si="262">SUM(W115:W116)</f>
        <v>2521461.5008176286</v>
      </c>
      <c r="X117" s="81">
        <f t="shared" ca="1" si="262"/>
        <v>8110587.9087091172</v>
      </c>
      <c r="Y117" s="81">
        <f t="shared" ref="Y117:Z117" ca="1" si="263">SUM(Y115:Y116)</f>
        <v>11788423.854646144</v>
      </c>
      <c r="Z117" s="81">
        <f t="shared" ca="1" si="263"/>
        <v>11897741.561524909</v>
      </c>
      <c r="AA117" s="81">
        <f t="shared" ref="AA117:AB117" ca="1" si="264">SUM(AA115:AA116)</f>
        <v>6639423.4381322023</v>
      </c>
      <c r="AB117" s="81">
        <f t="shared" ca="1" si="264"/>
        <v>3328248.6463771272</v>
      </c>
      <c r="AC117" s="81">
        <f t="shared" ref="AC117:AD117" ca="1" si="265">SUM(AC115:AC116)</f>
        <v>3620840.6751047233</v>
      </c>
      <c r="AD117" s="81">
        <f t="shared" ca="1" si="265"/>
        <v>5596657.1804434834</v>
      </c>
      <c r="AE117" s="81">
        <f t="shared" ref="AE117:AF117" ca="1" si="266">SUM(AE115:AE116)</f>
        <v>9415471.2125950195</v>
      </c>
      <c r="AF117" s="81">
        <f t="shared" ca="1" si="266"/>
        <v>7662753.9920913149</v>
      </c>
      <c r="AG117" s="81">
        <f t="shared" ref="AG117:AH117" ca="1" si="267">SUM(AG115:AG116)</f>
        <v>6083889.6722463183</v>
      </c>
      <c r="AH117" s="81">
        <f t="shared" ca="1" si="267"/>
        <v>6341098.7012195596</v>
      </c>
      <c r="AI117" s="81">
        <f t="shared" ref="AI117:AJ117" ca="1" si="268">SUM(AI115:AI116)</f>
        <v>4684670.6401037229</v>
      </c>
      <c r="AJ117" s="81">
        <f t="shared" ca="1" si="268"/>
        <v>10554533.176962003</v>
      </c>
      <c r="AK117" s="81">
        <f t="shared" ref="AK117:AL117" ca="1" si="269">SUM(AK115:AK116)</f>
        <v>14366754.155716777</v>
      </c>
      <c r="AL117" s="81">
        <f t="shared" ca="1" si="269"/>
        <v>14469047.209871307</v>
      </c>
      <c r="AM117" s="81">
        <f t="shared" ref="AM117:AN117" ca="1" si="270">SUM(AM115:AM116)</f>
        <v>8993940.8215407766</v>
      </c>
      <c r="AN117" s="81">
        <f t="shared" ca="1" si="270"/>
        <v>5547154.8815550618</v>
      </c>
      <c r="AO117" s="81">
        <f t="shared" ref="AO117:AP117" ca="1" si="271">SUM(AO115:AO116)</f>
        <v>5845457.6017272789</v>
      </c>
      <c r="AP117" s="81">
        <f t="shared" ca="1" si="271"/>
        <v>7889410.1607086277</v>
      </c>
      <c r="AQ117" s="81">
        <f t="shared" ref="AQ117:AR117" ca="1" si="272">SUM(AQ115:AQ116)</f>
        <v>11847243.208457561</v>
      </c>
      <c r="AR117" s="81">
        <f t="shared" ca="1" si="272"/>
        <v>10015630.143693246</v>
      </c>
      <c r="AS117" s="81">
        <f t="shared" ref="AS117:AT117" ca="1" si="273">SUM(AS115:AS116)</f>
        <v>8369038.6585745309</v>
      </c>
      <c r="AT117" s="81">
        <f t="shared" ca="1" si="273"/>
        <v>8480397.971574232</v>
      </c>
      <c r="AU117" s="81">
        <f t="shared" ref="AU117:AV117" ca="1" si="274">SUM(AU115:AU116)</f>
        <v>6586039.1245515291</v>
      </c>
      <c r="AV117" s="81">
        <f t="shared" ca="1" si="274"/>
        <v>12506862.815547314</v>
      </c>
      <c r="AW117" s="81">
        <f t="shared" ref="AW117:AX117" ca="1" si="275">SUM(AW115:AW116)</f>
        <v>16285436.421103425</v>
      </c>
      <c r="AX117" s="81">
        <f t="shared" ca="1" si="275"/>
        <v>16213173.729512669</v>
      </c>
      <c r="AY117" s="81">
        <f t="shared" ref="AY117:AZ117" ca="1" si="276">SUM(AY115:AY116)</f>
        <v>10355041.771338161</v>
      </c>
      <c r="AZ117" s="81">
        <f t="shared" ca="1" si="276"/>
        <v>6606871.481895634</v>
      </c>
      <c r="BA117" s="81">
        <f t="shared" ref="BA117:BB117" ca="1" si="277">SUM(BA115:BA116)</f>
        <v>6744332.8473099843</v>
      </c>
      <c r="BB117" s="81">
        <f t="shared" ca="1" si="277"/>
        <v>8688847.917512456</v>
      </c>
      <c r="BC117" s="81"/>
      <c r="BD117" s="82">
        <f t="shared" ca="1" si="233"/>
        <v>283799801.24211979</v>
      </c>
    </row>
    <row r="118" spans="1:56" x14ac:dyDescent="0.3">
      <c r="A118" s="10"/>
      <c r="G118" s="55"/>
      <c r="H118" s="55"/>
      <c r="I118" s="55"/>
      <c r="J118" s="55"/>
      <c r="K118" s="55"/>
      <c r="L118" s="55"/>
      <c r="M118" s="55"/>
      <c r="N118" s="55"/>
      <c r="O118" s="55"/>
      <c r="P118" s="55"/>
      <c r="Q118" s="55"/>
      <c r="R118" s="55"/>
      <c r="S118" s="55"/>
      <c r="T118" s="55"/>
      <c r="U118" s="55"/>
      <c r="V118" s="55"/>
      <c r="W118" s="55"/>
      <c r="X118" s="55"/>
      <c r="Y118" s="55"/>
      <c r="Z118" s="55"/>
      <c r="AA118" s="55"/>
      <c r="AB118" s="55"/>
      <c r="AC118" s="55"/>
      <c r="AD118" s="55"/>
      <c r="AE118" s="55"/>
      <c r="AF118" s="55"/>
      <c r="AG118" s="55"/>
      <c r="AH118" s="55"/>
      <c r="AI118" s="55"/>
      <c r="AJ118" s="55"/>
      <c r="AK118" s="55"/>
      <c r="AL118" s="55"/>
      <c r="AM118" s="55"/>
      <c r="AN118" s="55"/>
      <c r="AO118" s="55"/>
      <c r="AP118" s="55"/>
      <c r="AQ118" s="55"/>
      <c r="AR118" s="55"/>
      <c r="AS118" s="55"/>
      <c r="AT118" s="55"/>
      <c r="AU118" s="55"/>
      <c r="AV118" s="55"/>
      <c r="AW118" s="55"/>
      <c r="AX118" s="55"/>
      <c r="AY118" s="55"/>
      <c r="AZ118" s="55"/>
      <c r="BA118" s="55"/>
      <c r="BB118" s="55"/>
      <c r="BC118" s="55"/>
      <c r="BD118" s="57"/>
    </row>
    <row r="119" spans="1:56" x14ac:dyDescent="0.3">
      <c r="A119" s="35" t="str">
        <f ca="1">Language!A1238</f>
        <v>Выплаченные дивиденды</v>
      </c>
      <c r="C119" s="48" t="str">
        <f ca="1">Параметры!$C$64</f>
        <v>руб.</v>
      </c>
      <c r="E119" s="6" t="s">
        <v>979</v>
      </c>
      <c r="F119" s="6" t="s">
        <v>740</v>
      </c>
      <c r="G119" s="55">
        <f>-Проект!G1180/Параметры!G$64</f>
        <v>0</v>
      </c>
      <c r="H119" s="55">
        <f>-Проект!H1180/Параметры!H$64</f>
        <v>0</v>
      </c>
      <c r="I119" s="55">
        <f>-Проект!I1180/Параметры!I$64</f>
        <v>0</v>
      </c>
      <c r="J119" s="55">
        <f>-Проект!J1180/Параметры!J$64</f>
        <v>0</v>
      </c>
      <c r="K119" s="55">
        <f>-Проект!K1180/Параметры!K$64</f>
        <v>0</v>
      </c>
      <c r="L119" s="55">
        <f>-Проект!L1180/Параметры!L$64</f>
        <v>0</v>
      </c>
      <c r="M119" s="55">
        <f>-Проект!M1180/Параметры!M$64</f>
        <v>0</v>
      </c>
      <c r="N119" s="55">
        <f>-Проект!N1180/Параметры!N$64</f>
        <v>0</v>
      </c>
      <c r="O119" s="55">
        <f>-Проект!O1180/Параметры!O$64</f>
        <v>0</v>
      </c>
      <c r="P119" s="55">
        <f>-Проект!P1180/Параметры!P$64</f>
        <v>0</v>
      </c>
      <c r="Q119" s="55">
        <f>-Проект!Q1180/Параметры!Q$64</f>
        <v>0</v>
      </c>
      <c r="R119" s="55">
        <f>-Проект!R1180/Параметры!R$64</f>
        <v>0</v>
      </c>
      <c r="S119" s="55">
        <f>-Проект!S1180/Параметры!S$64</f>
        <v>0</v>
      </c>
      <c r="T119" s="55">
        <f>-Проект!T1180/Параметры!T$64</f>
        <v>0</v>
      </c>
      <c r="U119" s="55">
        <f>-Проект!U1180/Параметры!U$64</f>
        <v>0</v>
      </c>
      <c r="V119" s="55">
        <f>-Проект!V1180/Параметры!V$64</f>
        <v>0</v>
      </c>
      <c r="W119" s="55">
        <f>-Проект!W1180/Параметры!W$64</f>
        <v>0</v>
      </c>
      <c r="X119" s="55">
        <f>-Проект!X1180/Параметры!X$64</f>
        <v>0</v>
      </c>
      <c r="Y119" s="55">
        <f>-Проект!Y1180/Параметры!Y$64</f>
        <v>0</v>
      </c>
      <c r="Z119" s="55">
        <f>-Проект!Z1180/Параметры!Z$64</f>
        <v>0</v>
      </c>
      <c r="AA119" s="55">
        <f>-Проект!AA1180/Параметры!AA$64</f>
        <v>0</v>
      </c>
      <c r="AB119" s="55">
        <f>-Проект!AB1180/Параметры!AB$64</f>
        <v>0</v>
      </c>
      <c r="AC119" s="55">
        <f>-Проект!AC1180/Параметры!AC$64</f>
        <v>0</v>
      </c>
      <c r="AD119" s="55">
        <f>-Проект!AD1180/Параметры!AD$64</f>
        <v>0</v>
      </c>
      <c r="AE119" s="55">
        <f>-Проект!AE1180/Параметры!AE$64</f>
        <v>0</v>
      </c>
      <c r="AF119" s="55">
        <f>-Проект!AF1180/Параметры!AF$64</f>
        <v>0</v>
      </c>
      <c r="AG119" s="55">
        <f>-Проект!AG1180/Параметры!AG$64</f>
        <v>0</v>
      </c>
      <c r="AH119" s="55">
        <f>-Проект!AH1180/Параметры!AH$64</f>
        <v>0</v>
      </c>
      <c r="AI119" s="55">
        <f>-Проект!AI1180/Параметры!AI$64</f>
        <v>0</v>
      </c>
      <c r="AJ119" s="55">
        <f>-Проект!AJ1180/Параметры!AJ$64</f>
        <v>0</v>
      </c>
      <c r="AK119" s="55">
        <f>-Проект!AK1180/Параметры!AK$64</f>
        <v>0</v>
      </c>
      <c r="AL119" s="55">
        <f>-Проект!AL1180/Параметры!AL$64</f>
        <v>0</v>
      </c>
      <c r="AM119" s="55">
        <f>-Проект!AM1180/Параметры!AM$64</f>
        <v>0</v>
      </c>
      <c r="AN119" s="55">
        <f>-Проект!AN1180/Параметры!AN$64</f>
        <v>0</v>
      </c>
      <c r="AO119" s="55">
        <f>-Проект!AO1180/Параметры!AO$64</f>
        <v>0</v>
      </c>
      <c r="AP119" s="55">
        <f>-Проект!AP1180/Параметры!AP$64</f>
        <v>0</v>
      </c>
      <c r="AQ119" s="55">
        <f>-Проект!AQ1180/Параметры!AQ$64</f>
        <v>0</v>
      </c>
      <c r="AR119" s="55">
        <f>-Проект!AR1180/Параметры!AR$64</f>
        <v>0</v>
      </c>
      <c r="AS119" s="55">
        <f>-Проект!AS1180/Параметры!AS$64</f>
        <v>0</v>
      </c>
      <c r="AT119" s="55">
        <f>-Проект!AT1180/Параметры!AT$64</f>
        <v>0</v>
      </c>
      <c r="AU119" s="55">
        <f>-Проект!AU1180/Параметры!AU$64</f>
        <v>0</v>
      </c>
      <c r="AV119" s="55">
        <f>-Проект!AV1180/Параметры!AV$64</f>
        <v>0</v>
      </c>
      <c r="AW119" s="55">
        <f>-Проект!AW1180/Параметры!AW$64</f>
        <v>0</v>
      </c>
      <c r="AX119" s="55">
        <f>-Проект!AX1180/Параметры!AX$64</f>
        <v>0</v>
      </c>
      <c r="AY119" s="55">
        <f>-Проект!AY1180/Параметры!AY$64</f>
        <v>0</v>
      </c>
      <c r="AZ119" s="55">
        <f>-Проект!AZ1180/Параметры!AZ$64</f>
        <v>0</v>
      </c>
      <c r="BA119" s="55">
        <f>-Проект!BA1180/Параметры!BA$64</f>
        <v>0</v>
      </c>
      <c r="BB119" s="55">
        <f>-Проект!BB1180/Параметры!BB$64</f>
        <v>0</v>
      </c>
      <c r="BC119" s="55"/>
      <c r="BD119" s="57">
        <f>SUM(G119:BC119)</f>
        <v>0</v>
      </c>
    </row>
    <row r="120" spans="1:56" x14ac:dyDescent="0.3">
      <c r="A120" s="35" t="str">
        <f ca="1">Language!A1239</f>
        <v>Нераспределенная чистая прибыль за период</v>
      </c>
      <c r="C120" s="48" t="str">
        <f ca="1">Параметры!$C$64</f>
        <v>руб.</v>
      </c>
      <c r="E120" s="6" t="s">
        <v>980</v>
      </c>
      <c r="F120" s="6" t="s">
        <v>740</v>
      </c>
      <c r="G120" s="55">
        <f ca="1">SUM(G117,G119)</f>
        <v>-4413541.6875</v>
      </c>
      <c r="H120" s="55">
        <f t="shared" ref="H120:L120" ca="1" si="278">SUM(H117,H119)</f>
        <v>-4413541.6875</v>
      </c>
      <c r="I120" s="55">
        <f t="shared" ca="1" si="278"/>
        <v>-4413541.6875</v>
      </c>
      <c r="J120" s="55">
        <f t="shared" ca="1" si="278"/>
        <v>-4413541.6875</v>
      </c>
      <c r="K120" s="55">
        <f t="shared" ca="1" si="278"/>
        <v>-4413541.6875</v>
      </c>
      <c r="L120" s="55">
        <f t="shared" ca="1" si="278"/>
        <v>-4413541.6875</v>
      </c>
      <c r="M120" s="55">
        <f t="shared" ref="M120:N120" ca="1" si="279">SUM(M117,M119)</f>
        <v>-1575400.572288285</v>
      </c>
      <c r="N120" s="55">
        <f t="shared" ca="1" si="279"/>
        <v>54985.155111347209</v>
      </c>
      <c r="O120" s="55">
        <f t="shared" ref="O120:P120" ca="1" si="280">SUM(O117,O119)</f>
        <v>1816788.4151669564</v>
      </c>
      <c r="P120" s="55">
        <f t="shared" ca="1" si="280"/>
        <v>3579393.4231163375</v>
      </c>
      <c r="Q120" s="55">
        <f t="shared" ref="Q120:R120" ca="1" si="281">SUM(Q117,Q119)</f>
        <v>3616731.1874205722</v>
      </c>
      <c r="R120" s="55">
        <f t="shared" ca="1" si="281"/>
        <v>3683079.2984570269</v>
      </c>
      <c r="S120" s="55">
        <f t="shared" ref="S120:T120" ca="1" si="282">SUM(S117,S119)</f>
        <v>7329988.5835934151</v>
      </c>
      <c r="T120" s="55">
        <f t="shared" ca="1" si="282"/>
        <v>5572131.7695280518</v>
      </c>
      <c r="U120" s="55">
        <f t="shared" ref="U120:V120" ca="1" si="283">SUM(U117,U119)</f>
        <v>3977667.9025202203</v>
      </c>
      <c r="V120" s="55">
        <f t="shared" ca="1" si="283"/>
        <v>4169203.1213302827</v>
      </c>
      <c r="W120" s="55">
        <f t="shared" ref="W120:X120" ca="1" si="284">SUM(W117,W119)</f>
        <v>2521461.5008176286</v>
      </c>
      <c r="X120" s="55">
        <f t="shared" ca="1" si="284"/>
        <v>8110587.9087091172</v>
      </c>
      <c r="Y120" s="55">
        <f t="shared" ref="Y120:Z120" ca="1" si="285">SUM(Y117,Y119)</f>
        <v>11788423.854646144</v>
      </c>
      <c r="Z120" s="55">
        <f t="shared" ca="1" si="285"/>
        <v>11897741.561524909</v>
      </c>
      <c r="AA120" s="55">
        <f t="shared" ref="AA120:AB120" ca="1" si="286">SUM(AA117,AA119)</f>
        <v>6639423.4381322023</v>
      </c>
      <c r="AB120" s="55">
        <f t="shared" ca="1" si="286"/>
        <v>3328248.6463771272</v>
      </c>
      <c r="AC120" s="55">
        <f t="shared" ref="AC120:AD120" ca="1" si="287">SUM(AC117,AC119)</f>
        <v>3620840.6751047233</v>
      </c>
      <c r="AD120" s="55">
        <f t="shared" ca="1" si="287"/>
        <v>5596657.1804434834</v>
      </c>
      <c r="AE120" s="55">
        <f t="shared" ref="AE120:AF120" ca="1" si="288">SUM(AE117,AE119)</f>
        <v>9415471.2125950195</v>
      </c>
      <c r="AF120" s="55">
        <f t="shared" ca="1" si="288"/>
        <v>7662753.9920913149</v>
      </c>
      <c r="AG120" s="55">
        <f t="shared" ref="AG120:AH120" ca="1" si="289">SUM(AG117,AG119)</f>
        <v>6083889.6722463183</v>
      </c>
      <c r="AH120" s="55">
        <f t="shared" ca="1" si="289"/>
        <v>6341098.7012195596</v>
      </c>
      <c r="AI120" s="55">
        <f t="shared" ref="AI120:AJ120" ca="1" si="290">SUM(AI117,AI119)</f>
        <v>4684670.6401037229</v>
      </c>
      <c r="AJ120" s="55">
        <f t="shared" ca="1" si="290"/>
        <v>10554533.176962003</v>
      </c>
      <c r="AK120" s="55">
        <f t="shared" ref="AK120:AL120" ca="1" si="291">SUM(AK117,AK119)</f>
        <v>14366754.155716777</v>
      </c>
      <c r="AL120" s="55">
        <f t="shared" ca="1" si="291"/>
        <v>14469047.209871307</v>
      </c>
      <c r="AM120" s="55">
        <f t="shared" ref="AM120:AN120" ca="1" si="292">SUM(AM117,AM119)</f>
        <v>8993940.8215407766</v>
      </c>
      <c r="AN120" s="55">
        <f t="shared" ca="1" si="292"/>
        <v>5547154.8815550618</v>
      </c>
      <c r="AO120" s="55">
        <f t="shared" ref="AO120:AP120" ca="1" si="293">SUM(AO117,AO119)</f>
        <v>5845457.6017272789</v>
      </c>
      <c r="AP120" s="55">
        <f t="shared" ca="1" si="293"/>
        <v>7889410.1607086277</v>
      </c>
      <c r="AQ120" s="55">
        <f t="shared" ref="AQ120:AR120" ca="1" si="294">SUM(AQ117,AQ119)</f>
        <v>11847243.208457561</v>
      </c>
      <c r="AR120" s="55">
        <f t="shared" ca="1" si="294"/>
        <v>10015630.143693246</v>
      </c>
      <c r="AS120" s="55">
        <f t="shared" ref="AS120:AT120" ca="1" si="295">SUM(AS117,AS119)</f>
        <v>8369038.6585745309</v>
      </c>
      <c r="AT120" s="55">
        <f t="shared" ca="1" si="295"/>
        <v>8480397.971574232</v>
      </c>
      <c r="AU120" s="55">
        <f t="shared" ref="AU120:AV120" ca="1" si="296">SUM(AU117,AU119)</f>
        <v>6586039.1245515291</v>
      </c>
      <c r="AV120" s="55">
        <f t="shared" ca="1" si="296"/>
        <v>12506862.815547314</v>
      </c>
      <c r="AW120" s="55">
        <f t="shared" ref="AW120:AX120" ca="1" si="297">SUM(AW117,AW119)</f>
        <v>16285436.421103425</v>
      </c>
      <c r="AX120" s="55">
        <f t="shared" ca="1" si="297"/>
        <v>16213173.729512669</v>
      </c>
      <c r="AY120" s="55">
        <f t="shared" ref="AY120:AZ120" ca="1" si="298">SUM(AY117,AY119)</f>
        <v>10355041.771338161</v>
      </c>
      <c r="AZ120" s="55">
        <f t="shared" ca="1" si="298"/>
        <v>6606871.481895634</v>
      </c>
      <c r="BA120" s="55">
        <f t="shared" ref="BA120:BB120" ca="1" si="299">SUM(BA117,BA119)</f>
        <v>6744332.8473099843</v>
      </c>
      <c r="BB120" s="55">
        <f t="shared" ca="1" si="299"/>
        <v>8688847.917512456</v>
      </c>
      <c r="BC120" s="55"/>
      <c r="BD120" s="57">
        <f ca="1">SUM(G120:BC120)</f>
        <v>283799801.24211979</v>
      </c>
    </row>
    <row r="121" spans="1:56" x14ac:dyDescent="0.3">
      <c r="A121" s="12"/>
      <c r="B121" s="83"/>
      <c r="C121" s="51"/>
      <c r="D121" s="14"/>
      <c r="E121" s="14" t="s">
        <v>708</v>
      </c>
      <c r="F121" s="14"/>
      <c r="G121" s="13"/>
      <c r="H121" s="13"/>
      <c r="I121" s="13"/>
      <c r="J121" s="13"/>
      <c r="K121" s="13"/>
      <c r="L121" s="13"/>
      <c r="M121" s="13"/>
      <c r="N121" s="13"/>
      <c r="O121" s="13"/>
      <c r="P121" s="13"/>
      <c r="Q121" s="13"/>
      <c r="R121" s="13"/>
      <c r="S121" s="13"/>
      <c r="T121" s="13"/>
      <c r="U121" s="13"/>
      <c r="V121" s="13"/>
      <c r="W121" s="13"/>
      <c r="X121" s="13"/>
      <c r="Y121" s="13"/>
      <c r="Z121" s="13"/>
      <c r="AA121" s="13"/>
      <c r="AB121" s="13"/>
      <c r="AC121" s="13"/>
      <c r="AD121" s="13"/>
      <c r="AE121" s="13"/>
      <c r="AF121" s="13"/>
      <c r="AG121" s="13"/>
      <c r="AH121" s="13"/>
      <c r="AI121" s="13"/>
      <c r="AJ121" s="13"/>
      <c r="AK121" s="13"/>
      <c r="AL121" s="13"/>
      <c r="AM121" s="13"/>
      <c r="AN121" s="13"/>
      <c r="AO121" s="13"/>
      <c r="AP121" s="13"/>
      <c r="AQ121" s="13"/>
      <c r="AR121" s="13"/>
      <c r="AS121" s="13"/>
      <c r="AT121" s="13"/>
      <c r="AU121" s="13"/>
      <c r="AV121" s="13"/>
      <c r="AW121" s="13"/>
      <c r="AX121" s="13"/>
      <c r="AY121" s="13"/>
      <c r="AZ121" s="13"/>
      <c r="BA121" s="13"/>
      <c r="BB121" s="13"/>
      <c r="BC121" s="13"/>
      <c r="BD121" s="13"/>
    </row>
    <row r="124" spans="1:56" s="9" customFormat="1" ht="25.5" customHeight="1" thickBot="1" x14ac:dyDescent="0.35">
      <c r="A124" s="323" t="str">
        <f ca="1">Language!A1240</f>
        <v>ОТЧЕТ О ДВИЖЕНИИ ДЕНЕЖНЫХ СРЕДСТВ</v>
      </c>
      <c r="B124" s="337"/>
      <c r="C124" s="338"/>
      <c r="D124" s="326"/>
      <c r="E124" s="326" t="s">
        <v>895</v>
      </c>
      <c r="F124" s="326"/>
      <c r="G124" s="327" t="str">
        <f ca="1">Параметры!G$34</f>
        <v>янв.25</v>
      </c>
      <c r="H124" s="327" t="str">
        <f ca="1">Параметры!H$34</f>
        <v>фев.25</v>
      </c>
      <c r="I124" s="327" t="str">
        <f ca="1">Параметры!I$34</f>
        <v>мар.25</v>
      </c>
      <c r="J124" s="327" t="str">
        <f ca="1">Параметры!J$34</f>
        <v>апр.25</v>
      </c>
      <c r="K124" s="327" t="str">
        <f ca="1">Параметры!K$34</f>
        <v>май.25</v>
      </c>
      <c r="L124" s="327" t="str">
        <f ca="1">Параметры!L$34</f>
        <v>июн.25</v>
      </c>
      <c r="M124" s="328" t="str">
        <f ca="1">Параметры!M$34</f>
        <v>июл.25</v>
      </c>
      <c r="N124" s="328" t="str">
        <f ca="1">Параметры!N$34</f>
        <v>авг.25</v>
      </c>
      <c r="O124" s="328" t="str">
        <f ca="1">Параметры!O$34</f>
        <v>сен.25</v>
      </c>
      <c r="P124" s="328" t="str">
        <f ca="1">Параметры!P$34</f>
        <v>окт.25</v>
      </c>
      <c r="Q124" s="328" t="str">
        <f ca="1">Параметры!Q$34</f>
        <v>ноя.25</v>
      </c>
      <c r="R124" s="328" t="str">
        <f ca="1">Параметры!R$34</f>
        <v>дек.25</v>
      </c>
      <c r="S124" s="328" t="str">
        <f ca="1">Параметры!S$34</f>
        <v>янв.26</v>
      </c>
      <c r="T124" s="328" t="str">
        <f ca="1">Параметры!T$34</f>
        <v>фев.26</v>
      </c>
      <c r="U124" s="328" t="str">
        <f ca="1">Параметры!U$34</f>
        <v>мар.26</v>
      </c>
      <c r="V124" s="328" t="str">
        <f ca="1">Параметры!V$34</f>
        <v>апр.26</v>
      </c>
      <c r="W124" s="328" t="str">
        <f ca="1">Параметры!W$34</f>
        <v>май.26</v>
      </c>
      <c r="X124" s="328" t="str">
        <f ca="1">Параметры!X$34</f>
        <v>июн.26</v>
      </c>
      <c r="Y124" s="328" t="str">
        <f ca="1">Параметры!Y$34</f>
        <v>июл.26</v>
      </c>
      <c r="Z124" s="328" t="str">
        <f ca="1">Параметры!Z$34</f>
        <v>авг.26</v>
      </c>
      <c r="AA124" s="328" t="str">
        <f ca="1">Параметры!AA$34</f>
        <v>сен.26</v>
      </c>
      <c r="AB124" s="328" t="str">
        <f ca="1">Параметры!AB$34</f>
        <v>окт.26</v>
      </c>
      <c r="AC124" s="328" t="str">
        <f ca="1">Параметры!AC$34</f>
        <v>ноя.26</v>
      </c>
      <c r="AD124" s="328" t="str">
        <f ca="1">Параметры!AD$34</f>
        <v>дек.26</v>
      </c>
      <c r="AE124" s="328" t="str">
        <f ca="1">Параметры!AE$34</f>
        <v>янв.27</v>
      </c>
      <c r="AF124" s="328" t="str">
        <f ca="1">Параметры!AF$34</f>
        <v>фев.27</v>
      </c>
      <c r="AG124" s="328" t="str">
        <f ca="1">Параметры!AG$34</f>
        <v>мар.27</v>
      </c>
      <c r="AH124" s="328" t="str">
        <f ca="1">Параметры!AH$34</f>
        <v>апр.27</v>
      </c>
      <c r="AI124" s="328" t="str">
        <f ca="1">Параметры!AI$34</f>
        <v>май.27</v>
      </c>
      <c r="AJ124" s="328" t="str">
        <f ca="1">Параметры!AJ$34</f>
        <v>июн.27</v>
      </c>
      <c r="AK124" s="328" t="str">
        <f ca="1">Параметры!AK$34</f>
        <v>июл.27</v>
      </c>
      <c r="AL124" s="328" t="str">
        <f ca="1">Параметры!AL$34</f>
        <v>авг.27</v>
      </c>
      <c r="AM124" s="328" t="str">
        <f ca="1">Параметры!AM$34</f>
        <v>сен.27</v>
      </c>
      <c r="AN124" s="328" t="str">
        <f ca="1">Параметры!AN$34</f>
        <v>окт.27</v>
      </c>
      <c r="AO124" s="328" t="str">
        <f ca="1">Параметры!AO$34</f>
        <v>ноя.27</v>
      </c>
      <c r="AP124" s="328" t="str">
        <f ca="1">Параметры!AP$34</f>
        <v>дек.27</v>
      </c>
      <c r="AQ124" s="328" t="str">
        <f ca="1">Параметры!AQ$34</f>
        <v>янв.28</v>
      </c>
      <c r="AR124" s="328" t="str">
        <f ca="1">Параметры!AR$34</f>
        <v>фев.28</v>
      </c>
      <c r="AS124" s="328" t="str">
        <f ca="1">Параметры!AS$34</f>
        <v>мар.28</v>
      </c>
      <c r="AT124" s="328" t="str">
        <f ca="1">Параметры!AT$34</f>
        <v>апр.28</v>
      </c>
      <c r="AU124" s="328" t="str">
        <f ca="1">Параметры!AU$34</f>
        <v>май.28</v>
      </c>
      <c r="AV124" s="328" t="str">
        <f ca="1">Параметры!AV$34</f>
        <v>июн.28</v>
      </c>
      <c r="AW124" s="328" t="str">
        <f ca="1">Параметры!AW$34</f>
        <v>июл.28</v>
      </c>
      <c r="AX124" s="328" t="str">
        <f ca="1">Параметры!AX$34</f>
        <v>авг.28</v>
      </c>
      <c r="AY124" s="328" t="str">
        <f ca="1">Параметры!AY$34</f>
        <v>сен.28</v>
      </c>
      <c r="AZ124" s="328" t="str">
        <f ca="1">Параметры!AZ$34</f>
        <v>окт.28</v>
      </c>
      <c r="BA124" s="328" t="str">
        <f ca="1">Параметры!BA$34</f>
        <v>ноя.28</v>
      </c>
      <c r="BB124" s="328" t="str">
        <f ca="1">Параметры!BB$34</f>
        <v>дек.28</v>
      </c>
      <c r="BC124" s="328"/>
      <c r="BD124" s="329" t="str">
        <f ca="1">Language!$A$1473</f>
        <v>ИТОГО</v>
      </c>
    </row>
    <row r="125" spans="1:56" ht="14.4" thickTop="1" x14ac:dyDescent="0.3">
      <c r="A125" s="247"/>
    </row>
    <row r="126" spans="1:56" x14ac:dyDescent="0.3">
      <c r="A126" s="35" t="str">
        <f ca="1">Language!A1241</f>
        <v>Поступления от продаж</v>
      </c>
      <c r="C126" s="48" t="str">
        <f ca="1">Параметры!$C$64</f>
        <v>руб.</v>
      </c>
      <c r="E126" s="6" t="s">
        <v>948</v>
      </c>
      <c r="F126" s="6" t="s">
        <v>740</v>
      </c>
      <c r="G126" s="55">
        <f ca="1">Проект!G132/Параметры!G$64</f>
        <v>0</v>
      </c>
      <c r="H126" s="55">
        <f ca="1">Проект!H132/Параметры!H$64</f>
        <v>0</v>
      </c>
      <c r="I126" s="55">
        <f ca="1">Проект!I132/Параметры!I$64</f>
        <v>0</v>
      </c>
      <c r="J126" s="55">
        <f ca="1">Проект!J132/Параметры!J$64</f>
        <v>0</v>
      </c>
      <c r="K126" s="55">
        <f ca="1">Проект!K132/Параметры!K$64</f>
        <v>0</v>
      </c>
      <c r="L126" s="55">
        <f ca="1">Проект!L132/Параметры!L$64</f>
        <v>0</v>
      </c>
      <c r="M126" s="55">
        <f ca="1">Проект!M132/Параметры!M$64</f>
        <v>4991321.4923504991</v>
      </c>
      <c r="N126" s="55">
        <f ca="1">Проект!N132/Параметры!N$64</f>
        <v>9183150.0823117811</v>
      </c>
      <c r="O126" s="55">
        <f ca="1">Проект!O132/Параметры!O$64</f>
        <v>11743795.953862477</v>
      </c>
      <c r="P126" s="55">
        <f ca="1">Проект!P132/Параметры!P$64</f>
        <v>14329152.395112252</v>
      </c>
      <c r="Q126" s="55">
        <f ca="1">Проект!Q132/Параметры!Q$64</f>
        <v>15242994.164971899</v>
      </c>
      <c r="R126" s="55">
        <f ca="1">Проект!R132/Параметры!R$64</f>
        <v>15317190.209837129</v>
      </c>
      <c r="S126" s="55">
        <f ca="1">Проект!S132/Параметры!S$64</f>
        <v>18817667.407702491</v>
      </c>
      <c r="T126" s="55">
        <f ca="1">Проект!T132/Параметры!T$64</f>
        <v>18900925.435914882</v>
      </c>
      <c r="U126" s="55">
        <f ca="1">Проект!U132/Параметры!U$64</f>
        <v>16402601.262420578</v>
      </c>
      <c r="V126" s="55">
        <f ca="1">Проект!V132/Параметры!V$64</f>
        <v>15617603.541429976</v>
      </c>
      <c r="W126" s="55">
        <f ca="1">Проект!W132/Параметры!W$64</f>
        <v>13947067.036081007</v>
      </c>
      <c r="X126" s="55">
        <f ca="1">Проект!X132/Параметры!X$64</f>
        <v>18406849.389506146</v>
      </c>
      <c r="Y126" s="55">
        <f ca="1">Проект!Y132/Параметры!Y$64</f>
        <v>24656232.325687729</v>
      </c>
      <c r="Z126" s="55">
        <f ca="1">Проект!Z132/Параметры!Z$64</f>
        <v>26539848.043914367</v>
      </c>
      <c r="AA126" s="55">
        <f ca="1">Проект!AA132/Параметры!AA$64</f>
        <v>21326599.478499524</v>
      </c>
      <c r="AB126" s="55">
        <f ca="1">Проект!AB132/Параметры!AB$64</f>
        <v>15180233.351849357</v>
      </c>
      <c r="AC126" s="55">
        <f ca="1">Проект!AC132/Параметры!AC$64</f>
        <v>13464644.845725181</v>
      </c>
      <c r="AD126" s="55">
        <f ca="1">Проект!AD132/Параметры!AD$64</f>
        <v>15337126.902744345</v>
      </c>
      <c r="AE126" s="55">
        <f ca="1">Проект!AE132/Параметры!AE$64</f>
        <v>19946727.452164643</v>
      </c>
      <c r="AF126" s="55">
        <f ca="1">Проект!AF132/Параметры!AF$64</f>
        <v>20034980.962069772</v>
      </c>
      <c r="AG126" s="55">
        <f ca="1">Проект!AG132/Параметры!AG$64</f>
        <v>17386757.338165816</v>
      </c>
      <c r="AH126" s="55">
        <f ca="1">Проект!AH132/Параметры!AH$64</f>
        <v>16554659.753915776</v>
      </c>
      <c r="AI126" s="55">
        <f ca="1">Проект!AI132/Параметры!AI$64</f>
        <v>14783891.058245869</v>
      </c>
      <c r="AJ126" s="55">
        <f ca="1">Проект!AJ132/Параметры!AJ$64</f>
        <v>19511260.352876518</v>
      </c>
      <c r="AK126" s="55">
        <f ca="1">Проект!AK132/Параметры!AK$64</f>
        <v>26135606.265228994</v>
      </c>
      <c r="AL126" s="55">
        <f ca="1">Проект!AL132/Параметры!AL$64</f>
        <v>28132238.92654923</v>
      </c>
      <c r="AM126" s="55">
        <f ca="1">Проект!AM132/Параметры!AM$64</f>
        <v>22606195.447209492</v>
      </c>
      <c r="AN126" s="55">
        <f ca="1">Проект!AN132/Параметры!AN$64</f>
        <v>16091047.35296032</v>
      </c>
      <c r="AO126" s="55">
        <f ca="1">Проект!AO132/Параметры!AO$64</f>
        <v>14272523.536468692</v>
      </c>
      <c r="AP126" s="55">
        <f ca="1">Проект!AP132/Параметры!AP$64</f>
        <v>16257354.516909011</v>
      </c>
      <c r="AQ126" s="55">
        <f ca="1">Проект!AQ132/Параметры!AQ$64</f>
        <v>21143531.099294528</v>
      </c>
      <c r="AR126" s="55">
        <f ca="1">Проект!AR132/Параметры!AR$64</f>
        <v>21237079.819793969</v>
      </c>
      <c r="AS126" s="55">
        <f ca="1">Проект!AS132/Параметры!AS$64</f>
        <v>18429962.778455772</v>
      </c>
      <c r="AT126" s="55">
        <f ca="1">Проект!AT132/Параметры!AT$64</f>
        <v>17547939.339150731</v>
      </c>
      <c r="AU126" s="55">
        <f ca="1">Проект!AU132/Параметры!AU$64</f>
        <v>15670924.521740628</v>
      </c>
      <c r="AV126" s="55">
        <f ca="1">Проект!AV132/Параметры!AV$64</f>
        <v>20681935.974049117</v>
      </c>
      <c r="AW126" s="55">
        <f ca="1">Проект!AW132/Параметры!AW$64</f>
        <v>27703742.641142741</v>
      </c>
      <c r="AX126" s="55">
        <f ca="1">Проект!AX132/Параметры!AX$64</f>
        <v>29820173.262142196</v>
      </c>
      <c r="AY126" s="55">
        <f ca="1">Проект!AY132/Параметры!AY$64</f>
        <v>23962567.174042072</v>
      </c>
      <c r="AZ126" s="55">
        <f ca="1">Проект!AZ132/Параметры!AZ$64</f>
        <v>17056510.194137946</v>
      </c>
      <c r="BA126" s="55">
        <f ca="1">Проект!BA132/Параметры!BA$64</f>
        <v>15128874.94865682</v>
      </c>
      <c r="BB126" s="55">
        <f ca="1">Проект!BB132/Параметры!BB$64</f>
        <v>17232795.787923556</v>
      </c>
      <c r="BC126" s="55"/>
      <c r="BD126" s="57">
        <f t="shared" ref="BD126:BD133" ca="1" si="300">SUM(G126:BC126)</f>
        <v>766734283.82321596</v>
      </c>
    </row>
    <row r="127" spans="1:56" x14ac:dyDescent="0.3">
      <c r="A127" s="35" t="str">
        <f ca="1">Language!A1242</f>
        <v>Оплата материалов и операционных расходов</v>
      </c>
      <c r="C127" s="48" t="str">
        <f ca="1">Параметры!$C$64</f>
        <v>руб.</v>
      </c>
      <c r="E127" s="6" t="s">
        <v>1026</v>
      </c>
      <c r="F127" s="6" t="s">
        <v>740</v>
      </c>
      <c r="G127" s="55">
        <f ca="1">-SUM(Проект!G273,Проект!G538,Проект!G551,Проект!G564)/Параметры!G$64</f>
        <v>0</v>
      </c>
      <c r="H127" s="55">
        <f ca="1">-SUM(Проект!H273,Проект!H538,Проект!H551,Проект!H564)/Параметры!H$64</f>
        <v>0</v>
      </c>
      <c r="I127" s="55">
        <f ca="1">-SUM(Проект!I273,Проект!I538,Проект!I551,Проект!I564)/Параметры!I$64</f>
        <v>0</v>
      </c>
      <c r="J127" s="55">
        <f ca="1">-SUM(Проект!J273,Проект!J538,Проект!J551,Проект!J564)/Параметры!J$64</f>
        <v>0</v>
      </c>
      <c r="K127" s="55">
        <f ca="1">-SUM(Проект!K273,Проект!K538,Проект!K551,Проект!K564)/Параметры!K$64</f>
        <v>0</v>
      </c>
      <c r="L127" s="55">
        <f ca="1">-SUM(Проект!L273,Проект!L538,Проект!L551,Проект!L564)/Параметры!L$64</f>
        <v>-1077925.0604182645</v>
      </c>
      <c r="M127" s="55">
        <f ca="1">-SUM(Проект!M273,Проект!M538,Проект!M551,Проект!M564)/Параметры!M$64</f>
        <v>-2376327.8070724495</v>
      </c>
      <c r="N127" s="55">
        <f ca="1">-SUM(Проект!N273,Проект!N538,Проект!N551,Проект!N564)/Параметры!N$64</f>
        <v>-3798258.259700513</v>
      </c>
      <c r="O127" s="55">
        <f ca="1">-SUM(Проект!O273,Проект!O538,Проект!O551,Проект!O564)/Параметры!O$64</f>
        <v>-4247667.615704284</v>
      </c>
      <c r="P127" s="55">
        <f ca="1">-SUM(Проект!P273,Проект!P538,Проект!P551,Проект!P564)/Параметры!P$64</f>
        <v>-4633267.4333079904</v>
      </c>
      <c r="Q127" s="55">
        <f ca="1">-SUM(Проект!Q273,Проект!Q538,Проект!Q551,Проект!Q564)/Параметры!Q$64</f>
        <v>-4774680.2369417194</v>
      </c>
      <c r="R127" s="55">
        <f ca="1">-SUM(Проект!R273,Проект!R538,Проект!R551,Проект!R564)/Параметры!R$64</f>
        <v>-5399717.8857779969</v>
      </c>
      <c r="S127" s="55">
        <f ca="1">-SUM(Проект!S273,Проект!S538,Проект!S551,Проект!S564)/Параметры!S$64</f>
        <v>-5614356.0447577778</v>
      </c>
      <c r="T127" s="55">
        <f ca="1">-SUM(Проект!T273,Проект!T538,Проект!T551,Проект!T564)/Параметры!T$64</f>
        <v>-5507607.5470003393</v>
      </c>
      <c r="U127" s="55">
        <f ca="1">-SUM(Проект!U273,Проект!U538,Проект!U551,Проект!U564)/Параметры!U$64</f>
        <v>-4763458.8935667574</v>
      </c>
      <c r="V127" s="55">
        <f ca="1">-SUM(Проект!V273,Проект!V538,Проект!V551,Проект!V564)/Параметры!V$64</f>
        <v>-4330791.0004926464</v>
      </c>
      <c r="W127" s="55">
        <f ca="1">-SUM(Проект!W273,Проект!W538,Проект!W551,Проект!W564)/Параметры!W$64</f>
        <v>-5331024.5728833117</v>
      </c>
      <c r="X127" s="55">
        <f ca="1">-SUM(Проект!X273,Проект!X538,Проект!X551,Проект!X564)/Параметры!X$64</f>
        <v>-6655878.9616966844</v>
      </c>
      <c r="Y127" s="55">
        <f ca="1">-SUM(Проект!Y273,Проект!Y538,Проект!Y551,Проект!Y564)/Параметры!Y$64</f>
        <v>-8107439.8295699805</v>
      </c>
      <c r="Z127" s="55">
        <f ca="1">-SUM(Проект!Z273,Проект!Z538,Проект!Z551,Проект!Z564)/Параметры!Z$64</f>
        <v>-7092639.282148839</v>
      </c>
      <c r="AA127" s="55">
        <f ca="1">-SUM(Проект!AA273,Проект!AA538,Проект!AA551,Проект!AA564)/Параметры!AA$64</f>
        <v>-5291702.842982064</v>
      </c>
      <c r="AB127" s="55">
        <f ca="1">-SUM(Проект!AB273,Проект!AB538,Проект!AB551,Проект!AB564)/Параметры!AB$64</f>
        <v>-4055325.3193295049</v>
      </c>
      <c r="AC127" s="55">
        <f ca="1">-SUM(Проект!AC273,Проект!AC538,Проект!AC551,Проект!AC564)/Параметры!AC$64</f>
        <v>-4439631.2983154804</v>
      </c>
      <c r="AD127" s="55">
        <f ca="1">-SUM(Проект!AD273,Проект!AD538,Проект!AD551,Проект!AD564)/Параметры!AD$64</f>
        <v>-5860960.912823284</v>
      </c>
      <c r="AE127" s="55">
        <f ca="1">-SUM(Проект!AE273,Проект!AE538,Проект!AE551,Проект!AE564)/Параметры!AE$64</f>
        <v>-6355483.8583902838</v>
      </c>
      <c r="AF127" s="55">
        <f ca="1">-SUM(Проект!AF273,Проект!AF538,Проект!AF551,Проект!AF564)/Параметры!AF$64</f>
        <v>-6085108.268550477</v>
      </c>
      <c r="AG127" s="55">
        <f ca="1">-SUM(Проект!AG273,Проект!AG538,Проект!AG551,Проект!AG564)/Параметры!AG$64</f>
        <v>-5262266.2678446462</v>
      </c>
      <c r="AH127" s="55">
        <f ca="1">-SUM(Проект!AH273,Проект!AH538,Проект!AH551,Проект!AH564)/Параметры!AH$64</f>
        <v>-4783265.1517392099</v>
      </c>
      <c r="AI127" s="55">
        <f ca="1">-SUM(Проект!AI273,Проект!AI538,Проект!AI551,Проект!AI564)/Параметры!AI$64</f>
        <v>-5887779.6596420063</v>
      </c>
      <c r="AJ127" s="55">
        <f ca="1">-SUM(Проект!AJ273,Проект!AJ538,Проект!AJ551,Проект!AJ564)/Параметры!AJ$64</f>
        <v>-7357008.3033675682</v>
      </c>
      <c r="AK127" s="55">
        <f ca="1">-SUM(Проект!AK273,Проект!AK538,Проект!AK551,Проект!AK564)/Параметры!AK$64</f>
        <v>-8968520.7755014654</v>
      </c>
      <c r="AL127" s="55">
        <f ca="1">-SUM(Проект!AL273,Проект!AL538,Проект!AL551,Проект!AL564)/Параметры!AL$64</f>
        <v>-7851301.7601763234</v>
      </c>
      <c r="AM127" s="55">
        <f ca="1">-SUM(Проект!AM273,Проект!AM538,Проект!AM551,Проект!AM564)/Параметры!AM$64</f>
        <v>-5856537.4301232398</v>
      </c>
      <c r="AN127" s="55">
        <f ca="1">-SUM(Проект!AN273,Проект!AN538,Проект!AN551,Проект!AN564)/Параметры!AN$64</f>
        <v>-4482591.3233566806</v>
      </c>
      <c r="AO127" s="55">
        <f ca="1">-SUM(Проект!AO273,Проект!AO538,Проект!AO551,Проект!AO564)/Параметры!AO$64</f>
        <v>-4902935.4257331556</v>
      </c>
      <c r="AP127" s="55">
        <f ca="1">-SUM(Проект!AP273,Проект!AP538,Проект!AP551,Проект!AP564)/Параметры!AP$64</f>
        <v>-6474208.1720730616</v>
      </c>
      <c r="AQ127" s="55">
        <f ca="1">-SUM(Проект!AQ273,Проект!AQ538,Проект!AQ551,Проект!AQ564)/Параметры!AQ$64</f>
        <v>-7024984.7248168066</v>
      </c>
      <c r="AR127" s="55">
        <f ca="1">-SUM(Проект!AR273,Проект!AR538,Проект!AR551,Проект!AR564)/Параметры!AR$64</f>
        <v>-6727793.7050086679</v>
      </c>
      <c r="AS127" s="55">
        <f ca="1">-SUM(Проект!AS273,Проект!AS538,Проект!AS551,Проект!AS564)/Параметры!AS$64</f>
        <v>-5817328.864885265</v>
      </c>
      <c r="AT127" s="55">
        <f ca="1">-SUM(Проект!AT273,Проект!AT538,Проект!AT551,Проект!AT564)/Параметры!AT$64</f>
        <v>-5286696.4110949887</v>
      </c>
      <c r="AU127" s="55">
        <f ca="1">-SUM(Проект!AU273,Проект!AU538,Проект!AU551,Проект!AU564)/Параметры!AU$64</f>
        <v>-6507220.1020970931</v>
      </c>
      <c r="AV127" s="55">
        <f ca="1">-SUM(Проект!AV273,Проект!AV538,Проект!AV551,Проект!AV564)/Параметры!AV$64</f>
        <v>-8137504.9937892854</v>
      </c>
      <c r="AW127" s="55">
        <f ca="1">-SUM(Проект!AW273,Проект!AW538,Проект!AW551,Проект!AW564)/Параметры!AW$64</f>
        <v>-9927571.4093298782</v>
      </c>
      <c r="AX127" s="55">
        <f ca="1">-SUM(Проект!AX273,Проект!AX538,Проект!AX551,Проект!AX564)/Параметры!AX$64</f>
        <v>-8696655.6562532354</v>
      </c>
      <c r="AY127" s="55">
        <f ca="1">-SUM(Проект!AY273,Проект!AY538,Проект!AY551,Проект!AY564)/Параметры!AY$64</f>
        <v>-6485832.3791799815</v>
      </c>
      <c r="AZ127" s="55">
        <f ca="1">-SUM(Проект!AZ273,Проект!AZ538,Проект!AZ551,Проект!AZ564)/Параметры!AZ$64</f>
        <v>-4958229.0731550967</v>
      </c>
      <c r="BA127" s="55">
        <f ca="1">-SUM(Проект!BA273,Проект!BA538,Проект!BA551,Проект!BA564)/Параметры!BA$64</f>
        <v>-5418377.8852364076</v>
      </c>
      <c r="BB127" s="55">
        <f ca="1">-SUM(Проект!BB273,Проект!BB538,Проект!BB551,Проект!BB564)/Параметры!BB$64</f>
        <v>-6376763.6569598252</v>
      </c>
      <c r="BC127" s="55"/>
      <c r="BD127" s="57">
        <f t="shared" ca="1" si="300"/>
        <v>-248990626.0627946</v>
      </c>
    </row>
    <row r="128" spans="1:56" x14ac:dyDescent="0.3">
      <c r="A128" s="35" t="str">
        <f ca="1">Language!A1243</f>
        <v>Заработная плата</v>
      </c>
      <c r="C128" s="48" t="str">
        <f ca="1">Параметры!$C$64</f>
        <v>руб.</v>
      </c>
      <c r="E128" s="6" t="s">
        <v>1027</v>
      </c>
      <c r="F128" s="6" t="s">
        <v>740</v>
      </c>
      <c r="G128" s="55">
        <f ca="1">-IF(G2=1,Проект!G412-Проект!G414,Проект!G412-(Проект!G414-Проект!F414))/Параметры!G$64</f>
        <v>0</v>
      </c>
      <c r="H128" s="55">
        <f ca="1">-IF(H2=1,Проект!H412-Проект!H414,Проект!H412-(Проект!H414-Проект!G414))/Параметры!H$64</f>
        <v>0</v>
      </c>
      <c r="I128" s="55">
        <f ca="1">-IF(I2=1,Проект!I412-Проект!I414,Проект!I412-(Проект!I414-Проект!H414))/Параметры!I$64</f>
        <v>0</v>
      </c>
      <c r="J128" s="55">
        <f ca="1">-IF(J2=1,Проект!J412-Проект!J414,Проект!J412-(Проект!J414-Проект!I414))/Параметры!J$64</f>
        <v>0</v>
      </c>
      <c r="K128" s="55">
        <f ca="1">-IF(K2=1,Проект!K412-Проект!K414,Проект!K412-(Проект!K414-Проект!J414))/Параметры!K$64</f>
        <v>0</v>
      </c>
      <c r="L128" s="55">
        <f ca="1">-IF(L2=1,Проект!L412-Проект!L414,Проект!L412-(Проект!L414-Проект!K414))/Параметры!L$64</f>
        <v>0</v>
      </c>
      <c r="M128" s="55">
        <f ca="1">-IF(M2=1,Проект!M412-Проект!M414,Проект!M412-(Проект!M414-Проект!L414))/Параметры!M$64</f>
        <v>-501911.96937311621</v>
      </c>
      <c r="N128" s="55">
        <f ca="1">-IF(N2=1,Проект!N412-Проект!N414,Проект!N412-(Проект!N414-Проект!M414))/Параметры!N$64</f>
        <v>-1006267.0206365071</v>
      </c>
      <c r="O128" s="55">
        <f ca="1">-IF(O2=1,Проект!O412-Проект!O414,Проект!O412-(Проект!O414-Проект!N414))/Параметры!O$64</f>
        <v>-1011165.0762416925</v>
      </c>
      <c r="P128" s="55">
        <f ca="1">-IF(P2=1,Проект!P412-Проект!P414,Проект!P412-(Проект!P414-Проект!O414))/Параметры!P$64</f>
        <v>-1016086.9733802079</v>
      </c>
      <c r="Q128" s="55">
        <f ca="1">-IF(Q2=1,Проект!Q412-Проект!Q414,Проект!Q412-(Проект!Q414-Проект!P414))/Параметры!Q$64</f>
        <v>-1021032.8281019225</v>
      </c>
      <c r="R128" s="55">
        <f ca="1">-IF(R2=1,Проект!R412-Проект!R414,Проект!R412-(Проект!R414-Проект!Q414))/Параметры!R$64</f>
        <v>-1026002.7570215838</v>
      </c>
      <c r="S128" s="55">
        <f ca="1">-IF(S2=1,Проект!S412-Проект!S414,Проект!S412-(Проект!S414-Проект!R414))/Параметры!S$64</f>
        <v>-1030996.8773215677</v>
      </c>
      <c r="T128" s="55">
        <f ca="1">-IF(T2=1,Проект!T412-Проект!T414,Проект!T412-(Проект!T414-Проект!S414))/Параметры!T$64</f>
        <v>-1036015.3067546412</v>
      </c>
      <c r="U128" s="55">
        <f ca="1">-IF(U2=1,Проект!U412-Проект!U414,Проект!U412-(Проект!U414-Проект!T414))/Параметры!U$64</f>
        <v>-1041058.163646739</v>
      </c>
      <c r="V128" s="55">
        <f ca="1">-IF(V2=1,Проект!V412-Проект!V414,Проект!V412-(Проект!V414-Проект!U414))/Параметры!V$64</f>
        <v>-1046125.5668997526</v>
      </c>
      <c r="W128" s="55">
        <f ca="1">-IF(W2=1,Проект!W412-Проект!W414,Проект!W412-(Проект!W414-Проект!V414))/Параметры!W$64</f>
        <v>-1051217.6359943354</v>
      </c>
      <c r="X128" s="55">
        <f ca="1">-IF(X2=1,Проект!X412-Проект!X414,Проект!X412-(Проект!X414-Проект!W414))/Параметры!X$64</f>
        <v>-1056334.4909927184</v>
      </c>
      <c r="Y128" s="55">
        <f ca="1">-IF(Y2=1,Проект!Y412-Проект!Y414,Проект!Y412-(Проект!Y414-Проект!X414))/Параметры!Y$64</f>
        <v>-1061476.2525415411</v>
      </c>
      <c r="Z128" s="55">
        <f ca="1">-IF(Z2=1,Проект!Z412-Проект!Z414,Проект!Z412-(Проект!Z414-Проект!Y414))/Параметры!Z$64</f>
        <v>-1066643.0418746979</v>
      </c>
      <c r="AA128" s="55">
        <f ca="1">-IF(AA2=1,Проект!AA412-Проект!AA414,Проект!AA412-(Проект!AA414-Проект!Z414))/Параметры!AA$64</f>
        <v>-1071834.9808161943</v>
      </c>
      <c r="AB128" s="55">
        <f ca="1">-IF(AB2=1,Проект!AB412-Проект!AB414,Проект!AB412-(Проект!AB414-Проект!AA414))/Параметры!AB$64</f>
        <v>-1077052.1917830207</v>
      </c>
      <c r="AC128" s="55">
        <f ca="1">-IF(AC2=1,Проект!AC412-Проект!AC414,Проект!AC412-(Проект!AC414-Проект!AB414))/Параметры!AC$64</f>
        <v>-1082294.7977880382</v>
      </c>
      <c r="AD128" s="55">
        <f ca="1">-IF(AD2=1,Проект!AD412-Проект!AD414,Проект!AD412-(Проект!AD414-Проект!AC414))/Параметры!AD$64</f>
        <v>-1087562.9224428791</v>
      </c>
      <c r="AE128" s="55">
        <f ca="1">-IF(AE2=1,Проект!AE412-Проект!AE414,Проект!AE412-(Проект!AE414-Проект!AD414))/Параметры!AE$64</f>
        <v>-1092856.689960862</v>
      </c>
      <c r="AF128" s="55">
        <f ca="1">-IF(AF2=1,Проект!AF412-Проект!AF414,Проект!AF412-(Проект!AF414-Проект!AE414))/Параметры!AF$64</f>
        <v>-1098176.2251599198</v>
      </c>
      <c r="AG128" s="55">
        <f ca="1">-IF(AG2=1,Проект!AG412-Проект!AG414,Проект!AG412-(Проект!AG414-Проект!AF414))/Параметры!AG$64</f>
        <v>-1103521.6534655434</v>
      </c>
      <c r="AH128" s="55">
        <f ca="1">-IF(AH2=1,Проект!AH412-Проект!AH414,Проект!AH412-(Проект!AH414-Проект!AG414))/Параметры!AH$64</f>
        <v>-1108893.1009137381</v>
      </c>
      <c r="AI128" s="55">
        <f ca="1">-IF(AI2=1,Проект!AI412-Проект!AI414,Проект!AI412-(Проект!AI414-Проект!AH414))/Параметры!AI$64</f>
        <v>-1114290.6941539957</v>
      </c>
      <c r="AJ128" s="55">
        <f ca="1">-IF(AJ2=1,Проект!AJ412-Проект!AJ414,Проект!AJ412-(Проект!AJ414-Проект!AI414))/Параметры!AJ$64</f>
        <v>-1119714.5604522815</v>
      </c>
      <c r="AK128" s="55">
        <f ca="1">-IF(AK2=1,Проект!AK412-Проект!AK414,Проект!AK412-(Проект!AK414-Проект!AJ414))/Параметры!AK$64</f>
        <v>-1125164.827694034</v>
      </c>
      <c r="AL128" s="55">
        <f ca="1">-IF(AL2=1,Проект!AL412-Проект!AL414,Проект!AL412-(Проект!AL414-Проект!AK414))/Параметры!AL$64</f>
        <v>-1130641.62438718</v>
      </c>
      <c r="AM128" s="55">
        <f ca="1">-IF(AM2=1,Проект!AM412-Проект!AM414,Проект!AM412-(Проект!AM414-Проект!AL414))/Параметры!AM$64</f>
        <v>-1136145.0796651663</v>
      </c>
      <c r="AN128" s="55">
        <f ca="1">-IF(AN2=1,Проект!AN412-Проект!AN414,Проект!AN412-(Проект!AN414-Проект!AM414))/Параметры!AN$64</f>
        <v>-1141675.3232900021</v>
      </c>
      <c r="AO128" s="55">
        <f ca="1">-IF(AO2=1,Проект!AO412-Проект!AO414,Проект!AO412-(Проект!AO414-Проект!AN414))/Параметры!AO$64</f>
        <v>-1147232.4856553203</v>
      </c>
      <c r="AP128" s="55">
        <f ca="1">-IF(AP2=1,Проект!AP412-Проект!AP414,Проект!AP412-(Проект!AP414-Проект!AO414))/Параметры!AP$64</f>
        <v>-1152816.697789452</v>
      </c>
      <c r="AQ128" s="55">
        <f ca="1">-IF(AQ2=1,Проект!AQ412-Проект!AQ414,Проект!AQ412-(Проект!AQ414-Проект!AP414))/Параметры!AQ$64</f>
        <v>-1158428.091358514</v>
      </c>
      <c r="AR128" s="55">
        <f ca="1">-IF(AR2=1,Проект!AR412-Проект!AR414,Проект!AR412-(Проект!AR414-Проект!AQ414))/Параметры!AR$64</f>
        <v>-1164066.7986695152</v>
      </c>
      <c r="AS128" s="55">
        <f ca="1">-IF(AS2=1,Проект!AS412-Проект!AS414,Проект!AS412-(Проект!AS414-Проект!AR414))/Параметры!AS$64</f>
        <v>-1169732.9526734762</v>
      </c>
      <c r="AT128" s="55">
        <f ca="1">-IF(AT2=1,Проект!AT412-Проект!AT414,Проект!AT412-(Проект!AT414-Проект!AS414))/Параметры!AT$64</f>
        <v>-1175426.6869685622</v>
      </c>
      <c r="AU128" s="55">
        <f ca="1">-IF(AU2=1,Проект!AU412-Проект!AU414,Проект!AU412-(Проект!AU414-Проект!AT414))/Параметры!AU$64</f>
        <v>-1181148.1358032355</v>
      </c>
      <c r="AV128" s="55">
        <f ca="1">-IF(AV2=1,Проект!AV412-Проект!AV414,Проект!AV412-(Проект!AV414-Проект!AU414))/Параметры!AV$64</f>
        <v>-1186897.4340794184</v>
      </c>
      <c r="AW128" s="55">
        <f ca="1">-IF(AW2=1,Проект!AW412-Проект!AW414,Проект!AW412-(Проект!AW414-Проект!AV414))/Параметры!AW$64</f>
        <v>-1192674.717355676</v>
      </c>
      <c r="AX128" s="55">
        <f ca="1">-IF(AX2=1,Проект!AX412-Проект!AX414,Проект!AX412-(Проект!AX414-Проект!AW414))/Параметры!AX$64</f>
        <v>-1198480.1218504109</v>
      </c>
      <c r="AY128" s="55">
        <f ca="1">-IF(AY2=1,Проект!AY412-Проект!AY414,Проект!AY412-(Проект!AY414-Проект!AX414))/Параметры!AY$64</f>
        <v>-1204313.7844450762</v>
      </c>
      <c r="AZ128" s="55">
        <f ca="1">-IF(AZ2=1,Проект!AZ412-Проект!AZ414,Проект!AZ412-(Проект!AZ414-Проект!AY414))/Параметры!AZ$64</f>
        <v>-1210175.8426874024</v>
      </c>
      <c r="BA128" s="55">
        <f ca="1">-IF(BA2=1,Проект!BA412-Проект!BA414,Проект!BA412-(Проект!BA414-Проект!AZ414))/Параметры!BA$64</f>
        <v>-1216066.4347946402</v>
      </c>
      <c r="BB128" s="55">
        <f ca="1">-IF(BB2=1,Проект!BB412-Проект!BB414,Проект!BB412-(Проект!BB414-Проект!BA414))/Параметры!BB$64</f>
        <v>-1221985.6996568195</v>
      </c>
      <c r="BC128" s="55"/>
      <c r="BD128" s="57">
        <f t="shared" ca="1" si="300"/>
        <v>-46041604.516541407</v>
      </c>
    </row>
    <row r="129" spans="1:56" x14ac:dyDescent="0.3">
      <c r="A129" s="35" t="str">
        <f ca="1">Language!A1245</f>
        <v>Налоги</v>
      </c>
      <c r="C129" s="48" t="str">
        <f ca="1">Параметры!$C$64</f>
        <v>руб.</v>
      </c>
      <c r="E129" s="6" t="s">
        <v>1028</v>
      </c>
      <c r="F129" s="6" t="s">
        <v>740</v>
      </c>
      <c r="G129" s="55">
        <f ca="1">-SUM(Проект!G1354)/Параметры!G$64</f>
        <v>0</v>
      </c>
      <c r="H129" s="55">
        <f ca="1">-SUM(Проект!H1354)/Параметры!H$64</f>
        <v>0</v>
      </c>
      <c r="I129" s="55">
        <f ca="1">-SUM(Проект!I1354)/Параметры!I$64</f>
        <v>0</v>
      </c>
      <c r="J129" s="55">
        <f ca="1">-SUM(Проект!J1354)/Параметры!J$64</f>
        <v>0</v>
      </c>
      <c r="K129" s="55">
        <f ca="1">-SUM(Проект!K1354)/Параметры!K$64</f>
        <v>0</v>
      </c>
      <c r="L129" s="55">
        <f ca="1">-SUM(Проект!L1354)/Параметры!L$64</f>
        <v>0</v>
      </c>
      <c r="M129" s="55">
        <f ca="1">-SUM(Проект!M1354)/Параметры!M$64</f>
        <v>0</v>
      </c>
      <c r="N129" s="55">
        <f ca="1">-SUM(Проект!N1354)/Параметры!N$64</f>
        <v>-610664.71055236226</v>
      </c>
      <c r="O129" s="55">
        <f ca="1">-SUM(Проект!O1354)/Параметры!O$64</f>
        <v>-863689.13672200916</v>
      </c>
      <c r="P129" s="55">
        <f ca="1">-SUM(Проект!P1354)/Параметры!P$64</f>
        <v>-1018849.9727182956</v>
      </c>
      <c r="Q129" s="55">
        <f ca="1">-SUM(Проект!Q1354)/Параметры!Q$64</f>
        <v>-1175500.8517159168</v>
      </c>
      <c r="R129" s="55">
        <f ca="1">-SUM(Проект!R1354)/Параметры!R$64</f>
        <v>-1231868.2953123241</v>
      </c>
      <c r="S129" s="55">
        <f ca="1">-SUM(Проект!S1354)/Параметры!S$64</f>
        <v>-1237864.4765295996</v>
      </c>
      <c r="T129" s="55">
        <f ca="1">-SUM(Проект!T1354)/Параметры!T$64</f>
        <v>-1449445.0444621497</v>
      </c>
      <c r="U129" s="55">
        <f ca="1">-SUM(Проект!U1354)/Параметры!U$64</f>
        <v>-1456000.0163427703</v>
      </c>
      <c r="V129" s="55">
        <f ca="1">-SUM(Проект!V1354)/Параметры!V$64</f>
        <v>-1307667.6470183353</v>
      </c>
      <c r="W129" s="55">
        <f ca="1">-SUM(Проект!W1354)/Параметры!W$64</f>
        <v>-1262142.4926905446</v>
      </c>
      <c r="X129" s="55">
        <f ca="1">-SUM(Проект!X1354)/Параметры!X$64</f>
        <v>-1163492.6762766023</v>
      </c>
      <c r="Y129" s="55">
        <f ca="1">-SUM(Проект!Y1354)/Параметры!Y$64</f>
        <v>-1432669.6936741122</v>
      </c>
      <c r="Z129" s="55">
        <f ca="1">-SUM(Проект!Z1354)/Параметры!Z$64</f>
        <v>-1809230.4858132759</v>
      </c>
      <c r="AA129" s="55">
        <f ca="1">-SUM(Проект!AA1354)/Параметры!AA$64</f>
        <v>-1923853.0223251625</v>
      </c>
      <c r="AB129" s="55">
        <f ca="1">-SUM(Проект!AB1354)/Параметры!AB$64</f>
        <v>-1612671.5171257115</v>
      </c>
      <c r="AC129" s="55">
        <f ca="1">-SUM(Проект!AC1354)/Параметры!AC$64</f>
        <v>-1245510.8116006942</v>
      </c>
      <c r="AD129" s="55">
        <f ca="1">-SUM(Проект!AD1354)/Параметры!AD$64</f>
        <v>-1144204.6548823616</v>
      </c>
      <c r="AE129" s="55">
        <f ca="1">-SUM(Проект!AE1354)/Параметры!AE$64</f>
        <v>-1258190.6619403949</v>
      </c>
      <c r="AF129" s="55">
        <f ca="1">-SUM(Проект!AF1354)/Параметры!AF$64</f>
        <v>-1536411.7471298785</v>
      </c>
      <c r="AG129" s="55">
        <f ca="1">-SUM(Проект!AG1354)/Параметры!AG$64</f>
        <v>-1543360.0173233366</v>
      </c>
      <c r="AH129" s="55">
        <f ca="1">-SUM(Проект!AH1354)/Параметры!AH$64</f>
        <v>-1386127.7058394358</v>
      </c>
      <c r="AI129" s="55">
        <f ca="1">-SUM(Проект!AI1354)/Параметры!AI$64</f>
        <v>-1337871.0422519774</v>
      </c>
      <c r="AJ129" s="55">
        <f ca="1">-SUM(Проект!AJ1354)/Параметры!AJ$64</f>
        <v>-1233302.2368531986</v>
      </c>
      <c r="AK129" s="55">
        <f ca="1">-SUM(Проект!AK1354)/Параметры!AK$64</f>
        <v>-1518629.8752945592</v>
      </c>
      <c r="AL129" s="55">
        <f ca="1">-SUM(Проект!AL1354)/Параметры!AL$64</f>
        <v>-1917784.3149620728</v>
      </c>
      <c r="AM129" s="55">
        <f ca="1">-SUM(Проект!AM1354)/Параметры!AM$64</f>
        <v>-2039284.2036646723</v>
      </c>
      <c r="AN129" s="55">
        <f ca="1">-SUM(Проект!AN1354)/Параметры!AN$64</f>
        <v>-1709431.808153254</v>
      </c>
      <c r="AO129" s="55">
        <f ca="1">-SUM(Проект!AO1354)/Параметры!AO$64</f>
        <v>-1320241.4602967361</v>
      </c>
      <c r="AP129" s="55">
        <f ca="1">-SUM(Проект!AP1354)/Параметры!AP$64</f>
        <v>-1212856.9341753032</v>
      </c>
      <c r="AQ129" s="55">
        <f ca="1">-SUM(Проект!AQ1354)/Параметры!AQ$64</f>
        <v>-1333682.101656819</v>
      </c>
      <c r="AR129" s="55">
        <f ca="1">-SUM(Проект!AR1354)/Параметры!AR$64</f>
        <v>-1628596.4519576721</v>
      </c>
      <c r="AS129" s="55">
        <f ca="1">-SUM(Проект!AS1354)/Параметры!AS$64</f>
        <v>-1635961.6183627371</v>
      </c>
      <c r="AT129" s="55">
        <f ca="1">-SUM(Проект!AT1354)/Параметры!AT$64</f>
        <v>-1469295.3681898024</v>
      </c>
      <c r="AU129" s="55">
        <f ca="1">-SUM(Проект!AU1354)/Параметры!AU$64</f>
        <v>-1418143.3047870966</v>
      </c>
      <c r="AV129" s="55">
        <f ca="1">-SUM(Проект!AV1354)/Параметры!AV$64</f>
        <v>-1307300.371064391</v>
      </c>
      <c r="AW129" s="55">
        <f ca="1">-SUM(Проект!AW1354)/Параметры!AW$64</f>
        <v>-1609747.6678122333</v>
      </c>
      <c r="AX129" s="55">
        <f ca="1">-SUM(Проект!AX1354)/Параметры!AX$64</f>
        <v>-2032851.3738597974</v>
      </c>
      <c r="AY129" s="55">
        <f ca="1">-SUM(Проект!AY1354)/Параметры!AY$64</f>
        <v>-2161641.2558845538</v>
      </c>
      <c r="AZ129" s="55">
        <f ca="1">-SUM(Проект!AZ1354)/Параметры!AZ$64</f>
        <v>-1811997.7166424498</v>
      </c>
      <c r="BA129" s="55">
        <f ca="1">-SUM(Проект!BA1354)/Параметры!BA$64</f>
        <v>-1399455.9479145408</v>
      </c>
      <c r="BB129" s="55">
        <f ca="1">-SUM(Проект!BB1354)/Параметры!BB$64</f>
        <v>-1285628.3502258221</v>
      </c>
      <c r="BC129" s="55"/>
      <c r="BD129" s="57">
        <f t="shared" ca="1" si="300"/>
        <v>-59053119.042004973</v>
      </c>
    </row>
    <row r="130" spans="1:56" x14ac:dyDescent="0.3">
      <c r="A130" s="35" t="str">
        <f ca="1">Language!A1246</f>
        <v>Выплата процентов по кредитам</v>
      </c>
      <c r="C130" s="48" t="str">
        <f ca="1">Параметры!$C$64</f>
        <v>руб.</v>
      </c>
      <c r="E130" s="6" t="s">
        <v>1029</v>
      </c>
      <c r="F130" s="6" t="s">
        <v>740</v>
      </c>
      <c r="G130" s="55">
        <f>(-Проект!G1252-Старт!G128)/Параметры!G$64</f>
        <v>0</v>
      </c>
      <c r="H130" s="55">
        <f>(-Проект!H1252-Старт!H128)/Параметры!H$64</f>
        <v>0</v>
      </c>
      <c r="I130" s="55">
        <f>(-Проект!I1252-Старт!I128)/Параметры!I$64</f>
        <v>0</v>
      </c>
      <c r="J130" s="55">
        <f>(-Проект!J1252-Старт!J128)/Параметры!J$64</f>
        <v>0</v>
      </c>
      <c r="K130" s="55">
        <f>(-Проект!K1252-Старт!K128)/Параметры!K$64</f>
        <v>0</v>
      </c>
      <c r="L130" s="55">
        <f>(-Проект!L1252-Старт!L128)/Параметры!L$64</f>
        <v>0</v>
      </c>
      <c r="M130" s="55">
        <f>(-Проект!M1252-Старт!M128)/Параметры!M$64</f>
        <v>0</v>
      </c>
      <c r="N130" s="55">
        <f>(-Проект!N1252-Старт!N128)/Параметры!N$64</f>
        <v>0</v>
      </c>
      <c r="O130" s="55">
        <f>(-Проект!O1252-Старт!O128)/Параметры!O$64</f>
        <v>-4288541.6875</v>
      </c>
      <c r="P130" s="55">
        <f>(-Проект!P1252-Старт!P128)/Параметры!P$64</f>
        <v>-4226041.6875</v>
      </c>
      <c r="Q130" s="55">
        <f>(-Проект!Q1252-Старт!Q128)/Параметры!Q$64</f>
        <v>-4163541.6875</v>
      </c>
      <c r="R130" s="55">
        <f>(-Проект!R1252-Старт!R128)/Параметры!R$64</f>
        <v>-4080208.3541666665</v>
      </c>
      <c r="S130" s="55">
        <f>(-Проект!S1252-Старт!S128)/Параметры!S$64</f>
        <v>-3996875.0208333335</v>
      </c>
      <c r="T130" s="55">
        <f>(-Проект!T1252-Старт!T128)/Параметры!T$64</f>
        <v>-3913541.6875</v>
      </c>
      <c r="U130" s="55">
        <f>(-Проект!U1252-Старт!U128)/Параметры!U$64</f>
        <v>-3830208.3541666665</v>
      </c>
      <c r="V130" s="55">
        <f>(-Проект!V1252-Старт!V128)/Параметры!V$64</f>
        <v>-3726041.6875</v>
      </c>
      <c r="W130" s="55">
        <f>(-Проект!W1252-Старт!W128)/Параметры!W$64</f>
        <v>-3621875.0208333335</v>
      </c>
      <c r="X130" s="55">
        <f>(-Проект!X1252-Старт!X128)/Параметры!X$64</f>
        <v>-3517708.3541666665</v>
      </c>
      <c r="Y130" s="55">
        <f>(-Проект!Y1252-Старт!Y128)/Параметры!Y$64</f>
        <v>-3351041.6875</v>
      </c>
      <c r="Z130" s="55">
        <f>(-Проект!Z1252-Старт!Z128)/Параметры!Z$64</f>
        <v>-3184375.0208333335</v>
      </c>
      <c r="AA130" s="55">
        <f>(-Проект!AA1252-Старт!AA128)/Параметры!AA$64</f>
        <v>-3017708.3541666665</v>
      </c>
      <c r="AB130" s="55">
        <f>(-Проект!AB1252-Старт!AB128)/Параметры!AB$64</f>
        <v>-2851041.6875</v>
      </c>
      <c r="AC130" s="55">
        <f>(-Проект!AC1252-Старт!AC128)/Параметры!AC$64</f>
        <v>-2684375.0208333335</v>
      </c>
      <c r="AD130" s="55">
        <f>(-Проект!AD1252-Старт!AD128)/Параметры!AD$64</f>
        <v>-2517708.3541666665</v>
      </c>
      <c r="AE130" s="55">
        <f>(-Проект!AE1252-Старт!AE128)/Параметры!AE$64</f>
        <v>-2351041.6875</v>
      </c>
      <c r="AF130" s="55">
        <f>(-Проект!AF1252-Старт!AF128)/Параметры!AF$64</f>
        <v>-2184375.0208333335</v>
      </c>
      <c r="AG130" s="55">
        <f>(-Проект!AG1252-Старт!AG128)/Параметры!AG$64</f>
        <v>-2017708.3541666667</v>
      </c>
      <c r="AH130" s="55">
        <f>(-Проект!AH1252-Старт!AH128)/Параметры!AH$64</f>
        <v>-1851041.6875</v>
      </c>
      <c r="AI130" s="55">
        <f>(-Проект!AI1252-Старт!AI128)/Параметры!AI$64</f>
        <v>-1684375.0208333333</v>
      </c>
      <c r="AJ130" s="55">
        <f>(-Проект!AJ1252-Старт!AJ128)/Параметры!AJ$64</f>
        <v>-1517708.3541666667</v>
      </c>
      <c r="AK130" s="55">
        <f>(-Проект!AK1252-Старт!AK128)/Параметры!AK$64</f>
        <v>-1351041.6875</v>
      </c>
      <c r="AL130" s="55">
        <f>(-Проект!AL1252-Старт!AL128)/Параметры!AL$64</f>
        <v>-1184375.0208333333</v>
      </c>
      <c r="AM130" s="55">
        <f>(-Проект!AM1252-Старт!AM128)/Параметры!AM$64</f>
        <v>-1017708.3541666666</v>
      </c>
      <c r="AN130" s="55">
        <f>(-Проект!AN1252-Старт!AN128)/Параметры!AN$64</f>
        <v>-851041.6875</v>
      </c>
      <c r="AO130" s="55">
        <f>(-Проект!AO1252-Старт!AO128)/Параметры!AO$64</f>
        <v>-684375.02083333337</v>
      </c>
      <c r="AP130" s="55">
        <f>(-Проект!AP1252-Старт!AP128)/Параметры!AP$64</f>
        <v>-517708.35416666669</v>
      </c>
      <c r="AQ130" s="55">
        <f>(-Проект!AQ1252-Старт!AQ128)/Параметры!AQ$64</f>
        <v>-351041.6875</v>
      </c>
      <c r="AR130" s="55">
        <f>(-Проект!AR1252-Старт!AR128)/Параметры!AR$64</f>
        <v>-184375.02083333334</v>
      </c>
      <c r="AS130" s="55">
        <f>(-Проект!AS1252-Старт!AS128)/Параметры!AS$64</f>
        <v>-17708.354166666668</v>
      </c>
      <c r="AT130" s="55">
        <f>(-Проект!AT1252-Старт!AT128)/Параметры!AT$64</f>
        <v>0</v>
      </c>
      <c r="AU130" s="55">
        <f>(-Проект!AU1252-Старт!AU128)/Параметры!AU$64</f>
        <v>0</v>
      </c>
      <c r="AV130" s="55">
        <f>(-Проект!AV1252-Старт!AV128)/Параметры!AV$64</f>
        <v>0</v>
      </c>
      <c r="AW130" s="55">
        <f>(-Проект!AW1252-Старт!AW128)/Параметры!AW$64</f>
        <v>0</v>
      </c>
      <c r="AX130" s="55">
        <f>(-Проект!AX1252-Старт!AX128)/Параметры!AX$64</f>
        <v>0</v>
      </c>
      <c r="AY130" s="55">
        <f>(-Проект!AY1252-Старт!AY128)/Параметры!AY$64</f>
        <v>0</v>
      </c>
      <c r="AZ130" s="55">
        <f>(-Проект!AZ1252-Старт!AZ128)/Параметры!AZ$64</f>
        <v>0</v>
      </c>
      <c r="BA130" s="55">
        <f>(-Проект!BA1252-Старт!BA128)/Параметры!BA$64</f>
        <v>0</v>
      </c>
      <c r="BB130" s="55">
        <f>(-Проект!BB1252-Старт!BB128)/Параметры!BB$64</f>
        <v>0</v>
      </c>
      <c r="BC130" s="55"/>
      <c r="BD130" s="57">
        <f t="shared" si="300"/>
        <v>-74736458.979166672</v>
      </c>
    </row>
    <row r="131" spans="1:56" x14ac:dyDescent="0.3">
      <c r="A131" s="35" t="str">
        <f ca="1">Language!A1247</f>
        <v>Лизинговые платежи</v>
      </c>
      <c r="C131" s="48" t="str">
        <f ca="1">Параметры!$C$64</f>
        <v>руб.</v>
      </c>
      <c r="E131" s="6" t="s">
        <v>1030</v>
      </c>
      <c r="F131" s="6" t="s">
        <v>740</v>
      </c>
      <c r="G131" s="55">
        <f>-Проект!G1043/Параметры!G$64</f>
        <v>0</v>
      </c>
      <c r="H131" s="55">
        <f>-Проект!H1043/Параметры!H$64</f>
        <v>0</v>
      </c>
      <c r="I131" s="55">
        <f>-Проект!I1043/Параметры!I$64</f>
        <v>0</v>
      </c>
      <c r="J131" s="55">
        <f>-Проект!J1043/Параметры!J$64</f>
        <v>0</v>
      </c>
      <c r="K131" s="55">
        <f>-Проект!K1043/Параметры!K$64</f>
        <v>0</v>
      </c>
      <c r="L131" s="55">
        <f>-Проект!L1043/Параметры!L$64</f>
        <v>0</v>
      </c>
      <c r="M131" s="55">
        <f>-Проект!M1043/Параметры!M$64</f>
        <v>0</v>
      </c>
      <c r="N131" s="55">
        <f>-Проект!N1043/Параметры!N$64</f>
        <v>0</v>
      </c>
      <c r="O131" s="55">
        <f>-Проект!O1043/Параметры!O$64</f>
        <v>0</v>
      </c>
      <c r="P131" s="55">
        <f>-Проект!P1043/Параметры!P$64</f>
        <v>0</v>
      </c>
      <c r="Q131" s="55">
        <f>-Проект!Q1043/Параметры!Q$64</f>
        <v>0</v>
      </c>
      <c r="R131" s="55">
        <f>-Проект!R1043/Параметры!R$64</f>
        <v>0</v>
      </c>
      <c r="S131" s="55">
        <f>-Проект!S1043/Параметры!S$64</f>
        <v>0</v>
      </c>
      <c r="T131" s="55">
        <f>-Проект!T1043/Параметры!T$64</f>
        <v>0</v>
      </c>
      <c r="U131" s="55">
        <f>-Проект!U1043/Параметры!U$64</f>
        <v>0</v>
      </c>
      <c r="V131" s="55">
        <f>-Проект!V1043/Параметры!V$64</f>
        <v>0</v>
      </c>
      <c r="W131" s="55">
        <f>-Проект!W1043/Параметры!W$64</f>
        <v>0</v>
      </c>
      <c r="X131" s="55">
        <f>-Проект!X1043/Параметры!X$64</f>
        <v>0</v>
      </c>
      <c r="Y131" s="55">
        <f>-Проект!Y1043/Параметры!Y$64</f>
        <v>0</v>
      </c>
      <c r="Z131" s="55">
        <f>-Проект!Z1043/Параметры!Z$64</f>
        <v>0</v>
      </c>
      <c r="AA131" s="55">
        <f>-Проект!AA1043/Параметры!AA$64</f>
        <v>0</v>
      </c>
      <c r="AB131" s="55">
        <f>-Проект!AB1043/Параметры!AB$64</f>
        <v>0</v>
      </c>
      <c r="AC131" s="55">
        <f>-Проект!AC1043/Параметры!AC$64</f>
        <v>0</v>
      </c>
      <c r="AD131" s="55">
        <f>-Проект!AD1043/Параметры!AD$64</f>
        <v>0</v>
      </c>
      <c r="AE131" s="55">
        <f>-Проект!AE1043/Параметры!AE$64</f>
        <v>0</v>
      </c>
      <c r="AF131" s="55">
        <f>-Проект!AF1043/Параметры!AF$64</f>
        <v>0</v>
      </c>
      <c r="AG131" s="55">
        <f>-Проект!AG1043/Параметры!AG$64</f>
        <v>0</v>
      </c>
      <c r="AH131" s="55">
        <f>-Проект!AH1043/Параметры!AH$64</f>
        <v>0</v>
      </c>
      <c r="AI131" s="55">
        <f>-Проект!AI1043/Параметры!AI$64</f>
        <v>0</v>
      </c>
      <c r="AJ131" s="55">
        <f>-Проект!AJ1043/Параметры!AJ$64</f>
        <v>0</v>
      </c>
      <c r="AK131" s="55">
        <f>-Проект!AK1043/Параметры!AK$64</f>
        <v>0</v>
      </c>
      <c r="AL131" s="55">
        <f>-Проект!AL1043/Параметры!AL$64</f>
        <v>0</v>
      </c>
      <c r="AM131" s="55">
        <f>-Проект!AM1043/Параметры!AM$64</f>
        <v>0</v>
      </c>
      <c r="AN131" s="55">
        <f>-Проект!AN1043/Параметры!AN$64</f>
        <v>0</v>
      </c>
      <c r="AO131" s="55">
        <f>-Проект!AO1043/Параметры!AO$64</f>
        <v>0</v>
      </c>
      <c r="AP131" s="55">
        <f>-Проект!AP1043/Параметры!AP$64</f>
        <v>0</v>
      </c>
      <c r="AQ131" s="55">
        <f>-Проект!AQ1043/Параметры!AQ$64</f>
        <v>0</v>
      </c>
      <c r="AR131" s="55">
        <f>-Проект!AR1043/Параметры!AR$64</f>
        <v>0</v>
      </c>
      <c r="AS131" s="55">
        <f>-Проект!AS1043/Параметры!AS$64</f>
        <v>0</v>
      </c>
      <c r="AT131" s="55">
        <f>-Проект!AT1043/Параметры!AT$64</f>
        <v>0</v>
      </c>
      <c r="AU131" s="55">
        <f>-Проект!AU1043/Параметры!AU$64</f>
        <v>0</v>
      </c>
      <c r="AV131" s="55">
        <f>-Проект!AV1043/Параметры!AV$64</f>
        <v>0</v>
      </c>
      <c r="AW131" s="55">
        <f>-Проект!AW1043/Параметры!AW$64</f>
        <v>0</v>
      </c>
      <c r="AX131" s="55">
        <f>-Проект!AX1043/Параметры!AX$64</f>
        <v>0</v>
      </c>
      <c r="AY131" s="55">
        <f>-Проект!AY1043/Параметры!AY$64</f>
        <v>0</v>
      </c>
      <c r="AZ131" s="55">
        <f>-Проект!AZ1043/Параметры!AZ$64</f>
        <v>0</v>
      </c>
      <c r="BA131" s="55">
        <f>-Проект!BA1043/Параметры!BA$64</f>
        <v>0</v>
      </c>
      <c r="BB131" s="55">
        <f>-Проект!BB1043/Параметры!BB$64</f>
        <v>0</v>
      </c>
      <c r="BC131" s="55"/>
      <c r="BD131" s="57">
        <f t="shared" si="300"/>
        <v>0</v>
      </c>
    </row>
    <row r="132" spans="1:56" x14ac:dyDescent="0.3">
      <c r="A132" s="35" t="str">
        <f ca="1">Language!A1248</f>
        <v>Прочие поступления</v>
      </c>
      <c r="C132" s="48" t="str">
        <f ca="1">Параметры!$C$64</f>
        <v>руб.</v>
      </c>
      <c r="E132" s="6" t="s">
        <v>1031</v>
      </c>
      <c r="F132" s="6" t="s">
        <v>740</v>
      </c>
      <c r="G132" s="55">
        <f>SUM(Проект!G1080,Проект!G1088,Проект!G1133,Проект!G1159)/Параметры!G$64</f>
        <v>0</v>
      </c>
      <c r="H132" s="55">
        <f>SUM(Проект!H1080,Проект!H1088,Проект!H1133,Проект!H1159)/Параметры!H$64</f>
        <v>0</v>
      </c>
      <c r="I132" s="55">
        <f>SUM(Проект!I1080,Проект!I1088,Проект!I1133,Проект!I1159)/Параметры!I$64</f>
        <v>0</v>
      </c>
      <c r="J132" s="55">
        <f>SUM(Проект!J1080,Проект!J1088,Проект!J1133,Проект!J1159)/Параметры!J$64</f>
        <v>0</v>
      </c>
      <c r="K132" s="55">
        <f>SUM(Проект!K1080,Проект!K1088,Проект!K1133,Проект!K1159)/Параметры!K$64</f>
        <v>0</v>
      </c>
      <c r="L132" s="55">
        <f>SUM(Проект!L1080,Проект!L1088,Проект!L1133,Проект!L1159)/Параметры!L$64</f>
        <v>0</v>
      </c>
      <c r="M132" s="55">
        <f>SUM(Проект!M1080,Проект!M1088,Проект!M1133,Проект!M1159)/Параметры!M$64</f>
        <v>0</v>
      </c>
      <c r="N132" s="55">
        <f>SUM(Проект!N1080,Проект!N1088,Проект!N1133,Проект!N1159)/Параметры!N$64</f>
        <v>0</v>
      </c>
      <c r="O132" s="55">
        <f>SUM(Проект!O1080,Проект!O1088,Проект!O1133,Проект!O1159)/Параметры!O$64</f>
        <v>0</v>
      </c>
      <c r="P132" s="55">
        <f>SUM(Проект!P1080,Проект!P1088,Проект!P1133,Проект!P1159)/Параметры!P$64</f>
        <v>0</v>
      </c>
      <c r="Q132" s="55">
        <f>SUM(Проект!Q1080,Проект!Q1088,Проект!Q1133,Проект!Q1159)/Параметры!Q$64</f>
        <v>0</v>
      </c>
      <c r="R132" s="55">
        <f>SUM(Проект!R1080,Проект!R1088,Проект!R1133,Проект!R1159)/Параметры!R$64</f>
        <v>0</v>
      </c>
      <c r="S132" s="55">
        <f>SUM(Проект!S1080,Проект!S1088,Проект!S1133,Проект!S1159)/Параметры!S$64</f>
        <v>0</v>
      </c>
      <c r="T132" s="55">
        <f>SUM(Проект!T1080,Проект!T1088,Проект!T1133,Проект!T1159)/Параметры!T$64</f>
        <v>0</v>
      </c>
      <c r="U132" s="55">
        <f>SUM(Проект!U1080,Проект!U1088,Проект!U1133,Проект!U1159)/Параметры!U$64</f>
        <v>0</v>
      </c>
      <c r="V132" s="55">
        <f>SUM(Проект!V1080,Проект!V1088,Проект!V1133,Проект!V1159)/Параметры!V$64</f>
        <v>0</v>
      </c>
      <c r="W132" s="55">
        <f>SUM(Проект!W1080,Проект!W1088,Проект!W1133,Проект!W1159)/Параметры!W$64</f>
        <v>0</v>
      </c>
      <c r="X132" s="55">
        <f>SUM(Проект!X1080,Проект!X1088,Проект!X1133,Проект!X1159)/Параметры!X$64</f>
        <v>0</v>
      </c>
      <c r="Y132" s="55">
        <f>SUM(Проект!Y1080,Проект!Y1088,Проект!Y1133,Проект!Y1159)/Параметры!Y$64</f>
        <v>0</v>
      </c>
      <c r="Z132" s="55">
        <f>SUM(Проект!Z1080,Проект!Z1088,Проект!Z1133,Проект!Z1159)/Параметры!Z$64</f>
        <v>0</v>
      </c>
      <c r="AA132" s="55">
        <f>SUM(Проект!AA1080,Проект!AA1088,Проект!AA1133,Проект!AA1159)/Параметры!AA$64</f>
        <v>0</v>
      </c>
      <c r="AB132" s="55">
        <f>SUM(Проект!AB1080,Проект!AB1088,Проект!AB1133,Проект!AB1159)/Параметры!AB$64</f>
        <v>0</v>
      </c>
      <c r="AC132" s="55">
        <f>SUM(Проект!AC1080,Проект!AC1088,Проект!AC1133,Проект!AC1159)/Параметры!AC$64</f>
        <v>0</v>
      </c>
      <c r="AD132" s="55">
        <f>SUM(Проект!AD1080,Проект!AD1088,Проект!AD1133,Проект!AD1159)/Параметры!AD$64</f>
        <v>0</v>
      </c>
      <c r="AE132" s="55">
        <f>SUM(Проект!AE1080,Проект!AE1088,Проект!AE1133,Проект!AE1159)/Параметры!AE$64</f>
        <v>0</v>
      </c>
      <c r="AF132" s="55">
        <f>SUM(Проект!AF1080,Проект!AF1088,Проект!AF1133,Проект!AF1159)/Параметры!AF$64</f>
        <v>0</v>
      </c>
      <c r="AG132" s="55">
        <f>SUM(Проект!AG1080,Проект!AG1088,Проект!AG1133,Проект!AG1159)/Параметры!AG$64</f>
        <v>0</v>
      </c>
      <c r="AH132" s="55">
        <f>SUM(Проект!AH1080,Проект!AH1088,Проект!AH1133,Проект!AH1159)/Параметры!AH$64</f>
        <v>0</v>
      </c>
      <c r="AI132" s="55">
        <f>SUM(Проект!AI1080,Проект!AI1088,Проект!AI1133,Проект!AI1159)/Параметры!AI$64</f>
        <v>0</v>
      </c>
      <c r="AJ132" s="55">
        <f>SUM(Проект!AJ1080,Проект!AJ1088,Проект!AJ1133,Проект!AJ1159)/Параметры!AJ$64</f>
        <v>0</v>
      </c>
      <c r="AK132" s="55">
        <f>SUM(Проект!AK1080,Проект!AK1088,Проект!AK1133,Проект!AK1159)/Параметры!AK$64</f>
        <v>0</v>
      </c>
      <c r="AL132" s="55">
        <f>SUM(Проект!AL1080,Проект!AL1088,Проект!AL1133,Проект!AL1159)/Параметры!AL$64</f>
        <v>0</v>
      </c>
      <c r="AM132" s="55">
        <f>SUM(Проект!AM1080,Проект!AM1088,Проект!AM1133,Проект!AM1159)/Параметры!AM$64</f>
        <v>0</v>
      </c>
      <c r="AN132" s="55">
        <f>SUM(Проект!AN1080,Проект!AN1088,Проект!AN1133,Проект!AN1159)/Параметры!AN$64</f>
        <v>0</v>
      </c>
      <c r="AO132" s="55">
        <f>SUM(Проект!AO1080,Проект!AO1088,Проект!AO1133,Проект!AO1159)/Параметры!AO$64</f>
        <v>0</v>
      </c>
      <c r="AP132" s="55">
        <f>SUM(Проект!AP1080,Проект!AP1088,Проект!AP1133,Проект!AP1159)/Параметры!AP$64</f>
        <v>0</v>
      </c>
      <c r="AQ132" s="55">
        <f>SUM(Проект!AQ1080,Проект!AQ1088,Проект!AQ1133,Проект!AQ1159)/Параметры!AQ$64</f>
        <v>0</v>
      </c>
      <c r="AR132" s="55">
        <f>SUM(Проект!AR1080,Проект!AR1088,Проект!AR1133,Проект!AR1159)/Параметры!AR$64</f>
        <v>0</v>
      </c>
      <c r="AS132" s="55">
        <f>SUM(Проект!AS1080,Проект!AS1088,Проект!AS1133,Проект!AS1159)/Параметры!AS$64</f>
        <v>0</v>
      </c>
      <c r="AT132" s="55">
        <f>SUM(Проект!AT1080,Проект!AT1088,Проект!AT1133,Проект!AT1159)/Параметры!AT$64</f>
        <v>0</v>
      </c>
      <c r="AU132" s="55">
        <f>SUM(Проект!AU1080,Проект!AU1088,Проект!AU1133,Проект!AU1159)/Параметры!AU$64</f>
        <v>0</v>
      </c>
      <c r="AV132" s="55">
        <f>SUM(Проект!AV1080,Проект!AV1088,Проект!AV1133,Проект!AV1159)/Параметры!AV$64</f>
        <v>0</v>
      </c>
      <c r="AW132" s="55">
        <f>SUM(Проект!AW1080,Проект!AW1088,Проект!AW1133,Проект!AW1159)/Параметры!AW$64</f>
        <v>0</v>
      </c>
      <c r="AX132" s="55">
        <f>SUM(Проект!AX1080,Проект!AX1088,Проект!AX1133,Проект!AX1159)/Параметры!AX$64</f>
        <v>0</v>
      </c>
      <c r="AY132" s="55">
        <f>SUM(Проект!AY1080,Проект!AY1088,Проект!AY1133,Проект!AY1159)/Параметры!AY$64</f>
        <v>0</v>
      </c>
      <c r="AZ132" s="55">
        <f>SUM(Проект!AZ1080,Проект!AZ1088,Проект!AZ1133,Проект!AZ1159)/Параметры!AZ$64</f>
        <v>0</v>
      </c>
      <c r="BA132" s="55">
        <f>SUM(Проект!BA1080,Проект!BA1088,Проект!BA1133,Проект!BA1159)/Параметры!BA$64</f>
        <v>0</v>
      </c>
      <c r="BB132" s="55">
        <f>SUM(Проект!BB1080,Проект!BB1088,Проект!BB1133,Проект!BB1159)/Параметры!BB$64</f>
        <v>0</v>
      </c>
      <c r="BC132" s="55"/>
      <c r="BD132" s="57">
        <f t="shared" si="300"/>
        <v>0</v>
      </c>
    </row>
    <row r="133" spans="1:56" x14ac:dyDescent="0.3">
      <c r="A133" s="35" t="str">
        <f ca="1">Language!A1249</f>
        <v>Прочие затраты</v>
      </c>
      <c r="C133" s="48" t="str">
        <f ca="1">Параметры!$C$64</f>
        <v>руб.</v>
      </c>
      <c r="E133" s="6" t="s">
        <v>1032</v>
      </c>
      <c r="F133" s="6" t="s">
        <v>740</v>
      </c>
      <c r="G133" s="55">
        <f>-Проект!G1162/Параметры!G$64</f>
        <v>0</v>
      </c>
      <c r="H133" s="55">
        <f>-Проект!H1162/Параметры!H$64</f>
        <v>0</v>
      </c>
      <c r="I133" s="55">
        <f>-Проект!I1162/Параметры!I$64</f>
        <v>0</v>
      </c>
      <c r="J133" s="55">
        <f>-Проект!J1162/Параметры!J$64</f>
        <v>0</v>
      </c>
      <c r="K133" s="55">
        <f>-Проект!K1162/Параметры!K$64</f>
        <v>0</v>
      </c>
      <c r="L133" s="55">
        <f>-Проект!L1162/Параметры!L$64</f>
        <v>0</v>
      </c>
      <c r="M133" s="55">
        <f>-Проект!M1162/Параметры!M$64</f>
        <v>0</v>
      </c>
      <c r="N133" s="55">
        <f>-Проект!N1162/Параметры!N$64</f>
        <v>0</v>
      </c>
      <c r="O133" s="55">
        <f>-Проект!O1162/Параметры!O$64</f>
        <v>0</v>
      </c>
      <c r="P133" s="55">
        <f>-Проект!P1162/Параметры!P$64</f>
        <v>0</v>
      </c>
      <c r="Q133" s="55">
        <f>-Проект!Q1162/Параметры!Q$64</f>
        <v>0</v>
      </c>
      <c r="R133" s="55">
        <f>-Проект!R1162/Параметры!R$64</f>
        <v>0</v>
      </c>
      <c r="S133" s="55">
        <f>-Проект!S1162/Параметры!S$64</f>
        <v>0</v>
      </c>
      <c r="T133" s="55">
        <f>-Проект!T1162/Параметры!T$64</f>
        <v>0</v>
      </c>
      <c r="U133" s="55">
        <f>-Проект!U1162/Параметры!U$64</f>
        <v>0</v>
      </c>
      <c r="V133" s="55">
        <f>-Проект!V1162/Параметры!V$64</f>
        <v>0</v>
      </c>
      <c r="W133" s="55">
        <f>-Проект!W1162/Параметры!W$64</f>
        <v>0</v>
      </c>
      <c r="X133" s="55">
        <f>-Проект!X1162/Параметры!X$64</f>
        <v>0</v>
      </c>
      <c r="Y133" s="55">
        <f>-Проект!Y1162/Параметры!Y$64</f>
        <v>0</v>
      </c>
      <c r="Z133" s="55">
        <f>-Проект!Z1162/Параметры!Z$64</f>
        <v>0</v>
      </c>
      <c r="AA133" s="55">
        <f>-Проект!AA1162/Параметры!AA$64</f>
        <v>0</v>
      </c>
      <c r="AB133" s="55">
        <f>-Проект!AB1162/Параметры!AB$64</f>
        <v>0</v>
      </c>
      <c r="AC133" s="55">
        <f>-Проект!AC1162/Параметры!AC$64</f>
        <v>0</v>
      </c>
      <c r="AD133" s="55">
        <f>-Проект!AD1162/Параметры!AD$64</f>
        <v>0</v>
      </c>
      <c r="AE133" s="55">
        <f>-Проект!AE1162/Параметры!AE$64</f>
        <v>0</v>
      </c>
      <c r="AF133" s="55">
        <f>-Проект!AF1162/Параметры!AF$64</f>
        <v>0</v>
      </c>
      <c r="AG133" s="55">
        <f>-Проект!AG1162/Параметры!AG$64</f>
        <v>0</v>
      </c>
      <c r="AH133" s="55">
        <f>-Проект!AH1162/Параметры!AH$64</f>
        <v>0</v>
      </c>
      <c r="AI133" s="55">
        <f>-Проект!AI1162/Параметры!AI$64</f>
        <v>0</v>
      </c>
      <c r="AJ133" s="55">
        <f>-Проект!AJ1162/Параметры!AJ$64</f>
        <v>0</v>
      </c>
      <c r="AK133" s="55">
        <f>-Проект!AK1162/Параметры!AK$64</f>
        <v>0</v>
      </c>
      <c r="AL133" s="55">
        <f>-Проект!AL1162/Параметры!AL$64</f>
        <v>0</v>
      </c>
      <c r="AM133" s="55">
        <f>-Проект!AM1162/Параметры!AM$64</f>
        <v>0</v>
      </c>
      <c r="AN133" s="55">
        <f>-Проект!AN1162/Параметры!AN$64</f>
        <v>0</v>
      </c>
      <c r="AO133" s="55">
        <f>-Проект!AO1162/Параметры!AO$64</f>
        <v>0</v>
      </c>
      <c r="AP133" s="55">
        <f>-Проект!AP1162/Параметры!AP$64</f>
        <v>0</v>
      </c>
      <c r="AQ133" s="55">
        <f>-Проект!AQ1162/Параметры!AQ$64</f>
        <v>0</v>
      </c>
      <c r="AR133" s="55">
        <f>-Проект!AR1162/Параметры!AR$64</f>
        <v>0</v>
      </c>
      <c r="AS133" s="55">
        <f>-Проект!AS1162/Параметры!AS$64</f>
        <v>0</v>
      </c>
      <c r="AT133" s="55">
        <f>-Проект!AT1162/Параметры!AT$64</f>
        <v>0</v>
      </c>
      <c r="AU133" s="55">
        <f>-Проект!AU1162/Параметры!AU$64</f>
        <v>0</v>
      </c>
      <c r="AV133" s="55">
        <f>-Проект!AV1162/Параметры!AV$64</f>
        <v>0</v>
      </c>
      <c r="AW133" s="55">
        <f>-Проект!AW1162/Параметры!AW$64</f>
        <v>0</v>
      </c>
      <c r="AX133" s="55">
        <f>-Проект!AX1162/Параметры!AX$64</f>
        <v>0</v>
      </c>
      <c r="AY133" s="55">
        <f>-Проект!AY1162/Параметры!AY$64</f>
        <v>0</v>
      </c>
      <c r="AZ133" s="55">
        <f>-Проект!AZ1162/Параметры!AZ$64</f>
        <v>0</v>
      </c>
      <c r="BA133" s="55">
        <f>-Проект!BA1162/Параметры!BA$64</f>
        <v>0</v>
      </c>
      <c r="BB133" s="55">
        <f>-Проект!BB1162/Параметры!BB$64</f>
        <v>0</v>
      </c>
      <c r="BC133" s="55"/>
      <c r="BD133" s="57">
        <f t="shared" si="300"/>
        <v>0</v>
      </c>
    </row>
    <row r="134" spans="1:56" x14ac:dyDescent="0.3">
      <c r="A134" s="10"/>
      <c r="G134" s="55"/>
      <c r="H134" s="55"/>
      <c r="I134" s="55"/>
      <c r="J134" s="55"/>
      <c r="K134" s="55"/>
      <c r="L134" s="55"/>
      <c r="M134" s="55"/>
      <c r="N134" s="55"/>
      <c r="O134" s="55"/>
      <c r="P134" s="55"/>
      <c r="Q134" s="55"/>
      <c r="R134" s="55"/>
      <c r="S134" s="55"/>
      <c r="T134" s="55"/>
      <c r="U134" s="55"/>
      <c r="V134" s="55"/>
      <c r="W134" s="55"/>
      <c r="X134" s="55"/>
      <c r="Y134" s="55"/>
      <c r="Z134" s="55"/>
      <c r="AA134" s="55"/>
      <c r="AB134" s="55"/>
      <c r="AC134" s="55"/>
      <c r="AD134" s="55"/>
      <c r="AE134" s="55"/>
      <c r="AF134" s="55"/>
      <c r="AG134" s="55"/>
      <c r="AH134" s="55"/>
      <c r="AI134" s="55"/>
      <c r="AJ134" s="55"/>
      <c r="AK134" s="55"/>
      <c r="AL134" s="55"/>
      <c r="AM134" s="55"/>
      <c r="AN134" s="55"/>
      <c r="AO134" s="55"/>
      <c r="AP134" s="55"/>
      <c r="AQ134" s="55"/>
      <c r="AR134" s="55"/>
      <c r="AS134" s="55"/>
      <c r="AT134" s="55"/>
      <c r="AU134" s="55"/>
      <c r="AV134" s="55"/>
      <c r="AW134" s="55"/>
      <c r="AX134" s="55"/>
      <c r="AY134" s="55"/>
      <c r="AZ134" s="55"/>
      <c r="BA134" s="55"/>
      <c r="BB134" s="55"/>
      <c r="BC134" s="55"/>
      <c r="BD134" s="57"/>
    </row>
    <row r="135" spans="1:56" x14ac:dyDescent="0.3">
      <c r="A135" s="43" t="str">
        <f ca="1">Language!A1250</f>
        <v>Денежные потоки от операционной деятельности</v>
      </c>
      <c r="B135" s="80"/>
      <c r="C135" s="45" t="str">
        <f ca="1">Параметры!$C$64</f>
        <v>руб.</v>
      </c>
      <c r="D135" s="46"/>
      <c r="E135" s="46" t="s">
        <v>1473</v>
      </c>
      <c r="F135" s="46" t="s">
        <v>740</v>
      </c>
      <c r="G135" s="81">
        <f ca="1">SUM(G126:G134)</f>
        <v>0</v>
      </c>
      <c r="H135" s="81">
        <f t="shared" ref="H135:J135" ca="1" si="301">SUM(H126:H134)</f>
        <v>0</v>
      </c>
      <c r="I135" s="81">
        <f t="shared" ca="1" si="301"/>
        <v>0</v>
      </c>
      <c r="J135" s="81">
        <f t="shared" ca="1" si="301"/>
        <v>0</v>
      </c>
      <c r="K135" s="81">
        <f t="shared" ref="K135" ca="1" si="302">SUM(K126:K134)</f>
        <v>0</v>
      </c>
      <c r="L135" s="81">
        <f t="shared" ref="L135:M135" ca="1" si="303">SUM(L126:L134)</f>
        <v>-1077925.0604182645</v>
      </c>
      <c r="M135" s="81">
        <f t="shared" ca="1" si="303"/>
        <v>2113081.7159049334</v>
      </c>
      <c r="N135" s="81">
        <f t="shared" ref="N135:O135" ca="1" si="304">SUM(N126:N134)</f>
        <v>3767960.091422399</v>
      </c>
      <c r="O135" s="81">
        <f t="shared" ca="1" si="304"/>
        <v>1332732.4376944918</v>
      </c>
      <c r="P135" s="81">
        <f t="shared" ref="P135:Q135" ca="1" si="305">SUM(P126:P134)</f>
        <v>3434906.3282057578</v>
      </c>
      <c r="Q135" s="81">
        <f t="shared" ca="1" si="305"/>
        <v>4108238.5607123412</v>
      </c>
      <c r="R135" s="81">
        <f t="shared" ref="R135:S135" ca="1" si="306">SUM(R126:R134)</f>
        <v>3579392.9175585578</v>
      </c>
      <c r="S135" s="81">
        <f t="shared" ca="1" si="306"/>
        <v>6937574.9882602114</v>
      </c>
      <c r="T135" s="81">
        <f t="shared" ref="T135:U135" ca="1" si="307">SUM(T126:T134)</f>
        <v>6994315.8501977511</v>
      </c>
      <c r="U135" s="81">
        <f t="shared" ca="1" si="307"/>
        <v>5311875.8346976452</v>
      </c>
      <c r="V135" s="81">
        <f t="shared" ref="V135:W135" ca="1" si="308">SUM(V126:V134)</f>
        <v>5206977.6395192426</v>
      </c>
      <c r="W135" s="81">
        <f t="shared" ca="1" si="308"/>
        <v>2680807.3136794814</v>
      </c>
      <c r="X135" s="81">
        <f t="shared" ref="X135:Y135" ca="1" si="309">SUM(X126:X134)</f>
        <v>6013434.9063734766</v>
      </c>
      <c r="Y135" s="81">
        <f t="shared" ca="1" si="309"/>
        <v>10703604.862402095</v>
      </c>
      <c r="Z135" s="81">
        <f t="shared" ref="Z135:AA135" ca="1" si="310">SUM(Z126:Z134)</f>
        <v>13386960.21324422</v>
      </c>
      <c r="AA135" s="81">
        <f t="shared" ca="1" si="310"/>
        <v>10021500.278209437</v>
      </c>
      <c r="AB135" s="81">
        <f t="shared" ref="AB135:AC135" ca="1" si="311">SUM(AB126:AB134)</f>
        <v>5584142.6361111198</v>
      </c>
      <c r="AC135" s="81">
        <f t="shared" ca="1" si="311"/>
        <v>4012832.9171876344</v>
      </c>
      <c r="AD135" s="81">
        <f t="shared" ref="AD135:AE135" ca="1" si="312">SUM(AD126:AD134)</f>
        <v>4726690.0584291536</v>
      </c>
      <c r="AE135" s="81">
        <f t="shared" ca="1" si="312"/>
        <v>8889154.5543731041</v>
      </c>
      <c r="AF135" s="81">
        <f t="shared" ref="AF135:AG135" ca="1" si="313">SUM(AF126:AF134)</f>
        <v>9130909.7003961615</v>
      </c>
      <c r="AG135" s="81">
        <f t="shared" ca="1" si="313"/>
        <v>7459901.0453656213</v>
      </c>
      <c r="AH135" s="81">
        <f t="shared" ref="AH135:AI135" ca="1" si="314">SUM(AH126:AH134)</f>
        <v>7425332.1079233903</v>
      </c>
      <c r="AI135" s="81">
        <f t="shared" ca="1" si="314"/>
        <v>4759574.6413645577</v>
      </c>
      <c r="AJ135" s="81">
        <f t="shared" ref="AJ135:AK135" ca="1" si="315">SUM(AJ126:AJ134)</f>
        <v>8283526.8980368031</v>
      </c>
      <c r="AK135" s="81">
        <f t="shared" ca="1" si="315"/>
        <v>13172249.099238934</v>
      </c>
      <c r="AL135" s="81">
        <f t="shared" ref="AL135:AM135" ca="1" si="316">SUM(AL126:AL134)</f>
        <v>16048136.20619032</v>
      </c>
      <c r="AM135" s="81">
        <f t="shared" ca="1" si="316"/>
        <v>12556520.37958975</v>
      </c>
      <c r="AN135" s="81">
        <f t="shared" ref="AN135:AO135" ca="1" si="317">SUM(AN126:AN134)</f>
        <v>7906307.2106603831</v>
      </c>
      <c r="AO135" s="81">
        <f t="shared" ca="1" si="317"/>
        <v>6217739.1439501457</v>
      </c>
      <c r="AP135" s="81">
        <f t="shared" ref="AP135:AQ135" ca="1" si="318">SUM(AP126:AP134)</f>
        <v>6899764.358704525</v>
      </c>
      <c r="AQ135" s="81">
        <f t="shared" ca="1" si="318"/>
        <v>11275394.493962388</v>
      </c>
      <c r="AR135" s="81">
        <f t="shared" ref="AR135:AS135" ca="1" si="319">SUM(AR126:AR134)</f>
        <v>11532247.84332478</v>
      </c>
      <c r="AS135" s="81">
        <f t="shared" ca="1" si="319"/>
        <v>9789230.9883676264</v>
      </c>
      <c r="AT135" s="81">
        <f t="shared" ref="AT135:AU135" ca="1" si="320">SUM(AT126:AT134)</f>
        <v>9616520.8728973772</v>
      </c>
      <c r="AU135" s="81">
        <f t="shared" ca="1" si="320"/>
        <v>6564412.9790532039</v>
      </c>
      <c r="AV135" s="81">
        <f t="shared" ref="AV135:AW135" ca="1" si="321">SUM(AV126:AV134)</f>
        <v>10050233.175116023</v>
      </c>
      <c r="AW135" s="81">
        <f t="shared" ca="1" si="321"/>
        <v>14973748.846644955</v>
      </c>
      <c r="AX135" s="81">
        <f t="shared" ref="AX135:AY135" ca="1" si="322">SUM(AX126:AX134)</f>
        <v>17892186.110178754</v>
      </c>
      <c r="AY135" s="81">
        <f t="shared" ca="1" si="322"/>
        <v>14110779.75453246</v>
      </c>
      <c r="AZ135" s="81">
        <f t="shared" ref="AZ135:BA135" ca="1" si="323">SUM(AZ126:AZ134)</f>
        <v>9076107.5616529956</v>
      </c>
      <c r="BA135" s="81">
        <f t="shared" ca="1" si="323"/>
        <v>7094974.6807112303</v>
      </c>
      <c r="BB135" s="81">
        <f t="shared" ref="BB135" ca="1" si="324">SUM(BB126:BB134)</f>
        <v>8348418.0810810896</v>
      </c>
      <c r="BC135" s="81"/>
      <c r="BD135" s="82">
        <f ca="1">SUM(G135:BC135)</f>
        <v>337912475.22270823</v>
      </c>
    </row>
    <row r="136" spans="1:56" x14ac:dyDescent="0.3">
      <c r="A136" s="10"/>
      <c r="G136" s="55"/>
      <c r="H136" s="55"/>
      <c r="I136" s="55"/>
      <c r="J136" s="55"/>
      <c r="K136" s="55"/>
      <c r="L136" s="55"/>
      <c r="M136" s="55"/>
      <c r="N136" s="55"/>
      <c r="O136" s="55"/>
      <c r="P136" s="55"/>
      <c r="Q136" s="55"/>
      <c r="R136" s="55"/>
      <c r="S136" s="55"/>
      <c r="T136" s="55"/>
      <c r="U136" s="55"/>
      <c r="V136" s="55"/>
      <c r="W136" s="55"/>
      <c r="X136" s="55"/>
      <c r="Y136" s="55"/>
      <c r="Z136" s="55"/>
      <c r="AA136" s="55"/>
      <c r="AB136" s="55"/>
      <c r="AC136" s="55"/>
      <c r="AD136" s="55"/>
      <c r="AE136" s="55"/>
      <c r="AF136" s="55"/>
      <c r="AG136" s="55"/>
      <c r="AH136" s="55"/>
      <c r="AI136" s="55"/>
      <c r="AJ136" s="55"/>
      <c r="AK136" s="55"/>
      <c r="AL136" s="55"/>
      <c r="AM136" s="55"/>
      <c r="AN136" s="55"/>
      <c r="AO136" s="55"/>
      <c r="AP136" s="55"/>
      <c r="AQ136" s="55"/>
      <c r="AR136" s="55"/>
      <c r="AS136" s="55"/>
      <c r="AT136" s="55"/>
      <c r="AU136" s="55"/>
      <c r="AV136" s="55"/>
      <c r="AW136" s="55"/>
      <c r="AX136" s="55"/>
      <c r="AY136" s="55"/>
      <c r="AZ136" s="55"/>
      <c r="BA136" s="55"/>
      <c r="BB136" s="55"/>
      <c r="BC136" s="55"/>
      <c r="BD136" s="57"/>
    </row>
    <row r="137" spans="1:56" x14ac:dyDescent="0.3">
      <c r="A137" s="35" t="str">
        <f ca="1">Language!A1251</f>
        <v>Инвестиции в земельные участки</v>
      </c>
      <c r="C137" s="48" t="str">
        <f ca="1">Параметры!$C$64</f>
        <v>руб.</v>
      </c>
      <c r="E137" s="6" t="s">
        <v>1474</v>
      </c>
      <c r="F137" s="6" t="s">
        <v>740</v>
      </c>
      <c r="G137" s="55">
        <f>-Проект!G943/Параметры!G$64</f>
        <v>-266667</v>
      </c>
      <c r="H137" s="55">
        <f>-Проект!H943/Параметры!H$64</f>
        <v>-266667</v>
      </c>
      <c r="I137" s="55">
        <f>-Проект!I943/Параметры!I$64</f>
        <v>-266666</v>
      </c>
      <c r="J137" s="55">
        <f>-Проект!J943/Параметры!J$64</f>
        <v>0</v>
      </c>
      <c r="K137" s="55">
        <f>-Проект!K943/Параметры!K$64</f>
        <v>0</v>
      </c>
      <c r="L137" s="55">
        <f>-Проект!L943/Параметры!L$64</f>
        <v>0</v>
      </c>
      <c r="M137" s="55">
        <f>-Проект!M943/Параметры!M$64</f>
        <v>0</v>
      </c>
      <c r="N137" s="55">
        <f>-Проект!N943/Параметры!N$64</f>
        <v>0</v>
      </c>
      <c r="O137" s="55">
        <f>-Проект!O943/Параметры!O$64</f>
        <v>0</v>
      </c>
      <c r="P137" s="55">
        <f>-Проект!P943/Параметры!P$64</f>
        <v>0</v>
      </c>
      <c r="Q137" s="55">
        <f>-Проект!Q943/Параметры!Q$64</f>
        <v>0</v>
      </c>
      <c r="R137" s="55">
        <f>-Проект!R943/Параметры!R$64</f>
        <v>0</v>
      </c>
      <c r="S137" s="55">
        <f>-Проект!S943/Параметры!S$64</f>
        <v>0</v>
      </c>
      <c r="T137" s="55">
        <f>-Проект!T943/Параметры!T$64</f>
        <v>0</v>
      </c>
      <c r="U137" s="55">
        <f>-Проект!U943/Параметры!U$64</f>
        <v>0</v>
      </c>
      <c r="V137" s="55">
        <f>-Проект!V943/Параметры!V$64</f>
        <v>0</v>
      </c>
      <c r="W137" s="55">
        <f>-Проект!W943/Параметры!W$64</f>
        <v>0</v>
      </c>
      <c r="X137" s="55">
        <f>-Проект!X943/Параметры!X$64</f>
        <v>0</v>
      </c>
      <c r="Y137" s="55">
        <f>-Проект!Y943/Параметры!Y$64</f>
        <v>0</v>
      </c>
      <c r="Z137" s="55">
        <f>-Проект!Z943/Параметры!Z$64</f>
        <v>0</v>
      </c>
      <c r="AA137" s="55">
        <f>-Проект!AA943/Параметры!AA$64</f>
        <v>0</v>
      </c>
      <c r="AB137" s="55">
        <f>-Проект!AB943/Параметры!AB$64</f>
        <v>0</v>
      </c>
      <c r="AC137" s="55">
        <f>-Проект!AC943/Параметры!AC$64</f>
        <v>0</v>
      </c>
      <c r="AD137" s="55">
        <f>-Проект!AD943/Параметры!AD$64</f>
        <v>0</v>
      </c>
      <c r="AE137" s="55">
        <f>-Проект!AE943/Параметры!AE$64</f>
        <v>0</v>
      </c>
      <c r="AF137" s="55">
        <f>-Проект!AF943/Параметры!AF$64</f>
        <v>0</v>
      </c>
      <c r="AG137" s="55">
        <f>-Проект!AG943/Параметры!AG$64</f>
        <v>0</v>
      </c>
      <c r="AH137" s="55">
        <f>-Проект!AH943/Параметры!AH$64</f>
        <v>0</v>
      </c>
      <c r="AI137" s="55">
        <f>-Проект!AI943/Параметры!AI$64</f>
        <v>0</v>
      </c>
      <c r="AJ137" s="55">
        <f>-Проект!AJ943/Параметры!AJ$64</f>
        <v>0</v>
      </c>
      <c r="AK137" s="55">
        <f>-Проект!AK943/Параметры!AK$64</f>
        <v>0</v>
      </c>
      <c r="AL137" s="55">
        <f>-Проект!AL943/Параметры!AL$64</f>
        <v>0</v>
      </c>
      <c r="AM137" s="55">
        <f>-Проект!AM943/Параметры!AM$64</f>
        <v>0</v>
      </c>
      <c r="AN137" s="55">
        <f>-Проект!AN943/Параметры!AN$64</f>
        <v>0</v>
      </c>
      <c r="AO137" s="55">
        <f>-Проект!AO943/Параметры!AO$64</f>
        <v>0</v>
      </c>
      <c r="AP137" s="55">
        <f>-Проект!AP943/Параметры!AP$64</f>
        <v>0</v>
      </c>
      <c r="AQ137" s="55">
        <f>-Проект!AQ943/Параметры!AQ$64</f>
        <v>0</v>
      </c>
      <c r="AR137" s="55">
        <f>-Проект!AR943/Параметры!AR$64</f>
        <v>0</v>
      </c>
      <c r="AS137" s="55">
        <f>-Проект!AS943/Параметры!AS$64</f>
        <v>0</v>
      </c>
      <c r="AT137" s="55">
        <f>-Проект!AT943/Параметры!AT$64</f>
        <v>0</v>
      </c>
      <c r="AU137" s="55">
        <f>-Проект!AU943/Параметры!AU$64</f>
        <v>0</v>
      </c>
      <c r="AV137" s="55">
        <f>-Проект!AV943/Параметры!AV$64</f>
        <v>0</v>
      </c>
      <c r="AW137" s="55">
        <f>-Проект!AW943/Параметры!AW$64</f>
        <v>0</v>
      </c>
      <c r="AX137" s="55">
        <f>-Проект!AX943/Параметры!AX$64</f>
        <v>0</v>
      </c>
      <c r="AY137" s="55">
        <f>-Проект!AY943/Параметры!AY$64</f>
        <v>0</v>
      </c>
      <c r="AZ137" s="55">
        <f>-Проект!AZ943/Параметры!AZ$64</f>
        <v>0</v>
      </c>
      <c r="BA137" s="55">
        <f>-Проект!BA943/Параметры!BA$64</f>
        <v>0</v>
      </c>
      <c r="BB137" s="55">
        <f>-Проект!BB943/Параметры!BB$64</f>
        <v>0</v>
      </c>
      <c r="BC137" s="55"/>
      <c r="BD137" s="57">
        <f t="shared" ref="BD137:BD142" si="325">SUM(G137:BC137)</f>
        <v>-800000</v>
      </c>
    </row>
    <row r="138" spans="1:56" x14ac:dyDescent="0.3">
      <c r="A138" s="35" t="str">
        <f ca="1">Language!A1252</f>
        <v>Инвестиции в здания и сооружения</v>
      </c>
      <c r="C138" s="48" t="str">
        <f ca="1">Параметры!$C$64</f>
        <v>руб.</v>
      </c>
      <c r="E138" s="6" t="s">
        <v>1475</v>
      </c>
      <c r="F138" s="6" t="s">
        <v>740</v>
      </c>
      <c r="G138" s="55">
        <f>-Проект!G949/Параметры!G$64</f>
        <v>0</v>
      </c>
      <c r="H138" s="55">
        <f>-Проект!H949/Параметры!H$64</f>
        <v>0</v>
      </c>
      <c r="I138" s="55">
        <f>-Проект!I949/Параметры!I$64</f>
        <v>-135000000</v>
      </c>
      <c r="J138" s="55">
        <f>-Проект!J949/Параметры!J$64</f>
        <v>-17000000</v>
      </c>
      <c r="K138" s="55">
        <f>-Проект!K949/Параметры!K$64</f>
        <v>-17000000</v>
      </c>
      <c r="L138" s="55">
        <f>-Проект!L949/Параметры!L$64</f>
        <v>-16000000</v>
      </c>
      <c r="M138" s="55">
        <f>-Проект!M949/Параметры!M$64</f>
        <v>-10000000</v>
      </c>
      <c r="N138" s="55">
        <f>-Проект!N949/Параметры!N$64</f>
        <v>-10000000</v>
      </c>
      <c r="O138" s="55">
        <f>-Проект!O949/Параметры!O$64</f>
        <v>0</v>
      </c>
      <c r="P138" s="55">
        <f>-Проект!P949/Параметры!P$64</f>
        <v>0</v>
      </c>
      <c r="Q138" s="55">
        <f>-Проект!Q949/Параметры!Q$64</f>
        <v>0</v>
      </c>
      <c r="R138" s="55">
        <f>-Проект!R949/Параметры!R$64</f>
        <v>0</v>
      </c>
      <c r="S138" s="55">
        <f>-Проект!S949/Параметры!S$64</f>
        <v>0</v>
      </c>
      <c r="T138" s="55">
        <f>-Проект!T949/Параметры!T$64</f>
        <v>0</v>
      </c>
      <c r="U138" s="55">
        <f>-Проект!U949/Параметры!U$64</f>
        <v>0</v>
      </c>
      <c r="V138" s="55">
        <f>-Проект!V949/Параметры!V$64</f>
        <v>0</v>
      </c>
      <c r="W138" s="55">
        <f>-Проект!W949/Параметры!W$64</f>
        <v>0</v>
      </c>
      <c r="X138" s="55">
        <f>-Проект!X949/Параметры!X$64</f>
        <v>0</v>
      </c>
      <c r="Y138" s="55">
        <f>-Проект!Y949/Параметры!Y$64</f>
        <v>0</v>
      </c>
      <c r="Z138" s="55">
        <f>-Проект!Z949/Параметры!Z$64</f>
        <v>0</v>
      </c>
      <c r="AA138" s="55">
        <f>-Проект!AA949/Параметры!AA$64</f>
        <v>0</v>
      </c>
      <c r="AB138" s="55">
        <f>-Проект!AB949/Параметры!AB$64</f>
        <v>0</v>
      </c>
      <c r="AC138" s="55">
        <f>-Проект!AC949/Параметры!AC$64</f>
        <v>0</v>
      </c>
      <c r="AD138" s="55">
        <f>-Проект!AD949/Параметры!AD$64</f>
        <v>0</v>
      </c>
      <c r="AE138" s="55">
        <f>-Проект!AE949/Параметры!AE$64</f>
        <v>0</v>
      </c>
      <c r="AF138" s="55">
        <f>-Проект!AF949/Параметры!AF$64</f>
        <v>0</v>
      </c>
      <c r="AG138" s="55">
        <f>-Проект!AG949/Параметры!AG$64</f>
        <v>0</v>
      </c>
      <c r="AH138" s="55">
        <f>-Проект!AH949/Параметры!AH$64</f>
        <v>0</v>
      </c>
      <c r="AI138" s="55">
        <f>-Проект!AI949/Параметры!AI$64</f>
        <v>0</v>
      </c>
      <c r="AJ138" s="55">
        <f>-Проект!AJ949/Параметры!AJ$64</f>
        <v>0</v>
      </c>
      <c r="AK138" s="55">
        <f>-Проект!AK949/Параметры!AK$64</f>
        <v>0</v>
      </c>
      <c r="AL138" s="55">
        <f>-Проект!AL949/Параметры!AL$64</f>
        <v>0</v>
      </c>
      <c r="AM138" s="55">
        <f>-Проект!AM949/Параметры!AM$64</f>
        <v>0</v>
      </c>
      <c r="AN138" s="55">
        <f>-Проект!AN949/Параметры!AN$64</f>
        <v>0</v>
      </c>
      <c r="AO138" s="55">
        <f>-Проект!AO949/Параметры!AO$64</f>
        <v>0</v>
      </c>
      <c r="AP138" s="55">
        <f>-Проект!AP949/Параметры!AP$64</f>
        <v>0</v>
      </c>
      <c r="AQ138" s="55">
        <f>-Проект!AQ949/Параметры!AQ$64</f>
        <v>0</v>
      </c>
      <c r="AR138" s="55">
        <f>-Проект!AR949/Параметры!AR$64</f>
        <v>0</v>
      </c>
      <c r="AS138" s="55">
        <f>-Проект!AS949/Параметры!AS$64</f>
        <v>0</v>
      </c>
      <c r="AT138" s="55">
        <f>-Проект!AT949/Параметры!AT$64</f>
        <v>0</v>
      </c>
      <c r="AU138" s="55">
        <f>-Проект!AU949/Параметры!AU$64</f>
        <v>0</v>
      </c>
      <c r="AV138" s="55">
        <f>-Проект!AV949/Параметры!AV$64</f>
        <v>0</v>
      </c>
      <c r="AW138" s="55">
        <f>-Проект!AW949/Параметры!AW$64</f>
        <v>0</v>
      </c>
      <c r="AX138" s="55">
        <f>-Проект!AX949/Параметры!AX$64</f>
        <v>0</v>
      </c>
      <c r="AY138" s="55">
        <f>-Проект!AY949/Параметры!AY$64</f>
        <v>0</v>
      </c>
      <c r="AZ138" s="55">
        <f>-Проект!AZ949/Параметры!AZ$64</f>
        <v>0</v>
      </c>
      <c r="BA138" s="55">
        <f>-Проект!BA949/Параметры!BA$64</f>
        <v>0</v>
      </c>
      <c r="BB138" s="55">
        <f>-Проект!BB949/Параметры!BB$64</f>
        <v>0</v>
      </c>
      <c r="BC138" s="55"/>
      <c r="BD138" s="57">
        <f t="shared" si="325"/>
        <v>-205000000</v>
      </c>
    </row>
    <row r="139" spans="1:56" x14ac:dyDescent="0.3">
      <c r="A139" s="35" t="str">
        <f ca="1">Language!A1253</f>
        <v>Инвестиции в оборудование и прочие активы</v>
      </c>
      <c r="C139" s="48" t="str">
        <f ca="1">Параметры!$C$64</f>
        <v>руб.</v>
      </c>
      <c r="E139" s="6" t="s">
        <v>1476</v>
      </c>
      <c r="F139" s="6" t="s">
        <v>740</v>
      </c>
      <c r="G139" s="55">
        <f>-Проект!G963/Параметры!G$64</f>
        <v>0</v>
      </c>
      <c r="H139" s="55">
        <f>-Проект!H963/Параметры!H$64</f>
        <v>-1366666.6666666667</v>
      </c>
      <c r="I139" s="55">
        <f>-Проект!I963/Параметры!I$64</f>
        <v>-1366666.6666666667</v>
      </c>
      <c r="J139" s="55">
        <f>-Проект!J963/Параметры!J$64</f>
        <v>-1366666.6666666667</v>
      </c>
      <c r="K139" s="55">
        <f>-Проект!K963/Параметры!K$64</f>
        <v>0</v>
      </c>
      <c r="L139" s="55">
        <f>-Проект!L963/Параметры!L$64</f>
        <v>-1800000</v>
      </c>
      <c r="M139" s="55">
        <f>-Проект!M963/Параметры!M$64</f>
        <v>0</v>
      </c>
      <c r="N139" s="55">
        <f>-Проект!N963/Параметры!N$64</f>
        <v>0</v>
      </c>
      <c r="O139" s="55">
        <f>-Проект!O963/Параметры!O$64</f>
        <v>0</v>
      </c>
      <c r="P139" s="55">
        <f>-Проект!P963/Параметры!P$64</f>
        <v>0</v>
      </c>
      <c r="Q139" s="55">
        <f>-Проект!Q963/Параметры!Q$64</f>
        <v>0</v>
      </c>
      <c r="R139" s="55">
        <f>-Проект!R963/Параметры!R$64</f>
        <v>0</v>
      </c>
      <c r="S139" s="55">
        <f>-Проект!S963/Параметры!S$64</f>
        <v>0</v>
      </c>
      <c r="T139" s="55">
        <f>-Проект!T963/Параметры!T$64</f>
        <v>0</v>
      </c>
      <c r="U139" s="55">
        <f>-Проект!U963/Параметры!U$64</f>
        <v>0</v>
      </c>
      <c r="V139" s="55">
        <f>-Проект!V963/Параметры!V$64</f>
        <v>0</v>
      </c>
      <c r="W139" s="55">
        <f>-Проект!W963/Параметры!W$64</f>
        <v>0</v>
      </c>
      <c r="X139" s="55">
        <f>-Проект!X963/Параметры!X$64</f>
        <v>0</v>
      </c>
      <c r="Y139" s="55">
        <f>-Проект!Y963/Параметры!Y$64</f>
        <v>0</v>
      </c>
      <c r="Z139" s="55">
        <f>-Проект!Z963/Параметры!Z$64</f>
        <v>0</v>
      </c>
      <c r="AA139" s="55">
        <f>-Проект!AA963/Параметры!AA$64</f>
        <v>0</v>
      </c>
      <c r="AB139" s="55">
        <f>-Проект!AB963/Параметры!AB$64</f>
        <v>0</v>
      </c>
      <c r="AC139" s="55">
        <f>-Проект!AC963/Параметры!AC$64</f>
        <v>0</v>
      </c>
      <c r="AD139" s="55">
        <f>-Проект!AD963/Параметры!AD$64</f>
        <v>0</v>
      </c>
      <c r="AE139" s="55">
        <f>-Проект!AE963/Параметры!AE$64</f>
        <v>0</v>
      </c>
      <c r="AF139" s="55">
        <f>-Проект!AF963/Параметры!AF$64</f>
        <v>0</v>
      </c>
      <c r="AG139" s="55">
        <f>-Проект!AG963/Параметры!AG$64</f>
        <v>0</v>
      </c>
      <c r="AH139" s="55">
        <f>-Проект!AH963/Параметры!AH$64</f>
        <v>0</v>
      </c>
      <c r="AI139" s="55">
        <f>-Проект!AI963/Параметры!AI$64</f>
        <v>0</v>
      </c>
      <c r="AJ139" s="55">
        <f>-Проект!AJ963/Параметры!AJ$64</f>
        <v>0</v>
      </c>
      <c r="AK139" s="55">
        <f>-Проект!AK963/Параметры!AK$64</f>
        <v>0</v>
      </c>
      <c r="AL139" s="55">
        <f>-Проект!AL963/Параметры!AL$64</f>
        <v>0</v>
      </c>
      <c r="AM139" s="55">
        <f>-Проект!AM963/Параметры!AM$64</f>
        <v>0</v>
      </c>
      <c r="AN139" s="55">
        <f>-Проект!AN963/Параметры!AN$64</f>
        <v>0</v>
      </c>
      <c r="AO139" s="55">
        <f>-Проект!AO963/Параметры!AO$64</f>
        <v>0</v>
      </c>
      <c r="AP139" s="55">
        <f>-Проект!AP963/Параметры!AP$64</f>
        <v>0</v>
      </c>
      <c r="AQ139" s="55">
        <f>-Проект!AQ963/Параметры!AQ$64</f>
        <v>0</v>
      </c>
      <c r="AR139" s="55">
        <f>-Проект!AR963/Параметры!AR$64</f>
        <v>0</v>
      </c>
      <c r="AS139" s="55">
        <f>-Проект!AS963/Параметры!AS$64</f>
        <v>0</v>
      </c>
      <c r="AT139" s="55">
        <f>-Проект!AT963/Параметры!AT$64</f>
        <v>0</v>
      </c>
      <c r="AU139" s="55">
        <f>-Проект!AU963/Параметры!AU$64</f>
        <v>0</v>
      </c>
      <c r="AV139" s="55">
        <f>-Проект!AV963/Параметры!AV$64</f>
        <v>0</v>
      </c>
      <c r="AW139" s="55">
        <f>-Проект!AW963/Параметры!AW$64</f>
        <v>0</v>
      </c>
      <c r="AX139" s="55">
        <f>-Проект!AX963/Параметры!AX$64</f>
        <v>0</v>
      </c>
      <c r="AY139" s="55">
        <f>-Проект!AY963/Параметры!AY$64</f>
        <v>0</v>
      </c>
      <c r="AZ139" s="55">
        <f>-Проект!AZ963/Параметры!AZ$64</f>
        <v>0</v>
      </c>
      <c r="BA139" s="55">
        <f>-Проект!BA963/Параметры!BA$64</f>
        <v>0</v>
      </c>
      <c r="BB139" s="55">
        <f>-Проект!BB963/Параметры!BB$64</f>
        <v>0</v>
      </c>
      <c r="BC139" s="55"/>
      <c r="BD139" s="57">
        <f t="shared" si="325"/>
        <v>-5900000</v>
      </c>
    </row>
    <row r="140" spans="1:56" x14ac:dyDescent="0.3">
      <c r="A140" s="35" t="str">
        <f ca="1">Language!A1254</f>
        <v>Инвестиции в нематериальные активы</v>
      </c>
      <c r="C140" s="48" t="str">
        <f ca="1">Параметры!$C$64</f>
        <v>руб.</v>
      </c>
      <c r="E140" s="6" t="s">
        <v>1477</v>
      </c>
      <c r="F140" s="6" t="s">
        <v>740</v>
      </c>
      <c r="G140" s="55">
        <f>-Проект!G978/Параметры!G$64</f>
        <v>-25000</v>
      </c>
      <c r="H140" s="55">
        <f>-Проект!H978/Параметры!H$64</f>
        <v>-25000</v>
      </c>
      <c r="I140" s="55">
        <f>-Проект!I978/Параметры!I$64</f>
        <v>-25000</v>
      </c>
      <c r="J140" s="55">
        <f>-Проект!J978/Параметры!J$64</f>
        <v>-25000</v>
      </c>
      <c r="K140" s="55">
        <f>-Проект!K978/Параметры!K$64</f>
        <v>-25000</v>
      </c>
      <c r="L140" s="55">
        <f>-Проект!L978/Параметры!L$64</f>
        <v>-25000</v>
      </c>
      <c r="M140" s="55">
        <f>-Проект!M978/Параметры!M$64</f>
        <v>0</v>
      </c>
      <c r="N140" s="55">
        <f>-Проект!N978/Параметры!N$64</f>
        <v>0</v>
      </c>
      <c r="O140" s="55">
        <f>-Проект!O978/Параметры!O$64</f>
        <v>0</v>
      </c>
      <c r="P140" s="55">
        <f>-Проект!P978/Параметры!P$64</f>
        <v>0</v>
      </c>
      <c r="Q140" s="55">
        <f>-Проект!Q978/Параметры!Q$64</f>
        <v>0</v>
      </c>
      <c r="R140" s="55">
        <f>-Проект!R978/Параметры!R$64</f>
        <v>0</v>
      </c>
      <c r="S140" s="55">
        <f>-Проект!S978/Параметры!S$64</f>
        <v>0</v>
      </c>
      <c r="T140" s="55">
        <f>-Проект!T978/Параметры!T$64</f>
        <v>0</v>
      </c>
      <c r="U140" s="55">
        <f>-Проект!U978/Параметры!U$64</f>
        <v>0</v>
      </c>
      <c r="V140" s="55">
        <f>-Проект!V978/Параметры!V$64</f>
        <v>0</v>
      </c>
      <c r="W140" s="55">
        <f>-Проект!W978/Параметры!W$64</f>
        <v>0</v>
      </c>
      <c r="X140" s="55">
        <f>-Проект!X978/Параметры!X$64</f>
        <v>0</v>
      </c>
      <c r="Y140" s="55">
        <f>-Проект!Y978/Параметры!Y$64</f>
        <v>0</v>
      </c>
      <c r="Z140" s="55">
        <f>-Проект!Z978/Параметры!Z$64</f>
        <v>0</v>
      </c>
      <c r="AA140" s="55">
        <f>-Проект!AA978/Параметры!AA$64</f>
        <v>0</v>
      </c>
      <c r="AB140" s="55">
        <f>-Проект!AB978/Параметры!AB$64</f>
        <v>0</v>
      </c>
      <c r="AC140" s="55">
        <f>-Проект!AC978/Параметры!AC$64</f>
        <v>0</v>
      </c>
      <c r="AD140" s="55">
        <f>-Проект!AD978/Параметры!AD$64</f>
        <v>0</v>
      </c>
      <c r="AE140" s="55">
        <f>-Проект!AE978/Параметры!AE$64</f>
        <v>0</v>
      </c>
      <c r="AF140" s="55">
        <f>-Проект!AF978/Параметры!AF$64</f>
        <v>0</v>
      </c>
      <c r="AG140" s="55">
        <f>-Проект!AG978/Параметры!AG$64</f>
        <v>0</v>
      </c>
      <c r="AH140" s="55">
        <f>-Проект!AH978/Параметры!AH$64</f>
        <v>0</v>
      </c>
      <c r="AI140" s="55">
        <f>-Проект!AI978/Параметры!AI$64</f>
        <v>0</v>
      </c>
      <c r="AJ140" s="55">
        <f>-Проект!AJ978/Параметры!AJ$64</f>
        <v>0</v>
      </c>
      <c r="AK140" s="55">
        <f>-Проект!AK978/Параметры!AK$64</f>
        <v>0</v>
      </c>
      <c r="AL140" s="55">
        <f>-Проект!AL978/Параметры!AL$64</f>
        <v>0</v>
      </c>
      <c r="AM140" s="55">
        <f>-Проект!AM978/Параметры!AM$64</f>
        <v>0</v>
      </c>
      <c r="AN140" s="55">
        <f>-Проект!AN978/Параметры!AN$64</f>
        <v>0</v>
      </c>
      <c r="AO140" s="55">
        <f>-Проект!AO978/Параметры!AO$64</f>
        <v>0</v>
      </c>
      <c r="AP140" s="55">
        <f>-Проект!AP978/Параметры!AP$64</f>
        <v>0</v>
      </c>
      <c r="AQ140" s="55">
        <f>-Проект!AQ978/Параметры!AQ$64</f>
        <v>0</v>
      </c>
      <c r="AR140" s="55">
        <f>-Проект!AR978/Параметры!AR$64</f>
        <v>0</v>
      </c>
      <c r="AS140" s="55">
        <f>-Проект!AS978/Параметры!AS$64</f>
        <v>0</v>
      </c>
      <c r="AT140" s="55">
        <f>-Проект!AT978/Параметры!AT$64</f>
        <v>0</v>
      </c>
      <c r="AU140" s="55">
        <f>-Проект!AU978/Параметры!AU$64</f>
        <v>0</v>
      </c>
      <c r="AV140" s="55">
        <f>-Проект!AV978/Параметры!AV$64</f>
        <v>0</v>
      </c>
      <c r="AW140" s="55">
        <f>-Проект!AW978/Параметры!AW$64</f>
        <v>0</v>
      </c>
      <c r="AX140" s="55">
        <f>-Проект!AX978/Параметры!AX$64</f>
        <v>0</v>
      </c>
      <c r="AY140" s="55">
        <f>-Проект!AY978/Параметры!AY$64</f>
        <v>0</v>
      </c>
      <c r="AZ140" s="55">
        <f>-Проект!AZ978/Параметры!AZ$64</f>
        <v>0</v>
      </c>
      <c r="BA140" s="55">
        <f>-Проект!BA978/Параметры!BA$64</f>
        <v>0</v>
      </c>
      <c r="BB140" s="55">
        <f>-Проект!BB978/Параметры!BB$64</f>
        <v>0</v>
      </c>
      <c r="BC140" s="55"/>
      <c r="BD140" s="57">
        <f t="shared" si="325"/>
        <v>-150000</v>
      </c>
    </row>
    <row r="141" spans="1:56" x14ac:dyDescent="0.3">
      <c r="A141" s="35" t="str">
        <f ca="1">Language!A1255</f>
        <v>Инвестиции в финансовые активы</v>
      </c>
      <c r="C141" s="48" t="str">
        <f ca="1">Параметры!$C$64</f>
        <v>руб.</v>
      </c>
      <c r="E141" s="6" t="s">
        <v>1478</v>
      </c>
      <c r="F141" s="6" t="s">
        <v>740</v>
      </c>
      <c r="G141" s="55">
        <f>(-SUM(Проект!G1078,Проект!G1086,Проект!G1130)+SUM(Старт!G94,Старт!G98,Проект!G1079,Проект!G1087,Проект!G1131))/Параметры!G$64</f>
        <v>0</v>
      </c>
      <c r="H141" s="55">
        <f>(-SUM(Проект!H1078,Проект!H1086,Проект!H1130)+SUM(Старт!H94,Старт!H98,Проект!H1079,Проект!H1087,Проект!H1131))/Параметры!H$64</f>
        <v>0</v>
      </c>
      <c r="I141" s="55">
        <f>(-SUM(Проект!I1078,Проект!I1086,Проект!I1130)+SUM(Старт!I94,Старт!I98,Проект!I1079,Проект!I1087,Проект!I1131))/Параметры!I$64</f>
        <v>0</v>
      </c>
      <c r="J141" s="55">
        <f>(-SUM(Проект!J1078,Проект!J1086,Проект!J1130)+SUM(Старт!J94,Старт!J98,Проект!J1079,Проект!J1087,Проект!J1131))/Параметры!J$64</f>
        <v>0</v>
      </c>
      <c r="K141" s="55">
        <f>(-SUM(Проект!K1078,Проект!K1086,Проект!K1130)+SUM(Старт!K94,Старт!K98,Проект!K1079,Проект!K1087,Проект!K1131))/Параметры!K$64</f>
        <v>0</v>
      </c>
      <c r="L141" s="55">
        <f>(-SUM(Проект!L1078,Проект!L1086,Проект!L1130)+SUM(Старт!L94,Старт!L98,Проект!L1079,Проект!L1087,Проект!L1131))/Параметры!L$64</f>
        <v>0</v>
      </c>
      <c r="M141" s="55">
        <f>(-SUM(Проект!M1078,Проект!M1086,Проект!M1130)+SUM(Старт!M94,Старт!M98,Проект!M1079,Проект!M1087,Проект!M1131))/Параметры!M$64</f>
        <v>0</v>
      </c>
      <c r="N141" s="55">
        <f>(-SUM(Проект!N1078,Проект!N1086,Проект!N1130)+SUM(Старт!N94,Старт!N98,Проект!N1079,Проект!N1087,Проект!N1131))/Параметры!N$64</f>
        <v>0</v>
      </c>
      <c r="O141" s="55">
        <f>(-SUM(Проект!O1078,Проект!O1086,Проект!O1130)+SUM(Старт!O94,Старт!O98,Проект!O1079,Проект!O1087,Проект!O1131))/Параметры!O$64</f>
        <v>0</v>
      </c>
      <c r="P141" s="55">
        <f>(-SUM(Проект!P1078,Проект!P1086,Проект!P1130)+SUM(Старт!P94,Старт!P98,Проект!P1079,Проект!P1087,Проект!P1131))/Параметры!P$64</f>
        <v>0</v>
      </c>
      <c r="Q141" s="55">
        <f>(-SUM(Проект!Q1078,Проект!Q1086,Проект!Q1130)+SUM(Старт!Q94,Старт!Q98,Проект!Q1079,Проект!Q1087,Проект!Q1131))/Параметры!Q$64</f>
        <v>0</v>
      </c>
      <c r="R141" s="55">
        <f>(-SUM(Проект!R1078,Проект!R1086,Проект!R1130)+SUM(Старт!R94,Старт!R98,Проект!R1079,Проект!R1087,Проект!R1131))/Параметры!R$64</f>
        <v>0</v>
      </c>
      <c r="S141" s="55">
        <f>(-SUM(Проект!S1078,Проект!S1086,Проект!S1130)+SUM(Старт!S94,Старт!S98,Проект!S1079,Проект!S1087,Проект!S1131))/Параметры!S$64</f>
        <v>0</v>
      </c>
      <c r="T141" s="55">
        <f>(-SUM(Проект!T1078,Проект!T1086,Проект!T1130)+SUM(Старт!T94,Старт!T98,Проект!T1079,Проект!T1087,Проект!T1131))/Параметры!T$64</f>
        <v>0</v>
      </c>
      <c r="U141" s="55">
        <f>(-SUM(Проект!U1078,Проект!U1086,Проект!U1130)+SUM(Старт!U94,Старт!U98,Проект!U1079,Проект!U1087,Проект!U1131))/Параметры!U$64</f>
        <v>0</v>
      </c>
      <c r="V141" s="55">
        <f>(-SUM(Проект!V1078,Проект!V1086,Проект!V1130)+SUM(Старт!V94,Старт!V98,Проект!V1079,Проект!V1087,Проект!V1131))/Параметры!V$64</f>
        <v>0</v>
      </c>
      <c r="W141" s="55">
        <f>(-SUM(Проект!W1078,Проект!W1086,Проект!W1130)+SUM(Старт!W94,Старт!W98,Проект!W1079,Проект!W1087,Проект!W1131))/Параметры!W$64</f>
        <v>0</v>
      </c>
      <c r="X141" s="55">
        <f>(-SUM(Проект!X1078,Проект!X1086,Проект!X1130)+SUM(Старт!X94,Старт!X98,Проект!X1079,Проект!X1087,Проект!X1131))/Параметры!X$64</f>
        <v>0</v>
      </c>
      <c r="Y141" s="55">
        <f>(-SUM(Проект!Y1078,Проект!Y1086,Проект!Y1130)+SUM(Старт!Y94,Старт!Y98,Проект!Y1079,Проект!Y1087,Проект!Y1131))/Параметры!Y$64</f>
        <v>0</v>
      </c>
      <c r="Z141" s="55">
        <f>(-SUM(Проект!Z1078,Проект!Z1086,Проект!Z1130)+SUM(Старт!Z94,Старт!Z98,Проект!Z1079,Проект!Z1087,Проект!Z1131))/Параметры!Z$64</f>
        <v>0</v>
      </c>
      <c r="AA141" s="55">
        <f>(-SUM(Проект!AA1078,Проект!AA1086,Проект!AA1130)+SUM(Старт!AA94,Старт!AA98,Проект!AA1079,Проект!AA1087,Проект!AA1131))/Параметры!AA$64</f>
        <v>0</v>
      </c>
      <c r="AB141" s="55">
        <f>(-SUM(Проект!AB1078,Проект!AB1086,Проект!AB1130)+SUM(Старт!AB94,Старт!AB98,Проект!AB1079,Проект!AB1087,Проект!AB1131))/Параметры!AB$64</f>
        <v>0</v>
      </c>
      <c r="AC141" s="55">
        <f>(-SUM(Проект!AC1078,Проект!AC1086,Проект!AC1130)+SUM(Старт!AC94,Старт!AC98,Проект!AC1079,Проект!AC1087,Проект!AC1131))/Параметры!AC$64</f>
        <v>0</v>
      </c>
      <c r="AD141" s="55">
        <f>(-SUM(Проект!AD1078,Проект!AD1086,Проект!AD1130)+SUM(Старт!AD94,Старт!AD98,Проект!AD1079,Проект!AD1087,Проект!AD1131))/Параметры!AD$64</f>
        <v>0</v>
      </c>
      <c r="AE141" s="55">
        <f>(-SUM(Проект!AE1078,Проект!AE1086,Проект!AE1130)+SUM(Старт!AE94,Старт!AE98,Проект!AE1079,Проект!AE1087,Проект!AE1131))/Параметры!AE$64</f>
        <v>0</v>
      </c>
      <c r="AF141" s="55">
        <f>(-SUM(Проект!AF1078,Проект!AF1086,Проект!AF1130)+SUM(Старт!AF94,Старт!AF98,Проект!AF1079,Проект!AF1087,Проект!AF1131))/Параметры!AF$64</f>
        <v>0</v>
      </c>
      <c r="AG141" s="55">
        <f>(-SUM(Проект!AG1078,Проект!AG1086,Проект!AG1130)+SUM(Старт!AG94,Старт!AG98,Проект!AG1079,Проект!AG1087,Проект!AG1131))/Параметры!AG$64</f>
        <v>0</v>
      </c>
      <c r="AH141" s="55">
        <f>(-SUM(Проект!AH1078,Проект!AH1086,Проект!AH1130)+SUM(Старт!AH94,Старт!AH98,Проект!AH1079,Проект!AH1087,Проект!AH1131))/Параметры!AH$64</f>
        <v>0</v>
      </c>
      <c r="AI141" s="55">
        <f>(-SUM(Проект!AI1078,Проект!AI1086,Проект!AI1130)+SUM(Старт!AI94,Старт!AI98,Проект!AI1079,Проект!AI1087,Проект!AI1131))/Параметры!AI$64</f>
        <v>0</v>
      </c>
      <c r="AJ141" s="55">
        <f>(-SUM(Проект!AJ1078,Проект!AJ1086,Проект!AJ1130)+SUM(Старт!AJ94,Старт!AJ98,Проект!AJ1079,Проект!AJ1087,Проект!AJ1131))/Параметры!AJ$64</f>
        <v>0</v>
      </c>
      <c r="AK141" s="55">
        <f>(-SUM(Проект!AK1078,Проект!AK1086,Проект!AK1130)+SUM(Старт!AK94,Старт!AK98,Проект!AK1079,Проект!AK1087,Проект!AK1131))/Параметры!AK$64</f>
        <v>0</v>
      </c>
      <c r="AL141" s="55">
        <f>(-SUM(Проект!AL1078,Проект!AL1086,Проект!AL1130)+SUM(Старт!AL94,Старт!AL98,Проект!AL1079,Проект!AL1087,Проект!AL1131))/Параметры!AL$64</f>
        <v>0</v>
      </c>
      <c r="AM141" s="55">
        <f>(-SUM(Проект!AM1078,Проект!AM1086,Проект!AM1130)+SUM(Старт!AM94,Старт!AM98,Проект!AM1079,Проект!AM1087,Проект!AM1131))/Параметры!AM$64</f>
        <v>0</v>
      </c>
      <c r="AN141" s="55">
        <f>(-SUM(Проект!AN1078,Проект!AN1086,Проект!AN1130)+SUM(Старт!AN94,Старт!AN98,Проект!AN1079,Проект!AN1087,Проект!AN1131))/Параметры!AN$64</f>
        <v>0</v>
      </c>
      <c r="AO141" s="55">
        <f>(-SUM(Проект!AO1078,Проект!AO1086,Проект!AO1130)+SUM(Старт!AO94,Старт!AO98,Проект!AO1079,Проект!AO1087,Проект!AO1131))/Параметры!AO$64</f>
        <v>0</v>
      </c>
      <c r="AP141" s="55">
        <f>(-SUM(Проект!AP1078,Проект!AP1086,Проект!AP1130)+SUM(Старт!AP94,Старт!AP98,Проект!AP1079,Проект!AP1087,Проект!AP1131))/Параметры!AP$64</f>
        <v>0</v>
      </c>
      <c r="AQ141" s="55">
        <f>(-SUM(Проект!AQ1078,Проект!AQ1086,Проект!AQ1130)+SUM(Старт!AQ94,Старт!AQ98,Проект!AQ1079,Проект!AQ1087,Проект!AQ1131))/Параметры!AQ$64</f>
        <v>0</v>
      </c>
      <c r="AR141" s="55">
        <f>(-SUM(Проект!AR1078,Проект!AR1086,Проект!AR1130)+SUM(Старт!AR94,Старт!AR98,Проект!AR1079,Проект!AR1087,Проект!AR1131))/Параметры!AR$64</f>
        <v>0</v>
      </c>
      <c r="AS141" s="55">
        <f>(-SUM(Проект!AS1078,Проект!AS1086,Проект!AS1130)+SUM(Старт!AS94,Старт!AS98,Проект!AS1079,Проект!AS1087,Проект!AS1131))/Параметры!AS$64</f>
        <v>0</v>
      </c>
      <c r="AT141" s="55">
        <f>(-SUM(Проект!AT1078,Проект!AT1086,Проект!AT1130)+SUM(Старт!AT94,Старт!AT98,Проект!AT1079,Проект!AT1087,Проект!AT1131))/Параметры!AT$64</f>
        <v>0</v>
      </c>
      <c r="AU141" s="55">
        <f>(-SUM(Проект!AU1078,Проект!AU1086,Проект!AU1130)+SUM(Старт!AU94,Старт!AU98,Проект!AU1079,Проект!AU1087,Проект!AU1131))/Параметры!AU$64</f>
        <v>0</v>
      </c>
      <c r="AV141" s="55">
        <f>(-SUM(Проект!AV1078,Проект!AV1086,Проект!AV1130)+SUM(Старт!AV94,Старт!AV98,Проект!AV1079,Проект!AV1087,Проект!AV1131))/Параметры!AV$64</f>
        <v>0</v>
      </c>
      <c r="AW141" s="55">
        <f>(-SUM(Проект!AW1078,Проект!AW1086,Проект!AW1130)+SUM(Старт!AW94,Старт!AW98,Проект!AW1079,Проект!AW1087,Проект!AW1131))/Параметры!AW$64</f>
        <v>0</v>
      </c>
      <c r="AX141" s="55">
        <f>(-SUM(Проект!AX1078,Проект!AX1086,Проект!AX1130)+SUM(Старт!AX94,Старт!AX98,Проект!AX1079,Проект!AX1087,Проект!AX1131))/Параметры!AX$64</f>
        <v>0</v>
      </c>
      <c r="AY141" s="55">
        <f>(-SUM(Проект!AY1078,Проект!AY1086,Проект!AY1130)+SUM(Старт!AY94,Старт!AY98,Проект!AY1079,Проект!AY1087,Проект!AY1131))/Параметры!AY$64</f>
        <v>0</v>
      </c>
      <c r="AZ141" s="55">
        <f>(-SUM(Проект!AZ1078,Проект!AZ1086,Проект!AZ1130)+SUM(Старт!AZ94,Старт!AZ98,Проект!AZ1079,Проект!AZ1087,Проект!AZ1131))/Параметры!AZ$64</f>
        <v>0</v>
      </c>
      <c r="BA141" s="55">
        <f>(-SUM(Проект!BA1078,Проект!BA1086,Проект!BA1130)+SUM(Старт!BA94,Старт!BA98,Проект!BA1079,Проект!BA1087,Проект!BA1131))/Параметры!BA$64</f>
        <v>0</v>
      </c>
      <c r="BB141" s="55">
        <f>(-SUM(Проект!BB1078,Проект!BB1086,Проект!BB1130)+SUM(Старт!BB94,Старт!BB98,Проект!BB1079,Проект!BB1087,Проект!BB1131))/Параметры!BB$64</f>
        <v>0</v>
      </c>
      <c r="BC141" s="55"/>
      <c r="BD141" s="57">
        <f t="shared" si="325"/>
        <v>0</v>
      </c>
    </row>
    <row r="142" spans="1:56" x14ac:dyDescent="0.3">
      <c r="A142" s="35" t="str">
        <f ca="1">Language!A1256</f>
        <v>Выручка от реализации активов</v>
      </c>
      <c r="C142" s="48" t="str">
        <f ca="1">Параметры!$C$64</f>
        <v>руб.</v>
      </c>
      <c r="E142" s="6" t="s">
        <v>1479</v>
      </c>
      <c r="F142" s="6" t="s">
        <v>740</v>
      </c>
      <c r="G142" s="55">
        <f>SUM(Проект!G947,Проект!G959,Проект!G962,Проект!G974,Проект!G977,Проект!G986,Проект!G988)/Параметры!G$64</f>
        <v>0</v>
      </c>
      <c r="H142" s="55">
        <f>SUM(Проект!H947,Проект!H959,Проект!H962,Проект!H974,Проект!H977,Проект!H986,Проект!H988)/Параметры!H$64</f>
        <v>0</v>
      </c>
      <c r="I142" s="55">
        <f>SUM(Проект!I947,Проект!I959,Проект!I962,Проект!I974,Проект!I977,Проект!I986,Проект!I988)/Параметры!I$64</f>
        <v>0</v>
      </c>
      <c r="J142" s="55">
        <f>SUM(Проект!J947,Проект!J959,Проект!J962,Проект!J974,Проект!J977,Проект!J986,Проект!J988)/Параметры!J$64</f>
        <v>0</v>
      </c>
      <c r="K142" s="55">
        <f>SUM(Проект!K947,Проект!K959,Проект!K962,Проект!K974,Проект!K977,Проект!K986,Проект!K988)/Параметры!K$64</f>
        <v>0</v>
      </c>
      <c r="L142" s="55">
        <f>SUM(Проект!L947,Проект!L959,Проект!L962,Проект!L974,Проект!L977,Проект!L986,Проект!L988)/Параметры!L$64</f>
        <v>0</v>
      </c>
      <c r="M142" s="55">
        <f>SUM(Проект!M947,Проект!M959,Проект!M962,Проект!M974,Проект!M977,Проект!M986,Проект!M988)/Параметры!M$64</f>
        <v>0</v>
      </c>
      <c r="N142" s="55">
        <f>SUM(Проект!N947,Проект!N959,Проект!N962,Проект!N974,Проект!N977,Проект!N986,Проект!N988)/Параметры!N$64</f>
        <v>0</v>
      </c>
      <c r="O142" s="55">
        <f>SUM(Проект!O947,Проект!O959,Проект!O962,Проект!O974,Проект!O977,Проект!O986,Проект!O988)/Параметры!O$64</f>
        <v>0</v>
      </c>
      <c r="P142" s="55">
        <f>SUM(Проект!P947,Проект!P959,Проект!P962,Проект!P974,Проект!P977,Проект!P986,Проект!P988)/Параметры!P$64</f>
        <v>0</v>
      </c>
      <c r="Q142" s="55">
        <f>SUM(Проект!Q947,Проект!Q959,Проект!Q962,Проект!Q974,Проект!Q977,Проект!Q986,Проект!Q988)/Параметры!Q$64</f>
        <v>0</v>
      </c>
      <c r="R142" s="55">
        <f>SUM(Проект!R947,Проект!R959,Проект!R962,Проект!R974,Проект!R977,Проект!R986,Проект!R988)/Параметры!R$64</f>
        <v>0</v>
      </c>
      <c r="S142" s="55">
        <f>SUM(Проект!S947,Проект!S959,Проект!S962,Проект!S974,Проект!S977,Проект!S986,Проект!S988)/Параметры!S$64</f>
        <v>0</v>
      </c>
      <c r="T142" s="55">
        <f>SUM(Проект!T947,Проект!T959,Проект!T962,Проект!T974,Проект!T977,Проект!T986,Проект!T988)/Параметры!T$64</f>
        <v>0</v>
      </c>
      <c r="U142" s="55">
        <f>SUM(Проект!U947,Проект!U959,Проект!U962,Проект!U974,Проект!U977,Проект!U986,Проект!U988)/Параметры!U$64</f>
        <v>0</v>
      </c>
      <c r="V142" s="55">
        <f>SUM(Проект!V947,Проект!V959,Проект!V962,Проект!V974,Проект!V977,Проект!V986,Проект!V988)/Параметры!V$64</f>
        <v>0</v>
      </c>
      <c r="W142" s="55">
        <f>SUM(Проект!W947,Проект!W959,Проект!W962,Проект!W974,Проект!W977,Проект!W986,Проект!W988)/Параметры!W$64</f>
        <v>0</v>
      </c>
      <c r="X142" s="55">
        <f>SUM(Проект!X947,Проект!X959,Проект!X962,Проект!X974,Проект!X977,Проект!X986,Проект!X988)/Параметры!X$64</f>
        <v>0</v>
      </c>
      <c r="Y142" s="55">
        <f>SUM(Проект!Y947,Проект!Y959,Проект!Y962,Проект!Y974,Проект!Y977,Проект!Y986,Проект!Y988)/Параметры!Y$64</f>
        <v>0</v>
      </c>
      <c r="Z142" s="55">
        <f>SUM(Проект!Z947,Проект!Z959,Проект!Z962,Проект!Z974,Проект!Z977,Проект!Z986,Проект!Z988)/Параметры!Z$64</f>
        <v>0</v>
      </c>
      <c r="AA142" s="55">
        <f>SUM(Проект!AA947,Проект!AA959,Проект!AA962,Проект!AA974,Проект!AA977,Проект!AA986,Проект!AA988)/Параметры!AA$64</f>
        <v>0</v>
      </c>
      <c r="AB142" s="55">
        <f>SUM(Проект!AB947,Проект!AB959,Проект!AB962,Проект!AB974,Проект!AB977,Проект!AB986,Проект!AB988)/Параметры!AB$64</f>
        <v>0</v>
      </c>
      <c r="AC142" s="55">
        <f>SUM(Проект!AC947,Проект!AC959,Проект!AC962,Проект!AC974,Проект!AC977,Проект!AC986,Проект!AC988)/Параметры!AC$64</f>
        <v>0</v>
      </c>
      <c r="AD142" s="55">
        <f>SUM(Проект!AD947,Проект!AD959,Проект!AD962,Проект!AD974,Проект!AD977,Проект!AD986,Проект!AD988)/Параметры!AD$64</f>
        <v>0</v>
      </c>
      <c r="AE142" s="55">
        <f>SUM(Проект!AE947,Проект!AE959,Проект!AE962,Проект!AE974,Проект!AE977,Проект!AE986,Проект!AE988)/Параметры!AE$64</f>
        <v>0</v>
      </c>
      <c r="AF142" s="55">
        <f>SUM(Проект!AF947,Проект!AF959,Проект!AF962,Проект!AF974,Проект!AF977,Проект!AF986,Проект!AF988)/Параметры!AF$64</f>
        <v>0</v>
      </c>
      <c r="AG142" s="55">
        <f>SUM(Проект!AG947,Проект!AG959,Проект!AG962,Проект!AG974,Проект!AG977,Проект!AG986,Проект!AG988)/Параметры!AG$64</f>
        <v>0</v>
      </c>
      <c r="AH142" s="55">
        <f>SUM(Проект!AH947,Проект!AH959,Проект!AH962,Проект!AH974,Проект!AH977,Проект!AH986,Проект!AH988)/Параметры!AH$64</f>
        <v>0</v>
      </c>
      <c r="AI142" s="55">
        <f>SUM(Проект!AI947,Проект!AI959,Проект!AI962,Проект!AI974,Проект!AI977,Проект!AI986,Проект!AI988)/Параметры!AI$64</f>
        <v>0</v>
      </c>
      <c r="AJ142" s="55">
        <f>SUM(Проект!AJ947,Проект!AJ959,Проект!AJ962,Проект!AJ974,Проект!AJ977,Проект!AJ986,Проект!AJ988)/Параметры!AJ$64</f>
        <v>0</v>
      </c>
      <c r="AK142" s="55">
        <f>SUM(Проект!AK947,Проект!AK959,Проект!AK962,Проект!AK974,Проект!AK977,Проект!AK986,Проект!AK988)/Параметры!AK$64</f>
        <v>0</v>
      </c>
      <c r="AL142" s="55">
        <f>SUM(Проект!AL947,Проект!AL959,Проект!AL962,Проект!AL974,Проект!AL977,Проект!AL986,Проект!AL988)/Параметры!AL$64</f>
        <v>0</v>
      </c>
      <c r="AM142" s="55">
        <f>SUM(Проект!AM947,Проект!AM959,Проект!AM962,Проект!AM974,Проект!AM977,Проект!AM986,Проект!AM988)/Параметры!AM$64</f>
        <v>0</v>
      </c>
      <c r="AN142" s="55">
        <f>SUM(Проект!AN947,Проект!AN959,Проект!AN962,Проект!AN974,Проект!AN977,Проект!AN986,Проект!AN988)/Параметры!AN$64</f>
        <v>0</v>
      </c>
      <c r="AO142" s="55">
        <f>SUM(Проект!AO947,Проект!AO959,Проект!AO962,Проект!AO974,Проект!AO977,Проект!AO986,Проект!AO988)/Параметры!AO$64</f>
        <v>0</v>
      </c>
      <c r="AP142" s="55">
        <f>SUM(Проект!AP947,Проект!AP959,Проект!AP962,Проект!AP974,Проект!AP977,Проект!AP986,Проект!AP988)/Параметры!AP$64</f>
        <v>0</v>
      </c>
      <c r="AQ142" s="55">
        <f>SUM(Проект!AQ947,Проект!AQ959,Проект!AQ962,Проект!AQ974,Проект!AQ977,Проект!AQ986,Проект!AQ988)/Параметры!AQ$64</f>
        <v>0</v>
      </c>
      <c r="AR142" s="55">
        <f>SUM(Проект!AR947,Проект!AR959,Проект!AR962,Проект!AR974,Проект!AR977,Проект!AR986,Проект!AR988)/Параметры!AR$64</f>
        <v>0</v>
      </c>
      <c r="AS142" s="55">
        <f>SUM(Проект!AS947,Проект!AS959,Проект!AS962,Проект!AS974,Проект!AS977,Проект!AS986,Проект!AS988)/Параметры!AS$64</f>
        <v>0</v>
      </c>
      <c r="AT142" s="55">
        <f>SUM(Проект!AT947,Проект!AT959,Проект!AT962,Проект!AT974,Проект!AT977,Проект!AT986,Проект!AT988)/Параметры!AT$64</f>
        <v>0</v>
      </c>
      <c r="AU142" s="55">
        <f>SUM(Проект!AU947,Проект!AU959,Проект!AU962,Проект!AU974,Проект!AU977,Проект!AU986,Проект!AU988)/Параметры!AU$64</f>
        <v>0</v>
      </c>
      <c r="AV142" s="55">
        <f>SUM(Проект!AV947,Проект!AV959,Проект!AV962,Проект!AV974,Проект!AV977,Проект!AV986,Проект!AV988)/Параметры!AV$64</f>
        <v>0</v>
      </c>
      <c r="AW142" s="55">
        <f>SUM(Проект!AW947,Проект!AW959,Проект!AW962,Проект!AW974,Проект!AW977,Проект!AW986,Проект!AW988)/Параметры!AW$64</f>
        <v>0</v>
      </c>
      <c r="AX142" s="55">
        <f>SUM(Проект!AX947,Проект!AX959,Проект!AX962,Проект!AX974,Проект!AX977,Проект!AX986,Проект!AX988)/Параметры!AX$64</f>
        <v>0</v>
      </c>
      <c r="AY142" s="55">
        <f>SUM(Проект!AY947,Проект!AY959,Проект!AY962,Проект!AY974,Проект!AY977,Проект!AY986,Проект!AY988)/Параметры!AY$64</f>
        <v>0</v>
      </c>
      <c r="AZ142" s="55">
        <f>SUM(Проект!AZ947,Проект!AZ959,Проект!AZ962,Проект!AZ974,Проект!AZ977,Проект!AZ986,Проект!AZ988)/Параметры!AZ$64</f>
        <v>0</v>
      </c>
      <c r="BA142" s="55">
        <f>SUM(Проект!BA947,Проект!BA959,Проект!BA962,Проект!BA974,Проект!BA977,Проект!BA986,Проект!BA988)/Параметры!BA$64</f>
        <v>0</v>
      </c>
      <c r="BB142" s="55">
        <f>SUM(Проект!BB947,Проект!BB959,Проект!BB962,Проект!BB974,Проект!BB977,Проект!BB986,Проект!BB988)/Параметры!BB$64</f>
        <v>0</v>
      </c>
      <c r="BC142" s="55"/>
      <c r="BD142" s="57">
        <f t="shared" si="325"/>
        <v>0</v>
      </c>
    </row>
    <row r="143" spans="1:56" x14ac:dyDescent="0.3">
      <c r="A143" s="10"/>
      <c r="G143" s="55"/>
      <c r="H143" s="55"/>
      <c r="I143" s="55"/>
      <c r="J143" s="55"/>
      <c r="K143" s="55"/>
      <c r="L143" s="55"/>
      <c r="M143" s="55"/>
      <c r="N143" s="55"/>
      <c r="O143" s="55"/>
      <c r="P143" s="55"/>
      <c r="Q143" s="55"/>
      <c r="R143" s="55"/>
      <c r="S143" s="55"/>
      <c r="T143" s="55"/>
      <c r="U143" s="55"/>
      <c r="V143" s="55"/>
      <c r="W143" s="55"/>
      <c r="X143" s="55"/>
      <c r="Y143" s="55"/>
      <c r="Z143" s="55"/>
      <c r="AA143" s="55"/>
      <c r="AB143" s="55"/>
      <c r="AC143" s="55"/>
      <c r="AD143" s="55"/>
      <c r="AE143" s="55"/>
      <c r="AF143" s="55"/>
      <c r="AG143" s="55"/>
      <c r="AH143" s="55"/>
      <c r="AI143" s="55"/>
      <c r="AJ143" s="55"/>
      <c r="AK143" s="55"/>
      <c r="AL143" s="55"/>
      <c r="AM143" s="55"/>
      <c r="AN143" s="55"/>
      <c r="AO143" s="55"/>
      <c r="AP143" s="55"/>
      <c r="AQ143" s="55"/>
      <c r="AR143" s="55"/>
      <c r="AS143" s="55"/>
      <c r="AT143" s="55"/>
      <c r="AU143" s="55"/>
      <c r="AV143" s="55"/>
      <c r="AW143" s="55"/>
      <c r="AX143" s="55"/>
      <c r="AY143" s="55"/>
      <c r="AZ143" s="55"/>
      <c r="BA143" s="55"/>
      <c r="BB143" s="55"/>
      <c r="BC143" s="55"/>
      <c r="BD143" s="57"/>
    </row>
    <row r="144" spans="1:56" x14ac:dyDescent="0.3">
      <c r="A144" s="43" t="str">
        <f ca="1">Language!A1257</f>
        <v>Денежные потоки от инвестиционной деятельности</v>
      </c>
      <c r="B144" s="80"/>
      <c r="C144" s="45" t="str">
        <f ca="1">Параметры!$C$64</f>
        <v>руб.</v>
      </c>
      <c r="D144" s="46"/>
      <c r="E144" s="46" t="s">
        <v>1480</v>
      </c>
      <c r="F144" s="46" t="s">
        <v>740</v>
      </c>
      <c r="G144" s="81">
        <f t="shared" ref="G144" si="326">SUM(G137:G143)</f>
        <v>-291667</v>
      </c>
      <c r="H144" s="81">
        <f t="shared" ref="H144:J144" si="327">SUM(H137:H143)</f>
        <v>-1658333.6666666667</v>
      </c>
      <c r="I144" s="81">
        <f t="shared" si="327"/>
        <v>-136658332.66666666</v>
      </c>
      <c r="J144" s="81">
        <f t="shared" si="327"/>
        <v>-18391666.666666668</v>
      </c>
      <c r="K144" s="81">
        <f t="shared" ref="K144:M144" si="328">SUM(K137:K143)</f>
        <v>-17025000</v>
      </c>
      <c r="L144" s="81">
        <f t="shared" si="328"/>
        <v>-17825000</v>
      </c>
      <c r="M144" s="81">
        <f t="shared" si="328"/>
        <v>-10000000</v>
      </c>
      <c r="N144" s="81">
        <f t="shared" ref="N144:O144" si="329">SUM(N137:N143)</f>
        <v>-10000000</v>
      </c>
      <c r="O144" s="81">
        <f t="shared" si="329"/>
        <v>0</v>
      </c>
      <c r="P144" s="81">
        <f t="shared" ref="P144:Q144" si="330">SUM(P137:P143)</f>
        <v>0</v>
      </c>
      <c r="Q144" s="81">
        <f t="shared" si="330"/>
        <v>0</v>
      </c>
      <c r="R144" s="81">
        <f t="shared" ref="R144:S144" si="331">SUM(R137:R143)</f>
        <v>0</v>
      </c>
      <c r="S144" s="81">
        <f t="shared" si="331"/>
        <v>0</v>
      </c>
      <c r="T144" s="81">
        <f t="shared" ref="T144:U144" si="332">SUM(T137:T143)</f>
        <v>0</v>
      </c>
      <c r="U144" s="81">
        <f t="shared" si="332"/>
        <v>0</v>
      </c>
      <c r="V144" s="81">
        <f t="shared" ref="V144:W144" si="333">SUM(V137:V143)</f>
        <v>0</v>
      </c>
      <c r="W144" s="81">
        <f t="shared" si="333"/>
        <v>0</v>
      </c>
      <c r="X144" s="81">
        <f t="shared" ref="X144:Y144" si="334">SUM(X137:X143)</f>
        <v>0</v>
      </c>
      <c r="Y144" s="81">
        <f t="shared" si="334"/>
        <v>0</v>
      </c>
      <c r="Z144" s="81">
        <f t="shared" ref="Z144:AA144" si="335">SUM(Z137:Z143)</f>
        <v>0</v>
      </c>
      <c r="AA144" s="81">
        <f t="shared" si="335"/>
        <v>0</v>
      </c>
      <c r="AB144" s="81">
        <f t="shared" ref="AB144:AC144" si="336">SUM(AB137:AB143)</f>
        <v>0</v>
      </c>
      <c r="AC144" s="81">
        <f t="shared" si="336"/>
        <v>0</v>
      </c>
      <c r="AD144" s="81">
        <f t="shared" ref="AD144:AE144" si="337">SUM(AD137:AD143)</f>
        <v>0</v>
      </c>
      <c r="AE144" s="81">
        <f t="shared" si="337"/>
        <v>0</v>
      </c>
      <c r="AF144" s="81">
        <f t="shared" ref="AF144:AG144" si="338">SUM(AF137:AF143)</f>
        <v>0</v>
      </c>
      <c r="AG144" s="81">
        <f t="shared" si="338"/>
        <v>0</v>
      </c>
      <c r="AH144" s="81">
        <f t="shared" ref="AH144:AI144" si="339">SUM(AH137:AH143)</f>
        <v>0</v>
      </c>
      <c r="AI144" s="81">
        <f t="shared" si="339"/>
        <v>0</v>
      </c>
      <c r="AJ144" s="81">
        <f t="shared" ref="AJ144:AK144" si="340">SUM(AJ137:AJ143)</f>
        <v>0</v>
      </c>
      <c r="AK144" s="81">
        <f t="shared" si="340"/>
        <v>0</v>
      </c>
      <c r="AL144" s="81">
        <f t="shared" ref="AL144:AM144" si="341">SUM(AL137:AL143)</f>
        <v>0</v>
      </c>
      <c r="AM144" s="81">
        <f t="shared" si="341"/>
        <v>0</v>
      </c>
      <c r="AN144" s="81">
        <f t="shared" ref="AN144:AO144" si="342">SUM(AN137:AN143)</f>
        <v>0</v>
      </c>
      <c r="AO144" s="81">
        <f t="shared" si="342"/>
        <v>0</v>
      </c>
      <c r="AP144" s="81">
        <f t="shared" ref="AP144:AQ144" si="343">SUM(AP137:AP143)</f>
        <v>0</v>
      </c>
      <c r="AQ144" s="81">
        <f t="shared" si="343"/>
        <v>0</v>
      </c>
      <c r="AR144" s="81">
        <f t="shared" ref="AR144:AS144" si="344">SUM(AR137:AR143)</f>
        <v>0</v>
      </c>
      <c r="AS144" s="81">
        <f t="shared" si="344"/>
        <v>0</v>
      </c>
      <c r="AT144" s="81">
        <f t="shared" ref="AT144:AU144" si="345">SUM(AT137:AT143)</f>
        <v>0</v>
      </c>
      <c r="AU144" s="81">
        <f t="shared" si="345"/>
        <v>0</v>
      </c>
      <c r="AV144" s="81">
        <f t="shared" ref="AV144:AW144" si="346">SUM(AV137:AV143)</f>
        <v>0</v>
      </c>
      <c r="AW144" s="81">
        <f t="shared" si="346"/>
        <v>0</v>
      </c>
      <c r="AX144" s="81">
        <f t="shared" ref="AX144:AY144" si="347">SUM(AX137:AX143)</f>
        <v>0</v>
      </c>
      <c r="AY144" s="81">
        <f t="shared" si="347"/>
        <v>0</v>
      </c>
      <c r="AZ144" s="81">
        <f t="shared" ref="AZ144:BA144" si="348">SUM(AZ137:AZ143)</f>
        <v>0</v>
      </c>
      <c r="BA144" s="81">
        <f t="shared" si="348"/>
        <v>0</v>
      </c>
      <c r="BB144" s="81">
        <f t="shared" ref="BB144" si="349">SUM(BB137:BB143)</f>
        <v>0</v>
      </c>
      <c r="BC144" s="81"/>
      <c r="BD144" s="82">
        <f>SUM(G144:BC144)</f>
        <v>-211849999.99999997</v>
      </c>
    </row>
    <row r="145" spans="1:56" x14ac:dyDescent="0.3">
      <c r="A145" s="10"/>
      <c r="G145" s="55"/>
      <c r="H145" s="55"/>
      <c r="I145" s="55"/>
      <c r="J145" s="55"/>
      <c r="K145" s="55"/>
      <c r="L145" s="55"/>
      <c r="M145" s="55"/>
      <c r="N145" s="55"/>
      <c r="O145" s="55"/>
      <c r="P145" s="55"/>
      <c r="Q145" s="55"/>
      <c r="R145" s="55"/>
      <c r="S145" s="55"/>
      <c r="T145" s="55"/>
      <c r="U145" s="55"/>
      <c r="V145" s="55"/>
      <c r="W145" s="55"/>
      <c r="X145" s="55"/>
      <c r="Y145" s="55"/>
      <c r="Z145" s="55"/>
      <c r="AA145" s="55"/>
      <c r="AB145" s="55"/>
      <c r="AC145" s="55"/>
      <c r="AD145" s="55"/>
      <c r="AE145" s="55"/>
      <c r="AF145" s="55"/>
      <c r="AG145" s="55"/>
      <c r="AH145" s="55"/>
      <c r="AI145" s="55"/>
      <c r="AJ145" s="55"/>
      <c r="AK145" s="55"/>
      <c r="AL145" s="55"/>
      <c r="AM145" s="55"/>
      <c r="AN145" s="55"/>
      <c r="AO145" s="55"/>
      <c r="AP145" s="55"/>
      <c r="AQ145" s="55"/>
      <c r="AR145" s="55"/>
      <c r="AS145" s="55"/>
      <c r="AT145" s="55"/>
      <c r="AU145" s="55"/>
      <c r="AV145" s="55"/>
      <c r="AW145" s="55"/>
      <c r="AX145" s="55"/>
      <c r="AY145" s="55"/>
      <c r="AZ145" s="55"/>
      <c r="BA145" s="55"/>
      <c r="BB145" s="55"/>
      <c r="BC145" s="55"/>
      <c r="BD145" s="57"/>
    </row>
    <row r="146" spans="1:56" x14ac:dyDescent="0.3">
      <c r="A146" s="35" t="str">
        <f ca="1">Language!A1258</f>
        <v>Поступления собственного капитала</v>
      </c>
      <c r="C146" s="48" t="str">
        <f ca="1">Параметры!$C$64</f>
        <v>руб.</v>
      </c>
      <c r="E146" s="6" t="s">
        <v>1481</v>
      </c>
      <c r="F146" s="6" t="s">
        <v>740</v>
      </c>
      <c r="G146" s="55">
        <f>Проект!G1177/Параметры!G$64</f>
        <v>0</v>
      </c>
      <c r="H146" s="55">
        <f>Проект!H1177/Параметры!H$64</f>
        <v>0</v>
      </c>
      <c r="I146" s="55">
        <f>Проект!I1177/Параметры!I$64</f>
        <v>0</v>
      </c>
      <c r="J146" s="55">
        <f>Проект!J1177/Параметры!J$64</f>
        <v>0</v>
      </c>
      <c r="K146" s="55">
        <f>Проект!K1177/Параметры!K$64</f>
        <v>0</v>
      </c>
      <c r="L146" s="55">
        <f>Проект!L1177/Параметры!L$64</f>
        <v>0</v>
      </c>
      <c r="M146" s="55">
        <f>Проект!M1177/Параметры!M$64</f>
        <v>0</v>
      </c>
      <c r="N146" s="55">
        <f>Проект!N1177/Параметры!N$64</f>
        <v>0</v>
      </c>
      <c r="O146" s="55">
        <f>Проект!O1177/Параметры!O$64</f>
        <v>0</v>
      </c>
      <c r="P146" s="55">
        <f>Проект!P1177/Параметры!P$64</f>
        <v>0</v>
      </c>
      <c r="Q146" s="55">
        <f>Проект!Q1177/Параметры!Q$64</f>
        <v>0</v>
      </c>
      <c r="R146" s="55">
        <f>Проект!R1177/Параметры!R$64</f>
        <v>0</v>
      </c>
      <c r="S146" s="55">
        <f>Проект!S1177/Параметры!S$64</f>
        <v>0</v>
      </c>
      <c r="T146" s="55">
        <f>Проект!T1177/Параметры!T$64</f>
        <v>0</v>
      </c>
      <c r="U146" s="55">
        <f>Проект!U1177/Параметры!U$64</f>
        <v>0</v>
      </c>
      <c r="V146" s="55">
        <f>Проект!V1177/Параметры!V$64</f>
        <v>0</v>
      </c>
      <c r="W146" s="55">
        <f>Проект!W1177/Параметры!W$64</f>
        <v>0</v>
      </c>
      <c r="X146" s="55">
        <f>Проект!X1177/Параметры!X$64</f>
        <v>0</v>
      </c>
      <c r="Y146" s="55">
        <f>Проект!Y1177/Параметры!Y$64</f>
        <v>0</v>
      </c>
      <c r="Z146" s="55">
        <f>Проект!Z1177/Параметры!Z$64</f>
        <v>0</v>
      </c>
      <c r="AA146" s="55">
        <f>Проект!AA1177/Параметры!AA$64</f>
        <v>0</v>
      </c>
      <c r="AB146" s="55">
        <f>Проект!AB1177/Параметры!AB$64</f>
        <v>0</v>
      </c>
      <c r="AC146" s="55">
        <f>Проект!AC1177/Параметры!AC$64</f>
        <v>0</v>
      </c>
      <c r="AD146" s="55">
        <f>Проект!AD1177/Параметры!AD$64</f>
        <v>0</v>
      </c>
      <c r="AE146" s="55">
        <f>Проект!AE1177/Параметры!AE$64</f>
        <v>0</v>
      </c>
      <c r="AF146" s="55">
        <f>Проект!AF1177/Параметры!AF$64</f>
        <v>0</v>
      </c>
      <c r="AG146" s="55">
        <f>Проект!AG1177/Параметры!AG$64</f>
        <v>0</v>
      </c>
      <c r="AH146" s="55">
        <f>Проект!AH1177/Параметры!AH$64</f>
        <v>0</v>
      </c>
      <c r="AI146" s="55">
        <f>Проект!AI1177/Параметры!AI$64</f>
        <v>0</v>
      </c>
      <c r="AJ146" s="55">
        <f>Проект!AJ1177/Параметры!AJ$64</f>
        <v>0</v>
      </c>
      <c r="AK146" s="55">
        <f>Проект!AK1177/Параметры!AK$64</f>
        <v>0</v>
      </c>
      <c r="AL146" s="55">
        <f>Проект!AL1177/Параметры!AL$64</f>
        <v>0</v>
      </c>
      <c r="AM146" s="55">
        <f>Проект!AM1177/Параметры!AM$64</f>
        <v>0</v>
      </c>
      <c r="AN146" s="55">
        <f>Проект!AN1177/Параметры!AN$64</f>
        <v>0</v>
      </c>
      <c r="AO146" s="55">
        <f>Проект!AO1177/Параметры!AO$64</f>
        <v>0</v>
      </c>
      <c r="AP146" s="55">
        <f>Проект!AP1177/Параметры!AP$64</f>
        <v>0</v>
      </c>
      <c r="AQ146" s="55">
        <f>Проект!AQ1177/Параметры!AQ$64</f>
        <v>0</v>
      </c>
      <c r="AR146" s="55">
        <f>Проект!AR1177/Параметры!AR$64</f>
        <v>0</v>
      </c>
      <c r="AS146" s="55">
        <f>Проект!AS1177/Параметры!AS$64</f>
        <v>0</v>
      </c>
      <c r="AT146" s="55">
        <f>Проект!AT1177/Параметры!AT$64</f>
        <v>0</v>
      </c>
      <c r="AU146" s="55">
        <f>Проект!AU1177/Параметры!AU$64</f>
        <v>0</v>
      </c>
      <c r="AV146" s="55">
        <f>Проект!AV1177/Параметры!AV$64</f>
        <v>0</v>
      </c>
      <c r="AW146" s="55">
        <f>Проект!AW1177/Параметры!AW$64</f>
        <v>0</v>
      </c>
      <c r="AX146" s="55">
        <f>Проект!AX1177/Параметры!AX$64</f>
        <v>0</v>
      </c>
      <c r="AY146" s="55">
        <f>Проект!AY1177/Параметры!AY$64</f>
        <v>0</v>
      </c>
      <c r="AZ146" s="55">
        <f>Проект!AZ1177/Параметры!AZ$64</f>
        <v>0</v>
      </c>
      <c r="BA146" s="55">
        <f>Проект!BA1177/Параметры!BA$64</f>
        <v>0</v>
      </c>
      <c r="BB146" s="55">
        <f>Проект!BB1177/Параметры!BB$64</f>
        <v>0</v>
      </c>
      <c r="BC146" s="55"/>
      <c r="BD146" s="57">
        <f>SUM(G146:BC146)</f>
        <v>0</v>
      </c>
    </row>
    <row r="147" spans="1:56" x14ac:dyDescent="0.3">
      <c r="A147" s="35" t="str">
        <f ca="1">Language!A1259</f>
        <v>Поступления кредитов</v>
      </c>
      <c r="C147" s="48" t="str">
        <f ca="1">Параметры!$C$64</f>
        <v>руб.</v>
      </c>
      <c r="E147" s="6" t="s">
        <v>1482</v>
      </c>
      <c r="F147" s="6" t="s">
        <v>740</v>
      </c>
      <c r="G147" s="55">
        <f>Проект!G1249/Параметры!G$64</f>
        <v>211850001</v>
      </c>
      <c r="H147" s="55">
        <f>Проект!H1249/Параметры!H$64</f>
        <v>0</v>
      </c>
      <c r="I147" s="55">
        <f>Проект!I1249/Параметры!I$64</f>
        <v>0</v>
      </c>
      <c r="J147" s="55">
        <f>Проект!J1249/Параметры!J$64</f>
        <v>0</v>
      </c>
      <c r="K147" s="55">
        <f>Проект!K1249/Параметры!K$64</f>
        <v>0</v>
      </c>
      <c r="L147" s="55">
        <f>Проект!L1249/Параметры!L$64</f>
        <v>0</v>
      </c>
      <c r="M147" s="55">
        <f>Проект!M1249/Параметры!M$64</f>
        <v>0</v>
      </c>
      <c r="N147" s="55">
        <f>Проект!N1249/Параметры!N$64</f>
        <v>0</v>
      </c>
      <c r="O147" s="55">
        <f>Проект!O1249/Параметры!O$64</f>
        <v>0</v>
      </c>
      <c r="P147" s="55">
        <f>Проект!P1249/Параметры!P$64</f>
        <v>0</v>
      </c>
      <c r="Q147" s="55">
        <f>Проект!Q1249/Параметры!Q$64</f>
        <v>0</v>
      </c>
      <c r="R147" s="55">
        <f>Проект!R1249/Параметры!R$64</f>
        <v>0</v>
      </c>
      <c r="S147" s="55">
        <f>Проект!S1249/Параметры!S$64</f>
        <v>0</v>
      </c>
      <c r="T147" s="55">
        <f>Проект!T1249/Параметры!T$64</f>
        <v>0</v>
      </c>
      <c r="U147" s="55">
        <f>Проект!U1249/Параметры!U$64</f>
        <v>0</v>
      </c>
      <c r="V147" s="55">
        <f>Проект!V1249/Параметры!V$64</f>
        <v>0</v>
      </c>
      <c r="W147" s="55">
        <f>Проект!W1249/Параметры!W$64</f>
        <v>0</v>
      </c>
      <c r="X147" s="55">
        <f>Проект!X1249/Параметры!X$64</f>
        <v>0</v>
      </c>
      <c r="Y147" s="55">
        <f>Проект!Y1249/Параметры!Y$64</f>
        <v>0</v>
      </c>
      <c r="Z147" s="55">
        <f>Проект!Z1249/Параметры!Z$64</f>
        <v>0</v>
      </c>
      <c r="AA147" s="55">
        <f>Проект!AA1249/Параметры!AA$64</f>
        <v>0</v>
      </c>
      <c r="AB147" s="55">
        <f>Проект!AB1249/Параметры!AB$64</f>
        <v>0</v>
      </c>
      <c r="AC147" s="55">
        <f>Проект!AC1249/Параметры!AC$64</f>
        <v>0</v>
      </c>
      <c r="AD147" s="55">
        <f>Проект!AD1249/Параметры!AD$64</f>
        <v>0</v>
      </c>
      <c r="AE147" s="55">
        <f>Проект!AE1249/Параметры!AE$64</f>
        <v>0</v>
      </c>
      <c r="AF147" s="55">
        <f>Проект!AF1249/Параметры!AF$64</f>
        <v>0</v>
      </c>
      <c r="AG147" s="55">
        <f>Проект!AG1249/Параметры!AG$64</f>
        <v>0</v>
      </c>
      <c r="AH147" s="55">
        <f>Проект!AH1249/Параметры!AH$64</f>
        <v>0</v>
      </c>
      <c r="AI147" s="55">
        <f>Проект!AI1249/Параметры!AI$64</f>
        <v>0</v>
      </c>
      <c r="AJ147" s="55">
        <f>Проект!AJ1249/Параметры!AJ$64</f>
        <v>0</v>
      </c>
      <c r="AK147" s="55">
        <f>Проект!AK1249/Параметры!AK$64</f>
        <v>0</v>
      </c>
      <c r="AL147" s="55">
        <f>Проект!AL1249/Параметры!AL$64</f>
        <v>0</v>
      </c>
      <c r="AM147" s="55">
        <f>Проект!AM1249/Параметры!AM$64</f>
        <v>0</v>
      </c>
      <c r="AN147" s="55">
        <f>Проект!AN1249/Параметры!AN$64</f>
        <v>0</v>
      </c>
      <c r="AO147" s="55">
        <f>Проект!AO1249/Параметры!AO$64</f>
        <v>0</v>
      </c>
      <c r="AP147" s="55">
        <f>Проект!AP1249/Параметры!AP$64</f>
        <v>0</v>
      </c>
      <c r="AQ147" s="55">
        <f>Проект!AQ1249/Параметры!AQ$64</f>
        <v>0</v>
      </c>
      <c r="AR147" s="55">
        <f>Проект!AR1249/Параметры!AR$64</f>
        <v>0</v>
      </c>
      <c r="AS147" s="55">
        <f>Проект!AS1249/Параметры!AS$64</f>
        <v>0</v>
      </c>
      <c r="AT147" s="55">
        <f>Проект!AT1249/Параметры!AT$64</f>
        <v>0</v>
      </c>
      <c r="AU147" s="55">
        <f>Проект!AU1249/Параметры!AU$64</f>
        <v>0</v>
      </c>
      <c r="AV147" s="55">
        <f>Проект!AV1249/Параметры!AV$64</f>
        <v>0</v>
      </c>
      <c r="AW147" s="55">
        <f>Проект!AW1249/Параметры!AW$64</f>
        <v>0</v>
      </c>
      <c r="AX147" s="55">
        <f>Проект!AX1249/Параметры!AX$64</f>
        <v>0</v>
      </c>
      <c r="AY147" s="55">
        <f>Проект!AY1249/Параметры!AY$64</f>
        <v>0</v>
      </c>
      <c r="AZ147" s="55">
        <f>Проект!AZ1249/Параметры!AZ$64</f>
        <v>0</v>
      </c>
      <c r="BA147" s="55">
        <f>Проект!BA1249/Параметры!BA$64</f>
        <v>0</v>
      </c>
      <c r="BB147" s="55">
        <f>Проект!BB1249/Параметры!BB$64</f>
        <v>0</v>
      </c>
      <c r="BC147" s="55"/>
      <c r="BD147" s="57">
        <f>SUM(G147:BC147)</f>
        <v>211850001</v>
      </c>
    </row>
    <row r="148" spans="1:56" x14ac:dyDescent="0.3">
      <c r="A148" s="35" t="str">
        <f ca="1">Language!A1260</f>
        <v>Возврат кредитов</v>
      </c>
      <c r="C148" s="48" t="str">
        <f ca="1">Параметры!$C$64</f>
        <v>руб.</v>
      </c>
      <c r="E148" s="6" t="s">
        <v>1483</v>
      </c>
      <c r="F148" s="6" t="s">
        <v>740</v>
      </c>
      <c r="G148" s="55">
        <f>-Проект!G1250/Параметры!G$64</f>
        <v>0</v>
      </c>
      <c r="H148" s="55">
        <f>-Проект!H1250/Параметры!H$64</f>
        <v>0</v>
      </c>
      <c r="I148" s="55">
        <f>-Проект!I1250/Параметры!I$64</f>
        <v>0</v>
      </c>
      <c r="J148" s="55">
        <f>-Проект!J1250/Параметры!J$64</f>
        <v>0</v>
      </c>
      <c r="K148" s="55">
        <f>-Проект!K1250/Параметры!K$64</f>
        <v>0</v>
      </c>
      <c r="L148" s="55">
        <f>-Проект!L1250/Параметры!L$64</f>
        <v>0</v>
      </c>
      <c r="M148" s="55">
        <f>-Проект!M1250/Параметры!M$64</f>
        <v>-1000000</v>
      </c>
      <c r="N148" s="55">
        <f>-Проект!N1250/Параметры!N$64</f>
        <v>-2000000</v>
      </c>
      <c r="O148" s="55">
        <f>-Проект!O1250/Параметры!O$64</f>
        <v>-3000000</v>
      </c>
      <c r="P148" s="55">
        <f>-Проект!P1250/Параметры!P$64</f>
        <v>-3000000</v>
      </c>
      <c r="Q148" s="55">
        <f>-Проект!Q1250/Параметры!Q$64</f>
        <v>-3000000</v>
      </c>
      <c r="R148" s="55">
        <f>-Проект!R1250/Параметры!R$64</f>
        <v>-4000000</v>
      </c>
      <c r="S148" s="55">
        <f>-Проект!S1250/Параметры!S$64</f>
        <v>-4000000</v>
      </c>
      <c r="T148" s="55">
        <f>-Проект!T1250/Параметры!T$64</f>
        <v>-4000000</v>
      </c>
      <c r="U148" s="55">
        <f>-Проект!U1250/Параметры!U$64</f>
        <v>-4000000</v>
      </c>
      <c r="V148" s="55">
        <f>-Проект!V1250/Параметры!V$64</f>
        <v>-5000000</v>
      </c>
      <c r="W148" s="55">
        <f>-Проект!W1250/Параметры!W$64</f>
        <v>-5000000</v>
      </c>
      <c r="X148" s="55">
        <f>-Проект!X1250/Параметры!X$64</f>
        <v>-5000000</v>
      </c>
      <c r="Y148" s="55">
        <f>-Проект!Y1250/Параметры!Y$64</f>
        <v>-8000000</v>
      </c>
      <c r="Z148" s="55">
        <f>-Проект!Z1250/Параметры!Z$64</f>
        <v>-8000000</v>
      </c>
      <c r="AA148" s="55">
        <f>-Проект!AA1250/Параметры!AA$64</f>
        <v>-8000000</v>
      </c>
      <c r="AB148" s="55">
        <f>-Проект!AB1250/Параметры!AB$64</f>
        <v>-8000000</v>
      </c>
      <c r="AC148" s="55">
        <f>-Проект!AC1250/Параметры!AC$64</f>
        <v>-8000000</v>
      </c>
      <c r="AD148" s="55">
        <f>-Проект!AD1250/Параметры!AD$64</f>
        <v>-8000000</v>
      </c>
      <c r="AE148" s="55">
        <f>-Проект!AE1250/Параметры!AE$64</f>
        <v>-8000000</v>
      </c>
      <c r="AF148" s="55">
        <f>-Проект!AF1250/Параметры!AF$64</f>
        <v>-8000000</v>
      </c>
      <c r="AG148" s="55">
        <f>-Проект!AG1250/Параметры!AG$64</f>
        <v>-8000000</v>
      </c>
      <c r="AH148" s="55">
        <f>-Проект!AH1250/Параметры!AH$64</f>
        <v>-8000000</v>
      </c>
      <c r="AI148" s="55">
        <f>-Проект!AI1250/Параметры!AI$64</f>
        <v>-8000000</v>
      </c>
      <c r="AJ148" s="55">
        <f>-Проект!AJ1250/Параметры!AJ$64</f>
        <v>-8000000</v>
      </c>
      <c r="AK148" s="55">
        <f>-Проект!AK1250/Параметры!AK$64</f>
        <v>-8000000</v>
      </c>
      <c r="AL148" s="55">
        <f>-Проект!AL1250/Параметры!AL$64</f>
        <v>-8000000</v>
      </c>
      <c r="AM148" s="55">
        <f>-Проект!AM1250/Параметры!AM$64</f>
        <v>-8000000</v>
      </c>
      <c r="AN148" s="55">
        <f>-Проект!AN1250/Параметры!AN$64</f>
        <v>-8000000</v>
      </c>
      <c r="AO148" s="55">
        <f>-Проект!AO1250/Параметры!AO$64</f>
        <v>-8000000</v>
      </c>
      <c r="AP148" s="55">
        <f>-Проект!AP1250/Параметры!AP$64</f>
        <v>-8000000</v>
      </c>
      <c r="AQ148" s="55">
        <f>-Проект!AQ1250/Параметры!AQ$64</f>
        <v>-8000000</v>
      </c>
      <c r="AR148" s="55">
        <f>-Проект!AR1250/Параметры!AR$64</f>
        <v>-8000000</v>
      </c>
      <c r="AS148" s="55">
        <f>-Проект!AS1250/Параметры!AS$64</f>
        <v>-8000000</v>
      </c>
      <c r="AT148" s="55">
        <f>-Проект!AT1250/Параметры!AT$64</f>
        <v>-8000000</v>
      </c>
      <c r="AU148" s="55">
        <f>-Проект!AU1250/Параметры!AU$64</f>
        <v>-8000000</v>
      </c>
      <c r="AV148" s="55">
        <f>-Проект!AV1250/Параметры!AV$64</f>
        <v>-8000000</v>
      </c>
      <c r="AW148" s="55">
        <f>-Проект!AW1250/Параметры!AW$64</f>
        <v>-8000000</v>
      </c>
      <c r="AX148" s="55">
        <f>-Проект!AX1250/Параметры!AX$64</f>
        <v>-4075001</v>
      </c>
      <c r="AY148" s="55">
        <f>-Проект!AY1250/Параметры!AY$64</f>
        <v>0</v>
      </c>
      <c r="AZ148" s="55">
        <f>-Проект!AZ1250/Параметры!AZ$64</f>
        <v>0</v>
      </c>
      <c r="BA148" s="55">
        <f>-Проект!BA1250/Параметры!BA$64</f>
        <v>0</v>
      </c>
      <c r="BB148" s="55">
        <f>-Проект!BB1250/Параметры!BB$64</f>
        <v>0</v>
      </c>
      <c r="BC148" s="55"/>
      <c r="BD148" s="57">
        <f>SUM(G148:BC148)</f>
        <v>-247075001</v>
      </c>
    </row>
    <row r="149" spans="1:56" x14ac:dyDescent="0.3">
      <c r="A149" s="35" t="str">
        <f ca="1">Language!A1261</f>
        <v>Выплата дивидендов</v>
      </c>
      <c r="C149" s="48" t="str">
        <f ca="1">Параметры!$C$64</f>
        <v>руб.</v>
      </c>
      <c r="E149" s="6" t="s">
        <v>1484</v>
      </c>
      <c r="F149" s="6" t="s">
        <v>740</v>
      </c>
      <c r="G149" s="55">
        <f>-Проект!G1180/Параметры!G$64</f>
        <v>0</v>
      </c>
      <c r="H149" s="55">
        <f>-Проект!H1180/Параметры!H$64</f>
        <v>0</v>
      </c>
      <c r="I149" s="55">
        <f>-Проект!I1180/Параметры!I$64</f>
        <v>0</v>
      </c>
      <c r="J149" s="55">
        <f>-Проект!J1180/Параметры!J$64</f>
        <v>0</v>
      </c>
      <c r="K149" s="55">
        <f>-Проект!K1180/Параметры!K$64</f>
        <v>0</v>
      </c>
      <c r="L149" s="55">
        <f>-Проект!L1180/Параметры!L$64</f>
        <v>0</v>
      </c>
      <c r="M149" s="55">
        <f>-Проект!M1180/Параметры!M$64</f>
        <v>0</v>
      </c>
      <c r="N149" s="55">
        <f>-Проект!N1180/Параметры!N$64</f>
        <v>0</v>
      </c>
      <c r="O149" s="55">
        <f>-Проект!O1180/Параметры!O$64</f>
        <v>0</v>
      </c>
      <c r="P149" s="55">
        <f>-Проект!P1180/Параметры!P$64</f>
        <v>0</v>
      </c>
      <c r="Q149" s="55">
        <f>-Проект!Q1180/Параметры!Q$64</f>
        <v>0</v>
      </c>
      <c r="R149" s="55">
        <f>-Проект!R1180/Параметры!R$64</f>
        <v>0</v>
      </c>
      <c r="S149" s="55">
        <f>-Проект!S1180/Параметры!S$64</f>
        <v>0</v>
      </c>
      <c r="T149" s="55">
        <f>-Проект!T1180/Параметры!T$64</f>
        <v>0</v>
      </c>
      <c r="U149" s="55">
        <f>-Проект!U1180/Параметры!U$64</f>
        <v>0</v>
      </c>
      <c r="V149" s="55">
        <f>-Проект!V1180/Параметры!V$64</f>
        <v>0</v>
      </c>
      <c r="W149" s="55">
        <f>-Проект!W1180/Параметры!W$64</f>
        <v>0</v>
      </c>
      <c r="X149" s="55">
        <f>-Проект!X1180/Параметры!X$64</f>
        <v>0</v>
      </c>
      <c r="Y149" s="55">
        <f>-Проект!Y1180/Параметры!Y$64</f>
        <v>0</v>
      </c>
      <c r="Z149" s="55">
        <f>-Проект!Z1180/Параметры!Z$64</f>
        <v>0</v>
      </c>
      <c r="AA149" s="55">
        <f>-Проект!AA1180/Параметры!AA$64</f>
        <v>0</v>
      </c>
      <c r="AB149" s="55">
        <f>-Проект!AB1180/Параметры!AB$64</f>
        <v>0</v>
      </c>
      <c r="AC149" s="55">
        <f>-Проект!AC1180/Параметры!AC$64</f>
        <v>0</v>
      </c>
      <c r="AD149" s="55">
        <f>-Проект!AD1180/Параметры!AD$64</f>
        <v>0</v>
      </c>
      <c r="AE149" s="55">
        <f>-Проект!AE1180/Параметры!AE$64</f>
        <v>0</v>
      </c>
      <c r="AF149" s="55">
        <f>-Проект!AF1180/Параметры!AF$64</f>
        <v>0</v>
      </c>
      <c r="AG149" s="55">
        <f>-Проект!AG1180/Параметры!AG$64</f>
        <v>0</v>
      </c>
      <c r="AH149" s="55">
        <f>-Проект!AH1180/Параметры!AH$64</f>
        <v>0</v>
      </c>
      <c r="AI149" s="55">
        <f>-Проект!AI1180/Параметры!AI$64</f>
        <v>0</v>
      </c>
      <c r="AJ149" s="55">
        <f>-Проект!AJ1180/Параметры!AJ$64</f>
        <v>0</v>
      </c>
      <c r="AK149" s="55">
        <f>-Проект!AK1180/Параметры!AK$64</f>
        <v>0</v>
      </c>
      <c r="AL149" s="55">
        <f>-Проект!AL1180/Параметры!AL$64</f>
        <v>0</v>
      </c>
      <c r="AM149" s="55">
        <f>-Проект!AM1180/Параметры!AM$64</f>
        <v>0</v>
      </c>
      <c r="AN149" s="55">
        <f>-Проект!AN1180/Параметры!AN$64</f>
        <v>0</v>
      </c>
      <c r="AO149" s="55">
        <f>-Проект!AO1180/Параметры!AO$64</f>
        <v>0</v>
      </c>
      <c r="AP149" s="55">
        <f>-Проект!AP1180/Параметры!AP$64</f>
        <v>0</v>
      </c>
      <c r="AQ149" s="55">
        <f>-Проект!AQ1180/Параметры!AQ$64</f>
        <v>0</v>
      </c>
      <c r="AR149" s="55">
        <f>-Проект!AR1180/Параметры!AR$64</f>
        <v>0</v>
      </c>
      <c r="AS149" s="55">
        <f>-Проект!AS1180/Параметры!AS$64</f>
        <v>0</v>
      </c>
      <c r="AT149" s="55">
        <f>-Проект!AT1180/Параметры!AT$64</f>
        <v>0</v>
      </c>
      <c r="AU149" s="55">
        <f>-Проект!AU1180/Параметры!AU$64</f>
        <v>0</v>
      </c>
      <c r="AV149" s="55">
        <f>-Проект!AV1180/Параметры!AV$64</f>
        <v>0</v>
      </c>
      <c r="AW149" s="55">
        <f>-Проект!AW1180/Параметры!AW$64</f>
        <v>0</v>
      </c>
      <c r="AX149" s="55">
        <f>-Проект!AX1180/Параметры!AX$64</f>
        <v>0</v>
      </c>
      <c r="AY149" s="55">
        <f>-Проект!AY1180/Параметры!AY$64</f>
        <v>0</v>
      </c>
      <c r="AZ149" s="55">
        <f>-Проект!AZ1180/Параметры!AZ$64</f>
        <v>0</v>
      </c>
      <c r="BA149" s="55">
        <f>-Проект!BA1180/Параметры!BA$64</f>
        <v>0</v>
      </c>
      <c r="BB149" s="55">
        <f>-Проект!BB1180/Параметры!BB$64</f>
        <v>0</v>
      </c>
      <c r="BC149" s="55"/>
      <c r="BD149" s="57">
        <f>SUM(G149:BC149)</f>
        <v>0</v>
      </c>
    </row>
    <row r="150" spans="1:56" x14ac:dyDescent="0.3">
      <c r="A150" s="10"/>
      <c r="G150" s="55"/>
      <c r="H150" s="55"/>
      <c r="I150" s="55"/>
      <c r="J150" s="55"/>
      <c r="K150" s="55"/>
      <c r="L150" s="55"/>
      <c r="M150" s="55"/>
      <c r="N150" s="55"/>
      <c r="O150" s="55"/>
      <c r="P150" s="55"/>
      <c r="Q150" s="55"/>
      <c r="R150" s="55"/>
      <c r="S150" s="55"/>
      <c r="T150" s="55"/>
      <c r="U150" s="55"/>
      <c r="V150" s="55"/>
      <c r="W150" s="55"/>
      <c r="X150" s="55"/>
      <c r="Y150" s="55"/>
      <c r="Z150" s="55"/>
      <c r="AA150" s="55"/>
      <c r="AB150" s="55"/>
      <c r="AC150" s="55"/>
      <c r="AD150" s="55"/>
      <c r="AE150" s="55"/>
      <c r="AF150" s="55"/>
      <c r="AG150" s="55"/>
      <c r="AH150" s="55"/>
      <c r="AI150" s="55"/>
      <c r="AJ150" s="55"/>
      <c r="AK150" s="55"/>
      <c r="AL150" s="55"/>
      <c r="AM150" s="55"/>
      <c r="AN150" s="55"/>
      <c r="AO150" s="55"/>
      <c r="AP150" s="55"/>
      <c r="AQ150" s="55"/>
      <c r="AR150" s="55"/>
      <c r="AS150" s="55"/>
      <c r="AT150" s="55"/>
      <c r="AU150" s="55"/>
      <c r="AV150" s="55"/>
      <c r="AW150" s="55"/>
      <c r="AX150" s="55"/>
      <c r="AY150" s="55"/>
      <c r="AZ150" s="55"/>
      <c r="BA150" s="55"/>
      <c r="BB150" s="55"/>
      <c r="BC150" s="55"/>
      <c r="BD150" s="57"/>
    </row>
    <row r="151" spans="1:56" x14ac:dyDescent="0.3">
      <c r="A151" s="43" t="str">
        <f ca="1">Language!A1262</f>
        <v>Денежные потоки от финансовой деятельности</v>
      </c>
      <c r="B151" s="80"/>
      <c r="C151" s="45" t="str">
        <f ca="1">Параметры!$C$64</f>
        <v>руб.</v>
      </c>
      <c r="D151" s="46"/>
      <c r="E151" s="46" t="s">
        <v>1485</v>
      </c>
      <c r="F151" s="46" t="s">
        <v>740</v>
      </c>
      <c r="G151" s="81">
        <f>SUM(G146:G150)</f>
        <v>211850001</v>
      </c>
      <c r="H151" s="81">
        <f t="shared" ref="H151:J151" si="350">SUM(H146:H150)</f>
        <v>0</v>
      </c>
      <c r="I151" s="81">
        <f t="shared" si="350"/>
        <v>0</v>
      </c>
      <c r="J151" s="81">
        <f t="shared" si="350"/>
        <v>0</v>
      </c>
      <c r="K151" s="81">
        <f t="shared" ref="K151" si="351">SUM(K146:K150)</f>
        <v>0</v>
      </c>
      <c r="L151" s="81">
        <f t="shared" ref="L151:M151" si="352">SUM(L146:L150)</f>
        <v>0</v>
      </c>
      <c r="M151" s="81">
        <f t="shared" si="352"/>
        <v>-1000000</v>
      </c>
      <c r="N151" s="81">
        <f t="shared" ref="N151:O151" si="353">SUM(N146:N150)</f>
        <v>-2000000</v>
      </c>
      <c r="O151" s="81">
        <f t="shared" si="353"/>
        <v>-3000000</v>
      </c>
      <c r="P151" s="81">
        <f t="shared" ref="P151:Q151" si="354">SUM(P146:P150)</f>
        <v>-3000000</v>
      </c>
      <c r="Q151" s="81">
        <f t="shared" si="354"/>
        <v>-3000000</v>
      </c>
      <c r="R151" s="81">
        <f t="shared" ref="R151:S151" si="355">SUM(R146:R150)</f>
        <v>-4000000</v>
      </c>
      <c r="S151" s="81">
        <f t="shared" si="355"/>
        <v>-4000000</v>
      </c>
      <c r="T151" s="81">
        <f t="shared" ref="T151:U151" si="356">SUM(T146:T150)</f>
        <v>-4000000</v>
      </c>
      <c r="U151" s="81">
        <f t="shared" si="356"/>
        <v>-4000000</v>
      </c>
      <c r="V151" s="81">
        <f t="shared" ref="V151:W151" si="357">SUM(V146:V150)</f>
        <v>-5000000</v>
      </c>
      <c r="W151" s="81">
        <f t="shared" si="357"/>
        <v>-5000000</v>
      </c>
      <c r="X151" s="81">
        <f t="shared" ref="X151:Y151" si="358">SUM(X146:X150)</f>
        <v>-5000000</v>
      </c>
      <c r="Y151" s="81">
        <f t="shared" si="358"/>
        <v>-8000000</v>
      </c>
      <c r="Z151" s="81">
        <f t="shared" ref="Z151:AA151" si="359">SUM(Z146:Z150)</f>
        <v>-8000000</v>
      </c>
      <c r="AA151" s="81">
        <f t="shared" si="359"/>
        <v>-8000000</v>
      </c>
      <c r="AB151" s="81">
        <f t="shared" ref="AB151:AC151" si="360">SUM(AB146:AB150)</f>
        <v>-8000000</v>
      </c>
      <c r="AC151" s="81">
        <f t="shared" si="360"/>
        <v>-8000000</v>
      </c>
      <c r="AD151" s="81">
        <f t="shared" ref="AD151:AE151" si="361">SUM(AD146:AD150)</f>
        <v>-8000000</v>
      </c>
      <c r="AE151" s="81">
        <f t="shared" si="361"/>
        <v>-8000000</v>
      </c>
      <c r="AF151" s="81">
        <f t="shared" ref="AF151:AG151" si="362">SUM(AF146:AF150)</f>
        <v>-8000000</v>
      </c>
      <c r="AG151" s="81">
        <f t="shared" si="362"/>
        <v>-8000000</v>
      </c>
      <c r="AH151" s="81">
        <f t="shared" ref="AH151:AI151" si="363">SUM(AH146:AH150)</f>
        <v>-8000000</v>
      </c>
      <c r="AI151" s="81">
        <f t="shared" si="363"/>
        <v>-8000000</v>
      </c>
      <c r="AJ151" s="81">
        <f t="shared" ref="AJ151:AK151" si="364">SUM(AJ146:AJ150)</f>
        <v>-8000000</v>
      </c>
      <c r="AK151" s="81">
        <f t="shared" si="364"/>
        <v>-8000000</v>
      </c>
      <c r="AL151" s="81">
        <f t="shared" ref="AL151:AM151" si="365">SUM(AL146:AL150)</f>
        <v>-8000000</v>
      </c>
      <c r="AM151" s="81">
        <f t="shared" si="365"/>
        <v>-8000000</v>
      </c>
      <c r="AN151" s="81">
        <f t="shared" ref="AN151:AO151" si="366">SUM(AN146:AN150)</f>
        <v>-8000000</v>
      </c>
      <c r="AO151" s="81">
        <f t="shared" si="366"/>
        <v>-8000000</v>
      </c>
      <c r="AP151" s="81">
        <f t="shared" ref="AP151:AQ151" si="367">SUM(AP146:AP150)</f>
        <v>-8000000</v>
      </c>
      <c r="AQ151" s="81">
        <f t="shared" si="367"/>
        <v>-8000000</v>
      </c>
      <c r="AR151" s="81">
        <f t="shared" ref="AR151:AS151" si="368">SUM(AR146:AR150)</f>
        <v>-8000000</v>
      </c>
      <c r="AS151" s="81">
        <f t="shared" si="368"/>
        <v>-8000000</v>
      </c>
      <c r="AT151" s="81">
        <f t="shared" ref="AT151:AU151" si="369">SUM(AT146:AT150)</f>
        <v>-8000000</v>
      </c>
      <c r="AU151" s="81">
        <f t="shared" si="369"/>
        <v>-8000000</v>
      </c>
      <c r="AV151" s="81">
        <f t="shared" ref="AV151:AW151" si="370">SUM(AV146:AV150)</f>
        <v>-8000000</v>
      </c>
      <c r="AW151" s="81">
        <f t="shared" si="370"/>
        <v>-8000000</v>
      </c>
      <c r="AX151" s="81">
        <f t="shared" ref="AX151:AY151" si="371">SUM(AX146:AX150)</f>
        <v>-4075001</v>
      </c>
      <c r="AY151" s="81">
        <f t="shared" si="371"/>
        <v>0</v>
      </c>
      <c r="AZ151" s="81">
        <f t="shared" ref="AZ151:BA151" si="372">SUM(AZ146:AZ150)</f>
        <v>0</v>
      </c>
      <c r="BA151" s="81">
        <f t="shared" si="372"/>
        <v>0</v>
      </c>
      <c r="BB151" s="81">
        <f t="shared" ref="BB151" si="373">SUM(BB146:BB150)</f>
        <v>0</v>
      </c>
      <c r="BC151" s="81"/>
      <c r="BD151" s="82">
        <f>SUM(G151:BC151)</f>
        <v>-35225000</v>
      </c>
    </row>
    <row r="152" spans="1:56" x14ac:dyDescent="0.3">
      <c r="A152" s="10"/>
      <c r="G152" s="55"/>
      <c r="H152" s="55"/>
      <c r="I152" s="55"/>
      <c r="J152" s="55"/>
      <c r="K152" s="55"/>
      <c r="L152" s="55"/>
      <c r="M152" s="55"/>
      <c r="N152" s="55"/>
      <c r="O152" s="55"/>
      <c r="P152" s="55"/>
      <c r="Q152" s="55"/>
      <c r="R152" s="55"/>
      <c r="S152" s="55"/>
      <c r="T152" s="55"/>
      <c r="U152" s="55"/>
      <c r="V152" s="55"/>
      <c r="W152" s="55"/>
      <c r="X152" s="55"/>
      <c r="Y152" s="55"/>
      <c r="Z152" s="55"/>
      <c r="AA152" s="55"/>
      <c r="AB152" s="55"/>
      <c r="AC152" s="55"/>
      <c r="AD152" s="55"/>
      <c r="AE152" s="55"/>
      <c r="AF152" s="55"/>
      <c r="AG152" s="55"/>
      <c r="AH152" s="55"/>
      <c r="AI152" s="55"/>
      <c r="AJ152" s="55"/>
      <c r="AK152" s="55"/>
      <c r="AL152" s="55"/>
      <c r="AM152" s="55"/>
      <c r="AN152" s="55"/>
      <c r="AO152" s="55"/>
      <c r="AP152" s="55"/>
      <c r="AQ152" s="55"/>
      <c r="AR152" s="55"/>
      <c r="AS152" s="55"/>
      <c r="AT152" s="55"/>
      <c r="AU152" s="55"/>
      <c r="AV152" s="55"/>
      <c r="AW152" s="55"/>
      <c r="AX152" s="55"/>
      <c r="AY152" s="55"/>
      <c r="AZ152" s="55"/>
      <c r="BA152" s="55"/>
      <c r="BB152" s="55"/>
      <c r="BC152" s="55"/>
      <c r="BD152" s="57"/>
    </row>
    <row r="153" spans="1:56" x14ac:dyDescent="0.3">
      <c r="A153" s="10" t="str">
        <f ca="1">Language!A1263</f>
        <v>Суммарный денежный поток за период</v>
      </c>
      <c r="C153" s="48" t="str">
        <f ca="1">Параметры!$C$64</f>
        <v>руб.</v>
      </c>
      <c r="E153" s="6" t="s">
        <v>1486</v>
      </c>
      <c r="F153" s="6" t="s">
        <v>740</v>
      </c>
      <c r="G153" s="55">
        <f t="shared" ref="G153" ca="1" si="374">SUM(G135,G144,G151)</f>
        <v>211558334</v>
      </c>
      <c r="H153" s="55">
        <f t="shared" ref="H153:J153" ca="1" si="375">SUM(H135,H144,H151)</f>
        <v>-1658333.6666666667</v>
      </c>
      <c r="I153" s="55">
        <f t="shared" ca="1" si="375"/>
        <v>-136658332.66666666</v>
      </c>
      <c r="J153" s="55">
        <f t="shared" ca="1" si="375"/>
        <v>-18391666.666666668</v>
      </c>
      <c r="K153" s="55">
        <f t="shared" ref="K153:M153" ca="1" si="376">SUM(K135,K144,K151)</f>
        <v>-17025000</v>
      </c>
      <c r="L153" s="55">
        <f t="shared" ca="1" si="376"/>
        <v>-18902925.060418263</v>
      </c>
      <c r="M153" s="55">
        <f t="shared" ca="1" si="376"/>
        <v>-8886918.2840950675</v>
      </c>
      <c r="N153" s="55">
        <f t="shared" ref="N153:O153" ca="1" si="377">SUM(N135,N144,N151)</f>
        <v>-8232039.9085776005</v>
      </c>
      <c r="O153" s="55">
        <f t="shared" ca="1" si="377"/>
        <v>-1667267.5623055082</v>
      </c>
      <c r="P153" s="55">
        <f t="shared" ref="P153:Q153" ca="1" si="378">SUM(P135,P144,P151)</f>
        <v>434906.32820575777</v>
      </c>
      <c r="Q153" s="55">
        <f t="shared" ca="1" si="378"/>
        <v>1108238.5607123412</v>
      </c>
      <c r="R153" s="55">
        <f t="shared" ref="R153:S153" ca="1" si="379">SUM(R135,R144,R151)</f>
        <v>-420607.08244144218</v>
      </c>
      <c r="S153" s="55">
        <f t="shared" ca="1" si="379"/>
        <v>2937574.9882602114</v>
      </c>
      <c r="T153" s="55">
        <f t="shared" ref="T153:U153" ca="1" si="380">SUM(T135,T144,T151)</f>
        <v>2994315.8501977511</v>
      </c>
      <c r="U153" s="55">
        <f t="shared" ca="1" si="380"/>
        <v>1311875.8346976452</v>
      </c>
      <c r="V153" s="55">
        <f t="shared" ref="V153:W153" ca="1" si="381">SUM(V135,V144,V151)</f>
        <v>206977.63951924257</v>
      </c>
      <c r="W153" s="55">
        <f t="shared" ca="1" si="381"/>
        <v>-2319192.6863205186</v>
      </c>
      <c r="X153" s="55">
        <f t="shared" ref="X153:Y153" ca="1" si="382">SUM(X135,X144,X151)</f>
        <v>1013434.9063734766</v>
      </c>
      <c r="Y153" s="55">
        <f t="shared" ca="1" si="382"/>
        <v>2703604.8624020945</v>
      </c>
      <c r="Z153" s="55">
        <f t="shared" ref="Z153:AA153" ca="1" si="383">SUM(Z135,Z144,Z151)</f>
        <v>5386960.2132442202</v>
      </c>
      <c r="AA153" s="55">
        <f t="shared" ca="1" si="383"/>
        <v>2021500.2782094367</v>
      </c>
      <c r="AB153" s="55">
        <f t="shared" ref="AB153:AC153" ca="1" si="384">SUM(AB135,AB144,AB151)</f>
        <v>-2415857.3638888802</v>
      </c>
      <c r="AC153" s="55">
        <f t="shared" ca="1" si="384"/>
        <v>-3987167.0828123656</v>
      </c>
      <c r="AD153" s="55">
        <f t="shared" ref="AD153:AE153" ca="1" si="385">SUM(AD135,AD144,AD151)</f>
        <v>-3273309.9415708464</v>
      </c>
      <c r="AE153" s="55">
        <f t="shared" ca="1" si="385"/>
        <v>889154.55437310413</v>
      </c>
      <c r="AF153" s="55">
        <f t="shared" ref="AF153:AG153" ca="1" si="386">SUM(AF135,AF144,AF151)</f>
        <v>1130909.7003961615</v>
      </c>
      <c r="AG153" s="55">
        <f t="shared" ca="1" si="386"/>
        <v>-540098.95463437866</v>
      </c>
      <c r="AH153" s="55">
        <f t="shared" ref="AH153:AI153" ca="1" si="387">SUM(AH135,AH144,AH151)</f>
        <v>-574667.89207660966</v>
      </c>
      <c r="AI153" s="55">
        <f t="shared" ca="1" si="387"/>
        <v>-3240425.3586354423</v>
      </c>
      <c r="AJ153" s="55">
        <f t="shared" ref="AJ153:AK153" ca="1" si="388">SUM(AJ135,AJ144,AJ151)</f>
        <v>283526.89803680312</v>
      </c>
      <c r="AK153" s="55">
        <f t="shared" ca="1" si="388"/>
        <v>5172249.099238934</v>
      </c>
      <c r="AL153" s="55">
        <f t="shared" ref="AL153:AM153" ca="1" si="389">SUM(AL135,AL144,AL151)</f>
        <v>8048136.2061903197</v>
      </c>
      <c r="AM153" s="55">
        <f t="shared" ca="1" si="389"/>
        <v>4556520.3795897495</v>
      </c>
      <c r="AN153" s="55">
        <f t="shared" ref="AN153:AO153" ca="1" si="390">SUM(AN135,AN144,AN151)</f>
        <v>-93692.789339616895</v>
      </c>
      <c r="AO153" s="55">
        <f t="shared" ca="1" si="390"/>
        <v>-1782260.8560498543</v>
      </c>
      <c r="AP153" s="55">
        <f t="shared" ref="AP153:AQ153" ca="1" si="391">SUM(AP135,AP144,AP151)</f>
        <v>-1100235.641295475</v>
      </c>
      <c r="AQ153" s="55">
        <f t="shared" ca="1" si="391"/>
        <v>3275394.4939623885</v>
      </c>
      <c r="AR153" s="55">
        <f t="shared" ref="AR153:AS153" ca="1" si="392">SUM(AR135,AR144,AR151)</f>
        <v>3532247.8433247805</v>
      </c>
      <c r="AS153" s="55">
        <f t="shared" ca="1" si="392"/>
        <v>1789230.9883676264</v>
      </c>
      <c r="AT153" s="55">
        <f t="shared" ref="AT153:AU153" ca="1" si="393">SUM(AT135,AT144,AT151)</f>
        <v>1616520.8728973772</v>
      </c>
      <c r="AU153" s="55">
        <f t="shared" ca="1" si="393"/>
        <v>-1435587.0209467961</v>
      </c>
      <c r="AV153" s="55">
        <f t="shared" ref="AV153:AW153" ca="1" si="394">SUM(AV135,AV144,AV151)</f>
        <v>2050233.175116023</v>
      </c>
      <c r="AW153" s="55">
        <f t="shared" ca="1" si="394"/>
        <v>6973748.8466449548</v>
      </c>
      <c r="AX153" s="55">
        <f t="shared" ref="AX153:AY153" ca="1" si="395">SUM(AX135,AX144,AX151)</f>
        <v>13817185.110178754</v>
      </c>
      <c r="AY153" s="55">
        <f t="shared" ca="1" si="395"/>
        <v>14110779.75453246</v>
      </c>
      <c r="AZ153" s="55">
        <f t="shared" ref="AZ153:BA153" ca="1" si="396">SUM(AZ135,AZ144,AZ151)</f>
        <v>9076107.5616529956</v>
      </c>
      <c r="BA153" s="55">
        <f t="shared" ca="1" si="396"/>
        <v>7094974.6807112303</v>
      </c>
      <c r="BB153" s="55">
        <f t="shared" ref="BB153" ca="1" si="397">SUM(BB135,BB144,BB151)</f>
        <v>8348418.0810810896</v>
      </c>
      <c r="BC153" s="55"/>
      <c r="BD153" s="57">
        <f ca="1">SUM(G153:BC153)</f>
        <v>90837475.22270827</v>
      </c>
    </row>
    <row r="154" spans="1:56" x14ac:dyDescent="0.3">
      <c r="A154" s="10" t="str">
        <f ca="1">Language!A1264</f>
        <v>Денежные средства на начало периода</v>
      </c>
      <c r="C154" s="48" t="str">
        <f ca="1">Параметры!$C$64</f>
        <v>руб.</v>
      </c>
      <c r="E154" s="6" t="s">
        <v>1487</v>
      </c>
      <c r="F154" s="6" t="s">
        <v>744</v>
      </c>
      <c r="G154" s="55">
        <f>IF(G2=1,Старт!B6/Параметры!G$64,F155)</f>
        <v>0</v>
      </c>
      <c r="H154" s="55">
        <f ca="1">IF(H2=1,Старт!C6/Параметры!H$64,G155)</f>
        <v>211558334</v>
      </c>
      <c r="I154" s="55">
        <f ca="1">IF(I2=1,Старт!D6/Параметры!I$64,H155)</f>
        <v>209900000.33333334</v>
      </c>
      <c r="J154" s="55">
        <f ca="1">IF(J2=1,Старт!E6/Параметры!J$64,I155)</f>
        <v>73241667.666666687</v>
      </c>
      <c r="K154" s="55">
        <f ca="1">IF(K2=1,Старт!F6/Параметры!K$64,J155)</f>
        <v>54850001.000000015</v>
      </c>
      <c r="L154" s="55">
        <f ca="1">IF(L2=1,Старт!G6/Параметры!L$64,K155)</f>
        <v>37825001.000000015</v>
      </c>
      <c r="M154" s="55">
        <f ca="1">IF(M2=1,Старт!H6/Параметры!M$64,L155)</f>
        <v>18922075.939581752</v>
      </c>
      <c r="N154" s="55">
        <f ca="1">IF(N2=1,Старт!I6/Параметры!N$64,M155)</f>
        <v>10035157.655486684</v>
      </c>
      <c r="O154" s="55">
        <f ca="1">IF(O2=1,Старт!J6/Параметры!O$64,N155)</f>
        <v>1803117.7469090838</v>
      </c>
      <c r="P154" s="55">
        <f ca="1">IF(P2=1,Старт!K6/Параметры!P$64,O155)</f>
        <v>135850.18460357562</v>
      </c>
      <c r="Q154" s="55">
        <f ca="1">IF(Q2=1,Старт!L6/Параметры!Q$64,P155)</f>
        <v>570756.51280933339</v>
      </c>
      <c r="R154" s="55">
        <f ca="1">IF(R2=1,Старт!M6/Параметры!R$64,Q155)</f>
        <v>1678995.0735216746</v>
      </c>
      <c r="S154" s="55">
        <f ca="1">IF(S2=1,Старт!N6/Параметры!S$64,R155)</f>
        <v>1258387.9910802324</v>
      </c>
      <c r="T154" s="55">
        <f ca="1">IF(T2=1,Старт!O6/Параметры!T$64,S155)</f>
        <v>4195962.9793404434</v>
      </c>
      <c r="U154" s="55">
        <f ca="1">IF(U2=1,Старт!P6/Параметры!U$64,T155)</f>
        <v>7190278.8295381945</v>
      </c>
      <c r="V154" s="55">
        <f ca="1">IF(V2=1,Старт!Q6/Параметры!V$64,U155)</f>
        <v>8502154.6642358396</v>
      </c>
      <c r="W154" s="55">
        <f ca="1">IF(W2=1,Старт!R6/Параметры!W$64,V155)</f>
        <v>8709132.3037550822</v>
      </c>
      <c r="X154" s="55">
        <f ca="1">IF(X2=1,Старт!S6/Параметры!X$64,W155)</f>
        <v>6389939.6174345631</v>
      </c>
      <c r="Y154" s="55">
        <f ca="1">IF(Y2=1,Старт!T6/Параметры!Y$64,X155)</f>
        <v>7403374.5238080397</v>
      </c>
      <c r="Z154" s="55">
        <f ca="1">IF(Z2=1,Старт!U6/Параметры!Z$64,Y155)</f>
        <v>10106979.386210134</v>
      </c>
      <c r="AA154" s="55">
        <f ca="1">IF(AA2=1,Старт!V6/Параметры!AA$64,Z155)</f>
        <v>15493939.599454354</v>
      </c>
      <c r="AB154" s="55">
        <f ca="1">IF(AB2=1,Старт!W6/Параметры!AB$64,AA155)</f>
        <v>17515439.877663791</v>
      </c>
      <c r="AC154" s="55">
        <f ca="1">IF(AC2=1,Старт!X6/Параметры!AC$64,AB155)</f>
        <v>15099582.513774911</v>
      </c>
      <c r="AD154" s="55">
        <f ca="1">IF(AD2=1,Старт!Y6/Параметры!AD$64,AC155)</f>
        <v>11112415.430962546</v>
      </c>
      <c r="AE154" s="55">
        <f ca="1">IF(AE2=1,Старт!Z6/Параметры!AE$64,AD155)</f>
        <v>7839105.4893916994</v>
      </c>
      <c r="AF154" s="55">
        <f ca="1">IF(AF2=1,Старт!AA6/Параметры!AF$64,AE155)</f>
        <v>8728260.0437648036</v>
      </c>
      <c r="AG154" s="55">
        <f ca="1">IF(AG2=1,Старт!AB6/Параметры!AG$64,AF155)</f>
        <v>9859169.7441609651</v>
      </c>
      <c r="AH154" s="55">
        <f ca="1">IF(AH2=1,Старт!AC6/Параметры!AH$64,AG155)</f>
        <v>9319070.7895265855</v>
      </c>
      <c r="AI154" s="55">
        <f ca="1">IF(AI2=1,Старт!AD6/Параметры!AI$64,AH155)</f>
        <v>8744402.8974499758</v>
      </c>
      <c r="AJ154" s="55">
        <f ca="1">IF(AJ2=1,Старт!AE6/Параметры!AJ$64,AI155)</f>
        <v>5503977.5388145335</v>
      </c>
      <c r="AK154" s="55">
        <f ca="1">IF(AK2=1,Старт!AF6/Параметры!AK$64,AJ155)</f>
        <v>5787504.4368513366</v>
      </c>
      <c r="AL154" s="55">
        <f ca="1">IF(AL2=1,Старт!AG6/Параметры!AL$64,AK155)</f>
        <v>10959753.53609027</v>
      </c>
      <c r="AM154" s="55">
        <f ca="1">IF(AM2=1,Старт!AH6/Параметры!AM$64,AL155)</f>
        <v>19007889.742280588</v>
      </c>
      <c r="AN154" s="55">
        <f ca="1">IF(AN2=1,Старт!AI6/Параметры!AN$64,AM155)</f>
        <v>23564410.121870339</v>
      </c>
      <c r="AO154" s="55">
        <f ca="1">IF(AO2=1,Старт!AJ6/Параметры!AO$64,AN155)</f>
        <v>23470717.332530722</v>
      </c>
      <c r="AP154" s="55">
        <f ca="1">IF(AP2=1,Старт!AK6/Параметры!AP$64,AO155)</f>
        <v>21688456.476480868</v>
      </c>
      <c r="AQ154" s="55">
        <f ca="1">IF(AQ2=1,Старт!AL6/Параметры!AQ$64,AP155)</f>
        <v>20588220.835185394</v>
      </c>
      <c r="AR154" s="55">
        <f ca="1">IF(AR2=1,Старт!AM6/Параметры!AR$64,AQ155)</f>
        <v>23863615.329147782</v>
      </c>
      <c r="AS154" s="55">
        <f ca="1">IF(AS2=1,Старт!AN6/Параметры!AS$64,AR155)</f>
        <v>27395863.172472563</v>
      </c>
      <c r="AT154" s="55">
        <f ca="1">IF(AT2=1,Старт!AO6/Параметры!AT$64,AS155)</f>
        <v>29185094.160840191</v>
      </c>
      <c r="AU154" s="55">
        <f ca="1">IF(AU2=1,Старт!AP6/Параметры!AU$64,AT155)</f>
        <v>30801615.03373757</v>
      </c>
      <c r="AV154" s="55">
        <f ca="1">IF(AV2=1,Старт!AQ6/Параметры!AV$64,AU155)</f>
        <v>29366028.012790773</v>
      </c>
      <c r="AW154" s="55">
        <f ca="1">IF(AW2=1,Старт!AR6/Параметры!AW$64,AV155)</f>
        <v>31416261.187906794</v>
      </c>
      <c r="AX154" s="55">
        <f ca="1">IF(AX2=1,Старт!AS6/Параметры!AX$64,AW155)</f>
        <v>38390010.034551747</v>
      </c>
      <c r="AY154" s="55">
        <f ca="1">IF(AY2=1,Старт!AT6/Параметры!AY$64,AX155)</f>
        <v>52207195.144730501</v>
      </c>
      <c r="AZ154" s="55">
        <f ca="1">IF(AZ2=1,Старт!AU6/Параметры!AZ$64,AY155)</f>
        <v>66317974.899262965</v>
      </c>
      <c r="BA154" s="55">
        <f ca="1">IF(BA2=1,Старт!AV6/Параметры!BA$64,AZ155)</f>
        <v>75394082.460915953</v>
      </c>
      <c r="BB154" s="55">
        <f ca="1">IF(BB2=1,Старт!AW6/Параметры!BB$64,BA155)</f>
        <v>82489057.141627178</v>
      </c>
      <c r="BC154" s="55"/>
      <c r="BD154" s="55"/>
    </row>
    <row r="155" spans="1:56" x14ac:dyDescent="0.3">
      <c r="A155" s="10" t="str">
        <f ca="1">Language!A1265</f>
        <v>Денежные средства на конец периода</v>
      </c>
      <c r="C155" s="48" t="str">
        <f ca="1">Параметры!$C$64</f>
        <v>руб.</v>
      </c>
      <c r="E155" s="6" t="s">
        <v>1488</v>
      </c>
      <c r="F155" s="6" t="s">
        <v>741</v>
      </c>
      <c r="G155" s="55">
        <f ca="1">IF(G2=1,SUM(G153:G154)+SUM(Проект!G576,Проект!G582,Проект!G588,Проект!G594,Проект!G600,Проект!G606,Проект!G613,Проект!G619,Проект!G624,Проект!G629)/Параметры!G64,G153+F155*Параметры!F64/Параметры!G64+SUM(Проект!G576,Проект!G582,Проект!G588,Проект!G594,Проект!G600,Проект!G606,Проект!G613,Проект!G619,Проект!G624,Проект!G629)/Параметры!G64)</f>
        <v>211558334</v>
      </c>
      <c r="H155" s="55">
        <f ca="1">IF(H2=1,SUM(H153:H154)+SUM(Проект!H576,Проект!H582,Проект!H588,Проект!H594,Проект!H600,Проект!H606,Проект!H613,Проект!H619,Проект!H624,Проект!H629)/Параметры!H64,H153+G155*Параметры!G64/Параметры!H64+SUM(Проект!H576,Проект!H582,Проект!H588,Проект!H594,Проект!H600,Проект!H606,Проект!H613,Проект!H619,Проект!H624,Проект!H629)/Параметры!H64)</f>
        <v>209900000.33333334</v>
      </c>
      <c r="I155" s="55">
        <f ca="1">IF(I2=1,SUM(I153:I154)+SUM(Проект!I576,Проект!I582,Проект!I588,Проект!I594,Проект!I600,Проект!I606,Проект!I613,Проект!I619,Проект!I624,Проект!I629)/Параметры!I64,I153+H155*Параметры!H64/Параметры!I64+SUM(Проект!I576,Проект!I582,Проект!I588,Проект!I594,Проект!I600,Проект!I606,Проект!I613,Проект!I619,Проект!I624,Проект!I629)/Параметры!I64)</f>
        <v>73241667.666666687</v>
      </c>
      <c r="J155" s="55">
        <f ca="1">IF(J2=1,SUM(J153:J154)+SUM(Проект!J576,Проект!J582,Проект!J588,Проект!J594,Проект!J600,Проект!J606,Проект!J613,Проект!J619,Проект!J624,Проект!J629)/Параметры!J64,J153+I155*Параметры!I64/Параметры!J64+SUM(Проект!J576,Проект!J582,Проект!J588,Проект!J594,Проект!J600,Проект!J606,Проект!J613,Проект!J619,Проект!J624,Проект!J629)/Параметры!J64)</f>
        <v>54850001.000000015</v>
      </c>
      <c r="K155" s="55">
        <f ca="1">IF(K2=1,SUM(K153:K154)+SUM(Проект!K576,Проект!K582,Проект!K588,Проект!K594,Проект!K600,Проект!K606,Проект!K613,Проект!K619,Проект!K624,Проект!K629)/Параметры!K64,K153+J155*Параметры!J64/Параметры!K64+SUM(Проект!K576,Проект!K582,Проект!K588,Проект!K594,Проект!K600,Проект!K606,Проект!K613,Проект!K619,Проект!K624,Проект!K629)/Параметры!K64)</f>
        <v>37825001.000000015</v>
      </c>
      <c r="L155" s="55">
        <f ca="1">IF(L2=1,SUM(L153:L154)+SUM(Проект!L576,Проект!L582,Проект!L588,Проект!L594,Проект!L600,Проект!L606,Проект!L613,Проект!L619,Проект!L624,Проект!L629)/Параметры!L64,L153+K155*Параметры!K64/Параметры!L64+SUM(Проект!L576,Проект!L582,Проект!L588,Проект!L594,Проект!L600,Проект!L606,Проект!L613,Проект!L619,Проект!L624,Проект!L629)/Параметры!L64)</f>
        <v>18922075.939581752</v>
      </c>
      <c r="M155" s="55">
        <f ca="1">IF(M2=1,SUM(M153:M154)+SUM(Проект!M576,Проект!M582,Проект!M588,Проект!M594,Проект!M600,Проект!M606,Проект!M613,Проект!M619,Проект!M624,Проект!M629)/Параметры!M64,M153+L155*Параметры!L64/Параметры!M64+SUM(Проект!M576,Проект!M582,Проект!M588,Проект!M594,Проект!M600,Проект!M606,Проект!M613,Проект!M619,Проект!M624,Проект!M629)/Параметры!M64)</f>
        <v>10035157.655486684</v>
      </c>
      <c r="N155" s="55">
        <f ca="1">IF(N2=1,SUM(N153:N154)+SUM(Проект!N576,Проект!N582,Проект!N588,Проект!N594,Проект!N600,Проект!N606,Проект!N613,Проект!N619,Проект!N624,Проект!N629)/Параметры!N64,N153+M155*Параметры!M64/Параметры!N64+SUM(Проект!N576,Проект!N582,Проект!N588,Проект!N594,Проект!N600,Проект!N606,Проект!N613,Проект!N619,Проект!N624,Проект!N629)/Параметры!N64)</f>
        <v>1803117.7469090838</v>
      </c>
      <c r="O155" s="55">
        <f ca="1">IF(O2=1,SUM(O153:O154)+SUM(Проект!O576,Проект!O582,Проект!O588,Проект!O594,Проект!O600,Проект!O606,Проект!O613,Проект!O619,Проект!O624,Проект!O629)/Параметры!O64,O153+N155*Параметры!N64/Параметры!O64+SUM(Проект!O576,Проект!O582,Проект!O588,Проект!O594,Проект!O600,Проект!O606,Проект!O613,Проект!O619,Проект!O624,Проект!O629)/Параметры!O64)</f>
        <v>135850.18460357562</v>
      </c>
      <c r="P155" s="55">
        <f ca="1">IF(P2=1,SUM(P153:P154)+SUM(Проект!P576,Проект!P582,Проект!P588,Проект!P594,Проект!P600,Проект!P606,Проект!P613,Проект!P619,Проект!P624,Проект!P629)/Параметры!P64,P153+O155*Параметры!O64/Параметры!P64+SUM(Проект!P576,Проект!P582,Проект!P588,Проект!P594,Проект!P600,Проект!P606,Проект!P613,Проект!P619,Проект!P624,Проект!P629)/Параметры!P64)</f>
        <v>570756.51280933339</v>
      </c>
      <c r="Q155" s="55">
        <f ca="1">IF(Q2=1,SUM(Q153:Q154)+SUM(Проект!Q576,Проект!Q582,Проект!Q588,Проект!Q594,Проект!Q600,Проект!Q606,Проект!Q613,Проект!Q619,Проект!Q624,Проект!Q629)/Параметры!Q64,Q153+P155*Параметры!P64/Параметры!Q64+SUM(Проект!Q576,Проект!Q582,Проект!Q588,Проект!Q594,Проект!Q600,Проект!Q606,Проект!Q613,Проект!Q619,Проект!Q624,Проект!Q629)/Параметры!Q64)</f>
        <v>1678995.0735216746</v>
      </c>
      <c r="R155" s="55">
        <f ca="1">IF(R2=1,SUM(R153:R154)+SUM(Проект!R576,Проект!R582,Проект!R588,Проект!R594,Проект!R600,Проект!R606,Проект!R613,Проект!R619,Проект!R624,Проект!R629)/Параметры!R64,R153+Q155*Параметры!Q64/Параметры!R64+SUM(Проект!R576,Проект!R582,Проект!R588,Проект!R594,Проект!R600,Проект!R606,Проект!R613,Проект!R619,Проект!R624,Проект!R629)/Параметры!R64)</f>
        <v>1258387.9910802324</v>
      </c>
      <c r="S155" s="55">
        <f ca="1">IF(S2=1,SUM(S153:S154)+SUM(Проект!S576,Проект!S582,Проект!S588,Проект!S594,Проект!S600,Проект!S606,Проект!S613,Проект!S619,Проект!S624,Проект!S629)/Параметры!S64,S153+R155*Параметры!R64/Параметры!S64+SUM(Проект!S576,Проект!S582,Проект!S588,Проект!S594,Проект!S600,Проект!S606,Проект!S613,Проект!S619,Проект!S624,Проект!S629)/Параметры!S64)</f>
        <v>4195962.9793404434</v>
      </c>
      <c r="T155" s="55">
        <f ca="1">IF(T2=1,SUM(T153:T154)+SUM(Проект!T576,Проект!T582,Проект!T588,Проект!T594,Проект!T600,Проект!T606,Проект!T613,Проект!T619,Проект!T624,Проект!T629)/Параметры!T64,T153+S155*Параметры!S64/Параметры!T64+SUM(Проект!T576,Проект!T582,Проект!T588,Проект!T594,Проект!T600,Проект!T606,Проект!T613,Проект!T619,Проект!T624,Проект!T629)/Параметры!T64)</f>
        <v>7190278.8295381945</v>
      </c>
      <c r="U155" s="55">
        <f ca="1">IF(U2=1,SUM(U153:U154)+SUM(Проект!U576,Проект!U582,Проект!U588,Проект!U594,Проект!U600,Проект!U606,Проект!U613,Проект!U619,Проект!U624,Проект!U629)/Параметры!U64,U153+T155*Параметры!T64/Параметры!U64+SUM(Проект!U576,Проект!U582,Проект!U588,Проект!U594,Проект!U600,Проект!U606,Проект!U613,Проект!U619,Проект!U624,Проект!U629)/Параметры!U64)</f>
        <v>8502154.6642358396</v>
      </c>
      <c r="V155" s="55">
        <f ca="1">IF(V2=1,SUM(V153:V154)+SUM(Проект!V576,Проект!V582,Проект!V588,Проект!V594,Проект!V600,Проект!V606,Проект!V613,Проект!V619,Проект!V624,Проект!V629)/Параметры!V64,V153+U155*Параметры!U64/Параметры!V64+SUM(Проект!V576,Проект!V582,Проект!V588,Проект!V594,Проект!V600,Проект!V606,Проект!V613,Проект!V619,Проект!V624,Проект!V629)/Параметры!V64)</f>
        <v>8709132.3037550822</v>
      </c>
      <c r="W155" s="55">
        <f ca="1">IF(W2=1,SUM(W153:W154)+SUM(Проект!W576,Проект!W582,Проект!W588,Проект!W594,Проект!W600,Проект!W606,Проект!W613,Проект!W619,Проект!W624,Проект!W629)/Параметры!W64,W153+V155*Параметры!V64/Параметры!W64+SUM(Проект!W576,Проект!W582,Проект!W588,Проект!W594,Проект!W600,Проект!W606,Проект!W613,Проект!W619,Проект!W624,Проект!W629)/Параметры!W64)</f>
        <v>6389939.6174345631</v>
      </c>
      <c r="X155" s="55">
        <f ca="1">IF(X2=1,SUM(X153:X154)+SUM(Проект!X576,Проект!X582,Проект!X588,Проект!X594,Проект!X600,Проект!X606,Проект!X613,Проект!X619,Проект!X624,Проект!X629)/Параметры!X64,X153+W155*Параметры!W64/Параметры!X64+SUM(Проект!X576,Проект!X582,Проект!X588,Проект!X594,Проект!X600,Проект!X606,Проект!X613,Проект!X619,Проект!X624,Проект!X629)/Параметры!X64)</f>
        <v>7403374.5238080397</v>
      </c>
      <c r="Y155" s="55">
        <f ca="1">IF(Y2=1,SUM(Y153:Y154)+SUM(Проект!Y576,Проект!Y582,Проект!Y588,Проект!Y594,Проект!Y600,Проект!Y606,Проект!Y613,Проект!Y619,Проект!Y624,Проект!Y629)/Параметры!Y64,Y153+X155*Параметры!X64/Параметры!Y64+SUM(Проект!Y576,Проект!Y582,Проект!Y588,Проект!Y594,Проект!Y600,Проект!Y606,Проект!Y613,Проект!Y619,Проект!Y624,Проект!Y629)/Параметры!Y64)</f>
        <v>10106979.386210134</v>
      </c>
      <c r="Z155" s="55">
        <f ca="1">IF(Z2=1,SUM(Z153:Z154)+SUM(Проект!Z576,Проект!Z582,Проект!Z588,Проект!Z594,Проект!Z600,Проект!Z606,Проект!Z613,Проект!Z619,Проект!Z624,Проект!Z629)/Параметры!Z64,Z153+Y155*Параметры!Y64/Параметры!Z64+SUM(Проект!Z576,Проект!Z582,Проект!Z588,Проект!Z594,Проект!Z600,Проект!Z606,Проект!Z613,Проект!Z619,Проект!Z624,Проект!Z629)/Параметры!Z64)</f>
        <v>15493939.599454354</v>
      </c>
      <c r="AA155" s="55">
        <f ca="1">IF(AA2=1,SUM(AA153:AA154)+SUM(Проект!AA576,Проект!AA582,Проект!AA588,Проект!AA594,Проект!AA600,Проект!AA606,Проект!AA613,Проект!AA619,Проект!AA624,Проект!AA629)/Параметры!AA64,AA153+Z155*Параметры!Z64/Параметры!AA64+SUM(Проект!AA576,Проект!AA582,Проект!AA588,Проект!AA594,Проект!AA600,Проект!AA606,Проект!AA613,Проект!AA619,Проект!AA624,Проект!AA629)/Параметры!AA64)</f>
        <v>17515439.877663791</v>
      </c>
      <c r="AB155" s="55">
        <f ca="1">IF(AB2=1,SUM(AB153:AB154)+SUM(Проект!AB576,Проект!AB582,Проект!AB588,Проект!AB594,Проект!AB600,Проект!AB606,Проект!AB613,Проект!AB619,Проект!AB624,Проект!AB629)/Параметры!AB64,AB153+AA155*Параметры!AA64/Параметры!AB64+SUM(Проект!AB576,Проект!AB582,Проект!AB588,Проект!AB594,Проект!AB600,Проект!AB606,Проект!AB613,Проект!AB619,Проект!AB624,Проект!AB629)/Параметры!AB64)</f>
        <v>15099582.513774911</v>
      </c>
      <c r="AC155" s="55">
        <f ca="1">IF(AC2=1,SUM(AC153:AC154)+SUM(Проект!AC576,Проект!AC582,Проект!AC588,Проект!AC594,Проект!AC600,Проект!AC606,Проект!AC613,Проект!AC619,Проект!AC624,Проект!AC629)/Параметры!AC64,AC153+AB155*Параметры!AB64/Параметры!AC64+SUM(Проект!AC576,Проект!AC582,Проект!AC588,Проект!AC594,Проект!AC600,Проект!AC606,Проект!AC613,Проект!AC619,Проект!AC624,Проект!AC629)/Параметры!AC64)</f>
        <v>11112415.430962546</v>
      </c>
      <c r="AD155" s="55">
        <f ca="1">IF(AD2=1,SUM(AD153:AD154)+SUM(Проект!AD576,Проект!AD582,Проект!AD588,Проект!AD594,Проект!AD600,Проект!AD606,Проект!AD613,Проект!AD619,Проект!AD624,Проект!AD629)/Параметры!AD64,AD153+AC155*Параметры!AC64/Параметры!AD64+SUM(Проект!AD576,Проект!AD582,Проект!AD588,Проект!AD594,Проект!AD600,Проект!AD606,Проект!AD613,Проект!AD619,Проект!AD624,Проект!AD629)/Параметры!AD64)</f>
        <v>7839105.4893916994</v>
      </c>
      <c r="AE155" s="55">
        <f ca="1">IF(AE2=1,SUM(AE153:AE154)+SUM(Проект!AE576,Проект!AE582,Проект!AE588,Проект!AE594,Проект!AE600,Проект!AE606,Проект!AE613,Проект!AE619,Проект!AE624,Проект!AE629)/Параметры!AE64,AE153+AD155*Параметры!AD64/Параметры!AE64+SUM(Проект!AE576,Проект!AE582,Проект!AE588,Проект!AE594,Проект!AE600,Проект!AE606,Проект!AE613,Проект!AE619,Проект!AE624,Проект!AE629)/Параметры!AE64)</f>
        <v>8728260.0437648036</v>
      </c>
      <c r="AF155" s="55">
        <f ca="1">IF(AF2=1,SUM(AF153:AF154)+SUM(Проект!AF576,Проект!AF582,Проект!AF588,Проект!AF594,Проект!AF600,Проект!AF606,Проект!AF613,Проект!AF619,Проект!AF624,Проект!AF629)/Параметры!AF64,AF153+AE155*Параметры!AE64/Параметры!AF64+SUM(Проект!AF576,Проект!AF582,Проект!AF588,Проект!AF594,Проект!AF600,Проект!AF606,Проект!AF613,Проект!AF619,Проект!AF624,Проект!AF629)/Параметры!AF64)</f>
        <v>9859169.7441609651</v>
      </c>
      <c r="AG155" s="55">
        <f ca="1">IF(AG2=1,SUM(AG153:AG154)+SUM(Проект!AG576,Проект!AG582,Проект!AG588,Проект!AG594,Проект!AG600,Проект!AG606,Проект!AG613,Проект!AG619,Проект!AG624,Проект!AG629)/Параметры!AG64,AG153+AF155*Параметры!AF64/Параметры!AG64+SUM(Проект!AG576,Проект!AG582,Проект!AG588,Проект!AG594,Проект!AG600,Проект!AG606,Проект!AG613,Проект!AG619,Проект!AG624,Проект!AG629)/Параметры!AG64)</f>
        <v>9319070.7895265855</v>
      </c>
      <c r="AH155" s="55">
        <f ca="1">IF(AH2=1,SUM(AH153:AH154)+SUM(Проект!AH576,Проект!AH582,Проект!AH588,Проект!AH594,Проект!AH600,Проект!AH606,Проект!AH613,Проект!AH619,Проект!AH624,Проект!AH629)/Параметры!AH64,AH153+AG155*Параметры!AG64/Параметры!AH64+SUM(Проект!AH576,Проект!AH582,Проект!AH588,Проект!AH594,Проект!AH600,Проект!AH606,Проект!AH613,Проект!AH619,Проект!AH624,Проект!AH629)/Параметры!AH64)</f>
        <v>8744402.8974499758</v>
      </c>
      <c r="AI155" s="55">
        <f ca="1">IF(AI2=1,SUM(AI153:AI154)+SUM(Проект!AI576,Проект!AI582,Проект!AI588,Проект!AI594,Проект!AI600,Проект!AI606,Проект!AI613,Проект!AI619,Проект!AI624,Проект!AI629)/Параметры!AI64,AI153+AH155*Параметры!AH64/Параметры!AI64+SUM(Проект!AI576,Проект!AI582,Проект!AI588,Проект!AI594,Проект!AI600,Проект!AI606,Проект!AI613,Проект!AI619,Проект!AI624,Проект!AI629)/Параметры!AI64)</f>
        <v>5503977.5388145335</v>
      </c>
      <c r="AJ155" s="55">
        <f ca="1">IF(AJ2=1,SUM(AJ153:AJ154)+SUM(Проект!AJ576,Проект!AJ582,Проект!AJ588,Проект!AJ594,Проект!AJ600,Проект!AJ606,Проект!AJ613,Проект!AJ619,Проект!AJ624,Проект!AJ629)/Параметры!AJ64,AJ153+AI155*Параметры!AI64/Параметры!AJ64+SUM(Проект!AJ576,Проект!AJ582,Проект!AJ588,Проект!AJ594,Проект!AJ600,Проект!AJ606,Проект!AJ613,Проект!AJ619,Проект!AJ624,Проект!AJ629)/Параметры!AJ64)</f>
        <v>5787504.4368513366</v>
      </c>
      <c r="AK155" s="55">
        <f ca="1">IF(AK2=1,SUM(AK153:AK154)+SUM(Проект!AK576,Проект!AK582,Проект!AK588,Проект!AK594,Проект!AK600,Проект!AK606,Проект!AK613,Проект!AK619,Проект!AK624,Проект!AK629)/Параметры!AK64,AK153+AJ155*Параметры!AJ64/Параметры!AK64+SUM(Проект!AK576,Проект!AK582,Проект!AK588,Проект!AK594,Проект!AK600,Проект!AK606,Проект!AK613,Проект!AK619,Проект!AK624,Проект!AK629)/Параметры!AK64)</f>
        <v>10959753.53609027</v>
      </c>
      <c r="AL155" s="55">
        <f ca="1">IF(AL2=1,SUM(AL153:AL154)+SUM(Проект!AL576,Проект!AL582,Проект!AL588,Проект!AL594,Проект!AL600,Проект!AL606,Проект!AL613,Проект!AL619,Проект!AL624,Проект!AL629)/Параметры!AL64,AL153+AK155*Параметры!AK64/Параметры!AL64+SUM(Проект!AL576,Проект!AL582,Проект!AL588,Проект!AL594,Проект!AL600,Проект!AL606,Проект!AL613,Проект!AL619,Проект!AL624,Проект!AL629)/Параметры!AL64)</f>
        <v>19007889.742280588</v>
      </c>
      <c r="AM155" s="55">
        <f ca="1">IF(AM2=1,SUM(AM153:AM154)+SUM(Проект!AM576,Проект!AM582,Проект!AM588,Проект!AM594,Проект!AM600,Проект!AM606,Проект!AM613,Проект!AM619,Проект!AM624,Проект!AM629)/Параметры!AM64,AM153+AL155*Параметры!AL64/Параметры!AM64+SUM(Проект!AM576,Проект!AM582,Проект!AM588,Проект!AM594,Проект!AM600,Проект!AM606,Проект!AM613,Проект!AM619,Проект!AM624,Проект!AM629)/Параметры!AM64)</f>
        <v>23564410.121870339</v>
      </c>
      <c r="AN155" s="55">
        <f ca="1">IF(AN2=1,SUM(AN153:AN154)+SUM(Проект!AN576,Проект!AN582,Проект!AN588,Проект!AN594,Проект!AN600,Проект!AN606,Проект!AN613,Проект!AN619,Проект!AN624,Проект!AN629)/Параметры!AN64,AN153+AM155*Параметры!AM64/Параметры!AN64+SUM(Проект!AN576,Проект!AN582,Проект!AN588,Проект!AN594,Проект!AN600,Проект!AN606,Проект!AN613,Проект!AN619,Проект!AN624,Проект!AN629)/Параметры!AN64)</f>
        <v>23470717.332530722</v>
      </c>
      <c r="AO155" s="55">
        <f ca="1">IF(AO2=1,SUM(AO153:AO154)+SUM(Проект!AO576,Проект!AO582,Проект!AO588,Проект!AO594,Проект!AO600,Проект!AO606,Проект!AO613,Проект!AO619,Проект!AO624,Проект!AO629)/Параметры!AO64,AO153+AN155*Параметры!AN64/Параметры!AO64+SUM(Проект!AO576,Проект!AO582,Проект!AO588,Проект!AO594,Проект!AO600,Проект!AO606,Проект!AO613,Проект!AO619,Проект!AO624,Проект!AO629)/Параметры!AO64)</f>
        <v>21688456.476480868</v>
      </c>
      <c r="AP155" s="55">
        <f ca="1">IF(AP2=1,SUM(AP153:AP154)+SUM(Проект!AP576,Проект!AP582,Проект!AP588,Проект!AP594,Проект!AP600,Проект!AP606,Проект!AP613,Проект!AP619,Проект!AP624,Проект!AP629)/Параметры!AP64,AP153+AO155*Параметры!AO64/Параметры!AP64+SUM(Проект!AP576,Проект!AP582,Проект!AP588,Проект!AP594,Проект!AP600,Проект!AP606,Проект!AP613,Проект!AP619,Проект!AP624,Проект!AP629)/Параметры!AP64)</f>
        <v>20588220.835185394</v>
      </c>
      <c r="AQ155" s="55">
        <f ca="1">IF(AQ2=1,SUM(AQ153:AQ154)+SUM(Проект!AQ576,Проект!AQ582,Проект!AQ588,Проект!AQ594,Проект!AQ600,Проект!AQ606,Проект!AQ613,Проект!AQ619,Проект!AQ624,Проект!AQ629)/Параметры!AQ64,AQ153+AP155*Параметры!AP64/Параметры!AQ64+SUM(Проект!AQ576,Проект!AQ582,Проект!AQ588,Проект!AQ594,Проект!AQ600,Проект!AQ606,Проект!AQ613,Проект!AQ619,Проект!AQ624,Проект!AQ629)/Параметры!AQ64)</f>
        <v>23863615.329147782</v>
      </c>
      <c r="AR155" s="55">
        <f ca="1">IF(AR2=1,SUM(AR153:AR154)+SUM(Проект!AR576,Проект!AR582,Проект!AR588,Проект!AR594,Проект!AR600,Проект!AR606,Проект!AR613,Проект!AR619,Проект!AR624,Проект!AR629)/Параметры!AR64,AR153+AQ155*Параметры!AQ64/Параметры!AR64+SUM(Проект!AR576,Проект!AR582,Проект!AR588,Проект!AR594,Проект!AR600,Проект!AR606,Проект!AR613,Проект!AR619,Проект!AR624,Проект!AR629)/Параметры!AR64)</f>
        <v>27395863.172472563</v>
      </c>
      <c r="AS155" s="55">
        <f ca="1">IF(AS2=1,SUM(AS153:AS154)+SUM(Проект!AS576,Проект!AS582,Проект!AS588,Проект!AS594,Проект!AS600,Проект!AS606,Проект!AS613,Проект!AS619,Проект!AS624,Проект!AS629)/Параметры!AS64,AS153+AR155*Параметры!AR64/Параметры!AS64+SUM(Проект!AS576,Проект!AS582,Проект!AS588,Проект!AS594,Проект!AS600,Проект!AS606,Проект!AS613,Проект!AS619,Проект!AS624,Проект!AS629)/Параметры!AS64)</f>
        <v>29185094.160840191</v>
      </c>
      <c r="AT155" s="55">
        <f ca="1">IF(AT2=1,SUM(AT153:AT154)+SUM(Проект!AT576,Проект!AT582,Проект!AT588,Проект!AT594,Проект!AT600,Проект!AT606,Проект!AT613,Проект!AT619,Проект!AT624,Проект!AT629)/Параметры!AT64,AT153+AS155*Параметры!AS64/Параметры!AT64+SUM(Проект!AT576,Проект!AT582,Проект!AT588,Проект!AT594,Проект!AT600,Проект!AT606,Проект!AT613,Проект!AT619,Проект!AT624,Проект!AT629)/Параметры!AT64)</f>
        <v>30801615.03373757</v>
      </c>
      <c r="AU155" s="55">
        <f ca="1">IF(AU2=1,SUM(AU153:AU154)+SUM(Проект!AU576,Проект!AU582,Проект!AU588,Проект!AU594,Проект!AU600,Проект!AU606,Проект!AU613,Проект!AU619,Проект!AU624,Проект!AU629)/Параметры!AU64,AU153+AT155*Параметры!AT64/Параметры!AU64+SUM(Проект!AU576,Проект!AU582,Проект!AU588,Проект!AU594,Проект!AU600,Проект!AU606,Проект!AU613,Проект!AU619,Проект!AU624,Проект!AU629)/Параметры!AU64)</f>
        <v>29366028.012790773</v>
      </c>
      <c r="AV155" s="55">
        <f ca="1">IF(AV2=1,SUM(AV153:AV154)+SUM(Проект!AV576,Проект!AV582,Проект!AV588,Проект!AV594,Проект!AV600,Проект!AV606,Проект!AV613,Проект!AV619,Проект!AV624,Проект!AV629)/Параметры!AV64,AV153+AU155*Параметры!AU64/Параметры!AV64+SUM(Проект!AV576,Проект!AV582,Проект!AV588,Проект!AV594,Проект!AV600,Проект!AV606,Проект!AV613,Проект!AV619,Проект!AV624,Проект!AV629)/Параметры!AV64)</f>
        <v>31416261.187906794</v>
      </c>
      <c r="AW155" s="55">
        <f ca="1">IF(AW2=1,SUM(AW153:AW154)+SUM(Проект!AW576,Проект!AW582,Проект!AW588,Проект!AW594,Проект!AW600,Проект!AW606,Проект!AW613,Проект!AW619,Проект!AW624,Проект!AW629)/Параметры!AW64,AW153+AV155*Параметры!AV64/Параметры!AW64+SUM(Проект!AW576,Проект!AW582,Проект!AW588,Проект!AW594,Проект!AW600,Проект!AW606,Проект!AW613,Проект!AW619,Проект!AW624,Проект!AW629)/Параметры!AW64)</f>
        <v>38390010.034551747</v>
      </c>
      <c r="AX155" s="55">
        <f ca="1">IF(AX2=1,SUM(AX153:AX154)+SUM(Проект!AX576,Проект!AX582,Проект!AX588,Проект!AX594,Проект!AX600,Проект!AX606,Проект!AX613,Проект!AX619,Проект!AX624,Проект!AX629)/Параметры!AX64,AX153+AW155*Параметры!AW64/Параметры!AX64+SUM(Проект!AX576,Проект!AX582,Проект!AX588,Проект!AX594,Проект!AX600,Проект!AX606,Проект!AX613,Проект!AX619,Проект!AX624,Проект!AX629)/Параметры!AX64)</f>
        <v>52207195.144730501</v>
      </c>
      <c r="AY155" s="55">
        <f ca="1">IF(AY2=1,SUM(AY153:AY154)+SUM(Проект!AY576,Проект!AY582,Проект!AY588,Проект!AY594,Проект!AY600,Проект!AY606,Проект!AY613,Проект!AY619,Проект!AY624,Проект!AY629)/Параметры!AY64,AY153+AX155*Параметры!AX64/Параметры!AY64+SUM(Проект!AY576,Проект!AY582,Проект!AY588,Проект!AY594,Проект!AY600,Проект!AY606,Проект!AY613,Проект!AY619,Проект!AY624,Проект!AY629)/Параметры!AY64)</f>
        <v>66317974.899262965</v>
      </c>
      <c r="AZ155" s="55">
        <f ca="1">IF(AZ2=1,SUM(AZ153:AZ154)+SUM(Проект!AZ576,Проект!AZ582,Проект!AZ588,Проект!AZ594,Проект!AZ600,Проект!AZ606,Проект!AZ613,Проект!AZ619,Проект!AZ624,Проект!AZ629)/Параметры!AZ64,AZ153+AY155*Параметры!AY64/Параметры!AZ64+SUM(Проект!AZ576,Проект!AZ582,Проект!AZ588,Проект!AZ594,Проект!AZ600,Проект!AZ606,Проект!AZ613,Проект!AZ619,Проект!AZ624,Проект!AZ629)/Параметры!AZ64)</f>
        <v>75394082.460915953</v>
      </c>
      <c r="BA155" s="55">
        <f ca="1">IF(BA2=1,SUM(BA153:BA154)+SUM(Проект!BA576,Проект!BA582,Проект!BA588,Проект!BA594,Проект!BA600,Проект!BA606,Проект!BA613,Проект!BA619,Проект!BA624,Проект!BA629)/Параметры!BA64,BA153+AZ155*Параметры!AZ64/Параметры!BA64+SUM(Проект!BA576,Проект!BA582,Проект!BA588,Проект!BA594,Проект!BA600,Проект!BA606,Проект!BA613,Проект!BA619,Проект!BA624,Проект!BA629)/Параметры!BA64)</f>
        <v>82489057.141627178</v>
      </c>
      <c r="BB155" s="55">
        <f ca="1">IF(BB2=1,SUM(BB153:BB154)+SUM(Проект!BB576,Проект!BB582,Проект!BB588,Проект!BB594,Проект!BB600,Проект!BB606,Проект!BB613,Проект!BB619,Проект!BB624,Проект!BB629)/Параметры!BB64,BB153+BA155*Параметры!BA64/Параметры!BB64+SUM(Проект!BB576,Проект!BB582,Проект!BB588,Проект!BB594,Проект!BB600,Проект!BB606,Проект!BB613,Проект!BB619,Проект!BB624,Проект!BB629)/Параметры!BB64)</f>
        <v>90837475.22270827</v>
      </c>
      <c r="BC155" s="55"/>
      <c r="BD155" s="55"/>
    </row>
    <row r="156" spans="1:56" x14ac:dyDescent="0.3">
      <c r="A156" s="12"/>
      <c r="B156" s="83"/>
      <c r="C156" s="51"/>
      <c r="D156" s="14"/>
      <c r="E156" s="14" t="s">
        <v>709</v>
      </c>
      <c r="F156" s="14"/>
      <c r="G156" s="13"/>
      <c r="H156" s="13"/>
      <c r="I156" s="13"/>
      <c r="J156" s="13"/>
      <c r="K156" s="13"/>
      <c r="L156" s="13"/>
      <c r="M156" s="13"/>
      <c r="N156" s="13"/>
      <c r="O156" s="13"/>
      <c r="P156" s="13"/>
      <c r="Q156" s="13"/>
      <c r="R156" s="13"/>
      <c r="S156" s="13"/>
      <c r="T156" s="13"/>
      <c r="U156" s="13"/>
      <c r="V156" s="13"/>
      <c r="W156" s="13"/>
      <c r="X156" s="13"/>
      <c r="Y156" s="13"/>
      <c r="Z156" s="13"/>
      <c r="AA156" s="13"/>
      <c r="AB156" s="13"/>
      <c r="AC156" s="13"/>
      <c r="AD156" s="13"/>
      <c r="AE156" s="13"/>
      <c r="AF156" s="13"/>
      <c r="AG156" s="13"/>
      <c r="AH156" s="13"/>
      <c r="AI156" s="13"/>
      <c r="AJ156" s="13"/>
      <c r="AK156" s="13"/>
      <c r="AL156" s="13"/>
      <c r="AM156" s="13"/>
      <c r="AN156" s="13"/>
      <c r="AO156" s="13"/>
      <c r="AP156" s="13"/>
      <c r="AQ156" s="13"/>
      <c r="AR156" s="13"/>
      <c r="AS156" s="13"/>
      <c r="AT156" s="13"/>
      <c r="AU156" s="13"/>
      <c r="AV156" s="13"/>
      <c r="AW156" s="13"/>
      <c r="AX156" s="13"/>
      <c r="AY156" s="13"/>
      <c r="AZ156" s="13"/>
      <c r="BA156" s="13"/>
      <c r="BB156" s="13"/>
      <c r="BC156" s="13"/>
      <c r="BD156" s="13"/>
    </row>
    <row r="159" spans="1:56" s="9" customFormat="1" ht="25.5" customHeight="1" thickBot="1" x14ac:dyDescent="0.35">
      <c r="A159" s="323" t="str">
        <f ca="1">Language!A1266</f>
        <v>БАЛАНС</v>
      </c>
      <c r="B159" s="337"/>
      <c r="C159" s="338"/>
      <c r="D159" s="326"/>
      <c r="E159" s="326" t="s">
        <v>896</v>
      </c>
      <c r="F159" s="326"/>
      <c r="G159" s="327" t="str">
        <f ca="1">Параметры!G$34</f>
        <v>янв.25</v>
      </c>
      <c r="H159" s="327" t="str">
        <f ca="1">Параметры!H$34</f>
        <v>фев.25</v>
      </c>
      <c r="I159" s="327" t="str">
        <f ca="1">Параметры!I$34</f>
        <v>мар.25</v>
      </c>
      <c r="J159" s="327" t="str">
        <f ca="1">Параметры!J$34</f>
        <v>апр.25</v>
      </c>
      <c r="K159" s="327" t="str">
        <f ca="1">Параметры!K$34</f>
        <v>май.25</v>
      </c>
      <c r="L159" s="327" t="str">
        <f ca="1">Параметры!L$34</f>
        <v>июн.25</v>
      </c>
      <c r="M159" s="328" t="str">
        <f ca="1">Параметры!M$34</f>
        <v>июл.25</v>
      </c>
      <c r="N159" s="328" t="str">
        <f ca="1">Параметры!N$34</f>
        <v>авг.25</v>
      </c>
      <c r="O159" s="328" t="str">
        <f ca="1">Параметры!O$34</f>
        <v>сен.25</v>
      </c>
      <c r="P159" s="328" t="str">
        <f ca="1">Параметры!P$34</f>
        <v>окт.25</v>
      </c>
      <c r="Q159" s="328" t="str">
        <f ca="1">Параметры!Q$34</f>
        <v>ноя.25</v>
      </c>
      <c r="R159" s="328" t="str">
        <f ca="1">Параметры!R$34</f>
        <v>дек.25</v>
      </c>
      <c r="S159" s="328" t="str">
        <f ca="1">Параметры!S$34</f>
        <v>янв.26</v>
      </c>
      <c r="T159" s="328" t="str">
        <f ca="1">Параметры!T$34</f>
        <v>фев.26</v>
      </c>
      <c r="U159" s="328" t="str">
        <f ca="1">Параметры!U$34</f>
        <v>мар.26</v>
      </c>
      <c r="V159" s="328" t="str">
        <f ca="1">Параметры!V$34</f>
        <v>апр.26</v>
      </c>
      <c r="W159" s="328" t="str">
        <f ca="1">Параметры!W$34</f>
        <v>май.26</v>
      </c>
      <c r="X159" s="328" t="str">
        <f ca="1">Параметры!X$34</f>
        <v>июн.26</v>
      </c>
      <c r="Y159" s="328" t="str">
        <f ca="1">Параметры!Y$34</f>
        <v>июл.26</v>
      </c>
      <c r="Z159" s="328" t="str">
        <f ca="1">Параметры!Z$34</f>
        <v>авг.26</v>
      </c>
      <c r="AA159" s="328" t="str">
        <f ca="1">Параметры!AA$34</f>
        <v>сен.26</v>
      </c>
      <c r="AB159" s="328" t="str">
        <f ca="1">Параметры!AB$34</f>
        <v>окт.26</v>
      </c>
      <c r="AC159" s="328" t="str">
        <f ca="1">Параметры!AC$34</f>
        <v>ноя.26</v>
      </c>
      <c r="AD159" s="328" t="str">
        <f ca="1">Параметры!AD$34</f>
        <v>дек.26</v>
      </c>
      <c r="AE159" s="328" t="str">
        <f ca="1">Параметры!AE$34</f>
        <v>янв.27</v>
      </c>
      <c r="AF159" s="328" t="str">
        <f ca="1">Параметры!AF$34</f>
        <v>фев.27</v>
      </c>
      <c r="AG159" s="328" t="str">
        <f ca="1">Параметры!AG$34</f>
        <v>мар.27</v>
      </c>
      <c r="AH159" s="328" t="str">
        <f ca="1">Параметры!AH$34</f>
        <v>апр.27</v>
      </c>
      <c r="AI159" s="328" t="str">
        <f ca="1">Параметры!AI$34</f>
        <v>май.27</v>
      </c>
      <c r="AJ159" s="328" t="str">
        <f ca="1">Параметры!AJ$34</f>
        <v>июн.27</v>
      </c>
      <c r="AK159" s="328" t="str">
        <f ca="1">Параметры!AK$34</f>
        <v>июл.27</v>
      </c>
      <c r="AL159" s="328" t="str">
        <f ca="1">Параметры!AL$34</f>
        <v>авг.27</v>
      </c>
      <c r="AM159" s="328" t="str">
        <f ca="1">Параметры!AM$34</f>
        <v>сен.27</v>
      </c>
      <c r="AN159" s="328" t="str">
        <f ca="1">Параметры!AN$34</f>
        <v>окт.27</v>
      </c>
      <c r="AO159" s="328" t="str">
        <f ca="1">Параметры!AO$34</f>
        <v>ноя.27</v>
      </c>
      <c r="AP159" s="328" t="str">
        <f ca="1">Параметры!AP$34</f>
        <v>дек.27</v>
      </c>
      <c r="AQ159" s="328" t="str">
        <f ca="1">Параметры!AQ$34</f>
        <v>янв.28</v>
      </c>
      <c r="AR159" s="328" t="str">
        <f ca="1">Параметры!AR$34</f>
        <v>фев.28</v>
      </c>
      <c r="AS159" s="328" t="str">
        <f ca="1">Параметры!AS$34</f>
        <v>мар.28</v>
      </c>
      <c r="AT159" s="328" t="str">
        <f ca="1">Параметры!AT$34</f>
        <v>апр.28</v>
      </c>
      <c r="AU159" s="328" t="str">
        <f ca="1">Параметры!AU$34</f>
        <v>май.28</v>
      </c>
      <c r="AV159" s="328" t="str">
        <f ca="1">Параметры!AV$34</f>
        <v>июн.28</v>
      </c>
      <c r="AW159" s="328" t="str">
        <f ca="1">Параметры!AW$34</f>
        <v>июл.28</v>
      </c>
      <c r="AX159" s="328" t="str">
        <f ca="1">Параметры!AX$34</f>
        <v>авг.28</v>
      </c>
      <c r="AY159" s="328" t="str">
        <f ca="1">Параметры!AY$34</f>
        <v>сен.28</v>
      </c>
      <c r="AZ159" s="328" t="str">
        <f ca="1">Параметры!AZ$34</f>
        <v>окт.28</v>
      </c>
      <c r="BA159" s="328" t="str">
        <f ca="1">Параметры!BA$34</f>
        <v>ноя.28</v>
      </c>
      <c r="BB159" s="328" t="str">
        <f ca="1">Параметры!BB$34</f>
        <v>дек.28</v>
      </c>
      <c r="BC159" s="8"/>
      <c r="BD159" s="42"/>
    </row>
    <row r="160" spans="1:56" ht="14.4" thickTop="1" x14ac:dyDescent="0.3">
      <c r="A160" s="247"/>
    </row>
    <row r="161" spans="1:54" x14ac:dyDescent="0.3">
      <c r="A161" s="35" t="str">
        <f ca="1">Language!A1267</f>
        <v>Денежные средства</v>
      </c>
      <c r="C161" s="48" t="str">
        <f ca="1">Параметры!$C$64</f>
        <v>руб.</v>
      </c>
      <c r="E161" s="6" t="s">
        <v>949</v>
      </c>
      <c r="F161" s="6" t="s">
        <v>741</v>
      </c>
      <c r="G161" s="55">
        <f ca="1">G155</f>
        <v>211558334</v>
      </c>
      <c r="H161" s="55">
        <f t="shared" ref="H161:L161" ca="1" si="398">H155</f>
        <v>209900000.33333334</v>
      </c>
      <c r="I161" s="55">
        <f t="shared" ca="1" si="398"/>
        <v>73241667.666666687</v>
      </c>
      <c r="J161" s="55">
        <f t="shared" ca="1" si="398"/>
        <v>54850001.000000015</v>
      </c>
      <c r="K161" s="55">
        <f t="shared" ca="1" si="398"/>
        <v>37825001.000000015</v>
      </c>
      <c r="L161" s="55">
        <f t="shared" ca="1" si="398"/>
        <v>18922075.939581752</v>
      </c>
      <c r="M161" s="55">
        <f t="shared" ref="M161:N161" ca="1" si="399">M155</f>
        <v>10035157.655486684</v>
      </c>
      <c r="N161" s="55">
        <f t="shared" ca="1" si="399"/>
        <v>1803117.7469090838</v>
      </c>
      <c r="O161" s="55">
        <f t="shared" ref="O161:P161" ca="1" si="400">O155</f>
        <v>135850.18460357562</v>
      </c>
      <c r="P161" s="55">
        <f t="shared" ca="1" si="400"/>
        <v>570756.51280933339</v>
      </c>
      <c r="Q161" s="55">
        <f t="shared" ref="Q161:R161" ca="1" si="401">Q155</f>
        <v>1678995.0735216746</v>
      </c>
      <c r="R161" s="55">
        <f t="shared" ca="1" si="401"/>
        <v>1258387.9910802324</v>
      </c>
      <c r="S161" s="55">
        <f t="shared" ref="S161:T161" ca="1" si="402">S155</f>
        <v>4195962.9793404434</v>
      </c>
      <c r="T161" s="55">
        <f t="shared" ca="1" si="402"/>
        <v>7190278.8295381945</v>
      </c>
      <c r="U161" s="55">
        <f t="shared" ref="U161:V161" ca="1" si="403">U155</f>
        <v>8502154.6642358396</v>
      </c>
      <c r="V161" s="55">
        <f t="shared" ca="1" si="403"/>
        <v>8709132.3037550822</v>
      </c>
      <c r="W161" s="55">
        <f t="shared" ref="W161:X161" ca="1" si="404">W155</f>
        <v>6389939.6174345631</v>
      </c>
      <c r="X161" s="55">
        <f t="shared" ca="1" si="404"/>
        <v>7403374.5238080397</v>
      </c>
      <c r="Y161" s="55">
        <f t="shared" ref="Y161:Z161" ca="1" si="405">Y155</f>
        <v>10106979.386210134</v>
      </c>
      <c r="Z161" s="55">
        <f t="shared" ca="1" si="405"/>
        <v>15493939.599454354</v>
      </c>
      <c r="AA161" s="55">
        <f t="shared" ref="AA161:AB161" ca="1" si="406">AA155</f>
        <v>17515439.877663791</v>
      </c>
      <c r="AB161" s="55">
        <f t="shared" ca="1" si="406"/>
        <v>15099582.513774911</v>
      </c>
      <c r="AC161" s="55">
        <f t="shared" ref="AC161:AD161" ca="1" si="407">AC155</f>
        <v>11112415.430962546</v>
      </c>
      <c r="AD161" s="55">
        <f t="shared" ca="1" si="407"/>
        <v>7839105.4893916994</v>
      </c>
      <c r="AE161" s="55">
        <f t="shared" ref="AE161:AF161" ca="1" si="408">AE155</f>
        <v>8728260.0437648036</v>
      </c>
      <c r="AF161" s="55">
        <f t="shared" ca="1" si="408"/>
        <v>9859169.7441609651</v>
      </c>
      <c r="AG161" s="55">
        <f t="shared" ref="AG161:AH161" ca="1" si="409">AG155</f>
        <v>9319070.7895265855</v>
      </c>
      <c r="AH161" s="55">
        <f t="shared" ca="1" si="409"/>
        <v>8744402.8974499758</v>
      </c>
      <c r="AI161" s="55">
        <f t="shared" ref="AI161:AJ161" ca="1" si="410">AI155</f>
        <v>5503977.5388145335</v>
      </c>
      <c r="AJ161" s="55">
        <f t="shared" ca="1" si="410"/>
        <v>5787504.4368513366</v>
      </c>
      <c r="AK161" s="55">
        <f t="shared" ref="AK161:AL161" ca="1" si="411">AK155</f>
        <v>10959753.53609027</v>
      </c>
      <c r="AL161" s="55">
        <f t="shared" ca="1" si="411"/>
        <v>19007889.742280588</v>
      </c>
      <c r="AM161" s="55">
        <f t="shared" ref="AM161:AN161" ca="1" si="412">AM155</f>
        <v>23564410.121870339</v>
      </c>
      <c r="AN161" s="55">
        <f t="shared" ca="1" si="412"/>
        <v>23470717.332530722</v>
      </c>
      <c r="AO161" s="55">
        <f t="shared" ref="AO161:AP161" ca="1" si="413">AO155</f>
        <v>21688456.476480868</v>
      </c>
      <c r="AP161" s="55">
        <f t="shared" ca="1" si="413"/>
        <v>20588220.835185394</v>
      </c>
      <c r="AQ161" s="55">
        <f t="shared" ref="AQ161:AR161" ca="1" si="414">AQ155</f>
        <v>23863615.329147782</v>
      </c>
      <c r="AR161" s="55">
        <f t="shared" ca="1" si="414"/>
        <v>27395863.172472563</v>
      </c>
      <c r="AS161" s="55">
        <f t="shared" ref="AS161:AT161" ca="1" si="415">AS155</f>
        <v>29185094.160840191</v>
      </c>
      <c r="AT161" s="55">
        <f t="shared" ca="1" si="415"/>
        <v>30801615.03373757</v>
      </c>
      <c r="AU161" s="55">
        <f t="shared" ref="AU161:AV161" ca="1" si="416">AU155</f>
        <v>29366028.012790773</v>
      </c>
      <c r="AV161" s="55">
        <f t="shared" ca="1" si="416"/>
        <v>31416261.187906794</v>
      </c>
      <c r="AW161" s="55">
        <f t="shared" ref="AW161:AX161" ca="1" si="417">AW155</f>
        <v>38390010.034551747</v>
      </c>
      <c r="AX161" s="55">
        <f t="shared" ca="1" si="417"/>
        <v>52207195.144730501</v>
      </c>
      <c r="AY161" s="55">
        <f t="shared" ref="AY161:AZ161" ca="1" si="418">AY155</f>
        <v>66317974.899262965</v>
      </c>
      <c r="AZ161" s="55">
        <f t="shared" ca="1" si="418"/>
        <v>75394082.460915953</v>
      </c>
      <c r="BA161" s="55">
        <f t="shared" ref="BA161:BB161" ca="1" si="419">BA155</f>
        <v>82489057.141627178</v>
      </c>
      <c r="BB161" s="55">
        <f t="shared" ca="1" si="419"/>
        <v>90837475.22270827</v>
      </c>
    </row>
    <row r="162" spans="1:54" x14ac:dyDescent="0.3">
      <c r="A162" s="35" t="str">
        <f ca="1">Language!A1268</f>
        <v>Дебиторская задолженность</v>
      </c>
      <c r="C162" s="48" t="str">
        <f ca="1">Параметры!$C$64</f>
        <v>руб.</v>
      </c>
      <c r="E162" s="6" t="s">
        <v>1489</v>
      </c>
      <c r="F162" s="6" t="s">
        <v>741</v>
      </c>
      <c r="G162" s="55">
        <f ca="1">Проект!G572/Параметры!G$64</f>
        <v>0</v>
      </c>
      <c r="H162" s="55">
        <f ca="1">Проект!H572/Параметры!H$64</f>
        <v>0</v>
      </c>
      <c r="I162" s="55">
        <f ca="1">Проект!I572/Параметры!I$64</f>
        <v>0</v>
      </c>
      <c r="J162" s="55">
        <f ca="1">Проект!J572/Параметры!J$64</f>
        <v>0</v>
      </c>
      <c r="K162" s="55">
        <f ca="1">Проект!K572/Параметры!K$64</f>
        <v>0</v>
      </c>
      <c r="L162" s="55">
        <f ca="1">Проект!L572/Параметры!L$64</f>
        <v>0</v>
      </c>
      <c r="M162" s="55">
        <f ca="1">Проект!M572/Параметры!M$64</f>
        <v>2495660.7461752496</v>
      </c>
      <c r="N162" s="55">
        <f ca="1">Проект!N572/Параметры!N$64</f>
        <v>3343744.6680682655</v>
      </c>
      <c r="O162" s="55">
        <f ca="1">Проект!O572/Параметры!O$64</f>
        <v>4200025.6428971058</v>
      </c>
      <c r="P162" s="55">
        <f ca="1">Проект!P572/Параметры!P$64</f>
        <v>5064563.3761075735</v>
      </c>
      <c r="Q162" s="55">
        <f ca="1">Проект!Q572/Параметры!Q$64</f>
        <v>5089215.3944321619</v>
      </c>
      <c r="R162" s="55">
        <f ca="1">Проект!R572/Параметры!R$64</f>
        <v>5113987.4077024832</v>
      </c>
      <c r="S162" s="55">
        <f ca="1">Проект!S572/Параметры!S$64</f>
        <v>6851840.0000000037</v>
      </c>
      <c r="T162" s="55">
        <f ca="1">Проект!T572/Параметры!T$64</f>
        <v>6024542.717957438</v>
      </c>
      <c r="U162" s="55">
        <f ca="1">Проект!U572/Параметры!U$64</f>
        <v>5189029.2722315704</v>
      </c>
      <c r="V162" s="55">
        <f ca="1">Проект!V572/Параметры!V$64</f>
        <v>5214287.1345992023</v>
      </c>
      <c r="W162" s="55">
        <f ca="1">Проект!W572/Параметры!W$64</f>
        <v>4366389.9507409018</v>
      </c>
      <c r="X162" s="55">
        <f ca="1">Проект!X572/Параметры!X$64</f>
        <v>7020229.7193826223</v>
      </c>
      <c r="Y162" s="55">
        <f ca="1">Проект!Y572/Параметры!Y$64</f>
        <v>8818001.3031525519</v>
      </c>
      <c r="Z162" s="55">
        <f ca="1">Проект!Z572/Параметры!Z$64</f>
        <v>8860923.3703809083</v>
      </c>
      <c r="AA162" s="55">
        <f ca="1">Проект!AA572/Параметры!AA$64</f>
        <v>6232838.0540593062</v>
      </c>
      <c r="AB162" s="55">
        <f ca="1">Проект!AB572/Параметры!AB$64</f>
        <v>4473697.6488950253</v>
      </c>
      <c r="AC162" s="55">
        <f ca="1">Проект!AC572/Параметры!AC$64</f>
        <v>4495473.5984150777</v>
      </c>
      <c r="AD162" s="55">
        <f ca="1">Проект!AD572/Параметры!AD$64</f>
        <v>5420826.6521646334</v>
      </c>
      <c r="AE162" s="55">
        <f ca="1">Проект!AE572/Параметры!AE$64</f>
        <v>7262950.400000005</v>
      </c>
      <c r="AF162" s="55">
        <f ca="1">Проект!AF572/Параметры!AF$64</f>
        <v>6386015.2810348859</v>
      </c>
      <c r="AG162" s="55">
        <f ca="1">Проект!AG572/Параметры!AG$64</f>
        <v>5500371.0285654655</v>
      </c>
      <c r="AH162" s="55">
        <f ca="1">Проект!AH572/Параметры!AH$64</f>
        <v>5527144.3626751555</v>
      </c>
      <c r="AI162" s="55">
        <f ca="1">Проект!AI572/Параметры!AI$64</f>
        <v>4628373.3477853565</v>
      </c>
      <c r="AJ162" s="55">
        <f ca="1">Проект!AJ572/Параметры!AJ$64</f>
        <v>7441443.5025455812</v>
      </c>
      <c r="AK162" s="55">
        <f ca="1">Проект!AK572/Параметры!AK$64</f>
        <v>9347081.3813417051</v>
      </c>
      <c r="AL162" s="55">
        <f ca="1">Проект!AL572/Параметры!AL$64</f>
        <v>9392578.7726037633</v>
      </c>
      <c r="AM162" s="55">
        <f ca="1">Проект!AM572/Параметры!AM$64</f>
        <v>6606808.3373028673</v>
      </c>
      <c r="AN162" s="55">
        <f ca="1">Проект!AN572/Параметры!AN$64</f>
        <v>4742119.5078287264</v>
      </c>
      <c r="AO162" s="55">
        <f ca="1">Проект!AO572/Параметры!AO$64</f>
        <v>4765202.0143199842</v>
      </c>
      <c r="AP162" s="55">
        <f ca="1">Проект!AP572/Параметры!AP$64</f>
        <v>5746076.2512945123</v>
      </c>
      <c r="AQ162" s="55">
        <f ca="1">Проект!AQ572/Параметры!AQ$64</f>
        <v>7698727.4240000062</v>
      </c>
      <c r="AR162" s="55">
        <f ca="1">Проект!AR572/Параметры!AR$64</f>
        <v>6769176.1978969807</v>
      </c>
      <c r="AS162" s="55">
        <f ca="1">Проект!AS572/Параметры!AS$64</f>
        <v>5830393.2902793959</v>
      </c>
      <c r="AT162" s="55">
        <f ca="1">Проект!AT572/Параметры!AT$64</f>
        <v>5858773.0244356673</v>
      </c>
      <c r="AU162" s="55">
        <f ca="1">Проект!AU572/Параметры!AU$64</f>
        <v>4906075.7486524805</v>
      </c>
      <c r="AV162" s="55">
        <f ca="1">Проект!AV572/Параметры!AV$64</f>
        <v>7887930.1126983203</v>
      </c>
      <c r="AW162" s="55">
        <f ca="1">Проект!AW572/Параметры!AW$64</f>
        <v>9907906.2642222121</v>
      </c>
      <c r="AX162" s="55">
        <f ca="1">Проект!AX572/Параметры!AX$64</f>
        <v>9956133.4989599939</v>
      </c>
      <c r="AY162" s="55">
        <f ca="1">Проект!AY572/Параметры!AY$64</f>
        <v>7003216.8375410419</v>
      </c>
      <c r="AZ162" s="55">
        <f ca="1">Проект!AZ572/Параметры!AZ$64</f>
        <v>5026646.6782984529</v>
      </c>
      <c r="BA162" s="55">
        <f ca="1">Проект!BA572/Параметры!BA$64</f>
        <v>5051114.1351791844</v>
      </c>
      <c r="BB162" s="55">
        <f ca="1">Проект!BB572/Параметры!BB$64</f>
        <v>6090840.8263721857</v>
      </c>
    </row>
    <row r="163" spans="1:54" x14ac:dyDescent="0.3">
      <c r="A163" s="35" t="str">
        <f ca="1">Language!A1269</f>
        <v>Авансы уплаченные поставщикам</v>
      </c>
      <c r="C163" s="48" t="str">
        <f ca="1">Параметры!$C$64</f>
        <v>руб.</v>
      </c>
      <c r="E163" s="6" t="s">
        <v>1490</v>
      </c>
      <c r="F163" s="6" t="s">
        <v>741</v>
      </c>
      <c r="G163" s="55">
        <f ca="1">(Проект!G609+Проект!G1052)/Параметры!G$64</f>
        <v>0</v>
      </c>
      <c r="H163" s="55">
        <f ca="1">(Проект!H609+Проект!H1052)/Параметры!H$64</f>
        <v>0</v>
      </c>
      <c r="I163" s="55">
        <f ca="1">(Проект!I609+Проект!I1052)/Параметры!I$64</f>
        <v>0</v>
      </c>
      <c r="J163" s="55">
        <f ca="1">(Проект!J609+Проект!J1052)/Параметры!J$64</f>
        <v>0</v>
      </c>
      <c r="K163" s="55">
        <f ca="1">(Проект!K609+Проект!K1052)/Параметры!K$64</f>
        <v>0</v>
      </c>
      <c r="L163" s="55">
        <f ca="1">(Проект!L609+Проект!L1052)/Параметры!L$64</f>
        <v>1077925.0604182645</v>
      </c>
      <c r="M163" s="55">
        <f ca="1">(Проект!M609+Проект!M1052)/Параметры!M$64</f>
        <v>1020300.9219385064</v>
      </c>
      <c r="N163" s="55">
        <f ca="1">(Проект!N609+Проект!N1052)/Параметры!N$64</f>
        <v>1234206.9855775193</v>
      </c>
      <c r="O163" s="55">
        <f ca="1">(Проект!O609+Проект!O1052)/Параметры!O$64</f>
        <v>1453432.2541845562</v>
      </c>
      <c r="P163" s="55">
        <f ca="1">(Проект!P609+Проект!P1052)/Параметры!P$64</f>
        <v>1327163.6103772703</v>
      </c>
      <c r="Q163" s="55">
        <f ca="1">(Проект!Q609+Проект!Q1052)/Параметры!Q$64</f>
        <v>1345254.2860764083</v>
      </c>
      <c r="R163" s="55">
        <f ca="1">(Проект!R609+Проект!R1052)/Параметры!R$64</f>
        <v>2059293.2960494512</v>
      </c>
      <c r="S163" s="55">
        <f ca="1">(Проект!S609+Проект!S1052)/Параметры!S$64</f>
        <v>1438758.3111929956</v>
      </c>
      <c r="T163" s="55">
        <f ca="1">(Проект!T609+Проект!T1052)/Параметры!T$64</f>
        <v>1232759.7512725005</v>
      </c>
      <c r="U163" s="55">
        <f ca="1">(Проект!U609+Проект!U1052)/Параметры!U$64</f>
        <v>1385243.6214488929</v>
      </c>
      <c r="V163" s="55">
        <f ca="1">(Проект!V609+Проект!V1052)/Параметры!V$64</f>
        <v>1030802.395762083</v>
      </c>
      <c r="W163" s="55">
        <f ca="1">(Проект!W609+Проект!W1052)/Параметры!W$64</f>
        <v>2282011.0319947042</v>
      </c>
      <c r="X163" s="55">
        <f ca="1">(Проект!X609+Проект!X1052)/Параметры!X$64</f>
        <v>2593949.0102886567</v>
      </c>
      <c r="Y163" s="55">
        <f ca="1">(Проект!Y609+Проект!Y1052)/Параметры!Y$64</f>
        <v>2318553.7988937469</v>
      </c>
      <c r="Z163" s="55">
        <f ca="1">(Проект!Z609+Проект!Z1052)/Параметры!Z$64</f>
        <v>1215001.6815630649</v>
      </c>
      <c r="AA163" s="55">
        <f ca="1">(Проект!AA609+Проект!AA1052)/Параметры!AA$64</f>
        <v>924597.17119933455</v>
      </c>
      <c r="AB163" s="55">
        <f ca="1">(Проект!AB609+Проект!AB1052)/Параметры!AB$64</f>
        <v>1236865.475734835</v>
      </c>
      <c r="AC163" s="55">
        <f ca="1">(Проект!AC609+Проект!AC1052)/Параметры!AC$64</f>
        <v>1639800.1940034796</v>
      </c>
      <c r="AD163" s="55">
        <f ca="1">(Проект!AD609+Проект!AD1052)/Параметры!AD$64</f>
        <v>2275570.4418053157</v>
      </c>
      <c r="AE163" s="55">
        <f ca="1">(Проект!AE609+Проект!AE1052)/Параметры!AE$64</f>
        <v>1591126.5161584537</v>
      </c>
      <c r="AF163" s="55">
        <f ca="1">(Проект!AF609+Проект!AF1052)/Параметры!AF$64</f>
        <v>1363052.8831402145</v>
      </c>
      <c r="AG163" s="55">
        <f ca="1">(Проект!AG609+Проект!AG1052)/Параметры!AG$64</f>
        <v>1531122.7653613295</v>
      </c>
      <c r="AH163" s="55">
        <f ca="1">(Проект!AH609+Проект!AH1052)/Параметры!AH$64</f>
        <v>1139519.9896847706</v>
      </c>
      <c r="AI163" s="55">
        <f ca="1">(Проект!AI609+Проект!AI1052)/Параметры!AI$64</f>
        <v>2522267.3206365136</v>
      </c>
      <c r="AJ163" s="55">
        <f ca="1">(Проект!AJ609+Проект!AJ1052)/Параметры!AJ$64</f>
        <v>2869408.6835154593</v>
      </c>
      <c r="AK163" s="55">
        <f ca="1">(Проект!AK609+Проект!AK1052)/Параметры!AK$64</f>
        <v>2566418.1082182173</v>
      </c>
      <c r="AL163" s="55">
        <f ca="1">(Проект!AL609+Проект!AL1052)/Параметры!AL$64</f>
        <v>1346229.7843613918</v>
      </c>
      <c r="AM163" s="55">
        <f ca="1">(Проект!AM609+Проект!AM1052)/Параметры!AM$64</f>
        <v>1023033.9432859169</v>
      </c>
      <c r="AN163" s="55">
        <f ca="1">(Проект!AN609+Проект!AN1052)/Параметры!AN$64</f>
        <v>1367060.4498505509</v>
      </c>
      <c r="AO163" s="55">
        <f ca="1">(Проект!AO609+Проект!AO1052)/Параметры!AO$64</f>
        <v>1812386.375479429</v>
      </c>
      <c r="AP163" s="55">
        <f ca="1">(Проект!AP609+Проект!AP1052)/Параметры!AP$64</f>
        <v>2516284.3524384545</v>
      </c>
      <c r="AQ163" s="55">
        <f ca="1">(Проект!AQ609+Проект!AQ1052)/Параметры!AQ$64</f>
        <v>1760799.6919197633</v>
      </c>
      <c r="AR163" s="55">
        <f ca="1">(Проект!AR609+Проект!AR1052)/Параметры!AR$64</f>
        <v>1508125.6877034039</v>
      </c>
      <c r="AS163" s="55">
        <f ca="1">(Проект!AS609+Проект!AS1052)/Параметры!AS$64</f>
        <v>1693512.3533994239</v>
      </c>
      <c r="AT163" s="55">
        <f ca="1">(Проект!AT609+Проект!AT1052)/Параметры!AT$64</f>
        <v>1260553.7032846925</v>
      </c>
      <c r="AU163" s="55">
        <f ca="1">(Проект!AU609+Проект!AU1052)/Параметры!AU$64</f>
        <v>2789711.2700596871</v>
      </c>
      <c r="AV163" s="55">
        <f ca="1">(Проект!AV609+Проект!AV1052)/Параметры!AV$64</f>
        <v>3176206.0268863994</v>
      </c>
      <c r="AW163" s="55">
        <f ca="1">(Проект!AW609+Проект!AW1052)/Параметры!AW$64</f>
        <v>2842595.9097620649</v>
      </c>
      <c r="AX163" s="55">
        <f ca="1">(Проект!AX609+Проект!AX1052)/Параметры!AX$64</f>
        <v>1492540.9143630199</v>
      </c>
      <c r="AY163" s="55">
        <f ca="1">(Проект!AY609+Проект!AY1052)/Параметры!AY$64</f>
        <v>1132686.8941059816</v>
      </c>
      <c r="AZ163" s="55">
        <f ca="1">(Проект!AZ609+Проект!AZ1052)/Параметры!AZ$64</f>
        <v>1511986.6268458627</v>
      </c>
      <c r="BA163" s="55">
        <f ca="1">(Проект!BA609+Проект!BA1052)/Параметры!BA$64</f>
        <v>2004498.6216356331</v>
      </c>
      <c r="BB163" s="55">
        <f ca="1">(Проект!BB609+Проект!BB1052)/Параметры!BB$64</f>
        <v>2004498.6216356331</v>
      </c>
    </row>
    <row r="164" spans="1:54" x14ac:dyDescent="0.3">
      <c r="A164" s="35" t="str">
        <f ca="1">Language!A1270</f>
        <v>Готовая продукция на складе</v>
      </c>
      <c r="C164" s="48" t="str">
        <f ca="1">Параметры!$C$64</f>
        <v>руб.</v>
      </c>
      <c r="E164" s="6" t="s">
        <v>1491</v>
      </c>
      <c r="F164" s="6" t="s">
        <v>741</v>
      </c>
      <c r="G164" s="55">
        <f ca="1">Проект!G596/Параметры!G$64</f>
        <v>0</v>
      </c>
      <c r="H164" s="55">
        <f ca="1">Проект!H596/Параметры!H$64</f>
        <v>0</v>
      </c>
      <c r="I164" s="55">
        <f ca="1">Проект!I596/Параметры!I$64</f>
        <v>0</v>
      </c>
      <c r="J164" s="55">
        <f ca="1">Проект!J596/Параметры!J$64</f>
        <v>0</v>
      </c>
      <c r="K164" s="55">
        <f ca="1">Проект!K596/Параметры!K$64</f>
        <v>0</v>
      </c>
      <c r="L164" s="55">
        <f ca="1">Проект!L596/Параметры!L$64</f>
        <v>0</v>
      </c>
      <c r="M164" s="55">
        <f ca="1">Проект!M596/Параметры!M$64</f>
        <v>607801.61104531935</v>
      </c>
      <c r="N164" s="55">
        <f ca="1">Проект!N596/Параметры!N$64</f>
        <v>816860.3728926063</v>
      </c>
      <c r="O164" s="55">
        <f ca="1">Проект!O596/Параметры!O$64</f>
        <v>1029218.2033643425</v>
      </c>
      <c r="P164" s="55">
        <f ca="1">Проект!P596/Параметры!P$64</f>
        <v>1244917.8438675725</v>
      </c>
      <c r="Q164" s="55">
        <f ca="1">Проект!Q596/Параметры!Q$64</f>
        <v>1254859.3337527823</v>
      </c>
      <c r="R164" s="55">
        <f ca="1">Проект!R596/Параметры!R$64</f>
        <v>1264887.0959258261</v>
      </c>
      <c r="S164" s="55">
        <f ca="1">Проект!S596/Параметры!S$64</f>
        <v>1700002.560000001</v>
      </c>
      <c r="T164" s="55">
        <f ca="1">Проект!T596/Параметры!T$64</f>
        <v>1499405.3702129857</v>
      </c>
      <c r="U164" s="55">
        <f ca="1">Проект!U596/Параметры!U$64</f>
        <v>1295495.9496319001</v>
      </c>
      <c r="V164" s="55">
        <f ca="1">Проект!V596/Параметры!V$64</f>
        <v>1305876.7719583062</v>
      </c>
      <c r="W164" s="55">
        <f ca="1">Проект!W596/Параметры!W$64</f>
        <v>1096956.5748901963</v>
      </c>
      <c r="X164" s="55">
        <f ca="1">Проект!X596/Параметры!X$64</f>
        <v>1769213.5079362374</v>
      </c>
      <c r="Y164" s="55">
        <f ca="1">Проект!Y596/Параметры!Y$64</f>
        <v>2229273.884360129</v>
      </c>
      <c r="Z164" s="55">
        <f ca="1">Проект!Z596/Параметры!Z$64</f>
        <v>2247185.5535938889</v>
      </c>
      <c r="AA164" s="55">
        <f ca="1">Проект!AA596/Параметры!AA$64</f>
        <v>1585677.3179747805</v>
      </c>
      <c r="AB164" s="55">
        <f ca="1">Проект!AB596/Параметры!AB$64</f>
        <v>1141739.2949657273</v>
      </c>
      <c r="AC164" s="55">
        <f ca="1">Проект!AC596/Параметры!AC$64</f>
        <v>1150931.4174595242</v>
      </c>
      <c r="AD164" s="55">
        <f ca="1">Проект!AD596/Параметры!AD$64</f>
        <v>1392244.5034360322</v>
      </c>
      <c r="AE164" s="55">
        <f ca="1">Проект!AE596/Параметры!AE$64</f>
        <v>1871291.260416002</v>
      </c>
      <c r="AF164" s="55">
        <f ca="1">Проект!AF596/Параметры!AF$64</f>
        <v>1650588.8219736987</v>
      </c>
      <c r="AG164" s="55">
        <f ca="1">Проект!AG596/Параметры!AG$64</f>
        <v>1426211.3246952614</v>
      </c>
      <c r="AH164" s="55">
        <f ca="1">Проект!AH596/Параметры!AH$64</f>
        <v>1437732.0721026054</v>
      </c>
      <c r="AI164" s="55">
        <f ca="1">Проект!AI596/Параметры!AI$64</f>
        <v>1207794.6490535154</v>
      </c>
      <c r="AJ164" s="55">
        <f ca="1">Проект!AJ596/Параметры!AJ$64</f>
        <v>1948102.3619589927</v>
      </c>
      <c r="AK164" s="55">
        <f ca="1">Проект!AK596/Параметры!AK$64</f>
        <v>2454837.6419529389</v>
      </c>
      <c r="AL164" s="55">
        <f ca="1">Проект!AL596/Параметры!AL$64</f>
        <v>2474719.9401249667</v>
      </c>
      <c r="AM164" s="55">
        <f ca="1">Проект!AM596/Параметры!AM$64</f>
        <v>1746343.5047522706</v>
      </c>
      <c r="AN164" s="55">
        <f ca="1">Проект!AN596/Параметры!AN$64</f>
        <v>1257504.3655440114</v>
      </c>
      <c r="AO164" s="55">
        <f ca="1">Проект!AO596/Параметры!AO$64</f>
        <v>1267709.2229571973</v>
      </c>
      <c r="AP164" s="55">
        <f ca="1">Проект!AP596/Параметры!AP$64</f>
        <v>1533604.3282617261</v>
      </c>
      <c r="AQ164" s="55">
        <f ca="1">Проект!AQ596/Параметры!AQ$64</f>
        <v>2061421.3472434208</v>
      </c>
      <c r="AR164" s="55">
        <f ca="1">Проект!AR596/Параметры!AR$64</f>
        <v>1818409.9652521801</v>
      </c>
      <c r="AS164" s="55">
        <f ca="1">Проект!AS596/Параметры!AS$64</f>
        <v>1571318.644657786</v>
      </c>
      <c r="AT164" s="55">
        <f ca="1">Проект!AT596/Параметры!AT$64</f>
        <v>1584111.6232125545</v>
      </c>
      <c r="AU164" s="55">
        <f ca="1">Проект!AU596/Параметры!AU$64</f>
        <v>1330847.5636738343</v>
      </c>
      <c r="AV164" s="55">
        <f ca="1">Проект!AV596/Параметры!AV$64</f>
        <v>2146714.7222054712</v>
      </c>
      <c r="AW164" s="55">
        <f ca="1">Проект!AW596/Параметры!AW$64</f>
        <v>2705282.6103133727</v>
      </c>
      <c r="AX164" s="55">
        <f ca="1">Проект!AX596/Параметры!AX$64</f>
        <v>2727364.5119576976</v>
      </c>
      <c r="AY164" s="55">
        <f ca="1">Проект!AY596/Параметры!AY$64</f>
        <v>1924748.6204320067</v>
      </c>
      <c r="AZ164" s="55">
        <f ca="1">Проект!AZ596/Параметры!AZ$64</f>
        <v>1386056.7644690028</v>
      </c>
      <c r="BA164" s="55">
        <f ca="1">Проект!BA596/Параметры!BA$64</f>
        <v>1397392.1261523631</v>
      </c>
      <c r="BB164" s="55">
        <f ca="1">Проект!BB596/Параметры!BB$64</f>
        <v>1690592.9316879357</v>
      </c>
    </row>
    <row r="165" spans="1:54" x14ac:dyDescent="0.3">
      <c r="A165" s="35" t="str">
        <f ca="1">Language!A1271</f>
        <v>Незавершенное производство</v>
      </c>
      <c r="C165" s="48" t="str">
        <f ca="1">Параметры!$C$64</f>
        <v>руб.</v>
      </c>
      <c r="E165" s="6" t="s">
        <v>1492</v>
      </c>
      <c r="F165" s="6" t="s">
        <v>741</v>
      </c>
      <c r="G165" s="55">
        <f ca="1">Проект!G590/Параметры!G$64</f>
        <v>0</v>
      </c>
      <c r="H165" s="55">
        <f ca="1">Проект!H590/Параметры!H$64</f>
        <v>0</v>
      </c>
      <c r="I165" s="55">
        <f ca="1">Проект!I590/Параметры!I$64</f>
        <v>0</v>
      </c>
      <c r="J165" s="55">
        <f ca="1">Проект!J590/Параметры!J$64</f>
        <v>0</v>
      </c>
      <c r="K165" s="55">
        <f ca="1">Проект!K590/Параметры!K$64</f>
        <v>0</v>
      </c>
      <c r="L165" s="55">
        <f ca="1">Проект!L590/Параметры!L$64</f>
        <v>0</v>
      </c>
      <c r="M165" s="55">
        <f ca="1">Проект!M590/Параметры!M$64</f>
        <v>0</v>
      </c>
      <c r="N165" s="55">
        <f ca="1">Проект!N590/Параметры!N$64</f>
        <v>0</v>
      </c>
      <c r="O165" s="55">
        <f ca="1">Проект!O590/Параметры!O$64</f>
        <v>0</v>
      </c>
      <c r="P165" s="55">
        <f ca="1">Проект!P590/Параметры!P$64</f>
        <v>0</v>
      </c>
      <c r="Q165" s="55">
        <f ca="1">Проект!Q590/Параметры!Q$64</f>
        <v>0</v>
      </c>
      <c r="R165" s="55">
        <f ca="1">Проект!R590/Параметры!R$64</f>
        <v>0</v>
      </c>
      <c r="S165" s="55">
        <f ca="1">Проект!S590/Параметры!S$64</f>
        <v>0</v>
      </c>
      <c r="T165" s="55">
        <f ca="1">Проект!T590/Параметры!T$64</f>
        <v>0</v>
      </c>
      <c r="U165" s="55">
        <f ca="1">Проект!U590/Параметры!U$64</f>
        <v>0</v>
      </c>
      <c r="V165" s="55">
        <f ca="1">Проект!V590/Параметры!V$64</f>
        <v>0</v>
      </c>
      <c r="W165" s="55">
        <f ca="1">Проект!W590/Параметры!W$64</f>
        <v>0</v>
      </c>
      <c r="X165" s="55">
        <f ca="1">Проект!X590/Параметры!X$64</f>
        <v>0</v>
      </c>
      <c r="Y165" s="55">
        <f ca="1">Проект!Y590/Параметры!Y$64</f>
        <v>0</v>
      </c>
      <c r="Z165" s="55">
        <f ca="1">Проект!Z590/Параметры!Z$64</f>
        <v>0</v>
      </c>
      <c r="AA165" s="55">
        <f ca="1">Проект!AA590/Параметры!AA$64</f>
        <v>0</v>
      </c>
      <c r="AB165" s="55">
        <f ca="1">Проект!AB590/Параметры!AB$64</f>
        <v>0</v>
      </c>
      <c r="AC165" s="55">
        <f ca="1">Проект!AC590/Параметры!AC$64</f>
        <v>0</v>
      </c>
      <c r="AD165" s="55">
        <f ca="1">Проект!AD590/Параметры!AD$64</f>
        <v>0</v>
      </c>
      <c r="AE165" s="55">
        <f ca="1">Проект!AE590/Параметры!AE$64</f>
        <v>0</v>
      </c>
      <c r="AF165" s="55">
        <f ca="1">Проект!AF590/Параметры!AF$64</f>
        <v>0</v>
      </c>
      <c r="AG165" s="55">
        <f ca="1">Проект!AG590/Параметры!AG$64</f>
        <v>0</v>
      </c>
      <c r="AH165" s="55">
        <f ca="1">Проект!AH590/Параметры!AH$64</f>
        <v>0</v>
      </c>
      <c r="AI165" s="55">
        <f ca="1">Проект!AI590/Параметры!AI$64</f>
        <v>0</v>
      </c>
      <c r="AJ165" s="55">
        <f ca="1">Проект!AJ590/Параметры!AJ$64</f>
        <v>0</v>
      </c>
      <c r="AK165" s="55">
        <f ca="1">Проект!AK590/Параметры!AK$64</f>
        <v>0</v>
      </c>
      <c r="AL165" s="55">
        <f ca="1">Проект!AL590/Параметры!AL$64</f>
        <v>0</v>
      </c>
      <c r="AM165" s="55">
        <f ca="1">Проект!AM590/Параметры!AM$64</f>
        <v>0</v>
      </c>
      <c r="AN165" s="55">
        <f ca="1">Проект!AN590/Параметры!AN$64</f>
        <v>0</v>
      </c>
      <c r="AO165" s="55">
        <f ca="1">Проект!AO590/Параметры!AO$64</f>
        <v>0</v>
      </c>
      <c r="AP165" s="55">
        <f ca="1">Проект!AP590/Параметры!AP$64</f>
        <v>0</v>
      </c>
      <c r="AQ165" s="55">
        <f ca="1">Проект!AQ590/Параметры!AQ$64</f>
        <v>0</v>
      </c>
      <c r="AR165" s="55">
        <f ca="1">Проект!AR590/Параметры!AR$64</f>
        <v>0</v>
      </c>
      <c r="AS165" s="55">
        <f ca="1">Проект!AS590/Параметры!AS$64</f>
        <v>0</v>
      </c>
      <c r="AT165" s="55">
        <f ca="1">Проект!AT590/Параметры!AT$64</f>
        <v>0</v>
      </c>
      <c r="AU165" s="55">
        <f ca="1">Проект!AU590/Параметры!AU$64</f>
        <v>0</v>
      </c>
      <c r="AV165" s="55">
        <f ca="1">Проект!AV590/Параметры!AV$64</f>
        <v>0</v>
      </c>
      <c r="AW165" s="55">
        <f ca="1">Проект!AW590/Параметры!AW$64</f>
        <v>0</v>
      </c>
      <c r="AX165" s="55">
        <f ca="1">Проект!AX590/Параметры!AX$64</f>
        <v>0</v>
      </c>
      <c r="AY165" s="55">
        <f ca="1">Проект!AY590/Параметры!AY$64</f>
        <v>0</v>
      </c>
      <c r="AZ165" s="55">
        <f ca="1">Проект!AZ590/Параметры!AZ$64</f>
        <v>0</v>
      </c>
      <c r="BA165" s="55">
        <f ca="1">Проект!BA590/Параметры!BA$64</f>
        <v>0</v>
      </c>
      <c r="BB165" s="55">
        <f ca="1">Проект!BB590/Параметры!BB$64</f>
        <v>0</v>
      </c>
    </row>
    <row r="166" spans="1:54" x14ac:dyDescent="0.3">
      <c r="A166" s="35" t="str">
        <f ca="1">Language!A1272</f>
        <v>Запасы материалов и комплектующих</v>
      </c>
      <c r="C166" s="48" t="str">
        <f ca="1">Параметры!$C$64</f>
        <v>руб.</v>
      </c>
      <c r="E166" s="6" t="s">
        <v>1493</v>
      </c>
      <c r="F166" s="6" t="s">
        <v>741</v>
      </c>
      <c r="G166" s="55">
        <f ca="1">Проект!G584/Параметры!G$64</f>
        <v>0</v>
      </c>
      <c r="H166" s="55">
        <f ca="1">Проект!H584/Параметры!H$64</f>
        <v>0</v>
      </c>
      <c r="I166" s="55">
        <f ca="1">Проект!I584/Параметры!I$64</f>
        <v>0</v>
      </c>
      <c r="J166" s="55">
        <f ca="1">Проект!J584/Параметры!J$64</f>
        <v>0</v>
      </c>
      <c r="K166" s="55">
        <f ca="1">Проект!K584/Параметры!K$64</f>
        <v>0</v>
      </c>
      <c r="L166" s="55">
        <f ca="1">Проект!L584/Параметры!L$64</f>
        <v>0</v>
      </c>
      <c r="M166" s="55">
        <f ca="1">Проект!M584/Параметры!M$64</f>
        <v>607801.61104531935</v>
      </c>
      <c r="N166" s="55">
        <f ca="1">Проект!N584/Параметры!N$64</f>
        <v>816860.3728926063</v>
      </c>
      <c r="O166" s="55">
        <f ca="1">Проект!O584/Параметры!O$64</f>
        <v>1029218.2033643425</v>
      </c>
      <c r="P166" s="55">
        <f ca="1">Проект!P584/Параметры!P$64</f>
        <v>1244917.8438675725</v>
      </c>
      <c r="Q166" s="55">
        <f ca="1">Проект!Q584/Параметры!Q$64</f>
        <v>1254859.3337527823</v>
      </c>
      <c r="R166" s="55">
        <f ca="1">Проект!R584/Параметры!R$64</f>
        <v>1264887.0959258261</v>
      </c>
      <c r="S166" s="55">
        <f ca="1">Проект!S584/Параметры!S$64</f>
        <v>1700002.560000001</v>
      </c>
      <c r="T166" s="55">
        <f ca="1">Проект!T584/Параметры!T$64</f>
        <v>1499405.3702129857</v>
      </c>
      <c r="U166" s="55">
        <f ca="1">Проект!U584/Параметры!U$64</f>
        <v>1295495.9496319001</v>
      </c>
      <c r="V166" s="55">
        <f ca="1">Проект!V584/Параметры!V$64</f>
        <v>1305876.7719583062</v>
      </c>
      <c r="W166" s="55">
        <f ca="1">Проект!W584/Параметры!W$64</f>
        <v>1096956.5748901963</v>
      </c>
      <c r="X166" s="55">
        <f ca="1">Проект!X584/Параметры!X$64</f>
        <v>1769213.5079362374</v>
      </c>
      <c r="Y166" s="55">
        <f ca="1">Проект!Y584/Параметры!Y$64</f>
        <v>2229273.884360129</v>
      </c>
      <c r="Z166" s="55">
        <f ca="1">Проект!Z584/Параметры!Z$64</f>
        <v>2247185.5535938889</v>
      </c>
      <c r="AA166" s="55">
        <f ca="1">Проект!AA584/Параметры!AA$64</f>
        <v>1585677.3179747805</v>
      </c>
      <c r="AB166" s="55">
        <f ca="1">Проект!AB584/Параметры!AB$64</f>
        <v>1141739.2949657273</v>
      </c>
      <c r="AC166" s="55">
        <f ca="1">Проект!AC584/Параметры!AC$64</f>
        <v>1150931.4174595242</v>
      </c>
      <c r="AD166" s="55">
        <f ca="1">Проект!AD584/Параметры!AD$64</f>
        <v>1392244.5034360322</v>
      </c>
      <c r="AE166" s="55">
        <f ca="1">Проект!AE584/Параметры!AE$64</f>
        <v>1871291.260416002</v>
      </c>
      <c r="AF166" s="55">
        <f ca="1">Проект!AF584/Параметры!AF$64</f>
        <v>1650588.8219736987</v>
      </c>
      <c r="AG166" s="55">
        <f ca="1">Проект!AG584/Параметры!AG$64</f>
        <v>1426211.3246952614</v>
      </c>
      <c r="AH166" s="55">
        <f ca="1">Проект!AH584/Параметры!AH$64</f>
        <v>1437732.0721026054</v>
      </c>
      <c r="AI166" s="55">
        <f ca="1">Проект!AI584/Параметры!AI$64</f>
        <v>1207794.6490535154</v>
      </c>
      <c r="AJ166" s="55">
        <f ca="1">Проект!AJ584/Параметры!AJ$64</f>
        <v>1948102.3619589927</v>
      </c>
      <c r="AK166" s="55">
        <f ca="1">Проект!AK584/Параметры!AK$64</f>
        <v>2454837.6419529389</v>
      </c>
      <c r="AL166" s="55">
        <f ca="1">Проект!AL584/Параметры!AL$64</f>
        <v>2474719.9401249667</v>
      </c>
      <c r="AM166" s="55">
        <f ca="1">Проект!AM584/Параметры!AM$64</f>
        <v>1746343.5047522706</v>
      </c>
      <c r="AN166" s="55">
        <f ca="1">Проект!AN584/Параметры!AN$64</f>
        <v>1257504.3655440114</v>
      </c>
      <c r="AO166" s="55">
        <f ca="1">Проект!AO584/Параметры!AO$64</f>
        <v>1267709.2229571973</v>
      </c>
      <c r="AP166" s="55">
        <f ca="1">Проект!AP584/Параметры!AP$64</f>
        <v>1533604.3282617261</v>
      </c>
      <c r="AQ166" s="55">
        <f ca="1">Проект!AQ584/Параметры!AQ$64</f>
        <v>2061421.3472434208</v>
      </c>
      <c r="AR166" s="55">
        <f ca="1">Проект!AR584/Параметры!AR$64</f>
        <v>1818409.9652521801</v>
      </c>
      <c r="AS166" s="55">
        <f ca="1">Проект!AS584/Параметры!AS$64</f>
        <v>1571318.644657786</v>
      </c>
      <c r="AT166" s="55">
        <f ca="1">Проект!AT584/Параметры!AT$64</f>
        <v>1584111.6232125545</v>
      </c>
      <c r="AU166" s="55">
        <f ca="1">Проект!AU584/Параметры!AU$64</f>
        <v>1330847.5636738343</v>
      </c>
      <c r="AV166" s="55">
        <f ca="1">Проект!AV584/Параметры!AV$64</f>
        <v>2146714.7222054712</v>
      </c>
      <c r="AW166" s="55">
        <f ca="1">Проект!AW584/Параметры!AW$64</f>
        <v>2705282.6103133727</v>
      </c>
      <c r="AX166" s="55">
        <f ca="1">Проект!AX584/Параметры!AX$64</f>
        <v>2727364.5119576976</v>
      </c>
      <c r="AY166" s="55">
        <f ca="1">Проект!AY584/Параметры!AY$64</f>
        <v>1924748.6204320067</v>
      </c>
      <c r="AZ166" s="55">
        <f ca="1">Проект!AZ584/Параметры!AZ$64</f>
        <v>1386056.7644690028</v>
      </c>
      <c r="BA166" s="55">
        <f ca="1">Проект!BA584/Параметры!BA$64</f>
        <v>1397392.1261523631</v>
      </c>
      <c r="BB166" s="55">
        <f ca="1">Проект!BB584/Параметры!BB$64</f>
        <v>1690592.9316879357</v>
      </c>
    </row>
    <row r="167" spans="1:54" x14ac:dyDescent="0.3">
      <c r="A167" s="35" t="str">
        <f ca="1">Language!A1273</f>
        <v>НДС на приобретенные товары</v>
      </c>
      <c r="C167" s="48" t="str">
        <f ca="1">Параметры!$C$64</f>
        <v>руб.</v>
      </c>
      <c r="E167" s="6" t="s">
        <v>1494</v>
      </c>
      <c r="F167" s="6" t="s">
        <v>741</v>
      </c>
      <c r="G167" s="55">
        <f ca="1">SUM(Проект!G1310:G1311)/Параметры!G$64</f>
        <v>0</v>
      </c>
      <c r="H167" s="55">
        <f ca="1">SUM(Проект!H1310:H1311)/Параметры!H$64</f>
        <v>0</v>
      </c>
      <c r="I167" s="55">
        <f ca="1">SUM(Проект!I1310:I1311)/Параметры!I$64</f>
        <v>0</v>
      </c>
      <c r="J167" s="55">
        <f ca="1">SUM(Проект!J1310:J1311)/Параметры!J$64</f>
        <v>0</v>
      </c>
      <c r="K167" s="55">
        <f ca="1">SUM(Проект!K1310:K1311)/Параметры!K$64</f>
        <v>0</v>
      </c>
      <c r="L167" s="55">
        <f ca="1">SUM(Проект!L1310:L1311)/Параметры!L$64</f>
        <v>0</v>
      </c>
      <c r="M167" s="55">
        <f ca="1">SUM(Проект!M1310:M1311)/Параметры!M$64</f>
        <v>0</v>
      </c>
      <c r="N167" s="55">
        <f ca="1">SUM(Проект!N1310:N1311)/Параметры!N$64</f>
        <v>0</v>
      </c>
      <c r="O167" s="55">
        <f ca="1">SUM(Проект!O1310:O1311)/Параметры!O$64</f>
        <v>0</v>
      </c>
      <c r="P167" s="55">
        <f ca="1">SUM(Проект!P1310:P1311)/Параметры!P$64</f>
        <v>0</v>
      </c>
      <c r="Q167" s="55">
        <f ca="1">SUM(Проект!Q1310:Q1311)/Параметры!Q$64</f>
        <v>0</v>
      </c>
      <c r="R167" s="55">
        <f ca="1">SUM(Проект!R1310:R1311)/Параметры!R$64</f>
        <v>0</v>
      </c>
      <c r="S167" s="55">
        <f ca="1">SUM(Проект!S1310:S1311)/Параметры!S$64</f>
        <v>0</v>
      </c>
      <c r="T167" s="55">
        <f ca="1">SUM(Проект!T1310:T1311)/Параметры!T$64</f>
        <v>0</v>
      </c>
      <c r="U167" s="55">
        <f ca="1">SUM(Проект!U1310:U1311)/Параметры!U$64</f>
        <v>0</v>
      </c>
      <c r="V167" s="55">
        <f ca="1">SUM(Проект!V1310:V1311)/Параметры!V$64</f>
        <v>0</v>
      </c>
      <c r="W167" s="55">
        <f ca="1">SUM(Проект!W1310:W1311)/Параметры!W$64</f>
        <v>0</v>
      </c>
      <c r="X167" s="55">
        <f ca="1">SUM(Проект!X1310:X1311)/Параметры!X$64</f>
        <v>0</v>
      </c>
      <c r="Y167" s="55">
        <f ca="1">SUM(Проект!Y1310:Y1311)/Параметры!Y$64</f>
        <v>0</v>
      </c>
      <c r="Z167" s="55">
        <f ca="1">SUM(Проект!Z1310:Z1311)/Параметры!Z$64</f>
        <v>0</v>
      </c>
      <c r="AA167" s="55">
        <f ca="1">SUM(Проект!AA1310:AA1311)/Параметры!AA$64</f>
        <v>0</v>
      </c>
      <c r="AB167" s="55">
        <f ca="1">SUM(Проект!AB1310:AB1311)/Параметры!AB$64</f>
        <v>0</v>
      </c>
      <c r="AC167" s="55">
        <f ca="1">SUM(Проект!AC1310:AC1311)/Параметры!AC$64</f>
        <v>0</v>
      </c>
      <c r="AD167" s="55">
        <f ca="1">SUM(Проект!AD1310:AD1311)/Параметры!AD$64</f>
        <v>0</v>
      </c>
      <c r="AE167" s="55">
        <f ca="1">SUM(Проект!AE1310:AE1311)/Параметры!AE$64</f>
        <v>0</v>
      </c>
      <c r="AF167" s="55">
        <f ca="1">SUM(Проект!AF1310:AF1311)/Параметры!AF$64</f>
        <v>0</v>
      </c>
      <c r="AG167" s="55">
        <f ca="1">SUM(Проект!AG1310:AG1311)/Параметры!AG$64</f>
        <v>0</v>
      </c>
      <c r="AH167" s="55">
        <f ca="1">SUM(Проект!AH1310:AH1311)/Параметры!AH$64</f>
        <v>0</v>
      </c>
      <c r="AI167" s="55">
        <f ca="1">SUM(Проект!AI1310:AI1311)/Параметры!AI$64</f>
        <v>0</v>
      </c>
      <c r="AJ167" s="55">
        <f ca="1">SUM(Проект!AJ1310:AJ1311)/Параметры!AJ$64</f>
        <v>0</v>
      </c>
      <c r="AK167" s="55">
        <f ca="1">SUM(Проект!AK1310:AK1311)/Параметры!AK$64</f>
        <v>0</v>
      </c>
      <c r="AL167" s="55">
        <f ca="1">SUM(Проект!AL1310:AL1311)/Параметры!AL$64</f>
        <v>0</v>
      </c>
      <c r="AM167" s="55">
        <f ca="1">SUM(Проект!AM1310:AM1311)/Параметры!AM$64</f>
        <v>0</v>
      </c>
      <c r="AN167" s="55">
        <f ca="1">SUM(Проект!AN1310:AN1311)/Параметры!AN$64</f>
        <v>0</v>
      </c>
      <c r="AO167" s="55">
        <f ca="1">SUM(Проект!AO1310:AO1311)/Параметры!AO$64</f>
        <v>0</v>
      </c>
      <c r="AP167" s="55">
        <f ca="1">SUM(Проект!AP1310:AP1311)/Параметры!AP$64</f>
        <v>0</v>
      </c>
      <c r="AQ167" s="55">
        <f ca="1">SUM(Проект!AQ1310:AQ1311)/Параметры!AQ$64</f>
        <v>0</v>
      </c>
      <c r="AR167" s="55">
        <f ca="1">SUM(Проект!AR1310:AR1311)/Параметры!AR$64</f>
        <v>0</v>
      </c>
      <c r="AS167" s="55">
        <f ca="1">SUM(Проект!AS1310:AS1311)/Параметры!AS$64</f>
        <v>0</v>
      </c>
      <c r="AT167" s="55">
        <f ca="1">SUM(Проект!AT1310:AT1311)/Параметры!AT$64</f>
        <v>0</v>
      </c>
      <c r="AU167" s="55">
        <f ca="1">SUM(Проект!AU1310:AU1311)/Параметры!AU$64</f>
        <v>0</v>
      </c>
      <c r="AV167" s="55">
        <f ca="1">SUM(Проект!AV1310:AV1311)/Параметры!AV$64</f>
        <v>0</v>
      </c>
      <c r="AW167" s="55">
        <f ca="1">SUM(Проект!AW1310:AW1311)/Параметры!AW$64</f>
        <v>0</v>
      </c>
      <c r="AX167" s="55">
        <f ca="1">SUM(Проект!AX1310:AX1311)/Параметры!AX$64</f>
        <v>0</v>
      </c>
      <c r="AY167" s="55">
        <f ca="1">SUM(Проект!AY1310:AY1311)/Параметры!AY$64</f>
        <v>0</v>
      </c>
      <c r="AZ167" s="55">
        <f ca="1">SUM(Проект!AZ1310:AZ1311)/Параметры!AZ$64</f>
        <v>0</v>
      </c>
      <c r="BA167" s="55">
        <f ca="1">SUM(Проект!BA1310:BA1311)/Параметры!BA$64</f>
        <v>0</v>
      </c>
      <c r="BB167" s="55">
        <f ca="1">SUM(Проект!BB1310:BB1311)/Параметры!BB$64</f>
        <v>0</v>
      </c>
    </row>
    <row r="168" spans="1:54" x14ac:dyDescent="0.3">
      <c r="A168" s="35" t="str">
        <f ca="1">Language!A1274</f>
        <v>Краткосрочные финансовые вложения</v>
      </c>
      <c r="C168" s="48" t="str">
        <f ca="1">Параметры!$C$64</f>
        <v>руб.</v>
      </c>
      <c r="E168" s="6" t="s">
        <v>1495</v>
      </c>
      <c r="F168" s="6" t="s">
        <v>741</v>
      </c>
      <c r="G168" s="55">
        <f>SUM(Старт!G93,Проект!G1085,Проект!G1135)/Параметры!G$64</f>
        <v>0</v>
      </c>
      <c r="H168" s="55">
        <f>SUM(Старт!H93,Проект!H1085,Проект!H1135)/Параметры!H$64</f>
        <v>0</v>
      </c>
      <c r="I168" s="55">
        <f>SUM(Старт!I93,Проект!I1085,Проект!I1135)/Параметры!I$64</f>
        <v>0</v>
      </c>
      <c r="J168" s="55">
        <f>SUM(Старт!J93,Проект!J1085,Проект!J1135)/Параметры!J$64</f>
        <v>0</v>
      </c>
      <c r="K168" s="55">
        <f>SUM(Старт!K93,Проект!K1085,Проект!K1135)/Параметры!K$64</f>
        <v>0</v>
      </c>
      <c r="L168" s="55">
        <f>SUM(Старт!L93,Проект!L1085,Проект!L1135)/Параметры!L$64</f>
        <v>0</v>
      </c>
      <c r="M168" s="55">
        <f>SUM(Старт!M93,Проект!M1085,Проект!M1135)/Параметры!M$64</f>
        <v>0</v>
      </c>
      <c r="N168" s="55">
        <f>SUM(Старт!N93,Проект!N1085,Проект!N1135)/Параметры!N$64</f>
        <v>0</v>
      </c>
      <c r="O168" s="55">
        <f>SUM(Старт!O93,Проект!O1085,Проект!O1135)/Параметры!O$64</f>
        <v>0</v>
      </c>
      <c r="P168" s="55">
        <f>SUM(Старт!P93,Проект!P1085,Проект!P1135)/Параметры!P$64</f>
        <v>0</v>
      </c>
      <c r="Q168" s="55">
        <f>SUM(Старт!Q93,Проект!Q1085,Проект!Q1135)/Параметры!Q$64</f>
        <v>0</v>
      </c>
      <c r="R168" s="55">
        <f>SUM(Старт!R93,Проект!R1085,Проект!R1135)/Параметры!R$64</f>
        <v>0</v>
      </c>
      <c r="S168" s="55">
        <f>SUM(Старт!S93,Проект!S1085,Проект!S1135)/Параметры!S$64</f>
        <v>0</v>
      </c>
      <c r="T168" s="55">
        <f>SUM(Старт!T93,Проект!T1085,Проект!T1135)/Параметры!T$64</f>
        <v>0</v>
      </c>
      <c r="U168" s="55">
        <f>SUM(Старт!U93,Проект!U1085,Проект!U1135)/Параметры!U$64</f>
        <v>0</v>
      </c>
      <c r="V168" s="55">
        <f>SUM(Старт!V93,Проект!V1085,Проект!V1135)/Параметры!V$64</f>
        <v>0</v>
      </c>
      <c r="W168" s="55">
        <f>SUM(Старт!W93,Проект!W1085,Проект!W1135)/Параметры!W$64</f>
        <v>0</v>
      </c>
      <c r="X168" s="55">
        <f>SUM(Старт!X93,Проект!X1085,Проект!X1135)/Параметры!X$64</f>
        <v>0</v>
      </c>
      <c r="Y168" s="55">
        <f>SUM(Старт!Y93,Проект!Y1085,Проект!Y1135)/Параметры!Y$64</f>
        <v>0</v>
      </c>
      <c r="Z168" s="55">
        <f>SUM(Старт!Z93,Проект!Z1085,Проект!Z1135)/Параметры!Z$64</f>
        <v>0</v>
      </c>
      <c r="AA168" s="55">
        <f>SUM(Старт!AA93,Проект!AA1085,Проект!AA1135)/Параметры!AA$64</f>
        <v>0</v>
      </c>
      <c r="AB168" s="55">
        <f>SUM(Старт!AB93,Проект!AB1085,Проект!AB1135)/Параметры!AB$64</f>
        <v>0</v>
      </c>
      <c r="AC168" s="55">
        <f>SUM(Старт!AC93,Проект!AC1085,Проект!AC1135)/Параметры!AC$64</f>
        <v>0</v>
      </c>
      <c r="AD168" s="55">
        <f>SUM(Старт!AD93,Проект!AD1085,Проект!AD1135)/Параметры!AD$64</f>
        <v>0</v>
      </c>
      <c r="AE168" s="55">
        <f>SUM(Старт!AE93,Проект!AE1085,Проект!AE1135)/Параметры!AE$64</f>
        <v>0</v>
      </c>
      <c r="AF168" s="55">
        <f>SUM(Старт!AF93,Проект!AF1085,Проект!AF1135)/Параметры!AF$64</f>
        <v>0</v>
      </c>
      <c r="AG168" s="55">
        <f>SUM(Старт!AG93,Проект!AG1085,Проект!AG1135)/Параметры!AG$64</f>
        <v>0</v>
      </c>
      <c r="AH168" s="55">
        <f>SUM(Старт!AH93,Проект!AH1085,Проект!AH1135)/Параметры!AH$64</f>
        <v>0</v>
      </c>
      <c r="AI168" s="55">
        <f>SUM(Старт!AI93,Проект!AI1085,Проект!AI1135)/Параметры!AI$64</f>
        <v>0</v>
      </c>
      <c r="AJ168" s="55">
        <f>SUM(Старт!AJ93,Проект!AJ1085,Проект!AJ1135)/Параметры!AJ$64</f>
        <v>0</v>
      </c>
      <c r="AK168" s="55">
        <f>SUM(Старт!AK93,Проект!AK1085,Проект!AK1135)/Параметры!AK$64</f>
        <v>0</v>
      </c>
      <c r="AL168" s="55">
        <f>SUM(Старт!AL93,Проект!AL1085,Проект!AL1135)/Параметры!AL$64</f>
        <v>0</v>
      </c>
      <c r="AM168" s="55">
        <f>SUM(Старт!AM93,Проект!AM1085,Проект!AM1135)/Параметры!AM$64</f>
        <v>0</v>
      </c>
      <c r="AN168" s="55">
        <f>SUM(Старт!AN93,Проект!AN1085,Проект!AN1135)/Параметры!AN$64</f>
        <v>0</v>
      </c>
      <c r="AO168" s="55">
        <f>SUM(Старт!AO93,Проект!AO1085,Проект!AO1135)/Параметры!AO$64</f>
        <v>0</v>
      </c>
      <c r="AP168" s="55">
        <f>SUM(Старт!AP93,Проект!AP1085,Проект!AP1135)/Параметры!AP$64</f>
        <v>0</v>
      </c>
      <c r="AQ168" s="55">
        <f>SUM(Старт!AQ93,Проект!AQ1085,Проект!AQ1135)/Параметры!AQ$64</f>
        <v>0</v>
      </c>
      <c r="AR168" s="55">
        <f>SUM(Старт!AR93,Проект!AR1085,Проект!AR1135)/Параметры!AR$64</f>
        <v>0</v>
      </c>
      <c r="AS168" s="55">
        <f>SUM(Старт!AS93,Проект!AS1085,Проект!AS1135)/Параметры!AS$64</f>
        <v>0</v>
      </c>
      <c r="AT168" s="55">
        <f>SUM(Старт!AT93,Проект!AT1085,Проект!AT1135)/Параметры!AT$64</f>
        <v>0</v>
      </c>
      <c r="AU168" s="55">
        <f>SUM(Старт!AU93,Проект!AU1085,Проект!AU1135)/Параметры!AU$64</f>
        <v>0</v>
      </c>
      <c r="AV168" s="55">
        <f>SUM(Старт!AV93,Проект!AV1085,Проект!AV1135)/Параметры!AV$64</f>
        <v>0</v>
      </c>
      <c r="AW168" s="55">
        <f>SUM(Старт!AW93,Проект!AW1085,Проект!AW1135)/Параметры!AW$64</f>
        <v>0</v>
      </c>
      <c r="AX168" s="55">
        <f>SUM(Старт!AX93,Проект!AX1085,Проект!AX1135)/Параметры!AX$64</f>
        <v>0</v>
      </c>
      <c r="AY168" s="55">
        <f>SUM(Старт!AY93,Проект!AY1085,Проект!AY1135)/Параметры!AY$64</f>
        <v>0</v>
      </c>
      <c r="AZ168" s="55">
        <f>SUM(Старт!AZ93,Проект!AZ1085,Проект!AZ1135)/Параметры!AZ$64</f>
        <v>0</v>
      </c>
      <c r="BA168" s="55">
        <f>SUM(Старт!BA93,Проект!BA1085,Проект!BA1135)/Параметры!BA$64</f>
        <v>0</v>
      </c>
      <c r="BB168" s="55">
        <f>SUM(Старт!BB93,Проект!BB1085,Проект!BB1135)/Параметры!BB$64</f>
        <v>0</v>
      </c>
    </row>
    <row r="169" spans="1:54" x14ac:dyDescent="0.3">
      <c r="A169" s="35" t="str">
        <f ca="1">Language!A1275</f>
        <v>Прочие оборотные активы</v>
      </c>
      <c r="C169" s="48" t="str">
        <f ca="1">Параметры!$C$64</f>
        <v>руб.</v>
      </c>
      <c r="E169" s="6" t="s">
        <v>1496</v>
      </c>
      <c r="F169" s="6" t="s">
        <v>741</v>
      </c>
      <c r="G169" s="55">
        <f>IF(G2=1,Старт!$B14/Параметры!G$64,F169*(Параметры!F64/Параметры!G64))</f>
        <v>0</v>
      </c>
      <c r="H169" s="55">
        <f>IF(H2=1,Старт!$B14/Параметры!H$64,G169*(Параметры!G64/Параметры!H64))</f>
        <v>0</v>
      </c>
      <c r="I169" s="55">
        <f>IF(I2=1,Старт!$B14/Параметры!I$64,H169*(Параметры!H64/Параметры!I64))</f>
        <v>0</v>
      </c>
      <c r="J169" s="55">
        <f>IF(J2=1,Старт!$B14/Параметры!J$64,I169*(Параметры!I64/Параметры!J64))</f>
        <v>0</v>
      </c>
      <c r="K169" s="55">
        <f>IF(K2=1,Старт!$B14/Параметры!K$64,J169*(Параметры!J64/Параметры!K64))</f>
        <v>0</v>
      </c>
      <c r="L169" s="55">
        <f>IF(L2=1,Старт!$B14/Параметры!L$64,K169*(Параметры!K64/Параметры!L64))</f>
        <v>0</v>
      </c>
      <c r="M169" s="55">
        <f>IF(M2=1,Старт!$B14/Параметры!M$64,L169*(Параметры!L64/Параметры!M64))</f>
        <v>0</v>
      </c>
      <c r="N169" s="55">
        <f>IF(N2=1,Старт!$B14/Параметры!N$64,M169*(Параметры!M64/Параметры!N64))</f>
        <v>0</v>
      </c>
      <c r="O169" s="55">
        <f>IF(O2=1,Старт!$B14/Параметры!O$64,N169*(Параметры!N64/Параметры!O64))</f>
        <v>0</v>
      </c>
      <c r="P169" s="55">
        <f>IF(P2=1,Старт!$B14/Параметры!P$64,O169*(Параметры!O64/Параметры!P64))</f>
        <v>0</v>
      </c>
      <c r="Q169" s="55">
        <f>IF(Q2=1,Старт!$B14/Параметры!Q$64,P169*(Параметры!P64/Параметры!Q64))</f>
        <v>0</v>
      </c>
      <c r="R169" s="55">
        <f>IF(R2=1,Старт!$B14/Параметры!R$64,Q169*(Параметры!Q64/Параметры!R64))</f>
        <v>0</v>
      </c>
      <c r="S169" s="55">
        <f>IF(S2=1,Старт!$B14/Параметры!S$64,R169*(Параметры!R64/Параметры!S64))</f>
        <v>0</v>
      </c>
      <c r="T169" s="55">
        <f>IF(T2=1,Старт!$B14/Параметры!T$64,S169*(Параметры!S64/Параметры!T64))</f>
        <v>0</v>
      </c>
      <c r="U169" s="55">
        <f>IF(U2=1,Старт!$B14/Параметры!U$64,T169*(Параметры!T64/Параметры!U64))</f>
        <v>0</v>
      </c>
      <c r="V169" s="55">
        <f>IF(V2=1,Старт!$B14/Параметры!V$64,U169*(Параметры!U64/Параметры!V64))</f>
        <v>0</v>
      </c>
      <c r="W169" s="55">
        <f>IF(W2=1,Старт!$B14/Параметры!W$64,V169*(Параметры!V64/Параметры!W64))</f>
        <v>0</v>
      </c>
      <c r="X169" s="55">
        <f>IF(X2=1,Старт!$B14/Параметры!X$64,W169*(Параметры!W64/Параметры!X64))</f>
        <v>0</v>
      </c>
      <c r="Y169" s="55">
        <f>IF(Y2=1,Старт!$B14/Параметры!Y$64,X169*(Параметры!X64/Параметры!Y64))</f>
        <v>0</v>
      </c>
      <c r="Z169" s="55">
        <f>IF(Z2=1,Старт!$B14/Параметры!Z$64,Y169*(Параметры!Y64/Параметры!Z64))</f>
        <v>0</v>
      </c>
      <c r="AA169" s="55">
        <f>IF(AA2=1,Старт!$B14/Параметры!AA$64,Z169*(Параметры!Z64/Параметры!AA64))</f>
        <v>0</v>
      </c>
      <c r="AB169" s="55">
        <f>IF(AB2=1,Старт!$B14/Параметры!AB$64,AA169*(Параметры!AA64/Параметры!AB64))</f>
        <v>0</v>
      </c>
      <c r="AC169" s="55">
        <f>IF(AC2=1,Старт!$B14/Параметры!AC$64,AB169*(Параметры!AB64/Параметры!AC64))</f>
        <v>0</v>
      </c>
      <c r="AD169" s="55">
        <f>IF(AD2=1,Старт!$B14/Параметры!AD$64,AC169*(Параметры!AC64/Параметры!AD64))</f>
        <v>0</v>
      </c>
      <c r="AE169" s="55">
        <f>IF(AE2=1,Старт!$B14/Параметры!AE$64,AD169*(Параметры!AD64/Параметры!AE64))</f>
        <v>0</v>
      </c>
      <c r="AF169" s="55">
        <f>IF(AF2=1,Старт!$B14/Параметры!AF$64,AE169*(Параметры!AE64/Параметры!AF64))</f>
        <v>0</v>
      </c>
      <c r="AG169" s="55">
        <f>IF(AG2=1,Старт!$B14/Параметры!AG$64,AF169*(Параметры!AF64/Параметры!AG64))</f>
        <v>0</v>
      </c>
      <c r="AH169" s="55">
        <f>IF(AH2=1,Старт!$B14/Параметры!AH$64,AG169*(Параметры!AG64/Параметры!AH64))</f>
        <v>0</v>
      </c>
      <c r="AI169" s="55">
        <f>IF(AI2=1,Старт!$B14/Параметры!AI$64,AH169*(Параметры!AH64/Параметры!AI64))</f>
        <v>0</v>
      </c>
      <c r="AJ169" s="55">
        <f>IF(AJ2=1,Старт!$B14/Параметры!AJ$64,AI169*(Параметры!AI64/Параметры!AJ64))</f>
        <v>0</v>
      </c>
      <c r="AK169" s="55">
        <f>IF(AK2=1,Старт!$B14/Параметры!AK$64,AJ169*(Параметры!AJ64/Параметры!AK64))</f>
        <v>0</v>
      </c>
      <c r="AL169" s="55">
        <f>IF(AL2=1,Старт!$B14/Параметры!AL$64,AK169*(Параметры!AK64/Параметры!AL64))</f>
        <v>0</v>
      </c>
      <c r="AM169" s="55">
        <f>IF(AM2=1,Старт!$B14/Параметры!AM$64,AL169*(Параметры!AL64/Параметры!AM64))</f>
        <v>0</v>
      </c>
      <c r="AN169" s="55">
        <f>IF(AN2=1,Старт!$B14/Параметры!AN$64,AM169*(Параметры!AM64/Параметры!AN64))</f>
        <v>0</v>
      </c>
      <c r="AO169" s="55">
        <f>IF(AO2=1,Старт!$B14/Параметры!AO$64,AN169*(Параметры!AN64/Параметры!AO64))</f>
        <v>0</v>
      </c>
      <c r="AP169" s="55">
        <f>IF(AP2=1,Старт!$B14/Параметры!AP$64,AO169*(Параметры!AO64/Параметры!AP64))</f>
        <v>0</v>
      </c>
      <c r="AQ169" s="55">
        <f>IF(AQ2=1,Старт!$B14/Параметры!AQ$64,AP169*(Параметры!AP64/Параметры!AQ64))</f>
        <v>0</v>
      </c>
      <c r="AR169" s="55">
        <f>IF(AR2=1,Старт!$B14/Параметры!AR$64,AQ169*(Параметры!AQ64/Параметры!AR64))</f>
        <v>0</v>
      </c>
      <c r="AS169" s="55">
        <f>IF(AS2=1,Старт!$B14/Параметры!AS$64,AR169*(Параметры!AR64/Параметры!AS64))</f>
        <v>0</v>
      </c>
      <c r="AT169" s="55">
        <f>IF(AT2=1,Старт!$B14/Параметры!AT$64,AS169*(Параметры!AS64/Параметры!AT64))</f>
        <v>0</v>
      </c>
      <c r="AU169" s="55">
        <f>IF(AU2=1,Старт!$B14/Параметры!AU$64,AT169*(Параметры!AT64/Параметры!AU64))</f>
        <v>0</v>
      </c>
      <c r="AV169" s="55">
        <f>IF(AV2=1,Старт!$B14/Параметры!AV$64,AU169*(Параметры!AU64/Параметры!AV64))</f>
        <v>0</v>
      </c>
      <c r="AW169" s="55">
        <f>IF(AW2=1,Старт!$B14/Параметры!AW$64,AV169*(Параметры!AV64/Параметры!AW64))</f>
        <v>0</v>
      </c>
      <c r="AX169" s="55">
        <f>IF(AX2=1,Старт!$B14/Параметры!AX$64,AW169*(Параметры!AW64/Параметры!AX64))</f>
        <v>0</v>
      </c>
      <c r="AY169" s="55">
        <f>IF(AY2=1,Старт!$B14/Параметры!AY$64,AX169*(Параметры!AX64/Параметры!AY64))</f>
        <v>0</v>
      </c>
      <c r="AZ169" s="55">
        <f>IF(AZ2=1,Старт!$B14/Параметры!AZ$64,AY169*(Параметры!AY64/Параметры!AZ64))</f>
        <v>0</v>
      </c>
      <c r="BA169" s="55">
        <f>IF(BA2=1,Старт!$B14/Параметры!BA$64,AZ169*(Параметры!AZ64/Параметры!BA64))</f>
        <v>0</v>
      </c>
      <c r="BB169" s="55">
        <f>IF(BB2=1,Старт!$B14/Параметры!BB$64,BA169*(Параметры!BA64/Параметры!BB64))</f>
        <v>0</v>
      </c>
    </row>
    <row r="170" spans="1:54" x14ac:dyDescent="0.3">
      <c r="A170" s="43" t="str">
        <f ca="1">Language!A1276</f>
        <v>Суммарные оборотные активы</v>
      </c>
      <c r="B170" s="80"/>
      <c r="C170" s="45" t="str">
        <f ca="1">Параметры!$C$64</f>
        <v>руб.</v>
      </c>
      <c r="D170" s="46"/>
      <c r="E170" s="46" t="s">
        <v>1497</v>
      </c>
      <c r="F170" s="46" t="s">
        <v>741</v>
      </c>
      <c r="G170" s="81">
        <f ca="1">SUM(G161:G169)</f>
        <v>211558334</v>
      </c>
      <c r="H170" s="81">
        <f t="shared" ref="H170:L170" ca="1" si="420">SUM(H161:H169)</f>
        <v>209900000.33333334</v>
      </c>
      <c r="I170" s="81">
        <f t="shared" ca="1" si="420"/>
        <v>73241667.666666687</v>
      </c>
      <c r="J170" s="81">
        <f t="shared" ca="1" si="420"/>
        <v>54850001.000000015</v>
      </c>
      <c r="K170" s="81">
        <f ca="1">SUM(K161:K169)</f>
        <v>37825001.000000015</v>
      </c>
      <c r="L170" s="81">
        <f t="shared" ca="1" si="420"/>
        <v>20000001.000000015</v>
      </c>
      <c r="M170" s="81">
        <f t="shared" ref="M170:N170" ca="1" si="421">SUM(M161:M169)</f>
        <v>14766722.54569108</v>
      </c>
      <c r="N170" s="81">
        <f t="shared" ca="1" si="421"/>
        <v>8014790.1463400805</v>
      </c>
      <c r="O170" s="81">
        <f t="shared" ref="O170:P170" ca="1" si="422">SUM(O161:O169)</f>
        <v>7847744.4884139225</v>
      </c>
      <c r="P170" s="81">
        <f t="shared" ca="1" si="422"/>
        <v>9452319.1870293207</v>
      </c>
      <c r="Q170" s="81">
        <f t="shared" ref="Q170:R170" ca="1" si="423">SUM(Q161:Q169)</f>
        <v>10623183.42153581</v>
      </c>
      <c r="R170" s="81">
        <f t="shared" ca="1" si="423"/>
        <v>10961442.88668382</v>
      </c>
      <c r="S170" s="81">
        <f t="shared" ref="S170:T170" ca="1" si="424">SUM(S161:S169)</f>
        <v>15886566.410533443</v>
      </c>
      <c r="T170" s="81">
        <f t="shared" ca="1" si="424"/>
        <v>17446392.039194103</v>
      </c>
      <c r="U170" s="81">
        <f t="shared" ref="U170:V170" ca="1" si="425">SUM(U161:U169)</f>
        <v>17667419.457180101</v>
      </c>
      <c r="V170" s="81">
        <f t="shared" ca="1" si="425"/>
        <v>17565975.378032979</v>
      </c>
      <c r="W170" s="81">
        <f t="shared" ref="W170:X170" ca="1" si="426">SUM(W161:W169)</f>
        <v>15232253.749950562</v>
      </c>
      <c r="X170" s="81">
        <f t="shared" ca="1" si="426"/>
        <v>20555980.269351795</v>
      </c>
      <c r="Y170" s="81">
        <f t="shared" ref="Y170:Z170" ca="1" si="427">SUM(Y161:Y169)</f>
        <v>25702082.256976686</v>
      </c>
      <c r="Z170" s="81">
        <f t="shared" ca="1" si="427"/>
        <v>30064235.758586105</v>
      </c>
      <c r="AA170" s="81">
        <f t="shared" ref="AA170:AB170" ca="1" si="428">SUM(AA161:AA169)</f>
        <v>27844229.738871988</v>
      </c>
      <c r="AB170" s="81">
        <f t="shared" ca="1" si="428"/>
        <v>23093624.228336222</v>
      </c>
      <c r="AC170" s="81">
        <f t="shared" ref="AC170:AD170" ca="1" si="429">SUM(AC161:AC169)</f>
        <v>19549552.058300152</v>
      </c>
      <c r="AD170" s="81">
        <f t="shared" ca="1" si="429"/>
        <v>18319991.590233713</v>
      </c>
      <c r="AE170" s="81">
        <f t="shared" ref="AE170:AF170" ca="1" si="430">SUM(AE161:AE169)</f>
        <v>21324919.480755266</v>
      </c>
      <c r="AF170" s="81">
        <f t="shared" ca="1" si="430"/>
        <v>20909415.552283466</v>
      </c>
      <c r="AG170" s="81">
        <f t="shared" ref="AG170:AH170" ca="1" si="431">SUM(AG161:AG169)</f>
        <v>19202987.232843906</v>
      </c>
      <c r="AH170" s="81">
        <f t="shared" ca="1" si="431"/>
        <v>18286531.394015111</v>
      </c>
      <c r="AI170" s="81">
        <f t="shared" ref="AI170:AJ170" ca="1" si="432">SUM(AI161:AI169)</f>
        <v>15070207.505343437</v>
      </c>
      <c r="AJ170" s="81">
        <f t="shared" ca="1" si="432"/>
        <v>19994561.346830361</v>
      </c>
      <c r="AK170" s="81">
        <f t="shared" ref="AK170:AL170" ca="1" si="433">SUM(AK161:AK169)</f>
        <v>27782928.309556067</v>
      </c>
      <c r="AL170" s="81">
        <f t="shared" ca="1" si="433"/>
        <v>34696138.179495677</v>
      </c>
      <c r="AM170" s="81">
        <f t="shared" ref="AM170:AN170" ca="1" si="434">SUM(AM161:AM169)</f>
        <v>34686939.411963664</v>
      </c>
      <c r="AN170" s="81">
        <f t="shared" ca="1" si="434"/>
        <v>32094906.021298021</v>
      </c>
      <c r="AO170" s="81">
        <f t="shared" ref="AO170:AP170" ca="1" si="435">SUM(AO161:AO169)</f>
        <v>30801463.312194675</v>
      </c>
      <c r="AP170" s="81">
        <f t="shared" ca="1" si="435"/>
        <v>31917790.095441811</v>
      </c>
      <c r="AQ170" s="81">
        <f t="shared" ref="AQ170:AR170" ca="1" si="436">SUM(AQ161:AQ169)</f>
        <v>37445985.139554389</v>
      </c>
      <c r="AR170" s="81">
        <f t="shared" ca="1" si="436"/>
        <v>39309984.988577314</v>
      </c>
      <c r="AS170" s="81">
        <f t="shared" ref="AS170:AT170" ca="1" si="437">SUM(AS161:AS169)</f>
        <v>39851637.093834579</v>
      </c>
      <c r="AT170" s="81">
        <f t="shared" ca="1" si="437"/>
        <v>41089165.007883042</v>
      </c>
      <c r="AU170" s="81">
        <f t="shared" ref="AU170:AV170" ca="1" si="438">SUM(AU161:AU169)</f>
        <v>39723510.15885061</v>
      </c>
      <c r="AV170" s="81">
        <f t="shared" ca="1" si="438"/>
        <v>46773826.771902457</v>
      </c>
      <c r="AW170" s="81">
        <f t="shared" ref="AW170:AX170" ca="1" si="439">SUM(AW161:AW169)</f>
        <v>56551077.429162763</v>
      </c>
      <c r="AX170" s="81">
        <f t="shared" ca="1" si="439"/>
        <v>69110598.581968904</v>
      </c>
      <c r="AY170" s="81">
        <f t="shared" ref="AY170:AZ170" ca="1" si="440">SUM(AY161:AY169)</f>
        <v>78303375.871774003</v>
      </c>
      <c r="AZ170" s="81">
        <f t="shared" ca="1" si="440"/>
        <v>84704829.294998273</v>
      </c>
      <c r="BA170" s="81">
        <f t="shared" ref="BA170:BB170" ca="1" si="441">SUM(BA161:BA169)</f>
        <v>92339454.150746718</v>
      </c>
      <c r="BB170" s="81">
        <f t="shared" ca="1" si="441"/>
        <v>102314000.53409196</v>
      </c>
    </row>
    <row r="171" spans="1:54" x14ac:dyDescent="0.3">
      <c r="A171" s="10"/>
      <c r="G171" s="55"/>
      <c r="H171" s="55"/>
      <c r="I171" s="55"/>
      <c r="J171" s="55"/>
      <c r="K171" s="55"/>
      <c r="L171" s="55"/>
      <c r="M171" s="55"/>
      <c r="N171" s="55"/>
      <c r="O171" s="55"/>
      <c r="P171" s="55"/>
      <c r="Q171" s="55"/>
      <c r="R171" s="55"/>
      <c r="S171" s="55"/>
      <c r="T171" s="55"/>
      <c r="U171" s="55"/>
      <c r="V171" s="55"/>
      <c r="W171" s="55"/>
      <c r="X171" s="55"/>
      <c r="Y171" s="55"/>
      <c r="Z171" s="55"/>
      <c r="AA171" s="55"/>
      <c r="AB171" s="55"/>
      <c r="AC171" s="55"/>
      <c r="AD171" s="55"/>
      <c r="AE171" s="55"/>
      <c r="AF171" s="55"/>
      <c r="AG171" s="55"/>
      <c r="AH171" s="55"/>
      <c r="AI171" s="55"/>
      <c r="AJ171" s="55"/>
      <c r="AK171" s="55"/>
      <c r="AL171" s="55"/>
      <c r="AM171" s="55"/>
      <c r="AN171" s="55"/>
      <c r="AO171" s="55"/>
      <c r="AP171" s="55"/>
      <c r="AQ171" s="55"/>
      <c r="AR171" s="55"/>
      <c r="AS171" s="55"/>
      <c r="AT171" s="55"/>
      <c r="AU171" s="55"/>
      <c r="AV171" s="55"/>
      <c r="AW171" s="55"/>
      <c r="AX171" s="55"/>
      <c r="AY171" s="55"/>
      <c r="AZ171" s="55"/>
      <c r="BA171" s="55"/>
      <c r="BB171" s="55"/>
    </row>
    <row r="172" spans="1:54" x14ac:dyDescent="0.3">
      <c r="A172" s="35" t="str">
        <f ca="1">Language!A1277</f>
        <v>Земельные участки</v>
      </c>
      <c r="C172" s="48" t="str">
        <f ca="1">Параметры!$C$64</f>
        <v>руб.</v>
      </c>
      <c r="E172" s="6" t="s">
        <v>1498</v>
      </c>
      <c r="F172" s="6" t="s">
        <v>741</v>
      </c>
      <c r="G172" s="55">
        <f>(Старт!G65+Проект!G946)/Параметры!G$64</f>
        <v>0</v>
      </c>
      <c r="H172" s="55">
        <f>(Старт!H65+Проект!H946)/Параметры!H$64</f>
        <v>0</v>
      </c>
      <c r="I172" s="55">
        <f>(Старт!I65+Проект!I946)/Параметры!I$64</f>
        <v>0</v>
      </c>
      <c r="J172" s="55">
        <f>(Старт!J65+Проект!J946)/Параметры!J$64</f>
        <v>0</v>
      </c>
      <c r="K172" s="55">
        <f>(Старт!K65+Проект!K946)/Параметры!K$64</f>
        <v>0</v>
      </c>
      <c r="L172" s="55">
        <f>(Старт!L65+Проект!L946)/Параметры!L$64</f>
        <v>0</v>
      </c>
      <c r="M172" s="55">
        <f>(Старт!M65+Проект!M946)/Параметры!M$64</f>
        <v>800000</v>
      </c>
      <c r="N172" s="55">
        <f>(Старт!N65+Проект!N946)/Параметры!N$64</f>
        <v>800000</v>
      </c>
      <c r="O172" s="55">
        <f>(Старт!O65+Проект!O946)/Параметры!O$64</f>
        <v>800000</v>
      </c>
      <c r="P172" s="55">
        <f>(Старт!P65+Проект!P946)/Параметры!P$64</f>
        <v>800000</v>
      </c>
      <c r="Q172" s="55">
        <f>(Старт!Q65+Проект!Q946)/Параметры!Q$64</f>
        <v>800000</v>
      </c>
      <c r="R172" s="55">
        <f>(Старт!R65+Проект!R946)/Параметры!R$64</f>
        <v>800000</v>
      </c>
      <c r="S172" s="55">
        <f>(Старт!S65+Проект!S946)/Параметры!S$64</f>
        <v>800000</v>
      </c>
      <c r="T172" s="55">
        <f>(Старт!T65+Проект!T946)/Параметры!T$64</f>
        <v>800000</v>
      </c>
      <c r="U172" s="55">
        <f>(Старт!U65+Проект!U946)/Параметры!U$64</f>
        <v>800000</v>
      </c>
      <c r="V172" s="55">
        <f>(Старт!V65+Проект!V946)/Параметры!V$64</f>
        <v>800000</v>
      </c>
      <c r="W172" s="55">
        <f>(Старт!W65+Проект!W946)/Параметры!W$64</f>
        <v>800000</v>
      </c>
      <c r="X172" s="55">
        <f>(Старт!X65+Проект!X946)/Параметры!X$64</f>
        <v>800000</v>
      </c>
      <c r="Y172" s="55">
        <f>(Старт!Y65+Проект!Y946)/Параметры!Y$64</f>
        <v>800000</v>
      </c>
      <c r="Z172" s="55">
        <f>(Старт!Z65+Проект!Z946)/Параметры!Z$64</f>
        <v>800000</v>
      </c>
      <c r="AA172" s="55">
        <f>(Старт!AA65+Проект!AA946)/Параметры!AA$64</f>
        <v>800000</v>
      </c>
      <c r="AB172" s="55">
        <f>(Старт!AB65+Проект!AB946)/Параметры!AB$64</f>
        <v>800000</v>
      </c>
      <c r="AC172" s="55">
        <f>(Старт!AC65+Проект!AC946)/Параметры!AC$64</f>
        <v>800000</v>
      </c>
      <c r="AD172" s="55">
        <f>(Старт!AD65+Проект!AD946)/Параметры!AD$64</f>
        <v>800000</v>
      </c>
      <c r="AE172" s="55">
        <f>(Старт!AE65+Проект!AE946)/Параметры!AE$64</f>
        <v>800000</v>
      </c>
      <c r="AF172" s="55">
        <f>(Старт!AF65+Проект!AF946)/Параметры!AF$64</f>
        <v>800000</v>
      </c>
      <c r="AG172" s="55">
        <f>(Старт!AG65+Проект!AG946)/Параметры!AG$64</f>
        <v>800000</v>
      </c>
      <c r="AH172" s="55">
        <f>(Старт!AH65+Проект!AH946)/Параметры!AH$64</f>
        <v>800000</v>
      </c>
      <c r="AI172" s="55">
        <f>(Старт!AI65+Проект!AI946)/Параметры!AI$64</f>
        <v>800000</v>
      </c>
      <c r="AJ172" s="55">
        <f>(Старт!AJ65+Проект!AJ946)/Параметры!AJ$64</f>
        <v>800000</v>
      </c>
      <c r="AK172" s="55">
        <f>(Старт!AK65+Проект!AK946)/Параметры!AK$64</f>
        <v>800000</v>
      </c>
      <c r="AL172" s="55">
        <f>(Старт!AL65+Проект!AL946)/Параметры!AL$64</f>
        <v>800000</v>
      </c>
      <c r="AM172" s="55">
        <f>(Старт!AM65+Проект!AM946)/Параметры!AM$64</f>
        <v>800000</v>
      </c>
      <c r="AN172" s="55">
        <f>(Старт!AN65+Проект!AN946)/Параметры!AN$64</f>
        <v>800000</v>
      </c>
      <c r="AO172" s="55">
        <f>(Старт!AO65+Проект!AO946)/Параметры!AO$64</f>
        <v>800000</v>
      </c>
      <c r="AP172" s="55">
        <f>(Старт!AP65+Проект!AP946)/Параметры!AP$64</f>
        <v>800000</v>
      </c>
      <c r="AQ172" s="55">
        <f>(Старт!AQ65+Проект!AQ946)/Параметры!AQ$64</f>
        <v>800000</v>
      </c>
      <c r="AR172" s="55">
        <f>(Старт!AR65+Проект!AR946)/Параметры!AR$64</f>
        <v>800000</v>
      </c>
      <c r="AS172" s="55">
        <f>(Старт!AS65+Проект!AS946)/Параметры!AS$64</f>
        <v>800000</v>
      </c>
      <c r="AT172" s="55">
        <f>(Старт!AT65+Проект!AT946)/Параметры!AT$64</f>
        <v>800000</v>
      </c>
      <c r="AU172" s="55">
        <f>(Старт!AU65+Проект!AU946)/Параметры!AU$64</f>
        <v>800000</v>
      </c>
      <c r="AV172" s="55">
        <f>(Старт!AV65+Проект!AV946)/Параметры!AV$64</f>
        <v>800000</v>
      </c>
      <c r="AW172" s="55">
        <f>(Старт!AW65+Проект!AW946)/Параметры!AW$64</f>
        <v>800000</v>
      </c>
      <c r="AX172" s="55">
        <f>(Старт!AX65+Проект!AX946)/Параметры!AX$64</f>
        <v>800000</v>
      </c>
      <c r="AY172" s="55">
        <f>(Старт!AY65+Проект!AY946)/Параметры!AY$64</f>
        <v>800000</v>
      </c>
      <c r="AZ172" s="55">
        <f>(Старт!AZ65+Проект!AZ946)/Параметры!AZ$64</f>
        <v>800000</v>
      </c>
      <c r="BA172" s="55">
        <f>(Старт!BA65+Проект!BA946)/Параметры!BA$64</f>
        <v>800000</v>
      </c>
      <c r="BB172" s="55">
        <f>(Старт!BB65+Проект!BB946)/Параметры!BB$64</f>
        <v>800000</v>
      </c>
    </row>
    <row r="173" spans="1:54" x14ac:dyDescent="0.3">
      <c r="A173" s="35" t="str">
        <f ca="1">Language!A1278</f>
        <v>Здания и сооружения</v>
      </c>
      <c r="C173" s="48" t="str">
        <f ca="1">Параметры!$C$64</f>
        <v>руб.</v>
      </c>
      <c r="E173" s="6" t="s">
        <v>1499</v>
      </c>
      <c r="F173" s="6" t="s">
        <v>741</v>
      </c>
      <c r="G173" s="55">
        <f ca="1">(Старт!G72+Проект!G954)/Параметры!G$64</f>
        <v>0</v>
      </c>
      <c r="H173" s="55">
        <f ca="1">(Старт!H72+Проект!H954)/Параметры!H$64</f>
        <v>0</v>
      </c>
      <c r="I173" s="55">
        <f ca="1">(Старт!I72+Проект!I954)/Параметры!I$64</f>
        <v>0</v>
      </c>
      <c r="J173" s="55">
        <f ca="1">(Старт!J72+Проект!J954)/Параметры!J$64</f>
        <v>0</v>
      </c>
      <c r="K173" s="55">
        <f ca="1">(Старт!K72+Проект!K954)/Параметры!K$64</f>
        <v>0</v>
      </c>
      <c r="L173" s="55">
        <f ca="1">(Старт!L72+Проект!L954)/Параметры!L$64</f>
        <v>0</v>
      </c>
      <c r="M173" s="55">
        <f ca="1">(Старт!M72+Проект!M954)/Параметры!M$64</f>
        <v>204430555.55555555</v>
      </c>
      <c r="N173" s="55">
        <f ca="1">(Старт!N72+Проект!N954)/Параметры!N$64</f>
        <v>203861111.1111111</v>
      </c>
      <c r="O173" s="55">
        <f ca="1">(Старт!O72+Проект!O954)/Параметры!O$64</f>
        <v>203291666.66666669</v>
      </c>
      <c r="P173" s="55">
        <f ca="1">(Старт!P72+Проект!P954)/Параметры!P$64</f>
        <v>202722222.22222227</v>
      </c>
      <c r="Q173" s="55">
        <f ca="1">(Старт!Q72+Проект!Q954)/Параметры!Q$64</f>
        <v>202152777.77777773</v>
      </c>
      <c r="R173" s="55">
        <f ca="1">(Старт!R72+Проект!R954)/Параметры!R$64</f>
        <v>201583333.33333331</v>
      </c>
      <c r="S173" s="55">
        <f ca="1">(Старт!S72+Проект!S954)/Параметры!S$64</f>
        <v>201013888.8888889</v>
      </c>
      <c r="T173" s="55">
        <f ca="1">(Старт!T72+Проект!T954)/Параметры!T$64</f>
        <v>200444444.44444445</v>
      </c>
      <c r="U173" s="55">
        <f ca="1">(Старт!U72+Проект!U954)/Параметры!U$64</f>
        <v>199875000</v>
      </c>
      <c r="V173" s="55">
        <f ca="1">(Старт!V72+Проект!V954)/Параметры!V$64</f>
        <v>199305555.55555555</v>
      </c>
      <c r="W173" s="55">
        <f ca="1">(Старт!W72+Проект!W954)/Параметры!W$64</f>
        <v>198736111.1111111</v>
      </c>
      <c r="X173" s="55">
        <f ca="1">(Старт!X72+Проект!X954)/Параметры!X$64</f>
        <v>198166666.66666669</v>
      </c>
      <c r="Y173" s="55">
        <f ca="1">(Старт!Y72+Проект!Y954)/Параметры!Y$64</f>
        <v>197597222.22222221</v>
      </c>
      <c r="Z173" s="55">
        <f ca="1">(Старт!Z72+Проект!Z954)/Параметры!Z$64</f>
        <v>197027777.77777773</v>
      </c>
      <c r="AA173" s="55">
        <f ca="1">(Старт!AA72+Проект!AA954)/Параметры!AA$64</f>
        <v>196458333.33333331</v>
      </c>
      <c r="AB173" s="55">
        <f ca="1">(Старт!AB72+Проект!AB954)/Параметры!AB$64</f>
        <v>195888888.8888889</v>
      </c>
      <c r="AC173" s="55">
        <f ca="1">(Старт!AC72+Проект!AC954)/Параметры!AC$64</f>
        <v>195319444.44444445</v>
      </c>
      <c r="AD173" s="55">
        <f ca="1">(Старт!AD72+Проект!AD954)/Параметры!AD$64</f>
        <v>194750000</v>
      </c>
      <c r="AE173" s="55">
        <f ca="1">(Старт!AE72+Проект!AE954)/Параметры!AE$64</f>
        <v>194180555.55555555</v>
      </c>
      <c r="AF173" s="55">
        <f ca="1">(Старт!AF72+Проект!AF954)/Параметры!AF$64</f>
        <v>193611111.1111111</v>
      </c>
      <c r="AG173" s="55">
        <f ca="1">(Старт!AG72+Проект!AG954)/Параметры!AG$64</f>
        <v>193041666.66666666</v>
      </c>
      <c r="AH173" s="55">
        <f ca="1">(Старт!AH72+Проект!AH954)/Параметры!AH$64</f>
        <v>192472222.22222224</v>
      </c>
      <c r="AI173" s="55">
        <f ca="1">(Старт!AI72+Проект!AI954)/Параметры!AI$64</f>
        <v>191902777.77777779</v>
      </c>
      <c r="AJ173" s="55">
        <f ca="1">(Старт!AJ72+Проект!AJ954)/Параметры!AJ$64</f>
        <v>191333333.33333331</v>
      </c>
      <c r="AK173" s="55">
        <f ca="1">(Старт!AK72+Проект!AK954)/Параметры!AK$64</f>
        <v>190763888.8888889</v>
      </c>
      <c r="AL173" s="55">
        <f ca="1">(Старт!AL72+Проект!AL954)/Параметры!AL$64</f>
        <v>190194444.44444445</v>
      </c>
      <c r="AM173" s="55">
        <f ca="1">(Старт!AM72+Проект!AM954)/Параметры!AM$64</f>
        <v>189625000</v>
      </c>
      <c r="AN173" s="55">
        <f ca="1">(Старт!AN72+Проект!AN954)/Параметры!AN$64</f>
        <v>189055555.55555555</v>
      </c>
      <c r="AO173" s="55">
        <f ca="1">(Старт!AO72+Проект!AO954)/Параметры!AO$64</f>
        <v>188486111.1111111</v>
      </c>
      <c r="AP173" s="55">
        <f ca="1">(Старт!AP72+Проект!AP954)/Параметры!AP$64</f>
        <v>187916666.66666666</v>
      </c>
      <c r="AQ173" s="55">
        <f ca="1">(Старт!AQ72+Проект!AQ954)/Параметры!AQ$64</f>
        <v>187347222.22222224</v>
      </c>
      <c r="AR173" s="55">
        <f ca="1">(Старт!AR72+Проект!AR954)/Параметры!AR$64</f>
        <v>186777777.77777779</v>
      </c>
      <c r="AS173" s="55">
        <f ca="1">(Старт!AS72+Проект!AS954)/Параметры!AS$64</f>
        <v>186208333.33333331</v>
      </c>
      <c r="AT173" s="55">
        <f ca="1">(Старт!AT72+Проект!AT954)/Параметры!AT$64</f>
        <v>185638888.8888889</v>
      </c>
      <c r="AU173" s="55">
        <f ca="1">(Старт!AU72+Проект!AU954)/Параметры!AU$64</f>
        <v>185069444.44444445</v>
      </c>
      <c r="AV173" s="55">
        <f ca="1">(Старт!AV72+Проект!AV954)/Параметры!AV$64</f>
        <v>184500000</v>
      </c>
      <c r="AW173" s="55">
        <f ca="1">(Старт!AW72+Проект!AW954)/Параметры!AW$64</f>
        <v>183930555.55555555</v>
      </c>
      <c r="AX173" s="55">
        <f ca="1">(Старт!AX72+Проект!AX954)/Параметры!AX$64</f>
        <v>183361111.1111111</v>
      </c>
      <c r="AY173" s="55">
        <f ca="1">(Старт!AY72+Проект!AY954)/Параметры!AY$64</f>
        <v>182791666.66666669</v>
      </c>
      <c r="AZ173" s="55">
        <f ca="1">(Старт!AZ72+Проект!AZ954)/Параметры!AZ$64</f>
        <v>182222222.22222221</v>
      </c>
      <c r="BA173" s="55">
        <f ca="1">(Старт!BA72+Проект!BA954)/Параметры!BA$64</f>
        <v>181652777.77777779</v>
      </c>
      <c r="BB173" s="55">
        <f ca="1">(Старт!BB72+Проект!BB954)/Параметры!BB$64</f>
        <v>181083333.33333331</v>
      </c>
    </row>
    <row r="174" spans="1:54" x14ac:dyDescent="0.3">
      <c r="A174" s="35" t="str">
        <f ca="1">Language!A1279</f>
        <v>Оборудование и прочие активы</v>
      </c>
      <c r="C174" s="48" t="str">
        <f ca="1">Параметры!$C$64</f>
        <v>руб.</v>
      </c>
      <c r="E174" s="6" t="s">
        <v>1500</v>
      </c>
      <c r="F174" s="6" t="s">
        <v>741</v>
      </c>
      <c r="G174" s="55">
        <f ca="1">(Старт!G79+Проект!G969+Проект!G1048)/Параметры!G$64</f>
        <v>0</v>
      </c>
      <c r="H174" s="55">
        <f ca="1">(Старт!H79+Проект!H969+Проект!H1048)/Параметры!H$64</f>
        <v>0</v>
      </c>
      <c r="I174" s="55">
        <f ca="1">(Старт!I79+Проект!I969+Проект!I1048)/Параметры!I$64</f>
        <v>0</v>
      </c>
      <c r="J174" s="55">
        <f ca="1">(Старт!J79+Проект!J969+Проект!J1048)/Параметры!J$64</f>
        <v>0</v>
      </c>
      <c r="K174" s="55">
        <f ca="1">(Старт!K79+Проект!K969+Проект!K1048)/Параметры!K$64</f>
        <v>0</v>
      </c>
      <c r="L174" s="55">
        <f ca="1">(Старт!L79+Проект!L969+Проект!L1048)/Параметры!L$64</f>
        <v>0</v>
      </c>
      <c r="M174" s="55">
        <f ca="1">(Старт!M79+Проект!M969+Проект!M1048)/Параметры!M$64</f>
        <v>5850833.333333334</v>
      </c>
      <c r="N174" s="55">
        <f ca="1">(Старт!N79+Проект!N969+Проект!N1048)/Параметры!N$64</f>
        <v>5801666.666666666</v>
      </c>
      <c r="O174" s="55">
        <f ca="1">(Старт!O79+Проект!O969+Проект!O1048)/Параметры!O$64</f>
        <v>5752500</v>
      </c>
      <c r="P174" s="55">
        <f ca="1">(Старт!P79+Проект!P969+Проект!P1048)/Параметры!P$64</f>
        <v>5703333.333333334</v>
      </c>
      <c r="Q174" s="55">
        <f ca="1">(Старт!Q79+Проект!Q969+Проект!Q1048)/Параметры!Q$64</f>
        <v>5654166.666666666</v>
      </c>
      <c r="R174" s="55">
        <f ca="1">(Старт!R79+Проект!R969+Проект!R1048)/Параметры!R$64</f>
        <v>5605000</v>
      </c>
      <c r="S174" s="55">
        <f ca="1">(Старт!S79+Проект!S969+Проект!S1048)/Параметры!S$64</f>
        <v>5555833.333333334</v>
      </c>
      <c r="T174" s="55">
        <f ca="1">(Старт!T79+Проект!T969+Проект!T1048)/Параметры!T$64</f>
        <v>5506666.666666666</v>
      </c>
      <c r="U174" s="55">
        <f ca="1">(Старт!U79+Проект!U969+Проект!U1048)/Параметры!U$64</f>
        <v>5457500</v>
      </c>
      <c r="V174" s="55">
        <f ca="1">(Старт!V79+Проект!V969+Проект!V1048)/Параметры!V$64</f>
        <v>5408333.333333334</v>
      </c>
      <c r="W174" s="55">
        <f ca="1">(Старт!W79+Проект!W969+Проект!W1048)/Параметры!W$64</f>
        <v>5359166.666666666</v>
      </c>
      <c r="X174" s="55">
        <f ca="1">(Старт!X79+Проект!X969+Проект!X1048)/Параметры!X$64</f>
        <v>5310000</v>
      </c>
      <c r="Y174" s="55">
        <f ca="1">(Старт!Y79+Проект!Y969+Проект!Y1048)/Параметры!Y$64</f>
        <v>5260833.333333333</v>
      </c>
      <c r="Z174" s="55">
        <f ca="1">(Старт!Z79+Проект!Z969+Проект!Z1048)/Параметры!Z$64</f>
        <v>5211666.666666666</v>
      </c>
      <c r="AA174" s="55">
        <f ca="1">(Старт!AA79+Проект!AA969+Проект!AA1048)/Параметры!AA$64</f>
        <v>5162500</v>
      </c>
      <c r="AB174" s="55">
        <f ca="1">(Старт!AB79+Проект!AB969+Проект!AB1048)/Параметры!AB$64</f>
        <v>5113333.333333333</v>
      </c>
      <c r="AC174" s="55">
        <f ca="1">(Старт!AC79+Проект!AC969+Проект!AC1048)/Параметры!AC$64</f>
        <v>5064166.666666666</v>
      </c>
      <c r="AD174" s="55">
        <f ca="1">(Старт!AD79+Проект!AD969+Проект!AD1048)/Параметры!AD$64</f>
        <v>5015000</v>
      </c>
      <c r="AE174" s="55">
        <f ca="1">(Старт!AE79+Проект!AE969+Проект!AE1048)/Параметры!AE$64</f>
        <v>4965833.333333334</v>
      </c>
      <c r="AF174" s="55">
        <f ca="1">(Старт!AF79+Проект!AF969+Проект!AF1048)/Параметры!AF$64</f>
        <v>4916666.666666667</v>
      </c>
      <c r="AG174" s="55">
        <f ca="1">(Старт!AG79+Проект!AG969+Проект!AG1048)/Параметры!AG$64</f>
        <v>4867500</v>
      </c>
      <c r="AH174" s="55">
        <f ca="1">(Старт!AH79+Проект!AH969+Проект!AH1048)/Параметры!AH$64</f>
        <v>4818333.333333334</v>
      </c>
      <c r="AI174" s="55">
        <f ca="1">(Старт!AI79+Проект!AI969+Проект!AI1048)/Параметры!AI$64</f>
        <v>4769166.666666667</v>
      </c>
      <c r="AJ174" s="55">
        <f ca="1">(Старт!AJ79+Проект!AJ969+Проект!AJ1048)/Параметры!AJ$64</f>
        <v>4720000</v>
      </c>
      <c r="AK174" s="55">
        <f ca="1">(Старт!AK79+Проект!AK969+Проект!AK1048)/Параметры!AK$64</f>
        <v>4670833.333333334</v>
      </c>
      <c r="AL174" s="55">
        <f ca="1">(Старт!AL79+Проект!AL969+Проект!AL1048)/Параметры!AL$64</f>
        <v>4621666.666666667</v>
      </c>
      <c r="AM174" s="55">
        <f ca="1">(Старт!AM79+Проект!AM969+Проект!AM1048)/Параметры!AM$64</f>
        <v>4572500</v>
      </c>
      <c r="AN174" s="55">
        <f ca="1">(Старт!AN79+Проект!AN969+Проект!AN1048)/Параметры!AN$64</f>
        <v>4523333.333333334</v>
      </c>
      <c r="AO174" s="55">
        <f ca="1">(Старт!AO79+Проект!AO969+Проект!AO1048)/Параметры!AO$64</f>
        <v>4474166.666666667</v>
      </c>
      <c r="AP174" s="55">
        <f ca="1">(Старт!AP79+Проект!AP969+Проект!AP1048)/Параметры!AP$64</f>
        <v>4425000</v>
      </c>
      <c r="AQ174" s="55">
        <f ca="1">(Старт!AQ79+Проект!AQ969+Проект!AQ1048)/Параметры!AQ$64</f>
        <v>4375833.333333334</v>
      </c>
      <c r="AR174" s="55">
        <f ca="1">(Старт!AR79+Проект!AR969+Проект!AR1048)/Параметры!AR$64</f>
        <v>4326666.666666667</v>
      </c>
      <c r="AS174" s="55">
        <f ca="1">(Старт!AS79+Проект!AS969+Проект!AS1048)/Параметры!AS$64</f>
        <v>4277500</v>
      </c>
      <c r="AT174" s="55">
        <f ca="1">(Старт!AT79+Проект!AT969+Проект!AT1048)/Параметры!AT$64</f>
        <v>4228333.333333334</v>
      </c>
      <c r="AU174" s="55">
        <f ca="1">(Старт!AU79+Проект!AU969+Проект!AU1048)/Параметры!AU$64</f>
        <v>4179166.666666667</v>
      </c>
      <c r="AV174" s="55">
        <f ca="1">(Старт!AV79+Проект!AV969+Проект!AV1048)/Параметры!AV$64</f>
        <v>4130000</v>
      </c>
      <c r="AW174" s="55">
        <f ca="1">(Старт!AW79+Проект!AW969+Проект!AW1048)/Параметры!AW$64</f>
        <v>4080833.333333333</v>
      </c>
      <c r="AX174" s="55">
        <f ca="1">(Старт!AX79+Проект!AX969+Проект!AX1048)/Параметры!AX$64</f>
        <v>4031666.6666666665</v>
      </c>
      <c r="AY174" s="55">
        <f ca="1">(Старт!AY79+Проект!AY969+Проект!AY1048)/Параметры!AY$64</f>
        <v>3982500</v>
      </c>
      <c r="AZ174" s="55">
        <f ca="1">(Старт!AZ79+Проект!AZ969+Проект!AZ1048)/Параметры!AZ$64</f>
        <v>3933333.333333333</v>
      </c>
      <c r="BA174" s="55">
        <f ca="1">(Старт!BA79+Проект!BA969+Проект!BA1048)/Параметры!BA$64</f>
        <v>3884166.666666666</v>
      </c>
      <c r="BB174" s="55">
        <f ca="1">(Старт!BB79+Проект!BB969+Проект!BB1048)/Параметры!BB$64</f>
        <v>3834999.9999999995</v>
      </c>
    </row>
    <row r="175" spans="1:54" x14ac:dyDescent="0.3">
      <c r="A175" s="35" t="str">
        <f ca="1">Language!A1280</f>
        <v>Нематериальные активы</v>
      </c>
      <c r="C175" s="48" t="str">
        <f ca="1">Параметры!$C$64</f>
        <v>руб.</v>
      </c>
      <c r="E175" s="6" t="s">
        <v>1501</v>
      </c>
      <c r="F175" s="6" t="s">
        <v>741</v>
      </c>
      <c r="G175" s="55">
        <f ca="1">(Старт!G86+Проект!G983)/Параметры!G$64</f>
        <v>0</v>
      </c>
      <c r="H175" s="55">
        <f ca="1">(Старт!H86+Проект!H983)/Параметры!H$64</f>
        <v>0</v>
      </c>
      <c r="I175" s="55">
        <f ca="1">(Старт!I86+Проект!I983)/Параметры!I$64</f>
        <v>0</v>
      </c>
      <c r="J175" s="55">
        <f ca="1">(Старт!J86+Проект!J983)/Параметры!J$64</f>
        <v>0</v>
      </c>
      <c r="K175" s="55">
        <f ca="1">(Старт!K86+Проект!K983)/Параметры!K$64</f>
        <v>0</v>
      </c>
      <c r="L175" s="55">
        <f ca="1">(Старт!L86+Проект!L983)/Параметры!L$64</f>
        <v>0</v>
      </c>
      <c r="M175" s="55">
        <f ca="1">(Старт!M86+Проект!M983)/Параметры!M$64</f>
        <v>148750</v>
      </c>
      <c r="N175" s="55">
        <f ca="1">(Старт!N86+Проект!N983)/Параметры!N$64</f>
        <v>147500</v>
      </c>
      <c r="O175" s="55">
        <f ca="1">(Старт!O86+Проект!O983)/Параметры!O$64</f>
        <v>146250</v>
      </c>
      <c r="P175" s="55">
        <f ca="1">(Старт!P86+Проект!P983)/Параметры!P$64</f>
        <v>145000</v>
      </c>
      <c r="Q175" s="55">
        <f ca="1">(Старт!Q86+Проект!Q983)/Параметры!Q$64</f>
        <v>143750</v>
      </c>
      <c r="R175" s="55">
        <f ca="1">(Старт!R86+Проект!R983)/Параметры!R$64</f>
        <v>142500</v>
      </c>
      <c r="S175" s="55">
        <f ca="1">(Старт!S86+Проект!S983)/Параметры!S$64</f>
        <v>141250</v>
      </c>
      <c r="T175" s="55">
        <f ca="1">(Старт!T86+Проект!T983)/Параметры!T$64</f>
        <v>140000</v>
      </c>
      <c r="U175" s="55">
        <f ca="1">(Старт!U86+Проект!U983)/Параметры!U$64</f>
        <v>138750</v>
      </c>
      <c r="V175" s="55">
        <f ca="1">(Старт!V86+Проект!V983)/Параметры!V$64</f>
        <v>137500</v>
      </c>
      <c r="W175" s="55">
        <f ca="1">(Старт!W86+Проект!W983)/Параметры!W$64</f>
        <v>136250</v>
      </c>
      <c r="X175" s="55">
        <f ca="1">(Старт!X86+Проект!X983)/Параметры!X$64</f>
        <v>135000</v>
      </c>
      <c r="Y175" s="55">
        <f ca="1">(Старт!Y86+Проект!Y983)/Параметры!Y$64</f>
        <v>133750</v>
      </c>
      <c r="Z175" s="55">
        <f ca="1">(Старт!Z86+Проект!Z983)/Параметры!Z$64</f>
        <v>132500</v>
      </c>
      <c r="AA175" s="55">
        <f ca="1">(Старт!AA86+Проект!AA983)/Параметры!AA$64</f>
        <v>131250</v>
      </c>
      <c r="AB175" s="55">
        <f ca="1">(Старт!AB86+Проект!AB983)/Параметры!AB$64</f>
        <v>130000</v>
      </c>
      <c r="AC175" s="55">
        <f ca="1">(Старт!AC86+Проект!AC983)/Параметры!AC$64</f>
        <v>128750</v>
      </c>
      <c r="AD175" s="55">
        <f ca="1">(Старт!AD86+Проект!AD983)/Параметры!AD$64</f>
        <v>127500</v>
      </c>
      <c r="AE175" s="55">
        <f ca="1">(Старт!AE86+Проект!AE983)/Параметры!AE$64</f>
        <v>126250</v>
      </c>
      <c r="AF175" s="55">
        <f ca="1">(Старт!AF86+Проект!AF983)/Параметры!AF$64</f>
        <v>125000</v>
      </c>
      <c r="AG175" s="55">
        <f ca="1">(Старт!AG86+Проект!AG983)/Параметры!AG$64</f>
        <v>123750</v>
      </c>
      <c r="AH175" s="55">
        <f ca="1">(Старт!AH86+Проект!AH983)/Параметры!AH$64</f>
        <v>122500</v>
      </c>
      <c r="AI175" s="55">
        <f ca="1">(Старт!AI86+Проект!AI983)/Параметры!AI$64</f>
        <v>121250</v>
      </c>
      <c r="AJ175" s="55">
        <f ca="1">(Старт!AJ86+Проект!AJ983)/Параметры!AJ$64</f>
        <v>120000</v>
      </c>
      <c r="AK175" s="55">
        <f ca="1">(Старт!AK86+Проект!AK983)/Параметры!AK$64</f>
        <v>118750</v>
      </c>
      <c r="AL175" s="55">
        <f ca="1">(Старт!AL86+Проект!AL983)/Параметры!AL$64</f>
        <v>117500</v>
      </c>
      <c r="AM175" s="55">
        <f ca="1">(Старт!AM86+Проект!AM983)/Параметры!AM$64</f>
        <v>116250</v>
      </c>
      <c r="AN175" s="55">
        <f ca="1">(Старт!AN86+Проект!AN983)/Параметры!AN$64</f>
        <v>115000</v>
      </c>
      <c r="AO175" s="55">
        <f ca="1">(Старт!AO86+Проект!AO983)/Параметры!AO$64</f>
        <v>113750</v>
      </c>
      <c r="AP175" s="55">
        <f ca="1">(Старт!AP86+Проект!AP983)/Параметры!AP$64</f>
        <v>112500</v>
      </c>
      <c r="AQ175" s="55">
        <f ca="1">(Старт!AQ86+Проект!AQ983)/Параметры!AQ$64</f>
        <v>111250</v>
      </c>
      <c r="AR175" s="55">
        <f ca="1">(Старт!AR86+Проект!AR983)/Параметры!AR$64</f>
        <v>110000</v>
      </c>
      <c r="AS175" s="55">
        <f ca="1">(Старт!AS86+Проект!AS983)/Параметры!AS$64</f>
        <v>108750</v>
      </c>
      <c r="AT175" s="55">
        <f ca="1">(Старт!AT86+Проект!AT983)/Параметры!AT$64</f>
        <v>107500</v>
      </c>
      <c r="AU175" s="55">
        <f ca="1">(Старт!AU86+Проект!AU983)/Параметры!AU$64</f>
        <v>106250</v>
      </c>
      <c r="AV175" s="55">
        <f ca="1">(Старт!AV86+Проект!AV983)/Параметры!AV$64</f>
        <v>105000</v>
      </c>
      <c r="AW175" s="55">
        <f ca="1">(Старт!AW86+Проект!AW983)/Параметры!AW$64</f>
        <v>103750</v>
      </c>
      <c r="AX175" s="55">
        <f ca="1">(Старт!AX86+Проект!AX983)/Параметры!AX$64</f>
        <v>102500</v>
      </c>
      <c r="AY175" s="55">
        <f ca="1">(Старт!AY86+Проект!AY983)/Параметры!AY$64</f>
        <v>101250</v>
      </c>
      <c r="AZ175" s="55">
        <f ca="1">(Старт!AZ86+Проект!AZ983)/Параметры!AZ$64</f>
        <v>100000</v>
      </c>
      <c r="BA175" s="55">
        <f ca="1">(Старт!BA86+Проект!BA983)/Параметры!BA$64</f>
        <v>98750</v>
      </c>
      <c r="BB175" s="55">
        <f ca="1">(Старт!BB86+Проект!BB983)/Параметры!BB$64</f>
        <v>97500</v>
      </c>
    </row>
    <row r="176" spans="1:54" x14ac:dyDescent="0.3">
      <c r="A176" s="35" t="str">
        <f ca="1">Language!A1281</f>
        <v>Долгосрочные финансовые вложения</v>
      </c>
      <c r="C176" s="48" t="str">
        <f ca="1">Параметры!$C$64</f>
        <v>руб.</v>
      </c>
      <c r="E176" s="6" t="s">
        <v>1502</v>
      </c>
      <c r="F176" s="6" t="s">
        <v>741</v>
      </c>
      <c r="G176" s="55">
        <f>(Старт!G97+Проект!G1077+Проект!G1134)/Параметры!G$64</f>
        <v>0</v>
      </c>
      <c r="H176" s="55">
        <f>(Старт!H97+Проект!H1077+Проект!H1134)/Параметры!H$64</f>
        <v>0</v>
      </c>
      <c r="I176" s="55">
        <f>(Старт!I97+Проект!I1077+Проект!I1134)/Параметры!I$64</f>
        <v>0</v>
      </c>
      <c r="J176" s="55">
        <f>(Старт!J97+Проект!J1077+Проект!J1134)/Параметры!J$64</f>
        <v>0</v>
      </c>
      <c r="K176" s="55">
        <f>(Старт!K97+Проект!K1077+Проект!K1134)/Параметры!K$64</f>
        <v>0</v>
      </c>
      <c r="L176" s="55">
        <f>(Старт!L97+Проект!L1077+Проект!L1134)/Параметры!L$64</f>
        <v>0</v>
      </c>
      <c r="M176" s="55">
        <f>(Старт!M97+Проект!M1077+Проект!M1134)/Параметры!M$64</f>
        <v>0</v>
      </c>
      <c r="N176" s="55">
        <f>(Старт!N97+Проект!N1077+Проект!N1134)/Параметры!N$64</f>
        <v>0</v>
      </c>
      <c r="O176" s="55">
        <f>(Старт!O97+Проект!O1077+Проект!O1134)/Параметры!O$64</f>
        <v>0</v>
      </c>
      <c r="P176" s="55">
        <f>(Старт!P97+Проект!P1077+Проект!P1134)/Параметры!P$64</f>
        <v>0</v>
      </c>
      <c r="Q176" s="55">
        <f>(Старт!Q97+Проект!Q1077+Проект!Q1134)/Параметры!Q$64</f>
        <v>0</v>
      </c>
      <c r="R176" s="55">
        <f>(Старт!R97+Проект!R1077+Проект!R1134)/Параметры!R$64</f>
        <v>0</v>
      </c>
      <c r="S176" s="55">
        <f>(Старт!S97+Проект!S1077+Проект!S1134)/Параметры!S$64</f>
        <v>0</v>
      </c>
      <c r="T176" s="55">
        <f>(Старт!T97+Проект!T1077+Проект!T1134)/Параметры!T$64</f>
        <v>0</v>
      </c>
      <c r="U176" s="55">
        <f>(Старт!U97+Проект!U1077+Проект!U1134)/Параметры!U$64</f>
        <v>0</v>
      </c>
      <c r="V176" s="55">
        <f>(Старт!V97+Проект!V1077+Проект!V1134)/Параметры!V$64</f>
        <v>0</v>
      </c>
      <c r="W176" s="55">
        <f>(Старт!W97+Проект!W1077+Проект!W1134)/Параметры!W$64</f>
        <v>0</v>
      </c>
      <c r="X176" s="55">
        <f>(Старт!X97+Проект!X1077+Проект!X1134)/Параметры!X$64</f>
        <v>0</v>
      </c>
      <c r="Y176" s="55">
        <f>(Старт!Y97+Проект!Y1077+Проект!Y1134)/Параметры!Y$64</f>
        <v>0</v>
      </c>
      <c r="Z176" s="55">
        <f>(Старт!Z97+Проект!Z1077+Проект!Z1134)/Параметры!Z$64</f>
        <v>0</v>
      </c>
      <c r="AA176" s="55">
        <f>(Старт!AA97+Проект!AA1077+Проект!AA1134)/Параметры!AA$64</f>
        <v>0</v>
      </c>
      <c r="AB176" s="55">
        <f>(Старт!AB97+Проект!AB1077+Проект!AB1134)/Параметры!AB$64</f>
        <v>0</v>
      </c>
      <c r="AC176" s="55">
        <f>(Старт!AC97+Проект!AC1077+Проект!AC1134)/Параметры!AC$64</f>
        <v>0</v>
      </c>
      <c r="AD176" s="55">
        <f>(Старт!AD97+Проект!AD1077+Проект!AD1134)/Параметры!AD$64</f>
        <v>0</v>
      </c>
      <c r="AE176" s="55">
        <f>(Старт!AE97+Проект!AE1077+Проект!AE1134)/Параметры!AE$64</f>
        <v>0</v>
      </c>
      <c r="AF176" s="55">
        <f>(Старт!AF97+Проект!AF1077+Проект!AF1134)/Параметры!AF$64</f>
        <v>0</v>
      </c>
      <c r="AG176" s="55">
        <f>(Старт!AG97+Проект!AG1077+Проект!AG1134)/Параметры!AG$64</f>
        <v>0</v>
      </c>
      <c r="AH176" s="55">
        <f>(Старт!AH97+Проект!AH1077+Проект!AH1134)/Параметры!AH$64</f>
        <v>0</v>
      </c>
      <c r="AI176" s="55">
        <f>(Старт!AI97+Проект!AI1077+Проект!AI1134)/Параметры!AI$64</f>
        <v>0</v>
      </c>
      <c r="AJ176" s="55">
        <f>(Старт!AJ97+Проект!AJ1077+Проект!AJ1134)/Параметры!AJ$64</f>
        <v>0</v>
      </c>
      <c r="AK176" s="55">
        <f>(Старт!AK97+Проект!AK1077+Проект!AK1134)/Параметры!AK$64</f>
        <v>0</v>
      </c>
      <c r="AL176" s="55">
        <f>(Старт!AL97+Проект!AL1077+Проект!AL1134)/Параметры!AL$64</f>
        <v>0</v>
      </c>
      <c r="AM176" s="55">
        <f>(Старт!AM97+Проект!AM1077+Проект!AM1134)/Параметры!AM$64</f>
        <v>0</v>
      </c>
      <c r="AN176" s="55">
        <f>(Старт!AN97+Проект!AN1077+Проект!AN1134)/Параметры!AN$64</f>
        <v>0</v>
      </c>
      <c r="AO176" s="55">
        <f>(Старт!AO97+Проект!AO1077+Проект!AO1134)/Параметры!AO$64</f>
        <v>0</v>
      </c>
      <c r="AP176" s="55">
        <f>(Старт!AP97+Проект!AP1077+Проект!AP1134)/Параметры!AP$64</f>
        <v>0</v>
      </c>
      <c r="AQ176" s="55">
        <f>(Старт!AQ97+Проект!AQ1077+Проект!AQ1134)/Параметры!AQ$64</f>
        <v>0</v>
      </c>
      <c r="AR176" s="55">
        <f>(Старт!AR97+Проект!AR1077+Проект!AR1134)/Параметры!AR$64</f>
        <v>0</v>
      </c>
      <c r="AS176" s="55">
        <f>(Старт!AS97+Проект!AS1077+Проект!AS1134)/Параметры!AS$64</f>
        <v>0</v>
      </c>
      <c r="AT176" s="55">
        <f>(Старт!AT97+Проект!AT1077+Проект!AT1134)/Параметры!AT$64</f>
        <v>0</v>
      </c>
      <c r="AU176" s="55">
        <f>(Старт!AU97+Проект!AU1077+Проект!AU1134)/Параметры!AU$64</f>
        <v>0</v>
      </c>
      <c r="AV176" s="55">
        <f>(Старт!AV97+Проект!AV1077+Проект!AV1134)/Параметры!AV$64</f>
        <v>0</v>
      </c>
      <c r="AW176" s="55">
        <f>(Старт!AW97+Проект!AW1077+Проект!AW1134)/Параметры!AW$64</f>
        <v>0</v>
      </c>
      <c r="AX176" s="55">
        <f>(Старт!AX97+Проект!AX1077+Проект!AX1134)/Параметры!AX$64</f>
        <v>0</v>
      </c>
      <c r="AY176" s="55">
        <f>(Старт!AY97+Проект!AY1077+Проект!AY1134)/Параметры!AY$64</f>
        <v>0</v>
      </c>
      <c r="AZ176" s="55">
        <f>(Старт!AZ97+Проект!AZ1077+Проект!AZ1134)/Параметры!AZ$64</f>
        <v>0</v>
      </c>
      <c r="BA176" s="55">
        <f>(Старт!BA97+Проект!BA1077+Проект!BA1134)/Параметры!BA$64</f>
        <v>0</v>
      </c>
      <c r="BB176" s="55">
        <f>(Старт!BB97+Проект!BB1077+Проект!BB1134)/Параметры!BB$64</f>
        <v>0</v>
      </c>
    </row>
    <row r="177" spans="1:54" x14ac:dyDescent="0.3">
      <c r="A177" s="35" t="str">
        <f ca="1">Language!A1282</f>
        <v>Незавершенные капиталовложения</v>
      </c>
      <c r="C177" s="48" t="str">
        <f ca="1">Параметры!$C$64</f>
        <v>руб.</v>
      </c>
      <c r="E177" s="6" t="s">
        <v>1503</v>
      </c>
      <c r="F177" s="6" t="s">
        <v>741</v>
      </c>
      <c r="G177" s="55">
        <f>SUM(Старт!G62,Проект!G944,Проект!G951,Проект!G966,Проект!G980)/Параметры!G$64</f>
        <v>291667</v>
      </c>
      <c r="H177" s="55">
        <f>SUM(Старт!H62,Проект!H944,Проект!H951,Проект!H966,Проект!H980)/Параметры!H$64</f>
        <v>1950000.6666666667</v>
      </c>
      <c r="I177" s="55">
        <f>SUM(Старт!I62,Проект!I944,Проект!I951,Проект!I966,Проект!I980)/Параметры!I$64</f>
        <v>138608333.33333334</v>
      </c>
      <c r="J177" s="55">
        <f>SUM(Старт!J62,Проект!J944,Проект!J951,Проект!J966,Проект!J980)/Параметры!J$64</f>
        <v>157000000</v>
      </c>
      <c r="K177" s="55">
        <f>SUM(Старт!K62,Проект!K944,Проект!K951,Проект!K966,Проект!K980)/Параметры!K$64</f>
        <v>174025000</v>
      </c>
      <c r="L177" s="55">
        <f>SUM(Старт!L62,Проект!L944,Проект!L951,Проект!L966,Проект!L980)/Параметры!L$64</f>
        <v>191850000</v>
      </c>
      <c r="M177" s="55">
        <f>SUM(Старт!M62,Проект!M944,Проект!M951,Проект!M966,Проект!M980)/Параметры!M$64</f>
        <v>0</v>
      </c>
      <c r="N177" s="55">
        <f>SUM(Старт!N62,Проект!N944,Проект!N951,Проект!N966,Проект!N980)/Параметры!N$64</f>
        <v>0</v>
      </c>
      <c r="O177" s="55">
        <f>SUM(Старт!O62,Проект!O944,Проект!O951,Проект!O966,Проект!O980)/Параметры!O$64</f>
        <v>0</v>
      </c>
      <c r="P177" s="55">
        <f>SUM(Старт!P62,Проект!P944,Проект!P951,Проект!P966,Проект!P980)/Параметры!P$64</f>
        <v>0</v>
      </c>
      <c r="Q177" s="55">
        <f>SUM(Старт!Q62,Проект!Q944,Проект!Q951,Проект!Q966,Проект!Q980)/Параметры!Q$64</f>
        <v>0</v>
      </c>
      <c r="R177" s="55">
        <f>SUM(Старт!R62,Проект!R944,Проект!R951,Проект!R966,Проект!R980)/Параметры!R$64</f>
        <v>0</v>
      </c>
      <c r="S177" s="55">
        <f>SUM(Старт!S62,Проект!S944,Проект!S951,Проект!S966,Проект!S980)/Параметры!S$64</f>
        <v>0</v>
      </c>
      <c r="T177" s="55">
        <f>SUM(Старт!T62,Проект!T944,Проект!T951,Проект!T966,Проект!T980)/Параметры!T$64</f>
        <v>0</v>
      </c>
      <c r="U177" s="55">
        <f>SUM(Старт!U62,Проект!U944,Проект!U951,Проект!U966,Проект!U980)/Параметры!U$64</f>
        <v>0</v>
      </c>
      <c r="V177" s="55">
        <f>SUM(Старт!V62,Проект!V944,Проект!V951,Проект!V966,Проект!V980)/Параметры!V$64</f>
        <v>0</v>
      </c>
      <c r="W177" s="55">
        <f>SUM(Старт!W62,Проект!W944,Проект!W951,Проект!W966,Проект!W980)/Параметры!W$64</f>
        <v>0</v>
      </c>
      <c r="X177" s="55">
        <f>SUM(Старт!X62,Проект!X944,Проект!X951,Проект!X966,Проект!X980)/Параметры!X$64</f>
        <v>0</v>
      </c>
      <c r="Y177" s="55">
        <f>SUM(Старт!Y62,Проект!Y944,Проект!Y951,Проект!Y966,Проект!Y980)/Параметры!Y$64</f>
        <v>0</v>
      </c>
      <c r="Z177" s="55">
        <f>SUM(Старт!Z62,Проект!Z944,Проект!Z951,Проект!Z966,Проект!Z980)/Параметры!Z$64</f>
        <v>0</v>
      </c>
      <c r="AA177" s="55">
        <f>SUM(Старт!AA62,Проект!AA944,Проект!AA951,Проект!AA966,Проект!AA980)/Параметры!AA$64</f>
        <v>0</v>
      </c>
      <c r="AB177" s="55">
        <f>SUM(Старт!AB62,Проект!AB944,Проект!AB951,Проект!AB966,Проект!AB980)/Параметры!AB$64</f>
        <v>0</v>
      </c>
      <c r="AC177" s="55">
        <f>SUM(Старт!AC62,Проект!AC944,Проект!AC951,Проект!AC966,Проект!AC980)/Параметры!AC$64</f>
        <v>0</v>
      </c>
      <c r="AD177" s="55">
        <f>SUM(Старт!AD62,Проект!AD944,Проект!AD951,Проект!AD966,Проект!AD980)/Параметры!AD$64</f>
        <v>0</v>
      </c>
      <c r="AE177" s="55">
        <f>SUM(Старт!AE62,Проект!AE944,Проект!AE951,Проект!AE966,Проект!AE980)/Параметры!AE$64</f>
        <v>0</v>
      </c>
      <c r="AF177" s="55">
        <f>SUM(Старт!AF62,Проект!AF944,Проект!AF951,Проект!AF966,Проект!AF980)/Параметры!AF$64</f>
        <v>0</v>
      </c>
      <c r="AG177" s="55">
        <f>SUM(Старт!AG62,Проект!AG944,Проект!AG951,Проект!AG966,Проект!AG980)/Параметры!AG$64</f>
        <v>0</v>
      </c>
      <c r="AH177" s="55">
        <f>SUM(Старт!AH62,Проект!AH944,Проект!AH951,Проект!AH966,Проект!AH980)/Параметры!AH$64</f>
        <v>0</v>
      </c>
      <c r="AI177" s="55">
        <f>SUM(Старт!AI62,Проект!AI944,Проект!AI951,Проект!AI966,Проект!AI980)/Параметры!AI$64</f>
        <v>0</v>
      </c>
      <c r="AJ177" s="55">
        <f>SUM(Старт!AJ62,Проект!AJ944,Проект!AJ951,Проект!AJ966,Проект!AJ980)/Параметры!AJ$64</f>
        <v>0</v>
      </c>
      <c r="AK177" s="55">
        <f>SUM(Старт!AK62,Проект!AK944,Проект!AK951,Проект!AK966,Проект!AK980)/Параметры!AK$64</f>
        <v>0</v>
      </c>
      <c r="AL177" s="55">
        <f>SUM(Старт!AL62,Проект!AL944,Проект!AL951,Проект!AL966,Проект!AL980)/Параметры!AL$64</f>
        <v>0</v>
      </c>
      <c r="AM177" s="55">
        <f>SUM(Старт!AM62,Проект!AM944,Проект!AM951,Проект!AM966,Проект!AM980)/Параметры!AM$64</f>
        <v>0</v>
      </c>
      <c r="AN177" s="55">
        <f>SUM(Старт!AN62,Проект!AN944,Проект!AN951,Проект!AN966,Проект!AN980)/Параметры!AN$64</f>
        <v>0</v>
      </c>
      <c r="AO177" s="55">
        <f>SUM(Старт!AO62,Проект!AO944,Проект!AO951,Проект!AO966,Проект!AO980)/Параметры!AO$64</f>
        <v>0</v>
      </c>
      <c r="AP177" s="55">
        <f>SUM(Старт!AP62,Проект!AP944,Проект!AP951,Проект!AP966,Проект!AP980)/Параметры!AP$64</f>
        <v>0</v>
      </c>
      <c r="AQ177" s="55">
        <f>SUM(Старт!AQ62,Проект!AQ944,Проект!AQ951,Проект!AQ966,Проект!AQ980)/Параметры!AQ$64</f>
        <v>0</v>
      </c>
      <c r="AR177" s="55">
        <f>SUM(Старт!AR62,Проект!AR944,Проект!AR951,Проект!AR966,Проект!AR980)/Параметры!AR$64</f>
        <v>0</v>
      </c>
      <c r="AS177" s="55">
        <f>SUM(Старт!AS62,Проект!AS944,Проект!AS951,Проект!AS966,Проект!AS980)/Параметры!AS$64</f>
        <v>0</v>
      </c>
      <c r="AT177" s="55">
        <f>SUM(Старт!AT62,Проект!AT944,Проект!AT951,Проект!AT966,Проект!AT980)/Параметры!AT$64</f>
        <v>0</v>
      </c>
      <c r="AU177" s="55">
        <f>SUM(Старт!AU62,Проект!AU944,Проект!AU951,Проект!AU966,Проект!AU980)/Параметры!AU$64</f>
        <v>0</v>
      </c>
      <c r="AV177" s="55">
        <f>SUM(Старт!AV62,Проект!AV944,Проект!AV951,Проект!AV966,Проект!AV980)/Параметры!AV$64</f>
        <v>0</v>
      </c>
      <c r="AW177" s="55">
        <f>SUM(Старт!AW62,Проект!AW944,Проект!AW951,Проект!AW966,Проект!AW980)/Параметры!AW$64</f>
        <v>0</v>
      </c>
      <c r="AX177" s="55">
        <f>SUM(Старт!AX62,Проект!AX944,Проект!AX951,Проект!AX966,Проект!AX980)/Параметры!AX$64</f>
        <v>0</v>
      </c>
      <c r="AY177" s="55">
        <f>SUM(Старт!AY62,Проект!AY944,Проект!AY951,Проект!AY966,Проект!AY980)/Параметры!AY$64</f>
        <v>0</v>
      </c>
      <c r="AZ177" s="55">
        <f>SUM(Старт!AZ62,Проект!AZ944,Проект!AZ951,Проект!AZ966,Проект!AZ980)/Параметры!AZ$64</f>
        <v>0</v>
      </c>
      <c r="BA177" s="55">
        <f>SUM(Старт!BA62,Проект!BA944,Проект!BA951,Проект!BA966,Проект!BA980)/Параметры!BA$64</f>
        <v>0</v>
      </c>
      <c r="BB177" s="55">
        <f>SUM(Старт!BB62,Проект!BB944,Проект!BB951,Проект!BB966,Проект!BB980)/Параметры!BB$64</f>
        <v>0</v>
      </c>
    </row>
    <row r="178" spans="1:54" x14ac:dyDescent="0.3">
      <c r="A178" s="35" t="str">
        <f ca="1">Language!A1283</f>
        <v>Прочие внеоборотные активы</v>
      </c>
      <c r="C178" s="48" t="str">
        <f ca="1">Параметры!$C$64</f>
        <v>руб.</v>
      </c>
      <c r="E178" s="6" t="s">
        <v>1504</v>
      </c>
      <c r="F178" s="6" t="s">
        <v>741</v>
      </c>
      <c r="G178" s="55">
        <f>IF(G2=1,Старт!$B23/Параметры!G$64,F178*(Параметры!F64/Параметры!G64))</f>
        <v>0</v>
      </c>
      <c r="H178" s="55">
        <f>IF(H2=1,Старт!$B23/Параметры!H$64,G178*(Параметры!G64/Параметры!H64))</f>
        <v>0</v>
      </c>
      <c r="I178" s="55">
        <f>IF(I2=1,Старт!$B23/Параметры!I$64,H178*(Параметры!H64/Параметры!I64))</f>
        <v>0</v>
      </c>
      <c r="J178" s="55">
        <f>IF(J2=1,Старт!$B23/Параметры!J$64,I178*(Параметры!I64/Параметры!J64))</f>
        <v>0</v>
      </c>
      <c r="K178" s="55">
        <f>IF(K2=1,Старт!$B23/Параметры!K$64,J178*(Параметры!J64/Параметры!K64))</f>
        <v>0</v>
      </c>
      <c r="L178" s="55">
        <f>IF(L2=1,Старт!$B23/Параметры!L$64,K178*(Параметры!K64/Параметры!L64))</f>
        <v>0</v>
      </c>
      <c r="M178" s="55">
        <f>IF(M2=1,Старт!$B23/Параметры!M$64,L178*(Параметры!L64/Параметры!M64))</f>
        <v>0</v>
      </c>
      <c r="N178" s="55">
        <f>IF(N2=1,Старт!$B23/Параметры!N$64,M178*(Параметры!M64/Параметры!N64))</f>
        <v>0</v>
      </c>
      <c r="O178" s="55">
        <f>IF(O2=1,Старт!$B23/Параметры!O$64,N178*(Параметры!N64/Параметры!O64))</f>
        <v>0</v>
      </c>
      <c r="P178" s="55">
        <f>IF(P2=1,Старт!$B23/Параметры!P$64,O178*(Параметры!O64/Параметры!P64))</f>
        <v>0</v>
      </c>
      <c r="Q178" s="55">
        <f>IF(Q2=1,Старт!$B23/Параметры!Q$64,P178*(Параметры!P64/Параметры!Q64))</f>
        <v>0</v>
      </c>
      <c r="R178" s="55">
        <f>IF(R2=1,Старт!$B23/Параметры!R$64,Q178*(Параметры!Q64/Параметры!R64))</f>
        <v>0</v>
      </c>
      <c r="S178" s="55">
        <f>IF(S2=1,Старт!$B23/Параметры!S$64,R178*(Параметры!R64/Параметры!S64))</f>
        <v>0</v>
      </c>
      <c r="T178" s="55">
        <f>IF(T2=1,Старт!$B23/Параметры!T$64,S178*(Параметры!S64/Параметры!T64))</f>
        <v>0</v>
      </c>
      <c r="U178" s="55">
        <f>IF(U2=1,Старт!$B23/Параметры!U$64,T178*(Параметры!T64/Параметры!U64))</f>
        <v>0</v>
      </c>
      <c r="V178" s="55">
        <f>IF(V2=1,Старт!$B23/Параметры!V$64,U178*(Параметры!U64/Параметры!V64))</f>
        <v>0</v>
      </c>
      <c r="W178" s="55">
        <f>IF(W2=1,Старт!$B23/Параметры!W$64,V178*(Параметры!V64/Параметры!W64))</f>
        <v>0</v>
      </c>
      <c r="X178" s="55">
        <f>IF(X2=1,Старт!$B23/Параметры!X$64,W178*(Параметры!W64/Параметры!X64))</f>
        <v>0</v>
      </c>
      <c r="Y178" s="55">
        <f>IF(Y2=1,Старт!$B23/Параметры!Y$64,X178*(Параметры!X64/Параметры!Y64))</f>
        <v>0</v>
      </c>
      <c r="Z178" s="55">
        <f>IF(Z2=1,Старт!$B23/Параметры!Z$64,Y178*(Параметры!Y64/Параметры!Z64))</f>
        <v>0</v>
      </c>
      <c r="AA178" s="55">
        <f>IF(AA2=1,Старт!$B23/Параметры!AA$64,Z178*(Параметры!Z64/Параметры!AA64))</f>
        <v>0</v>
      </c>
      <c r="AB178" s="55">
        <f>IF(AB2=1,Старт!$B23/Параметры!AB$64,AA178*(Параметры!AA64/Параметры!AB64))</f>
        <v>0</v>
      </c>
      <c r="AC178" s="55">
        <f>IF(AC2=1,Старт!$B23/Параметры!AC$64,AB178*(Параметры!AB64/Параметры!AC64))</f>
        <v>0</v>
      </c>
      <c r="AD178" s="55">
        <f>IF(AD2=1,Старт!$B23/Параметры!AD$64,AC178*(Параметры!AC64/Параметры!AD64))</f>
        <v>0</v>
      </c>
      <c r="AE178" s="55">
        <f>IF(AE2=1,Старт!$B23/Параметры!AE$64,AD178*(Параметры!AD64/Параметры!AE64))</f>
        <v>0</v>
      </c>
      <c r="AF178" s="55">
        <f>IF(AF2=1,Старт!$B23/Параметры!AF$64,AE178*(Параметры!AE64/Параметры!AF64))</f>
        <v>0</v>
      </c>
      <c r="AG178" s="55">
        <f>IF(AG2=1,Старт!$B23/Параметры!AG$64,AF178*(Параметры!AF64/Параметры!AG64))</f>
        <v>0</v>
      </c>
      <c r="AH178" s="55">
        <f>IF(AH2=1,Старт!$B23/Параметры!AH$64,AG178*(Параметры!AG64/Параметры!AH64))</f>
        <v>0</v>
      </c>
      <c r="AI178" s="55">
        <f>IF(AI2=1,Старт!$B23/Параметры!AI$64,AH178*(Параметры!AH64/Параметры!AI64))</f>
        <v>0</v>
      </c>
      <c r="AJ178" s="55">
        <f>IF(AJ2=1,Старт!$B23/Параметры!AJ$64,AI178*(Параметры!AI64/Параметры!AJ64))</f>
        <v>0</v>
      </c>
      <c r="AK178" s="55">
        <f>IF(AK2=1,Старт!$B23/Параметры!AK$64,AJ178*(Параметры!AJ64/Параметры!AK64))</f>
        <v>0</v>
      </c>
      <c r="AL178" s="55">
        <f>IF(AL2=1,Старт!$B23/Параметры!AL$64,AK178*(Параметры!AK64/Параметры!AL64))</f>
        <v>0</v>
      </c>
      <c r="AM178" s="55">
        <f>IF(AM2=1,Старт!$B23/Параметры!AM$64,AL178*(Параметры!AL64/Параметры!AM64))</f>
        <v>0</v>
      </c>
      <c r="AN178" s="55">
        <f>IF(AN2=1,Старт!$B23/Параметры!AN$64,AM178*(Параметры!AM64/Параметры!AN64))</f>
        <v>0</v>
      </c>
      <c r="AO178" s="55">
        <f>IF(AO2=1,Старт!$B23/Параметры!AO$64,AN178*(Параметры!AN64/Параметры!AO64))</f>
        <v>0</v>
      </c>
      <c r="AP178" s="55">
        <f>IF(AP2=1,Старт!$B23/Параметры!AP$64,AO178*(Параметры!AO64/Параметры!AP64))</f>
        <v>0</v>
      </c>
      <c r="AQ178" s="55">
        <f>IF(AQ2=1,Старт!$B23/Параметры!AQ$64,AP178*(Параметры!AP64/Параметры!AQ64))</f>
        <v>0</v>
      </c>
      <c r="AR178" s="55">
        <f>IF(AR2=1,Старт!$B23/Параметры!AR$64,AQ178*(Параметры!AQ64/Параметры!AR64))</f>
        <v>0</v>
      </c>
      <c r="AS178" s="55">
        <f>IF(AS2=1,Старт!$B23/Параметры!AS$64,AR178*(Параметры!AR64/Параметры!AS64))</f>
        <v>0</v>
      </c>
      <c r="AT178" s="55">
        <f>IF(AT2=1,Старт!$B23/Параметры!AT$64,AS178*(Параметры!AS64/Параметры!AT64))</f>
        <v>0</v>
      </c>
      <c r="AU178" s="55">
        <f>IF(AU2=1,Старт!$B23/Параметры!AU$64,AT178*(Параметры!AT64/Параметры!AU64))</f>
        <v>0</v>
      </c>
      <c r="AV178" s="55">
        <f>IF(AV2=1,Старт!$B23/Параметры!AV$64,AU178*(Параметры!AU64/Параметры!AV64))</f>
        <v>0</v>
      </c>
      <c r="AW178" s="55">
        <f>IF(AW2=1,Старт!$B23/Параметры!AW$64,AV178*(Параметры!AV64/Параметры!AW64))</f>
        <v>0</v>
      </c>
      <c r="AX178" s="55">
        <f>IF(AX2=1,Старт!$B23/Параметры!AX$64,AW178*(Параметры!AW64/Параметры!AX64))</f>
        <v>0</v>
      </c>
      <c r="AY178" s="55">
        <f>IF(AY2=1,Старт!$B23/Параметры!AY$64,AX178*(Параметры!AX64/Параметры!AY64))</f>
        <v>0</v>
      </c>
      <c r="AZ178" s="55">
        <f>IF(AZ2=1,Старт!$B23/Параметры!AZ$64,AY178*(Параметры!AY64/Параметры!AZ64))</f>
        <v>0</v>
      </c>
      <c r="BA178" s="55">
        <f>IF(BA2=1,Старт!$B23/Параметры!BA$64,AZ178*(Параметры!AZ64/Параметры!BA64))</f>
        <v>0</v>
      </c>
      <c r="BB178" s="55">
        <f>IF(BB2=1,Старт!$B23/Параметры!BB$64,BA178*(Параметры!BA64/Параметры!BB64))</f>
        <v>0</v>
      </c>
    </row>
    <row r="179" spans="1:54" x14ac:dyDescent="0.3">
      <c r="A179" s="43" t="str">
        <f ca="1">Language!A1284</f>
        <v>Суммарные внеоборотные активы</v>
      </c>
      <c r="B179" s="80"/>
      <c r="C179" s="45" t="str">
        <f ca="1">Параметры!$C$64</f>
        <v>руб.</v>
      </c>
      <c r="D179" s="46"/>
      <c r="E179" s="46" t="s">
        <v>1505</v>
      </c>
      <c r="F179" s="46" t="s">
        <v>741</v>
      </c>
      <c r="G179" s="81">
        <f ca="1">SUM(G172:G178)</f>
        <v>291667</v>
      </c>
      <c r="H179" s="81">
        <f t="shared" ref="H179:L179" ca="1" si="442">SUM(H172:H178)</f>
        <v>1950000.6666666667</v>
      </c>
      <c r="I179" s="81">
        <f t="shared" ca="1" si="442"/>
        <v>138608333.33333334</v>
      </c>
      <c r="J179" s="81">
        <f t="shared" ca="1" si="442"/>
        <v>157000000</v>
      </c>
      <c r="K179" s="81">
        <f t="shared" ca="1" si="442"/>
        <v>174025000</v>
      </c>
      <c r="L179" s="81">
        <f t="shared" ca="1" si="442"/>
        <v>191850000</v>
      </c>
      <c r="M179" s="81">
        <f t="shared" ref="M179:N179" ca="1" si="443">SUM(M172:M178)</f>
        <v>211230138.8888889</v>
      </c>
      <c r="N179" s="81">
        <f t="shared" ca="1" si="443"/>
        <v>210610277.77777776</v>
      </c>
      <c r="O179" s="81">
        <f t="shared" ref="O179:P179" ca="1" si="444">SUM(O172:O178)</f>
        <v>209990416.66666669</v>
      </c>
      <c r="P179" s="81">
        <f t="shared" ca="1" si="444"/>
        <v>209370555.55555561</v>
      </c>
      <c r="Q179" s="81">
        <f t="shared" ref="Q179:R179" ca="1" si="445">SUM(Q172:Q178)</f>
        <v>208750694.44444439</v>
      </c>
      <c r="R179" s="81">
        <f t="shared" ca="1" si="445"/>
        <v>208130833.33333331</v>
      </c>
      <c r="S179" s="81">
        <f t="shared" ref="S179:T179" ca="1" si="446">SUM(S172:S178)</f>
        <v>207510972.22222224</v>
      </c>
      <c r="T179" s="81">
        <f t="shared" ca="1" si="446"/>
        <v>206891111.1111111</v>
      </c>
      <c r="U179" s="81">
        <f t="shared" ref="U179:V179" ca="1" si="447">SUM(U172:U178)</f>
        <v>206271250</v>
      </c>
      <c r="V179" s="81">
        <f t="shared" ca="1" si="447"/>
        <v>205651388.8888889</v>
      </c>
      <c r="W179" s="81">
        <f t="shared" ref="W179:X179" ca="1" si="448">SUM(W172:W178)</f>
        <v>205031527.77777776</v>
      </c>
      <c r="X179" s="81">
        <f t="shared" ca="1" si="448"/>
        <v>204411666.66666669</v>
      </c>
      <c r="Y179" s="81">
        <f t="shared" ref="Y179:Z179" ca="1" si="449">SUM(Y172:Y178)</f>
        <v>203791805.55555555</v>
      </c>
      <c r="Z179" s="81">
        <f t="shared" ca="1" si="449"/>
        <v>203171944.44444439</v>
      </c>
      <c r="AA179" s="81">
        <f t="shared" ref="AA179:AB179" ca="1" si="450">SUM(AA172:AA178)</f>
        <v>202552083.33333331</v>
      </c>
      <c r="AB179" s="81">
        <f t="shared" ca="1" si="450"/>
        <v>201932222.22222224</v>
      </c>
      <c r="AC179" s="81">
        <f t="shared" ref="AC179:AD179" ca="1" si="451">SUM(AC172:AC178)</f>
        <v>201312361.1111111</v>
      </c>
      <c r="AD179" s="81">
        <f t="shared" ca="1" si="451"/>
        <v>200692500</v>
      </c>
      <c r="AE179" s="81">
        <f t="shared" ref="AE179:AF179" ca="1" si="452">SUM(AE172:AE178)</f>
        <v>200072638.8888889</v>
      </c>
      <c r="AF179" s="81">
        <f t="shared" ca="1" si="452"/>
        <v>199452777.77777776</v>
      </c>
      <c r="AG179" s="81">
        <f t="shared" ref="AG179:AH179" ca="1" si="453">SUM(AG172:AG178)</f>
        <v>198832916.66666666</v>
      </c>
      <c r="AH179" s="81">
        <f t="shared" ca="1" si="453"/>
        <v>198213055.55555558</v>
      </c>
      <c r="AI179" s="81">
        <f t="shared" ref="AI179:AJ179" ca="1" si="454">SUM(AI172:AI178)</f>
        <v>197593194.44444445</v>
      </c>
      <c r="AJ179" s="81">
        <f t="shared" ca="1" si="454"/>
        <v>196973333.33333331</v>
      </c>
      <c r="AK179" s="81">
        <f t="shared" ref="AK179:AL179" ca="1" si="455">SUM(AK172:AK178)</f>
        <v>196353472.22222224</v>
      </c>
      <c r="AL179" s="81">
        <f t="shared" ca="1" si="455"/>
        <v>195733611.1111111</v>
      </c>
      <c r="AM179" s="81">
        <f t="shared" ref="AM179:AN179" ca="1" si="456">SUM(AM172:AM178)</f>
        <v>195113750</v>
      </c>
      <c r="AN179" s="81">
        <f t="shared" ca="1" si="456"/>
        <v>194493888.8888889</v>
      </c>
      <c r="AO179" s="81">
        <f t="shared" ref="AO179:AP179" ca="1" si="457">SUM(AO172:AO178)</f>
        <v>193874027.77777776</v>
      </c>
      <c r="AP179" s="81">
        <f t="shared" ca="1" si="457"/>
        <v>193254166.66666666</v>
      </c>
      <c r="AQ179" s="81">
        <f t="shared" ref="AQ179:AR179" ca="1" si="458">SUM(AQ172:AQ178)</f>
        <v>192634305.55555558</v>
      </c>
      <c r="AR179" s="81">
        <f t="shared" ca="1" si="458"/>
        <v>192014444.44444445</v>
      </c>
      <c r="AS179" s="81">
        <f t="shared" ref="AS179:AT179" ca="1" si="459">SUM(AS172:AS178)</f>
        <v>191394583.33333331</v>
      </c>
      <c r="AT179" s="81">
        <f t="shared" ca="1" si="459"/>
        <v>190774722.22222224</v>
      </c>
      <c r="AU179" s="81">
        <f t="shared" ref="AU179:AV179" ca="1" si="460">SUM(AU172:AU178)</f>
        <v>190154861.1111111</v>
      </c>
      <c r="AV179" s="81">
        <f t="shared" ca="1" si="460"/>
        <v>189535000</v>
      </c>
      <c r="AW179" s="81">
        <f t="shared" ref="AW179:AX179" ca="1" si="461">SUM(AW172:AW178)</f>
        <v>188915138.8888889</v>
      </c>
      <c r="AX179" s="81">
        <f t="shared" ca="1" si="461"/>
        <v>188295277.77777776</v>
      </c>
      <c r="AY179" s="81">
        <f t="shared" ref="AY179:AZ179" ca="1" si="462">SUM(AY172:AY178)</f>
        <v>187675416.66666669</v>
      </c>
      <c r="AZ179" s="81">
        <f t="shared" ca="1" si="462"/>
        <v>187055555.55555555</v>
      </c>
      <c r="BA179" s="81">
        <f t="shared" ref="BA179:BB179" ca="1" si="463">SUM(BA172:BA178)</f>
        <v>186435694.44444445</v>
      </c>
      <c r="BB179" s="81">
        <f t="shared" ca="1" si="463"/>
        <v>185815833.33333331</v>
      </c>
    </row>
    <row r="180" spans="1:54" x14ac:dyDescent="0.3">
      <c r="A180" s="10"/>
      <c r="G180" s="55"/>
      <c r="H180" s="55"/>
      <c r="I180" s="55"/>
      <c r="J180" s="55"/>
      <c r="K180" s="55"/>
      <c r="L180" s="55"/>
      <c r="M180" s="55"/>
      <c r="N180" s="55"/>
      <c r="O180" s="55"/>
      <c r="P180" s="55"/>
      <c r="Q180" s="55"/>
      <c r="R180" s="55"/>
      <c r="S180" s="55"/>
      <c r="T180" s="55"/>
      <c r="U180" s="55"/>
      <c r="V180" s="55"/>
      <c r="W180" s="55"/>
      <c r="X180" s="55"/>
      <c r="Y180" s="55"/>
      <c r="Z180" s="55"/>
      <c r="AA180" s="55"/>
      <c r="AB180" s="55"/>
      <c r="AC180" s="55"/>
      <c r="AD180" s="55"/>
      <c r="AE180" s="55"/>
      <c r="AF180" s="55"/>
      <c r="AG180" s="55"/>
      <c r="AH180" s="55"/>
      <c r="AI180" s="55"/>
      <c r="AJ180" s="55"/>
      <c r="AK180" s="55"/>
      <c r="AL180" s="55"/>
      <c r="AM180" s="55"/>
      <c r="AN180" s="55"/>
      <c r="AO180" s="55"/>
      <c r="AP180" s="55"/>
      <c r="AQ180" s="55"/>
      <c r="AR180" s="55"/>
      <c r="AS180" s="55"/>
      <c r="AT180" s="55"/>
      <c r="AU180" s="55"/>
      <c r="AV180" s="55"/>
      <c r="AW180" s="55"/>
      <c r="AX180" s="55"/>
      <c r="AY180" s="55"/>
      <c r="AZ180" s="55"/>
      <c r="BA180" s="55"/>
      <c r="BB180" s="55"/>
    </row>
    <row r="181" spans="1:54" x14ac:dyDescent="0.3">
      <c r="A181" s="49" t="str">
        <f ca="1">Language!A1285</f>
        <v>ИТОГО АКТИВОВ</v>
      </c>
      <c r="B181" s="83"/>
      <c r="C181" s="51" t="str">
        <f ca="1">Параметры!$C$64</f>
        <v>руб.</v>
      </c>
      <c r="D181" s="14"/>
      <c r="E181" s="14" t="s">
        <v>1506</v>
      </c>
      <c r="F181" s="14" t="s">
        <v>741</v>
      </c>
      <c r="G181" s="84">
        <f ca="1">SUM(G170,G179)</f>
        <v>211850001</v>
      </c>
      <c r="H181" s="84">
        <f t="shared" ref="H181:L181" ca="1" si="464">SUM(H170,H179)</f>
        <v>211850001</v>
      </c>
      <c r="I181" s="84">
        <f t="shared" ca="1" si="464"/>
        <v>211850001.00000003</v>
      </c>
      <c r="J181" s="84">
        <f t="shared" ca="1" si="464"/>
        <v>211850001</v>
      </c>
      <c r="K181" s="84">
        <f t="shared" ca="1" si="464"/>
        <v>211850001</v>
      </c>
      <c r="L181" s="84">
        <f t="shared" ca="1" si="464"/>
        <v>211850001</v>
      </c>
      <c r="M181" s="84">
        <f t="shared" ref="M181:N181" ca="1" si="465">SUM(M170,M179)</f>
        <v>225996861.43457997</v>
      </c>
      <c r="N181" s="84">
        <f t="shared" ca="1" si="465"/>
        <v>218625067.92411783</v>
      </c>
      <c r="O181" s="84">
        <f t="shared" ref="O181:P181" ca="1" si="466">SUM(O170,O179)</f>
        <v>217838161.15508062</v>
      </c>
      <c r="P181" s="84">
        <f t="shared" ca="1" si="466"/>
        <v>218822874.74258494</v>
      </c>
      <c r="Q181" s="84">
        <f t="shared" ref="Q181:R181" ca="1" si="467">SUM(Q170,Q179)</f>
        <v>219373877.86598021</v>
      </c>
      <c r="R181" s="84">
        <f t="shared" ca="1" si="467"/>
        <v>219092276.22001714</v>
      </c>
      <c r="S181" s="84">
        <f t="shared" ref="S181:T181" ca="1" si="468">SUM(S170,S179)</f>
        <v>223397538.6327557</v>
      </c>
      <c r="T181" s="84">
        <f t="shared" ca="1" si="468"/>
        <v>224337503.15030521</v>
      </c>
      <c r="U181" s="84">
        <f t="shared" ref="U181:V181" ca="1" si="469">SUM(U170,U179)</f>
        <v>223938669.45718011</v>
      </c>
      <c r="V181" s="84">
        <f t="shared" ca="1" si="469"/>
        <v>223217364.26692188</v>
      </c>
      <c r="W181" s="84">
        <f t="shared" ref="W181:X181" ca="1" si="470">SUM(W170,W179)</f>
        <v>220263781.52772832</v>
      </c>
      <c r="X181" s="84">
        <f t="shared" ca="1" si="470"/>
        <v>224967646.93601847</v>
      </c>
      <c r="Y181" s="84">
        <f t="shared" ref="Y181:Z181" ca="1" si="471">SUM(Y170,Y179)</f>
        <v>229493887.81253225</v>
      </c>
      <c r="Z181" s="84">
        <f t="shared" ca="1" si="471"/>
        <v>233236180.2030305</v>
      </c>
      <c r="AA181" s="84">
        <f t="shared" ref="AA181:AB181" ca="1" si="472">SUM(AA170,AA179)</f>
        <v>230396313.07220531</v>
      </c>
      <c r="AB181" s="84">
        <f t="shared" ca="1" si="472"/>
        <v>225025846.45055845</v>
      </c>
      <c r="AC181" s="84">
        <f t="shared" ref="AC181:AD181" ca="1" si="473">SUM(AC170,AC179)</f>
        <v>220861913.16941124</v>
      </c>
      <c r="AD181" s="84">
        <f t="shared" ca="1" si="473"/>
        <v>219012491.59023371</v>
      </c>
      <c r="AE181" s="84">
        <f t="shared" ref="AE181:AF181" ca="1" si="474">SUM(AE170,AE179)</f>
        <v>221397558.36964417</v>
      </c>
      <c r="AF181" s="84">
        <f t="shared" ca="1" si="474"/>
        <v>220362193.33006123</v>
      </c>
      <c r="AG181" s="84">
        <f t="shared" ref="AG181:AH181" ca="1" si="475">SUM(AG170,AG179)</f>
        <v>218035903.89951056</v>
      </c>
      <c r="AH181" s="84">
        <f t="shared" ca="1" si="475"/>
        <v>216499586.94957069</v>
      </c>
      <c r="AI181" s="84">
        <f t="shared" ref="AI181:AJ181" ca="1" si="476">SUM(AI170,AI179)</f>
        <v>212663401.94978788</v>
      </c>
      <c r="AJ181" s="84">
        <f t="shared" ca="1" si="476"/>
        <v>216967894.68016368</v>
      </c>
      <c r="AK181" s="84">
        <f t="shared" ref="AK181:AL181" ca="1" si="477">SUM(AK170,AK179)</f>
        <v>224136400.53177831</v>
      </c>
      <c r="AL181" s="84">
        <f t="shared" ca="1" si="477"/>
        <v>230429749.2906068</v>
      </c>
      <c r="AM181" s="84">
        <f t="shared" ref="AM181:AN181" ca="1" si="478">SUM(AM170,AM179)</f>
        <v>229800689.41196367</v>
      </c>
      <c r="AN181" s="84">
        <f t="shared" ca="1" si="478"/>
        <v>226588794.91018692</v>
      </c>
      <c r="AO181" s="84">
        <f t="shared" ref="AO181:AP181" ca="1" si="479">SUM(AO170,AO179)</f>
        <v>224675491.08997244</v>
      </c>
      <c r="AP181" s="84">
        <f t="shared" ca="1" si="479"/>
        <v>225171956.76210847</v>
      </c>
      <c r="AQ181" s="84">
        <f t="shared" ref="AQ181:AR181" ca="1" si="480">SUM(AQ170,AQ179)</f>
        <v>230080290.69510996</v>
      </c>
      <c r="AR181" s="84">
        <f t="shared" ca="1" si="480"/>
        <v>231324429.43302175</v>
      </c>
      <c r="AS181" s="84">
        <f t="shared" ref="AS181:AT181" ca="1" si="481">SUM(AS170,AS179)</f>
        <v>231246220.42716789</v>
      </c>
      <c r="AT181" s="84">
        <f t="shared" ca="1" si="481"/>
        <v>231863887.23010528</v>
      </c>
      <c r="AU181" s="84">
        <f t="shared" ref="AU181:AV181" ca="1" si="482">SUM(AU170,AU179)</f>
        <v>229878371.26996171</v>
      </c>
      <c r="AV181" s="84">
        <f t="shared" ca="1" si="482"/>
        <v>236308826.77190244</v>
      </c>
      <c r="AW181" s="84">
        <f t="shared" ref="AW181:AX181" ca="1" si="483">SUM(AW170,AW179)</f>
        <v>245466216.31805167</v>
      </c>
      <c r="AX181" s="84">
        <f t="shared" ca="1" si="483"/>
        <v>257405876.35974666</v>
      </c>
      <c r="AY181" s="84">
        <f t="shared" ref="AY181:AZ181" ca="1" si="484">SUM(AY170,AY179)</f>
        <v>265978792.5384407</v>
      </c>
      <c r="AZ181" s="84">
        <f t="shared" ca="1" si="484"/>
        <v>271760384.85055381</v>
      </c>
      <c r="BA181" s="84">
        <f t="shared" ref="BA181:BB181" ca="1" si="485">SUM(BA170,BA179)</f>
        <v>278775148.59519118</v>
      </c>
      <c r="BB181" s="84">
        <f t="shared" ca="1" si="485"/>
        <v>288129833.86742526</v>
      </c>
    </row>
    <row r="182" spans="1:54" x14ac:dyDescent="0.3">
      <c r="A182" s="10"/>
      <c r="G182" s="55"/>
      <c r="H182" s="55"/>
      <c r="I182" s="55"/>
      <c r="J182" s="55"/>
      <c r="K182" s="55"/>
      <c r="L182" s="55"/>
      <c r="M182" s="55"/>
      <c r="N182" s="55"/>
      <c r="O182" s="55"/>
      <c r="P182" s="55"/>
      <c r="Q182" s="55"/>
      <c r="R182" s="55"/>
      <c r="S182" s="55"/>
      <c r="T182" s="55"/>
      <c r="U182" s="55"/>
      <c r="V182" s="55"/>
      <c r="W182" s="55"/>
      <c r="X182" s="55"/>
      <c r="Y182" s="55"/>
      <c r="Z182" s="55"/>
      <c r="AA182" s="55"/>
      <c r="AB182" s="55"/>
      <c r="AC182" s="55"/>
      <c r="AD182" s="55"/>
      <c r="AE182" s="55"/>
      <c r="AF182" s="55"/>
      <c r="AG182" s="55"/>
      <c r="AH182" s="55"/>
      <c r="AI182" s="55"/>
      <c r="AJ182" s="55"/>
      <c r="AK182" s="55"/>
      <c r="AL182" s="55"/>
      <c r="AM182" s="55"/>
      <c r="AN182" s="55"/>
      <c r="AO182" s="55"/>
      <c r="AP182" s="55"/>
      <c r="AQ182" s="55"/>
      <c r="AR182" s="55"/>
      <c r="AS182" s="55"/>
      <c r="AT182" s="55"/>
      <c r="AU182" s="55"/>
      <c r="AV182" s="55"/>
      <c r="AW182" s="55"/>
      <c r="AX182" s="55"/>
      <c r="AY182" s="55"/>
      <c r="AZ182" s="55"/>
      <c r="BA182" s="55"/>
      <c r="BB182" s="55"/>
    </row>
    <row r="183" spans="1:54" x14ac:dyDescent="0.3">
      <c r="A183" s="35" t="str">
        <f ca="1">Language!A1286</f>
        <v>Кредиторская задолженность перед поставщиками</v>
      </c>
      <c r="C183" s="48" t="str">
        <f ca="1">Параметры!$C$64</f>
        <v>руб.</v>
      </c>
      <c r="E183" s="6" t="s">
        <v>1507</v>
      </c>
      <c r="F183" s="6" t="s">
        <v>741</v>
      </c>
      <c r="G183" s="55">
        <f ca="1">Проект!G602/Параметры!G$64</f>
        <v>0</v>
      </c>
      <c r="H183" s="55">
        <f ca="1">Проект!H602/Параметры!H$64</f>
        <v>0</v>
      </c>
      <c r="I183" s="55">
        <f ca="1">Проект!I602/Параметры!I$64</f>
        <v>0</v>
      </c>
      <c r="J183" s="55">
        <f ca="1">Проект!J602/Параметры!J$64</f>
        <v>0</v>
      </c>
      <c r="K183" s="55">
        <f ca="1">Проект!K602/Параметры!K$64</f>
        <v>0</v>
      </c>
      <c r="L183" s="55">
        <f ca="1">Проект!L602/Параметры!L$64</f>
        <v>0</v>
      </c>
      <c r="M183" s="55">
        <f ca="1">Проект!M602/Параметры!M$64</f>
        <v>1216975.9727761033</v>
      </c>
      <c r="N183" s="55">
        <f ca="1">Проект!N602/Параметры!N$64</f>
        <v>1183688.1116426983</v>
      </c>
      <c r="O183" s="55">
        <f ca="1">Проект!O602/Параметры!O$64</f>
        <v>1422377.1177272743</v>
      </c>
      <c r="P183" s="55">
        <f ca="1">Проект!P602/Параметры!P$64</f>
        <v>1668579.4796940009</v>
      </c>
      <c r="Q183" s="55">
        <f ca="1">Проект!Q602/Параметры!Q$64</f>
        <v>1544005.0407742898</v>
      </c>
      <c r="R183" s="55">
        <f ca="1">Проект!R602/Параметры!R$64</f>
        <v>1570836.9175153319</v>
      </c>
      <c r="S183" s="55">
        <f ca="1">Проект!S602/Параметры!S$64</f>
        <v>2332027.0560494512</v>
      </c>
      <c r="T183" s="55">
        <f ca="1">Проект!T602/Параметры!T$64</f>
        <v>1690789.5254356917</v>
      </c>
      <c r="U183" s="55">
        <f ca="1">Проект!U602/Параметры!U$64</f>
        <v>1460092.7489773366</v>
      </c>
      <c r="V183" s="55">
        <f ca="1">Проект!V602/Параметры!V$64</f>
        <v>1612569.7386010597</v>
      </c>
      <c r="W183" s="55">
        <f ca="1">Проект!W602/Параметры!W$64</f>
        <v>1233623.0990248155</v>
      </c>
      <c r="X183" s="55">
        <f ca="1">Проект!X602/Параметры!X$64</f>
        <v>2555158.9421889577</v>
      </c>
      <c r="Y183" s="55">
        <f ca="1">Проект!Y602/Параметры!Y$64</f>
        <v>2913838.0493879663</v>
      </c>
      <c r="Z183" s="55">
        <f ca="1">Проект!Z602/Параметры!Z$64</f>
        <v>2641176.6750457776</v>
      </c>
      <c r="AA183" s="55">
        <f ca="1">Проект!AA602/Параметры!AA$64</f>
        <v>1470465.3391500083</v>
      </c>
      <c r="AB183" s="55">
        <f ca="1">Проект!AB602/Параметры!AB$64</f>
        <v>1136295.8378219979</v>
      </c>
      <c r="AC183" s="55">
        <f ca="1">Проект!AC602/Параметры!AC$64</f>
        <v>1450200.3711124188</v>
      </c>
      <c r="AD183" s="55">
        <f ca="1">Проект!AD602/Параметры!AD$64</f>
        <v>1887495.1469545148</v>
      </c>
      <c r="AE183" s="55">
        <f ca="1">Проект!AE602/Параметры!AE$64</f>
        <v>2576216.3185413158</v>
      </c>
      <c r="AF183" s="55">
        <f ca="1">Проект!AF602/Параметры!AF$64</f>
        <v>1868482.7915137005</v>
      </c>
      <c r="AG183" s="55">
        <f ca="1">Проект!AG602/Параметры!AG$64</f>
        <v>1612856.7970549155</v>
      </c>
      <c r="AH183" s="55">
        <f ca="1">Проект!AH602/Параметры!AH$64</f>
        <v>1781005.5651804265</v>
      </c>
      <c r="AI183" s="55">
        <f ca="1">Проект!AI602/Параметры!AI$64</f>
        <v>1362013.3817549183</v>
      </c>
      <c r="AJ183" s="55">
        <f ca="1">Проект!AJ602/Параметры!AJ$64</f>
        <v>2823926.7793668527</v>
      </c>
      <c r="AK183" s="55">
        <f ca="1">Проект!AK602/Параметры!AK$64</f>
        <v>3223792.2857159274</v>
      </c>
      <c r="AL183" s="55">
        <f ca="1">Проект!AL602/Параметры!AL$64</f>
        <v>2923848.8991586105</v>
      </c>
      <c r="AM183" s="55">
        <f ca="1">Проект!AM602/Параметры!AM$64</f>
        <v>1627942.1860200525</v>
      </c>
      <c r="AN183" s="55">
        <f ca="1">Проект!AN602/Параметры!AN$64</f>
        <v>1255311.3153859968</v>
      </c>
      <c r="AO183" s="55">
        <f ca="1">Проект!AO602/Параметры!AO$64</f>
        <v>1601149.0923591398</v>
      </c>
      <c r="AP183" s="55">
        <f ca="1">Проект!AP602/Параметры!AP$64</f>
        <v>2084580.5513774485</v>
      </c>
      <c r="AQ183" s="55">
        <f ca="1">Проект!AQ602/Параметры!AQ$64</f>
        <v>2847944.4169790242</v>
      </c>
      <c r="AR183" s="55">
        <f ca="1">Проект!AR602/Параметры!AR$64</f>
        <v>2066261.6461230018</v>
      </c>
      <c r="AS183" s="55">
        <f ca="1">Проект!AS602/Параметры!AS$64</f>
        <v>1782840.2765331215</v>
      </c>
      <c r="AT183" s="55">
        <f ca="1">Проект!AT602/Параметры!AT$64</f>
        <v>1968407.3923382987</v>
      </c>
      <c r="AU183" s="55">
        <f ca="1">Проект!AU602/Параметры!AU$64</f>
        <v>1504827.5714919004</v>
      </c>
      <c r="AV183" s="55">
        <f ca="1">Проект!AV602/Параметры!AV$64</f>
        <v>3123091.3327353364</v>
      </c>
      <c r="AW183" s="55">
        <f ca="1">Проект!AW602/Параметры!AW$64</f>
        <v>3569045.0968594383</v>
      </c>
      <c r="AX183" s="55">
        <f ca="1">Проект!AX602/Параметры!AX$64</f>
        <v>3238832.77739642</v>
      </c>
      <c r="AY183" s="55">
        <f ca="1">Проект!AY602/Параметры!AY$64</f>
        <v>1803426.8110203003</v>
      </c>
      <c r="AZ183" s="55">
        <f ca="1">Проект!AZ602/Параметры!AZ$64</f>
        <v>1387751.2646974579</v>
      </c>
      <c r="BA183" s="55">
        <f ca="1">Проект!BA602/Параметры!BA$64</f>
        <v>1769057.3128745893</v>
      </c>
      <c r="BB183" s="55">
        <f ca="1">Проект!BB602/Параметры!BB$64</f>
        <v>2303853.172042618</v>
      </c>
    </row>
    <row r="184" spans="1:54" x14ac:dyDescent="0.3">
      <c r="A184" s="35" t="str">
        <f ca="1">Language!A1287</f>
        <v>Кредиторская задолженность за внеоборотные активы</v>
      </c>
      <c r="C184" s="48" t="str">
        <f ca="1">Параметры!$C$64</f>
        <v>руб.</v>
      </c>
      <c r="E184" s="6" t="s">
        <v>1508</v>
      </c>
      <c r="F184" s="6" t="s">
        <v>741</v>
      </c>
      <c r="G184" s="55">
        <f>Проект!G626/Параметры!G$64</f>
        <v>0</v>
      </c>
      <c r="H184" s="55">
        <f>Проект!H626/Параметры!H$64</f>
        <v>0</v>
      </c>
      <c r="I184" s="55">
        <f>Проект!I626/Параметры!I$64</f>
        <v>0</v>
      </c>
      <c r="J184" s="55">
        <f>Проект!J626/Параметры!J$64</f>
        <v>0</v>
      </c>
      <c r="K184" s="55">
        <f>Проект!K626/Параметры!K$64</f>
        <v>0</v>
      </c>
      <c r="L184" s="55">
        <f>Проект!L626/Параметры!L$64</f>
        <v>0</v>
      </c>
      <c r="M184" s="55">
        <f>Проект!M626/Параметры!M$64</f>
        <v>10000000</v>
      </c>
      <c r="N184" s="55">
        <f>Проект!N626/Параметры!N$64</f>
        <v>0</v>
      </c>
      <c r="O184" s="55">
        <f>Проект!O626/Параметры!O$64</f>
        <v>0</v>
      </c>
      <c r="P184" s="55">
        <f>Проект!P626/Параметры!P$64</f>
        <v>0</v>
      </c>
      <c r="Q184" s="55">
        <f>Проект!Q626/Параметры!Q$64</f>
        <v>0</v>
      </c>
      <c r="R184" s="55">
        <f>Проект!R626/Параметры!R$64</f>
        <v>0</v>
      </c>
      <c r="S184" s="55">
        <f>Проект!S626/Параметры!S$64</f>
        <v>0</v>
      </c>
      <c r="T184" s="55">
        <f>Проект!T626/Параметры!T$64</f>
        <v>0</v>
      </c>
      <c r="U184" s="55">
        <f>Проект!U626/Параметры!U$64</f>
        <v>0</v>
      </c>
      <c r="V184" s="55">
        <f>Проект!V626/Параметры!V$64</f>
        <v>0</v>
      </c>
      <c r="W184" s="55">
        <f>Проект!W626/Параметры!W$64</f>
        <v>0</v>
      </c>
      <c r="X184" s="55">
        <f>Проект!X626/Параметры!X$64</f>
        <v>0</v>
      </c>
      <c r="Y184" s="55">
        <f>Проект!Y626/Параметры!Y$64</f>
        <v>0</v>
      </c>
      <c r="Z184" s="55">
        <f>Проект!Z626/Параметры!Z$64</f>
        <v>0</v>
      </c>
      <c r="AA184" s="55">
        <f>Проект!AA626/Параметры!AA$64</f>
        <v>0</v>
      </c>
      <c r="AB184" s="55">
        <f>Проект!AB626/Параметры!AB$64</f>
        <v>0</v>
      </c>
      <c r="AC184" s="55">
        <f>Проект!AC626/Параметры!AC$64</f>
        <v>0</v>
      </c>
      <c r="AD184" s="55">
        <f>Проект!AD626/Параметры!AD$64</f>
        <v>0</v>
      </c>
      <c r="AE184" s="55">
        <f>Проект!AE626/Параметры!AE$64</f>
        <v>0</v>
      </c>
      <c r="AF184" s="55">
        <f>Проект!AF626/Параметры!AF$64</f>
        <v>0</v>
      </c>
      <c r="AG184" s="55">
        <f>Проект!AG626/Параметры!AG$64</f>
        <v>0</v>
      </c>
      <c r="AH184" s="55">
        <f>Проект!AH626/Параметры!AH$64</f>
        <v>0</v>
      </c>
      <c r="AI184" s="55">
        <f>Проект!AI626/Параметры!AI$64</f>
        <v>0</v>
      </c>
      <c r="AJ184" s="55">
        <f>Проект!AJ626/Параметры!AJ$64</f>
        <v>0</v>
      </c>
      <c r="AK184" s="55">
        <f>Проект!AK626/Параметры!AK$64</f>
        <v>0</v>
      </c>
      <c r="AL184" s="55">
        <f>Проект!AL626/Параметры!AL$64</f>
        <v>0</v>
      </c>
      <c r="AM184" s="55">
        <f>Проект!AM626/Параметры!AM$64</f>
        <v>0</v>
      </c>
      <c r="AN184" s="55">
        <f>Проект!AN626/Параметры!AN$64</f>
        <v>0</v>
      </c>
      <c r="AO184" s="55">
        <f>Проект!AO626/Параметры!AO$64</f>
        <v>0</v>
      </c>
      <c r="AP184" s="55">
        <f>Проект!AP626/Параметры!AP$64</f>
        <v>0</v>
      </c>
      <c r="AQ184" s="55">
        <f>Проект!AQ626/Параметры!AQ$64</f>
        <v>0</v>
      </c>
      <c r="AR184" s="55">
        <f>Проект!AR626/Параметры!AR$64</f>
        <v>0</v>
      </c>
      <c r="AS184" s="55">
        <f>Проект!AS626/Параметры!AS$64</f>
        <v>0</v>
      </c>
      <c r="AT184" s="55">
        <f>Проект!AT626/Параметры!AT$64</f>
        <v>0</v>
      </c>
      <c r="AU184" s="55">
        <f>Проект!AU626/Параметры!AU$64</f>
        <v>0</v>
      </c>
      <c r="AV184" s="55">
        <f>Проект!AV626/Параметры!AV$64</f>
        <v>0</v>
      </c>
      <c r="AW184" s="55">
        <f>Проект!AW626/Параметры!AW$64</f>
        <v>0</v>
      </c>
      <c r="AX184" s="55">
        <f>Проект!AX626/Параметры!AX$64</f>
        <v>0</v>
      </c>
      <c r="AY184" s="55">
        <f>Проект!AY626/Параметры!AY$64</f>
        <v>0</v>
      </c>
      <c r="AZ184" s="55">
        <f>Проект!AZ626/Параметры!AZ$64</f>
        <v>0</v>
      </c>
      <c r="BA184" s="55">
        <f>Проект!BA626/Параметры!BA$64</f>
        <v>0</v>
      </c>
      <c r="BB184" s="55">
        <f>Проект!BB626/Параметры!BB$64</f>
        <v>0</v>
      </c>
    </row>
    <row r="185" spans="1:54" x14ac:dyDescent="0.3">
      <c r="A185" s="35" t="str">
        <f ca="1">Language!A1288</f>
        <v>Расчеты с бюджетом и внебюджетными фондами</v>
      </c>
      <c r="C185" s="48" t="str">
        <f ca="1">Параметры!$C$64</f>
        <v>руб.</v>
      </c>
      <c r="E185" s="6" t="s">
        <v>1509</v>
      </c>
      <c r="F185" s="6" t="s">
        <v>741</v>
      </c>
      <c r="G185" s="55">
        <f ca="1">Проект!G621/Параметры!G$64</f>
        <v>0</v>
      </c>
      <c r="H185" s="55">
        <f ca="1">Проект!H621/Параметры!H$64</f>
        <v>0</v>
      </c>
      <c r="I185" s="55">
        <f ca="1">Проект!I621/Параметры!I$64</f>
        <v>0</v>
      </c>
      <c r="J185" s="55">
        <f ca="1">Проект!J621/Параметры!J$64</f>
        <v>0</v>
      </c>
      <c r="K185" s="55">
        <f ca="1">Проект!K621/Параметры!K$64</f>
        <v>0</v>
      </c>
      <c r="L185" s="55">
        <f ca="1">Проект!L621/Параметры!L$64</f>
        <v>0</v>
      </c>
      <c r="M185" s="55">
        <f ca="1">Проект!M621/Параметры!M$64</f>
        <v>610664.71055236214</v>
      </c>
      <c r="N185" s="55">
        <f ca="1">Проект!N621/Параметры!N$64</f>
        <v>863689.13672200916</v>
      </c>
      <c r="O185" s="55">
        <f ca="1">Проект!O621/Параметры!O$64</f>
        <v>1018849.9727182956</v>
      </c>
      <c r="P185" s="55">
        <f ca="1">Проект!P621/Параметры!P$64</f>
        <v>1175500.851715917</v>
      </c>
      <c r="Q185" s="55">
        <f ca="1">Проект!Q621/Параметры!Q$64</f>
        <v>1231868.2953123241</v>
      </c>
      <c r="R185" s="55">
        <f ca="1">Проект!R621/Параметры!R$64</f>
        <v>1237864.4765295996</v>
      </c>
      <c r="S185" s="55">
        <f ca="1">Проект!S621/Параметры!S$64</f>
        <v>1449445.0444621497</v>
      </c>
      <c r="T185" s="55">
        <f ca="1">Проект!T621/Параметры!T$64</f>
        <v>1456000.0163427703</v>
      </c>
      <c r="U185" s="55">
        <f ca="1">Проект!U621/Параметры!U$64</f>
        <v>1307667.6470183353</v>
      </c>
      <c r="V185" s="55">
        <f ca="1">Проект!V621/Параметры!V$64</f>
        <v>1262142.4926905446</v>
      </c>
      <c r="W185" s="55">
        <f ca="1">Проект!W621/Параметры!W$64</f>
        <v>1163492.6762766023</v>
      </c>
      <c r="X185" s="55">
        <f ca="1">Проект!X621/Параметры!X$64</f>
        <v>1432669.6936741122</v>
      </c>
      <c r="Y185" s="55">
        <f ca="1">Проект!Y621/Параметры!Y$64</f>
        <v>1809230.4858132759</v>
      </c>
      <c r="Z185" s="55">
        <f ca="1">Проект!Z621/Параметры!Z$64</f>
        <v>1923853.0223251625</v>
      </c>
      <c r="AA185" s="55">
        <f ca="1">Проект!AA621/Параметры!AA$64</f>
        <v>1612671.5171257115</v>
      </c>
      <c r="AB185" s="55">
        <f ca="1">Проект!AB621/Параметры!AB$64</f>
        <v>1245510.8116006942</v>
      </c>
      <c r="AC185" s="55">
        <f ca="1">Проект!AC621/Параметры!AC$64</f>
        <v>1144204.6548823616</v>
      </c>
      <c r="AD185" s="55">
        <f ca="1">Проект!AD621/Параметры!AD$64</f>
        <v>1258190.6619403949</v>
      </c>
      <c r="AE185" s="55">
        <f ca="1">Проект!AE621/Параметры!AE$64</f>
        <v>1536411.7471298785</v>
      </c>
      <c r="AF185" s="55">
        <f ca="1">Проект!AF621/Параметры!AF$64</f>
        <v>1543360.0173233366</v>
      </c>
      <c r="AG185" s="55">
        <f ca="1">Проект!AG621/Параметры!AG$64</f>
        <v>1386127.7058394358</v>
      </c>
      <c r="AH185" s="55">
        <f ca="1">Проект!AH621/Параметры!AH$64</f>
        <v>1337871.0422519774</v>
      </c>
      <c r="AI185" s="55">
        <f ca="1">Проект!AI621/Параметры!AI$64</f>
        <v>1233302.2368531986</v>
      </c>
      <c r="AJ185" s="55">
        <f ca="1">Проект!AJ621/Параметры!AJ$64</f>
        <v>1518629.8752945592</v>
      </c>
      <c r="AK185" s="55">
        <f ca="1">Проект!AK621/Параметры!AK$64</f>
        <v>1917784.3149620728</v>
      </c>
      <c r="AL185" s="55">
        <f ca="1">Проект!AL621/Параметры!AL$64</f>
        <v>2039284.2036646723</v>
      </c>
      <c r="AM185" s="55">
        <f ca="1">Проект!AM621/Параметры!AM$64</f>
        <v>1709431.808153254</v>
      </c>
      <c r="AN185" s="55">
        <f ca="1">Проект!AN621/Параметры!AN$64</f>
        <v>1320241.4602967361</v>
      </c>
      <c r="AO185" s="55">
        <f ca="1">Проект!AO621/Параметры!AO$64</f>
        <v>1212856.9341753032</v>
      </c>
      <c r="AP185" s="55">
        <f ca="1">Проект!AP621/Параметры!AP$64</f>
        <v>1333682.101656819</v>
      </c>
      <c r="AQ185" s="55">
        <f ca="1">Проект!AQ621/Параметры!AQ$64</f>
        <v>1628596.4519576719</v>
      </c>
      <c r="AR185" s="55">
        <f ca="1">Проект!AR621/Параметры!AR$64</f>
        <v>1635961.6183627371</v>
      </c>
      <c r="AS185" s="55">
        <f ca="1">Проект!AS621/Параметры!AS$64</f>
        <v>1469295.3681898024</v>
      </c>
      <c r="AT185" s="55">
        <f ca="1">Проект!AT621/Параметры!AT$64</f>
        <v>1418143.3047870966</v>
      </c>
      <c r="AU185" s="55">
        <f ca="1">Проект!AU621/Параметры!AU$64</f>
        <v>1307300.371064391</v>
      </c>
      <c r="AV185" s="55">
        <f ca="1">Проект!AV621/Параметры!AV$64</f>
        <v>1609747.6678122333</v>
      </c>
      <c r="AW185" s="55">
        <f ca="1">Проект!AW621/Параметры!AW$64</f>
        <v>2032851.3738597974</v>
      </c>
      <c r="AX185" s="55">
        <f ca="1">Проект!AX621/Параметры!AX$64</f>
        <v>2161641.2558845538</v>
      </c>
      <c r="AY185" s="55">
        <f ca="1">Проект!AY621/Параметры!AY$64</f>
        <v>1811997.7166424498</v>
      </c>
      <c r="AZ185" s="55">
        <f ca="1">Проект!AZ621/Параметры!AZ$64</f>
        <v>1399455.9479145408</v>
      </c>
      <c r="BA185" s="55">
        <f ca="1">Проект!BA621/Параметры!BA$64</f>
        <v>1285628.3502258221</v>
      </c>
      <c r="BB185" s="55">
        <f ca="1">Проект!BB621/Параметры!BB$64</f>
        <v>1413703.0277562286</v>
      </c>
    </row>
    <row r="186" spans="1:54" x14ac:dyDescent="0.3">
      <c r="A186" s="35" t="str">
        <f ca="1">Language!A1289</f>
        <v>Расчеты с персоналом</v>
      </c>
      <c r="C186" s="48" t="str">
        <f ca="1">Параметры!$C$64</f>
        <v>руб.</v>
      </c>
      <c r="E186" s="6" t="s">
        <v>1510</v>
      </c>
      <c r="F186" s="6" t="s">
        <v>741</v>
      </c>
      <c r="G186" s="55">
        <f ca="1">Проект!G615/Параметры!G$64</f>
        <v>0</v>
      </c>
      <c r="H186" s="55">
        <f ca="1">Проект!H615/Параметры!H$64</f>
        <v>0</v>
      </c>
      <c r="I186" s="55">
        <f ca="1">Проект!I615/Параметры!I$64</f>
        <v>0</v>
      </c>
      <c r="J186" s="55">
        <f ca="1">Проект!J615/Параметры!J$64</f>
        <v>0</v>
      </c>
      <c r="K186" s="55">
        <f ca="1">Проект!K615/Параметры!K$64</f>
        <v>0</v>
      </c>
      <c r="L186" s="55">
        <f ca="1">Проект!L615/Параметры!L$64</f>
        <v>0</v>
      </c>
      <c r="M186" s="55">
        <f ca="1">Проект!M615/Параметры!M$64</f>
        <v>501911.96937311621</v>
      </c>
      <c r="N186" s="55">
        <f ca="1">Проект!N615/Параметры!N$64</f>
        <v>504355.05126339087</v>
      </c>
      <c r="O186" s="55">
        <f ca="1">Проект!O615/Параметры!O$64</f>
        <v>506810.0249783016</v>
      </c>
      <c r="P186" s="55">
        <f ca="1">Проект!P615/Параметры!P$64</f>
        <v>509276.94840190629</v>
      </c>
      <c r="Q186" s="55">
        <f ca="1">Проект!Q615/Параметры!Q$64</f>
        <v>511755.87970001617</v>
      </c>
      <c r="R186" s="55">
        <f ca="1">Проект!R615/Параметры!R$64</f>
        <v>514246.87732156762</v>
      </c>
      <c r="S186" s="55">
        <f ca="1">Проект!S615/Параметры!S$64</f>
        <v>516750.00000000012</v>
      </c>
      <c r="T186" s="55">
        <f ca="1">Проект!T615/Параметры!T$64</f>
        <v>519265.30675464118</v>
      </c>
      <c r="U186" s="55">
        <f ca="1">Проект!U615/Параметры!U$64</f>
        <v>521792.85689209774</v>
      </c>
      <c r="V186" s="55">
        <f ca="1">Проект!V615/Параметры!V$64</f>
        <v>524332.71000765485</v>
      </c>
      <c r="W186" s="55">
        <f ca="1">Проект!W615/Параметры!W$64</f>
        <v>526884.92598668055</v>
      </c>
      <c r="X186" s="55">
        <f ca="1">Проект!X615/Параметры!X$64</f>
        <v>529449.56500603771</v>
      </c>
      <c r="Y186" s="55">
        <f ca="1">Проект!Y615/Параметры!Y$64</f>
        <v>532026.68753550341</v>
      </c>
      <c r="Z186" s="55">
        <f ca="1">Проект!Z615/Параметры!Z$64</f>
        <v>534616.35433919448</v>
      </c>
      <c r="AA186" s="55">
        <f ca="1">Проект!AA615/Параметры!AA$64</f>
        <v>537218.62647699995</v>
      </c>
      <c r="AB186" s="55">
        <f ca="1">Проект!AB615/Параметры!AB$64</f>
        <v>539833.56530602078</v>
      </c>
      <c r="AC186" s="55">
        <f ca="1">Проект!AC615/Параметры!AC$64</f>
        <v>542461.23248201737</v>
      </c>
      <c r="AD186" s="55">
        <f ca="1">Проект!AD615/Параметры!AD$64</f>
        <v>545101.68996086181</v>
      </c>
      <c r="AE186" s="55">
        <f ca="1">Проект!AE615/Параметры!AE$64</f>
        <v>547755.00000000023</v>
      </c>
      <c r="AF186" s="55">
        <f ca="1">Проект!AF615/Параметры!AF$64</f>
        <v>550421.2251599197</v>
      </c>
      <c r="AG186" s="55">
        <f ca="1">Проект!AG615/Параметры!AG$64</f>
        <v>553100.42830562382</v>
      </c>
      <c r="AH186" s="55">
        <f ca="1">Проект!AH615/Параметры!AH$64</f>
        <v>555792.67260811431</v>
      </c>
      <c r="AI186" s="55">
        <f ca="1">Проект!AI615/Параметры!AI$64</f>
        <v>558498.02154588141</v>
      </c>
      <c r="AJ186" s="55">
        <f ca="1">Проект!AJ615/Параметры!AJ$64</f>
        <v>561216.53890640021</v>
      </c>
      <c r="AK186" s="55">
        <f ca="1">Проект!AK615/Параметры!AK$64</f>
        <v>563948.28878763376</v>
      </c>
      <c r="AL186" s="55">
        <f ca="1">Проект!AL615/Параметры!AL$64</f>
        <v>566693.3355995462</v>
      </c>
      <c r="AM186" s="55">
        <f ca="1">Проект!AM615/Параметры!AM$64</f>
        <v>569451.74406562001</v>
      </c>
      <c r="AN186" s="55">
        <f ca="1">Проект!AN615/Параметры!AN$64</f>
        <v>572223.57922438206</v>
      </c>
      <c r="AO186" s="55">
        <f ca="1">Проект!AO615/Параметры!AO$64</f>
        <v>575008.9064309384</v>
      </c>
      <c r="AP186" s="55">
        <f ca="1">Проект!AP615/Параметры!AP$64</f>
        <v>577807.79135851364</v>
      </c>
      <c r="AQ186" s="55">
        <f ca="1">Проект!AQ615/Параметры!AQ$64</f>
        <v>580620.30000000028</v>
      </c>
      <c r="AR186" s="55">
        <f ca="1">Проект!AR615/Параметры!AR$64</f>
        <v>583446.49866951501</v>
      </c>
      <c r="AS186" s="55">
        <f ca="1">Проект!AS615/Параметры!AS$64</f>
        <v>586286.45400396117</v>
      </c>
      <c r="AT186" s="55">
        <f ca="1">Проект!AT615/Параметры!AT$64</f>
        <v>589140.23296460113</v>
      </c>
      <c r="AU186" s="55">
        <f ca="1">Проект!AU615/Параметры!AU$64</f>
        <v>592007.90283863433</v>
      </c>
      <c r="AV186" s="55">
        <f ca="1">Проект!AV615/Параметры!AV$64</f>
        <v>594889.5312407841</v>
      </c>
      <c r="AW186" s="55">
        <f ca="1">Проект!AW615/Параметры!AW$64</f>
        <v>597785.1861148919</v>
      </c>
      <c r="AX186" s="55">
        <f ca="1">Проект!AX615/Параметры!AX$64</f>
        <v>600694.93573551893</v>
      </c>
      <c r="AY186" s="55">
        <f ca="1">Проект!AY615/Параметры!AY$64</f>
        <v>603618.84870955721</v>
      </c>
      <c r="AZ186" s="55">
        <f ca="1">Проект!AZ615/Параметры!AZ$64</f>
        <v>606556.99397784518</v>
      </c>
      <c r="BA186" s="55">
        <f ca="1">Проект!BA615/Параметры!BA$64</f>
        <v>609509.44081679487</v>
      </c>
      <c r="BB186" s="55">
        <f ca="1">Проект!BB615/Параметры!BB$64</f>
        <v>612476.25884002447</v>
      </c>
    </row>
    <row r="187" spans="1:54" x14ac:dyDescent="0.3">
      <c r="A187" s="35" t="str">
        <f ca="1">Language!A1290</f>
        <v>Полученные авансы покупателей</v>
      </c>
      <c r="C187" s="48" t="str">
        <f ca="1">Параметры!$C$64</f>
        <v>руб.</v>
      </c>
      <c r="E187" s="6" t="s">
        <v>1511</v>
      </c>
      <c r="F187" s="6" t="s">
        <v>741</v>
      </c>
      <c r="G187" s="55">
        <f ca="1">Проект!G578/Параметры!G$64</f>
        <v>0</v>
      </c>
      <c r="H187" s="55">
        <f ca="1">Проект!H578/Параметры!H$64</f>
        <v>0</v>
      </c>
      <c r="I187" s="55">
        <f ca="1">Проект!I578/Параметры!I$64</f>
        <v>0</v>
      </c>
      <c r="J187" s="55">
        <f ca="1">Проект!J578/Параметры!J$64</f>
        <v>0</v>
      </c>
      <c r="K187" s="55">
        <f ca="1">Проект!K578/Параметры!K$64</f>
        <v>0</v>
      </c>
      <c r="L187" s="55">
        <f ca="1">Проект!L578/Параметры!L$64</f>
        <v>0</v>
      </c>
      <c r="M187" s="55">
        <f ca="1">Проект!M578/Параметры!M$64</f>
        <v>0</v>
      </c>
      <c r="N187" s="55">
        <f ca="1">Проект!N578/Параметры!N$64</f>
        <v>0</v>
      </c>
      <c r="O187" s="55">
        <f ca="1">Проект!O578/Параметры!O$64</f>
        <v>0</v>
      </c>
      <c r="P187" s="55">
        <f ca="1">Проект!P578/Параметры!P$64</f>
        <v>0</v>
      </c>
      <c r="Q187" s="55">
        <f ca="1">Проект!Q578/Параметры!Q$64</f>
        <v>0</v>
      </c>
      <c r="R187" s="55">
        <f ca="1">Проект!R578/Параметры!R$64</f>
        <v>0</v>
      </c>
      <c r="S187" s="55">
        <f ca="1">Проект!S578/Параметры!S$64</f>
        <v>0</v>
      </c>
      <c r="T187" s="55">
        <f ca="1">Проект!T578/Параметры!T$64</f>
        <v>0</v>
      </c>
      <c r="U187" s="55">
        <f ca="1">Проект!U578/Параметры!U$64</f>
        <v>0</v>
      </c>
      <c r="V187" s="55">
        <f ca="1">Проект!V578/Параметры!V$64</f>
        <v>0</v>
      </c>
      <c r="W187" s="55">
        <f ca="1">Проект!W578/Параметры!W$64</f>
        <v>0</v>
      </c>
      <c r="X187" s="55">
        <f ca="1">Проект!X578/Параметры!X$64</f>
        <v>0</v>
      </c>
      <c r="Y187" s="55">
        <f ca="1">Проект!Y578/Параметры!Y$64</f>
        <v>0</v>
      </c>
      <c r="Z187" s="55">
        <f ca="1">Проект!Z578/Параметры!Z$64</f>
        <v>0</v>
      </c>
      <c r="AA187" s="55">
        <f ca="1">Проект!AA578/Параметры!AA$64</f>
        <v>0</v>
      </c>
      <c r="AB187" s="55">
        <f ca="1">Проект!AB578/Параметры!AB$64</f>
        <v>0</v>
      </c>
      <c r="AC187" s="55">
        <f ca="1">Проект!AC578/Параметры!AC$64</f>
        <v>0</v>
      </c>
      <c r="AD187" s="55">
        <f ca="1">Проект!AD578/Параметры!AD$64</f>
        <v>0</v>
      </c>
      <c r="AE187" s="55">
        <f ca="1">Проект!AE578/Параметры!AE$64</f>
        <v>0</v>
      </c>
      <c r="AF187" s="55">
        <f ca="1">Проект!AF578/Параметры!AF$64</f>
        <v>0</v>
      </c>
      <c r="AG187" s="55">
        <f ca="1">Проект!AG578/Параметры!AG$64</f>
        <v>0</v>
      </c>
      <c r="AH187" s="55">
        <f ca="1">Проект!AH578/Параметры!AH$64</f>
        <v>0</v>
      </c>
      <c r="AI187" s="55">
        <f ca="1">Проект!AI578/Параметры!AI$64</f>
        <v>0</v>
      </c>
      <c r="AJ187" s="55">
        <f ca="1">Проект!AJ578/Параметры!AJ$64</f>
        <v>0</v>
      </c>
      <c r="AK187" s="55">
        <f ca="1">Проект!AK578/Параметры!AK$64</f>
        <v>0</v>
      </c>
      <c r="AL187" s="55">
        <f ca="1">Проект!AL578/Параметры!AL$64</f>
        <v>0</v>
      </c>
      <c r="AM187" s="55">
        <f ca="1">Проект!AM578/Параметры!AM$64</f>
        <v>0</v>
      </c>
      <c r="AN187" s="55">
        <f ca="1">Проект!AN578/Параметры!AN$64</f>
        <v>0</v>
      </c>
      <c r="AO187" s="55">
        <f ca="1">Проект!AO578/Параметры!AO$64</f>
        <v>0</v>
      </c>
      <c r="AP187" s="55">
        <f ca="1">Проект!AP578/Параметры!AP$64</f>
        <v>0</v>
      </c>
      <c r="AQ187" s="55">
        <f ca="1">Проект!AQ578/Параметры!AQ$64</f>
        <v>0</v>
      </c>
      <c r="AR187" s="55">
        <f ca="1">Проект!AR578/Параметры!AR$64</f>
        <v>0</v>
      </c>
      <c r="AS187" s="55">
        <f ca="1">Проект!AS578/Параметры!AS$64</f>
        <v>0</v>
      </c>
      <c r="AT187" s="55">
        <f ca="1">Проект!AT578/Параметры!AT$64</f>
        <v>0</v>
      </c>
      <c r="AU187" s="55">
        <f ca="1">Проект!AU578/Параметры!AU$64</f>
        <v>0</v>
      </c>
      <c r="AV187" s="55">
        <f ca="1">Проект!AV578/Параметры!AV$64</f>
        <v>0</v>
      </c>
      <c r="AW187" s="55">
        <f ca="1">Проект!AW578/Параметры!AW$64</f>
        <v>0</v>
      </c>
      <c r="AX187" s="55">
        <f ca="1">Проект!AX578/Параметры!AX$64</f>
        <v>0</v>
      </c>
      <c r="AY187" s="55">
        <f ca="1">Проект!AY578/Параметры!AY$64</f>
        <v>0</v>
      </c>
      <c r="AZ187" s="55">
        <f ca="1">Проект!AZ578/Параметры!AZ$64</f>
        <v>0</v>
      </c>
      <c r="BA187" s="55">
        <f ca="1">Проект!BA578/Параметры!BA$64</f>
        <v>0</v>
      </c>
      <c r="BB187" s="55">
        <f ca="1">Проект!BB578/Параметры!BB$64</f>
        <v>0</v>
      </c>
    </row>
    <row r="188" spans="1:54" x14ac:dyDescent="0.3">
      <c r="A188" s="35" t="str">
        <f ca="1">Language!A1291</f>
        <v>Краткосрочные кредиты</v>
      </c>
      <c r="C188" s="48" t="str">
        <f ca="1">Параметры!$C$64</f>
        <v>руб.</v>
      </c>
      <c r="E188" s="6" t="s">
        <v>1512</v>
      </c>
      <c r="F188" s="6" t="s">
        <v>741</v>
      </c>
      <c r="G188" s="55">
        <f>SUM(Старт!G132,Старт!G136,Проект!G1254)/Параметры!G$64</f>
        <v>0</v>
      </c>
      <c r="H188" s="55">
        <f>SUM(Старт!H132,Старт!H136,Проект!H1254)/Параметры!H$64</f>
        <v>0</v>
      </c>
      <c r="I188" s="55">
        <f>SUM(Старт!I132,Старт!I136,Проект!I1254)/Параметры!I$64</f>
        <v>0</v>
      </c>
      <c r="J188" s="55">
        <f>SUM(Старт!J132,Старт!J136,Проект!J1254)/Параметры!J$64</f>
        <v>0</v>
      </c>
      <c r="K188" s="55">
        <f>SUM(Старт!K132,Старт!K136,Проект!K1254)/Параметры!K$64</f>
        <v>0</v>
      </c>
      <c r="L188" s="55">
        <f>SUM(Старт!L132,Старт!L136,Проект!L1254)/Параметры!L$64</f>
        <v>0</v>
      </c>
      <c r="M188" s="55">
        <f>SUM(Старт!M132,Старт!M136,Проект!M1254)/Параметры!M$64</f>
        <v>0</v>
      </c>
      <c r="N188" s="55">
        <f>SUM(Старт!N132,Старт!N136,Проект!N1254)/Параметры!N$64</f>
        <v>0</v>
      </c>
      <c r="O188" s="55">
        <f>SUM(Старт!O132,Старт!O136,Проект!O1254)/Параметры!O$64</f>
        <v>0</v>
      </c>
      <c r="P188" s="55">
        <f>SUM(Старт!P132,Старт!P136,Проект!P1254)/Параметры!P$64</f>
        <v>0</v>
      </c>
      <c r="Q188" s="55">
        <f>SUM(Старт!Q132,Старт!Q136,Проект!Q1254)/Параметры!Q$64</f>
        <v>0</v>
      </c>
      <c r="R188" s="55">
        <f>SUM(Старт!R132,Старт!R136,Проект!R1254)/Параметры!R$64</f>
        <v>0</v>
      </c>
      <c r="S188" s="55">
        <f>SUM(Старт!S132,Старт!S136,Проект!S1254)/Параметры!S$64</f>
        <v>0</v>
      </c>
      <c r="T188" s="55">
        <f>SUM(Старт!T132,Старт!T136,Проект!T1254)/Параметры!T$64</f>
        <v>0</v>
      </c>
      <c r="U188" s="55">
        <f>SUM(Старт!U132,Старт!U136,Проект!U1254)/Параметры!U$64</f>
        <v>0</v>
      </c>
      <c r="V188" s="55">
        <f>SUM(Старт!V132,Старт!V136,Проект!V1254)/Параметры!V$64</f>
        <v>0</v>
      </c>
      <c r="W188" s="55">
        <f>SUM(Старт!W132,Старт!W136,Проект!W1254)/Параметры!W$64</f>
        <v>0</v>
      </c>
      <c r="X188" s="55">
        <f>SUM(Старт!X132,Старт!X136,Проект!X1254)/Параметры!X$64</f>
        <v>0</v>
      </c>
      <c r="Y188" s="55">
        <f>SUM(Старт!Y132,Старт!Y136,Проект!Y1254)/Параметры!Y$64</f>
        <v>0</v>
      </c>
      <c r="Z188" s="55">
        <f>SUM(Старт!Z132,Старт!Z136,Проект!Z1254)/Параметры!Z$64</f>
        <v>0</v>
      </c>
      <c r="AA188" s="55">
        <f>SUM(Старт!AA132,Старт!AA136,Проект!AA1254)/Параметры!AA$64</f>
        <v>0</v>
      </c>
      <c r="AB188" s="55">
        <f>SUM(Старт!AB132,Старт!AB136,Проект!AB1254)/Параметры!AB$64</f>
        <v>0</v>
      </c>
      <c r="AC188" s="55">
        <f>SUM(Старт!AC132,Старт!AC136,Проект!AC1254)/Параметры!AC$64</f>
        <v>0</v>
      </c>
      <c r="AD188" s="55">
        <f>SUM(Старт!AD132,Старт!AD136,Проект!AD1254)/Параметры!AD$64</f>
        <v>0</v>
      </c>
      <c r="AE188" s="55">
        <f>SUM(Старт!AE132,Старт!AE136,Проект!AE1254)/Параметры!AE$64</f>
        <v>0</v>
      </c>
      <c r="AF188" s="55">
        <f>SUM(Старт!AF132,Старт!AF136,Проект!AF1254)/Параметры!AF$64</f>
        <v>0</v>
      </c>
      <c r="AG188" s="55">
        <f>SUM(Старт!AG132,Старт!AG136,Проект!AG1254)/Параметры!AG$64</f>
        <v>0</v>
      </c>
      <c r="AH188" s="55">
        <f>SUM(Старт!AH132,Старт!AH136,Проект!AH1254)/Параметры!AH$64</f>
        <v>0</v>
      </c>
      <c r="AI188" s="55">
        <f>SUM(Старт!AI132,Старт!AI136,Проект!AI1254)/Параметры!AI$64</f>
        <v>0</v>
      </c>
      <c r="AJ188" s="55">
        <f>SUM(Старт!AJ132,Старт!AJ136,Проект!AJ1254)/Параметры!AJ$64</f>
        <v>0</v>
      </c>
      <c r="AK188" s="55">
        <f>SUM(Старт!AK132,Старт!AK136,Проект!AK1254)/Параметры!AK$64</f>
        <v>0</v>
      </c>
      <c r="AL188" s="55">
        <f>SUM(Старт!AL132,Старт!AL136,Проект!AL1254)/Параметры!AL$64</f>
        <v>0</v>
      </c>
      <c r="AM188" s="55">
        <f>SUM(Старт!AM132,Старт!AM136,Проект!AM1254)/Параметры!AM$64</f>
        <v>0</v>
      </c>
      <c r="AN188" s="55">
        <f>SUM(Старт!AN132,Старт!AN136,Проект!AN1254)/Параметры!AN$64</f>
        <v>0</v>
      </c>
      <c r="AO188" s="55">
        <f>SUM(Старт!AO132,Старт!AO136,Проект!AO1254)/Параметры!AO$64</f>
        <v>0</v>
      </c>
      <c r="AP188" s="55">
        <f>SUM(Старт!AP132,Старт!AP136,Проект!AP1254)/Параметры!AP$64</f>
        <v>0</v>
      </c>
      <c r="AQ188" s="55">
        <f>SUM(Старт!AQ132,Старт!AQ136,Проект!AQ1254)/Параметры!AQ$64</f>
        <v>0</v>
      </c>
      <c r="AR188" s="55">
        <f>SUM(Старт!AR132,Старт!AR136,Проект!AR1254)/Параметры!AR$64</f>
        <v>0</v>
      </c>
      <c r="AS188" s="55">
        <f>SUM(Старт!AS132,Старт!AS136,Проект!AS1254)/Параметры!AS$64</f>
        <v>0</v>
      </c>
      <c r="AT188" s="55">
        <f>SUM(Старт!AT132,Старт!AT136,Проект!AT1254)/Параметры!AT$64</f>
        <v>0</v>
      </c>
      <c r="AU188" s="55">
        <f>SUM(Старт!AU132,Старт!AU136,Проект!AU1254)/Параметры!AU$64</f>
        <v>0</v>
      </c>
      <c r="AV188" s="55">
        <f>SUM(Старт!AV132,Старт!AV136,Проект!AV1254)/Параметры!AV$64</f>
        <v>0</v>
      </c>
      <c r="AW188" s="55">
        <f>SUM(Старт!AW132,Старт!AW136,Проект!AW1254)/Параметры!AW$64</f>
        <v>0</v>
      </c>
      <c r="AX188" s="55">
        <f>SUM(Старт!AX132,Старт!AX136,Проект!AX1254)/Параметры!AX$64</f>
        <v>0</v>
      </c>
      <c r="AY188" s="55">
        <f>SUM(Старт!AY132,Старт!AY136,Проект!AY1254)/Параметры!AY$64</f>
        <v>0</v>
      </c>
      <c r="AZ188" s="55">
        <f>SUM(Старт!AZ132,Старт!AZ136,Проект!AZ1254)/Параметры!AZ$64</f>
        <v>0</v>
      </c>
      <c r="BA188" s="55">
        <f>SUM(Старт!BA132,Старт!BA136,Проект!BA1254)/Параметры!BA$64</f>
        <v>0</v>
      </c>
      <c r="BB188" s="55">
        <f>SUM(Старт!BB132,Старт!BB136,Проект!BB1254)/Параметры!BB$64</f>
        <v>0</v>
      </c>
    </row>
    <row r="189" spans="1:54" x14ac:dyDescent="0.3">
      <c r="A189" s="35" t="str">
        <f ca="1">Language!A1292</f>
        <v>Прочие краткосрочные обязательства</v>
      </c>
      <c r="C189" s="48" t="str">
        <f ca="1">Параметры!$C$64</f>
        <v>руб.</v>
      </c>
      <c r="E189" s="6" t="s">
        <v>1513</v>
      </c>
      <c r="F189" s="6" t="s">
        <v>741</v>
      </c>
      <c r="G189" s="55">
        <f>IF(G2=1,Старт!$B34/Параметры!$G64,F189*(Параметры!F64/Параметры!G64))</f>
        <v>0</v>
      </c>
      <c r="H189" s="55">
        <f>IF(H2=1,Старт!$B34/Параметры!$G64,G189*(Параметры!G64/Параметры!H64))</f>
        <v>0</v>
      </c>
      <c r="I189" s="55">
        <f>IF(I2=1,Старт!$B34/Параметры!$G64,H189*(Параметры!H64/Параметры!I64))</f>
        <v>0</v>
      </c>
      <c r="J189" s="55">
        <f>IF(J2=1,Старт!$B34/Параметры!$G64,I189*(Параметры!I64/Параметры!J64))</f>
        <v>0</v>
      </c>
      <c r="K189" s="55">
        <f>IF(K2=1,Старт!$B34/Параметры!$G64,J189*(Параметры!J64/Параметры!K64))</f>
        <v>0</v>
      </c>
      <c r="L189" s="55">
        <f>IF(L2=1,Старт!$B34/Параметры!$G64,K189*(Параметры!K64/Параметры!L64))</f>
        <v>0</v>
      </c>
      <c r="M189" s="55">
        <f>IF(M2=1,Старт!$B34/Параметры!$G64,L189*(Параметры!L64/Параметры!M64))</f>
        <v>0</v>
      </c>
      <c r="N189" s="55">
        <f>IF(N2=1,Старт!$B34/Параметры!$G64,M189*(Параметры!M64/Параметры!N64))</f>
        <v>0</v>
      </c>
      <c r="O189" s="55">
        <f>IF(O2=1,Старт!$B34/Параметры!$G64,N189*(Параметры!N64/Параметры!O64))</f>
        <v>0</v>
      </c>
      <c r="P189" s="55">
        <f>IF(P2=1,Старт!$B34/Параметры!$G64,O189*(Параметры!O64/Параметры!P64))</f>
        <v>0</v>
      </c>
      <c r="Q189" s="55">
        <f>IF(Q2=1,Старт!$B34/Параметры!$G64,P189*(Параметры!P64/Параметры!Q64))</f>
        <v>0</v>
      </c>
      <c r="R189" s="55">
        <f>IF(R2=1,Старт!$B34/Параметры!$G64,Q189*(Параметры!Q64/Параметры!R64))</f>
        <v>0</v>
      </c>
      <c r="S189" s="55">
        <f>IF(S2=1,Старт!$B34/Параметры!$G64,R189*(Параметры!R64/Параметры!S64))</f>
        <v>0</v>
      </c>
      <c r="T189" s="55">
        <f>IF(T2=1,Старт!$B34/Параметры!$G64,S189*(Параметры!S64/Параметры!T64))</f>
        <v>0</v>
      </c>
      <c r="U189" s="55">
        <f>IF(U2=1,Старт!$B34/Параметры!$G64,T189*(Параметры!T64/Параметры!U64))</f>
        <v>0</v>
      </c>
      <c r="V189" s="55">
        <f>IF(V2=1,Старт!$B34/Параметры!$G64,U189*(Параметры!U64/Параметры!V64))</f>
        <v>0</v>
      </c>
      <c r="W189" s="55">
        <f>IF(W2=1,Старт!$B34/Параметры!$G64,V189*(Параметры!V64/Параметры!W64))</f>
        <v>0</v>
      </c>
      <c r="X189" s="55">
        <f>IF(X2=1,Старт!$B34/Параметры!$G64,W189*(Параметры!W64/Параметры!X64))</f>
        <v>0</v>
      </c>
      <c r="Y189" s="55">
        <f>IF(Y2=1,Старт!$B34/Параметры!$G64,X189*(Параметры!X64/Параметры!Y64))</f>
        <v>0</v>
      </c>
      <c r="Z189" s="55">
        <f>IF(Z2=1,Старт!$B34/Параметры!$G64,Y189*(Параметры!Y64/Параметры!Z64))</f>
        <v>0</v>
      </c>
      <c r="AA189" s="55">
        <f>IF(AA2=1,Старт!$B34/Параметры!$G64,Z189*(Параметры!Z64/Параметры!AA64))</f>
        <v>0</v>
      </c>
      <c r="AB189" s="55">
        <f>IF(AB2=1,Старт!$B34/Параметры!$G64,AA189*(Параметры!AA64/Параметры!AB64))</f>
        <v>0</v>
      </c>
      <c r="AC189" s="55">
        <f>IF(AC2=1,Старт!$B34/Параметры!$G64,AB189*(Параметры!AB64/Параметры!AC64))</f>
        <v>0</v>
      </c>
      <c r="AD189" s="55">
        <f>IF(AD2=1,Старт!$B34/Параметры!$G64,AC189*(Параметры!AC64/Параметры!AD64))</f>
        <v>0</v>
      </c>
      <c r="AE189" s="55">
        <f>IF(AE2=1,Старт!$B34/Параметры!$G64,AD189*(Параметры!AD64/Параметры!AE64))</f>
        <v>0</v>
      </c>
      <c r="AF189" s="55">
        <f>IF(AF2=1,Старт!$B34/Параметры!$G64,AE189*(Параметры!AE64/Параметры!AF64))</f>
        <v>0</v>
      </c>
      <c r="AG189" s="55">
        <f>IF(AG2=1,Старт!$B34/Параметры!$G64,AF189*(Параметры!AF64/Параметры!AG64))</f>
        <v>0</v>
      </c>
      <c r="AH189" s="55">
        <f>IF(AH2=1,Старт!$B34/Параметры!$G64,AG189*(Параметры!AG64/Параметры!AH64))</f>
        <v>0</v>
      </c>
      <c r="AI189" s="55">
        <f>IF(AI2=1,Старт!$B34/Параметры!$G64,AH189*(Параметры!AH64/Параметры!AI64))</f>
        <v>0</v>
      </c>
      <c r="AJ189" s="55">
        <f>IF(AJ2=1,Старт!$B34/Параметры!$G64,AI189*(Параметры!AI64/Параметры!AJ64))</f>
        <v>0</v>
      </c>
      <c r="AK189" s="55">
        <f>IF(AK2=1,Старт!$B34/Параметры!$G64,AJ189*(Параметры!AJ64/Параметры!AK64))</f>
        <v>0</v>
      </c>
      <c r="AL189" s="55">
        <f>IF(AL2=1,Старт!$B34/Параметры!$G64,AK189*(Параметры!AK64/Параметры!AL64))</f>
        <v>0</v>
      </c>
      <c r="AM189" s="55">
        <f>IF(AM2=1,Старт!$B34/Параметры!$G64,AL189*(Параметры!AL64/Параметры!AM64))</f>
        <v>0</v>
      </c>
      <c r="AN189" s="55">
        <f>IF(AN2=1,Старт!$B34/Параметры!$G64,AM189*(Параметры!AM64/Параметры!AN64))</f>
        <v>0</v>
      </c>
      <c r="AO189" s="55">
        <f>IF(AO2=1,Старт!$B34/Параметры!$G64,AN189*(Параметры!AN64/Параметры!AO64))</f>
        <v>0</v>
      </c>
      <c r="AP189" s="55">
        <f>IF(AP2=1,Старт!$B34/Параметры!$G64,AO189*(Параметры!AO64/Параметры!AP64))</f>
        <v>0</v>
      </c>
      <c r="AQ189" s="55">
        <f>IF(AQ2=1,Старт!$B34/Параметры!$G64,AP189*(Параметры!AP64/Параметры!AQ64))</f>
        <v>0</v>
      </c>
      <c r="AR189" s="55">
        <f>IF(AR2=1,Старт!$B34/Параметры!$G64,AQ189*(Параметры!AQ64/Параметры!AR64))</f>
        <v>0</v>
      </c>
      <c r="AS189" s="55">
        <f>IF(AS2=1,Старт!$B34/Параметры!$G64,AR189*(Параметры!AR64/Параметры!AS64))</f>
        <v>0</v>
      </c>
      <c r="AT189" s="55">
        <f>IF(AT2=1,Старт!$B34/Параметры!$G64,AS189*(Параметры!AS64/Параметры!AT64))</f>
        <v>0</v>
      </c>
      <c r="AU189" s="55">
        <f>IF(AU2=1,Старт!$B34/Параметры!$G64,AT189*(Параметры!AT64/Параметры!AU64))</f>
        <v>0</v>
      </c>
      <c r="AV189" s="55">
        <f>IF(AV2=1,Старт!$B34/Параметры!$G64,AU189*(Параметры!AU64/Параметры!AV64))</f>
        <v>0</v>
      </c>
      <c r="AW189" s="55">
        <f>IF(AW2=1,Старт!$B34/Параметры!$G64,AV189*(Параметры!AV64/Параметры!AW64))</f>
        <v>0</v>
      </c>
      <c r="AX189" s="55">
        <f>IF(AX2=1,Старт!$B34/Параметры!$G64,AW189*(Параметры!AW64/Параметры!AX64))</f>
        <v>0</v>
      </c>
      <c r="AY189" s="55">
        <f>IF(AY2=1,Старт!$B34/Параметры!$G64,AX189*(Параметры!AX64/Параметры!AY64))</f>
        <v>0</v>
      </c>
      <c r="AZ189" s="55">
        <f>IF(AZ2=1,Старт!$B34/Параметры!$G64,AY189*(Параметры!AY64/Параметры!AZ64))</f>
        <v>0</v>
      </c>
      <c r="BA189" s="55">
        <f>IF(BA2=1,Старт!$B34/Параметры!$G64,AZ189*(Параметры!AZ64/Параметры!BA64))</f>
        <v>0</v>
      </c>
      <c r="BB189" s="55">
        <f>IF(BB2=1,Старт!$B34/Параметры!$G64,BA189*(Параметры!BA64/Параметры!BB64))</f>
        <v>0</v>
      </c>
    </row>
    <row r="190" spans="1:54" x14ac:dyDescent="0.3">
      <c r="A190" s="43" t="str">
        <f ca="1">Language!A1293</f>
        <v>Суммарные краткосрочные обязательства</v>
      </c>
      <c r="B190" s="80"/>
      <c r="C190" s="45" t="str">
        <f ca="1">Параметры!$C$64</f>
        <v>руб.</v>
      </c>
      <c r="D190" s="46"/>
      <c r="E190" s="46" t="s">
        <v>1514</v>
      </c>
      <c r="F190" s="46" t="s">
        <v>741</v>
      </c>
      <c r="G190" s="81">
        <f ca="1">SUM(G183:G189)</f>
        <v>0</v>
      </c>
      <c r="H190" s="81">
        <f t="shared" ref="H190:L190" ca="1" si="486">SUM(H183:H189)</f>
        <v>0</v>
      </c>
      <c r="I190" s="81">
        <f t="shared" ca="1" si="486"/>
        <v>0</v>
      </c>
      <c r="J190" s="81">
        <f t="shared" ca="1" si="486"/>
        <v>0</v>
      </c>
      <c r="K190" s="81">
        <f t="shared" ca="1" si="486"/>
        <v>0</v>
      </c>
      <c r="L190" s="81">
        <f t="shared" ca="1" si="486"/>
        <v>0</v>
      </c>
      <c r="M190" s="81">
        <f t="shared" ref="M190:N190" ca="1" si="487">SUM(M183:M189)</f>
        <v>12329552.652701583</v>
      </c>
      <c r="N190" s="81">
        <f t="shared" ca="1" si="487"/>
        <v>2551732.2996280985</v>
      </c>
      <c r="O190" s="81">
        <f t="shared" ref="O190:P190" ca="1" si="488">SUM(O183:O189)</f>
        <v>2948037.1154238712</v>
      </c>
      <c r="P190" s="81">
        <f t="shared" ca="1" si="488"/>
        <v>3353357.2798118247</v>
      </c>
      <c r="Q190" s="81">
        <f t="shared" ref="Q190:R190" ca="1" si="489">SUM(Q183:Q189)</f>
        <v>3287629.2157866303</v>
      </c>
      <c r="R190" s="81">
        <f t="shared" ca="1" si="489"/>
        <v>3322948.2713664994</v>
      </c>
      <c r="S190" s="81">
        <f t="shared" ref="S190:T190" ca="1" si="490">SUM(S183:S189)</f>
        <v>4298222.1005116012</v>
      </c>
      <c r="T190" s="81">
        <f t="shared" ca="1" si="490"/>
        <v>3666054.8485331032</v>
      </c>
      <c r="U190" s="81">
        <f t="shared" ref="U190:V190" ca="1" si="491">SUM(U183:U189)</f>
        <v>3289553.2528877696</v>
      </c>
      <c r="V190" s="81">
        <f t="shared" ca="1" si="491"/>
        <v>3399044.9412992592</v>
      </c>
      <c r="W190" s="81">
        <f t="shared" ref="W190:X190" ca="1" si="492">SUM(W183:W189)</f>
        <v>2924000.7012880985</v>
      </c>
      <c r="X190" s="81">
        <f t="shared" ca="1" si="492"/>
        <v>4517278.2008691076</v>
      </c>
      <c r="Y190" s="81">
        <f t="shared" ref="Y190:Z190" ca="1" si="493">SUM(Y183:Y189)</f>
        <v>5255095.2227367461</v>
      </c>
      <c r="Z190" s="81">
        <f t="shared" ca="1" si="493"/>
        <v>5099646.0517101344</v>
      </c>
      <c r="AA190" s="81">
        <f t="shared" ref="AA190:AB190" ca="1" si="494">SUM(AA183:AA189)</f>
        <v>3620355.4827527194</v>
      </c>
      <c r="AB190" s="81">
        <f t="shared" ca="1" si="494"/>
        <v>2921640.214728713</v>
      </c>
      <c r="AC190" s="81">
        <f t="shared" ref="AC190:AD190" ca="1" si="495">SUM(AC183:AC189)</f>
        <v>3136866.258476798</v>
      </c>
      <c r="AD190" s="81">
        <f t="shared" ca="1" si="495"/>
        <v>3690787.4988557715</v>
      </c>
      <c r="AE190" s="81">
        <f t="shared" ref="AE190:AF190" ca="1" si="496">SUM(AE183:AE189)</f>
        <v>4660383.0656711943</v>
      </c>
      <c r="AF190" s="81">
        <f t="shared" ca="1" si="496"/>
        <v>3962264.0339969569</v>
      </c>
      <c r="AG190" s="81">
        <f t="shared" ref="AG190:AH190" ca="1" si="497">SUM(AG183:AG189)</f>
        <v>3552084.9311999753</v>
      </c>
      <c r="AH190" s="81">
        <f t="shared" ca="1" si="497"/>
        <v>3674669.2800405179</v>
      </c>
      <c r="AI190" s="81">
        <f t="shared" ref="AI190:AJ190" ca="1" si="498">SUM(AI183:AI189)</f>
        <v>3153813.6401539985</v>
      </c>
      <c r="AJ190" s="81">
        <f t="shared" ca="1" si="498"/>
        <v>4903773.1935678115</v>
      </c>
      <c r="AK190" s="81">
        <f t="shared" ref="AK190:AL190" ca="1" si="499">SUM(AK183:AK189)</f>
        <v>5705524.8894656347</v>
      </c>
      <c r="AL190" s="81">
        <f t="shared" ca="1" si="499"/>
        <v>5529826.4384228289</v>
      </c>
      <c r="AM190" s="81">
        <f t="shared" ref="AM190:AN190" ca="1" si="500">SUM(AM183:AM189)</f>
        <v>3906825.7382389265</v>
      </c>
      <c r="AN190" s="81">
        <f t="shared" ca="1" si="500"/>
        <v>3147776.354907115</v>
      </c>
      <c r="AO190" s="81">
        <f t="shared" ref="AO190:AP190" ca="1" si="501">SUM(AO183:AO189)</f>
        <v>3389014.9329653811</v>
      </c>
      <c r="AP190" s="81">
        <f t="shared" ca="1" si="501"/>
        <v>3996070.4443927812</v>
      </c>
      <c r="AQ190" s="81">
        <f t="shared" ref="AQ190:AR190" ca="1" si="502">SUM(AQ183:AQ189)</f>
        <v>5057161.1689366959</v>
      </c>
      <c r="AR190" s="81">
        <f t="shared" ca="1" si="502"/>
        <v>4285669.7631552545</v>
      </c>
      <c r="AS190" s="81">
        <f t="shared" ref="AS190:AT190" ca="1" si="503">SUM(AS183:AS189)</f>
        <v>3838422.0987268849</v>
      </c>
      <c r="AT190" s="81">
        <f t="shared" ca="1" si="503"/>
        <v>3975690.9300899962</v>
      </c>
      <c r="AU190" s="81">
        <f t="shared" ref="AU190:AV190" ca="1" si="504">SUM(AU183:AU189)</f>
        <v>3404135.8453949257</v>
      </c>
      <c r="AV190" s="81">
        <f t="shared" ca="1" si="504"/>
        <v>5327728.5317883529</v>
      </c>
      <c r="AW190" s="81">
        <f t="shared" ref="AW190:AX190" ca="1" si="505">SUM(AW183:AW189)</f>
        <v>6199681.6568341274</v>
      </c>
      <c r="AX190" s="81">
        <f t="shared" ca="1" si="505"/>
        <v>6001168.9690164933</v>
      </c>
      <c r="AY190" s="81">
        <f t="shared" ref="AY190:AZ190" ca="1" si="506">SUM(AY183:AY189)</f>
        <v>4219043.3763723075</v>
      </c>
      <c r="AZ190" s="81">
        <f t="shared" ca="1" si="506"/>
        <v>3393764.2065898436</v>
      </c>
      <c r="BA190" s="81">
        <f t="shared" ref="BA190:BB190" ca="1" si="507">SUM(BA183:BA189)</f>
        <v>3664195.1039172062</v>
      </c>
      <c r="BB190" s="81">
        <f t="shared" ca="1" si="507"/>
        <v>4330032.4586388711</v>
      </c>
    </row>
    <row r="191" spans="1:54" x14ac:dyDescent="0.3">
      <c r="A191" s="10"/>
      <c r="G191" s="55"/>
      <c r="H191" s="55"/>
      <c r="I191" s="55"/>
      <c r="J191" s="55"/>
      <c r="K191" s="55"/>
      <c r="L191" s="55"/>
      <c r="M191" s="55"/>
      <c r="N191" s="55"/>
      <c r="O191" s="55"/>
      <c r="P191" s="55"/>
      <c r="Q191" s="55"/>
      <c r="R191" s="55"/>
      <c r="S191" s="55"/>
      <c r="T191" s="55"/>
      <c r="U191" s="55"/>
      <c r="V191" s="55"/>
      <c r="W191" s="55"/>
      <c r="X191" s="55"/>
      <c r="Y191" s="55"/>
      <c r="Z191" s="55"/>
      <c r="AA191" s="55"/>
      <c r="AB191" s="55"/>
      <c r="AC191" s="55"/>
      <c r="AD191" s="55"/>
      <c r="AE191" s="55"/>
      <c r="AF191" s="55"/>
      <c r="AG191" s="55"/>
      <c r="AH191" s="55"/>
      <c r="AI191" s="55"/>
      <c r="AJ191" s="55"/>
      <c r="AK191" s="55"/>
      <c r="AL191" s="55"/>
      <c r="AM191" s="55"/>
      <c r="AN191" s="55"/>
      <c r="AO191" s="55"/>
      <c r="AP191" s="55"/>
      <c r="AQ191" s="55"/>
      <c r="AR191" s="55"/>
      <c r="AS191" s="55"/>
      <c r="AT191" s="55"/>
      <c r="AU191" s="55"/>
      <c r="AV191" s="55"/>
      <c r="AW191" s="55"/>
      <c r="AX191" s="55"/>
      <c r="AY191" s="55"/>
      <c r="AZ191" s="55"/>
      <c r="BA191" s="55"/>
      <c r="BB191" s="55"/>
    </row>
    <row r="192" spans="1:54" x14ac:dyDescent="0.3">
      <c r="A192" s="35" t="str">
        <f ca="1">Language!A1294</f>
        <v>Долгосрочные кредиты</v>
      </c>
      <c r="C192" s="48" t="str">
        <f ca="1">Параметры!$C$64</f>
        <v>руб.</v>
      </c>
      <c r="E192" s="6" t="s">
        <v>1515</v>
      </c>
      <c r="F192" s="6" t="s">
        <v>741</v>
      </c>
      <c r="G192" s="55">
        <f>SUM(Старт!G131,Старт!G135,Проект!G1253)/Параметры!G$64</f>
        <v>216263542.6875</v>
      </c>
      <c r="H192" s="55">
        <f>SUM(Старт!H131,Старт!H135,Проект!H1253)/Параметры!H$64</f>
        <v>220677084.375</v>
      </c>
      <c r="I192" s="55">
        <f>SUM(Старт!I131,Старт!I135,Проект!I1253)/Параметры!I$64</f>
        <v>225090626.0625</v>
      </c>
      <c r="J192" s="55">
        <f>SUM(Старт!J131,Старт!J135,Проект!J1253)/Параметры!J$64</f>
        <v>229504167.75</v>
      </c>
      <c r="K192" s="55">
        <f>SUM(Старт!K131,Старт!K135,Проект!K1253)/Параметры!K$64</f>
        <v>233917709.4375</v>
      </c>
      <c r="L192" s="55">
        <f>SUM(Старт!L131,Старт!L135,Проект!L1253)/Параметры!L$64</f>
        <v>238331251.125</v>
      </c>
      <c r="M192" s="55">
        <f>SUM(Старт!M131,Старт!M135,Проект!M1253)/Параметры!M$64</f>
        <v>241723959.47916666</v>
      </c>
      <c r="N192" s="55">
        <f>SUM(Старт!N131,Старт!N135,Проект!N1253)/Параметры!N$64</f>
        <v>244075001.16666669</v>
      </c>
      <c r="O192" s="55">
        <f>SUM(Старт!O131,Старт!O135,Проект!O1253)/Параметры!O$64</f>
        <v>241075001.16666669</v>
      </c>
      <c r="P192" s="55">
        <f>SUM(Старт!P131,Старт!P135,Проект!P1253)/Параметры!P$64</f>
        <v>238075001.16666669</v>
      </c>
      <c r="Q192" s="55">
        <f>SUM(Старт!Q131,Старт!Q135,Проект!Q1253)/Параметры!Q$64</f>
        <v>235075001.16666669</v>
      </c>
      <c r="R192" s="55">
        <f>SUM(Старт!R131,Старт!R135,Проект!R1253)/Параметры!R$64</f>
        <v>231075001.16666669</v>
      </c>
      <c r="S192" s="55">
        <f>SUM(Старт!S131,Старт!S135,Проект!S1253)/Параметры!S$64</f>
        <v>227075001.16666669</v>
      </c>
      <c r="T192" s="55">
        <f>SUM(Старт!T131,Старт!T135,Проект!T1253)/Параметры!T$64</f>
        <v>223075001.16666669</v>
      </c>
      <c r="U192" s="55">
        <f>SUM(Старт!U131,Старт!U135,Проект!U1253)/Параметры!U$64</f>
        <v>219075001.16666669</v>
      </c>
      <c r="V192" s="55">
        <f>SUM(Старт!V131,Старт!V135,Проект!V1253)/Параметры!V$64</f>
        <v>214075001.16666669</v>
      </c>
      <c r="W192" s="55">
        <f>SUM(Старт!W131,Старт!W135,Проект!W1253)/Параметры!W$64</f>
        <v>209075001.16666669</v>
      </c>
      <c r="X192" s="55">
        <f>SUM(Старт!X131,Старт!X135,Проект!X1253)/Параметры!X$64</f>
        <v>204075001.16666669</v>
      </c>
      <c r="Y192" s="55">
        <f>SUM(Старт!Y131,Старт!Y135,Проект!Y1253)/Параметры!Y$64</f>
        <v>196075001.16666669</v>
      </c>
      <c r="Z192" s="55">
        <f>SUM(Старт!Z131,Старт!Z135,Проект!Z1253)/Параметры!Z$64</f>
        <v>188075001.16666669</v>
      </c>
      <c r="AA192" s="55">
        <f>SUM(Старт!AA131,Старт!AA135,Проект!AA1253)/Параметры!AA$64</f>
        <v>180075001.16666669</v>
      </c>
      <c r="AB192" s="55">
        <f>SUM(Старт!AB131,Старт!AB135,Проект!AB1253)/Параметры!AB$64</f>
        <v>172075001.16666669</v>
      </c>
      <c r="AC192" s="55">
        <f>SUM(Старт!AC131,Старт!AC135,Проект!AC1253)/Параметры!AC$64</f>
        <v>164075001.16666669</v>
      </c>
      <c r="AD192" s="55">
        <f>SUM(Старт!AD131,Старт!AD135,Проект!AD1253)/Параметры!AD$64</f>
        <v>156075001.16666669</v>
      </c>
      <c r="AE192" s="55">
        <f>SUM(Старт!AE131,Старт!AE135,Проект!AE1253)/Параметры!AE$64</f>
        <v>148075001.16666669</v>
      </c>
      <c r="AF192" s="55">
        <f>SUM(Старт!AF131,Старт!AF135,Проект!AF1253)/Параметры!AF$64</f>
        <v>140075001.16666669</v>
      </c>
      <c r="AG192" s="55">
        <f>SUM(Старт!AG131,Старт!AG135,Проект!AG1253)/Параметры!AG$64</f>
        <v>132075001.16666669</v>
      </c>
      <c r="AH192" s="55">
        <f>SUM(Старт!AH131,Старт!AH135,Проект!AH1253)/Параметры!AH$64</f>
        <v>124075001.16666669</v>
      </c>
      <c r="AI192" s="55">
        <f>SUM(Старт!AI131,Старт!AI135,Проект!AI1253)/Параметры!AI$64</f>
        <v>116075001.16666669</v>
      </c>
      <c r="AJ192" s="55">
        <f>SUM(Старт!AJ131,Старт!AJ135,Проект!AJ1253)/Параметры!AJ$64</f>
        <v>108075001.16666669</v>
      </c>
      <c r="AK192" s="55">
        <f>SUM(Старт!AK131,Старт!AK135,Проект!AK1253)/Параметры!AK$64</f>
        <v>100075001.16666669</v>
      </c>
      <c r="AL192" s="55">
        <f>SUM(Старт!AL131,Старт!AL135,Проект!AL1253)/Параметры!AL$64</f>
        <v>92075001.166666687</v>
      </c>
      <c r="AM192" s="55">
        <f>SUM(Старт!AM131,Старт!AM135,Проект!AM1253)/Параметры!AM$64</f>
        <v>84075001.166666687</v>
      </c>
      <c r="AN192" s="55">
        <f>SUM(Старт!AN131,Старт!AN135,Проект!AN1253)/Параметры!AN$64</f>
        <v>76075001.166666687</v>
      </c>
      <c r="AO192" s="55">
        <f>SUM(Старт!AO131,Старт!AO135,Проект!AO1253)/Параметры!AO$64</f>
        <v>68075001.166666687</v>
      </c>
      <c r="AP192" s="55">
        <f>SUM(Старт!AP131,Старт!AP135,Проект!AP1253)/Параметры!AP$64</f>
        <v>60075001.166666687</v>
      </c>
      <c r="AQ192" s="55">
        <f>SUM(Старт!AQ131,Старт!AQ135,Проект!AQ1253)/Параметры!AQ$64</f>
        <v>52075001.166666687</v>
      </c>
      <c r="AR192" s="55">
        <f>SUM(Старт!AR131,Старт!AR135,Проект!AR1253)/Параметры!AR$64</f>
        <v>44075001.166666687</v>
      </c>
      <c r="AS192" s="55">
        <f>SUM(Старт!AS131,Старт!AS135,Проект!AS1253)/Параметры!AS$64</f>
        <v>36075001.166666687</v>
      </c>
      <c r="AT192" s="55">
        <f>SUM(Старт!AT131,Старт!AT135,Проект!AT1253)/Параметры!AT$64</f>
        <v>28075001.166666687</v>
      </c>
      <c r="AU192" s="55">
        <f>SUM(Старт!AU131,Старт!AU135,Проект!AU1253)/Параметры!AU$64</f>
        <v>20075001.166666687</v>
      </c>
      <c r="AV192" s="55">
        <f>SUM(Старт!AV131,Старт!AV135,Проект!AV1253)/Параметры!AV$64</f>
        <v>12075001.166666687</v>
      </c>
      <c r="AW192" s="55">
        <f>SUM(Старт!AW131,Старт!AW135,Проект!AW1253)/Параметры!AW$64</f>
        <v>4075001.1666666865</v>
      </c>
      <c r="AX192" s="55">
        <f>SUM(Старт!AX131,Старт!AX135,Проект!AX1253)/Параметры!AX$64</f>
        <v>0.16666668653488159</v>
      </c>
      <c r="AY192" s="55">
        <f>SUM(Старт!AY131,Старт!AY135,Проект!AY1253)/Параметры!AY$64</f>
        <v>0.16666668653488159</v>
      </c>
      <c r="AZ192" s="55">
        <f>SUM(Старт!AZ131,Старт!AZ135,Проект!AZ1253)/Параметры!AZ$64</f>
        <v>0.16666668653488159</v>
      </c>
      <c r="BA192" s="55">
        <f>SUM(Старт!BA131,Старт!BA135,Проект!BA1253)/Параметры!BA$64</f>
        <v>0.16666668653488159</v>
      </c>
      <c r="BB192" s="55">
        <f>SUM(Старт!BB131,Старт!BB135,Проект!BB1253)/Параметры!BB$64</f>
        <v>0.16666668653488159</v>
      </c>
    </row>
    <row r="193" spans="1:56" x14ac:dyDescent="0.3">
      <c r="A193" s="35" t="str">
        <f ca="1">Language!A1295</f>
        <v>Обязательства по финансовой аренде</v>
      </c>
      <c r="C193" s="48" t="str">
        <f ca="1">Параметры!$C$64</f>
        <v>руб.</v>
      </c>
      <c r="E193" s="6" t="s">
        <v>1516</v>
      </c>
      <c r="F193" s="6" t="s">
        <v>741</v>
      </c>
      <c r="G193" s="55">
        <f>Проект!G1051/Параметры!G$64</f>
        <v>0</v>
      </c>
      <c r="H193" s="55">
        <f>Проект!H1051/Параметры!H$64</f>
        <v>0</v>
      </c>
      <c r="I193" s="55">
        <f>Проект!I1051/Параметры!I$64</f>
        <v>0</v>
      </c>
      <c r="J193" s="55">
        <f>Проект!J1051/Параметры!J$64</f>
        <v>0</v>
      </c>
      <c r="K193" s="55">
        <f>Проект!K1051/Параметры!K$64</f>
        <v>0</v>
      </c>
      <c r="L193" s="55">
        <f>Проект!L1051/Параметры!L$64</f>
        <v>0</v>
      </c>
      <c r="M193" s="55">
        <f>Проект!M1051/Параметры!M$64</f>
        <v>0</v>
      </c>
      <c r="N193" s="55">
        <f>Проект!N1051/Параметры!N$64</f>
        <v>0</v>
      </c>
      <c r="O193" s="55">
        <f>Проект!O1051/Параметры!O$64</f>
        <v>0</v>
      </c>
      <c r="P193" s="55">
        <f>Проект!P1051/Параметры!P$64</f>
        <v>0</v>
      </c>
      <c r="Q193" s="55">
        <f>Проект!Q1051/Параметры!Q$64</f>
        <v>0</v>
      </c>
      <c r="R193" s="55">
        <f>Проект!R1051/Параметры!R$64</f>
        <v>0</v>
      </c>
      <c r="S193" s="55">
        <f>Проект!S1051/Параметры!S$64</f>
        <v>0</v>
      </c>
      <c r="T193" s="55">
        <f>Проект!T1051/Параметры!T$64</f>
        <v>0</v>
      </c>
      <c r="U193" s="55">
        <f>Проект!U1051/Параметры!U$64</f>
        <v>0</v>
      </c>
      <c r="V193" s="55">
        <f>Проект!V1051/Параметры!V$64</f>
        <v>0</v>
      </c>
      <c r="W193" s="55">
        <f>Проект!W1051/Параметры!W$64</f>
        <v>0</v>
      </c>
      <c r="X193" s="55">
        <f>Проект!X1051/Параметры!X$64</f>
        <v>0</v>
      </c>
      <c r="Y193" s="55">
        <f>Проект!Y1051/Параметры!Y$64</f>
        <v>0</v>
      </c>
      <c r="Z193" s="55">
        <f>Проект!Z1051/Параметры!Z$64</f>
        <v>0</v>
      </c>
      <c r="AA193" s="55">
        <f>Проект!AA1051/Параметры!AA$64</f>
        <v>0</v>
      </c>
      <c r="AB193" s="55">
        <f>Проект!AB1051/Параметры!AB$64</f>
        <v>0</v>
      </c>
      <c r="AC193" s="55">
        <f>Проект!AC1051/Параметры!AC$64</f>
        <v>0</v>
      </c>
      <c r="AD193" s="55">
        <f>Проект!AD1051/Параметры!AD$64</f>
        <v>0</v>
      </c>
      <c r="AE193" s="55">
        <f>Проект!AE1051/Параметры!AE$64</f>
        <v>0</v>
      </c>
      <c r="AF193" s="55">
        <f>Проект!AF1051/Параметры!AF$64</f>
        <v>0</v>
      </c>
      <c r="AG193" s="55">
        <f>Проект!AG1051/Параметры!AG$64</f>
        <v>0</v>
      </c>
      <c r="AH193" s="55">
        <f>Проект!AH1051/Параметры!AH$64</f>
        <v>0</v>
      </c>
      <c r="AI193" s="55">
        <f>Проект!AI1051/Параметры!AI$64</f>
        <v>0</v>
      </c>
      <c r="AJ193" s="55">
        <f>Проект!AJ1051/Параметры!AJ$64</f>
        <v>0</v>
      </c>
      <c r="AK193" s="55">
        <f>Проект!AK1051/Параметры!AK$64</f>
        <v>0</v>
      </c>
      <c r="AL193" s="55">
        <f>Проект!AL1051/Параметры!AL$64</f>
        <v>0</v>
      </c>
      <c r="AM193" s="55">
        <f>Проект!AM1051/Параметры!AM$64</f>
        <v>0</v>
      </c>
      <c r="AN193" s="55">
        <f>Проект!AN1051/Параметры!AN$64</f>
        <v>0</v>
      </c>
      <c r="AO193" s="55">
        <f>Проект!AO1051/Параметры!AO$64</f>
        <v>0</v>
      </c>
      <c r="AP193" s="55">
        <f>Проект!AP1051/Параметры!AP$64</f>
        <v>0</v>
      </c>
      <c r="AQ193" s="55">
        <f>Проект!AQ1051/Параметры!AQ$64</f>
        <v>0</v>
      </c>
      <c r="AR193" s="55">
        <f>Проект!AR1051/Параметры!AR$64</f>
        <v>0</v>
      </c>
      <c r="AS193" s="55">
        <f>Проект!AS1051/Параметры!AS$64</f>
        <v>0</v>
      </c>
      <c r="AT193" s="55">
        <f>Проект!AT1051/Параметры!AT$64</f>
        <v>0</v>
      </c>
      <c r="AU193" s="55">
        <f>Проект!AU1051/Параметры!AU$64</f>
        <v>0</v>
      </c>
      <c r="AV193" s="55">
        <f>Проект!AV1051/Параметры!AV$64</f>
        <v>0</v>
      </c>
      <c r="AW193" s="55">
        <f>Проект!AW1051/Параметры!AW$64</f>
        <v>0</v>
      </c>
      <c r="AX193" s="55">
        <f>Проект!AX1051/Параметры!AX$64</f>
        <v>0</v>
      </c>
      <c r="AY193" s="55">
        <f>Проект!AY1051/Параметры!AY$64</f>
        <v>0</v>
      </c>
      <c r="AZ193" s="55">
        <f>Проект!AZ1051/Параметры!AZ$64</f>
        <v>0</v>
      </c>
      <c r="BA193" s="55">
        <f>Проект!BA1051/Параметры!BA$64</f>
        <v>0</v>
      </c>
      <c r="BB193" s="55">
        <f>Проект!BB1051/Параметры!BB$64</f>
        <v>0</v>
      </c>
    </row>
    <row r="194" spans="1:56" x14ac:dyDescent="0.3">
      <c r="A194" s="35" t="str">
        <f ca="1">Language!A1296</f>
        <v>Прочие долгосрочные обязательства</v>
      </c>
      <c r="C194" s="48" t="str">
        <f ca="1">Параметры!$C$64</f>
        <v>руб.</v>
      </c>
      <c r="E194" s="6" t="s">
        <v>1517</v>
      </c>
      <c r="F194" s="6" t="s">
        <v>741</v>
      </c>
      <c r="G194" s="55">
        <f>IF(G2=1,Старт!$B38/Параметры!G$64,F194*(Параметры!F64/Параметры!G64))</f>
        <v>0</v>
      </c>
      <c r="H194" s="55">
        <f>IF(H2=1,Старт!$B38/Параметры!H$64,G194*(Параметры!G64/Параметры!H64))</f>
        <v>0</v>
      </c>
      <c r="I194" s="55">
        <f>IF(I2=1,Старт!$B38/Параметры!I$64,H194*(Параметры!H64/Параметры!I64))</f>
        <v>0</v>
      </c>
      <c r="J194" s="55">
        <f>IF(J2=1,Старт!$B38/Параметры!J$64,I194*(Параметры!I64/Параметры!J64))</f>
        <v>0</v>
      </c>
      <c r="K194" s="55">
        <f>IF(K2=1,Старт!$B38/Параметры!K$64,J194*(Параметры!J64/Параметры!K64))</f>
        <v>0</v>
      </c>
      <c r="L194" s="55">
        <f>IF(L2=1,Старт!$B38/Параметры!L$64,K194*(Параметры!K64/Параметры!L64))</f>
        <v>0</v>
      </c>
      <c r="M194" s="55">
        <f>IF(M2=1,Старт!$B38/Параметры!M$64,L194*(Параметры!L64/Параметры!M64))</f>
        <v>0</v>
      </c>
      <c r="N194" s="55">
        <f>IF(N2=1,Старт!$B38/Параметры!N$64,M194*(Параметры!M64/Параметры!N64))</f>
        <v>0</v>
      </c>
      <c r="O194" s="55">
        <f>IF(O2=1,Старт!$B38/Параметры!O$64,N194*(Параметры!N64/Параметры!O64))</f>
        <v>0</v>
      </c>
      <c r="P194" s="55">
        <f>IF(P2=1,Старт!$B38/Параметры!P$64,O194*(Параметры!O64/Параметры!P64))</f>
        <v>0</v>
      </c>
      <c r="Q194" s="55">
        <f>IF(Q2=1,Старт!$B38/Параметры!Q$64,P194*(Параметры!P64/Параметры!Q64))</f>
        <v>0</v>
      </c>
      <c r="R194" s="55">
        <f>IF(R2=1,Старт!$B38/Параметры!R$64,Q194*(Параметры!Q64/Параметры!R64))</f>
        <v>0</v>
      </c>
      <c r="S194" s="55">
        <f>IF(S2=1,Старт!$B38/Параметры!S$64,R194*(Параметры!R64/Параметры!S64))</f>
        <v>0</v>
      </c>
      <c r="T194" s="55">
        <f>IF(T2=1,Старт!$B38/Параметры!T$64,S194*(Параметры!S64/Параметры!T64))</f>
        <v>0</v>
      </c>
      <c r="U194" s="55">
        <f>IF(U2=1,Старт!$B38/Параметры!U$64,T194*(Параметры!T64/Параметры!U64))</f>
        <v>0</v>
      </c>
      <c r="V194" s="55">
        <f>IF(V2=1,Старт!$B38/Параметры!V$64,U194*(Параметры!U64/Параметры!V64))</f>
        <v>0</v>
      </c>
      <c r="W194" s="55">
        <f>IF(W2=1,Старт!$B38/Параметры!W$64,V194*(Параметры!V64/Параметры!W64))</f>
        <v>0</v>
      </c>
      <c r="X194" s="55">
        <f>IF(X2=1,Старт!$B38/Параметры!X$64,W194*(Параметры!W64/Параметры!X64))</f>
        <v>0</v>
      </c>
      <c r="Y194" s="55">
        <f>IF(Y2=1,Старт!$B38/Параметры!Y$64,X194*(Параметры!X64/Параметры!Y64))</f>
        <v>0</v>
      </c>
      <c r="Z194" s="55">
        <f>IF(Z2=1,Старт!$B38/Параметры!Z$64,Y194*(Параметры!Y64/Параметры!Z64))</f>
        <v>0</v>
      </c>
      <c r="AA194" s="55">
        <f>IF(AA2=1,Старт!$B38/Параметры!AA$64,Z194*(Параметры!Z64/Параметры!AA64))</f>
        <v>0</v>
      </c>
      <c r="AB194" s="55">
        <f>IF(AB2=1,Старт!$B38/Параметры!AB$64,AA194*(Параметры!AA64/Параметры!AB64))</f>
        <v>0</v>
      </c>
      <c r="AC194" s="55">
        <f>IF(AC2=1,Старт!$B38/Параметры!AC$64,AB194*(Параметры!AB64/Параметры!AC64))</f>
        <v>0</v>
      </c>
      <c r="AD194" s="55">
        <f>IF(AD2=1,Старт!$B38/Параметры!AD$64,AC194*(Параметры!AC64/Параметры!AD64))</f>
        <v>0</v>
      </c>
      <c r="AE194" s="55">
        <f>IF(AE2=1,Старт!$B38/Параметры!AE$64,AD194*(Параметры!AD64/Параметры!AE64))</f>
        <v>0</v>
      </c>
      <c r="AF194" s="55">
        <f>IF(AF2=1,Старт!$B38/Параметры!AF$64,AE194*(Параметры!AE64/Параметры!AF64))</f>
        <v>0</v>
      </c>
      <c r="AG194" s="55">
        <f>IF(AG2=1,Старт!$B38/Параметры!AG$64,AF194*(Параметры!AF64/Параметры!AG64))</f>
        <v>0</v>
      </c>
      <c r="AH194" s="55">
        <f>IF(AH2=1,Старт!$B38/Параметры!AH$64,AG194*(Параметры!AG64/Параметры!AH64))</f>
        <v>0</v>
      </c>
      <c r="AI194" s="55">
        <f>IF(AI2=1,Старт!$B38/Параметры!AI$64,AH194*(Параметры!AH64/Параметры!AI64))</f>
        <v>0</v>
      </c>
      <c r="AJ194" s="55">
        <f>IF(AJ2=1,Старт!$B38/Параметры!AJ$64,AI194*(Параметры!AI64/Параметры!AJ64))</f>
        <v>0</v>
      </c>
      <c r="AK194" s="55">
        <f>IF(AK2=1,Старт!$B38/Параметры!AK$64,AJ194*(Параметры!AJ64/Параметры!AK64))</f>
        <v>0</v>
      </c>
      <c r="AL194" s="55">
        <f>IF(AL2=1,Старт!$B38/Параметры!AL$64,AK194*(Параметры!AK64/Параметры!AL64))</f>
        <v>0</v>
      </c>
      <c r="AM194" s="55">
        <f>IF(AM2=1,Старт!$B38/Параметры!AM$64,AL194*(Параметры!AL64/Параметры!AM64))</f>
        <v>0</v>
      </c>
      <c r="AN194" s="55">
        <f>IF(AN2=1,Старт!$B38/Параметры!AN$64,AM194*(Параметры!AM64/Параметры!AN64))</f>
        <v>0</v>
      </c>
      <c r="AO194" s="55">
        <f>IF(AO2=1,Старт!$B38/Параметры!AO$64,AN194*(Параметры!AN64/Параметры!AO64))</f>
        <v>0</v>
      </c>
      <c r="AP194" s="55">
        <f>IF(AP2=1,Старт!$B38/Параметры!AP$64,AO194*(Параметры!AO64/Параметры!AP64))</f>
        <v>0</v>
      </c>
      <c r="AQ194" s="55">
        <f>IF(AQ2=1,Старт!$B38/Параметры!AQ$64,AP194*(Параметры!AP64/Параметры!AQ64))</f>
        <v>0</v>
      </c>
      <c r="AR194" s="55">
        <f>IF(AR2=1,Старт!$B38/Параметры!AR$64,AQ194*(Параметры!AQ64/Параметры!AR64))</f>
        <v>0</v>
      </c>
      <c r="AS194" s="55">
        <f>IF(AS2=1,Старт!$B38/Параметры!AS$64,AR194*(Параметры!AR64/Параметры!AS64))</f>
        <v>0</v>
      </c>
      <c r="AT194" s="55">
        <f>IF(AT2=1,Старт!$B38/Параметры!AT$64,AS194*(Параметры!AS64/Параметры!AT64))</f>
        <v>0</v>
      </c>
      <c r="AU194" s="55">
        <f>IF(AU2=1,Старт!$B38/Параметры!AU$64,AT194*(Параметры!AT64/Параметры!AU64))</f>
        <v>0</v>
      </c>
      <c r="AV194" s="55">
        <f>IF(AV2=1,Старт!$B38/Параметры!AV$64,AU194*(Параметры!AU64/Параметры!AV64))</f>
        <v>0</v>
      </c>
      <c r="AW194" s="55">
        <f>IF(AW2=1,Старт!$B38/Параметры!AW$64,AV194*(Параметры!AV64/Параметры!AW64))</f>
        <v>0</v>
      </c>
      <c r="AX194" s="55">
        <f>IF(AX2=1,Старт!$B38/Параметры!AX$64,AW194*(Параметры!AW64/Параметры!AX64))</f>
        <v>0</v>
      </c>
      <c r="AY194" s="55">
        <f>IF(AY2=1,Старт!$B38/Параметры!AY$64,AX194*(Параметры!AX64/Параметры!AY64))</f>
        <v>0</v>
      </c>
      <c r="AZ194" s="55">
        <f>IF(AZ2=1,Старт!$B38/Параметры!AZ$64,AY194*(Параметры!AY64/Параметры!AZ64))</f>
        <v>0</v>
      </c>
      <c r="BA194" s="55">
        <f>IF(BA2=1,Старт!$B38/Параметры!BA$64,AZ194*(Параметры!AZ64/Параметры!BA64))</f>
        <v>0</v>
      </c>
      <c r="BB194" s="55">
        <f>IF(BB2=1,Старт!$B38/Параметры!BB$64,BA194*(Параметры!BA64/Параметры!BB64))</f>
        <v>0</v>
      </c>
    </row>
    <row r="195" spans="1:56" x14ac:dyDescent="0.3">
      <c r="A195" s="43" t="str">
        <f ca="1">Language!A1297</f>
        <v>Суммарные долгосрочные обязательства</v>
      </c>
      <c r="B195" s="80"/>
      <c r="C195" s="45" t="str">
        <f ca="1">Параметры!$C$64</f>
        <v>руб.</v>
      </c>
      <c r="D195" s="46"/>
      <c r="E195" s="46" t="s">
        <v>1518</v>
      </c>
      <c r="F195" s="46" t="s">
        <v>741</v>
      </c>
      <c r="G195" s="81">
        <f>SUM(G192:G194)</f>
        <v>216263542.6875</v>
      </c>
      <c r="H195" s="81">
        <f t="shared" ref="H195:L195" si="508">SUM(H192:H194)</f>
        <v>220677084.375</v>
      </c>
      <c r="I195" s="81">
        <f t="shared" si="508"/>
        <v>225090626.0625</v>
      </c>
      <c r="J195" s="81">
        <f t="shared" si="508"/>
        <v>229504167.75</v>
      </c>
      <c r="K195" s="81">
        <f t="shared" si="508"/>
        <v>233917709.4375</v>
      </c>
      <c r="L195" s="81">
        <f t="shared" si="508"/>
        <v>238331251.125</v>
      </c>
      <c r="M195" s="81">
        <f t="shared" ref="M195:N195" si="509">SUM(M192:M194)</f>
        <v>241723959.47916666</v>
      </c>
      <c r="N195" s="81">
        <f t="shared" si="509"/>
        <v>244075001.16666669</v>
      </c>
      <c r="O195" s="81">
        <f t="shared" ref="O195:P195" si="510">SUM(O192:O194)</f>
        <v>241075001.16666669</v>
      </c>
      <c r="P195" s="81">
        <f t="shared" si="510"/>
        <v>238075001.16666669</v>
      </c>
      <c r="Q195" s="81">
        <f t="shared" ref="Q195:R195" si="511">SUM(Q192:Q194)</f>
        <v>235075001.16666669</v>
      </c>
      <c r="R195" s="81">
        <f t="shared" si="511"/>
        <v>231075001.16666669</v>
      </c>
      <c r="S195" s="81">
        <f t="shared" ref="S195:T195" si="512">SUM(S192:S194)</f>
        <v>227075001.16666669</v>
      </c>
      <c r="T195" s="81">
        <f t="shared" si="512"/>
        <v>223075001.16666669</v>
      </c>
      <c r="U195" s="81">
        <f t="shared" ref="U195:V195" si="513">SUM(U192:U194)</f>
        <v>219075001.16666669</v>
      </c>
      <c r="V195" s="81">
        <f t="shared" si="513"/>
        <v>214075001.16666669</v>
      </c>
      <c r="W195" s="81">
        <f t="shared" ref="W195:X195" si="514">SUM(W192:W194)</f>
        <v>209075001.16666669</v>
      </c>
      <c r="X195" s="81">
        <f t="shared" si="514"/>
        <v>204075001.16666669</v>
      </c>
      <c r="Y195" s="81">
        <f t="shared" ref="Y195:Z195" si="515">SUM(Y192:Y194)</f>
        <v>196075001.16666669</v>
      </c>
      <c r="Z195" s="81">
        <f t="shared" si="515"/>
        <v>188075001.16666669</v>
      </c>
      <c r="AA195" s="81">
        <f t="shared" ref="AA195:AB195" si="516">SUM(AA192:AA194)</f>
        <v>180075001.16666669</v>
      </c>
      <c r="AB195" s="81">
        <f t="shared" si="516"/>
        <v>172075001.16666669</v>
      </c>
      <c r="AC195" s="81">
        <f t="shared" ref="AC195:AD195" si="517">SUM(AC192:AC194)</f>
        <v>164075001.16666669</v>
      </c>
      <c r="AD195" s="81">
        <f t="shared" si="517"/>
        <v>156075001.16666669</v>
      </c>
      <c r="AE195" s="81">
        <f t="shared" ref="AE195:AF195" si="518">SUM(AE192:AE194)</f>
        <v>148075001.16666669</v>
      </c>
      <c r="AF195" s="81">
        <f t="shared" si="518"/>
        <v>140075001.16666669</v>
      </c>
      <c r="AG195" s="81">
        <f t="shared" ref="AG195:AH195" si="519">SUM(AG192:AG194)</f>
        <v>132075001.16666669</v>
      </c>
      <c r="AH195" s="81">
        <f t="shared" si="519"/>
        <v>124075001.16666669</v>
      </c>
      <c r="AI195" s="81">
        <f t="shared" ref="AI195:AJ195" si="520">SUM(AI192:AI194)</f>
        <v>116075001.16666669</v>
      </c>
      <c r="AJ195" s="81">
        <f t="shared" si="520"/>
        <v>108075001.16666669</v>
      </c>
      <c r="AK195" s="81">
        <f t="shared" ref="AK195:AL195" si="521">SUM(AK192:AK194)</f>
        <v>100075001.16666669</v>
      </c>
      <c r="AL195" s="81">
        <f t="shared" si="521"/>
        <v>92075001.166666687</v>
      </c>
      <c r="AM195" s="81">
        <f t="shared" ref="AM195:AN195" si="522">SUM(AM192:AM194)</f>
        <v>84075001.166666687</v>
      </c>
      <c r="AN195" s="81">
        <f t="shared" si="522"/>
        <v>76075001.166666687</v>
      </c>
      <c r="AO195" s="81">
        <f t="shared" ref="AO195:AP195" si="523">SUM(AO192:AO194)</f>
        <v>68075001.166666687</v>
      </c>
      <c r="AP195" s="81">
        <f t="shared" si="523"/>
        <v>60075001.166666687</v>
      </c>
      <c r="AQ195" s="81">
        <f t="shared" ref="AQ195:AR195" si="524">SUM(AQ192:AQ194)</f>
        <v>52075001.166666687</v>
      </c>
      <c r="AR195" s="81">
        <f t="shared" si="524"/>
        <v>44075001.166666687</v>
      </c>
      <c r="AS195" s="81">
        <f t="shared" ref="AS195:AT195" si="525">SUM(AS192:AS194)</f>
        <v>36075001.166666687</v>
      </c>
      <c r="AT195" s="81">
        <f t="shared" si="525"/>
        <v>28075001.166666687</v>
      </c>
      <c r="AU195" s="81">
        <f t="shared" ref="AU195:AV195" si="526">SUM(AU192:AU194)</f>
        <v>20075001.166666687</v>
      </c>
      <c r="AV195" s="81">
        <f t="shared" si="526"/>
        <v>12075001.166666687</v>
      </c>
      <c r="AW195" s="81">
        <f t="shared" ref="AW195:AX195" si="527">SUM(AW192:AW194)</f>
        <v>4075001.1666666865</v>
      </c>
      <c r="AX195" s="81">
        <f t="shared" si="527"/>
        <v>0.16666668653488159</v>
      </c>
      <c r="AY195" s="81">
        <f t="shared" ref="AY195:AZ195" si="528">SUM(AY192:AY194)</f>
        <v>0.16666668653488159</v>
      </c>
      <c r="AZ195" s="81">
        <f t="shared" si="528"/>
        <v>0.16666668653488159</v>
      </c>
      <c r="BA195" s="81">
        <f t="shared" ref="BA195:BB195" si="529">SUM(BA192:BA194)</f>
        <v>0.16666668653488159</v>
      </c>
      <c r="BB195" s="81">
        <f t="shared" si="529"/>
        <v>0.16666668653488159</v>
      </c>
    </row>
    <row r="196" spans="1:56" x14ac:dyDescent="0.3">
      <c r="A196" s="10"/>
      <c r="G196" s="55"/>
      <c r="H196" s="55"/>
      <c r="I196" s="55"/>
      <c r="J196" s="55"/>
      <c r="K196" s="55"/>
      <c r="L196" s="55"/>
      <c r="M196" s="55"/>
      <c r="N196" s="55"/>
      <c r="O196" s="55"/>
      <c r="P196" s="55"/>
      <c r="Q196" s="55"/>
      <c r="R196" s="55"/>
      <c r="S196" s="55"/>
      <c r="T196" s="55"/>
      <c r="U196" s="55"/>
      <c r="V196" s="55"/>
      <c r="W196" s="55"/>
      <c r="X196" s="55"/>
      <c r="Y196" s="55"/>
      <c r="Z196" s="55"/>
      <c r="AA196" s="55"/>
      <c r="AB196" s="55"/>
      <c r="AC196" s="55"/>
      <c r="AD196" s="55"/>
      <c r="AE196" s="55"/>
      <c r="AF196" s="55"/>
      <c r="AG196" s="55"/>
      <c r="AH196" s="55"/>
      <c r="AI196" s="55"/>
      <c r="AJ196" s="55"/>
      <c r="AK196" s="55"/>
      <c r="AL196" s="55"/>
      <c r="AM196" s="55"/>
      <c r="AN196" s="55"/>
      <c r="AO196" s="55"/>
      <c r="AP196" s="55"/>
      <c r="AQ196" s="55"/>
      <c r="AR196" s="55"/>
      <c r="AS196" s="55"/>
      <c r="AT196" s="55"/>
      <c r="AU196" s="55"/>
      <c r="AV196" s="55"/>
      <c r="AW196" s="55"/>
      <c r="AX196" s="55"/>
      <c r="AY196" s="55"/>
      <c r="AZ196" s="55"/>
      <c r="BA196" s="55"/>
      <c r="BB196" s="55"/>
    </row>
    <row r="197" spans="1:56" x14ac:dyDescent="0.3">
      <c r="A197" s="35" t="str">
        <f ca="1">Language!A1298</f>
        <v>Акционерный капитал</v>
      </c>
      <c r="C197" s="48" t="str">
        <f ca="1">Параметры!$C$64</f>
        <v>руб.</v>
      </c>
      <c r="E197" s="6" t="s">
        <v>1519</v>
      </c>
      <c r="F197" s="6" t="s">
        <v>741</v>
      </c>
      <c r="G197" s="55">
        <f>Проект!G1178/Параметры!G$64</f>
        <v>0</v>
      </c>
      <c r="H197" s="55">
        <f>Проект!H1178/Параметры!H$64</f>
        <v>0</v>
      </c>
      <c r="I197" s="55">
        <f>Проект!I1178/Параметры!I$64</f>
        <v>0</v>
      </c>
      <c r="J197" s="55">
        <f>Проект!J1178/Параметры!J$64</f>
        <v>0</v>
      </c>
      <c r="K197" s="55">
        <f>Проект!K1178/Параметры!K$64</f>
        <v>0</v>
      </c>
      <c r="L197" s="55">
        <f>Проект!L1178/Параметры!L$64</f>
        <v>0</v>
      </c>
      <c r="M197" s="55">
        <f>Проект!M1178/Параметры!M$64</f>
        <v>0</v>
      </c>
      <c r="N197" s="55">
        <f>Проект!N1178/Параметры!N$64</f>
        <v>0</v>
      </c>
      <c r="O197" s="55">
        <f>Проект!O1178/Параметры!O$64</f>
        <v>0</v>
      </c>
      <c r="P197" s="55">
        <f>Проект!P1178/Параметры!P$64</f>
        <v>0</v>
      </c>
      <c r="Q197" s="55">
        <f>Проект!Q1178/Параметры!Q$64</f>
        <v>0</v>
      </c>
      <c r="R197" s="55">
        <f>Проект!R1178/Параметры!R$64</f>
        <v>0</v>
      </c>
      <c r="S197" s="55">
        <f>Проект!S1178/Параметры!S$64</f>
        <v>0</v>
      </c>
      <c r="T197" s="55">
        <f>Проект!T1178/Параметры!T$64</f>
        <v>0</v>
      </c>
      <c r="U197" s="55">
        <f>Проект!U1178/Параметры!U$64</f>
        <v>0</v>
      </c>
      <c r="V197" s="55">
        <f>Проект!V1178/Параметры!V$64</f>
        <v>0</v>
      </c>
      <c r="W197" s="55">
        <f>Проект!W1178/Параметры!W$64</f>
        <v>0</v>
      </c>
      <c r="X197" s="55">
        <f>Проект!X1178/Параметры!X$64</f>
        <v>0</v>
      </c>
      <c r="Y197" s="55">
        <f>Проект!Y1178/Параметры!Y$64</f>
        <v>0</v>
      </c>
      <c r="Z197" s="55">
        <f>Проект!Z1178/Параметры!Z$64</f>
        <v>0</v>
      </c>
      <c r="AA197" s="55">
        <f>Проект!AA1178/Параметры!AA$64</f>
        <v>0</v>
      </c>
      <c r="AB197" s="55">
        <f>Проект!AB1178/Параметры!AB$64</f>
        <v>0</v>
      </c>
      <c r="AC197" s="55">
        <f>Проект!AC1178/Параметры!AC$64</f>
        <v>0</v>
      </c>
      <c r="AD197" s="55">
        <f>Проект!AD1178/Параметры!AD$64</f>
        <v>0</v>
      </c>
      <c r="AE197" s="55">
        <f>Проект!AE1178/Параметры!AE$64</f>
        <v>0</v>
      </c>
      <c r="AF197" s="55">
        <f>Проект!AF1178/Параметры!AF$64</f>
        <v>0</v>
      </c>
      <c r="AG197" s="55">
        <f>Проект!AG1178/Параметры!AG$64</f>
        <v>0</v>
      </c>
      <c r="AH197" s="55">
        <f>Проект!AH1178/Параметры!AH$64</f>
        <v>0</v>
      </c>
      <c r="AI197" s="55">
        <f>Проект!AI1178/Параметры!AI$64</f>
        <v>0</v>
      </c>
      <c r="AJ197" s="55">
        <f>Проект!AJ1178/Параметры!AJ$64</f>
        <v>0</v>
      </c>
      <c r="AK197" s="55">
        <f>Проект!AK1178/Параметры!AK$64</f>
        <v>0</v>
      </c>
      <c r="AL197" s="55">
        <f>Проект!AL1178/Параметры!AL$64</f>
        <v>0</v>
      </c>
      <c r="AM197" s="55">
        <f>Проект!AM1178/Параметры!AM$64</f>
        <v>0</v>
      </c>
      <c r="AN197" s="55">
        <f>Проект!AN1178/Параметры!AN$64</f>
        <v>0</v>
      </c>
      <c r="AO197" s="55">
        <f>Проект!AO1178/Параметры!AO$64</f>
        <v>0</v>
      </c>
      <c r="AP197" s="55">
        <f>Проект!AP1178/Параметры!AP$64</f>
        <v>0</v>
      </c>
      <c r="AQ197" s="55">
        <f>Проект!AQ1178/Параметры!AQ$64</f>
        <v>0</v>
      </c>
      <c r="AR197" s="55">
        <f>Проект!AR1178/Параметры!AR$64</f>
        <v>0</v>
      </c>
      <c r="AS197" s="55">
        <f>Проект!AS1178/Параметры!AS$64</f>
        <v>0</v>
      </c>
      <c r="AT197" s="55">
        <f>Проект!AT1178/Параметры!AT$64</f>
        <v>0</v>
      </c>
      <c r="AU197" s="55">
        <f>Проект!AU1178/Параметры!AU$64</f>
        <v>0</v>
      </c>
      <c r="AV197" s="55">
        <f>Проект!AV1178/Параметры!AV$64</f>
        <v>0</v>
      </c>
      <c r="AW197" s="55">
        <f>Проект!AW1178/Параметры!AW$64</f>
        <v>0</v>
      </c>
      <c r="AX197" s="55">
        <f>Проект!AX1178/Параметры!AX$64</f>
        <v>0</v>
      </c>
      <c r="AY197" s="55">
        <f>Проект!AY1178/Параметры!AY$64</f>
        <v>0</v>
      </c>
      <c r="AZ197" s="55">
        <f>Проект!AZ1178/Параметры!AZ$64</f>
        <v>0</v>
      </c>
      <c r="BA197" s="55">
        <f>Проект!BA1178/Параметры!BA$64</f>
        <v>0</v>
      </c>
      <c r="BB197" s="55">
        <f>Проект!BB1178/Параметры!BB$64</f>
        <v>0</v>
      </c>
    </row>
    <row r="198" spans="1:56" x14ac:dyDescent="0.3">
      <c r="A198" s="35" t="str">
        <f ca="1">Language!A1299</f>
        <v>Нераспределенная прибыль</v>
      </c>
      <c r="C198" s="48" t="str">
        <f ca="1">Параметры!$C$64</f>
        <v>руб.</v>
      </c>
      <c r="E198" s="6" t="s">
        <v>1520</v>
      </c>
      <c r="F198" s="6" t="s">
        <v>741</v>
      </c>
      <c r="G198" s="55">
        <f ca="1">IF(G2=1,Старт!B42/Параметры!G$64+G120,F198*(Параметры!F64/Параметры!G64)+G120)</f>
        <v>-4413541.6875</v>
      </c>
      <c r="H198" s="55">
        <f ca="1">IF(H2=1,Старт!C42/Параметры!H$64+H120,G198*(Параметры!G64/Параметры!H64)+H120)</f>
        <v>-8827083.375</v>
      </c>
      <c r="I198" s="55">
        <f ca="1">IF(I2=1,Старт!D42/Параметры!I$64+I120,H198*(Параметры!H64/Параметры!I64)+I120)</f>
        <v>-13240625.0625</v>
      </c>
      <c r="J198" s="55">
        <f ca="1">IF(J2=1,Старт!E42/Параметры!J$64+J120,I198*(Параметры!I64/Параметры!J64)+J120)</f>
        <v>-17654166.75</v>
      </c>
      <c r="K198" s="55">
        <f ca="1">IF(K2=1,Старт!F42/Параметры!K$64+K120,J198*(Параметры!J64/Параметры!K64)+K120)</f>
        <v>-22067708.4375</v>
      </c>
      <c r="L198" s="55">
        <f ca="1">IF(L2=1,Старт!G42/Параметры!L$64+L120,K198*(Параметры!K64/Параметры!L64)+L120)</f>
        <v>-26481250.125</v>
      </c>
      <c r="M198" s="55">
        <f ca="1">IF(M2=1,Старт!H42/Параметры!M$64+M120,L198*(Параметры!L64/Параметры!M64)+M120)</f>
        <v>-28056650.697288286</v>
      </c>
      <c r="N198" s="55">
        <f ca="1">IF(N2=1,Старт!I42/Параметры!N$64+N120,M198*(Параметры!M64/Параметры!N64)+N120)</f>
        <v>-28001665.54217694</v>
      </c>
      <c r="O198" s="55">
        <f ca="1">IF(O2=1,Старт!J42/Параметры!O$64+O120,N198*(Параметры!N64/Параметры!O64)+O120)</f>
        <v>-26184877.127009984</v>
      </c>
      <c r="P198" s="55">
        <f ca="1">IF(P2=1,Старт!K42/Параметры!P$64+P120,O198*(Параметры!O64/Параметры!P64)+P120)</f>
        <v>-22605483.703893647</v>
      </c>
      <c r="Q198" s="55">
        <f ca="1">IF(Q2=1,Старт!L42/Параметры!Q$64+Q120,P198*(Параметры!P64/Параметры!Q64)+Q120)</f>
        <v>-18988752.516473074</v>
      </c>
      <c r="R198" s="55">
        <f ca="1">IF(R2=1,Старт!M42/Параметры!R$64+R120,Q198*(Параметры!Q64/Параметры!R64)+R120)</f>
        <v>-15305673.218016047</v>
      </c>
      <c r="S198" s="55">
        <f ca="1">IF(S2=1,Старт!N42/Параметры!S$64+S120,R198*(Параметры!R64/Параметры!S64)+S120)</f>
        <v>-7975684.6344226319</v>
      </c>
      <c r="T198" s="55">
        <f ca="1">IF(T2=1,Старт!O42/Параметры!T$64+T120,S198*(Параметры!S64/Параметры!T64)+T120)</f>
        <v>-2403552.8648945801</v>
      </c>
      <c r="U198" s="55">
        <f ca="1">IF(U2=1,Старт!P42/Параметры!U$64+U120,T198*(Параметры!T64/Параметры!U64)+U120)</f>
        <v>1574115.0376256402</v>
      </c>
      <c r="V198" s="55">
        <f ca="1">IF(V2=1,Старт!Q42/Параметры!V$64+V120,U198*(Параметры!U64/Параметры!V64)+V120)</f>
        <v>5743318.1589559224</v>
      </c>
      <c r="W198" s="55">
        <f ca="1">IF(W2=1,Старт!R42/Параметры!W$64+W120,V198*(Параметры!V64/Параметры!W64)+W120)</f>
        <v>8264779.6597735509</v>
      </c>
      <c r="X198" s="55">
        <f ca="1">IF(X2=1,Старт!S42/Параметры!X$64+X120,W198*(Параметры!W64/Параметры!X64)+X120)</f>
        <v>16375367.568482667</v>
      </c>
      <c r="Y198" s="55">
        <f ca="1">IF(Y2=1,Старт!T42/Параметры!Y$64+Y120,X198*(Параметры!X64/Параметры!Y64)+Y120)</f>
        <v>28163791.423128814</v>
      </c>
      <c r="Z198" s="55">
        <f ca="1">IF(Z2=1,Старт!U42/Параметры!Z$64+Z120,Y198*(Параметры!Y64/Параметры!Z64)+Z120)</f>
        <v>40061532.984653726</v>
      </c>
      <c r="AA198" s="55">
        <f ca="1">IF(AA2=1,Старт!V42/Параметры!AA$64+AA120,Z198*(Параметры!Z64/Параметры!AA64)+AA120)</f>
        <v>46700956.42278593</v>
      </c>
      <c r="AB198" s="55">
        <f ca="1">IF(AB2=1,Старт!W42/Параметры!AB$64+AB120,AA198*(Параметры!AA64/Параметры!AB64)+AB120)</f>
        <v>50029205.069163054</v>
      </c>
      <c r="AC198" s="55">
        <f ca="1">IF(AC2=1,Старт!X42/Параметры!AC$64+AC120,AB198*(Параметры!AB64/Параметры!AC64)+AC120)</f>
        <v>53650045.744267777</v>
      </c>
      <c r="AD198" s="55">
        <f ca="1">IF(AD2=1,Старт!Y42/Параметры!AD$64+AD120,AC198*(Параметры!AC64/Параметры!AD64)+AD120)</f>
        <v>59246702.924711257</v>
      </c>
      <c r="AE198" s="55">
        <f ca="1">IF(AE2=1,Старт!Z42/Параметры!AE$64+AE120,AD198*(Параметры!AD64/Параметры!AE64)+AE120)</f>
        <v>68662174.137306273</v>
      </c>
      <c r="AF198" s="55">
        <f ca="1">IF(AF2=1,Старт!AA42/Параметры!AF$64+AF120,AE198*(Параметры!AE64/Параметры!AF64)+AF120)</f>
        <v>76324928.129397586</v>
      </c>
      <c r="AG198" s="55">
        <f ca="1">IF(AG2=1,Старт!AB42/Параметры!AG$64+AG120,AF198*(Параметры!AF64/Параметры!AG64)+AG120)</f>
        <v>82408817.801643908</v>
      </c>
      <c r="AH198" s="55">
        <f ca="1">IF(AH2=1,Старт!AC42/Параметры!AH$64+AH120,AG198*(Параметры!AG64/Параметры!AH64)+AH120)</f>
        <v>88749916.502863467</v>
      </c>
      <c r="AI198" s="55">
        <f ca="1">IF(AI2=1,Старт!AD42/Параметры!AI$64+AI120,AH198*(Параметры!AH64/Параметры!AI64)+AI120)</f>
        <v>93434587.142967194</v>
      </c>
      <c r="AJ198" s="55">
        <f ca="1">IF(AJ2=1,Старт!AE42/Параметры!AJ$64+AJ120,AI198*(Параметры!AI64/Параметры!AJ64)+AJ120)</f>
        <v>103989120.3199292</v>
      </c>
      <c r="AK198" s="55">
        <f ca="1">IF(AK2=1,Старт!AF42/Параметры!AK$64+AK120,AJ198*(Параметры!AJ64/Параметры!AK64)+AK120)</f>
        <v>118355874.47564597</v>
      </c>
      <c r="AL198" s="55">
        <f ca="1">IF(AL2=1,Старт!AG42/Параметры!AL$64+AL120,AK198*(Параметры!AK64/Параметры!AL64)+AL120)</f>
        <v>132824921.68551728</v>
      </c>
      <c r="AM198" s="55">
        <f ca="1">IF(AM2=1,Старт!AH42/Параметры!AM$64+AM120,AL198*(Параметры!AL64/Параметры!AM64)+AM120)</f>
        <v>141818862.50705805</v>
      </c>
      <c r="AN198" s="55">
        <f ca="1">IF(AN2=1,Старт!AI42/Параметры!AN$64+AN120,AM198*(Параметры!AM64/Параметры!AN64)+AN120)</f>
        <v>147366017.3886131</v>
      </c>
      <c r="AO198" s="55">
        <f ca="1">IF(AO2=1,Старт!AJ42/Параметры!AO$64+AO120,AN198*(Параметры!AN64/Параметры!AO64)+AO120)</f>
        <v>153211474.99034038</v>
      </c>
      <c r="AP198" s="55">
        <f ca="1">IF(AP2=1,Старт!AK42/Параметры!AP$64+AP120,AO198*(Параметры!AO64/Параметры!AP64)+AP120)</f>
        <v>161100885.15104902</v>
      </c>
      <c r="AQ198" s="55">
        <f ca="1">IF(AQ2=1,Старт!AL42/Параметры!AQ$64+AQ120,AP198*(Параметры!AP64/Параметры!AQ64)+AQ120)</f>
        <v>172948128.35950658</v>
      </c>
      <c r="AR198" s="55">
        <f ca="1">IF(AR2=1,Старт!AM42/Параметры!AR$64+AR120,AQ198*(Параметры!AQ64/Параметры!AR64)+AR120)</f>
        <v>182963758.50319982</v>
      </c>
      <c r="AS198" s="55">
        <f ca="1">IF(AS2=1,Старт!AN42/Параметры!AS$64+AS120,AR198*(Параметры!AR64/Параметры!AS64)+AS120)</f>
        <v>191332797.16177434</v>
      </c>
      <c r="AT198" s="55">
        <f ca="1">IF(AT2=1,Старт!AO42/Параметры!AT$64+AT120,AS198*(Параметры!AS64/Параметры!AT64)+AT120)</f>
        <v>199813195.13334858</v>
      </c>
      <c r="AU198" s="55">
        <f ca="1">IF(AU2=1,Старт!AP42/Параметры!AU$64+AU120,AT198*(Параметры!AT64/Параметры!AU64)+AU120)</f>
        <v>206399234.25790012</v>
      </c>
      <c r="AV198" s="55">
        <f ca="1">IF(AV2=1,Старт!AQ42/Параметры!AV$64+AV120,AU198*(Параметры!AU64/Параметры!AV64)+AV120)</f>
        <v>218906097.07344744</v>
      </c>
      <c r="AW198" s="55">
        <f ca="1">IF(AW2=1,Старт!AR42/Параметры!AW$64+AW120,AV198*(Параметры!AV64/Параметры!AW64)+AW120)</f>
        <v>235191533.49455085</v>
      </c>
      <c r="AX198" s="55">
        <f ca="1">IF(AX2=1,Старт!AS42/Параметры!AX$64+AX120,AW198*(Параметры!AW64/Параметры!AX64)+AX120)</f>
        <v>251404707.22406352</v>
      </c>
      <c r="AY198" s="55">
        <f ca="1">IF(AY2=1,Старт!AT42/Параметры!AY$64+AY120,AX198*(Параметры!AX64/Параметры!AY64)+AY120)</f>
        <v>261759748.99540168</v>
      </c>
      <c r="AZ198" s="55">
        <f ca="1">IF(AZ2=1,Старт!AU42/Параметры!AZ$64+AZ120,AY198*(Параметры!AY64/Параметры!AZ64)+AZ120)</f>
        <v>268366620.47729731</v>
      </c>
      <c r="BA198" s="55">
        <f ca="1">IF(BA2=1,Старт!AV42/Параметры!BA$64+BA120,AZ198*(Параметры!AZ64/Параметры!BA64)+BA120)</f>
        <v>275110953.32460731</v>
      </c>
      <c r="BB198" s="55">
        <f ca="1">IF(BB2=1,Старт!AW42/Параметры!BB$64+BB120,BA198*(Параметры!BA64/Параметры!BB64)+BB120)</f>
        <v>283799801.24211979</v>
      </c>
    </row>
    <row r="199" spans="1:56" x14ac:dyDescent="0.3">
      <c r="A199" s="35" t="str">
        <f ca="1">Language!A1300</f>
        <v>Прочий собственный капитал</v>
      </c>
      <c r="C199" s="48" t="str">
        <f ca="1">Параметры!$C$64</f>
        <v>руб.</v>
      </c>
      <c r="E199" s="6" t="s">
        <v>1521</v>
      </c>
      <c r="F199" s="6" t="s">
        <v>741</v>
      </c>
      <c r="G199" s="55">
        <f>IF(G2=1,(Старт!$B43+Проект!G992)/Параметры!G$64,Проект!G992/Параметры!G$64+F199*(Параметры!F64/Параметры!G64))</f>
        <v>0</v>
      </c>
      <c r="H199" s="55">
        <f>IF(H2=1,(Старт!$B43+Проект!H992)/Параметры!H$64,Проект!H992/Параметры!H$64+G199*(Параметры!G64/Параметры!H64))</f>
        <v>0</v>
      </c>
      <c r="I199" s="55">
        <f>IF(I2=1,(Старт!$B43+Проект!I992)/Параметры!I$64,Проект!I992/Параметры!I$64+H199*(Параметры!H64/Параметры!I64))</f>
        <v>0</v>
      </c>
      <c r="J199" s="55">
        <f>IF(J2=1,(Старт!$B43+Проект!J992)/Параметры!J$64,Проект!J992/Параметры!J$64+I199*(Параметры!I64/Параметры!J64))</f>
        <v>0</v>
      </c>
      <c r="K199" s="55">
        <f>IF(K2=1,(Старт!$B43+Проект!K992)/Параметры!K$64,Проект!K992/Параметры!K$64+J199*(Параметры!J64/Параметры!K64))</f>
        <v>0</v>
      </c>
      <c r="L199" s="55">
        <f>IF(L2=1,(Старт!$B43+Проект!L992)/Параметры!L$64,Проект!L992/Параметры!L$64+K199*(Параметры!K64/Параметры!L64))</f>
        <v>0</v>
      </c>
      <c r="M199" s="55">
        <f>IF(M2=1,(Старт!$B43+Проект!M992)/Параметры!M$64,Проект!M992/Параметры!M$64+L199*(Параметры!L64/Параметры!M64))</f>
        <v>0</v>
      </c>
      <c r="N199" s="55">
        <f>IF(N2=1,(Старт!$B43+Проект!N992)/Параметры!N$64,Проект!N992/Параметры!N$64+M199*(Параметры!M64/Параметры!N64))</f>
        <v>0</v>
      </c>
      <c r="O199" s="55">
        <f>IF(O2=1,(Старт!$B43+Проект!O992)/Параметры!O$64,Проект!O992/Параметры!O$64+N199*(Параметры!N64/Параметры!O64))</f>
        <v>0</v>
      </c>
      <c r="P199" s="55">
        <f>IF(P2=1,(Старт!$B43+Проект!P992)/Параметры!P$64,Проект!P992/Параметры!P$64+O199*(Параметры!O64/Параметры!P64))</f>
        <v>0</v>
      </c>
      <c r="Q199" s="55">
        <f>IF(Q2=1,(Старт!$B43+Проект!Q992)/Параметры!Q$64,Проект!Q992/Параметры!Q$64+P199*(Параметры!P64/Параметры!Q64))</f>
        <v>0</v>
      </c>
      <c r="R199" s="55">
        <f>IF(R2=1,(Старт!$B43+Проект!R992)/Параметры!R$64,Проект!R992/Параметры!R$64+Q199*(Параметры!Q64/Параметры!R64))</f>
        <v>0</v>
      </c>
      <c r="S199" s="55">
        <f>IF(S2=1,(Старт!$B43+Проект!S992)/Параметры!S$64,Проект!S992/Параметры!S$64+R199*(Параметры!R64/Параметры!S64))</f>
        <v>0</v>
      </c>
      <c r="T199" s="55">
        <f>IF(T2=1,(Старт!$B43+Проект!T992)/Параметры!T$64,Проект!T992/Параметры!T$64+S199*(Параметры!S64/Параметры!T64))</f>
        <v>0</v>
      </c>
      <c r="U199" s="55">
        <f>IF(U2=1,(Старт!$B43+Проект!U992)/Параметры!U$64,Проект!U992/Параметры!U$64+T199*(Параметры!T64/Параметры!U64))</f>
        <v>0</v>
      </c>
      <c r="V199" s="55">
        <f>IF(V2=1,(Старт!$B43+Проект!V992)/Параметры!V$64,Проект!V992/Параметры!V$64+U199*(Параметры!U64/Параметры!V64))</f>
        <v>0</v>
      </c>
      <c r="W199" s="55">
        <f>IF(W2=1,(Старт!$B43+Проект!W992)/Параметры!W$64,Проект!W992/Параметры!W$64+V199*(Параметры!V64/Параметры!W64))</f>
        <v>0</v>
      </c>
      <c r="X199" s="55">
        <f>IF(X2=1,(Старт!$B43+Проект!X992)/Параметры!X$64,Проект!X992/Параметры!X$64+W199*(Параметры!W64/Параметры!X64))</f>
        <v>0</v>
      </c>
      <c r="Y199" s="55">
        <f>IF(Y2=1,(Старт!$B43+Проект!Y992)/Параметры!Y$64,Проект!Y992/Параметры!Y$64+X199*(Параметры!X64/Параметры!Y64))</f>
        <v>0</v>
      </c>
      <c r="Z199" s="55">
        <f>IF(Z2=1,(Старт!$B43+Проект!Z992)/Параметры!Z$64,Проект!Z992/Параметры!Z$64+Y199*(Параметры!Y64/Параметры!Z64))</f>
        <v>0</v>
      </c>
      <c r="AA199" s="55">
        <f>IF(AA2=1,(Старт!$B43+Проект!AA992)/Параметры!AA$64,Проект!AA992/Параметры!AA$64+Z199*(Параметры!Z64/Параметры!AA64))</f>
        <v>0</v>
      </c>
      <c r="AB199" s="55">
        <f>IF(AB2=1,(Старт!$B43+Проект!AB992)/Параметры!AB$64,Проект!AB992/Параметры!AB$64+AA199*(Параметры!AA64/Параметры!AB64))</f>
        <v>0</v>
      </c>
      <c r="AC199" s="55">
        <f>IF(AC2=1,(Старт!$B43+Проект!AC992)/Параметры!AC$64,Проект!AC992/Параметры!AC$64+AB199*(Параметры!AB64/Параметры!AC64))</f>
        <v>0</v>
      </c>
      <c r="AD199" s="55">
        <f>IF(AD2=1,(Старт!$B43+Проект!AD992)/Параметры!AD$64,Проект!AD992/Параметры!AD$64+AC199*(Параметры!AC64/Параметры!AD64))</f>
        <v>0</v>
      </c>
      <c r="AE199" s="55">
        <f>IF(AE2=1,(Старт!$B43+Проект!AE992)/Параметры!AE$64,Проект!AE992/Параметры!AE$64+AD199*(Параметры!AD64/Параметры!AE64))</f>
        <v>0</v>
      </c>
      <c r="AF199" s="55">
        <f>IF(AF2=1,(Старт!$B43+Проект!AF992)/Параметры!AF$64,Проект!AF992/Параметры!AF$64+AE199*(Параметры!AE64/Параметры!AF64))</f>
        <v>0</v>
      </c>
      <c r="AG199" s="55">
        <f>IF(AG2=1,(Старт!$B43+Проект!AG992)/Параметры!AG$64,Проект!AG992/Параметры!AG$64+AF199*(Параметры!AF64/Параметры!AG64))</f>
        <v>0</v>
      </c>
      <c r="AH199" s="55">
        <f>IF(AH2=1,(Старт!$B43+Проект!AH992)/Параметры!AH$64,Проект!AH992/Параметры!AH$64+AG199*(Параметры!AG64/Параметры!AH64))</f>
        <v>0</v>
      </c>
      <c r="AI199" s="55">
        <f>IF(AI2=1,(Старт!$B43+Проект!AI992)/Параметры!AI$64,Проект!AI992/Параметры!AI$64+AH199*(Параметры!AH64/Параметры!AI64))</f>
        <v>0</v>
      </c>
      <c r="AJ199" s="55">
        <f>IF(AJ2=1,(Старт!$B43+Проект!AJ992)/Параметры!AJ$64,Проект!AJ992/Параметры!AJ$64+AI199*(Параметры!AI64/Параметры!AJ64))</f>
        <v>0</v>
      </c>
      <c r="AK199" s="55">
        <f>IF(AK2=1,(Старт!$B43+Проект!AK992)/Параметры!AK$64,Проект!AK992/Параметры!AK$64+AJ199*(Параметры!AJ64/Параметры!AK64))</f>
        <v>0</v>
      </c>
      <c r="AL199" s="55">
        <f>IF(AL2=1,(Старт!$B43+Проект!AL992)/Параметры!AL$64,Проект!AL992/Параметры!AL$64+AK199*(Параметры!AK64/Параметры!AL64))</f>
        <v>0</v>
      </c>
      <c r="AM199" s="55">
        <f>IF(AM2=1,(Старт!$B43+Проект!AM992)/Параметры!AM$64,Проект!AM992/Параметры!AM$64+AL199*(Параметры!AL64/Параметры!AM64))</f>
        <v>0</v>
      </c>
      <c r="AN199" s="55">
        <f>IF(AN2=1,(Старт!$B43+Проект!AN992)/Параметры!AN$64,Проект!AN992/Параметры!AN$64+AM199*(Параметры!AM64/Параметры!AN64))</f>
        <v>0</v>
      </c>
      <c r="AO199" s="55">
        <f>IF(AO2=1,(Старт!$B43+Проект!AO992)/Параметры!AO$64,Проект!AO992/Параметры!AO$64+AN199*(Параметры!AN64/Параметры!AO64))</f>
        <v>0</v>
      </c>
      <c r="AP199" s="55">
        <f>IF(AP2=1,(Старт!$B43+Проект!AP992)/Параметры!AP$64,Проект!AP992/Параметры!AP$64+AO199*(Параметры!AO64/Параметры!AP64))</f>
        <v>0</v>
      </c>
      <c r="AQ199" s="55">
        <f>IF(AQ2=1,(Старт!$B43+Проект!AQ992)/Параметры!AQ$64,Проект!AQ992/Параметры!AQ$64+AP199*(Параметры!AP64/Параметры!AQ64))</f>
        <v>0</v>
      </c>
      <c r="AR199" s="55">
        <f>IF(AR2=1,(Старт!$B43+Проект!AR992)/Параметры!AR$64,Проект!AR992/Параметры!AR$64+AQ199*(Параметры!AQ64/Параметры!AR64))</f>
        <v>0</v>
      </c>
      <c r="AS199" s="55">
        <f>IF(AS2=1,(Старт!$B43+Проект!AS992)/Параметры!AS$64,Проект!AS992/Параметры!AS$64+AR199*(Параметры!AR64/Параметры!AS64))</f>
        <v>0</v>
      </c>
      <c r="AT199" s="55">
        <f>IF(AT2=1,(Старт!$B43+Проект!AT992)/Параметры!AT$64,Проект!AT992/Параметры!AT$64+AS199*(Параметры!AS64/Параметры!AT64))</f>
        <v>0</v>
      </c>
      <c r="AU199" s="55">
        <f>IF(AU2=1,(Старт!$B43+Проект!AU992)/Параметры!AU$64,Проект!AU992/Параметры!AU$64+AT199*(Параметры!AT64/Параметры!AU64))</f>
        <v>0</v>
      </c>
      <c r="AV199" s="55">
        <f>IF(AV2=1,(Старт!$B43+Проект!AV992)/Параметры!AV$64,Проект!AV992/Параметры!AV$64+AU199*(Параметры!AU64/Параметры!AV64))</f>
        <v>0</v>
      </c>
      <c r="AW199" s="55">
        <f>IF(AW2=1,(Старт!$B43+Проект!AW992)/Параметры!AW$64,Проект!AW992/Параметры!AW$64+AV199*(Параметры!AV64/Параметры!AW64))</f>
        <v>0</v>
      </c>
      <c r="AX199" s="55">
        <f>IF(AX2=1,(Старт!$B43+Проект!AX992)/Параметры!AX$64,Проект!AX992/Параметры!AX$64+AW199*(Параметры!AW64/Параметры!AX64))</f>
        <v>0</v>
      </c>
      <c r="AY199" s="55">
        <f>IF(AY2=1,(Старт!$B43+Проект!AY992)/Параметры!AY$64,Проект!AY992/Параметры!AY$64+AX199*(Параметры!AX64/Параметры!AY64))</f>
        <v>0</v>
      </c>
      <c r="AZ199" s="55">
        <f>IF(AZ2=1,(Старт!$B43+Проект!AZ992)/Параметры!AZ$64,Проект!AZ992/Параметры!AZ$64+AY199*(Параметры!AY64/Параметры!AZ64))</f>
        <v>0</v>
      </c>
      <c r="BA199" s="55">
        <f>IF(BA2=1,(Старт!$B43+Проект!BA992)/Параметры!BA$64,Проект!BA992/Параметры!BA$64+AZ199*(Параметры!AZ64/Параметры!BA64))</f>
        <v>0</v>
      </c>
      <c r="BB199" s="55">
        <f>IF(BB2=1,(Старт!$B43+Проект!BB992)/Параметры!BB$64,Проект!BB992/Параметры!BB$64+BA199*(Параметры!BA64/Параметры!BB64))</f>
        <v>0</v>
      </c>
    </row>
    <row r="200" spans="1:56" x14ac:dyDescent="0.3">
      <c r="A200" s="43" t="str">
        <f ca="1">Language!A1301</f>
        <v>Суммарный собственный капитал</v>
      </c>
      <c r="B200" s="80"/>
      <c r="C200" s="45" t="str">
        <f ca="1">Параметры!$C$64</f>
        <v>руб.</v>
      </c>
      <c r="D200" s="46"/>
      <c r="E200" s="46" t="s">
        <v>1522</v>
      </c>
      <c r="F200" s="46" t="s">
        <v>741</v>
      </c>
      <c r="G200" s="81">
        <f ca="1">SUM(G197:G199)</f>
        <v>-4413541.6875</v>
      </c>
      <c r="H200" s="81">
        <f t="shared" ref="H200:L200" ca="1" si="530">SUM(H197:H199)</f>
        <v>-8827083.375</v>
      </c>
      <c r="I200" s="81">
        <f t="shared" ca="1" si="530"/>
        <v>-13240625.0625</v>
      </c>
      <c r="J200" s="81">
        <f t="shared" ca="1" si="530"/>
        <v>-17654166.75</v>
      </c>
      <c r="K200" s="81">
        <f t="shared" ca="1" si="530"/>
        <v>-22067708.4375</v>
      </c>
      <c r="L200" s="81">
        <f t="shared" ca="1" si="530"/>
        <v>-26481250.125</v>
      </c>
      <c r="M200" s="81">
        <f t="shared" ref="M200:N200" ca="1" si="531">SUM(M197:M199)</f>
        <v>-28056650.697288286</v>
      </c>
      <c r="N200" s="81">
        <f t="shared" ca="1" si="531"/>
        <v>-28001665.54217694</v>
      </c>
      <c r="O200" s="81">
        <f t="shared" ref="O200:P200" ca="1" si="532">SUM(O197:O199)</f>
        <v>-26184877.127009984</v>
      </c>
      <c r="P200" s="81">
        <f t="shared" ca="1" si="532"/>
        <v>-22605483.703893647</v>
      </c>
      <c r="Q200" s="81">
        <f t="shared" ref="Q200:R200" ca="1" si="533">SUM(Q197:Q199)</f>
        <v>-18988752.516473074</v>
      </c>
      <c r="R200" s="81">
        <f t="shared" ca="1" si="533"/>
        <v>-15305673.218016047</v>
      </c>
      <c r="S200" s="81">
        <f t="shared" ref="S200:T200" ca="1" si="534">SUM(S197:S199)</f>
        <v>-7975684.6344226319</v>
      </c>
      <c r="T200" s="81">
        <f t="shared" ca="1" si="534"/>
        <v>-2403552.8648945801</v>
      </c>
      <c r="U200" s="81">
        <f t="shared" ref="U200:V200" ca="1" si="535">SUM(U197:U199)</f>
        <v>1574115.0376256402</v>
      </c>
      <c r="V200" s="81">
        <f t="shared" ca="1" si="535"/>
        <v>5743318.1589559224</v>
      </c>
      <c r="W200" s="81">
        <f t="shared" ref="W200:X200" ca="1" si="536">SUM(W197:W199)</f>
        <v>8264779.6597735509</v>
      </c>
      <c r="X200" s="81">
        <f t="shared" ca="1" si="536"/>
        <v>16375367.568482667</v>
      </c>
      <c r="Y200" s="81">
        <f t="shared" ref="Y200:Z200" ca="1" si="537">SUM(Y197:Y199)</f>
        <v>28163791.423128814</v>
      </c>
      <c r="Z200" s="81">
        <f t="shared" ca="1" si="537"/>
        <v>40061532.984653726</v>
      </c>
      <c r="AA200" s="81">
        <f t="shared" ref="AA200:AB200" ca="1" si="538">SUM(AA197:AA199)</f>
        <v>46700956.42278593</v>
      </c>
      <c r="AB200" s="81">
        <f t="shared" ca="1" si="538"/>
        <v>50029205.069163054</v>
      </c>
      <c r="AC200" s="81">
        <f t="shared" ref="AC200:AD200" ca="1" si="539">SUM(AC197:AC199)</f>
        <v>53650045.744267777</v>
      </c>
      <c r="AD200" s="81">
        <f t="shared" ca="1" si="539"/>
        <v>59246702.924711257</v>
      </c>
      <c r="AE200" s="81">
        <f t="shared" ref="AE200:AF200" ca="1" si="540">SUM(AE197:AE199)</f>
        <v>68662174.137306273</v>
      </c>
      <c r="AF200" s="81">
        <f t="shared" ca="1" si="540"/>
        <v>76324928.129397586</v>
      </c>
      <c r="AG200" s="81">
        <f t="shared" ref="AG200:AH200" ca="1" si="541">SUM(AG197:AG199)</f>
        <v>82408817.801643908</v>
      </c>
      <c r="AH200" s="81">
        <f t="shared" ca="1" si="541"/>
        <v>88749916.502863467</v>
      </c>
      <c r="AI200" s="81">
        <f t="shared" ref="AI200:AJ200" ca="1" si="542">SUM(AI197:AI199)</f>
        <v>93434587.142967194</v>
      </c>
      <c r="AJ200" s="81">
        <f t="shared" ca="1" si="542"/>
        <v>103989120.3199292</v>
      </c>
      <c r="AK200" s="81">
        <f t="shared" ref="AK200:AL200" ca="1" si="543">SUM(AK197:AK199)</f>
        <v>118355874.47564597</v>
      </c>
      <c r="AL200" s="81">
        <f t="shared" ca="1" si="543"/>
        <v>132824921.68551728</v>
      </c>
      <c r="AM200" s="81">
        <f t="shared" ref="AM200:AN200" ca="1" si="544">SUM(AM197:AM199)</f>
        <v>141818862.50705805</v>
      </c>
      <c r="AN200" s="81">
        <f t="shared" ca="1" si="544"/>
        <v>147366017.3886131</v>
      </c>
      <c r="AO200" s="81">
        <f t="shared" ref="AO200:AP200" ca="1" si="545">SUM(AO197:AO199)</f>
        <v>153211474.99034038</v>
      </c>
      <c r="AP200" s="81">
        <f t="shared" ca="1" si="545"/>
        <v>161100885.15104902</v>
      </c>
      <c r="AQ200" s="81">
        <f t="shared" ref="AQ200:AR200" ca="1" si="546">SUM(AQ197:AQ199)</f>
        <v>172948128.35950658</v>
      </c>
      <c r="AR200" s="81">
        <f t="shared" ca="1" si="546"/>
        <v>182963758.50319982</v>
      </c>
      <c r="AS200" s="81">
        <f t="shared" ref="AS200:AT200" ca="1" si="547">SUM(AS197:AS199)</f>
        <v>191332797.16177434</v>
      </c>
      <c r="AT200" s="81">
        <f t="shared" ca="1" si="547"/>
        <v>199813195.13334858</v>
      </c>
      <c r="AU200" s="81">
        <f t="shared" ref="AU200:AV200" ca="1" si="548">SUM(AU197:AU199)</f>
        <v>206399234.25790012</v>
      </c>
      <c r="AV200" s="81">
        <f t="shared" ca="1" si="548"/>
        <v>218906097.07344744</v>
      </c>
      <c r="AW200" s="81">
        <f t="shared" ref="AW200:AX200" ca="1" si="549">SUM(AW197:AW199)</f>
        <v>235191533.49455085</v>
      </c>
      <c r="AX200" s="81">
        <f t="shared" ca="1" si="549"/>
        <v>251404707.22406352</v>
      </c>
      <c r="AY200" s="81">
        <f t="shared" ref="AY200:AZ200" ca="1" si="550">SUM(AY197:AY199)</f>
        <v>261759748.99540168</v>
      </c>
      <c r="AZ200" s="81">
        <f t="shared" ca="1" si="550"/>
        <v>268366620.47729731</v>
      </c>
      <c r="BA200" s="81">
        <f t="shared" ref="BA200:BB200" ca="1" si="551">SUM(BA197:BA199)</f>
        <v>275110953.32460731</v>
      </c>
      <c r="BB200" s="81">
        <f t="shared" ca="1" si="551"/>
        <v>283799801.24211979</v>
      </c>
    </row>
    <row r="201" spans="1:56" x14ac:dyDescent="0.3">
      <c r="A201" s="10"/>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5"/>
      <c r="AU201" s="55"/>
      <c r="AV201" s="55"/>
      <c r="AW201" s="55"/>
      <c r="AX201" s="55"/>
      <c r="AY201" s="55"/>
      <c r="AZ201" s="55"/>
      <c r="BA201" s="55"/>
      <c r="BB201" s="55"/>
    </row>
    <row r="202" spans="1:56" x14ac:dyDescent="0.3">
      <c r="A202" s="49" t="str">
        <f ca="1">Language!A1302</f>
        <v>ИТОГО ПАССИВОВ</v>
      </c>
      <c r="B202" s="83"/>
      <c r="C202" s="51" t="str">
        <f ca="1">Параметры!$C$64</f>
        <v>руб.</v>
      </c>
      <c r="D202" s="14"/>
      <c r="E202" s="14" t="s">
        <v>707</v>
      </c>
      <c r="F202" s="46" t="s">
        <v>741</v>
      </c>
      <c r="G202" s="84">
        <f ca="1">SUM(G200,G190,G195)</f>
        <v>211850001</v>
      </c>
      <c r="H202" s="84">
        <f t="shared" ref="H202:L202" ca="1" si="552">SUM(H200,H190,H195)</f>
        <v>211850001</v>
      </c>
      <c r="I202" s="84">
        <f t="shared" ca="1" si="552"/>
        <v>211850001</v>
      </c>
      <c r="J202" s="84">
        <f t="shared" ca="1" si="552"/>
        <v>211850001</v>
      </c>
      <c r="K202" s="84">
        <f t="shared" ca="1" si="552"/>
        <v>211850001</v>
      </c>
      <c r="L202" s="84">
        <f t="shared" ca="1" si="552"/>
        <v>211850001</v>
      </c>
      <c r="M202" s="84">
        <f t="shared" ref="M202:N202" ca="1" si="553">SUM(M200,M190,M195)</f>
        <v>225996861.43457997</v>
      </c>
      <c r="N202" s="84">
        <f t="shared" ca="1" si="553"/>
        <v>218625067.92411783</v>
      </c>
      <c r="O202" s="84">
        <f t="shared" ref="O202:P202" ca="1" si="554">SUM(O200,O190,O195)</f>
        <v>217838161.15508056</v>
      </c>
      <c r="P202" s="84">
        <f t="shared" ca="1" si="554"/>
        <v>218822874.74258485</v>
      </c>
      <c r="Q202" s="84">
        <f t="shared" ref="Q202:R202" ca="1" si="555">SUM(Q200,Q190,Q195)</f>
        <v>219373877.86598024</v>
      </c>
      <c r="R202" s="84">
        <f t="shared" ca="1" si="555"/>
        <v>219092276.22001714</v>
      </c>
      <c r="S202" s="84">
        <f t="shared" ref="S202:T202" ca="1" si="556">SUM(S200,S190,S195)</f>
        <v>223397538.63275567</v>
      </c>
      <c r="T202" s="84">
        <f t="shared" ca="1" si="556"/>
        <v>224337503.15030521</v>
      </c>
      <c r="U202" s="84">
        <f t="shared" ref="U202:V202" ca="1" si="557">SUM(U200,U190,U195)</f>
        <v>223938669.45718008</v>
      </c>
      <c r="V202" s="84">
        <f t="shared" ca="1" si="557"/>
        <v>223217364.26692188</v>
      </c>
      <c r="W202" s="84">
        <f t="shared" ref="W202:X202" ca="1" si="558">SUM(W200,W190,W195)</f>
        <v>220263781.52772835</v>
      </c>
      <c r="X202" s="84">
        <f t="shared" ca="1" si="558"/>
        <v>224967646.93601847</v>
      </c>
      <c r="Y202" s="84">
        <f t="shared" ref="Y202:Z202" ca="1" si="559">SUM(Y200,Y190,Y195)</f>
        <v>229493887.81253225</v>
      </c>
      <c r="Z202" s="84">
        <f t="shared" ca="1" si="559"/>
        <v>233236180.20303056</v>
      </c>
      <c r="AA202" s="84">
        <f t="shared" ref="AA202:AB202" ca="1" si="560">SUM(AA200,AA190,AA195)</f>
        <v>230396313.07220533</v>
      </c>
      <c r="AB202" s="84">
        <f t="shared" ca="1" si="560"/>
        <v>225025846.45055845</v>
      </c>
      <c r="AC202" s="84">
        <f t="shared" ref="AC202:AD202" ca="1" si="561">SUM(AC200,AC190,AC195)</f>
        <v>220861913.16941127</v>
      </c>
      <c r="AD202" s="84">
        <f t="shared" ca="1" si="561"/>
        <v>219012491.59023371</v>
      </c>
      <c r="AE202" s="84">
        <f t="shared" ref="AE202:AF202" ca="1" si="562">SUM(AE200,AE190,AE195)</f>
        <v>221397558.36964417</v>
      </c>
      <c r="AF202" s="84">
        <f t="shared" ca="1" si="562"/>
        <v>220362193.33006123</v>
      </c>
      <c r="AG202" s="84">
        <f t="shared" ref="AG202:AH202" ca="1" si="563">SUM(AG200,AG190,AG195)</f>
        <v>218035903.89951056</v>
      </c>
      <c r="AH202" s="84">
        <f t="shared" ca="1" si="563"/>
        <v>216499586.94957066</v>
      </c>
      <c r="AI202" s="84">
        <f t="shared" ref="AI202:AJ202" ca="1" si="564">SUM(AI200,AI190,AI195)</f>
        <v>212663401.94978788</v>
      </c>
      <c r="AJ202" s="84">
        <f t="shared" ca="1" si="564"/>
        <v>216967894.68016368</v>
      </c>
      <c r="AK202" s="84">
        <f t="shared" ref="AK202:AL202" ca="1" si="565">SUM(AK200,AK190,AK195)</f>
        <v>224136400.53177828</v>
      </c>
      <c r="AL202" s="84">
        <f t="shared" ca="1" si="565"/>
        <v>230429749.2906068</v>
      </c>
      <c r="AM202" s="84">
        <f t="shared" ref="AM202:AN202" ca="1" si="566">SUM(AM200,AM190,AM195)</f>
        <v>229800689.41196367</v>
      </c>
      <c r="AN202" s="84">
        <f t="shared" ca="1" si="566"/>
        <v>226588794.91018692</v>
      </c>
      <c r="AO202" s="84">
        <f t="shared" ref="AO202:AP202" ca="1" si="567">SUM(AO200,AO190,AO195)</f>
        <v>224675491.08997244</v>
      </c>
      <c r="AP202" s="84">
        <f t="shared" ca="1" si="567"/>
        <v>225171956.76210847</v>
      </c>
      <c r="AQ202" s="84">
        <f t="shared" ref="AQ202:AR202" ca="1" si="568">SUM(AQ200,AQ190,AQ195)</f>
        <v>230080290.69510996</v>
      </c>
      <c r="AR202" s="84">
        <f t="shared" ca="1" si="568"/>
        <v>231324429.43302175</v>
      </c>
      <c r="AS202" s="84">
        <f t="shared" ref="AS202:AT202" ca="1" si="569">SUM(AS200,AS190,AS195)</f>
        <v>231246220.42716792</v>
      </c>
      <c r="AT202" s="84">
        <f t="shared" ca="1" si="569"/>
        <v>231863887.23010528</v>
      </c>
      <c r="AU202" s="84">
        <f t="shared" ref="AU202:AV202" ca="1" si="570">SUM(AU200,AU190,AU195)</f>
        <v>229878371.26996174</v>
      </c>
      <c r="AV202" s="84">
        <f t="shared" ca="1" si="570"/>
        <v>236308826.77190247</v>
      </c>
      <c r="AW202" s="84">
        <f t="shared" ref="AW202:AX202" ca="1" si="571">SUM(AW200,AW190,AW195)</f>
        <v>245466216.31805167</v>
      </c>
      <c r="AX202" s="84">
        <f t="shared" ca="1" si="571"/>
        <v>257405876.35974669</v>
      </c>
      <c r="AY202" s="84">
        <f t="shared" ref="AY202:AZ202" ca="1" si="572">SUM(AY200,AY190,AY195)</f>
        <v>265978792.53844067</v>
      </c>
      <c r="AZ202" s="84">
        <f t="shared" ca="1" si="572"/>
        <v>271760384.85055381</v>
      </c>
      <c r="BA202" s="84">
        <f t="shared" ref="BA202:BB202" ca="1" si="573">SUM(BA200,BA190,BA195)</f>
        <v>278775148.59519118</v>
      </c>
      <c r="BB202" s="84">
        <f t="shared" ca="1" si="573"/>
        <v>288129833.86742532</v>
      </c>
    </row>
    <row r="203" spans="1:56" x14ac:dyDescent="0.3">
      <c r="A203" s="52" t="str">
        <f ca="1">Language!A1303</f>
        <v>Контроль сходимости баланса</v>
      </c>
      <c r="B203" s="53"/>
      <c r="C203" s="54" t="str">
        <f ca="1">IF(OR(MAX(G203:BD203)&lt;&gt;0,MIN(G203:BD203)&lt;&gt;0),"Не сходится","ОК")</f>
        <v>ОК</v>
      </c>
      <c r="G203" s="256">
        <f ca="1">ROUND(G181-G202,2)</f>
        <v>0</v>
      </c>
      <c r="H203" s="256">
        <f t="shared" ref="H203:M203" ca="1" si="574">ROUND(H181-H202,2)</f>
        <v>0</v>
      </c>
      <c r="I203" s="256">
        <f t="shared" ca="1" si="574"/>
        <v>0</v>
      </c>
      <c r="J203" s="256">
        <f t="shared" ca="1" si="574"/>
        <v>0</v>
      </c>
      <c r="K203" s="256">
        <f t="shared" ca="1" si="574"/>
        <v>0</v>
      </c>
      <c r="L203" s="256">
        <f t="shared" ca="1" si="574"/>
        <v>0</v>
      </c>
      <c r="M203" s="256">
        <f t="shared" ca="1" si="574"/>
        <v>0</v>
      </c>
      <c r="N203" s="256">
        <f t="shared" ref="N203:O203" ca="1" si="575">ROUND(N181-N202,2)</f>
        <v>0</v>
      </c>
      <c r="O203" s="256">
        <f t="shared" ca="1" si="575"/>
        <v>0</v>
      </c>
      <c r="P203" s="256">
        <f t="shared" ref="P203:Q203" ca="1" si="576">ROUND(P181-P202,2)</f>
        <v>0</v>
      </c>
      <c r="Q203" s="256">
        <f t="shared" ca="1" si="576"/>
        <v>0</v>
      </c>
      <c r="R203" s="256">
        <f t="shared" ref="R203:S203" ca="1" si="577">ROUND(R181-R202,2)</f>
        <v>0</v>
      </c>
      <c r="S203" s="256">
        <f t="shared" ca="1" si="577"/>
        <v>0</v>
      </c>
      <c r="T203" s="256">
        <f t="shared" ref="T203:U203" ca="1" si="578">ROUND(T181-T202,2)</f>
        <v>0</v>
      </c>
      <c r="U203" s="256">
        <f t="shared" ca="1" si="578"/>
        <v>0</v>
      </c>
      <c r="V203" s="256">
        <f t="shared" ref="V203:W203" ca="1" si="579">ROUND(V181-V202,2)</f>
        <v>0</v>
      </c>
      <c r="W203" s="256">
        <f t="shared" ca="1" si="579"/>
        <v>0</v>
      </c>
      <c r="X203" s="256">
        <f t="shared" ref="X203:Y203" ca="1" si="580">ROUND(X181-X202,2)</f>
        <v>0</v>
      </c>
      <c r="Y203" s="256">
        <f t="shared" ca="1" si="580"/>
        <v>0</v>
      </c>
      <c r="Z203" s="256">
        <f t="shared" ref="Z203:AA203" ca="1" si="581">ROUND(Z181-Z202,2)</f>
        <v>0</v>
      </c>
      <c r="AA203" s="256">
        <f t="shared" ca="1" si="581"/>
        <v>0</v>
      </c>
      <c r="AB203" s="256">
        <f t="shared" ref="AB203:AC203" ca="1" si="582">ROUND(AB181-AB202,2)</f>
        <v>0</v>
      </c>
      <c r="AC203" s="256">
        <f t="shared" ca="1" si="582"/>
        <v>0</v>
      </c>
      <c r="AD203" s="256">
        <f t="shared" ref="AD203:AE203" ca="1" si="583">ROUND(AD181-AD202,2)</f>
        <v>0</v>
      </c>
      <c r="AE203" s="256">
        <f t="shared" ca="1" si="583"/>
        <v>0</v>
      </c>
      <c r="AF203" s="256">
        <f t="shared" ref="AF203:AG203" ca="1" si="584">ROUND(AF181-AF202,2)</f>
        <v>0</v>
      </c>
      <c r="AG203" s="256">
        <f t="shared" ca="1" si="584"/>
        <v>0</v>
      </c>
      <c r="AH203" s="256">
        <f t="shared" ref="AH203:AI203" ca="1" si="585">ROUND(AH181-AH202,2)</f>
        <v>0</v>
      </c>
      <c r="AI203" s="256">
        <f t="shared" ca="1" si="585"/>
        <v>0</v>
      </c>
      <c r="AJ203" s="256">
        <f t="shared" ref="AJ203:AK203" ca="1" si="586">ROUND(AJ181-AJ202,2)</f>
        <v>0</v>
      </c>
      <c r="AK203" s="256">
        <f t="shared" ca="1" si="586"/>
        <v>0</v>
      </c>
      <c r="AL203" s="256">
        <f t="shared" ref="AL203:AM203" ca="1" si="587">ROUND(AL181-AL202,2)</f>
        <v>0</v>
      </c>
      <c r="AM203" s="256">
        <f t="shared" ca="1" si="587"/>
        <v>0</v>
      </c>
      <c r="AN203" s="256">
        <f t="shared" ref="AN203:AO203" ca="1" si="588">ROUND(AN181-AN202,2)</f>
        <v>0</v>
      </c>
      <c r="AO203" s="256">
        <f t="shared" ca="1" si="588"/>
        <v>0</v>
      </c>
      <c r="AP203" s="256">
        <f t="shared" ref="AP203:AQ203" ca="1" si="589">ROUND(AP181-AP202,2)</f>
        <v>0</v>
      </c>
      <c r="AQ203" s="256">
        <f t="shared" ca="1" si="589"/>
        <v>0</v>
      </c>
      <c r="AR203" s="256">
        <f t="shared" ref="AR203:AS203" ca="1" si="590">ROUND(AR181-AR202,2)</f>
        <v>0</v>
      </c>
      <c r="AS203" s="256">
        <f t="shared" ca="1" si="590"/>
        <v>0</v>
      </c>
      <c r="AT203" s="256">
        <f t="shared" ref="AT203:AU203" ca="1" si="591">ROUND(AT181-AT202,2)</f>
        <v>0</v>
      </c>
      <c r="AU203" s="256">
        <f t="shared" ca="1" si="591"/>
        <v>0</v>
      </c>
      <c r="AV203" s="256">
        <f t="shared" ref="AV203:AW203" ca="1" si="592">ROUND(AV181-AV202,2)</f>
        <v>0</v>
      </c>
      <c r="AW203" s="256">
        <f t="shared" ca="1" si="592"/>
        <v>0</v>
      </c>
      <c r="AX203" s="256">
        <f t="shared" ref="AX203:AY203" ca="1" si="593">ROUND(AX181-AX202,2)</f>
        <v>0</v>
      </c>
      <c r="AY203" s="256">
        <f t="shared" ca="1" si="593"/>
        <v>0</v>
      </c>
      <c r="AZ203" s="256">
        <f t="shared" ref="AZ203:BA203" ca="1" si="594">ROUND(AZ181-AZ202,2)</f>
        <v>0</v>
      </c>
      <c r="BA203" s="256">
        <f t="shared" ca="1" si="594"/>
        <v>0</v>
      </c>
      <c r="BB203" s="256">
        <f t="shared" ref="BB203" ca="1" si="595">ROUND(BB181-BB202,2)</f>
        <v>0</v>
      </c>
    </row>
    <row r="204" spans="1:56" x14ac:dyDescent="0.3">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5"/>
      <c r="AU204" s="55"/>
      <c r="AV204" s="55"/>
      <c r="AW204" s="55"/>
      <c r="AX204" s="55"/>
      <c r="AY204" s="55"/>
      <c r="AZ204" s="55"/>
      <c r="BA204" s="55"/>
      <c r="BB204" s="55"/>
    </row>
    <row r="205" spans="1:56" s="9" customFormat="1" ht="25.5" customHeight="1" thickBot="1" x14ac:dyDescent="0.35">
      <c r="A205" s="323" t="str">
        <f ca="1">Language!A1304</f>
        <v>ПОКАЗАТЕЛИ ДОЛГА</v>
      </c>
      <c r="B205" s="337"/>
      <c r="C205" s="338"/>
      <c r="D205" s="326"/>
      <c r="E205" s="326" t="s">
        <v>897</v>
      </c>
      <c r="F205" s="326"/>
      <c r="G205" s="327" t="str">
        <f ca="1">Параметры!G$34</f>
        <v>янв.25</v>
      </c>
      <c r="H205" s="327" t="str">
        <f ca="1">Параметры!H$34</f>
        <v>фев.25</v>
      </c>
      <c r="I205" s="327" t="str">
        <f ca="1">Параметры!I$34</f>
        <v>мар.25</v>
      </c>
      <c r="J205" s="327" t="str">
        <f ca="1">Параметры!J$34</f>
        <v>апр.25</v>
      </c>
      <c r="K205" s="327" t="str">
        <f ca="1">Параметры!K$34</f>
        <v>май.25</v>
      </c>
      <c r="L205" s="327" t="str">
        <f ca="1">Параметры!L$34</f>
        <v>июн.25</v>
      </c>
      <c r="M205" s="328" t="str">
        <f ca="1">Параметры!M$34</f>
        <v>июл.25</v>
      </c>
      <c r="N205" s="328" t="str">
        <f ca="1">Параметры!N$34</f>
        <v>авг.25</v>
      </c>
      <c r="O205" s="328" t="str">
        <f ca="1">Параметры!O$34</f>
        <v>сен.25</v>
      </c>
      <c r="P205" s="328" t="str">
        <f ca="1">Параметры!P$34</f>
        <v>окт.25</v>
      </c>
      <c r="Q205" s="328" t="str">
        <f ca="1">Параметры!Q$34</f>
        <v>ноя.25</v>
      </c>
      <c r="R205" s="328" t="str">
        <f ca="1">Параметры!R$34</f>
        <v>дек.25</v>
      </c>
      <c r="S205" s="328" t="str">
        <f ca="1">Параметры!S$34</f>
        <v>янв.26</v>
      </c>
      <c r="T205" s="328" t="str">
        <f ca="1">Параметры!T$34</f>
        <v>фев.26</v>
      </c>
      <c r="U205" s="328" t="str">
        <f ca="1">Параметры!U$34</f>
        <v>мар.26</v>
      </c>
      <c r="V205" s="328" t="str">
        <f ca="1">Параметры!V$34</f>
        <v>апр.26</v>
      </c>
      <c r="W205" s="328" t="str">
        <f ca="1">Параметры!W$34</f>
        <v>май.26</v>
      </c>
      <c r="X205" s="328" t="str">
        <f ca="1">Параметры!X$34</f>
        <v>июн.26</v>
      </c>
      <c r="Y205" s="328" t="str">
        <f ca="1">Параметры!Y$34</f>
        <v>июл.26</v>
      </c>
      <c r="Z205" s="328" t="str">
        <f ca="1">Параметры!Z$34</f>
        <v>авг.26</v>
      </c>
      <c r="AA205" s="328" t="str">
        <f ca="1">Параметры!AA$34</f>
        <v>сен.26</v>
      </c>
      <c r="AB205" s="328" t="str">
        <f ca="1">Параметры!AB$34</f>
        <v>окт.26</v>
      </c>
      <c r="AC205" s="328" t="str">
        <f ca="1">Параметры!AC$34</f>
        <v>ноя.26</v>
      </c>
      <c r="AD205" s="328" t="str">
        <f ca="1">Параметры!AD$34</f>
        <v>дек.26</v>
      </c>
      <c r="AE205" s="328" t="str">
        <f ca="1">Параметры!AE$34</f>
        <v>янв.27</v>
      </c>
      <c r="AF205" s="328" t="str">
        <f ca="1">Параметры!AF$34</f>
        <v>фев.27</v>
      </c>
      <c r="AG205" s="328" t="str">
        <f ca="1">Параметры!AG$34</f>
        <v>мар.27</v>
      </c>
      <c r="AH205" s="328" t="str">
        <f ca="1">Параметры!AH$34</f>
        <v>апр.27</v>
      </c>
      <c r="AI205" s="328" t="str">
        <f ca="1">Параметры!AI$34</f>
        <v>май.27</v>
      </c>
      <c r="AJ205" s="328" t="str">
        <f ca="1">Параметры!AJ$34</f>
        <v>июн.27</v>
      </c>
      <c r="AK205" s="328" t="str">
        <f ca="1">Параметры!AK$34</f>
        <v>июл.27</v>
      </c>
      <c r="AL205" s="328" t="str">
        <f ca="1">Параметры!AL$34</f>
        <v>авг.27</v>
      </c>
      <c r="AM205" s="328" t="str">
        <f ca="1">Параметры!AM$34</f>
        <v>сен.27</v>
      </c>
      <c r="AN205" s="328" t="str">
        <f ca="1">Параметры!AN$34</f>
        <v>окт.27</v>
      </c>
      <c r="AO205" s="328" t="str">
        <f ca="1">Параметры!AO$34</f>
        <v>ноя.27</v>
      </c>
      <c r="AP205" s="328" t="str">
        <f ca="1">Параметры!AP$34</f>
        <v>дек.27</v>
      </c>
      <c r="AQ205" s="328" t="str">
        <f ca="1">Параметры!AQ$34</f>
        <v>янв.28</v>
      </c>
      <c r="AR205" s="328" t="str">
        <f ca="1">Параметры!AR$34</f>
        <v>фев.28</v>
      </c>
      <c r="AS205" s="328" t="str">
        <f ca="1">Параметры!AS$34</f>
        <v>мар.28</v>
      </c>
      <c r="AT205" s="328" t="str">
        <f ca="1">Параметры!AT$34</f>
        <v>апр.28</v>
      </c>
      <c r="AU205" s="328" t="str">
        <f ca="1">Параметры!AU$34</f>
        <v>май.28</v>
      </c>
      <c r="AV205" s="328" t="str">
        <f ca="1">Параметры!AV$34</f>
        <v>июн.28</v>
      </c>
      <c r="AW205" s="328" t="str">
        <f ca="1">Параметры!AW$34</f>
        <v>июл.28</v>
      </c>
      <c r="AX205" s="328" t="str">
        <f ca="1">Параметры!AX$34</f>
        <v>авг.28</v>
      </c>
      <c r="AY205" s="328" t="str">
        <f ca="1">Параметры!AY$34</f>
        <v>сен.28</v>
      </c>
      <c r="AZ205" s="328" t="str">
        <f ca="1">Параметры!AZ$34</f>
        <v>окт.28</v>
      </c>
      <c r="BA205" s="328" t="str">
        <f ca="1">Параметры!BA$34</f>
        <v>ноя.28</v>
      </c>
      <c r="BB205" s="328" t="str">
        <f ca="1">Параметры!BB$34</f>
        <v>дек.28</v>
      </c>
      <c r="BC205" s="8"/>
      <c r="BD205" s="42"/>
    </row>
    <row r="206" spans="1:56" ht="14.4" thickTop="1" x14ac:dyDescent="0.3">
      <c r="A206" s="247"/>
    </row>
    <row r="207" spans="1:56" x14ac:dyDescent="0.3">
      <c r="A207" s="10" t="str">
        <f ca="1">Language!A1305</f>
        <v>EBITDA (в годовом выражении)</v>
      </c>
      <c r="C207" s="48" t="str">
        <f ca="1">Параметры!$C$64</f>
        <v>руб.</v>
      </c>
      <c r="E207" s="6" t="s">
        <v>1523</v>
      </c>
      <c r="F207" s="6" t="s">
        <v>745</v>
      </c>
      <c r="G207" s="85">
        <f ca="1">G104*12/Параметры!G31</f>
        <v>0</v>
      </c>
      <c r="H207" s="85">
        <f ca="1">H104*12/Параметры!H31</f>
        <v>0</v>
      </c>
      <c r="I207" s="85">
        <f ca="1">I104*12/Параметры!I31</f>
        <v>0</v>
      </c>
      <c r="J207" s="85">
        <f ca="1">J104*12/Параметры!J31</f>
        <v>0</v>
      </c>
      <c r="K207" s="85">
        <f ca="1">K104*12/Параметры!K31</f>
        <v>0</v>
      </c>
      <c r="L207" s="85">
        <f ca="1">L104*12/Параметры!L31</f>
        <v>0</v>
      </c>
      <c r="M207" s="85">
        <f ca="1">M104*12/Параметры!M31</f>
        <v>44839778.190366141</v>
      </c>
      <c r="N207" s="85">
        <f ca="1">N104*12/Параметры!N31</f>
        <v>66922523.503934294</v>
      </c>
      <c r="O207" s="85">
        <f ca="1">O104*12/Параметры!O31</f>
        <v>89157827.652117789</v>
      </c>
      <c r="P207" s="85">
        <f ca="1">P104*12/Параметры!P31</f>
        <v>111420544.38521019</v>
      </c>
      <c r="Q207" s="85">
        <f ca="1">Q104*12/Параметры!Q31</f>
        <v>111776563.63115996</v>
      </c>
      <c r="R207" s="85">
        <f ca="1">R104*12/Параметры!R31</f>
        <v>111626162.11590041</v>
      </c>
      <c r="S207" s="85">
        <f ca="1">S104*12/Параметры!S31</f>
        <v>156909417.12000009</v>
      </c>
      <c r="T207" s="85">
        <f ca="1">T104*12/Параметры!T31</f>
        <v>134875081.13152865</v>
      </c>
      <c r="U207" s="85">
        <f ca="1">U104*12/Параметры!U31</f>
        <v>112942721.32251884</v>
      </c>
      <c r="V207" s="85">
        <f ca="1">V104*12/Параметры!V31</f>
        <v>113425945.58912623</v>
      </c>
      <c r="W207" s="85">
        <f ca="1">W104*12/Параметры!W31</f>
        <v>91200259.859123245</v>
      </c>
      <c r="X207" s="85">
        <f ca="1">X104*12/Параметры!X31</f>
        <v>160230820.04828709</v>
      </c>
      <c r="Y207" s="85">
        <f ca="1">Y104*12/Параметры!Y31</f>
        <v>206864407.11358225</v>
      </c>
      <c r="Z207" s="85">
        <f ca="1">Z104*12/Параметры!Z31</f>
        <v>207532422.91325068</v>
      </c>
      <c r="AA207" s="85">
        <f ca="1">AA104*12/Параметры!AA31</f>
        <v>138679066.46543932</v>
      </c>
      <c r="AB207" s="85">
        <f ca="1">AB104*12/Параметры!AB31</f>
        <v>92519585.353190392</v>
      </c>
      <c r="AC207" s="85">
        <f ca="1">AC104*12/Параметры!AC31</f>
        <v>92795465.973512232</v>
      </c>
      <c r="AD207" s="85">
        <f ca="1">AD104*12/Параметры!AD31</f>
        <v>115853451.11863095</v>
      </c>
      <c r="AE207" s="85">
        <f ca="1">AE104*12/Параметры!AE31</f>
        <v>162998131.9000321</v>
      </c>
      <c r="AF207" s="85">
        <f ca="1">AF104*12/Параметры!AF31</f>
        <v>140029067.78111947</v>
      </c>
      <c r="AG207" s="85">
        <f ca="1">AG104*12/Параметры!AG31</f>
        <v>117175974.93376847</v>
      </c>
      <c r="AH207" s="85">
        <f ca="1">AH104*12/Параметры!AH31</f>
        <v>117663373.02078739</v>
      </c>
      <c r="AI207" s="85">
        <f ca="1">AI104*12/Параметры!AI31</f>
        <v>94511282.826515123</v>
      </c>
      <c r="AJ207" s="85">
        <f ca="1">AJ104*12/Параметры!AJ31</f>
        <v>166353339.16094843</v>
      </c>
      <c r="AK207" s="85">
        <f ca="1">AK104*12/Параметры!AK31</f>
        <v>214869519.96289954</v>
      </c>
      <c r="AL207" s="85">
        <f ca="1">AL104*12/Параметры!AL31</f>
        <v>215534612.12890446</v>
      </c>
      <c r="AM207" s="85">
        <f ca="1">AM104*12/Параметры!AM31</f>
        <v>143854584.16381347</v>
      </c>
      <c r="AN207" s="85">
        <f ca="1">AN104*12/Параметры!AN31</f>
        <v>95802246.25612551</v>
      </c>
      <c r="AO207" s="85">
        <f ca="1">AO104*12/Параметры!AO31</f>
        <v>96072541.750318125</v>
      </c>
      <c r="AP207" s="85">
        <f ca="1">AP104*12/Параметры!AP31</f>
        <v>120029050.76401132</v>
      </c>
      <c r="AQ207" s="85">
        <f ca="1">AQ104*12/Параметры!AQ31</f>
        <v>169041094.47631612</v>
      </c>
      <c r="AR207" s="85">
        <f ca="1">AR104*12/Параметры!AR31</f>
        <v>145129092.77790394</v>
      </c>
      <c r="AS207" s="85">
        <f ca="1">AS104*12/Параметры!AS31</f>
        <v>121348870.68671584</v>
      </c>
      <c r="AT207" s="85">
        <f ca="1">AT104*12/Параметры!AT31</f>
        <v>121837625.31641263</v>
      </c>
      <c r="AU207" s="85">
        <f ca="1">AU104*12/Параметры!AU31</f>
        <v>97753868.483604938</v>
      </c>
      <c r="AV207" s="85">
        <f ca="1">AV104*12/Параметры!AV31</f>
        <v>172411681.02121648</v>
      </c>
      <c r="AW207" s="85">
        <f ca="1">AW104*12/Параметры!AW31</f>
        <v>222810265.08819723</v>
      </c>
      <c r="AX207" s="85">
        <f ca="1">AX104*12/Параметры!AX31</f>
        <v>223466942.83622777</v>
      </c>
      <c r="AY207" s="85">
        <f ca="1">AY104*12/Параметры!AY31</f>
        <v>148951882.95470157</v>
      </c>
      <c r="AZ207" s="85">
        <f ca="1">AZ104*12/Параметры!AZ31</f>
        <v>99001478.455860257</v>
      </c>
      <c r="BA207" s="85">
        <f ca="1">BA104*12/Параметры!BA31</f>
        <v>99263117.464086056</v>
      </c>
      <c r="BB207" s="85">
        <f ca="1">BB104*12/Параметры!BB31</f>
        <v>124112121.31078778</v>
      </c>
    </row>
    <row r="208" spans="1:56" x14ac:dyDescent="0.3">
      <c r="A208" s="10" t="str">
        <f ca="1">Language!A1306</f>
        <v>Суммарная задолженность, TD</v>
      </c>
      <c r="C208" s="48" t="str">
        <f ca="1">Параметры!$C$64</f>
        <v>руб.</v>
      </c>
      <c r="E208" s="6" t="s">
        <v>1524</v>
      </c>
      <c r="F208" s="6" t="s">
        <v>745</v>
      </c>
      <c r="G208" s="85">
        <f>SUM(G188,G192)</f>
        <v>216263542.6875</v>
      </c>
      <c r="H208" s="85">
        <f t="shared" ref="H208:M208" si="596">SUM(H188,H192)</f>
        <v>220677084.375</v>
      </c>
      <c r="I208" s="85">
        <f t="shared" si="596"/>
        <v>225090626.0625</v>
      </c>
      <c r="J208" s="85">
        <f t="shared" si="596"/>
        <v>229504167.75</v>
      </c>
      <c r="K208" s="85">
        <f t="shared" si="596"/>
        <v>233917709.4375</v>
      </c>
      <c r="L208" s="85">
        <f t="shared" si="596"/>
        <v>238331251.125</v>
      </c>
      <c r="M208" s="85">
        <f t="shared" si="596"/>
        <v>241723959.47916666</v>
      </c>
      <c r="N208" s="85">
        <f t="shared" ref="N208:O208" si="597">SUM(N188,N192)</f>
        <v>244075001.16666669</v>
      </c>
      <c r="O208" s="85">
        <f t="shared" si="597"/>
        <v>241075001.16666669</v>
      </c>
      <c r="P208" s="85">
        <f t="shared" ref="P208:Q208" si="598">SUM(P188,P192)</f>
        <v>238075001.16666669</v>
      </c>
      <c r="Q208" s="85">
        <f t="shared" si="598"/>
        <v>235075001.16666669</v>
      </c>
      <c r="R208" s="85">
        <f t="shared" ref="R208:S208" si="599">SUM(R188,R192)</f>
        <v>231075001.16666669</v>
      </c>
      <c r="S208" s="85">
        <f t="shared" si="599"/>
        <v>227075001.16666669</v>
      </c>
      <c r="T208" s="85">
        <f t="shared" ref="T208:U208" si="600">SUM(T188,T192)</f>
        <v>223075001.16666669</v>
      </c>
      <c r="U208" s="85">
        <f t="shared" si="600"/>
        <v>219075001.16666669</v>
      </c>
      <c r="V208" s="85">
        <f t="shared" ref="V208:W208" si="601">SUM(V188,V192)</f>
        <v>214075001.16666669</v>
      </c>
      <c r="W208" s="85">
        <f t="shared" si="601"/>
        <v>209075001.16666669</v>
      </c>
      <c r="X208" s="85">
        <f t="shared" ref="X208:Y208" si="602">SUM(X188,X192)</f>
        <v>204075001.16666669</v>
      </c>
      <c r="Y208" s="85">
        <f t="shared" si="602"/>
        <v>196075001.16666669</v>
      </c>
      <c r="Z208" s="85">
        <f t="shared" ref="Z208:AA208" si="603">SUM(Z188,Z192)</f>
        <v>188075001.16666669</v>
      </c>
      <c r="AA208" s="85">
        <f t="shared" si="603"/>
        <v>180075001.16666669</v>
      </c>
      <c r="AB208" s="85">
        <f t="shared" ref="AB208:AC208" si="604">SUM(AB188,AB192)</f>
        <v>172075001.16666669</v>
      </c>
      <c r="AC208" s="85">
        <f t="shared" si="604"/>
        <v>164075001.16666669</v>
      </c>
      <c r="AD208" s="85">
        <f t="shared" ref="AD208:AE208" si="605">SUM(AD188,AD192)</f>
        <v>156075001.16666669</v>
      </c>
      <c r="AE208" s="85">
        <f t="shared" si="605"/>
        <v>148075001.16666669</v>
      </c>
      <c r="AF208" s="85">
        <f t="shared" ref="AF208:AG208" si="606">SUM(AF188,AF192)</f>
        <v>140075001.16666669</v>
      </c>
      <c r="AG208" s="85">
        <f t="shared" si="606"/>
        <v>132075001.16666669</v>
      </c>
      <c r="AH208" s="85">
        <f t="shared" ref="AH208:AI208" si="607">SUM(AH188,AH192)</f>
        <v>124075001.16666669</v>
      </c>
      <c r="AI208" s="85">
        <f t="shared" si="607"/>
        <v>116075001.16666669</v>
      </c>
      <c r="AJ208" s="85">
        <f t="shared" ref="AJ208:AK208" si="608">SUM(AJ188,AJ192)</f>
        <v>108075001.16666669</v>
      </c>
      <c r="AK208" s="85">
        <f t="shared" si="608"/>
        <v>100075001.16666669</v>
      </c>
      <c r="AL208" s="85">
        <f t="shared" ref="AL208:AM208" si="609">SUM(AL188,AL192)</f>
        <v>92075001.166666687</v>
      </c>
      <c r="AM208" s="85">
        <f t="shared" si="609"/>
        <v>84075001.166666687</v>
      </c>
      <c r="AN208" s="85">
        <f t="shared" ref="AN208:AO208" si="610">SUM(AN188,AN192)</f>
        <v>76075001.166666687</v>
      </c>
      <c r="AO208" s="85">
        <f t="shared" si="610"/>
        <v>68075001.166666687</v>
      </c>
      <c r="AP208" s="85">
        <f t="shared" ref="AP208:AQ208" si="611">SUM(AP188,AP192)</f>
        <v>60075001.166666687</v>
      </c>
      <c r="AQ208" s="85">
        <f t="shared" si="611"/>
        <v>52075001.166666687</v>
      </c>
      <c r="AR208" s="85">
        <f t="shared" ref="AR208:AS208" si="612">SUM(AR188,AR192)</f>
        <v>44075001.166666687</v>
      </c>
      <c r="AS208" s="85">
        <f t="shared" si="612"/>
        <v>36075001.166666687</v>
      </c>
      <c r="AT208" s="85">
        <f t="shared" ref="AT208:AU208" si="613">SUM(AT188,AT192)</f>
        <v>28075001.166666687</v>
      </c>
      <c r="AU208" s="85">
        <f t="shared" si="613"/>
        <v>20075001.166666687</v>
      </c>
      <c r="AV208" s="85">
        <f t="shared" ref="AV208:AW208" si="614">SUM(AV188,AV192)</f>
        <v>12075001.166666687</v>
      </c>
      <c r="AW208" s="85">
        <f t="shared" si="614"/>
        <v>4075001.1666666865</v>
      </c>
      <c r="AX208" s="85">
        <f t="shared" ref="AX208:AY208" si="615">SUM(AX188,AX192)</f>
        <v>0.16666668653488159</v>
      </c>
      <c r="AY208" s="85">
        <f t="shared" si="615"/>
        <v>0.16666668653488159</v>
      </c>
      <c r="AZ208" s="85">
        <f t="shared" ref="AZ208:BA208" si="616">SUM(AZ188,AZ192)</f>
        <v>0.16666668653488159</v>
      </c>
      <c r="BA208" s="85">
        <f t="shared" si="616"/>
        <v>0.16666668653488159</v>
      </c>
      <c r="BB208" s="85">
        <f t="shared" ref="BB208" si="617">SUM(BB188,BB192)</f>
        <v>0.16666668653488159</v>
      </c>
    </row>
    <row r="209" spans="1:54" x14ac:dyDescent="0.3">
      <c r="A209" s="43" t="str">
        <f ca="1">Language!A1307</f>
        <v>TD / EBITDA</v>
      </c>
      <c r="B209" s="80"/>
      <c r="C209" s="45" t="str">
        <f ca="1">Language!$A$1477</f>
        <v>раз</v>
      </c>
      <c r="D209" s="46"/>
      <c r="E209" s="46" t="s">
        <v>1525</v>
      </c>
      <c r="F209" s="46" t="s">
        <v>745</v>
      </c>
      <c r="G209" s="86">
        <f ca="1">IF(G207=0,0,G208/G207)</f>
        <v>0</v>
      </c>
      <c r="H209" s="86">
        <f t="shared" ref="H209:M209" ca="1" si="618">IF(H207=0,0,H208/H207)</f>
        <v>0</v>
      </c>
      <c r="I209" s="86">
        <f t="shared" ca="1" si="618"/>
        <v>0</v>
      </c>
      <c r="J209" s="86">
        <f t="shared" ca="1" si="618"/>
        <v>0</v>
      </c>
      <c r="K209" s="86">
        <f t="shared" ca="1" si="618"/>
        <v>0</v>
      </c>
      <c r="L209" s="86">
        <f t="shared" ca="1" si="618"/>
        <v>0</v>
      </c>
      <c r="M209" s="86">
        <f t="shared" ca="1" si="618"/>
        <v>5.3908375383333462</v>
      </c>
      <c r="N209" s="86">
        <f t="shared" ref="N209:O209" ca="1" si="619">IF(N207=0,0,N208/N207)</f>
        <v>3.6471278784386816</v>
      </c>
      <c r="O209" s="86">
        <f t="shared" ca="1" si="619"/>
        <v>2.70391290944537</v>
      </c>
      <c r="P209" s="86">
        <f t="shared" ref="P209:Q209" ca="1" si="620">IF(P207=0,0,P208/P207)</f>
        <v>2.1367244477246374</v>
      </c>
      <c r="Q209" s="86">
        <f t="shared" ca="1" si="620"/>
        <v>2.1030795144353034</v>
      </c>
      <c r="R209" s="86">
        <f t="shared" ref="R209:S209" ca="1" si="621">IF(R207=0,0,R208/R207)</f>
        <v>2.070079242953311</v>
      </c>
      <c r="S209" s="86">
        <f t="shared" ca="1" si="621"/>
        <v>1.4471725491976422</v>
      </c>
      <c r="T209" s="86">
        <f t="shared" ref="T209:U209" ca="1" si="622">IF(T207=0,0,T208/T207)</f>
        <v>1.653937846006754</v>
      </c>
      <c r="U209" s="86">
        <f t="shared" ca="1" si="622"/>
        <v>1.9397000408824654</v>
      </c>
      <c r="V209" s="86">
        <f t="shared" ref="V209:W209" ca="1" si="623">IF(V207=0,0,V208/V207)</f>
        <v>1.8873547851400001</v>
      </c>
      <c r="W209" s="86">
        <f t="shared" ca="1" si="623"/>
        <v>2.2924825158351982</v>
      </c>
      <c r="X209" s="86">
        <f t="shared" ref="X209:Y209" ca="1" si="624">IF(X207=0,0,X208/X207)</f>
        <v>1.2736313844313267</v>
      </c>
      <c r="Y209" s="86">
        <f t="shared" ca="1" si="624"/>
        <v>0.94784310120110959</v>
      </c>
      <c r="Z209" s="86">
        <f t="shared" ref="Z209:AA209" ca="1" si="625">IF(Z207=0,0,Z208/Z207)</f>
        <v>0.90624394264062891</v>
      </c>
      <c r="AA209" s="86">
        <f t="shared" ca="1" si="625"/>
        <v>1.2985016827434714</v>
      </c>
      <c r="AB209" s="86">
        <f t="shared" ref="AB209:AC209" ca="1" si="626">IF(AB207=0,0,AB208/AB207)</f>
        <v>1.8598764846359415</v>
      </c>
      <c r="AC209" s="86">
        <f t="shared" ca="1" si="626"/>
        <v>1.7681359692024248</v>
      </c>
      <c r="AD209" s="86">
        <f t="shared" ref="AD209:AE209" ca="1" si="627">IF(AD207=0,0,AD208/AD207)</f>
        <v>1.347176106189965</v>
      </c>
      <c r="AE209" s="86">
        <f t="shared" ca="1" si="627"/>
        <v>0.9084460014393424</v>
      </c>
      <c r="AF209" s="86">
        <f t="shared" ref="AF209:AG209" ca="1" si="628">IF(AF207=0,0,AF208/AF207)</f>
        <v>1.0003280275036825</v>
      </c>
      <c r="AG209" s="86">
        <f t="shared" ca="1" si="628"/>
        <v>1.1271508621227142</v>
      </c>
      <c r="AH209" s="86">
        <f t="shared" ref="AH209:AI209" ca="1" si="629">IF(AH207=0,0,AH208/AH207)</f>
        <v>1.0544912828969009</v>
      </c>
      <c r="AI209" s="86">
        <f t="shared" ca="1" si="629"/>
        <v>1.2281602544717747</v>
      </c>
      <c r="AJ209" s="86">
        <f t="shared" ref="AJ209:AK209" ca="1" si="630">IF(AJ207=0,0,AJ208/AJ207)</f>
        <v>0.64967136645272328</v>
      </c>
      <c r="AK209" s="86">
        <f t="shared" ca="1" si="630"/>
        <v>0.46574777652943117</v>
      </c>
      <c r="AL209" s="86">
        <f t="shared" ref="AL209:AM209" ca="1" si="631">IF(AL207=0,0,AL208/AL207)</f>
        <v>0.42719357349250026</v>
      </c>
      <c r="AM209" s="86">
        <f t="shared" ca="1" si="631"/>
        <v>0.58444436550542478</v>
      </c>
      <c r="AN209" s="86">
        <f t="shared" ref="AN209:AO209" ca="1" si="632">IF(AN207=0,0,AN208/AN207)</f>
        <v>0.79408368947092944</v>
      </c>
      <c r="AO209" s="86">
        <f t="shared" ca="1" si="632"/>
        <v>0.70857916243733887</v>
      </c>
      <c r="AP209" s="86">
        <f t="shared" ref="AP209:AQ209" ca="1" si="633">IF(AP207=0,0,AP208/AP207)</f>
        <v>0.50050384289699934</v>
      </c>
      <c r="AQ209" s="86">
        <f t="shared" ca="1" si="633"/>
        <v>0.30806119262297355</v>
      </c>
      <c r="AR209" s="86">
        <f t="shared" ref="AR209:AS209" ca="1" si="634">IF(AR207=0,0,AR208/AR207)</f>
        <v>0.30369514701036671</v>
      </c>
      <c r="AS209" s="86">
        <f t="shared" ca="1" si="634"/>
        <v>0.29728336953213891</v>
      </c>
      <c r="AT209" s="86">
        <f t="shared" ref="AT209:AU209" ca="1" si="635">IF(AT207=0,0,AT208/AT207)</f>
        <v>0.23042964842556507</v>
      </c>
      <c r="AU209" s="86">
        <f t="shared" ca="1" si="635"/>
        <v>0.20536272863752314</v>
      </c>
      <c r="AV209" s="86">
        <f t="shared" ref="AV209:AW209" ca="1" si="636">IF(AV207=0,0,AV208/AV207)</f>
        <v>7.003586471139836E-2</v>
      </c>
      <c r="AW209" s="86">
        <f t="shared" ca="1" si="636"/>
        <v>1.8289108740360941E-2</v>
      </c>
      <c r="AX209" s="86">
        <f t="shared" ref="AX209:AY209" ca="1" si="637">IF(AX207=0,0,AX208/AX207)</f>
        <v>7.4582255621148678E-10</v>
      </c>
      <c r="AY209" s="86">
        <f t="shared" ca="1" si="637"/>
        <v>1.1189297055450272E-9</v>
      </c>
      <c r="AZ209" s="86">
        <f t="shared" ref="AZ209:BA209" ca="1" si="638">IF(AZ207=0,0,AZ208/AZ207)</f>
        <v>1.6834767433214629E-9</v>
      </c>
      <c r="BA209" s="86">
        <f t="shared" ca="1" si="638"/>
        <v>1.6790394135584399E-9</v>
      </c>
      <c r="BB209" s="86">
        <f t="shared" ref="BB209" ca="1" si="639">IF(BB207=0,0,BB208/BB207)</f>
        <v>1.342871951382842E-9</v>
      </c>
    </row>
    <row r="210" spans="1:54" x14ac:dyDescent="0.3">
      <c r="A210" s="10"/>
      <c r="G210" s="20"/>
      <c r="H210" s="20"/>
      <c r="I210" s="20"/>
      <c r="J210" s="20"/>
      <c r="K210" s="20"/>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row>
    <row r="211" spans="1:54" x14ac:dyDescent="0.3">
      <c r="A211" s="10" t="str">
        <f ca="1">Language!A1308</f>
        <v>Денежный поток, доступный для погашения долга</v>
      </c>
      <c r="C211" s="48" t="str">
        <f ca="1">Параметры!$C$64</f>
        <v>руб.</v>
      </c>
      <c r="E211" s="6" t="s">
        <v>1526</v>
      </c>
      <c r="F211" s="6" t="s">
        <v>740</v>
      </c>
      <c r="G211" s="85">
        <f ca="1">G135+G144+G146-G130</f>
        <v>-291667</v>
      </c>
      <c r="H211" s="85">
        <f t="shared" ref="H211:M211" ca="1" si="640">H135+H144+H146-H130</f>
        <v>-1658333.6666666667</v>
      </c>
      <c r="I211" s="85">
        <f t="shared" ca="1" si="640"/>
        <v>-136658332.66666666</v>
      </c>
      <c r="J211" s="85">
        <f t="shared" ca="1" si="640"/>
        <v>-18391666.666666668</v>
      </c>
      <c r="K211" s="85">
        <f t="shared" ca="1" si="640"/>
        <v>-17025000</v>
      </c>
      <c r="L211" s="85">
        <f t="shared" ca="1" si="640"/>
        <v>-18902925.060418263</v>
      </c>
      <c r="M211" s="85">
        <f t="shared" ca="1" si="640"/>
        <v>-7886918.2840950666</v>
      </c>
      <c r="N211" s="85">
        <f t="shared" ref="N211:O211" ca="1" si="641">N135+N144+N146-N130</f>
        <v>-6232039.9085776005</v>
      </c>
      <c r="O211" s="85">
        <f t="shared" ca="1" si="641"/>
        <v>5621274.1251944918</v>
      </c>
      <c r="P211" s="85">
        <f t="shared" ref="P211:Q211" ca="1" si="642">P135+P144+P146-P130</f>
        <v>7660948.0157057578</v>
      </c>
      <c r="Q211" s="85">
        <f t="shared" ca="1" si="642"/>
        <v>8271780.2482123412</v>
      </c>
      <c r="R211" s="85">
        <f t="shared" ref="R211:S211" ca="1" si="643">R135+R144+R146-R130</f>
        <v>7659601.2717252243</v>
      </c>
      <c r="S211" s="85">
        <f t="shared" ca="1" si="643"/>
        <v>10934450.009093545</v>
      </c>
      <c r="T211" s="85">
        <f t="shared" ref="T211:U211" ca="1" si="644">T135+T144+T146-T130</f>
        <v>10907857.537697751</v>
      </c>
      <c r="U211" s="85">
        <f t="shared" ca="1" si="644"/>
        <v>9142084.1888643112</v>
      </c>
      <c r="V211" s="85">
        <f t="shared" ref="V211:W211" ca="1" si="645">V135+V144+V146-V130</f>
        <v>8933019.3270192426</v>
      </c>
      <c r="W211" s="85">
        <f t="shared" ca="1" si="645"/>
        <v>6302682.3345128149</v>
      </c>
      <c r="X211" s="85">
        <f t="shared" ref="X211:Y211" ca="1" si="646">X135+X144+X146-X130</f>
        <v>9531143.2605401427</v>
      </c>
      <c r="Y211" s="85">
        <f t="shared" ca="1" si="646"/>
        <v>14054646.549902095</v>
      </c>
      <c r="Z211" s="85">
        <f t="shared" ref="Z211:AA211" ca="1" si="647">Z135+Z144+Z146-Z130</f>
        <v>16571335.234077554</v>
      </c>
      <c r="AA211" s="85">
        <f t="shared" ca="1" si="647"/>
        <v>13039208.632376103</v>
      </c>
      <c r="AB211" s="85">
        <f t="shared" ref="AB211:AC211" ca="1" si="648">AB135+AB144+AB146-AB130</f>
        <v>8435184.3236111198</v>
      </c>
      <c r="AC211" s="85">
        <f t="shared" ca="1" si="648"/>
        <v>6697207.9380209679</v>
      </c>
      <c r="AD211" s="85">
        <f t="shared" ref="AD211:AE211" ca="1" si="649">AD135+AD144+AD146-AD130</f>
        <v>7244398.4125958197</v>
      </c>
      <c r="AE211" s="85">
        <f t="shared" ca="1" si="649"/>
        <v>11240196.241873104</v>
      </c>
      <c r="AF211" s="85">
        <f t="shared" ref="AF211:AG211" ca="1" si="650">AF135+AF144+AF146-AF130</f>
        <v>11315284.721229495</v>
      </c>
      <c r="AG211" s="85">
        <f t="shared" ca="1" si="650"/>
        <v>9477609.3995322883</v>
      </c>
      <c r="AH211" s="85">
        <f t="shared" ref="AH211:AI211" ca="1" si="651">AH135+AH144+AH146-AH130</f>
        <v>9276373.7954233903</v>
      </c>
      <c r="AI211" s="85">
        <f t="shared" ca="1" si="651"/>
        <v>6443949.6621978907</v>
      </c>
      <c r="AJ211" s="85">
        <f t="shared" ref="AJ211:AK211" ca="1" si="652">AJ135+AJ144+AJ146-AJ130</f>
        <v>9801235.2522034701</v>
      </c>
      <c r="AK211" s="85">
        <f t="shared" ca="1" si="652"/>
        <v>14523290.786738934</v>
      </c>
      <c r="AL211" s="85">
        <f t="shared" ref="AL211:AM211" ca="1" si="653">AL135+AL144+AL146-AL130</f>
        <v>17232511.227023654</v>
      </c>
      <c r="AM211" s="85">
        <f t="shared" ca="1" si="653"/>
        <v>13574228.733756416</v>
      </c>
      <c r="AN211" s="85">
        <f t="shared" ref="AN211:AO211" ca="1" si="654">AN135+AN144+AN146-AN130</f>
        <v>8757348.8981603831</v>
      </c>
      <c r="AO211" s="85">
        <f t="shared" ca="1" si="654"/>
        <v>6902114.1647834787</v>
      </c>
      <c r="AP211" s="85">
        <f t="shared" ref="AP211:AQ211" ca="1" si="655">AP135+AP144+AP146-AP130</f>
        <v>7417472.712871192</v>
      </c>
      <c r="AQ211" s="85">
        <f t="shared" ca="1" si="655"/>
        <v>11626436.181462388</v>
      </c>
      <c r="AR211" s="85">
        <f t="shared" ref="AR211:AS211" ca="1" si="656">AR135+AR144+AR146-AR130</f>
        <v>11716622.864158114</v>
      </c>
      <c r="AS211" s="85">
        <f t="shared" ca="1" si="656"/>
        <v>9806939.3425342925</v>
      </c>
      <c r="AT211" s="85">
        <f t="shared" ref="AT211:AU211" ca="1" si="657">AT135+AT144+AT146-AT130</f>
        <v>9616520.8728973772</v>
      </c>
      <c r="AU211" s="85">
        <f t="shared" ca="1" si="657"/>
        <v>6564412.9790532039</v>
      </c>
      <c r="AV211" s="85">
        <f t="shared" ref="AV211:AW211" ca="1" si="658">AV135+AV144+AV146-AV130</f>
        <v>10050233.175116023</v>
      </c>
      <c r="AW211" s="85">
        <f t="shared" ca="1" si="658"/>
        <v>14973748.846644955</v>
      </c>
      <c r="AX211" s="85">
        <f t="shared" ref="AX211:AY211" ca="1" si="659">AX135+AX144+AX146-AX130</f>
        <v>17892186.110178754</v>
      </c>
      <c r="AY211" s="85">
        <f t="shared" ca="1" si="659"/>
        <v>14110779.75453246</v>
      </c>
      <c r="AZ211" s="85">
        <f t="shared" ref="AZ211:BA211" ca="1" si="660">AZ135+AZ144+AZ146-AZ130</f>
        <v>9076107.5616529956</v>
      </c>
      <c r="BA211" s="85">
        <f t="shared" ca="1" si="660"/>
        <v>7094974.6807112303</v>
      </c>
      <c r="BB211" s="85">
        <f t="shared" ref="BB211" ca="1" si="661">BB135+BB144+BB146-BB130</f>
        <v>8348418.0810810896</v>
      </c>
    </row>
    <row r="212" spans="1:54" x14ac:dyDescent="0.3">
      <c r="A212" s="10" t="str">
        <f ca="1">Language!A1309</f>
        <v>Выплаты процентов</v>
      </c>
      <c r="C212" s="48" t="str">
        <f ca="1">Параметры!$C$64</f>
        <v>руб.</v>
      </c>
      <c r="E212" s="6" t="s">
        <v>1527</v>
      </c>
      <c r="F212" s="6" t="s">
        <v>740</v>
      </c>
      <c r="G212" s="85">
        <f t="shared" ref="G212:M212" si="662">G130</f>
        <v>0</v>
      </c>
      <c r="H212" s="85">
        <f t="shared" si="662"/>
        <v>0</v>
      </c>
      <c r="I212" s="85">
        <f t="shared" si="662"/>
        <v>0</v>
      </c>
      <c r="J212" s="85">
        <f t="shared" si="662"/>
        <v>0</v>
      </c>
      <c r="K212" s="85">
        <f t="shared" si="662"/>
        <v>0</v>
      </c>
      <c r="L212" s="85">
        <f t="shared" si="662"/>
        <v>0</v>
      </c>
      <c r="M212" s="85">
        <f t="shared" si="662"/>
        <v>0</v>
      </c>
      <c r="N212" s="85">
        <f t="shared" ref="N212:O212" si="663">N130</f>
        <v>0</v>
      </c>
      <c r="O212" s="85">
        <f t="shared" si="663"/>
        <v>-4288541.6875</v>
      </c>
      <c r="P212" s="85">
        <f t="shared" ref="P212:Q212" si="664">P130</f>
        <v>-4226041.6875</v>
      </c>
      <c r="Q212" s="85">
        <f t="shared" si="664"/>
        <v>-4163541.6875</v>
      </c>
      <c r="R212" s="85">
        <f t="shared" ref="R212:S212" si="665">R130</f>
        <v>-4080208.3541666665</v>
      </c>
      <c r="S212" s="85">
        <f t="shared" si="665"/>
        <v>-3996875.0208333335</v>
      </c>
      <c r="T212" s="85">
        <f t="shared" ref="T212:U212" si="666">T130</f>
        <v>-3913541.6875</v>
      </c>
      <c r="U212" s="85">
        <f t="shared" si="666"/>
        <v>-3830208.3541666665</v>
      </c>
      <c r="V212" s="85">
        <f t="shared" ref="V212:W212" si="667">V130</f>
        <v>-3726041.6875</v>
      </c>
      <c r="W212" s="85">
        <f t="shared" si="667"/>
        <v>-3621875.0208333335</v>
      </c>
      <c r="X212" s="85">
        <f t="shared" ref="X212:Y212" si="668">X130</f>
        <v>-3517708.3541666665</v>
      </c>
      <c r="Y212" s="85">
        <f t="shared" si="668"/>
        <v>-3351041.6875</v>
      </c>
      <c r="Z212" s="85">
        <f t="shared" ref="Z212:AA212" si="669">Z130</f>
        <v>-3184375.0208333335</v>
      </c>
      <c r="AA212" s="85">
        <f t="shared" si="669"/>
        <v>-3017708.3541666665</v>
      </c>
      <c r="AB212" s="85">
        <f t="shared" ref="AB212:AC212" si="670">AB130</f>
        <v>-2851041.6875</v>
      </c>
      <c r="AC212" s="85">
        <f t="shared" si="670"/>
        <v>-2684375.0208333335</v>
      </c>
      <c r="AD212" s="85">
        <f t="shared" ref="AD212:AE212" si="671">AD130</f>
        <v>-2517708.3541666665</v>
      </c>
      <c r="AE212" s="85">
        <f t="shared" si="671"/>
        <v>-2351041.6875</v>
      </c>
      <c r="AF212" s="85">
        <f t="shared" ref="AF212:AG212" si="672">AF130</f>
        <v>-2184375.0208333335</v>
      </c>
      <c r="AG212" s="85">
        <f t="shared" si="672"/>
        <v>-2017708.3541666667</v>
      </c>
      <c r="AH212" s="85">
        <f t="shared" ref="AH212:AI212" si="673">AH130</f>
        <v>-1851041.6875</v>
      </c>
      <c r="AI212" s="85">
        <f t="shared" si="673"/>
        <v>-1684375.0208333333</v>
      </c>
      <c r="AJ212" s="85">
        <f t="shared" ref="AJ212:AK212" si="674">AJ130</f>
        <v>-1517708.3541666667</v>
      </c>
      <c r="AK212" s="85">
        <f t="shared" si="674"/>
        <v>-1351041.6875</v>
      </c>
      <c r="AL212" s="85">
        <f t="shared" ref="AL212:AM212" si="675">AL130</f>
        <v>-1184375.0208333333</v>
      </c>
      <c r="AM212" s="85">
        <f t="shared" si="675"/>
        <v>-1017708.3541666666</v>
      </c>
      <c r="AN212" s="85">
        <f t="shared" ref="AN212:AO212" si="676">AN130</f>
        <v>-851041.6875</v>
      </c>
      <c r="AO212" s="85">
        <f t="shared" si="676"/>
        <v>-684375.02083333337</v>
      </c>
      <c r="AP212" s="85">
        <f t="shared" ref="AP212:AQ212" si="677">AP130</f>
        <v>-517708.35416666669</v>
      </c>
      <c r="AQ212" s="85">
        <f t="shared" si="677"/>
        <v>-351041.6875</v>
      </c>
      <c r="AR212" s="85">
        <f t="shared" ref="AR212:AS212" si="678">AR130</f>
        <v>-184375.02083333334</v>
      </c>
      <c r="AS212" s="85">
        <f t="shared" si="678"/>
        <v>-17708.354166666668</v>
      </c>
      <c r="AT212" s="85">
        <f t="shared" ref="AT212:AU212" si="679">AT130</f>
        <v>0</v>
      </c>
      <c r="AU212" s="85">
        <f t="shared" si="679"/>
        <v>0</v>
      </c>
      <c r="AV212" s="85">
        <f t="shared" ref="AV212:AW212" si="680">AV130</f>
        <v>0</v>
      </c>
      <c r="AW212" s="85">
        <f t="shared" si="680"/>
        <v>0</v>
      </c>
      <c r="AX212" s="85">
        <f t="shared" ref="AX212:AY212" si="681">AX130</f>
        <v>0</v>
      </c>
      <c r="AY212" s="85">
        <f t="shared" si="681"/>
        <v>0</v>
      </c>
      <c r="AZ212" s="85">
        <f t="shared" ref="AZ212:BA212" si="682">AZ130</f>
        <v>0</v>
      </c>
      <c r="BA212" s="85">
        <f t="shared" si="682"/>
        <v>0</v>
      </c>
      <c r="BB212" s="85">
        <f t="shared" ref="BB212" si="683">BB130</f>
        <v>0</v>
      </c>
    </row>
    <row r="213" spans="1:54" x14ac:dyDescent="0.3">
      <c r="A213" s="10" t="str">
        <f ca="1">Language!A1310</f>
        <v>Выплаты основной суммы долга</v>
      </c>
      <c r="C213" s="48" t="str">
        <f ca="1">Параметры!$C$64</f>
        <v>руб.</v>
      </c>
      <c r="E213" s="6" t="s">
        <v>1528</v>
      </c>
      <c r="F213" s="6" t="s">
        <v>740</v>
      </c>
      <c r="G213" s="85">
        <f>G148</f>
        <v>0</v>
      </c>
      <c r="H213" s="85">
        <f t="shared" ref="H213:M213" si="684">H148</f>
        <v>0</v>
      </c>
      <c r="I213" s="85">
        <f t="shared" si="684"/>
        <v>0</v>
      </c>
      <c r="J213" s="85">
        <f t="shared" si="684"/>
        <v>0</v>
      </c>
      <c r="K213" s="85">
        <f t="shared" si="684"/>
        <v>0</v>
      </c>
      <c r="L213" s="85">
        <f t="shared" si="684"/>
        <v>0</v>
      </c>
      <c r="M213" s="85">
        <f t="shared" si="684"/>
        <v>-1000000</v>
      </c>
      <c r="N213" s="85">
        <f t="shared" ref="N213:O213" si="685">N148</f>
        <v>-2000000</v>
      </c>
      <c r="O213" s="85">
        <f t="shared" si="685"/>
        <v>-3000000</v>
      </c>
      <c r="P213" s="85">
        <f t="shared" ref="P213:Q213" si="686">P148</f>
        <v>-3000000</v>
      </c>
      <c r="Q213" s="85">
        <f t="shared" si="686"/>
        <v>-3000000</v>
      </c>
      <c r="R213" s="85">
        <f t="shared" ref="R213:S213" si="687">R148</f>
        <v>-4000000</v>
      </c>
      <c r="S213" s="85">
        <f t="shared" si="687"/>
        <v>-4000000</v>
      </c>
      <c r="T213" s="85">
        <f t="shared" ref="T213:U213" si="688">T148</f>
        <v>-4000000</v>
      </c>
      <c r="U213" s="85">
        <f t="shared" si="688"/>
        <v>-4000000</v>
      </c>
      <c r="V213" s="85">
        <f t="shared" ref="V213:W213" si="689">V148</f>
        <v>-5000000</v>
      </c>
      <c r="W213" s="85">
        <f t="shared" si="689"/>
        <v>-5000000</v>
      </c>
      <c r="X213" s="85">
        <f t="shared" ref="X213:Y213" si="690">X148</f>
        <v>-5000000</v>
      </c>
      <c r="Y213" s="85">
        <f t="shared" si="690"/>
        <v>-8000000</v>
      </c>
      <c r="Z213" s="85">
        <f t="shared" ref="Z213:AA213" si="691">Z148</f>
        <v>-8000000</v>
      </c>
      <c r="AA213" s="85">
        <f t="shared" si="691"/>
        <v>-8000000</v>
      </c>
      <c r="AB213" s="85">
        <f t="shared" ref="AB213:AC213" si="692">AB148</f>
        <v>-8000000</v>
      </c>
      <c r="AC213" s="85">
        <f t="shared" si="692"/>
        <v>-8000000</v>
      </c>
      <c r="AD213" s="85">
        <f t="shared" ref="AD213:AE213" si="693">AD148</f>
        <v>-8000000</v>
      </c>
      <c r="AE213" s="85">
        <f t="shared" si="693"/>
        <v>-8000000</v>
      </c>
      <c r="AF213" s="85">
        <f t="shared" ref="AF213:AG213" si="694">AF148</f>
        <v>-8000000</v>
      </c>
      <c r="AG213" s="85">
        <f t="shared" si="694"/>
        <v>-8000000</v>
      </c>
      <c r="AH213" s="85">
        <f t="shared" ref="AH213:AI213" si="695">AH148</f>
        <v>-8000000</v>
      </c>
      <c r="AI213" s="85">
        <f t="shared" si="695"/>
        <v>-8000000</v>
      </c>
      <c r="AJ213" s="85">
        <f t="shared" ref="AJ213:AK213" si="696">AJ148</f>
        <v>-8000000</v>
      </c>
      <c r="AK213" s="85">
        <f t="shared" si="696"/>
        <v>-8000000</v>
      </c>
      <c r="AL213" s="85">
        <f t="shared" ref="AL213:AM213" si="697">AL148</f>
        <v>-8000000</v>
      </c>
      <c r="AM213" s="85">
        <f t="shared" si="697"/>
        <v>-8000000</v>
      </c>
      <c r="AN213" s="85">
        <f t="shared" ref="AN213:AO213" si="698">AN148</f>
        <v>-8000000</v>
      </c>
      <c r="AO213" s="85">
        <f t="shared" si="698"/>
        <v>-8000000</v>
      </c>
      <c r="AP213" s="85">
        <f t="shared" ref="AP213:AQ213" si="699">AP148</f>
        <v>-8000000</v>
      </c>
      <c r="AQ213" s="85">
        <f t="shared" si="699"/>
        <v>-8000000</v>
      </c>
      <c r="AR213" s="85">
        <f t="shared" ref="AR213:AS213" si="700">AR148</f>
        <v>-8000000</v>
      </c>
      <c r="AS213" s="85">
        <f t="shared" si="700"/>
        <v>-8000000</v>
      </c>
      <c r="AT213" s="85">
        <f t="shared" ref="AT213:AU213" si="701">AT148</f>
        <v>-8000000</v>
      </c>
      <c r="AU213" s="85">
        <f t="shared" si="701"/>
        <v>-8000000</v>
      </c>
      <c r="AV213" s="85">
        <f t="shared" ref="AV213:AW213" si="702">AV148</f>
        <v>-8000000</v>
      </c>
      <c r="AW213" s="85">
        <f t="shared" si="702"/>
        <v>-8000000</v>
      </c>
      <c r="AX213" s="85">
        <f t="shared" ref="AX213:AY213" si="703">AX148</f>
        <v>-4075001</v>
      </c>
      <c r="AY213" s="85">
        <f t="shared" si="703"/>
        <v>0</v>
      </c>
      <c r="AZ213" s="85">
        <f t="shared" ref="AZ213:BA213" si="704">AZ148</f>
        <v>0</v>
      </c>
      <c r="BA213" s="85">
        <f t="shared" si="704"/>
        <v>0</v>
      </c>
      <c r="BB213" s="85">
        <f t="shared" ref="BB213" si="705">BB148</f>
        <v>0</v>
      </c>
    </row>
    <row r="214" spans="1:54" x14ac:dyDescent="0.3">
      <c r="A214" s="43" t="str">
        <f ca="1">Language!A1311</f>
        <v>Покрытие выплаты долга, DSCR</v>
      </c>
      <c r="B214" s="80"/>
      <c r="C214" s="45" t="str">
        <f ca="1">Language!$A$1477</f>
        <v>раз</v>
      </c>
      <c r="D214" s="46"/>
      <c r="E214" s="46" t="s">
        <v>1529</v>
      </c>
      <c r="F214" s="46" t="s">
        <v>745</v>
      </c>
      <c r="G214" s="248">
        <f ca="1">IF(OR(G211&lt;0,SUM(G212:G213)=0),0,G211/-SUM(G212:G213))</f>
        <v>0</v>
      </c>
      <c r="H214" s="248">
        <f t="shared" ref="H214:M214" ca="1" si="706">IF(OR(H211&lt;0,SUM(H212:H213)=0),0,H211/-SUM(H212:H213))</f>
        <v>0</v>
      </c>
      <c r="I214" s="248">
        <f t="shared" ca="1" si="706"/>
        <v>0</v>
      </c>
      <c r="J214" s="248">
        <f t="shared" ca="1" si="706"/>
        <v>0</v>
      </c>
      <c r="K214" s="248">
        <f t="shared" ca="1" si="706"/>
        <v>0</v>
      </c>
      <c r="L214" s="248">
        <f t="shared" ca="1" si="706"/>
        <v>0</v>
      </c>
      <c r="M214" s="248">
        <f t="shared" ca="1" si="706"/>
        <v>0</v>
      </c>
      <c r="N214" s="248">
        <f t="shared" ref="N214:O214" ca="1" si="707">IF(OR(N211&lt;0,SUM(N212:N213)=0),0,N211/-SUM(N212:N213))</f>
        <v>0</v>
      </c>
      <c r="O214" s="248">
        <f t="shared" ca="1" si="707"/>
        <v>0.77124812702040157</v>
      </c>
      <c r="P214" s="248">
        <f t="shared" ref="P214:Q214" ca="1" si="708">IF(OR(P211&lt;0,SUM(P212:P213)=0),0,P211/-SUM(P212:P213))</f>
        <v>1.0601859699976659</v>
      </c>
      <c r="Q214" s="248">
        <f t="shared" ca="1" si="708"/>
        <v>1.1547053970030159</v>
      </c>
      <c r="R214" s="248">
        <f t="shared" ref="R214:S214" ca="1" si="709">IF(OR(R211&lt;0,SUM(R212:R213)=0),0,R211/-SUM(R212:R213))</f>
        <v>0.94794601030002523</v>
      </c>
      <c r="S214" s="248">
        <f t="shared" ca="1" si="709"/>
        <v>1.3673403649059523</v>
      </c>
      <c r="T214" s="248">
        <f t="shared" ref="T214:U214" ca="1" si="710">IF(OR(T211&lt;0,SUM(T212:T213)=0),0,T211/-SUM(T212:T213))</f>
        <v>1.3783787295803958</v>
      </c>
      <c r="U214" s="248">
        <f t="shared" ca="1" si="710"/>
        <v>1.167540348271775</v>
      </c>
      <c r="V214" s="248">
        <f t="shared" ref="V214:W214" ca="1" si="711">IF(OR(V211&lt;0,SUM(V212:V213)=0),0,V211/-SUM(V212:V213))</f>
        <v>1.023719533659315</v>
      </c>
      <c r="W214" s="248">
        <f t="shared" ca="1" si="711"/>
        <v>0.73101063507455466</v>
      </c>
      <c r="X214" s="248">
        <f t="shared" ref="X214:Y214" ca="1" si="712">IF(OR(X211&lt;0,SUM(X212:X213)=0),0,X211/-SUM(X212:X213))</f>
        <v>1.1189797612497179</v>
      </c>
      <c r="Y214" s="248">
        <f t="shared" ca="1" si="712"/>
        <v>1.238181211630943</v>
      </c>
      <c r="Z214" s="248">
        <f t="shared" ref="Z214:AA214" ca="1" si="713">IF(OR(Z211&lt;0,SUM(Z212:Z213)=0),0,Z211/-SUM(Z212:Z213))</f>
        <v>1.4816505350732458</v>
      </c>
      <c r="AA214" s="248">
        <f t="shared" ca="1" si="713"/>
        <v>1.1834773814324961</v>
      </c>
      <c r="AB214" s="248">
        <f t="shared" ref="AB214:AC214" ca="1" si="714">IF(OR(AB211&lt;0,SUM(AB212:AB213)=0),0,AB211/-SUM(AB212:AB213))</f>
        <v>0.77736171019674005</v>
      </c>
      <c r="AC214" s="248">
        <f t="shared" ca="1" si="714"/>
        <v>0.62682261947583862</v>
      </c>
      <c r="AD214" s="248">
        <f t="shared" ref="AD214:AE214" ca="1" si="715">IF(OR(AD211&lt;0,SUM(AD212:AD213)=0),0,AD211/-SUM(AD212:AD213))</f>
        <v>0.6887810698540523</v>
      </c>
      <c r="AE214" s="248">
        <f t="shared" ca="1" si="715"/>
        <v>1.0859000070927021</v>
      </c>
      <c r="AF214" s="248">
        <f t="shared" ref="AF214:AG214" ca="1" si="716">IF(OR(AF211&lt;0,SUM(AF212:AF213)=0),0,AF211/-SUM(AF212:AF213))</f>
        <v>1.1110436033711202</v>
      </c>
      <c r="AG214" s="248">
        <f t="shared" ca="1" si="716"/>
        <v>0.94608557810432414</v>
      </c>
      <c r="AH214" s="248">
        <f t="shared" ref="AH214:AI214" ca="1" si="717">IF(OR(AH211&lt;0,SUM(AH212:AH213)=0),0,AH211/-SUM(AH212:AH213))</f>
        <v>0.94166425132422227</v>
      </c>
      <c r="AI214" s="248">
        <f t="shared" ca="1" si="717"/>
        <v>0.66539654322921848</v>
      </c>
      <c r="AJ214" s="248">
        <f t="shared" ref="AJ214:AK214" ca="1" si="718">IF(OR(AJ211&lt;0,SUM(AJ212:AJ213)=0),0,AJ211/-SUM(AJ212:AJ213))</f>
        <v>1.0297894080682437</v>
      </c>
      <c r="AK214" s="248">
        <f t="shared" ca="1" si="718"/>
        <v>1.5531200984969338</v>
      </c>
      <c r="AL214" s="248">
        <f t="shared" ref="AL214:AM214" ca="1" si="719">IF(OR(AL211&lt;0,SUM(AL212:AL213)=0),0,AL211/-SUM(AL212:AL213))</f>
        <v>1.8762856686420544</v>
      </c>
      <c r="AM214" s="248">
        <f t="shared" ca="1" si="719"/>
        <v>1.5052858443225647</v>
      </c>
      <c r="AN214" s="248">
        <f t="shared" ref="AN214:AO214" ca="1" si="720">IF(OR(AN211&lt;0,SUM(AN212:AN213)=0),0,AN211/-SUM(AN212:AN213))</f>
        <v>0.98941449010776483</v>
      </c>
      <c r="AO214" s="248">
        <f t="shared" ca="1" si="720"/>
        <v>0.79477384938187146</v>
      </c>
      <c r="AP214" s="248">
        <f t="shared" ref="AP214:AQ214" ca="1" si="721">IF(OR(AP211&lt;0,SUM(AP212:AP213)=0),0,AP211/-SUM(AP212:AP213))</f>
        <v>0.87082961806772075</v>
      </c>
      <c r="AQ214" s="248">
        <f t="shared" ca="1" si="721"/>
        <v>1.392213883791894</v>
      </c>
      <c r="AR214" s="248">
        <f t="shared" ref="AR214:AS214" ca="1" si="722">IF(OR(AR211&lt;0,SUM(AR212:AR213)=0),0,AR211/-SUM(AR212:AR213))</f>
        <v>1.431584309655098</v>
      </c>
      <c r="AS214" s="248">
        <f t="shared" ca="1" si="722"/>
        <v>1.2231598992295338</v>
      </c>
      <c r="AT214" s="248">
        <f t="shared" ref="AT214:AU214" ca="1" si="723">IF(OR(AT211&lt;0,SUM(AT212:AT213)=0),0,AT211/-SUM(AT212:AT213))</f>
        <v>1.2020651091121721</v>
      </c>
      <c r="AU214" s="248">
        <f t="shared" ca="1" si="723"/>
        <v>0.82055162238165047</v>
      </c>
      <c r="AV214" s="248">
        <f t="shared" ref="AV214:AW214" ca="1" si="724">IF(OR(AV211&lt;0,SUM(AV212:AV213)=0),0,AV211/-SUM(AV212:AV213))</f>
        <v>1.2562791468895029</v>
      </c>
      <c r="AW214" s="248">
        <f t="shared" ca="1" si="724"/>
        <v>1.8717186058306194</v>
      </c>
      <c r="AX214" s="248">
        <f t="shared" ref="AX214:AY214" ca="1" si="725">IF(OR(AX211&lt;0,SUM(AX212:AX213)=0),0,AX211/-SUM(AX212:AX213))</f>
        <v>4.3907194403581133</v>
      </c>
      <c r="AY214" s="248">
        <f t="shared" ca="1" si="725"/>
        <v>0</v>
      </c>
      <c r="AZ214" s="248">
        <f t="shared" ref="AZ214:BA214" ca="1" si="726">IF(OR(AZ211&lt;0,SUM(AZ212:AZ213)=0),0,AZ211/-SUM(AZ212:AZ213))</f>
        <v>0</v>
      </c>
      <c r="BA214" s="248">
        <f t="shared" ca="1" si="726"/>
        <v>0</v>
      </c>
      <c r="BB214" s="248">
        <f t="shared" ref="BB214" ca="1" si="727">IF(OR(BB211&lt;0,SUM(BB212:BB213)=0),0,BB211/-SUM(BB212:BB213))</f>
        <v>0</v>
      </c>
    </row>
    <row r="215" spans="1:54" x14ac:dyDescent="0.3">
      <c r="A215" s="10"/>
      <c r="G215" s="20"/>
      <c r="H215" s="20"/>
      <c r="I215" s="20"/>
      <c r="J215" s="20"/>
      <c r="K215" s="20"/>
      <c r="L215" s="20"/>
      <c r="M215" s="20"/>
      <c r="N215" s="20"/>
      <c r="O215" s="20"/>
      <c r="P215" s="20"/>
      <c r="Q215" s="20"/>
      <c r="R215" s="20"/>
      <c r="S215" s="20"/>
      <c r="T215" s="20"/>
      <c r="U215" s="20"/>
      <c r="V215" s="20"/>
      <c r="W215" s="20"/>
      <c r="X215" s="20"/>
      <c r="Y215" s="20"/>
      <c r="Z215" s="20"/>
      <c r="AA215" s="20"/>
      <c r="AB215" s="20"/>
      <c r="AC215" s="20"/>
      <c r="AD215" s="20"/>
      <c r="AE215" s="20"/>
      <c r="AF215" s="20"/>
      <c r="AG215" s="20"/>
      <c r="AH215" s="20"/>
      <c r="AI215" s="20"/>
      <c r="AJ215" s="20"/>
      <c r="AK215" s="20"/>
      <c r="AL215" s="20"/>
      <c r="AM215" s="20"/>
      <c r="AN215" s="20"/>
      <c r="AO215" s="20"/>
      <c r="AP215" s="20"/>
      <c r="AQ215" s="20"/>
      <c r="AR215" s="20"/>
      <c r="AS215" s="20"/>
      <c r="AT215" s="20"/>
      <c r="AU215" s="20"/>
      <c r="AV215" s="20"/>
      <c r="AW215" s="20"/>
      <c r="AX215" s="20"/>
      <c r="AY215" s="20"/>
      <c r="AZ215" s="20"/>
      <c r="BA215" s="20"/>
      <c r="BB215" s="20"/>
    </row>
    <row r="216" spans="1:54" x14ac:dyDescent="0.3">
      <c r="A216" s="10" t="str">
        <f ca="1">Language!A$1400</f>
        <v>Денежный поток, доступный для погашения долга (CFADS)</v>
      </c>
      <c r="C216" s="48" t="str">
        <f ca="1">Параметры!$C$64</f>
        <v>руб.</v>
      </c>
      <c r="E216" s="6" t="s">
        <v>2259</v>
      </c>
      <c r="F216" s="6" t="s">
        <v>740</v>
      </c>
      <c r="G216" s="85">
        <f ca="1">G211</f>
        <v>-291667</v>
      </c>
      <c r="H216" s="85">
        <f t="shared" ref="H216:M216" ca="1" si="728">H211</f>
        <v>-1658333.6666666667</v>
      </c>
      <c r="I216" s="85">
        <f t="shared" ca="1" si="728"/>
        <v>-136658332.66666666</v>
      </c>
      <c r="J216" s="85">
        <f t="shared" ca="1" si="728"/>
        <v>-18391666.666666668</v>
      </c>
      <c r="K216" s="85">
        <f t="shared" ca="1" si="728"/>
        <v>-17025000</v>
      </c>
      <c r="L216" s="85">
        <f t="shared" ca="1" si="728"/>
        <v>-18902925.060418263</v>
      </c>
      <c r="M216" s="85">
        <f t="shared" ca="1" si="728"/>
        <v>-7886918.2840950666</v>
      </c>
      <c r="N216" s="85">
        <f t="shared" ref="N216:O216" ca="1" si="729">N211</f>
        <v>-6232039.9085776005</v>
      </c>
      <c r="O216" s="85">
        <f t="shared" ca="1" si="729"/>
        <v>5621274.1251944918</v>
      </c>
      <c r="P216" s="85">
        <f t="shared" ref="P216:Q216" ca="1" si="730">P211</f>
        <v>7660948.0157057578</v>
      </c>
      <c r="Q216" s="85">
        <f t="shared" ca="1" si="730"/>
        <v>8271780.2482123412</v>
      </c>
      <c r="R216" s="85">
        <f t="shared" ref="R216:S216" ca="1" si="731">R211</f>
        <v>7659601.2717252243</v>
      </c>
      <c r="S216" s="85">
        <f t="shared" ca="1" si="731"/>
        <v>10934450.009093545</v>
      </c>
      <c r="T216" s="85">
        <f t="shared" ref="T216:U216" ca="1" si="732">T211</f>
        <v>10907857.537697751</v>
      </c>
      <c r="U216" s="85">
        <f t="shared" ca="1" si="732"/>
        <v>9142084.1888643112</v>
      </c>
      <c r="V216" s="85">
        <f t="shared" ref="V216:W216" ca="1" si="733">V211</f>
        <v>8933019.3270192426</v>
      </c>
      <c r="W216" s="85">
        <f t="shared" ca="1" si="733"/>
        <v>6302682.3345128149</v>
      </c>
      <c r="X216" s="85">
        <f t="shared" ref="X216:Y216" ca="1" si="734">X211</f>
        <v>9531143.2605401427</v>
      </c>
      <c r="Y216" s="85">
        <f t="shared" ca="1" si="734"/>
        <v>14054646.549902095</v>
      </c>
      <c r="Z216" s="85">
        <f t="shared" ref="Z216:AA216" ca="1" si="735">Z211</f>
        <v>16571335.234077554</v>
      </c>
      <c r="AA216" s="85">
        <f t="shared" ca="1" si="735"/>
        <v>13039208.632376103</v>
      </c>
      <c r="AB216" s="85">
        <f t="shared" ref="AB216:AC216" ca="1" si="736">AB211</f>
        <v>8435184.3236111198</v>
      </c>
      <c r="AC216" s="85">
        <f t="shared" ca="1" si="736"/>
        <v>6697207.9380209679</v>
      </c>
      <c r="AD216" s="85">
        <f t="shared" ref="AD216:AE216" ca="1" si="737">AD211</f>
        <v>7244398.4125958197</v>
      </c>
      <c r="AE216" s="85">
        <f t="shared" ca="1" si="737"/>
        <v>11240196.241873104</v>
      </c>
      <c r="AF216" s="85">
        <f t="shared" ref="AF216:AG216" ca="1" si="738">AF211</f>
        <v>11315284.721229495</v>
      </c>
      <c r="AG216" s="85">
        <f t="shared" ca="1" si="738"/>
        <v>9477609.3995322883</v>
      </c>
      <c r="AH216" s="85">
        <f t="shared" ref="AH216:AI216" ca="1" si="739">AH211</f>
        <v>9276373.7954233903</v>
      </c>
      <c r="AI216" s="85">
        <f t="shared" ca="1" si="739"/>
        <v>6443949.6621978907</v>
      </c>
      <c r="AJ216" s="85">
        <f t="shared" ref="AJ216:AK216" ca="1" si="740">AJ211</f>
        <v>9801235.2522034701</v>
      </c>
      <c r="AK216" s="85">
        <f t="shared" ca="1" si="740"/>
        <v>14523290.786738934</v>
      </c>
      <c r="AL216" s="85">
        <f t="shared" ref="AL216:AM216" ca="1" si="741">AL211</f>
        <v>17232511.227023654</v>
      </c>
      <c r="AM216" s="85">
        <f t="shared" ca="1" si="741"/>
        <v>13574228.733756416</v>
      </c>
      <c r="AN216" s="85">
        <f t="shared" ref="AN216:AO216" ca="1" si="742">AN211</f>
        <v>8757348.8981603831</v>
      </c>
      <c r="AO216" s="85">
        <f t="shared" ca="1" si="742"/>
        <v>6902114.1647834787</v>
      </c>
      <c r="AP216" s="85">
        <f t="shared" ref="AP216:AQ216" ca="1" si="743">AP211</f>
        <v>7417472.712871192</v>
      </c>
      <c r="AQ216" s="85">
        <f t="shared" ca="1" si="743"/>
        <v>11626436.181462388</v>
      </c>
      <c r="AR216" s="85">
        <f t="shared" ref="AR216:AS216" ca="1" si="744">AR211</f>
        <v>11716622.864158114</v>
      </c>
      <c r="AS216" s="85">
        <f t="shared" ca="1" si="744"/>
        <v>9806939.3425342925</v>
      </c>
      <c r="AT216" s="85">
        <f t="shared" ref="AT216:AU216" ca="1" si="745">AT211</f>
        <v>9616520.8728973772</v>
      </c>
      <c r="AU216" s="85">
        <f t="shared" ca="1" si="745"/>
        <v>6564412.9790532039</v>
      </c>
      <c r="AV216" s="85">
        <f t="shared" ref="AV216:AW216" ca="1" si="746">AV211</f>
        <v>10050233.175116023</v>
      </c>
      <c r="AW216" s="85">
        <f t="shared" ca="1" si="746"/>
        <v>14973748.846644955</v>
      </c>
      <c r="AX216" s="85">
        <f t="shared" ref="AX216:AY216" ca="1" si="747">AX211</f>
        <v>17892186.110178754</v>
      </c>
      <c r="AY216" s="85">
        <f t="shared" ca="1" si="747"/>
        <v>14110779.75453246</v>
      </c>
      <c r="AZ216" s="85">
        <f t="shared" ref="AZ216:BA216" ca="1" si="748">AZ211</f>
        <v>9076107.5616529956</v>
      </c>
      <c r="BA216" s="85">
        <f t="shared" ca="1" si="748"/>
        <v>7094974.6807112303</v>
      </c>
      <c r="BB216" s="85">
        <f t="shared" ref="BB216" ca="1" si="749">BB211</f>
        <v>8348418.0810810896</v>
      </c>
    </row>
    <row r="217" spans="1:54" x14ac:dyDescent="0.3">
      <c r="A217" s="10" t="str">
        <f ca="1">Language!A$1342</f>
        <v>Ставка дисконтирования</v>
      </c>
      <c r="B217" s="273">
        <f>Параметры!B121</f>
        <v>0.2</v>
      </c>
      <c r="C217" s="5"/>
    </row>
    <row r="218" spans="1:54" outlineLevel="1" x14ac:dyDescent="0.3">
      <c r="A218" s="35" t="str">
        <f ca="1">Language!A$462</f>
        <v>ставка на расчетный период</v>
      </c>
      <c r="B218" s="17"/>
      <c r="C218" s="1" t="s">
        <v>1</v>
      </c>
      <c r="F218" s="6" t="s">
        <v>745</v>
      </c>
      <c r="G218" s="98">
        <f>Параметры!G122</f>
        <v>1.5309470499731193E-2</v>
      </c>
      <c r="H218" s="98">
        <f>Параметры!H122</f>
        <v>1.5309470499731193E-2</v>
      </c>
      <c r="I218" s="98">
        <f>Параметры!I122</f>
        <v>1.5309470499731193E-2</v>
      </c>
      <c r="J218" s="98">
        <f>Параметры!J122</f>
        <v>1.5309470499731193E-2</v>
      </c>
      <c r="K218" s="98">
        <f>Параметры!K122</f>
        <v>1.5309470499731193E-2</v>
      </c>
      <c r="L218" s="98">
        <f>Параметры!L122</f>
        <v>1.5309470499731193E-2</v>
      </c>
      <c r="M218" s="98">
        <f>Параметры!M122</f>
        <v>1.5309470499731193E-2</v>
      </c>
      <c r="N218" s="98">
        <f>Параметры!N122</f>
        <v>1.5309470499731193E-2</v>
      </c>
      <c r="O218" s="98">
        <f>Параметры!O122</f>
        <v>1.5309470499731193E-2</v>
      </c>
      <c r="P218" s="98">
        <f>Параметры!P122</f>
        <v>1.5309470499731193E-2</v>
      </c>
      <c r="Q218" s="98">
        <f>Параметры!Q122</f>
        <v>1.5309470499731193E-2</v>
      </c>
      <c r="R218" s="98">
        <f>Параметры!R122</f>
        <v>1.5309470499731193E-2</v>
      </c>
      <c r="S218" s="98">
        <f>Параметры!S122</f>
        <v>1.5309470499731193E-2</v>
      </c>
      <c r="T218" s="98">
        <f>Параметры!T122</f>
        <v>1.5309470499731193E-2</v>
      </c>
      <c r="U218" s="98">
        <f>Параметры!U122</f>
        <v>1.5309470499731193E-2</v>
      </c>
      <c r="V218" s="98">
        <f>Параметры!V122</f>
        <v>1.5309470499731193E-2</v>
      </c>
      <c r="W218" s="98">
        <f>Параметры!W122</f>
        <v>1.5309470499731193E-2</v>
      </c>
      <c r="X218" s="98">
        <f>Параметры!X122</f>
        <v>1.5309470499731193E-2</v>
      </c>
      <c r="Y218" s="98">
        <f>Параметры!Y122</f>
        <v>1.5309470499731193E-2</v>
      </c>
      <c r="Z218" s="98">
        <f>Параметры!Z122</f>
        <v>1.5309470499731193E-2</v>
      </c>
      <c r="AA218" s="98">
        <f>Параметры!AA122</f>
        <v>1.5309470499731193E-2</v>
      </c>
      <c r="AB218" s="98">
        <f>Параметры!AB122</f>
        <v>1.5309470499731193E-2</v>
      </c>
      <c r="AC218" s="98">
        <f>Параметры!AC122</f>
        <v>1.5309470499731193E-2</v>
      </c>
      <c r="AD218" s="98">
        <f>Параметры!AD122</f>
        <v>1.5309470499731193E-2</v>
      </c>
      <c r="AE218" s="98">
        <f>Параметры!AE122</f>
        <v>1.5309470499731193E-2</v>
      </c>
      <c r="AF218" s="98">
        <f>Параметры!AF122</f>
        <v>1.5309470499731193E-2</v>
      </c>
      <c r="AG218" s="98">
        <f>Параметры!AG122</f>
        <v>1.5309470499731193E-2</v>
      </c>
      <c r="AH218" s="98">
        <f>Параметры!AH122</f>
        <v>1.5309470499731193E-2</v>
      </c>
      <c r="AI218" s="98">
        <f>Параметры!AI122</f>
        <v>1.5309470499731193E-2</v>
      </c>
      <c r="AJ218" s="98">
        <f>Параметры!AJ122</f>
        <v>1.5309470499731193E-2</v>
      </c>
      <c r="AK218" s="98">
        <f>Параметры!AK122</f>
        <v>1.5309470499731193E-2</v>
      </c>
      <c r="AL218" s="98">
        <f>Параметры!AL122</f>
        <v>1.5309470499731193E-2</v>
      </c>
      <c r="AM218" s="98">
        <f>Параметры!AM122</f>
        <v>1.5309470499731193E-2</v>
      </c>
      <c r="AN218" s="98">
        <f>Параметры!AN122</f>
        <v>1.5309470499731193E-2</v>
      </c>
      <c r="AO218" s="98">
        <f>Параметры!AO122</f>
        <v>1.5309470499731193E-2</v>
      </c>
      <c r="AP218" s="98">
        <f>Параметры!AP122</f>
        <v>1.5309470499731193E-2</v>
      </c>
      <c r="AQ218" s="98">
        <f>Параметры!AQ122</f>
        <v>1.5309470499731193E-2</v>
      </c>
      <c r="AR218" s="98">
        <f>Параметры!AR122</f>
        <v>1.5309470499731193E-2</v>
      </c>
      <c r="AS218" s="98">
        <f>Параметры!AS122</f>
        <v>1.5309470499731193E-2</v>
      </c>
      <c r="AT218" s="98">
        <f>Параметры!AT122</f>
        <v>1.5309470499731193E-2</v>
      </c>
      <c r="AU218" s="98">
        <f>Параметры!AU122</f>
        <v>1.5309470499731193E-2</v>
      </c>
      <c r="AV218" s="98">
        <f>Параметры!AV122</f>
        <v>1.5309470499731193E-2</v>
      </c>
      <c r="AW218" s="98">
        <f>Параметры!AW122</f>
        <v>1.5309470499731193E-2</v>
      </c>
      <c r="AX218" s="98">
        <f>Параметры!AX122</f>
        <v>1.5309470499731193E-2</v>
      </c>
      <c r="AY218" s="98">
        <f>Параметры!AY122</f>
        <v>1.5309470499731193E-2</v>
      </c>
      <c r="AZ218" s="98">
        <f>Параметры!AZ122</f>
        <v>1.5309470499731193E-2</v>
      </c>
      <c r="BA218" s="98">
        <f>Параметры!BA122</f>
        <v>1.5309470499731193E-2</v>
      </c>
      <c r="BB218" s="98">
        <f>Параметры!BB122</f>
        <v>1.5309470499731193E-2</v>
      </c>
    </row>
    <row r="219" spans="1:54" outlineLevel="1" x14ac:dyDescent="0.3">
      <c r="A219" s="35" t="str">
        <f ca="1">Language!A$463</f>
        <v>коэффициент дисконта на начало периода</v>
      </c>
      <c r="B219" s="17"/>
      <c r="C219" s="5"/>
      <c r="F219" s="6" t="s">
        <v>745</v>
      </c>
      <c r="G219" s="31">
        <v>1</v>
      </c>
      <c r="H219" s="31">
        <f>G219*(1+G218)</f>
        <v>1.0153094704997312</v>
      </c>
      <c r="I219" s="31">
        <f t="shared" ref="I219:BB219" si="750">H219*(1+H218)</f>
        <v>1.0308533208864445</v>
      </c>
      <c r="J219" s="31">
        <f t="shared" si="750"/>
        <v>1.0466351393921054</v>
      </c>
      <c r="K219" s="31">
        <f t="shared" si="750"/>
        <v>1.0626585691826109</v>
      </c>
      <c r="L219" s="31">
        <f t="shared" si="750"/>
        <v>1.0789273091987988</v>
      </c>
      <c r="M219" s="31">
        <f t="shared" si="750"/>
        <v>1.0954451150103321</v>
      </c>
      <c r="N219" s="31">
        <f t="shared" si="750"/>
        <v>1.1122157996826574</v>
      </c>
      <c r="O219" s="31">
        <f t="shared" si="750"/>
        <v>1.1292432346572339</v>
      </c>
      <c r="P219" s="31">
        <f t="shared" si="750"/>
        <v>1.1465313506452399</v>
      </c>
      <c r="Q219" s="31">
        <f t="shared" si="750"/>
        <v>1.1640841385349603</v>
      </c>
      <c r="R219" s="31">
        <f t="shared" si="750"/>
        <v>1.1819056503130663</v>
      </c>
      <c r="S219" s="31">
        <f t="shared" si="750"/>
        <v>1.1999999999999997</v>
      </c>
      <c r="T219" s="31">
        <f t="shared" si="750"/>
        <v>1.2183713645996772</v>
      </c>
      <c r="U219" s="31">
        <f t="shared" si="750"/>
        <v>1.2370239850637332</v>
      </c>
      <c r="V219" s="31">
        <f t="shared" si="750"/>
        <v>1.2559621672705263</v>
      </c>
      <c r="W219" s="31">
        <f t="shared" si="750"/>
        <v>1.2751902830191328</v>
      </c>
      <c r="X219" s="31">
        <f t="shared" si="750"/>
        <v>1.2947127710385582</v>
      </c>
      <c r="Y219" s="31">
        <f t="shared" si="750"/>
        <v>1.3145341380123983</v>
      </c>
      <c r="Z219" s="31">
        <f t="shared" si="750"/>
        <v>1.3346589596191887</v>
      </c>
      <c r="AA219" s="31">
        <f t="shared" si="750"/>
        <v>1.3550918815886805</v>
      </c>
      <c r="AB219" s="31">
        <f t="shared" si="750"/>
        <v>1.3758376207742877</v>
      </c>
      <c r="AC219" s="31">
        <f t="shared" si="750"/>
        <v>1.396900966241952</v>
      </c>
      <c r="AD219" s="31">
        <f t="shared" si="750"/>
        <v>1.4182867803756791</v>
      </c>
      <c r="AE219" s="31">
        <f t="shared" si="750"/>
        <v>1.4399999999999993</v>
      </c>
      <c r="AF219" s="31">
        <f t="shared" si="750"/>
        <v>1.4620456375196123</v>
      </c>
      <c r="AG219" s="31">
        <f t="shared" si="750"/>
        <v>1.4844287820764794</v>
      </c>
      <c r="AH219" s="31">
        <f t="shared" si="750"/>
        <v>1.5071546007246313</v>
      </c>
      <c r="AI219" s="31">
        <f t="shared" si="750"/>
        <v>1.5302283396229592</v>
      </c>
      <c r="AJ219" s="31">
        <f t="shared" si="750"/>
        <v>1.5536553252462695</v>
      </c>
      <c r="AK219" s="31">
        <f t="shared" si="750"/>
        <v>1.5774409656148776</v>
      </c>
      <c r="AL219" s="31">
        <f t="shared" si="750"/>
        <v>1.6015907515430261</v>
      </c>
      <c r="AM219" s="31">
        <f t="shared" si="750"/>
        <v>1.6261102579064164</v>
      </c>
      <c r="AN219" s="31">
        <f t="shared" si="750"/>
        <v>1.651005144929145</v>
      </c>
      <c r="AO219" s="31">
        <f t="shared" si="750"/>
        <v>1.6762811594903422</v>
      </c>
      <c r="AP219" s="31">
        <f t="shared" si="750"/>
        <v>1.7019441364508148</v>
      </c>
      <c r="AQ219" s="31">
        <f t="shared" si="750"/>
        <v>1.7279999999999991</v>
      </c>
      <c r="AR219" s="31">
        <f t="shared" si="750"/>
        <v>1.7544547650235345</v>
      </c>
      <c r="AS219" s="31">
        <f t="shared" si="750"/>
        <v>1.781314538491775</v>
      </c>
      <c r="AT219" s="31">
        <f t="shared" si="750"/>
        <v>1.8085855208695572</v>
      </c>
      <c r="AU219" s="31">
        <f t="shared" si="750"/>
        <v>1.8362740075475505</v>
      </c>
      <c r="AV219" s="31">
        <f t="shared" si="750"/>
        <v>1.8643863902955229</v>
      </c>
      <c r="AW219" s="31">
        <f t="shared" si="750"/>
        <v>1.8929291587378525</v>
      </c>
      <c r="AX219" s="31">
        <f t="shared" si="750"/>
        <v>1.9219089018516307</v>
      </c>
      <c r="AY219" s="31">
        <f t="shared" si="750"/>
        <v>1.9513323094876989</v>
      </c>
      <c r="AZ219" s="31">
        <f t="shared" si="750"/>
        <v>1.9812061739149731</v>
      </c>
      <c r="BA219" s="31">
        <f t="shared" si="750"/>
        <v>2.0115373913884098</v>
      </c>
      <c r="BB219" s="31">
        <f t="shared" si="750"/>
        <v>2.0423329637409768</v>
      </c>
    </row>
    <row r="220" spans="1:54" outlineLevel="1" x14ac:dyDescent="0.3">
      <c r="A220" s="35" t="str">
        <f ca="1">Language!A1497</f>
        <v>множитель для дисконтирования</v>
      </c>
      <c r="B220" s="17"/>
      <c r="C220" s="5"/>
      <c r="F220" s="6" t="s">
        <v>745</v>
      </c>
      <c r="G220" s="127">
        <v>1</v>
      </c>
      <c r="H220" s="127">
        <f>1/H219</f>
        <v>0.98492137526088874</v>
      </c>
      <c r="I220" s="127">
        <f t="shared" ref="I220:M220" si="751">1/I219</f>
        <v>0.97007011544580046</v>
      </c>
      <c r="J220" s="127">
        <f t="shared" si="751"/>
        <v>0.95544279220436701</v>
      </c>
      <c r="K220" s="127">
        <f t="shared" si="751"/>
        <v>0.94103602888102866</v>
      </c>
      <c r="L220" s="127">
        <f t="shared" si="751"/>
        <v>0.926846499735548</v>
      </c>
      <c r="M220" s="127">
        <f t="shared" si="751"/>
        <v>0.9128709291752769</v>
      </c>
      <c r="N220" s="127">
        <f t="shared" ref="N220:O220" si="752">1/N219</f>
        <v>0.89910609099899919</v>
      </c>
      <c r="O220" s="127">
        <f t="shared" si="752"/>
        <v>0.88554880765217614</v>
      </c>
      <c r="P220" s="127">
        <f t="shared" ref="P220:Q220" si="753">1/P219</f>
        <v>0.8721959494934215</v>
      </c>
      <c r="Q220" s="127">
        <f t="shared" si="753"/>
        <v>0.85904443407203723</v>
      </c>
      <c r="R220" s="127">
        <f t="shared" ref="R220:S220" si="754">1/R219</f>
        <v>0.84609122541644277</v>
      </c>
      <c r="S220" s="127">
        <f t="shared" si="754"/>
        <v>0.83333333333333348</v>
      </c>
      <c r="T220" s="127">
        <f t="shared" ref="T220:U220" si="755">1/T219</f>
        <v>0.8207678127174074</v>
      </c>
      <c r="U220" s="127">
        <f t="shared" si="755"/>
        <v>0.8083917628715005</v>
      </c>
      <c r="V220" s="127">
        <f t="shared" ref="V220:W220" si="756">1/V219</f>
        <v>0.79620232683697256</v>
      </c>
      <c r="W220" s="127">
        <f t="shared" si="756"/>
        <v>0.78419669073419063</v>
      </c>
      <c r="X220" s="127">
        <f t="shared" ref="X220:Y220" si="757">1/X219</f>
        <v>0.77237208311295691</v>
      </c>
      <c r="Y220" s="127">
        <f t="shared" si="757"/>
        <v>0.76072577431273092</v>
      </c>
      <c r="Z220" s="127">
        <f t="shared" ref="Z220:AA220" si="758">1/Z219</f>
        <v>0.7492550758324994</v>
      </c>
      <c r="AA220" s="127">
        <f t="shared" si="758"/>
        <v>0.73795733971014688</v>
      </c>
      <c r="AB220" s="127">
        <f t="shared" ref="AB220:AC220" si="759">1/AB219</f>
        <v>0.72682995791118465</v>
      </c>
      <c r="AC220" s="127">
        <f t="shared" si="759"/>
        <v>0.71587036172669793</v>
      </c>
      <c r="AD220" s="127">
        <f t="shared" ref="AD220:AE220" si="760">1/AD219</f>
        <v>0.70507602118036927</v>
      </c>
      <c r="AE220" s="127">
        <f t="shared" si="760"/>
        <v>0.69444444444444475</v>
      </c>
      <c r="AF220" s="127">
        <f t="shared" ref="AF220:AG220" si="761">1/AF219</f>
        <v>0.68397317726450635</v>
      </c>
      <c r="AG220" s="127">
        <f t="shared" si="761"/>
        <v>0.67365980239291723</v>
      </c>
      <c r="AH220" s="127">
        <f t="shared" ref="AH220:AI220" si="762">1/AH219</f>
        <v>0.66350193903081056</v>
      </c>
      <c r="AI220" s="127">
        <f t="shared" si="762"/>
        <v>0.65349724227849226</v>
      </c>
      <c r="AJ220" s="127">
        <f t="shared" ref="AJ220:AK220" si="763">1/AJ219</f>
        <v>0.64364340259413089</v>
      </c>
      <c r="AK220" s="127">
        <f t="shared" si="763"/>
        <v>0.63393814526060932</v>
      </c>
      <c r="AL220" s="127">
        <f t="shared" ref="AL220:AM220" si="764">1/AL219</f>
        <v>0.62437922986041627</v>
      </c>
      <c r="AM220" s="127">
        <f t="shared" si="764"/>
        <v>0.61496444975845577</v>
      </c>
      <c r="AN220" s="127">
        <f t="shared" ref="AN220:AO220" si="765">1/AN219</f>
        <v>0.60569163159265405</v>
      </c>
      <c r="AO220" s="127">
        <f t="shared" si="765"/>
        <v>0.59655863477224835</v>
      </c>
      <c r="AP220" s="127">
        <f t="shared" ref="AP220:AQ220" si="766">1/AP219</f>
        <v>0.5875633509836411</v>
      </c>
      <c r="AQ220" s="127">
        <f t="shared" si="766"/>
        <v>0.57870370370370405</v>
      </c>
      <c r="AR220" s="127">
        <f t="shared" ref="AR220:AS220" si="767">1/AR219</f>
        <v>0.56997764772042203</v>
      </c>
      <c r="AS220" s="127">
        <f t="shared" si="767"/>
        <v>0.56138316866076454</v>
      </c>
      <c r="AT220" s="127">
        <f t="shared" ref="AT220:AU220" si="768">1/AT219</f>
        <v>0.55291828252567565</v>
      </c>
      <c r="AU220" s="127">
        <f t="shared" si="768"/>
        <v>0.54458103523207713</v>
      </c>
      <c r="AV220" s="127">
        <f t="shared" ref="AV220:AW220" si="769">1/AV219</f>
        <v>0.53636950216177592</v>
      </c>
      <c r="AW220" s="127">
        <f t="shared" si="769"/>
        <v>0.5282817877171746</v>
      </c>
      <c r="AX220" s="127">
        <f t="shared" ref="AX220:AY220" si="770">1/AX219</f>
        <v>0.52031602488368045</v>
      </c>
      <c r="AY220" s="127">
        <f t="shared" si="770"/>
        <v>0.51247037479871338</v>
      </c>
      <c r="AZ220" s="127">
        <f t="shared" ref="AZ220:BA220" si="771">1/AZ219</f>
        <v>0.50474302632721191</v>
      </c>
      <c r="BA220" s="127">
        <f t="shared" si="771"/>
        <v>0.4971321956435405</v>
      </c>
      <c r="BB220" s="127">
        <f t="shared" ref="BB220" si="772">1/BB219</f>
        <v>0.48963612581970112</v>
      </c>
    </row>
    <row r="221" spans="1:54" x14ac:dyDescent="0.3">
      <c r="A221" s="10" t="str">
        <f ca="1">Language!A1496</f>
        <v>Приведенная стоимость будущих денежных потоков (NPV CFADS)</v>
      </c>
      <c r="C221" s="48" t="str">
        <f ca="1">Параметры!$C$64</f>
        <v>руб.</v>
      </c>
      <c r="E221" s="6" t="s">
        <v>2260</v>
      </c>
      <c r="F221" s="6" t="s">
        <v>740</v>
      </c>
      <c r="G221" s="85">
        <f ca="1">SUMPRODUCT(OFFSET(G216,,1):OFFSET(G216,0,COLUMN(G2)+(Prj_Len-G2)),OFFSET(G220,,1):OFFSET(G220,0,COLUMN(G2)+(Prj_Len-G2)))</f>
        <v>71303834.676285639</v>
      </c>
      <c r="H221" s="85">
        <f ca="1">SUMPRODUCT(OFFSET(H216,,1):OFFSET(H216,0,COLUMN(H2)+(Prj_Len-H2)),OFFSET(H220,,1):OFFSET(H220,0,COLUMN(H2)+(Prj_Len-H2)))</f>
        <v>72937162.951900423</v>
      </c>
      <c r="I221" s="85">
        <f ca="1">SUMPRODUCT(OFFSET(I216,,1):OFFSET(I216,0,COLUMN(I2)+(Prj_Len-I2)),OFFSET(I220,,1):OFFSET(I220,0,COLUMN(I2)+(Prj_Len-I2)))</f>
        <v>205505327.49848425</v>
      </c>
      <c r="J221" s="85">
        <f ca="1">SUMPRODUCT(OFFSET(J216,,1):OFFSET(J216,0,COLUMN(J2)+(Prj_Len-J2)),OFFSET(J220,,1):OFFSET(J220,0,COLUMN(J2)+(Prj_Len-J2)))</f>
        <v>223077512.85177627</v>
      </c>
      <c r="K221" s="85">
        <f ca="1">SUMPRODUCT(OFFSET(K216,,1):OFFSET(K216,0,COLUMN(K2)+(Prj_Len-K2)),OFFSET(K220,,1):OFFSET(K220,0,COLUMN(K2)+(Prj_Len-K2)))</f>
        <v>239098651.24347579</v>
      </c>
      <c r="L221" s="85">
        <f ca="1">SUMPRODUCT(OFFSET(L216,,1):OFFSET(L216,0,COLUMN(L2)+(Prj_Len-L2)),OFFSET(L220,,1):OFFSET(L220,0,COLUMN(L2)+(Prj_Len-L2)))</f>
        <v>256618761.17048782</v>
      </c>
      <c r="M221" s="85">
        <f ca="1">SUMPRODUCT(OFFSET(M216,,1):OFFSET(M216,0,COLUMN(M2)+(Prj_Len-M2)),OFFSET(M220,,1):OFFSET(M220,0,COLUMN(M2)+(Prj_Len-M2)))</f>
        <v>263818499.59281915</v>
      </c>
      <c r="N221" s="85">
        <f ca="1">SUMPRODUCT(OFFSET(N216,,1):OFFSET(N216,0,COLUMN(N2)+(Prj_Len-N2)),OFFSET(N220,,1):OFFSET(N220,0,COLUMN(N2)+(Prj_Len-N2)))</f>
        <v>269421764.63397008</v>
      </c>
      <c r="O221" s="85">
        <f ca="1">SUMPRODUCT(OFFSET(O216,,1):OFFSET(O216,0,COLUMN(O2)+(Prj_Len-O2)),OFFSET(O220,,1):OFFSET(O220,0,COLUMN(O2)+(Prj_Len-O2)))</f>
        <v>264443852.0349181</v>
      </c>
      <c r="P221" s="85">
        <f ca="1">SUMPRODUCT(OFFSET(P216,,1):OFFSET(P216,0,COLUMN(P2)+(Prj_Len-P2)),OFFSET(P220,,1):OFFSET(P220,0,COLUMN(P2)+(Prj_Len-P2)))</f>
        <v>257762004.20633987</v>
      </c>
      <c r="Q221" s="85">
        <f ca="1">SUMPRODUCT(OFFSET(Q216,,1):OFFSET(Q216,0,COLUMN(Q2)+(Prj_Len-Q2)),OFFSET(Q220,,1):OFFSET(Q220,0,COLUMN(Q2)+(Prj_Len-Q2)))</f>
        <v>250656177.42424607</v>
      </c>
      <c r="R221" s="85">
        <f ca="1">SUMPRODUCT(OFFSET(R216,,1):OFFSET(R216,0,COLUMN(R2)+(Prj_Len-R2)),OFFSET(R220,,1):OFFSET(R220,0,COLUMN(R2)+(Prj_Len-R2)))</f>
        <v>244175455.99805075</v>
      </c>
      <c r="S221" s="85">
        <f ca="1">SUMPRODUCT(OFFSET(S216,,1):OFFSET(S216,0,COLUMN(S2)+(Prj_Len-S2)),OFFSET(S220,,1):OFFSET(S220,0,COLUMN(S2)+(Prj_Len-S2)))</f>
        <v>235063414.32380611</v>
      </c>
      <c r="T221" s="85">
        <f ca="1">SUMPRODUCT(OFFSET(T216,,1):OFFSET(T216,0,COLUMN(T2)+(Prj_Len-T2)),OFFSET(T220,,1):OFFSET(T220,0,COLUMN(T2)+(Prj_Len-T2)))</f>
        <v>226110595.95115682</v>
      </c>
      <c r="U221" s="85">
        <f ca="1">SUMPRODUCT(OFFSET(U216,,1):OFFSET(U216,0,COLUMN(U2)+(Prj_Len-U2)),OFFSET(U220,,1):OFFSET(U220,0,COLUMN(U2)+(Prj_Len-U2)))</f>
        <v>218720210.39740115</v>
      </c>
      <c r="V221" s="85">
        <f ca="1">SUMPRODUCT(OFFSET(V216,,1):OFFSET(V216,0,COLUMN(V2)+(Prj_Len-V2)),OFFSET(V220,,1):OFFSET(V220,0,COLUMN(V2)+(Prj_Len-V2)))</f>
        <v>211607719.62354875</v>
      </c>
      <c r="W221" s="85">
        <f ca="1">SUMPRODUCT(OFFSET(W216,,1):OFFSET(W216,0,COLUMN(W2)+(Prj_Len-W2)),OFFSET(W220,,1):OFFSET(W220,0,COLUMN(W2)+(Prj_Len-W2)))</f>
        <v>206665176.99407497</v>
      </c>
      <c r="X221" s="85">
        <f ca="1">SUMPRODUCT(OFFSET(X216,,1):OFFSET(X216,0,COLUMN(X2)+(Prj_Len-X2)),OFFSET(X220,,1):OFFSET(X220,0,COLUMN(X2)+(Prj_Len-X2)))</f>
        <v>199303588.01948357</v>
      </c>
      <c r="Y221" s="85">
        <f ca="1">SUMPRODUCT(OFFSET(Y216,,1):OFFSET(Y216,0,COLUMN(Y2)+(Prj_Len-Y2)),OFFSET(Y220,,1):OFFSET(Y220,0,COLUMN(Y2)+(Prj_Len-Y2)))</f>
        <v>188611856.14011753</v>
      </c>
      <c r="Z221" s="85">
        <f ca="1">SUMPRODUCT(OFFSET(Z216,,1):OFFSET(Z216,0,COLUMN(Z2)+(Prj_Len-Z2)),OFFSET(Z220,,1):OFFSET(Z220,0,COLUMN(Z2)+(Prj_Len-Z2)))</f>
        <v>176195699.10266298</v>
      </c>
      <c r="AA221" s="85">
        <f ca="1">SUMPRODUCT(OFFSET(AA216,,1):OFFSET(AA216,0,COLUMN(AA2)+(Prj_Len-AA2)),OFFSET(AA220,,1):OFFSET(AA220,0,COLUMN(AA2)+(Prj_Len-AA2)))</f>
        <v>166573319.38838914</v>
      </c>
      <c r="AB221" s="85">
        <f ca="1">SUMPRODUCT(OFFSET(AB216,,1):OFFSET(AB216,0,COLUMN(AB2)+(Prj_Len-AB2)),OFFSET(AB220,,1):OFFSET(AB220,0,COLUMN(AB2)+(Prj_Len-AB2)))</f>
        <v>160442374.72148582</v>
      </c>
      <c r="AC221" s="85">
        <f ca="1">SUMPRODUCT(OFFSET(AC216,,1):OFFSET(AC216,0,COLUMN(AC2)+(Prj_Len-AC2)),OFFSET(AC220,,1):OFFSET(AC220,0,COLUMN(AC2)+(Prj_Len-AC2)))</f>
        <v>155648042.05233583</v>
      </c>
      <c r="AD221" s="85">
        <f ca="1">SUMPRODUCT(OFFSET(AD216,,1):OFFSET(AD216,0,COLUMN(AD2)+(Prj_Len-AD2)),OFFSET(AD220,,1):OFFSET(AD220,0,COLUMN(AD2)+(Prj_Len-AD2)))</f>
        <v>150540190.44373739</v>
      </c>
      <c r="AE221" s="85">
        <f ca="1">SUMPRODUCT(OFFSET(AE216,,1):OFFSET(AE216,0,COLUMN(AE2)+(Prj_Len-AE2)),OFFSET(AE220,,1):OFFSET(AE220,0,COLUMN(AE2)+(Prj_Len-AE2)))</f>
        <v>142734498.60910326</v>
      </c>
      <c r="AF221" s="85">
        <f ca="1">SUMPRODUCT(OFFSET(AF216,,1):OFFSET(AF216,0,COLUMN(AF2)+(Prj_Len-AF2)),OFFSET(AF220,,1):OFFSET(AF220,0,COLUMN(AF2)+(Prj_Len-AF2)))</f>
        <v>134995147.36667138</v>
      </c>
      <c r="AG221" s="85">
        <f ca="1">SUMPRODUCT(OFFSET(AG216,,1):OFFSET(AG216,0,COLUMN(AG2)+(Prj_Len-AG2)),OFFSET(AG220,,1):OFFSET(AG220,0,COLUMN(AG2)+(Prj_Len-AG2)))</f>
        <v>128610462.89142521</v>
      </c>
      <c r="AH221" s="85">
        <f ca="1">SUMPRODUCT(OFFSET(AH216,,1):OFFSET(AH216,0,COLUMN(AH2)+(Prj_Len-AH2)),OFFSET(AH220,,1):OFFSET(AH220,0,COLUMN(AH2)+(Prj_Len-AH2)))</f>
        <v>122455570.89098719</v>
      </c>
      <c r="AI221" s="85">
        <f ca="1">SUMPRODUCT(OFFSET(AI216,,1):OFFSET(AI216,0,COLUMN(AI2)+(Prj_Len-AI2)),OFFSET(AI220,,1):OFFSET(AI220,0,COLUMN(AI2)+(Prj_Len-AI2)))</f>
        <v>118244467.55735944</v>
      </c>
      <c r="AJ221" s="85">
        <f ca="1">SUMPRODUCT(OFFSET(AJ216,,1):OFFSET(AJ216,0,COLUMN(AJ2)+(Prj_Len-AJ2)),OFFSET(AJ220,,1):OFFSET(AJ220,0,COLUMN(AJ2)+(Prj_Len-AJ2)))</f>
        <v>111935967.15000565</v>
      </c>
      <c r="AK221" s="85">
        <f ca="1">SUMPRODUCT(OFFSET(AK216,,1):OFFSET(AK216,0,COLUMN(AK2)+(Prj_Len-AK2)),OFFSET(AK220,,1):OFFSET(AK220,0,COLUMN(AK2)+(Prj_Len-AK2)))</f>
        <v>102729099.12557986</v>
      </c>
      <c r="AL221" s="85">
        <f ca="1">SUMPRODUCT(OFFSET(AL216,,1):OFFSET(AL216,0,COLUMN(AL2)+(Prj_Len-AL2)),OFFSET(AL220,,1):OFFSET(AL220,0,COLUMN(AL2)+(Prj_Len-AL2)))</f>
        <v>91969477.037089854</v>
      </c>
      <c r="AM221" s="85">
        <f ca="1">SUMPRODUCT(OFFSET(AM216,,1):OFFSET(AM216,0,COLUMN(AM2)+(Prj_Len-AM2)),OFFSET(AM220,,1):OFFSET(AM220,0,COLUMN(AM2)+(Prj_Len-AM2)))</f>
        <v>83621808.932939932</v>
      </c>
      <c r="AN221" s="85">
        <f ca="1">SUMPRODUCT(OFFSET(AN216,,1):OFFSET(AN216,0,COLUMN(AN2)+(Prj_Len-AN2)),OFFSET(AN220,,1):OFFSET(AN220,0,COLUMN(AN2)+(Prj_Len-AN2)))</f>
        <v>78317555.990387052</v>
      </c>
      <c r="AO221" s="85">
        <f ca="1">SUMPRODUCT(OFFSET(AO216,,1):OFFSET(AO216,0,COLUMN(AO2)+(Prj_Len-AO2)),OFFSET(AO220,,1):OFFSET(AO220,0,COLUMN(AO2)+(Prj_Len-AO2)))</f>
        <v>74200040.187201634</v>
      </c>
      <c r="AP221" s="85">
        <f ca="1">SUMPRODUCT(OFFSET(AP216,,1):OFFSET(AP216,0,COLUMN(AP2)+(Prj_Len-AP2)),OFFSET(AP220,,1):OFFSET(AP220,0,COLUMN(AP2)+(Prj_Len-AP2)))</f>
        <v>69841805.064197317</v>
      </c>
      <c r="AQ221" s="85">
        <f ca="1">SUMPRODUCT(OFFSET(AQ216,,1):OFFSET(AQ216,0,COLUMN(AQ2)+(Prj_Len-AQ2)),OFFSET(AQ220,,1):OFFSET(AQ220,0,COLUMN(AQ2)+(Prj_Len-AQ2)))</f>
        <v>63113543.385110281</v>
      </c>
      <c r="AR221" s="85">
        <f ca="1">SUMPRODUCT(OFFSET(AR216,,1):OFFSET(AR216,0,COLUMN(AR2)+(Prj_Len-AR2)),OFFSET(AR220,,1):OFFSET(AR220,0,COLUMN(AR2)+(Prj_Len-AR2)))</f>
        <v>56435330.245770119</v>
      </c>
      <c r="AS221" s="85">
        <f ca="1">SUMPRODUCT(OFFSET(AS216,,1):OFFSET(AS216,0,COLUMN(AS2)+(Prj_Len-AS2)),OFFSET(AS220,,1):OFFSET(AS220,0,COLUMN(AS2)+(Prj_Len-AS2)))</f>
        <v>50929879.562794305</v>
      </c>
      <c r="AT221" s="85">
        <f ca="1">SUMPRODUCT(OFFSET(AT216,,1):OFFSET(AT216,0,COLUMN(AT2)+(Prj_Len-AT2)),OFFSET(AT220,,1):OFFSET(AT220,0,COLUMN(AT2)+(Prj_Len-AT2)))</f>
        <v>45612729.357879579</v>
      </c>
      <c r="AU221" s="85">
        <f ca="1">SUMPRODUCT(OFFSET(AU216,,1):OFFSET(AU216,0,COLUMN(AU2)+(Prj_Len-AU2)),OFFSET(AU220,,1):OFFSET(AU220,0,COLUMN(AU2)+(Prj_Len-AU2)))</f>
        <v>42037874.542055897</v>
      </c>
      <c r="AV221" s="85">
        <f ca="1">SUMPRODUCT(OFFSET(AV216,,1):OFFSET(AV216,0,COLUMN(AV2)+(Prj_Len-AV2)),OFFSET(AV220,,1):OFFSET(AV220,0,COLUMN(AV2)+(Prj_Len-AV2)))</f>
        <v>36647235.977309152</v>
      </c>
      <c r="AW221" s="85">
        <f ca="1">SUMPRODUCT(OFFSET(AW216,,1):OFFSET(AW216,0,COLUMN(AW2)+(Prj_Len-AW2)),OFFSET(AW220,,1):OFFSET(AW220,0,COLUMN(AW2)+(Prj_Len-AW2)))</f>
        <v>28736877.167775571</v>
      </c>
      <c r="AX221" s="85">
        <f ca="1">SUMPRODUCT(OFFSET(AX216,,1):OFFSET(AX216,0,COLUMN(AX2)+(Prj_Len-AX2)),OFFSET(AX220,,1):OFFSET(AX220,0,COLUMN(AX2)+(Prj_Len-AX2)))</f>
        <v>19427286.01444836</v>
      </c>
      <c r="AY221" s="85">
        <f ca="1">SUMPRODUCT(OFFSET(AY216,,1):OFFSET(AY216,0,COLUMN(AY2)+(Prj_Len-AY2)),OFFSET(AY220,,1):OFFSET(AY220,0,COLUMN(AY2)+(Prj_Len-AY2)))</f>
        <v>12195929.424941014</v>
      </c>
      <c r="AZ221" s="85">
        <f ca="1">SUMPRODUCT(OFFSET(AZ216,,1):OFFSET(AZ216,0,COLUMN(AZ2)+(Prj_Len-AZ2)),OFFSET(AZ220,,1):OFFSET(AZ220,0,COLUMN(AZ2)+(Prj_Len-AZ2)))</f>
        <v>7614827.4270009901</v>
      </c>
      <c r="BA221" s="85">
        <f ca="1">SUMPRODUCT(OFFSET(BA216,,1):OFFSET(BA216,0,COLUMN(BA2)+(Prj_Len-BA2)),OFFSET(BA220,,1):OFFSET(BA220,0,COLUMN(BA2)+(Prj_Len-BA2)))</f>
        <v>4087687.0859436882</v>
      </c>
      <c r="BB221" s="85">
        <f ca="1">SUMPRODUCT(OFFSET(BB216,,1):OFFSET(BB216,0,COLUMN(BB2)+(Prj_Len-BB2)),OFFSET(BB220,,1):OFFSET(BB220,0,COLUMN(BB2)+(Prj_Len-BB2)))</f>
        <v>0</v>
      </c>
    </row>
    <row r="222" spans="1:54" x14ac:dyDescent="0.3">
      <c r="A222" s="10" t="str">
        <f ca="1">Language!A1306</f>
        <v>Суммарная задолженность, TD</v>
      </c>
      <c r="C222" s="48" t="str">
        <f ca="1">Параметры!$C$64</f>
        <v>руб.</v>
      </c>
      <c r="E222" s="6" t="s">
        <v>2261</v>
      </c>
      <c r="F222" s="6" t="s">
        <v>745</v>
      </c>
      <c r="G222" s="85">
        <f>SUM(G188,G192)</f>
        <v>216263542.6875</v>
      </c>
      <c r="H222" s="85">
        <f t="shared" ref="H222:M222" si="773">SUM(H188,H192)</f>
        <v>220677084.375</v>
      </c>
      <c r="I222" s="85">
        <f t="shared" si="773"/>
        <v>225090626.0625</v>
      </c>
      <c r="J222" s="85">
        <f t="shared" si="773"/>
        <v>229504167.75</v>
      </c>
      <c r="K222" s="85">
        <f t="shared" si="773"/>
        <v>233917709.4375</v>
      </c>
      <c r="L222" s="85">
        <f t="shared" si="773"/>
        <v>238331251.125</v>
      </c>
      <c r="M222" s="85">
        <f t="shared" si="773"/>
        <v>241723959.47916666</v>
      </c>
      <c r="N222" s="85">
        <f t="shared" ref="N222:O222" si="774">SUM(N188,N192)</f>
        <v>244075001.16666669</v>
      </c>
      <c r="O222" s="85">
        <f t="shared" si="774"/>
        <v>241075001.16666669</v>
      </c>
      <c r="P222" s="85">
        <f t="shared" ref="P222:Q222" si="775">SUM(P188,P192)</f>
        <v>238075001.16666669</v>
      </c>
      <c r="Q222" s="85">
        <f t="shared" si="775"/>
        <v>235075001.16666669</v>
      </c>
      <c r="R222" s="85">
        <f t="shared" ref="R222:S222" si="776">SUM(R188,R192)</f>
        <v>231075001.16666669</v>
      </c>
      <c r="S222" s="85">
        <f t="shared" si="776"/>
        <v>227075001.16666669</v>
      </c>
      <c r="T222" s="85">
        <f t="shared" ref="T222:U222" si="777">SUM(T188,T192)</f>
        <v>223075001.16666669</v>
      </c>
      <c r="U222" s="85">
        <f t="shared" si="777"/>
        <v>219075001.16666669</v>
      </c>
      <c r="V222" s="85">
        <f t="shared" ref="V222:W222" si="778">SUM(V188,V192)</f>
        <v>214075001.16666669</v>
      </c>
      <c r="W222" s="85">
        <f t="shared" si="778"/>
        <v>209075001.16666669</v>
      </c>
      <c r="X222" s="85">
        <f t="shared" ref="X222:Y222" si="779">SUM(X188,X192)</f>
        <v>204075001.16666669</v>
      </c>
      <c r="Y222" s="85">
        <f t="shared" si="779"/>
        <v>196075001.16666669</v>
      </c>
      <c r="Z222" s="85">
        <f t="shared" ref="Z222:AA222" si="780">SUM(Z188,Z192)</f>
        <v>188075001.16666669</v>
      </c>
      <c r="AA222" s="85">
        <f t="shared" si="780"/>
        <v>180075001.16666669</v>
      </c>
      <c r="AB222" s="85">
        <f t="shared" ref="AB222:AC222" si="781">SUM(AB188,AB192)</f>
        <v>172075001.16666669</v>
      </c>
      <c r="AC222" s="85">
        <f t="shared" si="781"/>
        <v>164075001.16666669</v>
      </c>
      <c r="AD222" s="85">
        <f t="shared" ref="AD222:AE222" si="782">SUM(AD188,AD192)</f>
        <v>156075001.16666669</v>
      </c>
      <c r="AE222" s="85">
        <f t="shared" si="782"/>
        <v>148075001.16666669</v>
      </c>
      <c r="AF222" s="85">
        <f t="shared" ref="AF222:AG222" si="783">SUM(AF188,AF192)</f>
        <v>140075001.16666669</v>
      </c>
      <c r="AG222" s="85">
        <f t="shared" si="783"/>
        <v>132075001.16666669</v>
      </c>
      <c r="AH222" s="85">
        <f t="shared" ref="AH222:AI222" si="784">SUM(AH188,AH192)</f>
        <v>124075001.16666669</v>
      </c>
      <c r="AI222" s="85">
        <f t="shared" si="784"/>
        <v>116075001.16666669</v>
      </c>
      <c r="AJ222" s="85">
        <f t="shared" ref="AJ222:AK222" si="785">SUM(AJ188,AJ192)</f>
        <v>108075001.16666669</v>
      </c>
      <c r="AK222" s="85">
        <f t="shared" si="785"/>
        <v>100075001.16666669</v>
      </c>
      <c r="AL222" s="85">
        <f t="shared" ref="AL222:AM222" si="786">SUM(AL188,AL192)</f>
        <v>92075001.166666687</v>
      </c>
      <c r="AM222" s="85">
        <f t="shared" si="786"/>
        <v>84075001.166666687</v>
      </c>
      <c r="AN222" s="85">
        <f t="shared" ref="AN222:AO222" si="787">SUM(AN188,AN192)</f>
        <v>76075001.166666687</v>
      </c>
      <c r="AO222" s="85">
        <f t="shared" si="787"/>
        <v>68075001.166666687</v>
      </c>
      <c r="AP222" s="85">
        <f t="shared" ref="AP222:AQ222" si="788">SUM(AP188,AP192)</f>
        <v>60075001.166666687</v>
      </c>
      <c r="AQ222" s="85">
        <f t="shared" si="788"/>
        <v>52075001.166666687</v>
      </c>
      <c r="AR222" s="85">
        <f t="shared" ref="AR222:AS222" si="789">SUM(AR188,AR192)</f>
        <v>44075001.166666687</v>
      </c>
      <c r="AS222" s="85">
        <f t="shared" si="789"/>
        <v>36075001.166666687</v>
      </c>
      <c r="AT222" s="85">
        <f t="shared" ref="AT222:AU222" si="790">SUM(AT188,AT192)</f>
        <v>28075001.166666687</v>
      </c>
      <c r="AU222" s="85">
        <f t="shared" si="790"/>
        <v>20075001.166666687</v>
      </c>
      <c r="AV222" s="85">
        <f t="shared" ref="AV222:AW222" si="791">SUM(AV188,AV192)</f>
        <v>12075001.166666687</v>
      </c>
      <c r="AW222" s="85">
        <f t="shared" si="791"/>
        <v>4075001.1666666865</v>
      </c>
      <c r="AX222" s="85">
        <f t="shared" ref="AX222:AY222" si="792">SUM(AX188,AX192)</f>
        <v>0.16666668653488159</v>
      </c>
      <c r="AY222" s="85">
        <f t="shared" si="792"/>
        <v>0.16666668653488159</v>
      </c>
      <c r="AZ222" s="85">
        <f t="shared" ref="AZ222:BA222" si="793">SUM(AZ188,AZ192)</f>
        <v>0.16666668653488159</v>
      </c>
      <c r="BA222" s="85">
        <f t="shared" si="793"/>
        <v>0.16666668653488159</v>
      </c>
      <c r="BB222" s="85">
        <f t="shared" ref="BB222" si="794">SUM(BB188,BB192)</f>
        <v>0.16666668653488159</v>
      </c>
    </row>
    <row r="223" spans="1:54" x14ac:dyDescent="0.3">
      <c r="A223" s="43" t="str">
        <f ca="1">Language!A1495</f>
        <v>Коэффициент покрытия за весь срок кредита (LLCR)</v>
      </c>
      <c r="B223" s="80"/>
      <c r="C223" s="45" t="str">
        <f ca="1">Language!$A$1477</f>
        <v>раз</v>
      </c>
      <c r="D223" s="46"/>
      <c r="E223" s="46" t="s">
        <v>2262</v>
      </c>
      <c r="F223" s="46"/>
      <c r="G223" s="255">
        <f ca="1">IF(G222=0,0,G221/G222)</f>
        <v>0.32970806725070351</v>
      </c>
      <c r="H223" s="255">
        <f t="shared" ref="H223:M223" ca="1" si="795">IF(H222=0,0,H221/H222)</f>
        <v>0.33051534625116386</v>
      </c>
      <c r="I223" s="255">
        <f t="shared" ca="1" si="795"/>
        <v>0.91298927500171612</v>
      </c>
      <c r="J223" s="255">
        <f t="shared" ca="1" si="795"/>
        <v>0.97199765493921519</v>
      </c>
      <c r="K223" s="255">
        <f t="shared" ca="1" si="795"/>
        <v>1.0221485659142027</v>
      </c>
      <c r="L223" s="255">
        <f t="shared" ca="1" si="795"/>
        <v>1.0767314817472107</v>
      </c>
      <c r="M223" s="255">
        <f t="shared" ca="1" si="795"/>
        <v>1.0914040137405443</v>
      </c>
      <c r="N223" s="255">
        <f t="shared" ref="N223:O223" ca="1" si="796">IF(N222=0,0,N221/N222)</f>
        <v>1.1038482570773209</v>
      </c>
      <c r="O223" s="255">
        <f t="shared" ca="1" si="796"/>
        <v>1.096936018895196</v>
      </c>
      <c r="P223" s="255">
        <f t="shared" ref="P223:Q223" ca="1" si="797">IF(P222=0,0,P221/P222)</f>
        <v>1.082692441218938</v>
      </c>
      <c r="Q223" s="255">
        <f t="shared" ca="1" si="797"/>
        <v>1.0662817236211877</v>
      </c>
      <c r="R223" s="255">
        <f t="shared" ref="R223:S223" ca="1" si="798">IF(R222=0,0,R221/R222)</f>
        <v>1.0566935184041615</v>
      </c>
      <c r="S223" s="255">
        <f t="shared" ca="1" si="798"/>
        <v>1.0351796239836906</v>
      </c>
      <c r="T223" s="255">
        <f t="shared" ref="T223:U223" ca="1" si="799">IF(T222=0,0,T221/T222)</f>
        <v>1.0136079559278905</v>
      </c>
      <c r="U223" s="255">
        <f t="shared" ca="1" si="799"/>
        <v>0.99838050545531842</v>
      </c>
      <c r="V223" s="255">
        <f t="shared" ref="V223:W223" ca="1" si="800">IF(V222=0,0,V221/V222)</f>
        <v>0.98847468630306323</v>
      </c>
      <c r="W223" s="255">
        <f t="shared" ca="1" si="800"/>
        <v>0.98847387703386547</v>
      </c>
      <c r="X223" s="255">
        <f t="shared" ref="X223:Y223" ca="1" si="801">IF(X222=0,0,X221/X222)</f>
        <v>0.9766193158402271</v>
      </c>
      <c r="Y223" s="255">
        <f t="shared" ca="1" si="801"/>
        <v>0.961937294493726</v>
      </c>
      <c r="Z223" s="255">
        <f t="shared" ref="Z223:AA223" ca="1" si="802">IF(Z222=0,0,Z221/Z222)</f>
        <v>0.93683742129302661</v>
      </c>
      <c r="AA223" s="255">
        <f t="shared" ca="1" si="802"/>
        <v>0.92502189814908742</v>
      </c>
      <c r="AB223" s="255">
        <f t="shared" ref="AB223:AC223" ca="1" si="803">IF(AB222=0,0,AB221/AB222)</f>
        <v>0.93239792900588825</v>
      </c>
      <c r="AC223" s="255">
        <f t="shared" ca="1" si="803"/>
        <v>0.94863959131854103</v>
      </c>
      <c r="AD223" s="255">
        <f t="shared" ref="AD223:AE223" ca="1" si="804">IF(AD222=0,0,AD221/AD222)</f>
        <v>0.9645374936309058</v>
      </c>
      <c r="AE223" s="255">
        <f t="shared" ca="1" si="804"/>
        <v>0.96393380033438336</v>
      </c>
      <c r="AF223" s="255">
        <f t="shared" ref="AF223:AG223" ca="1" si="805">IF(AF222=0,0,AF221/AF222)</f>
        <v>0.96373475811039899</v>
      </c>
      <c r="AG223" s="255">
        <f t="shared" ca="1" si="805"/>
        <v>0.9737684024634643</v>
      </c>
      <c r="AH223" s="255">
        <f t="shared" ref="AH223:AI223" ca="1" si="806">IF(AH222=0,0,AH221/AH222)</f>
        <v>0.98694797291596104</v>
      </c>
      <c r="AI223" s="255">
        <f t="shared" ca="1" si="806"/>
        <v>1.0186902120946586</v>
      </c>
      <c r="AJ223" s="255">
        <f t="shared" ref="AJ223:AK223" ca="1" si="807">IF(AJ222=0,0,AJ221/AJ222)</f>
        <v>1.0357248757035387</v>
      </c>
      <c r="AK223" s="255">
        <f t="shared" ca="1" si="807"/>
        <v>1.0265210884633715</v>
      </c>
      <c r="AL223" s="255">
        <f t="shared" ref="AL223:AM223" ca="1" si="808">IF(AL222=0,0,AL221/AL222)</f>
        <v>0.99885393289992119</v>
      </c>
      <c r="AM223" s="255">
        <f t="shared" ca="1" si="808"/>
        <v>0.99460966723237543</v>
      </c>
      <c r="AN223" s="255">
        <f t="shared" ref="AN223:AO223" ca="1" si="809">IF(AN222=0,0,AN221/AN222)</f>
        <v>1.0294782095212505</v>
      </c>
      <c r="AO223" s="255">
        <f t="shared" ca="1" si="809"/>
        <v>1.0899748647163316</v>
      </c>
      <c r="AP223" s="255">
        <f t="shared" ref="AP223:AQ223" ca="1" si="810">IF(AP222=0,0,AP221/AP222)</f>
        <v>1.1625768407466941</v>
      </c>
      <c r="AQ223" s="255">
        <f t="shared" ca="1" si="810"/>
        <v>1.2119739216733689</v>
      </c>
      <c r="AR223" s="255">
        <f t="shared" ref="AR223:AS223" ca="1" si="811">IF(AR222=0,0,AR221/AR222)</f>
        <v>1.2804385423011941</v>
      </c>
      <c r="AS223" s="255">
        <f t="shared" ca="1" si="811"/>
        <v>1.4117776276013965</v>
      </c>
      <c r="AT223" s="255">
        <f t="shared" ref="AT223:AU223" ca="1" si="812">IF(AT222=0,0,AT221/AT222)</f>
        <v>1.6246741749751146</v>
      </c>
      <c r="AU223" s="255">
        <f t="shared" ca="1" si="812"/>
        <v>2.094040951382719</v>
      </c>
      <c r="AV223" s="255">
        <f t="shared" ref="AV223:AW223" ca="1" si="813">IF(AV222=0,0,AV221/AV222)</f>
        <v>3.034967489566351</v>
      </c>
      <c r="AW223" s="255">
        <f t="shared" ca="1" si="813"/>
        <v>7.0519923780247833</v>
      </c>
      <c r="AX223" s="255">
        <f t="shared" ref="AX223:AY223" ca="1" si="814">IF(AX222=0,0,AX221/AX222)</f>
        <v>116563702.19121403</v>
      </c>
      <c r="AY223" s="255">
        <f t="shared" ca="1" si="814"/>
        <v>73175567.826438636</v>
      </c>
      <c r="AZ223" s="255">
        <f t="shared" ref="AZ223:BA223" ca="1" si="815">IF(AZ222=0,0,AZ221/AZ222)</f>
        <v>45688959.115457587</v>
      </c>
      <c r="BA223" s="255">
        <f t="shared" ca="1" si="815"/>
        <v>24526119.591920838</v>
      </c>
      <c r="BB223" s="255">
        <f t="shared" ref="BB223" ca="1" si="816">IF(BB222=0,0,BB221/BB222)</f>
        <v>0</v>
      </c>
    </row>
    <row r="224" spans="1:54" x14ac:dyDescent="0.3">
      <c r="A224" s="22"/>
      <c r="G224" s="126"/>
      <c r="H224" s="126"/>
      <c r="I224" s="126"/>
      <c r="J224" s="126"/>
      <c r="K224" s="126"/>
      <c r="L224" s="126"/>
      <c r="M224" s="126"/>
      <c r="N224" s="126"/>
      <c r="O224" s="126"/>
      <c r="P224" s="126"/>
      <c r="Q224" s="126"/>
      <c r="R224" s="126"/>
      <c r="S224" s="126"/>
      <c r="T224" s="126"/>
      <c r="U224" s="126"/>
      <c r="V224" s="126"/>
      <c r="W224" s="126"/>
      <c r="X224" s="126"/>
      <c r="Y224" s="126"/>
      <c r="Z224" s="126"/>
      <c r="AA224" s="126"/>
      <c r="AB224" s="126"/>
      <c r="AC224" s="126"/>
      <c r="AD224" s="126"/>
      <c r="AE224" s="126"/>
      <c r="AF224" s="126"/>
      <c r="AG224" s="126"/>
      <c r="AH224" s="126"/>
      <c r="AI224" s="126"/>
      <c r="AJ224" s="126"/>
      <c r="AK224" s="126"/>
      <c r="AL224" s="126"/>
      <c r="AM224" s="126"/>
      <c r="AN224" s="126"/>
      <c r="AO224" s="126"/>
      <c r="AP224" s="126"/>
      <c r="AQ224" s="126"/>
      <c r="AR224" s="126"/>
      <c r="AS224" s="126"/>
      <c r="AT224" s="126"/>
      <c r="AU224" s="126"/>
      <c r="AV224" s="126"/>
      <c r="AW224" s="126"/>
      <c r="AX224" s="126"/>
      <c r="AY224" s="126"/>
      <c r="AZ224" s="126"/>
      <c r="BA224" s="126"/>
      <c r="BB224" s="126"/>
    </row>
    <row r="225" spans="1:56" x14ac:dyDescent="0.3">
      <c r="A225" s="10" t="str">
        <f ca="1">Language!A1312</f>
        <v>Отношение Долг / Собственный капитал</v>
      </c>
      <c r="C225" s="48" t="str">
        <f ca="1">Language!$A$1477</f>
        <v>раз</v>
      </c>
      <c r="E225" s="6" t="s">
        <v>1530</v>
      </c>
      <c r="F225" s="6" t="s">
        <v>745</v>
      </c>
      <c r="G225" s="87">
        <f ca="1">IF(G200&lt;&gt;0,G208/G200,0)</f>
        <v>-49</v>
      </c>
      <c r="H225" s="87">
        <f t="shared" ref="H225:M225" ca="1" si="817">IF(H200&lt;&gt;0,H208/H200,0)</f>
        <v>-25</v>
      </c>
      <c r="I225" s="87">
        <f t="shared" ca="1" si="817"/>
        <v>-17</v>
      </c>
      <c r="J225" s="87">
        <f t="shared" ca="1" si="817"/>
        <v>-13</v>
      </c>
      <c r="K225" s="87">
        <f t="shared" ca="1" si="817"/>
        <v>-10.6</v>
      </c>
      <c r="L225" s="87">
        <f t="shared" ca="1" si="817"/>
        <v>-9</v>
      </c>
      <c r="M225" s="87">
        <f t="shared" ca="1" si="817"/>
        <v>-8.6155671996347589</v>
      </c>
      <c r="N225" s="87">
        <f t="shared" ref="N225:O225" ca="1" si="818">IF(N200&lt;&gt;0,N208/N200,0)</f>
        <v>-8.7164458413744601</v>
      </c>
      <c r="O225" s="87">
        <f t="shared" ca="1" si="818"/>
        <v>-9.206650082692013</v>
      </c>
      <c r="P225" s="87">
        <f t="shared" ref="P225:Q225" ca="1" si="819">IF(P200&lt;&gt;0,P208/P200,0)</f>
        <v>-10.531736647849735</v>
      </c>
      <c r="Q225" s="87">
        <f t="shared" ca="1" si="819"/>
        <v>-12.379696926521898</v>
      </c>
      <c r="R225" s="87">
        <f t="shared" ref="R225:S225" ca="1" si="820">IF(R200&lt;&gt;0,R208/R200,0)</f>
        <v>-15.097343179565094</v>
      </c>
      <c r="S225" s="87">
        <f t="shared" ca="1" si="820"/>
        <v>-28.470910219622152</v>
      </c>
      <c r="T225" s="87">
        <f t="shared" ref="T225:U225" ca="1" si="821">IF(T200&lt;&gt;0,T208/T200,0)</f>
        <v>-92.810524130681344</v>
      </c>
      <c r="U225" s="87">
        <f t="shared" ca="1" si="821"/>
        <v>139.17343772861386</v>
      </c>
      <c r="V225" s="87">
        <f t="shared" ref="V225:W225" ca="1" si="822">IF(V200&lt;&gt;0,V208/V200,0)</f>
        <v>37.273749292966798</v>
      </c>
      <c r="W225" s="87">
        <f t="shared" ca="1" si="822"/>
        <v>25.297105279682096</v>
      </c>
      <c r="X225" s="87">
        <f t="shared" ref="X225:Y225" ca="1" si="823">IF(X200&lt;&gt;0,X208/X200,0)</f>
        <v>12.462315750361881</v>
      </c>
      <c r="Y225" s="87">
        <f t="shared" ca="1" si="823"/>
        <v>6.9619533187440439</v>
      </c>
      <c r="Z225" s="87">
        <f t="shared" ref="Z225:AA225" ca="1" si="824">IF(Z200&lt;&gt;0,Z208/Z200,0)</f>
        <v>4.6946531286936057</v>
      </c>
      <c r="AA225" s="87">
        <f t="shared" ca="1" si="824"/>
        <v>3.8559167725911077</v>
      </c>
      <c r="AB225" s="87">
        <f t="shared" ref="AB225:AC225" ca="1" si="825">IF(AB200&lt;&gt;0,AB208/AB200,0)</f>
        <v>3.439491011875583</v>
      </c>
      <c r="AC225" s="87">
        <f t="shared" ca="1" si="825"/>
        <v>3.0582453172315742</v>
      </c>
      <c r="AD225" s="87">
        <f t="shared" ref="AD225:AE225" ca="1" si="826">IF(AD200&lt;&gt;0,AD208/AD200,0)</f>
        <v>2.6343238266777749</v>
      </c>
      <c r="AE225" s="87">
        <f t="shared" ca="1" si="826"/>
        <v>2.1565731500222474</v>
      </c>
      <c r="AF225" s="87">
        <f t="shared" ref="AF225:AG225" ca="1" si="827">IF(AF200&lt;&gt;0,AF208/AF200,0)</f>
        <v>1.8352457656978112</v>
      </c>
      <c r="AG225" s="87">
        <f t="shared" ca="1" si="827"/>
        <v>1.6026804496160607</v>
      </c>
      <c r="AH225" s="87">
        <f t="shared" ref="AH225:AI225" ca="1" si="828">IF(AH200&lt;&gt;0,AH208/AH200,0)</f>
        <v>1.3980294974436791</v>
      </c>
      <c r="AI225" s="87">
        <f t="shared" ca="1" si="828"/>
        <v>1.2423129883268675</v>
      </c>
      <c r="AJ225" s="87">
        <f t="shared" ref="AJ225:AK225" ca="1" si="829">IF(AJ200&lt;&gt;0,AJ208/AJ200,0)</f>
        <v>1.0392914262008084</v>
      </c>
      <c r="AK225" s="87">
        <f t="shared" ca="1" si="829"/>
        <v>0.84554316893885206</v>
      </c>
      <c r="AL225" s="87">
        <f t="shared" ref="AL225:AM225" ca="1" si="830">IF(AL200&lt;&gt;0,AL208/AL200,0)</f>
        <v>0.69320576288136593</v>
      </c>
      <c r="AM225" s="87">
        <f t="shared" ca="1" si="830"/>
        <v>0.59283370124677481</v>
      </c>
      <c r="AN225" s="87">
        <f t="shared" ref="AN225:AO225" ca="1" si="831">IF(AN200&lt;&gt;0,AN208/AN200,0)</f>
        <v>0.51623164223847007</v>
      </c>
      <c r="AO225" s="87">
        <f t="shared" ca="1" si="831"/>
        <v>0.44432051300960751</v>
      </c>
      <c r="AP225" s="87">
        <f t="shared" ref="AP225:AQ225" ca="1" si="832">IF(AP200&lt;&gt;0,AP208/AP200,0)</f>
        <v>0.3729029862892439</v>
      </c>
      <c r="AQ225" s="87">
        <f t="shared" ca="1" si="832"/>
        <v>0.30110184863301087</v>
      </c>
      <c r="AR225" s="87">
        <f t="shared" ref="AR225:AS225" ca="1" si="833">IF(AR200&lt;&gt;0,AR208/AR200,0)</f>
        <v>0.24089470793143916</v>
      </c>
      <c r="AS225" s="87">
        <f t="shared" ca="1" si="833"/>
        <v>0.18854583062497543</v>
      </c>
      <c r="AT225" s="87">
        <f t="shared" ref="AT225:AU225" ca="1" si="834">IF(AT200&lt;&gt;0,AT208/AT200,0)</f>
        <v>0.14050624208241291</v>
      </c>
      <c r="AU225" s="87">
        <f t="shared" ca="1" si="834"/>
        <v>9.726296339637848E-2</v>
      </c>
      <c r="AV225" s="87">
        <f t="shared" ref="AV225:AW225" ca="1" si="835">IF(AV200&lt;&gt;0,AV208/AV200,0)</f>
        <v>5.516064343614549E-2</v>
      </c>
      <c r="AW225" s="87">
        <f t="shared" ca="1" si="835"/>
        <v>1.7326308928382834E-2</v>
      </c>
      <c r="AX225" s="87">
        <f t="shared" ref="AX225:AY225" ca="1" si="836">IF(AX200&lt;&gt;0,AX208/AX200,0)</f>
        <v>6.6294178965527693E-10</v>
      </c>
      <c r="AY225" s="87">
        <f t="shared" ca="1" si="836"/>
        <v>6.3671625287893067E-10</v>
      </c>
      <c r="AZ225" s="87">
        <f t="shared" ref="AZ225:BA225" ca="1" si="837">IF(AZ200&lt;&gt;0,AZ208/AZ200,0)</f>
        <v>6.210410454119084E-10</v>
      </c>
      <c r="BA225" s="87">
        <f t="shared" ca="1" si="837"/>
        <v>6.0581625166421204E-10</v>
      </c>
      <c r="BB225" s="87">
        <f t="shared" ref="BB225" ca="1" si="838">IF(BB200&lt;&gt;0,BB208/BB200,0)</f>
        <v>5.8726851042680003E-10</v>
      </c>
    </row>
    <row r="226" spans="1:56" x14ac:dyDescent="0.3">
      <c r="A226" s="10"/>
      <c r="G226" s="20"/>
      <c r="H226" s="20"/>
      <c r="I226" s="20"/>
      <c r="J226" s="20"/>
      <c r="K226" s="20"/>
      <c r="L226" s="20"/>
      <c r="M226" s="20"/>
      <c r="N226" s="20"/>
      <c r="O226" s="20"/>
      <c r="P226" s="20"/>
      <c r="Q226" s="20"/>
      <c r="R226" s="20"/>
      <c r="S226" s="20"/>
      <c r="T226" s="20"/>
      <c r="U226" s="20"/>
      <c r="V226" s="20"/>
      <c r="W226" s="20"/>
      <c r="X226" s="20"/>
      <c r="Y226" s="20"/>
      <c r="Z226" s="20"/>
      <c r="AA226" s="20"/>
      <c r="AB226" s="20"/>
      <c r="AC226" s="20"/>
      <c r="AD226" s="20"/>
      <c r="AE226" s="20"/>
      <c r="AF226" s="20"/>
      <c r="AG226" s="20"/>
      <c r="AH226" s="20"/>
      <c r="AI226" s="20"/>
      <c r="AJ226" s="20"/>
      <c r="AK226" s="20"/>
      <c r="AL226" s="20"/>
      <c r="AM226" s="20"/>
      <c r="AN226" s="20"/>
      <c r="AO226" s="20"/>
      <c r="AP226" s="20"/>
      <c r="AQ226" s="20"/>
      <c r="AR226" s="20"/>
      <c r="AS226" s="20"/>
      <c r="AT226" s="20"/>
      <c r="AU226" s="20"/>
      <c r="AV226" s="20"/>
      <c r="AW226" s="20"/>
      <c r="AX226" s="20"/>
      <c r="AY226" s="20"/>
      <c r="AZ226" s="20"/>
      <c r="BA226" s="20"/>
      <c r="BB226" s="20"/>
    </row>
    <row r="227" spans="1:56" x14ac:dyDescent="0.3">
      <c r="A227" s="10" t="str">
        <f ca="1">Language!A1313</f>
        <v>Суммарные привлеченные кредиты</v>
      </c>
      <c r="B227" s="47">
        <f>BD147</f>
        <v>211850001</v>
      </c>
      <c r="C227" s="48" t="str">
        <f ca="1">Параметры!$C$64</f>
        <v>руб.</v>
      </c>
      <c r="E227" s="6" t="s">
        <v>1531</v>
      </c>
      <c r="F227" s="6" t="s">
        <v>740</v>
      </c>
      <c r="G227" s="85">
        <f>SUM(G147)</f>
        <v>211850001</v>
      </c>
      <c r="H227" s="85">
        <f t="shared" ref="H227:M227" si="839">SUM(H147)</f>
        <v>0</v>
      </c>
      <c r="I227" s="85">
        <f t="shared" si="839"/>
        <v>0</v>
      </c>
      <c r="J227" s="85">
        <f t="shared" si="839"/>
        <v>0</v>
      </c>
      <c r="K227" s="85">
        <f t="shared" si="839"/>
        <v>0</v>
      </c>
      <c r="L227" s="85">
        <f t="shared" si="839"/>
        <v>0</v>
      </c>
      <c r="M227" s="85">
        <f t="shared" si="839"/>
        <v>0</v>
      </c>
      <c r="N227" s="85">
        <f t="shared" ref="N227:O227" si="840">SUM(N147)</f>
        <v>0</v>
      </c>
      <c r="O227" s="85">
        <f t="shared" si="840"/>
        <v>0</v>
      </c>
      <c r="P227" s="85">
        <f t="shared" ref="P227:Q227" si="841">SUM(P147)</f>
        <v>0</v>
      </c>
      <c r="Q227" s="85">
        <f t="shared" si="841"/>
        <v>0</v>
      </c>
      <c r="R227" s="85">
        <f t="shared" ref="R227:S227" si="842">SUM(R147)</f>
        <v>0</v>
      </c>
      <c r="S227" s="85">
        <f t="shared" si="842"/>
        <v>0</v>
      </c>
      <c r="T227" s="85">
        <f t="shared" ref="T227:U227" si="843">SUM(T147)</f>
        <v>0</v>
      </c>
      <c r="U227" s="85">
        <f t="shared" si="843"/>
        <v>0</v>
      </c>
      <c r="V227" s="85">
        <f t="shared" ref="V227:W227" si="844">SUM(V147)</f>
        <v>0</v>
      </c>
      <c r="W227" s="85">
        <f t="shared" si="844"/>
        <v>0</v>
      </c>
      <c r="X227" s="85">
        <f t="shared" ref="X227:Y227" si="845">SUM(X147)</f>
        <v>0</v>
      </c>
      <c r="Y227" s="85">
        <f t="shared" si="845"/>
        <v>0</v>
      </c>
      <c r="Z227" s="85">
        <f t="shared" ref="Z227:AA227" si="846">SUM(Z147)</f>
        <v>0</v>
      </c>
      <c r="AA227" s="85">
        <f t="shared" si="846"/>
        <v>0</v>
      </c>
      <c r="AB227" s="85">
        <f t="shared" ref="AB227:AC227" si="847">SUM(AB147)</f>
        <v>0</v>
      </c>
      <c r="AC227" s="85">
        <f t="shared" si="847"/>
        <v>0</v>
      </c>
      <c r="AD227" s="85">
        <f t="shared" ref="AD227:AE227" si="848">SUM(AD147)</f>
        <v>0</v>
      </c>
      <c r="AE227" s="85">
        <f t="shared" si="848"/>
        <v>0</v>
      </c>
      <c r="AF227" s="85">
        <f t="shared" ref="AF227:AG227" si="849">SUM(AF147)</f>
        <v>0</v>
      </c>
      <c r="AG227" s="85">
        <f t="shared" si="849"/>
        <v>0</v>
      </c>
      <c r="AH227" s="85">
        <f t="shared" ref="AH227:AI227" si="850">SUM(AH147)</f>
        <v>0</v>
      </c>
      <c r="AI227" s="85">
        <f t="shared" si="850"/>
        <v>0</v>
      </c>
      <c r="AJ227" s="85">
        <f t="shared" ref="AJ227:AK227" si="851">SUM(AJ147)</f>
        <v>0</v>
      </c>
      <c r="AK227" s="85">
        <f t="shared" si="851"/>
        <v>0</v>
      </c>
      <c r="AL227" s="85">
        <f t="shared" ref="AL227:AM227" si="852">SUM(AL147)</f>
        <v>0</v>
      </c>
      <c r="AM227" s="85">
        <f t="shared" si="852"/>
        <v>0</v>
      </c>
      <c r="AN227" s="85">
        <f t="shared" ref="AN227:AO227" si="853">SUM(AN147)</f>
        <v>0</v>
      </c>
      <c r="AO227" s="85">
        <f t="shared" si="853"/>
        <v>0</v>
      </c>
      <c r="AP227" s="85">
        <f t="shared" ref="AP227:AQ227" si="854">SUM(AP147)</f>
        <v>0</v>
      </c>
      <c r="AQ227" s="85">
        <f t="shared" si="854"/>
        <v>0</v>
      </c>
      <c r="AR227" s="85">
        <f t="shared" ref="AR227:AS227" si="855">SUM(AR147)</f>
        <v>0</v>
      </c>
      <c r="AS227" s="85">
        <f t="shared" si="855"/>
        <v>0</v>
      </c>
      <c r="AT227" s="85">
        <f t="shared" ref="AT227:AU227" si="856">SUM(AT147)</f>
        <v>0</v>
      </c>
      <c r="AU227" s="85">
        <f t="shared" si="856"/>
        <v>0</v>
      </c>
      <c r="AV227" s="85">
        <f t="shared" ref="AV227:AW227" si="857">SUM(AV147)</f>
        <v>0</v>
      </c>
      <c r="AW227" s="85">
        <f t="shared" si="857"/>
        <v>0</v>
      </c>
      <c r="AX227" s="85">
        <f t="shared" ref="AX227:AY227" si="858">SUM(AX147)</f>
        <v>0</v>
      </c>
      <c r="AY227" s="85">
        <f t="shared" si="858"/>
        <v>0</v>
      </c>
      <c r="AZ227" s="85">
        <f t="shared" ref="AZ227:BA227" si="859">SUM(AZ147)</f>
        <v>0</v>
      </c>
      <c r="BA227" s="85">
        <f t="shared" si="859"/>
        <v>0</v>
      </c>
      <c r="BB227" s="85">
        <f t="shared" ref="BB227" si="860">SUM(BB147)</f>
        <v>0</v>
      </c>
    </row>
    <row r="228" spans="1:56" x14ac:dyDescent="0.3">
      <c r="A228" s="10" t="str">
        <f ca="1">Language!A1314</f>
        <v>Суммарный вклад собственного капитала</v>
      </c>
      <c r="B228" s="47">
        <f>BD146</f>
        <v>0</v>
      </c>
      <c r="C228" s="48" t="str">
        <f ca="1">Параметры!$C$64</f>
        <v>руб.</v>
      </c>
      <c r="E228" s="6" t="s">
        <v>1532</v>
      </c>
      <c r="F228" s="6" t="s">
        <v>740</v>
      </c>
      <c r="G228" s="85">
        <f>G146</f>
        <v>0</v>
      </c>
      <c r="H228" s="85">
        <f t="shared" ref="H228:M228" si="861">H146</f>
        <v>0</v>
      </c>
      <c r="I228" s="85">
        <f t="shared" si="861"/>
        <v>0</v>
      </c>
      <c r="J228" s="85">
        <f t="shared" si="861"/>
        <v>0</v>
      </c>
      <c r="K228" s="85">
        <f t="shared" si="861"/>
        <v>0</v>
      </c>
      <c r="L228" s="85">
        <f t="shared" si="861"/>
        <v>0</v>
      </c>
      <c r="M228" s="85">
        <f t="shared" si="861"/>
        <v>0</v>
      </c>
      <c r="N228" s="85">
        <f t="shared" ref="N228:O228" si="862">N146</f>
        <v>0</v>
      </c>
      <c r="O228" s="85">
        <f t="shared" si="862"/>
        <v>0</v>
      </c>
      <c r="P228" s="85">
        <f t="shared" ref="P228:Q228" si="863">P146</f>
        <v>0</v>
      </c>
      <c r="Q228" s="85">
        <f t="shared" si="863"/>
        <v>0</v>
      </c>
      <c r="R228" s="85">
        <f t="shared" ref="R228:S228" si="864">R146</f>
        <v>0</v>
      </c>
      <c r="S228" s="85">
        <f t="shared" si="864"/>
        <v>0</v>
      </c>
      <c r="T228" s="85">
        <f t="shared" ref="T228:U228" si="865">T146</f>
        <v>0</v>
      </c>
      <c r="U228" s="85">
        <f t="shared" si="865"/>
        <v>0</v>
      </c>
      <c r="V228" s="85">
        <f t="shared" ref="V228:W228" si="866">V146</f>
        <v>0</v>
      </c>
      <c r="W228" s="85">
        <f t="shared" si="866"/>
        <v>0</v>
      </c>
      <c r="X228" s="85">
        <f t="shared" ref="X228:Y228" si="867">X146</f>
        <v>0</v>
      </c>
      <c r="Y228" s="85">
        <f t="shared" si="867"/>
        <v>0</v>
      </c>
      <c r="Z228" s="85">
        <f t="shared" ref="Z228:AA228" si="868">Z146</f>
        <v>0</v>
      </c>
      <c r="AA228" s="85">
        <f t="shared" si="868"/>
        <v>0</v>
      </c>
      <c r="AB228" s="85">
        <f t="shared" ref="AB228:AC228" si="869">AB146</f>
        <v>0</v>
      </c>
      <c r="AC228" s="85">
        <f t="shared" si="869"/>
        <v>0</v>
      </c>
      <c r="AD228" s="85">
        <f t="shared" ref="AD228:AE228" si="870">AD146</f>
        <v>0</v>
      </c>
      <c r="AE228" s="85">
        <f t="shared" si="870"/>
        <v>0</v>
      </c>
      <c r="AF228" s="85">
        <f t="shared" ref="AF228:AG228" si="871">AF146</f>
        <v>0</v>
      </c>
      <c r="AG228" s="85">
        <f t="shared" si="871"/>
        <v>0</v>
      </c>
      <c r="AH228" s="85">
        <f t="shared" ref="AH228:AI228" si="872">AH146</f>
        <v>0</v>
      </c>
      <c r="AI228" s="85">
        <f t="shared" si="872"/>
        <v>0</v>
      </c>
      <c r="AJ228" s="85">
        <f t="shared" ref="AJ228:AK228" si="873">AJ146</f>
        <v>0</v>
      </c>
      <c r="AK228" s="85">
        <f t="shared" si="873"/>
        <v>0</v>
      </c>
      <c r="AL228" s="85">
        <f t="shared" ref="AL228:AM228" si="874">AL146</f>
        <v>0</v>
      </c>
      <c r="AM228" s="85">
        <f t="shared" si="874"/>
        <v>0</v>
      </c>
      <c r="AN228" s="85">
        <f t="shared" ref="AN228:AO228" si="875">AN146</f>
        <v>0</v>
      </c>
      <c r="AO228" s="85">
        <f t="shared" si="875"/>
        <v>0</v>
      </c>
      <c r="AP228" s="85">
        <f t="shared" ref="AP228:AQ228" si="876">AP146</f>
        <v>0</v>
      </c>
      <c r="AQ228" s="85">
        <f t="shared" si="876"/>
        <v>0</v>
      </c>
      <c r="AR228" s="85">
        <f t="shared" ref="AR228:AS228" si="877">AR146</f>
        <v>0</v>
      </c>
      <c r="AS228" s="85">
        <f t="shared" si="877"/>
        <v>0</v>
      </c>
      <c r="AT228" s="85">
        <f t="shared" ref="AT228:AU228" si="878">AT146</f>
        <v>0</v>
      </c>
      <c r="AU228" s="85">
        <f t="shared" si="878"/>
        <v>0</v>
      </c>
      <c r="AV228" s="85">
        <f t="shared" ref="AV228:AW228" si="879">AV146</f>
        <v>0</v>
      </c>
      <c r="AW228" s="85">
        <f t="shared" si="879"/>
        <v>0</v>
      </c>
      <c r="AX228" s="85">
        <f t="shared" ref="AX228:AY228" si="880">AX146</f>
        <v>0</v>
      </c>
      <c r="AY228" s="85">
        <f t="shared" si="880"/>
        <v>0</v>
      </c>
      <c r="AZ228" s="85">
        <f t="shared" ref="AZ228:BA228" si="881">AZ146</f>
        <v>0</v>
      </c>
      <c r="BA228" s="85">
        <f t="shared" si="881"/>
        <v>0</v>
      </c>
      <c r="BB228" s="85">
        <f t="shared" ref="BB228" si="882">BB146</f>
        <v>0</v>
      </c>
    </row>
    <row r="229" spans="1:56" x14ac:dyDescent="0.3">
      <c r="A229" s="22" t="str">
        <f ca="1">Language!A1315</f>
        <v>Доля кредитов в источниках финансирования</v>
      </c>
      <c r="B229" s="88">
        <f>IF((B227+B228)&gt;0, B227/(B227+B228), "-")</f>
        <v>1</v>
      </c>
      <c r="C229" s="48" t="s">
        <v>1</v>
      </c>
      <c r="E229" s="6" t="s">
        <v>1533</v>
      </c>
      <c r="F229" s="6" t="s">
        <v>745</v>
      </c>
      <c r="G229" s="251">
        <f>IF(G227+G228&gt;0,G227/SUM(G227:G228),0)</f>
        <v>1</v>
      </c>
      <c r="H229" s="251">
        <f t="shared" ref="H229:M229" si="883">IF(H227+H228&gt;0,H227/SUM(H227:H228),0)</f>
        <v>0</v>
      </c>
      <c r="I229" s="251">
        <f t="shared" si="883"/>
        <v>0</v>
      </c>
      <c r="J229" s="251">
        <f t="shared" si="883"/>
        <v>0</v>
      </c>
      <c r="K229" s="251">
        <f t="shared" si="883"/>
        <v>0</v>
      </c>
      <c r="L229" s="251">
        <f t="shared" si="883"/>
        <v>0</v>
      </c>
      <c r="M229" s="251">
        <f t="shared" si="883"/>
        <v>0</v>
      </c>
      <c r="N229" s="251">
        <f t="shared" ref="N229:O229" si="884">IF(N227+N228&gt;0,N227/SUM(N227:N228),0)</f>
        <v>0</v>
      </c>
      <c r="O229" s="251">
        <f t="shared" si="884"/>
        <v>0</v>
      </c>
      <c r="P229" s="251">
        <f t="shared" ref="P229:Q229" si="885">IF(P227+P228&gt;0,P227/SUM(P227:P228),0)</f>
        <v>0</v>
      </c>
      <c r="Q229" s="251">
        <f t="shared" si="885"/>
        <v>0</v>
      </c>
      <c r="R229" s="251">
        <f t="shared" ref="R229:S229" si="886">IF(R227+R228&gt;0,R227/SUM(R227:R228),0)</f>
        <v>0</v>
      </c>
      <c r="S229" s="251">
        <f t="shared" si="886"/>
        <v>0</v>
      </c>
      <c r="T229" s="251">
        <f t="shared" ref="T229:U229" si="887">IF(T227+T228&gt;0,T227/SUM(T227:T228),0)</f>
        <v>0</v>
      </c>
      <c r="U229" s="251">
        <f t="shared" si="887"/>
        <v>0</v>
      </c>
      <c r="V229" s="251">
        <f t="shared" ref="V229:W229" si="888">IF(V227+V228&gt;0,V227/SUM(V227:V228),0)</f>
        <v>0</v>
      </c>
      <c r="W229" s="251">
        <f t="shared" si="888"/>
        <v>0</v>
      </c>
      <c r="X229" s="251">
        <f t="shared" ref="X229:Y229" si="889">IF(X227+X228&gt;0,X227/SUM(X227:X228),0)</f>
        <v>0</v>
      </c>
      <c r="Y229" s="251">
        <f t="shared" si="889"/>
        <v>0</v>
      </c>
      <c r="Z229" s="251">
        <f t="shared" ref="Z229:AA229" si="890">IF(Z227+Z228&gt;0,Z227/SUM(Z227:Z228),0)</f>
        <v>0</v>
      </c>
      <c r="AA229" s="251">
        <f t="shared" si="890"/>
        <v>0</v>
      </c>
      <c r="AB229" s="251">
        <f t="shared" ref="AB229:AC229" si="891">IF(AB227+AB228&gt;0,AB227/SUM(AB227:AB228),0)</f>
        <v>0</v>
      </c>
      <c r="AC229" s="251">
        <f t="shared" si="891"/>
        <v>0</v>
      </c>
      <c r="AD229" s="251">
        <f t="shared" ref="AD229:AE229" si="892">IF(AD227+AD228&gt;0,AD227/SUM(AD227:AD228),0)</f>
        <v>0</v>
      </c>
      <c r="AE229" s="251">
        <f t="shared" si="892"/>
        <v>0</v>
      </c>
      <c r="AF229" s="251">
        <f t="shared" ref="AF229:AG229" si="893">IF(AF227+AF228&gt;0,AF227/SUM(AF227:AF228),0)</f>
        <v>0</v>
      </c>
      <c r="AG229" s="251">
        <f t="shared" si="893"/>
        <v>0</v>
      </c>
      <c r="AH229" s="251">
        <f t="shared" ref="AH229:AI229" si="894">IF(AH227+AH228&gt;0,AH227/SUM(AH227:AH228),0)</f>
        <v>0</v>
      </c>
      <c r="AI229" s="251">
        <f t="shared" si="894"/>
        <v>0</v>
      </c>
      <c r="AJ229" s="251">
        <f t="shared" ref="AJ229:AK229" si="895">IF(AJ227+AJ228&gt;0,AJ227/SUM(AJ227:AJ228),0)</f>
        <v>0</v>
      </c>
      <c r="AK229" s="251">
        <f t="shared" si="895"/>
        <v>0</v>
      </c>
      <c r="AL229" s="251">
        <f t="shared" ref="AL229:AM229" si="896">IF(AL227+AL228&gt;0,AL227/SUM(AL227:AL228),0)</f>
        <v>0</v>
      </c>
      <c r="AM229" s="251">
        <f t="shared" si="896"/>
        <v>0</v>
      </c>
      <c r="AN229" s="251">
        <f t="shared" ref="AN229:AO229" si="897">IF(AN227+AN228&gt;0,AN227/SUM(AN227:AN228),0)</f>
        <v>0</v>
      </c>
      <c r="AO229" s="251">
        <f t="shared" si="897"/>
        <v>0</v>
      </c>
      <c r="AP229" s="251">
        <f t="shared" ref="AP229:AQ229" si="898">IF(AP227+AP228&gt;0,AP227/SUM(AP227:AP228),0)</f>
        <v>0</v>
      </c>
      <c r="AQ229" s="251">
        <f t="shared" si="898"/>
        <v>0</v>
      </c>
      <c r="AR229" s="251">
        <f t="shared" ref="AR229:AS229" si="899">IF(AR227+AR228&gt;0,AR227/SUM(AR227:AR228),0)</f>
        <v>0</v>
      </c>
      <c r="AS229" s="251">
        <f t="shared" si="899"/>
        <v>0</v>
      </c>
      <c r="AT229" s="251">
        <f t="shared" ref="AT229:AU229" si="900">IF(AT227+AT228&gt;0,AT227/SUM(AT227:AT228),0)</f>
        <v>0</v>
      </c>
      <c r="AU229" s="251">
        <f t="shared" si="900"/>
        <v>0</v>
      </c>
      <c r="AV229" s="251">
        <f t="shared" ref="AV229:AW229" si="901">IF(AV227+AV228&gt;0,AV227/SUM(AV227:AV228),0)</f>
        <v>0</v>
      </c>
      <c r="AW229" s="251">
        <f t="shared" si="901"/>
        <v>0</v>
      </c>
      <c r="AX229" s="251">
        <f t="shared" ref="AX229:AY229" si="902">IF(AX227+AX228&gt;0,AX227/SUM(AX227:AX228),0)</f>
        <v>0</v>
      </c>
      <c r="AY229" s="251">
        <f t="shared" si="902"/>
        <v>0</v>
      </c>
      <c r="AZ229" s="251">
        <f t="shared" ref="AZ229:BA229" si="903">IF(AZ227+AZ228&gt;0,AZ227/SUM(AZ227:AZ228),0)</f>
        <v>0</v>
      </c>
      <c r="BA229" s="251">
        <f t="shared" si="903"/>
        <v>0</v>
      </c>
      <c r="BB229" s="251">
        <f t="shared" ref="BB229" si="904">IF(BB227+BB228&gt;0,BB227/SUM(BB227:BB228),0)</f>
        <v>0</v>
      </c>
      <c r="BC229" s="88"/>
    </row>
    <row r="230" spans="1:56" x14ac:dyDescent="0.3">
      <c r="A230" s="12"/>
      <c r="B230" s="83"/>
      <c r="C230" s="51"/>
      <c r="D230" s="14"/>
      <c r="E230" s="14" t="s">
        <v>711</v>
      </c>
      <c r="F230" s="14"/>
      <c r="G230" s="13"/>
      <c r="H230" s="13"/>
      <c r="I230" s="13"/>
      <c r="J230" s="13"/>
      <c r="K230" s="13"/>
      <c r="L230" s="13"/>
      <c r="M230" s="13"/>
      <c r="N230" s="13"/>
      <c r="O230" s="13"/>
      <c r="P230" s="13"/>
      <c r="Q230" s="13"/>
      <c r="R230" s="13"/>
      <c r="S230" s="13"/>
      <c r="T230" s="13"/>
      <c r="U230" s="13"/>
      <c r="V230" s="13"/>
      <c r="W230" s="13"/>
      <c r="X230" s="13"/>
      <c r="Y230" s="13"/>
      <c r="Z230" s="13"/>
      <c r="AA230" s="13"/>
      <c r="AB230" s="13"/>
      <c r="AC230" s="13"/>
      <c r="AD230" s="13"/>
      <c r="AE230" s="13"/>
      <c r="AF230" s="13"/>
      <c r="AG230" s="13"/>
      <c r="AH230" s="13"/>
      <c r="AI230" s="13"/>
      <c r="AJ230" s="13"/>
      <c r="AK230" s="13"/>
      <c r="AL230" s="13"/>
      <c r="AM230" s="13"/>
      <c r="AN230" s="13"/>
      <c r="AO230" s="13"/>
      <c r="AP230" s="13"/>
      <c r="AQ230" s="13"/>
      <c r="AR230" s="13"/>
      <c r="AS230" s="13"/>
      <c r="AT230" s="13"/>
      <c r="AU230" s="13"/>
      <c r="AV230" s="13"/>
      <c r="AW230" s="13"/>
      <c r="AX230" s="13"/>
      <c r="AY230" s="13"/>
      <c r="AZ230" s="13"/>
      <c r="BA230" s="13"/>
      <c r="BB230" s="13"/>
    </row>
    <row r="231" spans="1:56" x14ac:dyDescent="0.3">
      <c r="G231" s="5">
        <f ca="1">OFFSET(G216,,1)</f>
        <v>-1658333.6666666667</v>
      </c>
    </row>
    <row r="233" spans="1:56" s="9" customFormat="1" ht="25.5" customHeight="1" thickBot="1" x14ac:dyDescent="0.35">
      <c r="A233" s="323" t="str">
        <f ca="1">Language!A1316</f>
        <v>РЕНТАБЕЛЬНОСТЬ И ОБОРАЧИВАЕМОСТЬ</v>
      </c>
      <c r="B233" s="337"/>
      <c r="C233" s="338"/>
      <c r="D233" s="326"/>
      <c r="E233" s="326" t="s">
        <v>898</v>
      </c>
      <c r="F233" s="326"/>
      <c r="G233" s="327" t="str">
        <f ca="1">Параметры!G$34</f>
        <v>янв.25</v>
      </c>
      <c r="H233" s="327" t="str">
        <f ca="1">Параметры!H$34</f>
        <v>фев.25</v>
      </c>
      <c r="I233" s="327" t="str">
        <f ca="1">Параметры!I$34</f>
        <v>мар.25</v>
      </c>
      <c r="J233" s="327" t="str">
        <f ca="1">Параметры!J$34</f>
        <v>апр.25</v>
      </c>
      <c r="K233" s="327" t="str">
        <f ca="1">Параметры!K$34</f>
        <v>май.25</v>
      </c>
      <c r="L233" s="327" t="str">
        <f ca="1">Параметры!L$34</f>
        <v>июн.25</v>
      </c>
      <c r="M233" s="328" t="str">
        <f ca="1">Параметры!M$34</f>
        <v>июл.25</v>
      </c>
      <c r="N233" s="328" t="str">
        <f ca="1">Параметры!N$34</f>
        <v>авг.25</v>
      </c>
      <c r="O233" s="328" t="str">
        <f ca="1">Параметры!O$34</f>
        <v>сен.25</v>
      </c>
      <c r="P233" s="328" t="str">
        <f ca="1">Параметры!P$34</f>
        <v>окт.25</v>
      </c>
      <c r="Q233" s="328" t="str">
        <f ca="1">Параметры!Q$34</f>
        <v>ноя.25</v>
      </c>
      <c r="R233" s="328" t="str">
        <f ca="1">Параметры!R$34</f>
        <v>дек.25</v>
      </c>
      <c r="S233" s="328" t="str">
        <f ca="1">Параметры!S$34</f>
        <v>янв.26</v>
      </c>
      <c r="T233" s="328" t="str">
        <f ca="1">Параметры!T$34</f>
        <v>фев.26</v>
      </c>
      <c r="U233" s="328" t="str">
        <f ca="1">Параметры!U$34</f>
        <v>мар.26</v>
      </c>
      <c r="V233" s="328" t="str">
        <f ca="1">Параметры!V$34</f>
        <v>апр.26</v>
      </c>
      <c r="W233" s="328" t="str">
        <f ca="1">Параметры!W$34</f>
        <v>май.26</v>
      </c>
      <c r="X233" s="328" t="str">
        <f ca="1">Параметры!X$34</f>
        <v>июн.26</v>
      </c>
      <c r="Y233" s="328" t="str">
        <f ca="1">Параметры!Y$34</f>
        <v>июл.26</v>
      </c>
      <c r="Z233" s="328" t="str">
        <f ca="1">Параметры!Z$34</f>
        <v>авг.26</v>
      </c>
      <c r="AA233" s="328" t="str">
        <f ca="1">Параметры!AA$34</f>
        <v>сен.26</v>
      </c>
      <c r="AB233" s="328" t="str">
        <f ca="1">Параметры!AB$34</f>
        <v>окт.26</v>
      </c>
      <c r="AC233" s="328" t="str">
        <f ca="1">Параметры!AC$34</f>
        <v>ноя.26</v>
      </c>
      <c r="AD233" s="328" t="str">
        <f ca="1">Параметры!AD$34</f>
        <v>дек.26</v>
      </c>
      <c r="AE233" s="328" t="str">
        <f ca="1">Параметры!AE$34</f>
        <v>янв.27</v>
      </c>
      <c r="AF233" s="328" t="str">
        <f ca="1">Параметры!AF$34</f>
        <v>фев.27</v>
      </c>
      <c r="AG233" s="328" t="str">
        <f ca="1">Параметры!AG$34</f>
        <v>мар.27</v>
      </c>
      <c r="AH233" s="328" t="str">
        <f ca="1">Параметры!AH$34</f>
        <v>апр.27</v>
      </c>
      <c r="AI233" s="328" t="str">
        <f ca="1">Параметры!AI$34</f>
        <v>май.27</v>
      </c>
      <c r="AJ233" s="328" t="str">
        <f ca="1">Параметры!AJ$34</f>
        <v>июн.27</v>
      </c>
      <c r="AK233" s="328" t="str">
        <f ca="1">Параметры!AK$34</f>
        <v>июл.27</v>
      </c>
      <c r="AL233" s="328" t="str">
        <f ca="1">Параметры!AL$34</f>
        <v>авг.27</v>
      </c>
      <c r="AM233" s="328" t="str">
        <f ca="1">Параметры!AM$34</f>
        <v>сен.27</v>
      </c>
      <c r="AN233" s="328" t="str">
        <f ca="1">Параметры!AN$34</f>
        <v>окт.27</v>
      </c>
      <c r="AO233" s="328" t="str">
        <f ca="1">Параметры!AO$34</f>
        <v>ноя.27</v>
      </c>
      <c r="AP233" s="328" t="str">
        <f ca="1">Параметры!AP$34</f>
        <v>дек.27</v>
      </c>
      <c r="AQ233" s="328" t="str">
        <f ca="1">Параметры!AQ$34</f>
        <v>янв.28</v>
      </c>
      <c r="AR233" s="328" t="str">
        <f ca="1">Параметры!AR$34</f>
        <v>фев.28</v>
      </c>
      <c r="AS233" s="328" t="str">
        <f ca="1">Параметры!AS$34</f>
        <v>мар.28</v>
      </c>
      <c r="AT233" s="328" t="str">
        <f ca="1">Параметры!AT$34</f>
        <v>апр.28</v>
      </c>
      <c r="AU233" s="328" t="str">
        <f ca="1">Параметры!AU$34</f>
        <v>май.28</v>
      </c>
      <c r="AV233" s="328" t="str">
        <f ca="1">Параметры!AV$34</f>
        <v>июн.28</v>
      </c>
      <c r="AW233" s="328" t="str">
        <f ca="1">Параметры!AW$34</f>
        <v>июл.28</v>
      </c>
      <c r="AX233" s="328" t="str">
        <f ca="1">Параметры!AX$34</f>
        <v>авг.28</v>
      </c>
      <c r="AY233" s="328" t="str">
        <f ca="1">Параметры!AY$34</f>
        <v>сен.28</v>
      </c>
      <c r="AZ233" s="328" t="str">
        <f ca="1">Параметры!AZ$34</f>
        <v>окт.28</v>
      </c>
      <c r="BA233" s="328" t="str">
        <f ca="1">Параметры!BA$34</f>
        <v>ноя.28</v>
      </c>
      <c r="BB233" s="328" t="str">
        <f ca="1">Параметры!BB$34</f>
        <v>дек.28</v>
      </c>
      <c r="BC233" s="8"/>
      <c r="BD233" s="42"/>
    </row>
    <row r="234" spans="1:56" ht="14.4" thickTop="1" x14ac:dyDescent="0.3">
      <c r="A234" s="247"/>
    </row>
    <row r="235" spans="1:56" x14ac:dyDescent="0.3">
      <c r="A235" s="89" t="str">
        <f ca="1">Language!A1317</f>
        <v>Структура затрат:</v>
      </c>
      <c r="B235" s="90"/>
      <c r="C235" s="91"/>
      <c r="D235" s="92"/>
      <c r="E235" s="92"/>
      <c r="F235" s="92"/>
      <c r="G235" s="93"/>
      <c r="H235" s="93"/>
      <c r="I235" s="93"/>
      <c r="J235" s="93"/>
      <c r="K235" s="93"/>
      <c r="L235" s="93"/>
      <c r="M235" s="93"/>
      <c r="N235" s="93"/>
      <c r="O235" s="93"/>
      <c r="P235" s="93"/>
      <c r="Q235" s="93"/>
      <c r="R235" s="93"/>
      <c r="S235" s="93"/>
      <c r="T235" s="93"/>
      <c r="U235" s="93"/>
      <c r="V235" s="93"/>
      <c r="W235" s="93"/>
      <c r="X235" s="93"/>
      <c r="Y235" s="93"/>
      <c r="Z235" s="93"/>
      <c r="AA235" s="93"/>
      <c r="AB235" s="93"/>
      <c r="AC235" s="93"/>
      <c r="AD235" s="93"/>
      <c r="AE235" s="93"/>
      <c r="AF235" s="93"/>
      <c r="AG235" s="93"/>
      <c r="AH235" s="93"/>
      <c r="AI235" s="93"/>
      <c r="AJ235" s="93"/>
      <c r="AK235" s="93"/>
      <c r="AL235" s="93"/>
      <c r="AM235" s="93"/>
      <c r="AN235" s="93"/>
      <c r="AO235" s="93"/>
      <c r="AP235" s="93"/>
      <c r="AQ235" s="93"/>
      <c r="AR235" s="93"/>
      <c r="AS235" s="93"/>
      <c r="AT235" s="93"/>
      <c r="AU235" s="93"/>
      <c r="AV235" s="93"/>
      <c r="AW235" s="93"/>
      <c r="AX235" s="93"/>
      <c r="AY235" s="93"/>
      <c r="AZ235" s="93"/>
      <c r="BA235" s="93"/>
      <c r="BB235" s="93"/>
    </row>
    <row r="236" spans="1:56" x14ac:dyDescent="0.3">
      <c r="A236" s="10" t="str">
        <f ca="1">Language!A1318</f>
        <v>Выручка</v>
      </c>
      <c r="C236" s="48" t="s">
        <v>1</v>
      </c>
      <c r="F236" s="6" t="s">
        <v>745</v>
      </c>
      <c r="G236" s="249">
        <f t="shared" ref="G236:M236" ca="1" si="905">IF(G$93&lt;=0,0,G93/G$93)</f>
        <v>0</v>
      </c>
      <c r="H236" s="249">
        <f t="shared" ca="1" si="905"/>
        <v>0</v>
      </c>
      <c r="I236" s="249">
        <f t="shared" ca="1" si="905"/>
        <v>0</v>
      </c>
      <c r="J236" s="249">
        <f t="shared" ca="1" si="905"/>
        <v>0</v>
      </c>
      <c r="K236" s="249">
        <f t="shared" ca="1" si="905"/>
        <v>0</v>
      </c>
      <c r="L236" s="249">
        <f t="shared" ca="1" si="905"/>
        <v>0</v>
      </c>
      <c r="M236" s="249">
        <f t="shared" ca="1" si="905"/>
        <v>1</v>
      </c>
      <c r="N236" s="249">
        <f t="shared" ref="N236:O236" ca="1" si="906">IF(N$93&lt;=0,0,N93/N$93)</f>
        <v>1</v>
      </c>
      <c r="O236" s="249">
        <f t="shared" ca="1" si="906"/>
        <v>1</v>
      </c>
      <c r="P236" s="249">
        <f t="shared" ref="P236:Q236" ca="1" si="907">IF(P$93&lt;=0,0,P93/P$93)</f>
        <v>1</v>
      </c>
      <c r="Q236" s="249">
        <f t="shared" ca="1" si="907"/>
        <v>1</v>
      </c>
      <c r="R236" s="249">
        <f t="shared" ref="R236:S236" ca="1" si="908">IF(R$93&lt;=0,0,R93/R$93)</f>
        <v>1</v>
      </c>
      <c r="S236" s="249">
        <f t="shared" ca="1" si="908"/>
        <v>1</v>
      </c>
      <c r="T236" s="249">
        <f t="shared" ref="T236:U236" ca="1" si="909">IF(T$93&lt;=0,0,T93/T$93)</f>
        <v>1</v>
      </c>
      <c r="U236" s="249">
        <f t="shared" ca="1" si="909"/>
        <v>1</v>
      </c>
      <c r="V236" s="249">
        <f t="shared" ref="V236:W236" ca="1" si="910">IF(V$93&lt;=0,0,V93/V$93)</f>
        <v>1</v>
      </c>
      <c r="W236" s="249">
        <f t="shared" ca="1" si="910"/>
        <v>1</v>
      </c>
      <c r="X236" s="249">
        <f t="shared" ref="X236:Y236" ca="1" si="911">IF(X$93&lt;=0,0,X93/X$93)</f>
        <v>1</v>
      </c>
      <c r="Y236" s="249">
        <f t="shared" ca="1" si="911"/>
        <v>1</v>
      </c>
      <c r="Z236" s="249">
        <f t="shared" ref="Z236:AA236" ca="1" si="912">IF(Z$93&lt;=0,0,Z93/Z$93)</f>
        <v>1</v>
      </c>
      <c r="AA236" s="249">
        <f t="shared" ca="1" si="912"/>
        <v>1</v>
      </c>
      <c r="AB236" s="249">
        <f t="shared" ref="AB236:AC236" ca="1" si="913">IF(AB$93&lt;=0,0,AB93/AB$93)</f>
        <v>1</v>
      </c>
      <c r="AC236" s="249">
        <f t="shared" ca="1" si="913"/>
        <v>1</v>
      </c>
      <c r="AD236" s="249">
        <f t="shared" ref="AD236:AE236" ca="1" si="914">IF(AD$93&lt;=0,0,AD93/AD$93)</f>
        <v>1</v>
      </c>
      <c r="AE236" s="249">
        <f t="shared" ca="1" si="914"/>
        <v>1</v>
      </c>
      <c r="AF236" s="249">
        <f t="shared" ref="AF236:AG236" ca="1" si="915">IF(AF$93&lt;=0,0,AF93/AF$93)</f>
        <v>1</v>
      </c>
      <c r="AG236" s="249">
        <f t="shared" ca="1" si="915"/>
        <v>1</v>
      </c>
      <c r="AH236" s="249">
        <f t="shared" ref="AH236:AI236" ca="1" si="916">IF(AH$93&lt;=0,0,AH93/AH$93)</f>
        <v>1</v>
      </c>
      <c r="AI236" s="249">
        <f t="shared" ca="1" si="916"/>
        <v>1</v>
      </c>
      <c r="AJ236" s="249">
        <f t="shared" ref="AJ236:AK236" ca="1" si="917">IF(AJ$93&lt;=0,0,AJ93/AJ$93)</f>
        <v>1</v>
      </c>
      <c r="AK236" s="249">
        <f t="shared" ca="1" si="917"/>
        <v>1</v>
      </c>
      <c r="AL236" s="249">
        <f t="shared" ref="AL236:AM236" ca="1" si="918">IF(AL$93&lt;=0,0,AL93/AL$93)</f>
        <v>1</v>
      </c>
      <c r="AM236" s="249">
        <f t="shared" ca="1" si="918"/>
        <v>1</v>
      </c>
      <c r="AN236" s="249">
        <f t="shared" ref="AN236:AO236" ca="1" si="919">IF(AN$93&lt;=0,0,AN93/AN$93)</f>
        <v>1</v>
      </c>
      <c r="AO236" s="249">
        <f t="shared" ca="1" si="919"/>
        <v>1</v>
      </c>
      <c r="AP236" s="249">
        <f t="shared" ref="AP236:AQ236" ca="1" si="920">IF(AP$93&lt;=0,0,AP93/AP$93)</f>
        <v>1</v>
      </c>
      <c r="AQ236" s="249">
        <f t="shared" ca="1" si="920"/>
        <v>1</v>
      </c>
      <c r="AR236" s="249">
        <f t="shared" ref="AR236:AS236" ca="1" si="921">IF(AR$93&lt;=0,0,AR93/AR$93)</f>
        <v>1</v>
      </c>
      <c r="AS236" s="249">
        <f t="shared" ca="1" si="921"/>
        <v>1</v>
      </c>
      <c r="AT236" s="249">
        <f t="shared" ref="AT236:AU236" ca="1" si="922">IF(AT$93&lt;=0,0,AT93/AT$93)</f>
        <v>1</v>
      </c>
      <c r="AU236" s="249">
        <f t="shared" ca="1" si="922"/>
        <v>1</v>
      </c>
      <c r="AV236" s="249">
        <f t="shared" ref="AV236:AW236" ca="1" si="923">IF(AV$93&lt;=0,0,AV93/AV$93)</f>
        <v>1</v>
      </c>
      <c r="AW236" s="249">
        <f t="shared" ca="1" si="923"/>
        <v>1</v>
      </c>
      <c r="AX236" s="249">
        <f t="shared" ref="AX236:AY236" ca="1" si="924">IF(AX$93&lt;=0,0,AX93/AX$93)</f>
        <v>1</v>
      </c>
      <c r="AY236" s="249">
        <f t="shared" ca="1" si="924"/>
        <v>1</v>
      </c>
      <c r="AZ236" s="249">
        <f t="shared" ref="AZ236:BA236" ca="1" si="925">IF(AZ$93&lt;=0,0,AZ93/AZ$93)</f>
        <v>1</v>
      </c>
      <c r="BA236" s="249">
        <f t="shared" ca="1" si="925"/>
        <v>1</v>
      </c>
      <c r="BB236" s="249">
        <f t="shared" ref="BB236" ca="1" si="926">IF(BB$93&lt;=0,0,BB93/BB$93)</f>
        <v>1</v>
      </c>
    </row>
    <row r="237" spans="1:56" x14ac:dyDescent="0.3">
      <c r="A237" s="10" t="str">
        <f ca="1">Language!A1319</f>
        <v>Сырье и материалы</v>
      </c>
      <c r="C237" s="48" t="s">
        <v>1</v>
      </c>
      <c r="F237" s="6" t="s">
        <v>745</v>
      </c>
      <c r="G237" s="249">
        <f t="shared" ref="G237:M237" ca="1" si="927">IF(G$93&lt;=0,0,-G95/G$93)</f>
        <v>0</v>
      </c>
      <c r="H237" s="249">
        <f t="shared" ca="1" si="927"/>
        <v>0</v>
      </c>
      <c r="I237" s="249">
        <f t="shared" ca="1" si="927"/>
        <v>0</v>
      </c>
      <c r="J237" s="249">
        <f t="shared" ca="1" si="927"/>
        <v>0</v>
      </c>
      <c r="K237" s="249">
        <f t="shared" ca="1" si="927"/>
        <v>0</v>
      </c>
      <c r="L237" s="249">
        <f t="shared" ca="1" si="927"/>
        <v>0</v>
      </c>
      <c r="M237" s="249">
        <f t="shared" ca="1" si="927"/>
        <v>0.1623622420039294</v>
      </c>
      <c r="N237" s="249">
        <f t="shared" ref="N237:O237" ca="1" si="928">IF(N$93&lt;=0,0,-N95/N$93)</f>
        <v>0.16286338700706265</v>
      </c>
      <c r="O237" s="249">
        <f t="shared" ca="1" si="928"/>
        <v>0.16336697135883918</v>
      </c>
      <c r="P237" s="249">
        <f t="shared" ref="P237:Q237" ca="1" si="929">IF(P$93&lt;=0,0,-P95/P$93)</f>
        <v>0.16387300693291196</v>
      </c>
      <c r="Q237" s="249">
        <f t="shared" ca="1" si="929"/>
        <v>0.16438150566072937</v>
      </c>
      <c r="R237" s="249">
        <f t="shared" ref="R237:S237" ca="1" si="930">IF(R$93&lt;=0,0,-R95/R$93)</f>
        <v>0.16489247953181685</v>
      </c>
      <c r="S237" s="249">
        <f t="shared" ca="1" si="930"/>
        <v>0.16540594059405941</v>
      </c>
      <c r="T237" s="249">
        <f t="shared" ref="T237:U237" ca="1" si="931">IF(T$93&lt;=0,0,-T95/T$93)</f>
        <v>0.16592190095398576</v>
      </c>
      <c r="U237" s="249">
        <f t="shared" ca="1" si="931"/>
        <v>0.16644037277705379</v>
      </c>
      <c r="V237" s="249">
        <f t="shared" ref="V237:W237" ca="1" si="932">IF(V$93&lt;=0,0,-V95/V$93)</f>
        <v>0.16696136828793731</v>
      </c>
      <c r="W237" s="249">
        <f t="shared" ca="1" si="932"/>
        <v>0.16748489977081435</v>
      </c>
      <c r="X237" s="249">
        <f t="shared" ref="X237:Y237" ca="1" si="933">IF(X$93&lt;=0,0,-X95/X$93)</f>
        <v>0.16801097956965685</v>
      </c>
      <c r="Y237" s="249">
        <f t="shared" ca="1" si="933"/>
        <v>0.16853962008852161</v>
      </c>
      <c r="Z237" s="249">
        <f t="shared" ref="Z237:AA237" ca="1" si="934">IF(Z$93&lt;=0,0,-Z95/Z$93)</f>
        <v>0.16907083379184282</v>
      </c>
      <c r="AA237" s="249">
        <f t="shared" ca="1" si="934"/>
        <v>0.16960463320472599</v>
      </c>
      <c r="AB237" s="249">
        <f t="shared" ref="AB237:AC237" ca="1" si="935">IF(AB$93&lt;=0,0,-AB95/AB$93)</f>
        <v>0.17014103091324312</v>
      </c>
      <c r="AC237" s="249">
        <f t="shared" ca="1" si="935"/>
        <v>0.1706800395647296</v>
      </c>
      <c r="AD237" s="249">
        <f t="shared" ref="AD237:AE237" ca="1" si="936">IF(AD$93&lt;=0,0,-AD95/AD$93)</f>
        <v>0.17122167186808235</v>
      </c>
      <c r="AE237" s="249">
        <f t="shared" ca="1" si="936"/>
        <v>0.17176594059405945</v>
      </c>
      <c r="AF237" s="249">
        <f t="shared" ref="AF237:AG237" ca="1" si="937">IF(AF$93&lt;=0,0,-AF95/AF$93)</f>
        <v>0.1723128585755814</v>
      </c>
      <c r="AG237" s="249">
        <f t="shared" ca="1" si="937"/>
        <v>0.17286243870803353</v>
      </c>
      <c r="AH237" s="249">
        <f t="shared" ref="AH237:AI237" ca="1" si="938">IF(AH$93&lt;=0,0,-AH95/AH$93)</f>
        <v>0.17341469394957004</v>
      </c>
      <c r="AI237" s="249">
        <f t="shared" ca="1" si="938"/>
        <v>0.17396963732141971</v>
      </c>
      <c r="AJ237" s="249">
        <f t="shared" ref="AJ237:AK237" ca="1" si="939">IF(AJ$93&lt;=0,0,-AJ95/AJ$93)</f>
        <v>0.17452728190819275</v>
      </c>
      <c r="AK237" s="249">
        <f t="shared" ca="1" si="939"/>
        <v>0.17508764085818943</v>
      </c>
      <c r="AL237" s="249">
        <f t="shared" ref="AL237:AM237" ca="1" si="940">IF(AL$93&lt;=0,0,-AL95/AL$93)</f>
        <v>0.17565072738370996</v>
      </c>
      <c r="AM237" s="249">
        <f t="shared" ca="1" si="940"/>
        <v>0.17621655476136608</v>
      </c>
      <c r="AN237" s="249">
        <f t="shared" ref="AN237:AO237" ca="1" si="941">IF(AN$93&lt;=0,0,-AN95/AN$93)</f>
        <v>0.1767851363323942</v>
      </c>
      <c r="AO237" s="249">
        <f t="shared" ca="1" si="941"/>
        <v>0.17735648550296984</v>
      </c>
      <c r="AP237" s="249">
        <f t="shared" ref="AP237:AQ237" ca="1" si="942">IF(AP$93&lt;=0,0,-AP95/AP$93)</f>
        <v>0.17793061574452376</v>
      </c>
      <c r="AQ237" s="249">
        <f t="shared" ca="1" si="942"/>
        <v>0.17850754059405949</v>
      </c>
      <c r="AR237" s="249">
        <f t="shared" ref="AR237:AS237" ca="1" si="943">IF(AR$93&lt;=0,0,-AR95/AR$93)</f>
        <v>0.17908727365447275</v>
      </c>
      <c r="AS237" s="249">
        <f t="shared" ca="1" si="943"/>
        <v>0.17966982859487202</v>
      </c>
      <c r="AT237" s="249">
        <f t="shared" ref="AT237:AU237" ca="1" si="944">IF(AT$93&lt;=0,0,-AT95/AT$93)</f>
        <v>0.18025521915090068</v>
      </c>
      <c r="AU237" s="249">
        <f t="shared" ca="1" si="944"/>
        <v>0.18084345912506131</v>
      </c>
      <c r="AV237" s="249">
        <f t="shared" ref="AV237:AW237" ca="1" si="945">IF(AV$93&lt;=0,0,-AV95/AV$93)</f>
        <v>0.18143456238704075</v>
      </c>
      <c r="AW237" s="249">
        <f t="shared" ca="1" si="945"/>
        <v>0.18202854287403725</v>
      </c>
      <c r="AX237" s="249">
        <f t="shared" ref="AX237:AY237" ca="1" si="946">IF(AX$93&lt;=0,0,-AX95/AX$93)</f>
        <v>0.18262541459108897</v>
      </c>
      <c r="AY237" s="249">
        <f t="shared" ca="1" si="946"/>
        <v>0.18322519161140446</v>
      </c>
      <c r="AZ237" s="249">
        <f t="shared" ref="AZ237:BA237" ca="1" si="947">IF(AZ$93&lt;=0,0,-AZ95/AZ$93)</f>
        <v>0.18382788807669431</v>
      </c>
      <c r="BA237" s="249">
        <f t="shared" ca="1" si="947"/>
        <v>0.18443351819750445</v>
      </c>
      <c r="BB237" s="249">
        <f t="shared" ref="BB237" ca="1" si="948">IF(BB$93&lt;=0,0,-BB95/BB$93)</f>
        <v>0.18504209625355161</v>
      </c>
    </row>
    <row r="238" spans="1:56" x14ac:dyDescent="0.3">
      <c r="A238" s="10" t="str">
        <f ca="1">Language!A1320</f>
        <v>Операционные расходы</v>
      </c>
      <c r="C238" s="48" t="s">
        <v>1</v>
      </c>
      <c r="F238" s="6" t="s">
        <v>745</v>
      </c>
      <c r="G238" s="249">
        <f t="shared" ref="G238:BB238" ca="1" si="949">IF(G$93&lt;=0,0,G48/G$93)</f>
        <v>0</v>
      </c>
      <c r="H238" s="249">
        <f t="shared" ca="1" si="949"/>
        <v>0</v>
      </c>
      <c r="I238" s="249">
        <f t="shared" ca="1" si="949"/>
        <v>0</v>
      </c>
      <c r="J238" s="249">
        <f t="shared" ca="1" si="949"/>
        <v>0</v>
      </c>
      <c r="K238" s="249">
        <f t="shared" ca="1" si="949"/>
        <v>0</v>
      </c>
      <c r="L238" s="249">
        <f t="shared" ca="1" si="949"/>
        <v>0</v>
      </c>
      <c r="M238" s="249">
        <f t="shared" ca="1" si="949"/>
        <v>0.16291229700942991</v>
      </c>
      <c r="N238" s="249">
        <f t="shared" ca="1" si="949"/>
        <v>0.14945579624798674</v>
      </c>
      <c r="O238" s="249">
        <f t="shared" ca="1" si="949"/>
        <v>0.14158479314101743</v>
      </c>
      <c r="P238" s="249">
        <f t="shared" ca="1" si="949"/>
        <v>0.1371953391661353</v>
      </c>
      <c r="Q238" s="249">
        <f t="shared" ca="1" si="949"/>
        <v>0.13770383789395271</v>
      </c>
      <c r="R238" s="249">
        <f t="shared" ca="1" si="949"/>
        <v>0.14096508679254294</v>
      </c>
      <c r="S238" s="249">
        <f t="shared" ca="1" si="949"/>
        <v>0.13260891089108914</v>
      </c>
      <c r="T238" s="249">
        <f t="shared" ca="1" si="949"/>
        <v>0.13692614423545679</v>
      </c>
      <c r="U238" s="249">
        <f t="shared" ca="1" si="949"/>
        <v>0.1411378425240285</v>
      </c>
      <c r="V238" s="249">
        <f t="shared" ca="1" si="949"/>
        <v>0.14097126927803635</v>
      </c>
      <c r="W238" s="249">
        <f t="shared" ca="1" si="949"/>
        <v>0.14694034531536884</v>
      </c>
      <c r="X238" s="249">
        <f t="shared" ca="1" si="949"/>
        <v>0.13211989046074596</v>
      </c>
      <c r="Y238" s="249">
        <f t="shared" ca="1" si="949"/>
        <v>0.1271204781743302</v>
      </c>
      <c r="Z238" s="249">
        <f t="shared" ca="1" si="949"/>
        <v>0.12765169187765144</v>
      </c>
      <c r="AA238" s="249">
        <f t="shared" ca="1" si="949"/>
        <v>0.13707280859369347</v>
      </c>
      <c r="AB238" s="249">
        <f t="shared" ca="1" si="949"/>
        <v>0.15000901771192302</v>
      </c>
      <c r="AC238" s="249">
        <f t="shared" ca="1" si="949"/>
        <v>0.1505480263634095</v>
      </c>
      <c r="AD238" s="249">
        <f t="shared" ca="1" si="949"/>
        <v>0.14729427912880844</v>
      </c>
      <c r="AE238" s="249">
        <f t="shared" ca="1" si="949"/>
        <v>0.13896891089108915</v>
      </c>
      <c r="AF238" s="249">
        <f t="shared" ca="1" si="949"/>
        <v>0.14331710185705246</v>
      </c>
      <c r="AG238" s="249">
        <f t="shared" ca="1" si="949"/>
        <v>0.14755990845500822</v>
      </c>
      <c r="AH238" s="249">
        <f t="shared" ca="1" si="949"/>
        <v>0.14742459493966908</v>
      </c>
      <c r="AI238" s="249">
        <f t="shared" ca="1" si="949"/>
        <v>0.15342508286597417</v>
      </c>
      <c r="AJ238" s="249">
        <f t="shared" ca="1" si="949"/>
        <v>0.13863619279928188</v>
      </c>
      <c r="AK238" s="249">
        <f t="shared" ca="1" si="949"/>
        <v>0.13366849894399804</v>
      </c>
      <c r="AL238" s="249">
        <f t="shared" ca="1" si="949"/>
        <v>0.13423158546951849</v>
      </c>
      <c r="AM238" s="249">
        <f t="shared" ca="1" si="949"/>
        <v>0.14368473015033353</v>
      </c>
      <c r="AN238" s="249">
        <f t="shared" ca="1" si="949"/>
        <v>0.15665312313107413</v>
      </c>
      <c r="AO238" s="249">
        <f t="shared" ca="1" si="949"/>
        <v>0.15722447230164971</v>
      </c>
      <c r="AP238" s="249">
        <f t="shared" ca="1" si="949"/>
        <v>0.15400322300524982</v>
      </c>
      <c r="AQ238" s="249">
        <f t="shared" ca="1" si="949"/>
        <v>0.14571051089108922</v>
      </c>
      <c r="AR238" s="249">
        <f t="shared" ca="1" si="949"/>
        <v>0.1500915169359438</v>
      </c>
      <c r="AS238" s="249">
        <f t="shared" ca="1" si="949"/>
        <v>0.1543672983418467</v>
      </c>
      <c r="AT238" s="249">
        <f t="shared" ca="1" si="949"/>
        <v>0.15426512014099969</v>
      </c>
      <c r="AU238" s="249">
        <f t="shared" ca="1" si="949"/>
        <v>0.16029890466961577</v>
      </c>
      <c r="AV238" s="249">
        <f t="shared" ca="1" si="949"/>
        <v>0.14554347327812989</v>
      </c>
      <c r="AW238" s="249">
        <f t="shared" ca="1" si="949"/>
        <v>0.14060940095984584</v>
      </c>
      <c r="AX238" s="249">
        <f t="shared" ca="1" si="949"/>
        <v>0.14120627267689753</v>
      </c>
      <c r="AY238" s="249">
        <f t="shared" ca="1" si="949"/>
        <v>0.15069336700037197</v>
      </c>
      <c r="AZ238" s="249">
        <f t="shared" ca="1" si="949"/>
        <v>0.16369587487537418</v>
      </c>
      <c r="BA238" s="249">
        <f t="shared" ca="1" si="949"/>
        <v>0.16430150499618434</v>
      </c>
      <c r="BB238" s="249">
        <f t="shared" ca="1" si="949"/>
        <v>0.1611147035142777</v>
      </c>
    </row>
    <row r="239" spans="1:56" x14ac:dyDescent="0.3">
      <c r="A239" s="10" t="str">
        <f ca="1">Language!A1321</f>
        <v>Расходы на персонал</v>
      </c>
      <c r="C239" s="48" t="s">
        <v>1</v>
      </c>
      <c r="F239" s="6" t="s">
        <v>745</v>
      </c>
      <c r="G239" s="249">
        <f t="shared" ref="G239:BB239" ca="1" si="950">IF(G$93&lt;=0,0,G32/G$93)</f>
        <v>0</v>
      </c>
      <c r="H239" s="249">
        <f t="shared" ca="1" si="950"/>
        <v>0</v>
      </c>
      <c r="I239" s="249">
        <f t="shared" ca="1" si="950"/>
        <v>0</v>
      </c>
      <c r="J239" s="249">
        <f t="shared" ca="1" si="950"/>
        <v>0</v>
      </c>
      <c r="K239" s="249">
        <f t="shared" ca="1" si="950"/>
        <v>0</v>
      </c>
      <c r="L239" s="249">
        <f t="shared" ca="1" si="950"/>
        <v>0</v>
      </c>
      <c r="M239" s="249">
        <f t="shared" ca="1" si="950"/>
        <v>0.17563943894389436</v>
      </c>
      <c r="N239" s="249">
        <f t="shared" ca="1" si="950"/>
        <v>0.1317295792079208</v>
      </c>
      <c r="O239" s="249">
        <f t="shared" ca="1" si="950"/>
        <v>0.10538366336633659</v>
      </c>
      <c r="P239" s="249">
        <f t="shared" ca="1" si="950"/>
        <v>8.7819719471947194E-2</v>
      </c>
      <c r="Q239" s="249">
        <f t="shared" ca="1" si="950"/>
        <v>8.7819719471947166E-2</v>
      </c>
      <c r="R239" s="249">
        <f t="shared" ca="1" si="950"/>
        <v>8.7819719471947194E-2</v>
      </c>
      <c r="S239" s="249">
        <f t="shared" ca="1" si="950"/>
        <v>6.5864789603960389E-2</v>
      </c>
      <c r="T239" s="249">
        <f t="shared" ca="1" si="950"/>
        <v>7.527404526166899E-2</v>
      </c>
      <c r="U239" s="249">
        <f t="shared" ca="1" si="950"/>
        <v>8.781971947194718E-2</v>
      </c>
      <c r="V239" s="249">
        <f t="shared" ca="1" si="950"/>
        <v>8.781971947194718E-2</v>
      </c>
      <c r="W239" s="249">
        <f t="shared" ca="1" si="950"/>
        <v>0.10538366336633662</v>
      </c>
      <c r="X239" s="249">
        <f t="shared" ca="1" si="950"/>
        <v>6.5864789603960389E-2</v>
      </c>
      <c r="Y239" s="249">
        <f t="shared" ca="1" si="950"/>
        <v>5.2691831683168308E-2</v>
      </c>
      <c r="Z239" s="249">
        <f t="shared" ca="1" si="950"/>
        <v>5.2691831683168294E-2</v>
      </c>
      <c r="AA239" s="249">
        <f t="shared" ca="1" si="950"/>
        <v>7.5274045261669004E-2</v>
      </c>
      <c r="AB239" s="249">
        <f t="shared" ca="1" si="950"/>
        <v>0.10538366336633663</v>
      </c>
      <c r="AC239" s="249">
        <f t="shared" ca="1" si="950"/>
        <v>0.10538366336633662</v>
      </c>
      <c r="AD239" s="249">
        <f t="shared" ca="1" si="950"/>
        <v>8.7819719471947166E-2</v>
      </c>
      <c r="AE239" s="249">
        <f t="shared" ca="1" si="950"/>
        <v>6.5864789603960375E-2</v>
      </c>
      <c r="AF239" s="249">
        <f t="shared" ca="1" si="950"/>
        <v>7.5274045261669018E-2</v>
      </c>
      <c r="AG239" s="249">
        <f t="shared" ca="1" si="950"/>
        <v>8.7819719471947194E-2</v>
      </c>
      <c r="AH239" s="249">
        <f t="shared" ca="1" si="950"/>
        <v>8.7819719471947194E-2</v>
      </c>
      <c r="AI239" s="249">
        <f t="shared" ca="1" si="950"/>
        <v>0.10538366336633662</v>
      </c>
      <c r="AJ239" s="249">
        <f t="shared" ca="1" si="950"/>
        <v>6.5864789603960389E-2</v>
      </c>
      <c r="AK239" s="249">
        <f t="shared" ca="1" si="950"/>
        <v>5.2691831683168301E-2</v>
      </c>
      <c r="AL239" s="249">
        <f t="shared" ca="1" si="950"/>
        <v>5.2691831683168308E-2</v>
      </c>
      <c r="AM239" s="249">
        <f t="shared" ca="1" si="950"/>
        <v>7.5274045261669018E-2</v>
      </c>
      <c r="AN239" s="249">
        <f t="shared" ca="1" si="950"/>
        <v>0.10538366336633662</v>
      </c>
      <c r="AO239" s="249">
        <f t="shared" ca="1" si="950"/>
        <v>0.1053836633663366</v>
      </c>
      <c r="AP239" s="249">
        <f t="shared" ca="1" si="950"/>
        <v>8.781971947194718E-2</v>
      </c>
      <c r="AQ239" s="249">
        <f t="shared" ca="1" si="950"/>
        <v>6.5864789603960347E-2</v>
      </c>
      <c r="AR239" s="249">
        <f t="shared" ca="1" si="950"/>
        <v>7.527404526166899E-2</v>
      </c>
      <c r="AS239" s="249">
        <f t="shared" ca="1" si="950"/>
        <v>8.7819719471947166E-2</v>
      </c>
      <c r="AT239" s="249">
        <f t="shared" ca="1" si="950"/>
        <v>8.7819719471947166E-2</v>
      </c>
      <c r="AU239" s="249">
        <f t="shared" ca="1" si="950"/>
        <v>0.10538366336633656</v>
      </c>
      <c r="AV239" s="249">
        <f t="shared" ca="1" si="950"/>
        <v>6.5864789603960347E-2</v>
      </c>
      <c r="AW239" s="249">
        <f t="shared" ca="1" si="950"/>
        <v>5.2691831683168287E-2</v>
      </c>
      <c r="AX239" s="249">
        <f t="shared" ca="1" si="950"/>
        <v>5.269183168316828E-2</v>
      </c>
      <c r="AY239" s="249">
        <f t="shared" ca="1" si="950"/>
        <v>7.5274045261669004E-2</v>
      </c>
      <c r="AZ239" s="249">
        <f t="shared" ca="1" si="950"/>
        <v>0.10538366336633659</v>
      </c>
      <c r="BA239" s="249">
        <f t="shared" ca="1" si="950"/>
        <v>0.10538366336633659</v>
      </c>
      <c r="BB239" s="249">
        <f t="shared" ca="1" si="950"/>
        <v>8.7819719471947139E-2</v>
      </c>
    </row>
    <row r="240" spans="1:56" x14ac:dyDescent="0.3">
      <c r="A240" s="10" t="str">
        <f ca="1">Language!A1322</f>
        <v>Амортизация, лизинг и проценты</v>
      </c>
      <c r="C240" s="48" t="s">
        <v>1</v>
      </c>
      <c r="F240" s="6" t="s">
        <v>745</v>
      </c>
      <c r="G240" s="249">
        <f t="shared" ref="G240:M240" ca="1" si="951">IF(G$93&lt;=0,0,-SUM(G106:G108)/G$93)</f>
        <v>0</v>
      </c>
      <c r="H240" s="249">
        <f t="shared" ca="1" si="951"/>
        <v>0</v>
      </c>
      <c r="I240" s="249">
        <f t="shared" ca="1" si="951"/>
        <v>0</v>
      </c>
      <c r="J240" s="249">
        <f t="shared" ca="1" si="951"/>
        <v>0</v>
      </c>
      <c r="K240" s="249">
        <f t="shared" ca="1" si="951"/>
        <v>0</v>
      </c>
      <c r="L240" s="249">
        <f t="shared" ca="1" si="951"/>
        <v>0</v>
      </c>
      <c r="M240" s="249">
        <f t="shared" ca="1" si="951"/>
        <v>0.66950465562541472</v>
      </c>
      <c r="N240" s="249">
        <f t="shared" ref="N240:O240" ca="1" si="952">IF(N$93&lt;=0,0,-SUM(N106:N108)/N$93)</f>
        <v>0.49554250220136981</v>
      </c>
      <c r="O240" s="249">
        <f t="shared" ca="1" si="952"/>
        <v>0.38955339926808785</v>
      </c>
      <c r="P240" s="249">
        <f t="shared" ref="P240:Q240" ca="1" si="953">IF(P$93&lt;=0,0,-SUM(P106:P108)/P$93)</f>
        <v>0.31894179476372309</v>
      </c>
      <c r="Q240" s="249">
        <f t="shared" ca="1" si="953"/>
        <v>0.31330322573523978</v>
      </c>
      <c r="R240" s="249">
        <f t="shared" ref="R240:S240" ca="1" si="954">IF(R$93&lt;=0,0,-SUM(R106:R108)/R$93)</f>
        <v>0.30635386770792083</v>
      </c>
      <c r="S240" s="249">
        <f t="shared" ca="1" si="954"/>
        <v>0.22459836248095116</v>
      </c>
      <c r="T240" s="249">
        <f t="shared" ref="T240:U240" ca="1" si="955">IF(T$93&lt;=0,0,-SUM(T106:T108)/T$93)</f>
        <v>0.25082970392083775</v>
      </c>
      <c r="U240" s="249">
        <f t="shared" ca="1" si="955"/>
        <v>0.28586396618803428</v>
      </c>
      <c r="V240" s="249">
        <f t="shared" ref="V240:W240" ca="1" si="956">IF(V$93&lt;=0,0,-SUM(V106:V108)/V$93)</f>
        <v>0.27782019455571338</v>
      </c>
      <c r="W240" s="249">
        <f t="shared" ca="1" si="956"/>
        <v>0.32381717160684759</v>
      </c>
      <c r="X240" s="249">
        <f t="shared" ref="X240:Y240" ca="1" si="957">IF(X$93&lt;=0,0,-SUM(X106:X108)/X$93)</f>
        <v>0.19645935772605297</v>
      </c>
      <c r="Y240" s="249">
        <f t="shared" ca="1" si="957"/>
        <v>0.15010592771521672</v>
      </c>
      <c r="Z240" s="249">
        <f t="shared" ref="Z240:AA240" ca="1" si="958">IF(Z$93&lt;=0,0,-SUM(Z106:Z108)/Z$93)</f>
        <v>0.14310909344808348</v>
      </c>
      <c r="AA240" s="249">
        <f t="shared" ca="1" si="958"/>
        <v>0.19453788861125684</v>
      </c>
      <c r="AB240" s="249">
        <f t="shared" ref="AB240:AC240" ca="1" si="959">IF(AB$93&lt;=0,0,-SUM(AB106:AB108)/AB$93)</f>
        <v>0.2586155101077966</v>
      </c>
      <c r="AC240" s="249">
        <f t="shared" ca="1" si="959"/>
        <v>0.24500467411704849</v>
      </c>
      <c r="AD240" s="249">
        <f t="shared" ref="AD240:AE240" ca="1" si="960">IF(AD$93&lt;=0,0,-SUM(AD106:AD108)/AD$93)</f>
        <v>0.1929330258159605</v>
      </c>
      <c r="AE240" s="249">
        <f t="shared" ca="1" si="960"/>
        <v>0.13634967586593591</v>
      </c>
      <c r="AF240" s="249">
        <f t="shared" ref="AF240:AG240" ca="1" si="961">IF(AF$93&lt;=0,0,-SUM(AF106:AF108)/AF$93)</f>
        <v>0.14637380842022271</v>
      </c>
      <c r="AG240" s="249">
        <f t="shared" ca="1" si="961"/>
        <v>0.15984191197162897</v>
      </c>
      <c r="AH240" s="249">
        <f t="shared" ref="AH240:AI240" ca="1" si="962">IF(AH$93&lt;=0,0,-SUM(AH106:AH108)/AH$93)</f>
        <v>0.14901623915700693</v>
      </c>
      <c r="AI240" s="249">
        <f t="shared" ca="1" si="962"/>
        <v>0.16595003318296875</v>
      </c>
      <c r="AJ240" s="249">
        <f t="shared" ref="AJ240:AK240" ca="1" si="963">IF(AJ$93&lt;=0,0,-SUM(AJ106:AJ108)/AJ$93)</f>
        <v>9.5750663812585776E-2</v>
      </c>
      <c r="AK240" s="249">
        <f t="shared" ca="1" si="963"/>
        <v>7.0285854239854062E-2</v>
      </c>
      <c r="AL240" s="249">
        <f t="shared" ref="AL240:AM240" ca="1" si="964">IF(AL$93&lt;=0,0,-SUM(AL106:AL108)/AL$93)</f>
        <v>6.4030556308527081E-2</v>
      </c>
      <c r="AM240" s="249">
        <f t="shared" ca="1" si="964"/>
        <v>8.2620300235433167E-2</v>
      </c>
      <c r="AN240" s="249">
        <f t="shared" ref="AN240:AO240" ca="1" si="965">IF(AN$93&lt;=0,0,-SUM(AN106:AN108)/AN$93)</f>
        <v>0.10339278292352955</v>
      </c>
      <c r="AO240" s="249">
        <f t="shared" ca="1" si="965"/>
        <v>9.1233357160589348E-2</v>
      </c>
      <c r="AP240" s="249">
        <f t="shared" ref="AP240:AQ240" ca="1" si="966">IF(AP$93&lt;=0,0,-SUM(AP106:AP108)/AP$93)</f>
        <v>6.5991087687677821E-2</v>
      </c>
      <c r="AQ240" s="249">
        <f t="shared" ca="1" si="966"/>
        <v>4.2037371682338877E-2</v>
      </c>
      <c r="AR240" s="249">
        <f t="shared" ref="AR240:AS240" ca="1" si="967">IF(AR$93&lt;=0,0,-SUM(AR106:AR108)/AR$93)</f>
        <v>3.9602856065621944E-2</v>
      </c>
      <c r="AS240" s="249">
        <f t="shared" ca="1" si="967"/>
        <v>3.6450912401898766E-2</v>
      </c>
      <c r="AT240" s="249">
        <f t="shared" ref="AT240:AU240" ca="1" si="968">IF(AT$93&lt;=0,0,-SUM(AT106:AT108)/AT$93)</f>
        <v>3.5266833090922239E-2</v>
      </c>
      <c r="AU240" s="249">
        <f t="shared" ca="1" si="968"/>
        <v>4.2115201834607097E-2</v>
      </c>
      <c r="AV240" s="249">
        <f t="shared" ref="AV240:AW240" ca="1" si="969">IF(AV$93&lt;=0,0,-SUM(AV106:AV108)/AV$93)</f>
        <v>2.6194498102581336E-2</v>
      </c>
      <c r="AW240" s="249">
        <f t="shared" ca="1" si="969"/>
        <v>2.0854090143795925E-2</v>
      </c>
      <c r="AX240" s="249">
        <f t="shared" ref="AX240:AY240" ca="1" si="970">IF(AX$93&lt;=0,0,-SUM(AX106:AX108)/AX$93)</f>
        <v>2.0753073509104075E-2</v>
      </c>
      <c r="AY240" s="249">
        <f t="shared" ca="1" si="970"/>
        <v>2.9503637423130055E-2</v>
      </c>
      <c r="AZ240" s="249">
        <f t="shared" ref="AZ240:BA240" ca="1" si="971">IF(AZ$93&lt;=0,0,-SUM(AZ106:AZ108)/AZ$93)</f>
        <v>4.1105011669591317E-2</v>
      </c>
      <c r="BA240" s="249">
        <f t="shared" ca="1" si="971"/>
        <v>4.0905900132276587E-2</v>
      </c>
      <c r="BB240" s="249">
        <f t="shared" ref="BB240" ca="1" si="972">IF(BB$93&lt;=0,0,-SUM(BB106:BB108)/BB$93)</f>
        <v>3.3923127571441919E-2</v>
      </c>
    </row>
    <row r="241" spans="1:54" x14ac:dyDescent="0.3">
      <c r="A241" s="10" t="str">
        <f ca="1">Language!A1323</f>
        <v>Прочие расходы</v>
      </c>
      <c r="C241" s="48" t="s">
        <v>1</v>
      </c>
      <c r="F241" s="6" t="s">
        <v>745</v>
      </c>
      <c r="G241" s="249">
        <f t="shared" ref="G241:M241" ca="1" si="973">IF(G$93&lt;=0,0,-(G114+G112)/G$93)</f>
        <v>0</v>
      </c>
      <c r="H241" s="249">
        <f t="shared" ca="1" si="973"/>
        <v>0</v>
      </c>
      <c r="I241" s="249">
        <f t="shared" ca="1" si="973"/>
        <v>0</v>
      </c>
      <c r="J241" s="249">
        <f t="shared" ca="1" si="973"/>
        <v>0</v>
      </c>
      <c r="K241" s="249">
        <f t="shared" ca="1" si="973"/>
        <v>0</v>
      </c>
      <c r="L241" s="249">
        <f t="shared" ca="1" si="973"/>
        <v>0</v>
      </c>
      <c r="M241" s="249">
        <f t="shared" ca="1" si="973"/>
        <v>-1.4927070132313241E-15</v>
      </c>
      <c r="N241" s="249">
        <f t="shared" ref="N241:O241" ca="1" si="974">IF(N$93&lt;=0,0,-(N114+N112)/N$93)</f>
        <v>2.5995836682010087E-15</v>
      </c>
      <c r="O241" s="249">
        <f t="shared" ca="1" si="974"/>
        <v>0</v>
      </c>
      <c r="P241" s="249">
        <f t="shared" ref="P241:Q241" ca="1" si="975">IF(P$93&lt;=0,0,-(P114+P112)/P$93)</f>
        <v>0</v>
      </c>
      <c r="Q241" s="249">
        <f t="shared" ca="1" si="975"/>
        <v>0</v>
      </c>
      <c r="R241" s="249">
        <f t="shared" ref="R241:S241" ca="1" si="976">IF(R$93&lt;=0,0,-(R114+R112)/R$93)</f>
        <v>1.2140853445887877E-16</v>
      </c>
      <c r="S241" s="249">
        <f t="shared" ca="1" si="976"/>
        <v>-9.0615326162070146E-17</v>
      </c>
      <c r="T241" s="249">
        <f t="shared" ref="T241:U241" ca="1" si="977">IF(T$93&lt;=0,0,-(T114+T112)/T$93)</f>
        <v>0</v>
      </c>
      <c r="U241" s="249">
        <f t="shared" ca="1" si="977"/>
        <v>2.393055362909161E-16</v>
      </c>
      <c r="V241" s="249">
        <f t="shared" ref="V241:W241" ca="1" si="978">IF(V$93&lt;=0,0,-(V114+V112)/V$93)</f>
        <v>-4.7629269381080471E-16</v>
      </c>
      <c r="W241" s="249">
        <f t="shared" ca="1" si="978"/>
        <v>2.843913271213745E-16</v>
      </c>
      <c r="X241" s="249">
        <f t="shared" ref="X241:Y241" ca="1" si="979">IF(X$93&lt;=0,0,-(X114+X112)/X$93)</f>
        <v>-3.5376717926827101E-16</v>
      </c>
      <c r="Y241" s="249">
        <f t="shared" ca="1" si="979"/>
        <v>0</v>
      </c>
      <c r="Z241" s="249">
        <f t="shared" ref="Z241:AA241" ca="1" si="980">IF(Z$93&lt;=0,0,-(Z114+Z112)/Z$93)</f>
        <v>2.8027856260927302E-16</v>
      </c>
      <c r="AA241" s="249">
        <f t="shared" ca="1" si="980"/>
        <v>-3.9845843002832564E-16</v>
      </c>
      <c r="AB241" s="249">
        <f t="shared" ref="AB241:AC241" ca="1" si="981">IF(AB$93&lt;=0,0,-(AB114+AB112)/AB$93)</f>
        <v>0</v>
      </c>
      <c r="AC241" s="249">
        <f t="shared" ca="1" si="981"/>
        <v>5.5245055082002193E-16</v>
      </c>
      <c r="AD241" s="249">
        <f t="shared" ref="AD241:AE241" ca="1" si="982">IF(AD$93&lt;=0,0,-(AD114+AD112)/AD$93)</f>
        <v>-4.5814541305237263E-16</v>
      </c>
      <c r="AE241" s="249">
        <f t="shared" ca="1" si="982"/>
        <v>0</v>
      </c>
      <c r="AF241" s="249">
        <f t="shared" ref="AF241:AG241" ca="1" si="983">IF(AF$93&lt;=0,0,-(AF114+AF112)/AF$93)</f>
        <v>3.889008648345747E-16</v>
      </c>
      <c r="AG241" s="249">
        <f t="shared" ca="1" si="983"/>
        <v>-4.5151987979418137E-16</v>
      </c>
      <c r="AH241" s="249">
        <f t="shared" ref="AH241:AI241" ca="1" si="984">IF(AH$93&lt;=0,0,-(AH114+AH112)/AH$93)</f>
        <v>0</v>
      </c>
      <c r="AI241" s="249">
        <f t="shared" ca="1" si="984"/>
        <v>5.365874096629707E-16</v>
      </c>
      <c r="AJ241" s="249">
        <f t="shared" ref="AJ241:AK241" ca="1" si="985">IF(AJ$93&lt;=0,0,-(AJ114+AJ112)/AJ$93)</f>
        <v>0</v>
      </c>
      <c r="AK241" s="249">
        <f t="shared" ca="1" si="985"/>
        <v>0</v>
      </c>
      <c r="AL241" s="249">
        <f t="shared" ref="AL241:AM241" ca="1" si="986">IF(AL$93&lt;=0,0,-(AL114+AL112)/AL$93)</f>
        <v>0</v>
      </c>
      <c r="AM241" s="249">
        <f t="shared" ca="1" si="986"/>
        <v>0</v>
      </c>
      <c r="AN241" s="249">
        <f t="shared" ref="AN241:AO241" ca="1" si="987">IF(AN$93&lt;=0,0,-(AN114+AN112)/AN$93)</f>
        <v>0</v>
      </c>
      <c r="AO241" s="249">
        <f t="shared" ca="1" si="987"/>
        <v>0</v>
      </c>
      <c r="AP241" s="249">
        <f t="shared" ref="AP241:AQ241" ca="1" si="988">IF(AP$93&lt;=0,0,-(AP114+AP112)/AP$93)</f>
        <v>0</v>
      </c>
      <c r="AQ241" s="249">
        <f t="shared" ca="1" si="988"/>
        <v>0</v>
      </c>
      <c r="AR241" s="249">
        <f t="shared" ref="AR241:AS241" ca="1" si="989">IF(AR$93&lt;=0,0,-(AR114+AR112)/AR$93)</f>
        <v>0</v>
      </c>
      <c r="AS241" s="249">
        <f t="shared" ca="1" si="989"/>
        <v>0</v>
      </c>
      <c r="AT241" s="249">
        <f t="shared" ref="AT241:AU241" ca="1" si="990">IF(AT$93&lt;=0,0,-(AT114+AT112)/AT$93)</f>
        <v>0</v>
      </c>
      <c r="AU241" s="249">
        <f t="shared" ca="1" si="990"/>
        <v>0</v>
      </c>
      <c r="AV241" s="249">
        <f t="shared" ref="AV241:AW241" ca="1" si="991">IF(AV$93&lt;=0,0,-(AV114+AV112)/AV$93)</f>
        <v>0</v>
      </c>
      <c r="AW241" s="249">
        <f t="shared" ca="1" si="991"/>
        <v>0</v>
      </c>
      <c r="AX241" s="249">
        <f t="shared" ref="AX241:AY241" ca="1" si="992">IF(AX$93&lt;=0,0,-(AX114+AX112)/AX$93)</f>
        <v>0</v>
      </c>
      <c r="AY241" s="249">
        <f t="shared" ca="1" si="992"/>
        <v>0</v>
      </c>
      <c r="AZ241" s="249">
        <f t="shared" ref="AZ241:BA241" ca="1" si="993">IF(AZ$93&lt;=0,0,-(AZ114+AZ112)/AZ$93)</f>
        <v>0</v>
      </c>
      <c r="BA241" s="249">
        <f t="shared" ca="1" si="993"/>
        <v>0</v>
      </c>
      <c r="BB241" s="249">
        <f t="shared" ref="BB241" ca="1" si="994">IF(BB$93&lt;=0,0,-(BB114+BB112)/BB$93)</f>
        <v>0</v>
      </c>
    </row>
    <row r="242" spans="1:54" x14ac:dyDescent="0.3">
      <c r="A242" s="10" t="str">
        <f ca="1">Language!A1324</f>
        <v>Налоги</v>
      </c>
      <c r="C242" s="48" t="s">
        <v>1</v>
      </c>
      <c r="F242" s="6" t="s">
        <v>745</v>
      </c>
      <c r="G242" s="249">
        <f t="shared" ref="G242:M242" ca="1" si="995">IF(G$93&lt;=0,0,-SUM(G103,G116)/G$93)</f>
        <v>0</v>
      </c>
      <c r="H242" s="249">
        <f t="shared" ca="1" si="995"/>
        <v>0</v>
      </c>
      <c r="I242" s="249">
        <f t="shared" ca="1" si="995"/>
        <v>0</v>
      </c>
      <c r="J242" s="249">
        <f t="shared" ca="1" si="995"/>
        <v>0</v>
      </c>
      <c r="K242" s="249">
        <f t="shared" ca="1" si="995"/>
        <v>0</v>
      </c>
      <c r="L242" s="249">
        <f t="shared" ca="1" si="995"/>
        <v>0</v>
      </c>
      <c r="M242" s="249">
        <f t="shared" ca="1" si="995"/>
        <v>0.04</v>
      </c>
      <c r="N242" s="249">
        <f t="shared" ref="N242:O242" ca="1" si="996">IF(N$93&lt;=0,0,-SUM(N103,N116)/N$93)</f>
        <v>5.4927340415720394E-2</v>
      </c>
      <c r="O242" s="249">
        <f t="shared" ca="1" si="996"/>
        <v>5.5922496443435069E-2</v>
      </c>
      <c r="P242" s="249">
        <f t="shared" ref="P242:Q242" ca="1" si="997">IF(P$93&lt;=0,0,-SUM(P103,P116)/P$93)</f>
        <v>5.6585933795244875E-2</v>
      </c>
      <c r="Q242" s="249">
        <f t="shared" ca="1" si="997"/>
        <v>5.9903120554293858E-2</v>
      </c>
      <c r="R242" s="249">
        <f t="shared" ref="R242:S242" ca="1" si="998">IF(R$93&lt;=0,0,-SUM(R103,R116)/R$93)</f>
        <v>5.9903120554293858E-2</v>
      </c>
      <c r="S242" s="249">
        <f t="shared" ca="1" si="998"/>
        <v>5.4927340415720394E-2</v>
      </c>
      <c r="T242" s="249">
        <f t="shared" ref="T242:U242" ca="1" si="999">IF(T$93&lt;=0,0,-SUM(T103,T116)/T$93)</f>
        <v>6.2746423490621539E-2</v>
      </c>
      <c r="U242" s="249">
        <f t="shared" ca="1" si="999"/>
        <v>6.3220307313342813E-2</v>
      </c>
      <c r="V242" s="249">
        <f t="shared" ref="V242:W242" ca="1" si="1000">IF(V$93&lt;=0,0,-SUM(V103,V116)/V$93)</f>
        <v>5.9903120554293858E-2</v>
      </c>
      <c r="W242" s="249">
        <f t="shared" ca="1" si="1000"/>
        <v>6.3883744665152634E-2</v>
      </c>
      <c r="X242" s="249">
        <f t="shared" ref="X242:Y242" ca="1" si="1001">IF(X$93&lt;=0,0,-SUM(X103,X116)/X$93)</f>
        <v>5.2439450346433658E-2</v>
      </c>
      <c r="Y242" s="249">
        <f t="shared" ca="1" si="1001"/>
        <v>5.5922496443435096E-2</v>
      </c>
      <c r="Z242" s="249">
        <f t="shared" ref="Z242:AA242" ca="1" si="1002">IF(Z$93&lt;=0,0,-SUM(Z103,Z116)/Z$93)</f>
        <v>5.9903120554293844E-2</v>
      </c>
      <c r="AA242" s="249">
        <f t="shared" ca="1" si="1002"/>
        <v>6.8433029363276943E-2</v>
      </c>
      <c r="AB242" s="249">
        <f t="shared" ref="AB242:AC242" ca="1" si="1003">IF(AB$93&lt;=0,0,-SUM(AB103,AB116)/AB$93)</f>
        <v>6.7864368776011402E-2</v>
      </c>
      <c r="AC242" s="249">
        <f t="shared" ca="1" si="1003"/>
        <v>5.9903120554293858E-2</v>
      </c>
      <c r="AD242" s="249">
        <f t="shared" ref="AD242:AE242" ca="1" si="1004">IF(AD$93&lt;=0,0,-SUM(AD103,AD116)/AD$93)</f>
        <v>5.6585933795244882E-2</v>
      </c>
      <c r="AE242" s="249">
        <f t="shared" ca="1" si="1004"/>
        <v>5.4927340415720373E-2</v>
      </c>
      <c r="AF242" s="249">
        <f t="shared" ref="AF242:AG242" ca="1" si="1005">IF(AF$93&lt;=0,0,-SUM(AF103,AF116)/AF$93)</f>
        <v>6.2746423490621553E-2</v>
      </c>
      <c r="AG242" s="249">
        <f t="shared" ca="1" si="1005"/>
        <v>6.3220307313342841E-2</v>
      </c>
      <c r="AH242" s="249">
        <f t="shared" ref="AH242:AI242" ca="1" si="1006">IF(AH$93&lt;=0,0,-SUM(AH103,AH116)/AH$93)</f>
        <v>5.9903120554293844E-2</v>
      </c>
      <c r="AI242" s="249">
        <f t="shared" ca="1" si="1006"/>
        <v>6.3883744665152634E-2</v>
      </c>
      <c r="AJ242" s="249">
        <f t="shared" ref="AJ242:AK242" ca="1" si="1007">IF(AJ$93&lt;=0,0,-SUM(AJ103,AJ116)/AJ$93)</f>
        <v>5.2439450346433665E-2</v>
      </c>
      <c r="AK242" s="249">
        <f t="shared" ca="1" si="1007"/>
        <v>5.5922496443435082E-2</v>
      </c>
      <c r="AL242" s="249">
        <f t="shared" ref="AL242:AM242" ca="1" si="1008">IF(AL$93&lt;=0,0,-SUM(AL103,AL116)/AL$93)</f>
        <v>5.9903120554293844E-2</v>
      </c>
      <c r="AM242" s="249">
        <f t="shared" ca="1" si="1008"/>
        <v>6.8433029363276929E-2</v>
      </c>
      <c r="AN242" s="249">
        <f t="shared" ref="AN242:AO242" ca="1" si="1009">IF(AN$93&lt;=0,0,-SUM(AN103,AN116)/AN$93)</f>
        <v>6.7864368776011402E-2</v>
      </c>
      <c r="AO242" s="249">
        <f t="shared" ca="1" si="1009"/>
        <v>5.9903120554293837E-2</v>
      </c>
      <c r="AP242" s="249">
        <f t="shared" ref="AP242:AQ242" ca="1" si="1010">IF(AP$93&lt;=0,0,-SUM(AP103,AP116)/AP$93)</f>
        <v>5.6585933795244889E-2</v>
      </c>
      <c r="AQ242" s="249">
        <f t="shared" ca="1" si="1010"/>
        <v>5.492734041572038E-2</v>
      </c>
      <c r="AR242" s="249">
        <f t="shared" ref="AR242:AS242" ca="1" si="1011">IF(AR$93&lt;=0,0,-SUM(AR103,AR116)/AR$93)</f>
        <v>6.2746423490621539E-2</v>
      </c>
      <c r="AS242" s="249">
        <f t="shared" ca="1" si="1011"/>
        <v>6.3220307313342841E-2</v>
      </c>
      <c r="AT242" s="249">
        <f t="shared" ref="AT242:AU242" ca="1" si="1012">IF(AT$93&lt;=0,0,-SUM(AT103,AT116)/AT$93)</f>
        <v>5.9903120554293858E-2</v>
      </c>
      <c r="AU242" s="249">
        <f t="shared" ca="1" si="1012"/>
        <v>6.388374466515262E-2</v>
      </c>
      <c r="AV242" s="249">
        <f t="shared" ref="AV242:AW242" ca="1" si="1013">IF(AV$93&lt;=0,0,-SUM(AV103,AV116)/AV$93)</f>
        <v>5.2439450346433651E-2</v>
      </c>
      <c r="AW242" s="249">
        <f t="shared" ca="1" si="1013"/>
        <v>5.5922496443435082E-2</v>
      </c>
      <c r="AX242" s="249">
        <f t="shared" ref="AX242:AY242" ca="1" si="1014">IF(AX$93&lt;=0,0,-SUM(AX103,AX116)/AX$93)</f>
        <v>5.9903120554293844E-2</v>
      </c>
      <c r="AY242" s="249">
        <f t="shared" ca="1" si="1014"/>
        <v>6.8433029363276929E-2</v>
      </c>
      <c r="AZ242" s="249">
        <f t="shared" ref="AZ242:BA242" ca="1" si="1015">IF(AZ$93&lt;=0,0,-SUM(AZ103,AZ116)/AZ$93)</f>
        <v>6.7864368776011388E-2</v>
      </c>
      <c r="BA242" s="249">
        <f t="shared" ca="1" si="1015"/>
        <v>5.9903120554293844E-2</v>
      </c>
      <c r="BB242" s="249">
        <f t="shared" ref="BB242" ca="1" si="1016">IF(BB$93&lt;=0,0,-SUM(BB103,BB116)/BB$93)</f>
        <v>5.6585933795244889E-2</v>
      </c>
    </row>
    <row r="243" spans="1:54" x14ac:dyDescent="0.3">
      <c r="A243" s="10" t="str">
        <f ca="1">Language!A1325</f>
        <v>Все операционные затраты</v>
      </c>
      <c r="C243" s="48" t="s">
        <v>1</v>
      </c>
      <c r="F243" s="6" t="s">
        <v>745</v>
      </c>
      <c r="G243" s="251">
        <f ca="1">SUM(G237:G242)</f>
        <v>0</v>
      </c>
      <c r="H243" s="251">
        <f t="shared" ref="H243:M243" ca="1" si="1017">SUM(H237:H242)</f>
        <v>0</v>
      </c>
      <c r="I243" s="251">
        <f t="shared" ca="1" si="1017"/>
        <v>0</v>
      </c>
      <c r="J243" s="251">
        <f t="shared" ca="1" si="1017"/>
        <v>0</v>
      </c>
      <c r="K243" s="251">
        <f t="shared" ca="1" si="1017"/>
        <v>0</v>
      </c>
      <c r="L243" s="251">
        <f t="shared" ca="1" si="1017"/>
        <v>0</v>
      </c>
      <c r="M243" s="251">
        <f t="shared" ca="1" si="1017"/>
        <v>1.2104186335826668</v>
      </c>
      <c r="N243" s="251">
        <f t="shared" ref="N243:O243" ca="1" si="1018">SUM(N237:N242)</f>
        <v>0.99451860508006296</v>
      </c>
      <c r="O243" s="251">
        <f t="shared" ca="1" si="1018"/>
        <v>0.85581132357771605</v>
      </c>
      <c r="P243" s="251">
        <f t="shared" ref="P243:Q243" ca="1" si="1019">SUM(P237:P242)</f>
        <v>0.76441579412996241</v>
      </c>
      <c r="Q243" s="251">
        <f t="shared" ca="1" si="1019"/>
        <v>0.76311140931616284</v>
      </c>
      <c r="R243" s="251">
        <f t="shared" ref="R243:S243" ca="1" si="1020">SUM(R237:R242)</f>
        <v>0.75993427405852176</v>
      </c>
      <c r="S243" s="251">
        <f t="shared" ca="1" si="1020"/>
        <v>0.64340534398578031</v>
      </c>
      <c r="T243" s="251">
        <f t="shared" ref="T243:U243" ca="1" si="1021">SUM(T237:T242)</f>
        <v>0.6916982178625708</v>
      </c>
      <c r="U243" s="251">
        <f t="shared" ca="1" si="1021"/>
        <v>0.74448220827440681</v>
      </c>
      <c r="V243" s="251">
        <f t="shared" ref="V243:W243" ca="1" si="1022">SUM(V237:V242)</f>
        <v>0.73347567214792753</v>
      </c>
      <c r="W243" s="251">
        <f t="shared" ca="1" si="1022"/>
        <v>0.80750982472452049</v>
      </c>
      <c r="X243" s="251">
        <f t="shared" ref="X243:Y243" ca="1" si="1023">SUM(X237:X242)</f>
        <v>0.61489446770684952</v>
      </c>
      <c r="Y243" s="251">
        <f t="shared" ca="1" si="1023"/>
        <v>0.5543803541046719</v>
      </c>
      <c r="Z243" s="251">
        <f t="shared" ref="Z243:AA243" ca="1" si="1024">SUM(Z237:Z242)</f>
        <v>0.55242657135504014</v>
      </c>
      <c r="AA243" s="251">
        <f t="shared" ca="1" si="1024"/>
        <v>0.64492240503462184</v>
      </c>
      <c r="AB243" s="251">
        <f t="shared" ref="AB243:AC243" ca="1" si="1025">SUM(AB237:AB242)</f>
        <v>0.75201359087531083</v>
      </c>
      <c r="AC243" s="251">
        <f t="shared" ca="1" si="1025"/>
        <v>0.73151952396581865</v>
      </c>
      <c r="AD243" s="251">
        <f t="shared" ref="AD243:AE243" ca="1" si="1026">SUM(AD237:AD242)</f>
        <v>0.65585463008004286</v>
      </c>
      <c r="AE243" s="251">
        <f t="shared" ca="1" si="1026"/>
        <v>0.5678766573707652</v>
      </c>
      <c r="AF243" s="251">
        <f t="shared" ref="AF243:AG243" ca="1" si="1027">SUM(AF237:AF242)</f>
        <v>0.60002423760514756</v>
      </c>
      <c r="AG243" s="251">
        <f t="shared" ca="1" si="1027"/>
        <v>0.63130428591996035</v>
      </c>
      <c r="AH243" s="251">
        <f t="shared" ref="AH243:AI243" ca="1" si="1028">SUM(AH237:AH242)</f>
        <v>0.61757836807248701</v>
      </c>
      <c r="AI243" s="251">
        <f t="shared" ca="1" si="1028"/>
        <v>0.66261216140185253</v>
      </c>
      <c r="AJ243" s="251">
        <f t="shared" ref="AJ243:AK243" ca="1" si="1029">SUM(AJ237:AJ242)</f>
        <v>0.5272183784704545</v>
      </c>
      <c r="AK243" s="251">
        <f t="shared" ca="1" si="1029"/>
        <v>0.48765632216864496</v>
      </c>
      <c r="AL243" s="251">
        <f t="shared" ref="AL243:AM243" ca="1" si="1030">SUM(AL237:AL242)</f>
        <v>0.48650782139921772</v>
      </c>
      <c r="AM243" s="251">
        <f t="shared" ca="1" si="1030"/>
        <v>0.54622865977207868</v>
      </c>
      <c r="AN243" s="251">
        <f t="shared" ref="AN243:AO243" ca="1" si="1031">SUM(AN237:AN242)</f>
        <v>0.61007907452934584</v>
      </c>
      <c r="AO243" s="251">
        <f t="shared" ca="1" si="1031"/>
        <v>0.59110109888583928</v>
      </c>
      <c r="AP243" s="251">
        <f t="shared" ref="AP243:AQ243" ca="1" si="1032">SUM(AP237:AP242)</f>
        <v>0.54233057970464338</v>
      </c>
      <c r="AQ243" s="251">
        <f t="shared" ca="1" si="1032"/>
        <v>0.48704755318716836</v>
      </c>
      <c r="AR243" s="251">
        <f t="shared" ref="AR243:AS243" ca="1" si="1033">SUM(AR237:AR242)</f>
        <v>0.50680211540832898</v>
      </c>
      <c r="AS243" s="251">
        <f t="shared" ca="1" si="1033"/>
        <v>0.52152806612390745</v>
      </c>
      <c r="AT243" s="251">
        <f t="shared" ref="AT243:AU243" ca="1" si="1034">SUM(AT237:AT242)</f>
        <v>0.51751001240906358</v>
      </c>
      <c r="AU243" s="251">
        <f t="shared" ca="1" si="1034"/>
        <v>0.55252497366077336</v>
      </c>
      <c r="AV243" s="251">
        <f t="shared" ref="AV243:AW243" ca="1" si="1035">SUM(AV237:AV242)</f>
        <v>0.471476773718146</v>
      </c>
      <c r="AW243" s="251">
        <f t="shared" ca="1" si="1035"/>
        <v>0.45210636210428234</v>
      </c>
      <c r="AX243" s="251">
        <f t="shared" ref="AX243:AY243" ca="1" si="1036">SUM(AX237:AX242)</f>
        <v>0.45717971301455268</v>
      </c>
      <c r="AY243" s="251">
        <f t="shared" ca="1" si="1036"/>
        <v>0.50712927065985247</v>
      </c>
      <c r="AZ243" s="251">
        <f t="shared" ref="AZ243:BA243" ca="1" si="1037">SUM(AZ237:AZ242)</f>
        <v>0.56187680676400775</v>
      </c>
      <c r="BA243" s="251">
        <f t="shared" ca="1" si="1037"/>
        <v>0.55492770724659579</v>
      </c>
      <c r="BB243" s="251">
        <f t="shared" ref="BB243" ca="1" si="1038">SUM(BB237:BB242)</f>
        <v>0.52448558060646322</v>
      </c>
    </row>
    <row r="244" spans="1:54" x14ac:dyDescent="0.3">
      <c r="A244" s="89"/>
      <c r="B244" s="90"/>
      <c r="C244" s="91"/>
      <c r="D244" s="92"/>
      <c r="E244" s="92"/>
      <c r="F244" s="92"/>
      <c r="G244" s="250"/>
      <c r="H244" s="93"/>
      <c r="I244" s="93"/>
      <c r="J244" s="93"/>
      <c r="K244" s="93"/>
      <c r="L244" s="93"/>
      <c r="M244" s="93"/>
      <c r="N244" s="93"/>
      <c r="O244" s="93"/>
      <c r="P244" s="93"/>
      <c r="Q244" s="93"/>
      <c r="R244" s="93"/>
      <c r="S244" s="93"/>
      <c r="T244" s="93"/>
      <c r="U244" s="93"/>
      <c r="V244" s="93"/>
      <c r="W244" s="93"/>
      <c r="X244" s="93"/>
      <c r="Y244" s="93"/>
      <c r="Z244" s="93"/>
      <c r="AA244" s="93"/>
      <c r="AB244" s="93"/>
      <c r="AC244" s="93"/>
      <c r="AD244" s="93"/>
      <c r="AE244" s="93"/>
      <c r="AF244" s="93"/>
      <c r="AG244" s="93"/>
      <c r="AH244" s="93"/>
      <c r="AI244" s="93"/>
      <c r="AJ244" s="93"/>
      <c r="AK244" s="93"/>
      <c r="AL244" s="93"/>
      <c r="AM244" s="93"/>
      <c r="AN244" s="93"/>
      <c r="AO244" s="93"/>
      <c r="AP244" s="93"/>
      <c r="AQ244" s="93"/>
      <c r="AR244" s="93"/>
      <c r="AS244" s="93"/>
      <c r="AT244" s="93"/>
      <c r="AU244" s="93"/>
      <c r="AV244" s="93"/>
      <c r="AW244" s="93"/>
      <c r="AX244" s="93"/>
      <c r="AY244" s="93"/>
      <c r="AZ244" s="93"/>
      <c r="BA244" s="93"/>
      <c r="BB244" s="93"/>
    </row>
    <row r="245" spans="1:54" x14ac:dyDescent="0.3">
      <c r="A245" s="10"/>
    </row>
    <row r="246" spans="1:54" x14ac:dyDescent="0.3">
      <c r="A246" s="10" t="str">
        <f ca="1">Language!A1326</f>
        <v>Рентабельность продаж по чистой прибыли, NPM</v>
      </c>
      <c r="C246" s="48" t="s">
        <v>1</v>
      </c>
      <c r="F246" s="6" t="s">
        <v>745</v>
      </c>
      <c r="G246" s="249">
        <f t="shared" ref="G246:M246" ca="1" si="1039">IF(G$93&lt;=0,0,G117/G$93)</f>
        <v>0</v>
      </c>
      <c r="H246" s="249">
        <f t="shared" ca="1" si="1039"/>
        <v>0</v>
      </c>
      <c r="I246" s="249">
        <f t="shared" ca="1" si="1039"/>
        <v>0</v>
      </c>
      <c r="J246" s="249">
        <f t="shared" ca="1" si="1039"/>
        <v>0</v>
      </c>
      <c r="K246" s="249">
        <f t="shared" ca="1" si="1039"/>
        <v>0</v>
      </c>
      <c r="L246" s="249">
        <f t="shared" ca="1" si="1039"/>
        <v>0</v>
      </c>
      <c r="M246" s="249">
        <f t="shared" ca="1" si="1039"/>
        <v>-0.21041863358266696</v>
      </c>
      <c r="N246" s="249">
        <f t="shared" ref="N246:O246" ca="1" si="1040">IF(N$93&lt;=0,0,N117/N$93)</f>
        <v>5.4813949199369744E-3</v>
      </c>
      <c r="O246" s="249">
        <f t="shared" ca="1" si="1040"/>
        <v>0.14418867642228383</v>
      </c>
      <c r="P246" s="249">
        <f t="shared" ref="P246:Q246" ca="1" si="1041">IF(P$93&lt;=0,0,P117/P$93)</f>
        <v>0.23558420587003759</v>
      </c>
      <c r="Q246" s="249">
        <f t="shared" ca="1" si="1041"/>
        <v>0.2368885906838373</v>
      </c>
      <c r="R246" s="249">
        <f t="shared" ref="R246:S246" ca="1" si="1042">IF(R$93&lt;=0,0,R117/R$93)</f>
        <v>0.24006572594147838</v>
      </c>
      <c r="S246" s="249">
        <f t="shared" ca="1" si="1042"/>
        <v>0.35659465601421958</v>
      </c>
      <c r="T246" s="249">
        <f t="shared" ref="T246:U246" ca="1" si="1043">IF(T$93&lt;=0,0,T117/T$93)</f>
        <v>0.30830178213742931</v>
      </c>
      <c r="U246" s="249">
        <f t="shared" ca="1" si="1043"/>
        <v>0.2555177917255933</v>
      </c>
      <c r="V246" s="249">
        <f t="shared" ref="V246:W246" ca="1" si="1044">IF(V$93&lt;=0,0,V117/V$93)</f>
        <v>0.26652432785207236</v>
      </c>
      <c r="W246" s="249">
        <f t="shared" ca="1" si="1044"/>
        <v>0.19249017527547974</v>
      </c>
      <c r="X246" s="249">
        <f t="shared" ref="X246:Y246" ca="1" si="1045">IF(X$93&lt;=0,0,X117/X$93)</f>
        <v>0.38510553229315042</v>
      </c>
      <c r="Y246" s="249">
        <f t="shared" ca="1" si="1045"/>
        <v>0.4456196458953281</v>
      </c>
      <c r="Z246" s="249">
        <f t="shared" ref="Z246:AA246" ca="1" si="1046">IF(Z$93&lt;=0,0,Z117/Z$93)</f>
        <v>0.4475734286449598</v>
      </c>
      <c r="AA246" s="249">
        <f t="shared" ca="1" si="1046"/>
        <v>0.35507759496537827</v>
      </c>
      <c r="AB246" s="249">
        <f t="shared" ref="AB246:AC246" ca="1" si="1047">IF(AB$93&lt;=0,0,AB117/AB$93)</f>
        <v>0.24798640912468933</v>
      </c>
      <c r="AC246" s="249">
        <f t="shared" ca="1" si="1047"/>
        <v>0.26848047603418135</v>
      </c>
      <c r="AD246" s="249">
        <f t="shared" ref="AD246:AE246" ca="1" si="1048">IF(AD$93&lt;=0,0,AD117/AD$93)</f>
        <v>0.34414536991995726</v>
      </c>
      <c r="AE246" s="249">
        <f t="shared" ca="1" si="1048"/>
        <v>0.43212334262923469</v>
      </c>
      <c r="AF246" s="249">
        <f t="shared" ref="AF246:AG246" ca="1" si="1049">IF(AF$93&lt;=0,0,AF117/AF$93)</f>
        <v>0.39997576239485233</v>
      </c>
      <c r="AG246" s="249">
        <f t="shared" ca="1" si="1049"/>
        <v>0.36869571408003965</v>
      </c>
      <c r="AH246" s="249">
        <f t="shared" ref="AH246:AI246" ca="1" si="1050">IF(AH$93&lt;=0,0,AH117/AH$93)</f>
        <v>0.38242163192751294</v>
      </c>
      <c r="AI246" s="249">
        <f t="shared" ca="1" si="1050"/>
        <v>0.33738783859814769</v>
      </c>
      <c r="AJ246" s="249">
        <f t="shared" ref="AJ246:AK246" ca="1" si="1051">IF(AJ$93&lt;=0,0,AJ117/AJ$93)</f>
        <v>0.47278162152954561</v>
      </c>
      <c r="AK246" s="249">
        <f t="shared" ca="1" si="1051"/>
        <v>0.51234367783135504</v>
      </c>
      <c r="AL246" s="249">
        <f t="shared" ref="AL246:AM246" ca="1" si="1052">IF(AL$93&lt;=0,0,AL117/AL$93)</f>
        <v>0.51349217860078233</v>
      </c>
      <c r="AM246" s="249">
        <f t="shared" ca="1" si="1052"/>
        <v>0.45377134022792126</v>
      </c>
      <c r="AN246" s="249">
        <f t="shared" ref="AN246:AO246" ca="1" si="1053">IF(AN$93&lt;=0,0,AN117/AN$93)</f>
        <v>0.38992092547065427</v>
      </c>
      <c r="AO246" s="249">
        <f t="shared" ca="1" si="1053"/>
        <v>0.40889890111416066</v>
      </c>
      <c r="AP246" s="249">
        <f t="shared" ref="AP246:AQ246" ca="1" si="1054">IF(AP$93&lt;=0,0,AP117/AP$93)</f>
        <v>0.45766942029535673</v>
      </c>
      <c r="AQ246" s="249">
        <f t="shared" ca="1" si="1054"/>
        <v>0.51295244681283181</v>
      </c>
      <c r="AR246" s="249">
        <f t="shared" ref="AR246:AS246" ca="1" si="1055">IF(AR$93&lt;=0,0,AR117/AR$93)</f>
        <v>0.49319788459167108</v>
      </c>
      <c r="AS246" s="249">
        <f t="shared" ca="1" si="1055"/>
        <v>0.47847193387609266</v>
      </c>
      <c r="AT246" s="249">
        <f t="shared" ref="AT246:AU246" ca="1" si="1056">IF(AT$93&lt;=0,0,AT117/AT$93)</f>
        <v>0.48248998759093631</v>
      </c>
      <c r="AU246" s="249">
        <f t="shared" ca="1" si="1056"/>
        <v>0.44747502633922664</v>
      </c>
      <c r="AV246" s="249">
        <f t="shared" ref="AV246:AW246" ca="1" si="1057">IF(AV$93&lt;=0,0,AV117/AV$93)</f>
        <v>0.528523226281854</v>
      </c>
      <c r="AW246" s="249">
        <f t="shared" ca="1" si="1057"/>
        <v>0.54789363789571743</v>
      </c>
      <c r="AX246" s="249">
        <f t="shared" ref="AX246:AY246" ca="1" si="1058">IF(AX$93&lt;=0,0,AX117/AX$93)</f>
        <v>0.54282028698544726</v>
      </c>
      <c r="AY246" s="249">
        <f t="shared" ca="1" si="1058"/>
        <v>0.49287072934014753</v>
      </c>
      <c r="AZ246" s="249">
        <f t="shared" ref="AZ246:BA246" ca="1" si="1059">IF(AZ$93&lt;=0,0,AZ117/AZ$93)</f>
        <v>0.43812319323599219</v>
      </c>
      <c r="BA246" s="249">
        <f t="shared" ca="1" si="1059"/>
        <v>0.44507229275340421</v>
      </c>
      <c r="BB246" s="249">
        <f t="shared" ref="BB246" ca="1" si="1060">IF(BB$93&lt;=0,0,BB117/BB$93)</f>
        <v>0.47551441939353667</v>
      </c>
    </row>
    <row r="247" spans="1:54" x14ac:dyDescent="0.3">
      <c r="A247" s="10" t="str">
        <f ca="1">Language!A1327</f>
        <v>Рентабельность продаж по EBITDA</v>
      </c>
      <c r="C247" s="48" t="s">
        <v>1</v>
      </c>
      <c r="F247" s="6" t="s">
        <v>745</v>
      </c>
      <c r="G247" s="249">
        <f t="shared" ref="G247:M247" ca="1" si="1061">IF(G$93&lt;=0,0,G104/G$93)</f>
        <v>0</v>
      </c>
      <c r="H247" s="249">
        <f t="shared" ca="1" si="1061"/>
        <v>0</v>
      </c>
      <c r="I247" s="249">
        <f t="shared" ca="1" si="1061"/>
        <v>0</v>
      </c>
      <c r="J247" s="249">
        <f t="shared" ca="1" si="1061"/>
        <v>0</v>
      </c>
      <c r="K247" s="249">
        <f t="shared" ca="1" si="1061"/>
        <v>0</v>
      </c>
      <c r="L247" s="249">
        <f t="shared" ca="1" si="1061"/>
        <v>0</v>
      </c>
      <c r="M247" s="249">
        <f t="shared" ca="1" si="1061"/>
        <v>0.49908602204274632</v>
      </c>
      <c r="N247" s="249">
        <f t="shared" ref="N247:O247" ca="1" si="1062">IF(N$93&lt;=0,0,N104/N$93)</f>
        <v>0.5559512375370298</v>
      </c>
      <c r="O247" s="249">
        <f t="shared" ca="1" si="1062"/>
        <v>0.58966457213380674</v>
      </c>
      <c r="P247" s="249">
        <f t="shared" ref="P247:Q247" ca="1" si="1063">IF(P$93&lt;=0,0,P104/P$93)</f>
        <v>0.61111193442900547</v>
      </c>
      <c r="Q247" s="249">
        <f t="shared" ca="1" si="1063"/>
        <v>0.6100949369733708</v>
      </c>
      <c r="R247" s="249">
        <f t="shared" ref="R247:S247" ca="1" si="1064">IF(R$93&lt;=0,0,R104/R$93)</f>
        <v>0.60632271420369321</v>
      </c>
      <c r="S247" s="249">
        <f t="shared" ca="1" si="1064"/>
        <v>0.63612035891089114</v>
      </c>
      <c r="T247" s="249">
        <f t="shared" ref="T247:U247" ca="1" si="1065">IF(T$93&lt;=0,0,T104/T$93)</f>
        <v>0.62187790954888855</v>
      </c>
      <c r="U247" s="249">
        <f t="shared" ca="1" si="1065"/>
        <v>0.60460206522697069</v>
      </c>
      <c r="V247" s="249">
        <f t="shared" ref="V247:W247" ca="1" si="1066">IF(V$93&lt;=0,0,V104/V$93)</f>
        <v>0.60424764296207922</v>
      </c>
      <c r="W247" s="249">
        <f t="shared" ca="1" si="1066"/>
        <v>0.58019109154748028</v>
      </c>
      <c r="X247" s="249">
        <f t="shared" ref="X247:Y247" ca="1" si="1067">IF(X$93&lt;=0,0,X104/X$93)</f>
        <v>0.6340043403656368</v>
      </c>
      <c r="Y247" s="249">
        <f t="shared" ca="1" si="1067"/>
        <v>0.65164807005397996</v>
      </c>
      <c r="Z247" s="249">
        <f t="shared" ref="Z247:AA247" ca="1" si="1068">IF(Z$93&lt;=0,0,Z104/Z$93)</f>
        <v>0.65058564264733743</v>
      </c>
      <c r="AA247" s="249">
        <f t="shared" ca="1" si="1068"/>
        <v>0.61804851293991159</v>
      </c>
      <c r="AB247" s="249">
        <f t="shared" ref="AB247:AC247" ca="1" si="1069">IF(AB$93&lt;=0,0,AB104/AB$93)</f>
        <v>0.57446628800849731</v>
      </c>
      <c r="AC247" s="249">
        <f t="shared" ca="1" si="1069"/>
        <v>0.57338827070552434</v>
      </c>
      <c r="AD247" s="249">
        <f t="shared" ref="AD247:AE247" ca="1" si="1070">IF(AD$93&lt;=0,0,AD104/AD$93)</f>
        <v>0.5936643295311621</v>
      </c>
      <c r="AE247" s="249">
        <f t="shared" ca="1" si="1070"/>
        <v>0.62340035891089107</v>
      </c>
      <c r="AF247" s="249">
        <f t="shared" ref="AF247:AG247" ca="1" si="1071">IF(AF$93&lt;=0,0,AF104/AF$93)</f>
        <v>0.60909599430569705</v>
      </c>
      <c r="AG247" s="249">
        <f t="shared" ca="1" si="1071"/>
        <v>0.59175793336501104</v>
      </c>
      <c r="AH247" s="249">
        <f t="shared" ref="AH247:AI247" ca="1" si="1072">IF(AH$93&lt;=0,0,AH104/AH$93)</f>
        <v>0.59134099163881371</v>
      </c>
      <c r="AI247" s="249">
        <f t="shared" ca="1" si="1072"/>
        <v>0.56722161644626967</v>
      </c>
      <c r="AJ247" s="249">
        <f t="shared" ref="AJ247:AK247" ca="1" si="1073">IF(AJ$93&lt;=0,0,AJ104/AJ$93)</f>
        <v>0.62097173568856501</v>
      </c>
      <c r="AK247" s="249">
        <f t="shared" ca="1" si="1073"/>
        <v>0.63855202851464421</v>
      </c>
      <c r="AL247" s="249">
        <f t="shared" ref="AL247:AM247" ca="1" si="1074">IF(AL$93&lt;=0,0,AL104/AL$93)</f>
        <v>0.63742585546360331</v>
      </c>
      <c r="AM247" s="249">
        <f t="shared" ca="1" si="1074"/>
        <v>0.6048246698266313</v>
      </c>
      <c r="AN247" s="249">
        <f t="shared" ref="AN247:AO247" ca="1" si="1075">IF(AN$93&lt;=0,0,AN104/AN$93)</f>
        <v>0.56117807717019519</v>
      </c>
      <c r="AO247" s="249">
        <f t="shared" ca="1" si="1075"/>
        <v>0.56003537882904386</v>
      </c>
      <c r="AP247" s="249">
        <f t="shared" ref="AP247:AQ247" ca="1" si="1076">IF(AP$93&lt;=0,0,AP104/AP$93)</f>
        <v>0.58024644177827933</v>
      </c>
      <c r="AQ247" s="249">
        <f t="shared" ca="1" si="1076"/>
        <v>0.60991715891089093</v>
      </c>
      <c r="AR247" s="249">
        <f t="shared" ref="AR247:AS247" ca="1" si="1077">IF(AR$93&lt;=0,0,AR104/AR$93)</f>
        <v>0.59554716414791453</v>
      </c>
      <c r="AS247" s="249">
        <f t="shared" ca="1" si="1077"/>
        <v>0.57814315359133417</v>
      </c>
      <c r="AT247" s="249">
        <f t="shared" ref="AT247:AU247" ca="1" si="1078">IF(AT$93&lt;=0,0,AT104/AT$93)</f>
        <v>0.57765994123615239</v>
      </c>
      <c r="AU247" s="249">
        <f t="shared" ca="1" si="1078"/>
        <v>0.55347397283898636</v>
      </c>
      <c r="AV247" s="249">
        <f t="shared" ref="AV247:AW247" ca="1" si="1079">IF(AV$93&lt;=0,0,AV104/AV$93)</f>
        <v>0.60715717473086905</v>
      </c>
      <c r="AW247" s="249">
        <f t="shared" ca="1" si="1079"/>
        <v>0.62467022448294851</v>
      </c>
      <c r="AX247" s="249">
        <f t="shared" ref="AX247:AY247" ca="1" si="1080">IF(AX$93&lt;=0,0,AX104/AX$93)</f>
        <v>0.62347648104884523</v>
      </c>
      <c r="AY247" s="249">
        <f t="shared" ca="1" si="1080"/>
        <v>0.59080739612655453</v>
      </c>
      <c r="AZ247" s="249">
        <f t="shared" ref="AZ247:BA247" ca="1" si="1081">IF(AZ$93&lt;=0,0,AZ104/AZ$93)</f>
        <v>0.54709257368159492</v>
      </c>
      <c r="BA247" s="249">
        <f t="shared" ca="1" si="1081"/>
        <v>0.5458813134399747</v>
      </c>
      <c r="BB247" s="249">
        <f t="shared" ref="BB247" ca="1" si="1082">IF(BB$93&lt;=0,0,BB104/BB$93)</f>
        <v>0.56602348076022357</v>
      </c>
    </row>
    <row r="248" spans="1:54" x14ac:dyDescent="0.3">
      <c r="A248" s="10"/>
      <c r="G248" s="94"/>
      <c r="H248" s="94"/>
      <c r="I248" s="94"/>
      <c r="J248" s="94"/>
      <c r="K248" s="94"/>
      <c r="L248" s="94"/>
      <c r="M248" s="94"/>
      <c r="N248" s="94"/>
      <c r="O248" s="94"/>
      <c r="P248" s="94"/>
      <c r="Q248" s="94"/>
      <c r="R248" s="94"/>
      <c r="S248" s="94"/>
      <c r="T248" s="94"/>
      <c r="U248" s="94"/>
      <c r="V248" s="94"/>
      <c r="W248" s="94"/>
      <c r="X248" s="94"/>
      <c r="Y248" s="94"/>
      <c r="Z248" s="94"/>
      <c r="AA248" s="94"/>
      <c r="AB248" s="94"/>
      <c r="AC248" s="94"/>
      <c r="AD248" s="94"/>
      <c r="AE248" s="94"/>
      <c r="AF248" s="94"/>
      <c r="AG248" s="94"/>
      <c r="AH248" s="94"/>
      <c r="AI248" s="94"/>
      <c r="AJ248" s="94"/>
      <c r="AK248" s="94"/>
      <c r="AL248" s="94"/>
      <c r="AM248" s="94"/>
      <c r="AN248" s="94"/>
      <c r="AO248" s="94"/>
      <c r="AP248" s="94"/>
      <c r="AQ248" s="94"/>
      <c r="AR248" s="94"/>
      <c r="AS248" s="94"/>
      <c r="AT248" s="94"/>
      <c r="AU248" s="94"/>
      <c r="AV248" s="94"/>
      <c r="AW248" s="94"/>
      <c r="AX248" s="94"/>
      <c r="AY248" s="94"/>
      <c r="AZ248" s="94"/>
      <c r="BA248" s="94"/>
      <c r="BB248" s="94"/>
    </row>
    <row r="249" spans="1:54" x14ac:dyDescent="0.3">
      <c r="A249" s="10" t="str">
        <f ca="1">Language!A1328</f>
        <v>Доля постоянных затрат</v>
      </c>
      <c r="B249" s="273">
        <f ca="1">IF(BD94+BD100+BD101+BD102+BD103+BD106+BD107+BD108=0,0,(BD96+BD97+BD100+BD101+BD102+BD103+BD106+BD107+BD108)/(BD94+BD100+BD101+BD102+BD103+BD106+BD107+BD108))</f>
        <v>0.69638817277487131</v>
      </c>
      <c r="C249" s="48" t="s">
        <v>1</v>
      </c>
      <c r="F249" s="6" t="s">
        <v>745</v>
      </c>
      <c r="G249" s="268">
        <f t="shared" ref="G249:BB249" ca="1" si="1083">IF(G2=1,B249,F249)</f>
        <v>0.69638817277487131</v>
      </c>
      <c r="H249" s="268">
        <f t="shared" ca="1" si="1083"/>
        <v>0.69638817277487131</v>
      </c>
      <c r="I249" s="268">
        <f t="shared" ca="1" si="1083"/>
        <v>0.69638817277487131</v>
      </c>
      <c r="J249" s="268">
        <f t="shared" ca="1" si="1083"/>
        <v>0.69638817277487131</v>
      </c>
      <c r="K249" s="268">
        <f t="shared" ca="1" si="1083"/>
        <v>0.69638817277487131</v>
      </c>
      <c r="L249" s="268">
        <f t="shared" ca="1" si="1083"/>
        <v>0.69638817277487131</v>
      </c>
      <c r="M249" s="268">
        <f t="shared" ca="1" si="1083"/>
        <v>0.69638817277487131</v>
      </c>
      <c r="N249" s="268">
        <f t="shared" ca="1" si="1083"/>
        <v>0.69638817277487131</v>
      </c>
      <c r="O249" s="268">
        <f t="shared" ca="1" si="1083"/>
        <v>0.69638817277487131</v>
      </c>
      <c r="P249" s="268">
        <f t="shared" ca="1" si="1083"/>
        <v>0.69638817277487131</v>
      </c>
      <c r="Q249" s="268">
        <f t="shared" ca="1" si="1083"/>
        <v>0.69638817277487131</v>
      </c>
      <c r="R249" s="268">
        <f t="shared" ca="1" si="1083"/>
        <v>0.69638817277487131</v>
      </c>
      <c r="S249" s="268">
        <f t="shared" ca="1" si="1083"/>
        <v>0.69638817277487131</v>
      </c>
      <c r="T249" s="268">
        <f t="shared" ca="1" si="1083"/>
        <v>0.69638817277487131</v>
      </c>
      <c r="U249" s="268">
        <f t="shared" ca="1" si="1083"/>
        <v>0.69638817277487131</v>
      </c>
      <c r="V249" s="268">
        <f t="shared" ca="1" si="1083"/>
        <v>0.69638817277487131</v>
      </c>
      <c r="W249" s="268">
        <f t="shared" ca="1" si="1083"/>
        <v>0.69638817277487131</v>
      </c>
      <c r="X249" s="268">
        <f t="shared" ca="1" si="1083"/>
        <v>0.69638817277487131</v>
      </c>
      <c r="Y249" s="268">
        <f t="shared" ca="1" si="1083"/>
        <v>0.69638817277487131</v>
      </c>
      <c r="Z249" s="268">
        <f t="shared" ca="1" si="1083"/>
        <v>0.69638817277487131</v>
      </c>
      <c r="AA249" s="268">
        <f t="shared" ca="1" si="1083"/>
        <v>0.69638817277487131</v>
      </c>
      <c r="AB249" s="268">
        <f t="shared" ca="1" si="1083"/>
        <v>0.69638817277487131</v>
      </c>
      <c r="AC249" s="268">
        <f t="shared" ca="1" si="1083"/>
        <v>0.69638817277487131</v>
      </c>
      <c r="AD249" s="268">
        <f t="shared" ca="1" si="1083"/>
        <v>0.69638817277487131</v>
      </c>
      <c r="AE249" s="268">
        <f t="shared" ca="1" si="1083"/>
        <v>0.69638817277487131</v>
      </c>
      <c r="AF249" s="268">
        <f t="shared" ca="1" si="1083"/>
        <v>0.69638817277487131</v>
      </c>
      <c r="AG249" s="268">
        <f t="shared" ca="1" si="1083"/>
        <v>0.69638817277487131</v>
      </c>
      <c r="AH249" s="268">
        <f t="shared" ca="1" si="1083"/>
        <v>0.69638817277487131</v>
      </c>
      <c r="AI249" s="268">
        <f t="shared" ca="1" si="1083"/>
        <v>0.69638817277487131</v>
      </c>
      <c r="AJ249" s="268">
        <f t="shared" ca="1" si="1083"/>
        <v>0.69638817277487131</v>
      </c>
      <c r="AK249" s="268">
        <f t="shared" ca="1" si="1083"/>
        <v>0.69638817277487131</v>
      </c>
      <c r="AL249" s="268">
        <f t="shared" ca="1" si="1083"/>
        <v>0.69638817277487131</v>
      </c>
      <c r="AM249" s="268">
        <f t="shared" ca="1" si="1083"/>
        <v>0.69638817277487131</v>
      </c>
      <c r="AN249" s="268">
        <f t="shared" ca="1" si="1083"/>
        <v>0.69638817277487131</v>
      </c>
      <c r="AO249" s="268">
        <f t="shared" ca="1" si="1083"/>
        <v>0.69638817277487131</v>
      </c>
      <c r="AP249" s="268">
        <f t="shared" ca="1" si="1083"/>
        <v>0.69638817277487131</v>
      </c>
      <c r="AQ249" s="268">
        <f t="shared" ca="1" si="1083"/>
        <v>0.69638817277487131</v>
      </c>
      <c r="AR249" s="268">
        <f t="shared" ca="1" si="1083"/>
        <v>0.69638817277487131</v>
      </c>
      <c r="AS249" s="268">
        <f t="shared" ca="1" si="1083"/>
        <v>0.69638817277487131</v>
      </c>
      <c r="AT249" s="268">
        <f t="shared" ca="1" si="1083"/>
        <v>0.69638817277487131</v>
      </c>
      <c r="AU249" s="268">
        <f t="shared" ca="1" si="1083"/>
        <v>0.69638817277487131</v>
      </c>
      <c r="AV249" s="268">
        <f t="shared" ca="1" si="1083"/>
        <v>0.69638817277487131</v>
      </c>
      <c r="AW249" s="268">
        <f t="shared" ca="1" si="1083"/>
        <v>0.69638817277487131</v>
      </c>
      <c r="AX249" s="268">
        <f t="shared" ca="1" si="1083"/>
        <v>0.69638817277487131</v>
      </c>
      <c r="AY249" s="268">
        <f t="shared" ca="1" si="1083"/>
        <v>0.69638817277487131</v>
      </c>
      <c r="AZ249" s="268">
        <f t="shared" ca="1" si="1083"/>
        <v>0.69638817277487131</v>
      </c>
      <c r="BA249" s="268">
        <f t="shared" ca="1" si="1083"/>
        <v>0.69638817277487131</v>
      </c>
      <c r="BB249" s="268">
        <f t="shared" ca="1" si="1083"/>
        <v>0.69638817277487131</v>
      </c>
    </row>
    <row r="250" spans="1:54" x14ac:dyDescent="0.3">
      <c r="A250" s="10" t="str">
        <f ca="1">Language!A1329</f>
        <v>Точка безубыточности</v>
      </c>
      <c r="C250" s="48" t="str">
        <f ca="1">Параметры!$C$64</f>
        <v>руб.</v>
      </c>
      <c r="F250" s="6" t="s">
        <v>745</v>
      </c>
      <c r="G250" s="252">
        <f t="shared" ref="G250:M250" ca="1" si="1084">IF(SUM(G94,G100:G103,G106:G108)=0,0,-(G249*SUM(G94,G100:G103,G106:G108))/(G93+SUM(G94,G100:G103,G106:G108)*(1-G249))*G93)</f>
        <v>0</v>
      </c>
      <c r="H250" s="252">
        <f t="shared" ca="1" si="1084"/>
        <v>0</v>
      </c>
      <c r="I250" s="252">
        <f t="shared" ca="1" si="1084"/>
        <v>0</v>
      </c>
      <c r="J250" s="252">
        <f t="shared" ca="1" si="1084"/>
        <v>0</v>
      </c>
      <c r="K250" s="252">
        <f t="shared" ca="1" si="1084"/>
        <v>0</v>
      </c>
      <c r="L250" s="252">
        <f t="shared" ca="1" si="1084"/>
        <v>0</v>
      </c>
      <c r="M250" s="252">
        <f t="shared" ca="1" si="1084"/>
        <v>9466237.8061674163</v>
      </c>
      <c r="N250" s="252">
        <f t="shared" ref="N250:O250" ca="1" si="1085">IF(SUM(N94,N100:N103,N106:N108)=0,0,-(N249*SUM(N94,N100:N103,N106:N108))/(N93+SUM(N94,N100:N103,N106:N108)*(1-N249))*N93)</f>
        <v>9183396.3236176316</v>
      </c>
      <c r="O250" s="252">
        <f t="shared" ca="1" si="1085"/>
        <v>9269910.9348164815</v>
      </c>
      <c r="P250" s="252">
        <f t="shared" ref="P250:Q250" ca="1" si="1086">IF(SUM(P94,P100:P103,P106:P108)=0,0,-(P249*SUM(P94,P100:P103,P106:P108))/(P93+SUM(P94,P100:P103,P106:P108)*(1-P249))*P93)</f>
        <v>9539411.9943910129</v>
      </c>
      <c r="Q250" s="252">
        <f t="shared" ca="1" si="1086"/>
        <v>9506267.4209877271</v>
      </c>
      <c r="R250" s="252">
        <f t="shared" ref="R250:S250" ca="1" si="1087">IF(SUM(R94,R100:R103,R106:R108)=0,0,-(R249*SUM(R94,R100:R103,R106:R108))/(R93+SUM(R94,R100:R103,R106:R108)*(1-R249))*R93)</f>
        <v>9497732.0536564849</v>
      </c>
      <c r="S250" s="252">
        <f t="shared" ca="1" si="1087"/>
        <v>10256325.872186221</v>
      </c>
      <c r="T250" s="252">
        <f t="shared" ref="T250:U250" ca="1" si="1088">IF(SUM(T94,T100:T103,T106:T108)=0,0,-(T249*SUM(T94,T100:T103,T106:T108))/(T93+SUM(T94,T100:T103,T106:T108)*(1-T249))*T93)</f>
        <v>9784589.1501158271</v>
      </c>
      <c r="U250" s="252">
        <f t="shared" ca="1" si="1088"/>
        <v>9311327.5797336027</v>
      </c>
      <c r="V250" s="252">
        <f t="shared" ref="V250:W250" ca="1" si="1089">IF(SUM(V94,V100:V103,V106:V108)=0,0,-(V249*SUM(V94,V100:V103,V106:V108))/(V93+SUM(V94,V100:V103,V106:V108)*(1-V249))*V93)</f>
        <v>9223893.6889651585</v>
      </c>
      <c r="W250" s="252">
        <f t="shared" ca="1" si="1089"/>
        <v>8761568.0352823399</v>
      </c>
      <c r="X250" s="252">
        <f t="shared" ref="X250:Y250" ca="1" si="1090">IF(SUM(X94,X100:X103,X106:X108)=0,0,-(X249*SUM(X94,X100:X103,X106:X108))/(X93+SUM(X94,X100:X103,X106:X108)*(1-X249))*X93)</f>
        <v>9947998.3518856559</v>
      </c>
      <c r="Y250" s="252">
        <f t="shared" ca="1" si="1090"/>
        <v>10820226.128608748</v>
      </c>
      <c r="Z250" s="252">
        <f t="shared" ref="Z250:AA250" ca="1" si="1091">IF(SUM(Z94,Z100:Z103,Z106:Z108)=0,0,-(Z249*SUM(Z94,Z100:Z103,Z106:Z108))/(Z93+SUM(Z94,Z100:Z103,Z106:Z108)*(1-Z249))*Z93)</f>
        <v>10720685.920221722</v>
      </c>
      <c r="AA250" s="252">
        <f t="shared" ca="1" si="1091"/>
        <v>9099365.4199876077</v>
      </c>
      <c r="AB250" s="252">
        <f t="shared" ref="AB250:AC250" ca="1" si="1092">IF(SUM(AB94,AB100:AB103,AB106:AB108)=0,0,-(AB249*SUM(AB94,AB100:AB103,AB106:AB108))/(AB93+SUM(AB94,AB100:AB103,AB106:AB108)*(1-AB249))*AB93)</f>
        <v>8070661.0903349444</v>
      </c>
      <c r="AC250" s="252">
        <f t="shared" ca="1" si="1092"/>
        <v>7923327.21555408</v>
      </c>
      <c r="AD250" s="252">
        <f t="shared" ref="AD250:AE250" ca="1" si="1093">IF(SUM(AD94,AD100:AD103,AD106:AD108)=0,0,-(AD249*SUM(AD94,AD100:AD103,AD106:AD108))/(AD93+SUM(AD94,AD100:AD103,AD106:AD108)*(1-AD249))*AD93)</f>
        <v>8296163.1398014845</v>
      </c>
      <c r="AE250" s="252">
        <f t="shared" ca="1" si="1093"/>
        <v>9218975.597663518</v>
      </c>
      <c r="AF250" s="252">
        <f t="shared" ref="AF250:AG250" ca="1" si="1094">IF(SUM(AF94,AF100:AF103,AF106:AF108)=0,0,-(AF249*SUM(AF94,AF100:AF103,AF106:AF108))/(AF93+SUM(AF94,AF100:AF103,AF106:AF108)*(1-AF249))*AF93)</f>
        <v>8565255.7779390998</v>
      </c>
      <c r="AG250" s="252">
        <f t="shared" ca="1" si="1094"/>
        <v>7888548.5531388745</v>
      </c>
      <c r="AH250" s="252">
        <f t="shared" ref="AH250:AI250" ca="1" si="1095">IF(SUM(AH94,AH100:AH103,AH106:AH108)=0,0,-(AH249*SUM(AH94,AH100:AH103,AH106:AH108))/(AH93+SUM(AH94,AH100:AH103,AH106:AH108)*(1-AH249))*AH93)</f>
        <v>7752100.4442734346</v>
      </c>
      <c r="AI250" s="252">
        <f t="shared" ca="1" si="1095"/>
        <v>7075568.6903959578</v>
      </c>
      <c r="AJ250" s="252">
        <f t="shared" ref="AJ250:AK250" ca="1" si="1096">IF(SUM(AJ94,AJ100:AJ103,AJ106:AJ108)=0,0,-(AJ249*SUM(AJ94,AJ100:AJ103,AJ106:AJ108))/(AJ93+SUM(AJ94,AJ100:AJ103,AJ106:AJ108)*(1-AJ249))*AJ93)</f>
        <v>8624280.0090328604</v>
      </c>
      <c r="AK250" s="252">
        <f t="shared" ca="1" si="1096"/>
        <v>9702523.337190643</v>
      </c>
      <c r="AL250" s="252">
        <f t="shared" ref="AL250:AM250" ca="1" si="1097">IF(SUM(AL94,AL100:AL103,AL106:AL108)=0,0,-(AL249*SUM(AL94,AL100:AL103,AL106:AL108))/(AL93+SUM(AL94,AL100:AL103,AL106:AL108)*(1-AL249))*AL93)</f>
        <v>9616686.1073408946</v>
      </c>
      <c r="AM250" s="252">
        <f t="shared" ca="1" si="1097"/>
        <v>7713884.3537536515</v>
      </c>
      <c r="AN250" s="252">
        <f t="shared" ref="AN250:AO250" ca="1" si="1098">IF(SUM(AN94,AN100:AN103,AN106:AN108)=0,0,-(AN249*SUM(AN94,AN100:AN103,AN106:AN108))/(AN93+SUM(AN94,AN100:AN103,AN106:AN108)*(1-AN249))*AN93)</f>
        <v>6430338.1105196746</v>
      </c>
      <c r="AO250" s="252">
        <f t="shared" ca="1" si="1098"/>
        <v>6305105.108707739</v>
      </c>
      <c r="AP250" s="252">
        <f t="shared" ref="AP250:AQ250" ca="1" si="1099">IF(SUM(AP94,AP100:AP103,AP106:AP108)=0,0,-(AP249*SUM(AP94,AP100:AP103,AP106:AP108))/(AP93+SUM(AP94,AP100:AP103,AP106:AP108)*(1-AP249))*AP93)</f>
        <v>6839846.5949331801</v>
      </c>
      <c r="AQ250" s="252">
        <f t="shared" ca="1" si="1099"/>
        <v>7999719.4760136297</v>
      </c>
      <c r="AR250" s="252">
        <f t="shared" ref="AR250:AS250" ca="1" si="1100">IF(SUM(AR94,AR100:AR103,AR106:AR108)=0,0,-(AR249*SUM(AR94,AR100:AR103,AR106:AR108))/(AR93+SUM(AR94,AR100:AR103,AR106:AR108)*(1-AR249))*AR93)</f>
        <v>7258380.1614898546</v>
      </c>
      <c r="AS250" s="252">
        <f t="shared" ca="1" si="1100"/>
        <v>6484836.5737051889</v>
      </c>
      <c r="AT250" s="252">
        <f t="shared" ref="AT250:AU250" ca="1" si="1101">IF(SUM(AT94,AT100:AT103,AT106:AT108)=0,0,-(AT249*SUM(AT94,AT100:AT103,AT106:AT108))/(AT93+SUM(AT94,AT100:AT103,AT106:AT108)*(1-AT249))*AT93)</f>
        <v>6504828.7297234545</v>
      </c>
      <c r="AU250" s="252">
        <f t="shared" ca="1" si="1101"/>
        <v>5880842.4947194122</v>
      </c>
      <c r="AV250" s="252">
        <f t="shared" ref="AV250:AW250" ca="1" si="1102">IF(SUM(AV94,AV100:AV103,AV106:AV108)=0,0,-(AV249*SUM(AV94,AV100:AV103,AV106:AV108))/(AV93+SUM(AV94,AV100:AV103,AV106:AV108)*(1-AV249))*AV93)</f>
        <v>7911993.998416041</v>
      </c>
      <c r="AW250" s="252">
        <f t="shared" ca="1" si="1102"/>
        <v>9322016.4551898744</v>
      </c>
      <c r="AX250" s="252">
        <f t="shared" ref="AX250:AY250" ca="1" si="1103">IF(SUM(AX94,AX100:AX103,AX106:AX108)=0,0,-(AX249*SUM(AX94,AX100:AX103,AX106:AX108))/(AX93+SUM(AX94,AX100:AX103,AX106:AX108)*(1-AX249))*AX93)</f>
        <v>9396772.1169990543</v>
      </c>
      <c r="AY250" s="252">
        <f t="shared" ca="1" si="1103"/>
        <v>7404775.6091659991</v>
      </c>
      <c r="AZ250" s="252">
        <f t="shared" ref="AZ250:BA250" ca="1" si="1104">IF(SUM(AZ94,AZ100:AZ103,AZ106:AZ108)=0,0,-(AZ249*SUM(AZ94,AZ100:AZ103,AZ106:AZ108))/(AZ93+SUM(AZ94,AZ100:AZ103,AZ106:AZ108)*(1-AZ249))*AZ93)</f>
        <v>6103287.6301924773</v>
      </c>
      <c r="BA250" s="252">
        <f t="shared" ca="1" si="1104"/>
        <v>6147783.7474299455</v>
      </c>
      <c r="BB250" s="252">
        <f t="shared" ref="BB250" ca="1" si="1105">IF(SUM(BB94,BB100:BB103,BB106:BB108)=0,0,-(BB249*SUM(BB94,BB100:BB103,BB106:BB108))/(BB93+SUM(BB94,BB100:BB103,BB106:BB108)*(1-BB249))*BB93)</f>
        <v>6939778.7506137369</v>
      </c>
    </row>
    <row r="251" spans="1:54" x14ac:dyDescent="0.3">
      <c r="A251" s="10" t="str">
        <f ca="1">Language!A1330</f>
        <v>"Запас прочности"</v>
      </c>
      <c r="C251" s="48" t="s">
        <v>1</v>
      </c>
      <c r="F251" s="6" t="s">
        <v>745</v>
      </c>
      <c r="G251" s="249">
        <f t="shared" ref="G251:M251" ca="1" si="1106">IF(G93&lt;=0,0,(G93-G250)/G93)</f>
        <v>0</v>
      </c>
      <c r="H251" s="249">
        <f t="shared" ca="1" si="1106"/>
        <v>0</v>
      </c>
      <c r="I251" s="249">
        <f t="shared" ca="1" si="1106"/>
        <v>0</v>
      </c>
      <c r="J251" s="249">
        <f t="shared" ca="1" si="1106"/>
        <v>0</v>
      </c>
      <c r="K251" s="249">
        <f t="shared" ca="1" si="1106"/>
        <v>0</v>
      </c>
      <c r="L251" s="249">
        <f t="shared" ca="1" si="1106"/>
        <v>0</v>
      </c>
      <c r="M251" s="249">
        <f t="shared" ca="1" si="1106"/>
        <v>-0.26435959169997986</v>
      </c>
      <c r="N251" s="249">
        <f t="shared" ref="N251:O251" ca="1" si="1107">IF(N93&lt;=0,0,(N93-N250)/N93)</f>
        <v>8.4519778945618906E-2</v>
      </c>
      <c r="O251" s="249">
        <f t="shared" ca="1" si="1107"/>
        <v>0.26429727474852155</v>
      </c>
      <c r="P251" s="249">
        <f t="shared" ref="P251:Q251" ca="1" si="1108">IF(P93&lt;=0,0,(P93-P250)/P93)</f>
        <v>0.37214646910506005</v>
      </c>
      <c r="Q251" s="249">
        <f t="shared" ca="1" si="1108"/>
        <v>0.37735867684777602</v>
      </c>
      <c r="R251" s="249">
        <f t="shared" ref="R251:S251" ca="1" si="1109">IF(R93&lt;=0,0,(R93-R250)/R93)</f>
        <v>0.38093107546886135</v>
      </c>
      <c r="S251" s="249">
        <f t="shared" ca="1" si="1109"/>
        <v>0.50104274315676689</v>
      </c>
      <c r="T251" s="249">
        <f t="shared" ref="T251:U251" ca="1" si="1110">IF(T93&lt;=0,0,(T93-T250)/T93)</f>
        <v>0.4586261780527196</v>
      </c>
      <c r="U251" s="249">
        <f t="shared" ca="1" si="1110"/>
        <v>0.40185809385954668</v>
      </c>
      <c r="V251" s="249">
        <f t="shared" ref="V251:W251" ca="1" si="1111">IF(V93&lt;=0,0,(V93-V250)/V93)</f>
        <v>0.41034485629810158</v>
      </c>
      <c r="W251" s="249">
        <f t="shared" ca="1" si="1111"/>
        <v>0.33113562659883738</v>
      </c>
      <c r="X251" s="249">
        <f t="shared" ref="X251:Y251" ca="1" si="1112">IF(X93&lt;=0,0,(X93-X250)/X93)</f>
        <v>0.52765086283812235</v>
      </c>
      <c r="Y251" s="249">
        <f t="shared" ca="1" si="1112"/>
        <v>0.59097964279273518</v>
      </c>
      <c r="Z251" s="249">
        <f t="shared" ref="Z251:AA251" ca="1" si="1113">IF(Z93&lt;=0,0,(Z93-Z250)/Z93)</f>
        <v>0.59670546465253738</v>
      </c>
      <c r="AA251" s="249">
        <f t="shared" ca="1" si="1113"/>
        <v>0.51336425231085037</v>
      </c>
      <c r="AB251" s="249">
        <f t="shared" ref="AB251:AC251" ca="1" si="1114">IF(AB93&lt;=0,0,(AB93-AB250)/AB93)</f>
        <v>0.39865843099400133</v>
      </c>
      <c r="AC251" s="249">
        <f t="shared" ca="1" si="1114"/>
        <v>0.41249592194635332</v>
      </c>
      <c r="AD251" s="249">
        <f t="shared" ref="AD251:AE251" ca="1" si="1115">IF(AD93&lt;=0,0,(AD93-AD250)/AD93)</f>
        <v>0.48985867087948798</v>
      </c>
      <c r="AE251" s="249">
        <f t="shared" ca="1" si="1115"/>
        <v>0.57689482969788186</v>
      </c>
      <c r="AF251" s="249">
        <f t="shared" ref="AF251:AG251" ca="1" si="1116">IF(AF93&lt;=0,0,(AF93-AF250)/AF93)</f>
        <v>0.55291599946651659</v>
      </c>
      <c r="AG251" s="249">
        <f t="shared" ca="1" si="1116"/>
        <v>0.52193839820558052</v>
      </c>
      <c r="AH251" s="249">
        <f t="shared" ref="AH251:AI251" ca="1" si="1117">IF(AH93&lt;=0,0,(AH93-AH250)/AH93)</f>
        <v>0.53248308495893937</v>
      </c>
      <c r="AI251" s="249">
        <f t="shared" ca="1" si="1117"/>
        <v>0.49042077646411364</v>
      </c>
      <c r="AJ251" s="249">
        <f t="shared" ref="AJ251:AK251" ca="1" si="1118">IF(AJ93&lt;=0,0,(AJ93-AJ250)/AJ93)</f>
        <v>0.61368247947759713</v>
      </c>
      <c r="AK251" s="249">
        <f t="shared" ca="1" si="1118"/>
        <v>0.65399098244868692</v>
      </c>
      <c r="AL251" s="249">
        <f t="shared" ref="AL251:AM251" ca="1" si="1119">IF(AL93&lt;=0,0,(AL93-AL250)/AL93)</f>
        <v>0.65871331895237661</v>
      </c>
      <c r="AM251" s="249">
        <f t="shared" ca="1" si="1119"/>
        <v>0.61081135499773787</v>
      </c>
      <c r="AN251" s="249">
        <f t="shared" ref="AN251:AO251" ca="1" si="1120">IF(AN93&lt;=0,0,(AN93-AN250)/AN93)</f>
        <v>0.54799830892045343</v>
      </c>
      <c r="AO251" s="249">
        <f t="shared" ca="1" si="1120"/>
        <v>0.55894803691706607</v>
      </c>
      <c r="AP251" s="249">
        <f t="shared" ref="AP251:AQ251" ca="1" si="1121">IF(AP93&lt;=0,0,(AP93-AP250)/AP93)</f>
        <v>0.60321639232265922</v>
      </c>
      <c r="AQ251" s="249">
        <f t="shared" ca="1" si="1121"/>
        <v>0.65363455389283731</v>
      </c>
      <c r="AR251" s="249">
        <f t="shared" ref="AR251:AS251" ca="1" si="1122">IF(AR93&lt;=0,0,(AR93-AR250)/AR93)</f>
        <v>0.64257688334636354</v>
      </c>
      <c r="AS251" s="249">
        <f t="shared" ca="1" si="1122"/>
        <v>0.62925104986674441</v>
      </c>
      <c r="AT251" s="249">
        <f t="shared" ref="AT251:AU251" ca="1" si="1123">IF(AT93&lt;=0,0,(AT93-AT250)/AT93)</f>
        <v>0.62990949910540261</v>
      </c>
      <c r="AU251" s="249">
        <f t="shared" ca="1" si="1123"/>
        <v>0.60043812366501781</v>
      </c>
      <c r="AV251" s="249">
        <f t="shared" ref="AV251:AW251" ca="1" si="1124">IF(AV93&lt;=0,0,(AV93-AV250)/AV93)</f>
        <v>0.66564975917323854</v>
      </c>
      <c r="AW251" s="249">
        <f t="shared" ca="1" si="1124"/>
        <v>0.68637785466165213</v>
      </c>
      <c r="AX251" s="249">
        <f t="shared" ref="AX251:AY251" ca="1" si="1125">IF(AX93&lt;=0,0,(AX93-AX250)/AX93)</f>
        <v>0.68539419718907846</v>
      </c>
      <c r="AY251" s="249">
        <f t="shared" ca="1" si="1125"/>
        <v>0.64755360377284588</v>
      </c>
      <c r="AZ251" s="249">
        <f t="shared" ref="AZ251:BA251" ca="1" si="1126">IF(AZ93&lt;=0,0,(AZ93-AZ250)/AZ93)</f>
        <v>0.5952710941774757</v>
      </c>
      <c r="BA251" s="249">
        <f t="shared" ca="1" si="1126"/>
        <v>0.59429520016763215</v>
      </c>
      <c r="BB251" s="249">
        <f t="shared" ref="BB251" ca="1" si="1127">IF(BB93&lt;=0,0,(BB93-BB250)/BB93)</f>
        <v>0.62020685657685592</v>
      </c>
    </row>
    <row r="252" spans="1:54" x14ac:dyDescent="0.3">
      <c r="A252" s="10"/>
      <c r="G252" s="29"/>
      <c r="H252" s="29"/>
      <c r="I252" s="29"/>
      <c r="J252" s="29"/>
      <c r="K252" s="29"/>
      <c r="L252" s="29"/>
      <c r="M252" s="29"/>
      <c r="N252" s="29"/>
      <c r="O252" s="29"/>
      <c r="P252" s="29"/>
      <c r="Q252" s="29"/>
      <c r="R252" s="29"/>
      <c r="S252" s="29"/>
      <c r="T252" s="29"/>
      <c r="U252" s="29"/>
      <c r="V252" s="29"/>
      <c r="W252" s="29"/>
      <c r="X252" s="29"/>
      <c r="Y252" s="29"/>
      <c r="Z252" s="29"/>
      <c r="AA252" s="29"/>
      <c r="AB252" s="29"/>
      <c r="AC252" s="29"/>
      <c r="AD252" s="29"/>
      <c r="AE252" s="29"/>
      <c r="AF252" s="29"/>
      <c r="AG252" s="29"/>
      <c r="AH252" s="29"/>
      <c r="AI252" s="29"/>
      <c r="AJ252" s="29"/>
      <c r="AK252" s="29"/>
      <c r="AL252" s="29"/>
      <c r="AM252" s="29"/>
      <c r="AN252" s="29"/>
      <c r="AO252" s="29"/>
      <c r="AP252" s="29"/>
      <c r="AQ252" s="29"/>
      <c r="AR252" s="29"/>
      <c r="AS252" s="29"/>
      <c r="AT252" s="29"/>
      <c r="AU252" s="29"/>
      <c r="AV252" s="29"/>
      <c r="AW252" s="29"/>
      <c r="AX252" s="29"/>
      <c r="AY252" s="29"/>
      <c r="AZ252" s="29"/>
      <c r="BA252" s="29"/>
      <c r="BB252" s="29"/>
    </row>
    <row r="253" spans="1:54" x14ac:dyDescent="0.3">
      <c r="A253" s="10" t="str">
        <f ca="1">Language!A1331</f>
        <v>Рентабельность собственного капитала, ROE</v>
      </c>
      <c r="C253" s="48" t="str">
        <f ca="1">Language!$A$480</f>
        <v>% в год</v>
      </c>
      <c r="F253" s="6" t="s">
        <v>745</v>
      </c>
      <c r="G253" s="249">
        <f ca="1">IF(G117&lt;=0,0,G117/AVERAGE(F200:G200)*360/Параметры!G30)</f>
        <v>0</v>
      </c>
      <c r="H253" s="249">
        <f ca="1">IF(H117&lt;=0,0,H117/AVERAGE(G200:H200)*360/Параметры!H30)</f>
        <v>0</v>
      </c>
      <c r="I253" s="249">
        <f ca="1">IF(I117&lt;=0,0,I117/AVERAGE(H200:I200)*360/Параметры!I30)</f>
        <v>0</v>
      </c>
      <c r="J253" s="249">
        <f ca="1">IF(J117&lt;=0,0,J117/AVERAGE(I200:J200)*360/Параметры!J30)</f>
        <v>0</v>
      </c>
      <c r="K253" s="249">
        <f ca="1">IF(K117&lt;=0,0,K117/AVERAGE(J200:K200)*360/Параметры!K30)</f>
        <v>0</v>
      </c>
      <c r="L253" s="249">
        <f ca="1">IF(L117&lt;=0,0,L117/AVERAGE(K200:L200)*360/Параметры!L30)</f>
        <v>0</v>
      </c>
      <c r="M253" s="249">
        <f ca="1">IF(M117&lt;=0,0,M117/AVERAGE(L200:M200)*360/Параметры!M30)</f>
        <v>0</v>
      </c>
      <c r="N253" s="249">
        <f ca="1">IF(N117&lt;=0,0,N117/AVERAGE(M200:N200)*360/Параметры!N30)</f>
        <v>-2.3540552253392511E-2</v>
      </c>
      <c r="O253" s="249">
        <f ca="1">IF(O117&lt;=0,0,O117/AVERAGE(N200:O200)*360/Параметры!O30)</f>
        <v>-0.80468174967733597</v>
      </c>
      <c r="P253" s="249">
        <f ca="1">IF(P117&lt;=0,0,P117/AVERAGE(O200:P200)*360/Параметры!P30)</f>
        <v>-1.7607052026633077</v>
      </c>
      <c r="Q253" s="249">
        <f ca="1">IF(Q117&lt;=0,0,Q117/AVERAGE(P200:Q200)*360/Параметры!Q30)</f>
        <v>-2.0868648251699629</v>
      </c>
      <c r="R253" s="249">
        <f ca="1">IF(R117&lt;=0,0,R117/AVERAGE(Q200:R200)*360/Параметры!R30)</f>
        <v>-2.5775006074550744</v>
      </c>
      <c r="S253" s="249">
        <f ca="1">IF(S117&lt;=0,0,S117/AVERAGE(R200:S200)*360/Параметры!S30)</f>
        <v>-7.5562485281679859</v>
      </c>
      <c r="T253" s="249">
        <f ca="1">IF(T117&lt;=0,0,T117/AVERAGE(S200:T200)*360/Параметры!T30)</f>
        <v>-12.88448814062407</v>
      </c>
      <c r="U253" s="249">
        <f ca="1">IF(U117&lt;=0,0,U117/AVERAGE(T200:U200)*360/Параметры!U30)</f>
        <v>-115.09485885737362</v>
      </c>
      <c r="V253" s="249">
        <f ca="1">IF(V117&lt;=0,0,V117/AVERAGE(U200:V200)*360/Параметры!V30)</f>
        <v>13.674313413434586</v>
      </c>
      <c r="W253" s="249">
        <f ca="1">IF(W117&lt;=0,0,W117/AVERAGE(V200:W200)*360/Параметры!W30)</f>
        <v>4.3200066706210203</v>
      </c>
      <c r="X253" s="249">
        <f ca="1">IF(X117&lt;=0,0,X117/AVERAGE(W200:X200)*360/Параметры!X30)</f>
        <v>7.8998760845794864</v>
      </c>
      <c r="Y253" s="249">
        <f ca="1">IF(Y117&lt;=0,0,Y117/AVERAGE(X200:Y200)*360/Параметры!Y30)</f>
        <v>6.3522118270080741</v>
      </c>
      <c r="Z253" s="249">
        <f ca="1">IF(Z117&lt;=0,0,Z117/AVERAGE(Y200:Z200)*360/Параметры!Z30)</f>
        <v>4.1853344041267073</v>
      </c>
      <c r="AA253" s="249">
        <f ca="1">IF(AA117&lt;=0,0,AA117/AVERAGE(Z200:AA200)*360/Параметры!AA30)</f>
        <v>1.8365789594496045</v>
      </c>
      <c r="AB253" s="249">
        <f ca="1">IF(AB117&lt;=0,0,AB117/AVERAGE(AA200:AB200)*360/Параметры!AB30)</f>
        <v>0.82578139311490162</v>
      </c>
      <c r="AC253" s="249">
        <f ca="1">IF(AC117&lt;=0,0,AC117/AVERAGE(AB200:AC200)*360/Параметры!AC30)</f>
        <v>0.83816362021065194</v>
      </c>
      <c r="AD253" s="249">
        <f ca="1">IF(AD117&lt;=0,0,AD117/AVERAGE(AC200:AD200)*360/Параметры!AD30)</f>
        <v>1.1897576671980017</v>
      </c>
      <c r="AE253" s="249">
        <f ca="1">IF(AE117&lt;=0,0,AE117/AVERAGE(AD200:AE200)*360/Параметры!AE30)</f>
        <v>1.7666585329548057</v>
      </c>
      <c r="AF253" s="249">
        <f ca="1">IF(AF117&lt;=0,0,AF117/AVERAGE(AE200:AF200)*360/Параметры!AF30)</f>
        <v>1.2684307289064665</v>
      </c>
      <c r="AG253" s="249">
        <f ca="1">IF(AG117&lt;=0,0,AG117/AVERAGE(AF200:AG200)*360/Параметры!AG30)</f>
        <v>0.91986333011597965</v>
      </c>
      <c r="AH253" s="249">
        <f ca="1">IF(AH117&lt;=0,0,AH117/AVERAGE(AG200:AH200)*360/Параметры!AH30)</f>
        <v>0.88915338996674076</v>
      </c>
      <c r="AI253" s="249">
        <f ca="1">IF(AI117&lt;=0,0,AI117/AVERAGE(AH200:AI200)*360/Параметры!AI30)</f>
        <v>0.61713314311879663</v>
      </c>
      <c r="AJ253" s="249">
        <f ca="1">IF(AJ117&lt;=0,0,AJ117/AVERAGE(AI200:AJ200)*360/Параметры!AJ30)</f>
        <v>1.2830718230468579</v>
      </c>
      <c r="AK253" s="249">
        <f ca="1">IF(AK117&lt;=0,0,AK117/AVERAGE(AJ200:AK200)*360/Параметры!AK30)</f>
        <v>1.5507526942723178</v>
      </c>
      <c r="AL253" s="249">
        <f ca="1">IF(AL117&lt;=0,0,AL117/AVERAGE(AK200:AL200)*360/Параметры!AL30)</f>
        <v>1.3824987353495901</v>
      </c>
      <c r="AM253" s="249">
        <f ca="1">IF(AM117&lt;=0,0,AM117/AVERAGE(AL200:AM200)*360/Параметры!AM30)</f>
        <v>0.78594380117346929</v>
      </c>
      <c r="AN253" s="249">
        <f ca="1">IF(AN117&lt;=0,0,AN117/AVERAGE(AM200:AN200)*360/Параметры!AN30)</f>
        <v>0.46036887269262228</v>
      </c>
      <c r="AO253" s="249">
        <f ca="1">IF(AO117&lt;=0,0,AO117/AVERAGE(AN200:AO200)*360/Параметры!AO30)</f>
        <v>0.4667381490580228</v>
      </c>
      <c r="AP253" s="249">
        <f ca="1">IF(AP117&lt;=0,0,AP117/AVERAGE(AO200:AP200)*360/Параметры!AP30)</f>
        <v>0.60241297469762978</v>
      </c>
      <c r="AQ253" s="249">
        <f ca="1">IF(AQ117&lt;=0,0,AQ117/AVERAGE(AP200:AQ200)*360/Параметры!AQ30)</f>
        <v>0.8511740059187356</v>
      </c>
      <c r="AR253" s="249">
        <f ca="1">IF(AR117&lt;=0,0,AR117/AVERAGE(AQ200:AR200)*360/Параметры!AR30)</f>
        <v>0.67537818297527952</v>
      </c>
      <c r="AS253" s="249">
        <f ca="1">IF(AS117&lt;=0,0,AS117/AVERAGE(AR200:AS200)*360/Параметры!AS30)</f>
        <v>0.53662510318575307</v>
      </c>
      <c r="AT253" s="249">
        <f ca="1">IF(AT117&lt;=0,0,AT117/AVERAGE(AS200:AT200)*360/Параметры!AT30)</f>
        <v>0.52034165075687855</v>
      </c>
      <c r="AU253" s="249">
        <f ca="1">IF(AU117&lt;=0,0,AU117/AVERAGE(AT200:AU200)*360/Параметры!AU30)</f>
        <v>0.38911891304289564</v>
      </c>
      <c r="AV253" s="249">
        <f ca="1">IF(AV117&lt;=0,0,AV117/AVERAGE(AU200:AV200)*360/Параметры!AV30)</f>
        <v>0.70576286131546917</v>
      </c>
      <c r="AW253" s="249">
        <f ca="1">IF(AW117&lt;=0,0,AW117/AVERAGE(AV200:AW200)*360/Параметры!AW30)</f>
        <v>0.86071903440146846</v>
      </c>
      <c r="AX253" s="249">
        <f ca="1">IF(AX117&lt;=0,0,AX117/AVERAGE(AW200:AX200)*360/Параметры!AX30)</f>
        <v>0.79966949381616692</v>
      </c>
      <c r="AY253" s="249">
        <f ca="1">IF(AY117&lt;=0,0,AY117/AVERAGE(AX200:AY200)*360/Параметры!AY30)</f>
        <v>0.48429114585019273</v>
      </c>
      <c r="AZ253" s="249">
        <f ca="1">IF(AZ117&lt;=0,0,AZ117/AVERAGE(AY200:AZ200)*360/Параметры!AZ30)</f>
        <v>0.29910776881975337</v>
      </c>
      <c r="BA253" s="249">
        <f ca="1">IF(BA117&lt;=0,0,BA117/AVERAGE(AZ200:BA200)*360/Параметры!BA30)</f>
        <v>0.29783011505537921</v>
      </c>
      <c r="BB253" s="249">
        <f ca="1">IF(BB117&lt;=0,0,BB117/AVERAGE(BA200:BB200)*360/Параметры!BB30)</f>
        <v>0.37310491579636029</v>
      </c>
    </row>
    <row r="254" spans="1:54" x14ac:dyDescent="0.3">
      <c r="A254" s="10" t="str">
        <f ca="1">Language!A1332</f>
        <v>Рентабельность инвестированного капитала, ROIC</v>
      </c>
      <c r="C254" s="48" t="str">
        <f ca="1">Language!$A$480</f>
        <v>% в год</v>
      </c>
      <c r="F254" s="6" t="s">
        <v>745</v>
      </c>
      <c r="G254" s="94">
        <f ca="1">(G117-G108*(1-Параметры!G81-Параметры!G107))/AVERAGE(SUM(F192,F200),SUM(G192,G200))*360/Параметры!G30</f>
        <v>0</v>
      </c>
      <c r="H254" s="94">
        <f ca="1">(H117-H108*(1-Параметры!H81-Параметры!H107))/AVERAGE(SUM(G192,G200),SUM(H192,H200))*360/Параметры!H30</f>
        <v>0</v>
      </c>
      <c r="I254" s="94">
        <f ca="1">(I117-I108*(1-Параметры!I81-Параметры!I107))/AVERAGE(SUM(H192,H200),SUM(I192,I200))*360/Параметры!I30</f>
        <v>0</v>
      </c>
      <c r="J254" s="94">
        <f ca="1">(J117-J108*(1-Параметры!J81-Параметры!J107))/AVERAGE(SUM(I192,I200),SUM(J192,J200))*360/Параметры!J30</f>
        <v>0</v>
      </c>
      <c r="K254" s="94">
        <f ca="1">(K117-K108*(1-Параметры!K81-Параметры!K107))/AVERAGE(SUM(J192,J200),SUM(K192,K200))*360/Параметры!K30</f>
        <v>0</v>
      </c>
      <c r="L254" s="94">
        <f ca="1">(L117-L108*(1-Параметры!L81-Параметры!L107))/AVERAGE(SUM(K192,K200),SUM(L192,L200))*360/Параметры!L30</f>
        <v>0</v>
      </c>
      <c r="M254" s="94">
        <f ca="1">(M117-M108*(1-Параметры!M81-Параметры!M107))/AVERAGE(SUM(L192,L200),SUM(M192,M200))*360/Параметры!M30</f>
        <v>0.15890161272109246</v>
      </c>
      <c r="N254" s="94">
        <f ca="1">(N117-N108*(1-Параметры!N81-Параметры!N107))/AVERAGE(SUM(M192,M200),SUM(N192,N200))*360/Параметры!N30</f>
        <v>0.24606619271199043</v>
      </c>
      <c r="O254" s="94">
        <f ca="1">(O117-O108*(1-Параметры!O81-Параметры!O107))/AVERAGE(SUM(N192,N200),SUM(O192,O200))*360/Параметры!O30</f>
        <v>0.34000080326577442</v>
      </c>
      <c r="P254" s="94">
        <f ca="1">(P117-P108*(1-Параметры!P81-Параметры!P107))/AVERAGE(SUM(O192,O200),SUM(P192,P200))*360/Параметры!P30</f>
        <v>0.43528812785697629</v>
      </c>
      <c r="Q254" s="94">
        <f ca="1">(Q117-Q108*(1-Параметры!Q81-Параметры!Q107))/AVERAGE(SUM(P192,P200),SUM(Q192,Q200))*360/Параметры!Q30</f>
        <v>0.43268231746720548</v>
      </c>
      <c r="R254" s="94">
        <f ca="1">(R117-R108*(1-Параметры!R81-Параметры!R107))/AVERAGE(SUM(Q192,Q200),SUM(R192,R200))*360/Параметры!R30</f>
        <v>0.43143799399409516</v>
      </c>
      <c r="S254" s="94">
        <f ca="1">(S117-S108*(1-Параметры!S81-Параметры!S107))/AVERAGE(SUM(R192,R200),SUM(S192,S200))*360/Параметры!S30</f>
        <v>0.6251191709412498</v>
      </c>
      <c r="T254" s="94">
        <f ca="1">(T117-T108*(1-Параметры!T81-Параметры!T107))/AVERAGE(SUM(S192,S200),SUM(T192,T200))*360/Параметры!T30</f>
        <v>0.51767007080290584</v>
      </c>
      <c r="U254" s="94">
        <f ca="1">(U117-U108*(1-Параметры!U81-Параметры!U107))/AVERAGE(SUM(T192,T200),SUM(U192,U200))*360/Параметры!U30</f>
        <v>0.42460978533872579</v>
      </c>
      <c r="V254" s="94">
        <f ca="1">(V117-V108*(1-Параметры!V81-Параметры!V107))/AVERAGE(SUM(U192,U200),SUM(V192,V200))*360/Параметры!V30</f>
        <v>0.43019270013448613</v>
      </c>
      <c r="W254" s="94">
        <f ca="1">(W117-W108*(1-Параметры!W81-Параметры!W107))/AVERAGE(SUM(V192,V200),SUM(W192,W200))*360/Параметры!W30</f>
        <v>0.33726946033560157</v>
      </c>
      <c r="X254" s="94">
        <f ca="1">(X117-X108*(1-Параметры!X81-Параметры!X107))/AVERAGE(SUM(W192,W200),SUM(X192,X200))*360/Параметры!X30</f>
        <v>0.63747233826182093</v>
      </c>
      <c r="Y254" s="94">
        <f ca="1">(Y117-Y108*(1-Параметры!Y81-Параметры!Y107))/AVERAGE(SUM(X192,X200),SUM(Y192,Y200))*360/Параметры!Y30</f>
        <v>0.81708124373645596</v>
      </c>
      <c r="Z254" s="94">
        <f ca="1">(Z117-Z108*(1-Параметры!Z81-Параметры!Z107))/AVERAGE(SUM(Y192,Y200),SUM(Z192,Z200))*360/Параметры!Z30</f>
        <v>0.80015592491352971</v>
      </c>
      <c r="AA254" s="94">
        <f ca="1">(AA117-AA108*(1-Параметры!AA81-Параметры!AA107))/AVERAGE(SUM(Z192,Z200),SUM(AA192,AA200))*360/Параметры!AA30</f>
        <v>0.5094851586252882</v>
      </c>
      <c r="AB254" s="94">
        <f ca="1">(AB117-AB108*(1-Параметры!AB81-Параметры!AB107))/AVERAGE(SUM(AA192,AA200),SUM(AB192,AB200))*360/Параметры!AB30</f>
        <v>0.3303843207265782</v>
      </c>
      <c r="AC254" s="94">
        <f ca="1">(AC117-AC108*(1-Параметры!AC81-Параметры!AC107))/AVERAGE(SUM(AB192,AB200),SUM(AC192,AC200))*360/Параметры!AC30</f>
        <v>0.34405437023539337</v>
      </c>
      <c r="AD254" s="94">
        <f ca="1">(AD117-AD108*(1-Параметры!AD81-Параметры!AD107))/AVERAGE(SUM(AC192,AC200),SUM(AD192,AD200))*360/Параметры!AD30</f>
        <v>0.44970842612234191</v>
      </c>
      <c r="AE254" s="94">
        <f ca="1">(AE117-AE108*(1-Параметры!AE81-Параметры!AE107))/AVERAGE(SUM(AD192,AD200),SUM(AE192,AE200))*360/Параметры!AE30</f>
        <v>0.65360607794354975</v>
      </c>
      <c r="AF254" s="94">
        <f ca="1">(AF117-AF108*(1-Параметры!AF81-Параметры!AF107))/AVERAGE(SUM(AE192,AE200),SUM(AF192,AF200))*360/Параметры!AF30</f>
        <v>0.5456265321079381</v>
      </c>
      <c r="AG254" s="94">
        <f ca="1">(AG117-AG108*(1-Параметры!AG81-Параметры!AG107))/AVERAGE(SUM(AF192,AF200),SUM(AG192,AG200))*360/Параметры!AG30</f>
        <v>0.45125478372558908</v>
      </c>
      <c r="AH254" s="94">
        <f ca="1">(AH117-AH108*(1-Параметры!AH81-Параметры!AH107))/AVERAGE(SUM(AG192,AG200),SUM(AH192,AH200))*360/Параметры!AH30</f>
        <v>0.46011549138042668</v>
      </c>
      <c r="AI254" s="94">
        <f ca="1">(AI117-AI108*(1-Параметры!AI81-Параметры!AI107))/AVERAGE(SUM(AH192,AH200),SUM(AI192,AI200))*360/Параметры!AI30</f>
        <v>0.36193371296550081</v>
      </c>
      <c r="AJ254" s="94">
        <f ca="1">(AJ117-AJ108*(1-Параметры!AJ81-Параметры!AJ107))/AVERAGE(SUM(AI192,AI200),SUM(AJ192,AJ200))*360/Параметры!AJ30</f>
        <v>0.68726723231183628</v>
      </c>
      <c r="AK254" s="94">
        <f ca="1">(AK117-AK108*(1-Параметры!AK81-Параметры!AK107))/AVERAGE(SUM(AJ192,AJ200),SUM(AK192,AK200))*360/Параметры!AK30</f>
        <v>0.8762636099212201</v>
      </c>
      <c r="AL254" s="94">
        <f ca="1">(AL117-AL108*(1-Параметры!AL81-Параметры!AL107))/AVERAGE(SUM(AK192,AK200),SUM(AL192,AL200))*360/Параметры!AL30</f>
        <v>0.84740815393987345</v>
      </c>
      <c r="AM254" s="94">
        <f ca="1">(AM117-AM108*(1-Параметры!AM81-Параметры!AM107))/AVERAGE(SUM(AL192,AL200),SUM(AM192,AM200))*360/Параметры!AM30</f>
        <v>0.53301440126031752</v>
      </c>
      <c r="AN254" s="94">
        <f ca="1">(AN117-AN108*(1-Параметры!AN81-Параметры!AN107))/AVERAGE(SUM(AM192,AM200),SUM(AN192,AN200))*360/Параметры!AN30</f>
        <v>0.34174225890404158</v>
      </c>
      <c r="AO254" s="94">
        <f ca="1">(AO117-AO108*(1-Параметры!AO81-Параметры!AO107))/AVERAGE(SUM(AN192,AN200),SUM(AO192,AO200))*360/Параметры!AO30</f>
        <v>0.35238653963331168</v>
      </c>
      <c r="AP254" s="94">
        <f ca="1">(AP117-AP108*(1-Параметры!AP81-Параметры!AP107))/AVERAGE(SUM(AO192,AO200),SUM(AP192,AP200))*360/Параметры!AP30</f>
        <v>0.45601809660936737</v>
      </c>
      <c r="AQ254" s="94">
        <f ca="1">(AQ117-AQ108*(1-Параметры!AQ81-Параметры!AQ107))/AVERAGE(SUM(AP192,AP200),SUM(AQ192,AQ200))*360/Параметры!AQ30</f>
        <v>0.65611717441664774</v>
      </c>
      <c r="AR254" s="94">
        <f ca="1">(AR117-AR108*(1-Параметры!AR81-Параметры!AR107))/AVERAGE(SUM(AQ192,AQ200),SUM(AR192,AR200))*360/Параметры!AR30</f>
        <v>0.54151904816395313</v>
      </c>
      <c r="AS254" s="94">
        <f ca="1">(AS117-AS108*(1-Параметры!AS81-Параметры!AS107))/AVERAGE(SUM(AR192,AR200),SUM(AS192,AS200))*360/Параметры!AS30</f>
        <v>0.44291660870394001</v>
      </c>
      <c r="AT254" s="94">
        <f ca="1">(AT117-AT108*(1-Параметры!AT81-Параметры!AT107))/AVERAGE(SUM(AS192,AS200),SUM(AT192,AT200))*360/Параметры!AT30</f>
        <v>0.44702688738536256</v>
      </c>
      <c r="AU254" s="94">
        <f ca="1">(AU117-AU108*(1-Параметры!AU81-Параметры!AU107))/AVERAGE(SUM(AT192,AT200),SUM(AU192,AU200))*360/Параметры!AU30</f>
        <v>0.3478829409141157</v>
      </c>
      <c r="AV254" s="94">
        <f ca="1">(AV117-AV108*(1-Параметры!AV81-Параметры!AV107))/AVERAGE(SUM(AU192,AU200),SUM(AV192,AV200))*360/Параметры!AV30</f>
        <v>0.65616178342158993</v>
      </c>
      <c r="AW254" s="94">
        <f ca="1">(AW117-AW108*(1-Параметры!AW81-Параметры!AW107))/AVERAGE(SUM(AV192,AV200),SUM(AW192,AW200))*360/Параметры!AW30</f>
        <v>0.83115883368729526</v>
      </c>
      <c r="AX254" s="94">
        <f ca="1">(AX117-AX108*(1-Параметры!AX81-Параметры!AX107))/AVERAGE(SUM(AW192,AW200),SUM(AX192,AX200))*360/Параметры!AX30</f>
        <v>0.79302827669510745</v>
      </c>
      <c r="AY254" s="94">
        <f ca="1">(AY117-AY108*(1-Параметры!AY81-Параметры!AY107))/AVERAGE(SUM(AX192,AX200),SUM(AY192,AY200))*360/Параметры!AY30</f>
        <v>0.48429114553561442</v>
      </c>
      <c r="AZ254" s="94">
        <f ca="1">(AZ117-AZ108*(1-Параметры!AZ81-Параметры!AZ107))/AVERAGE(SUM(AY192,AY200),SUM(AZ192,AZ200))*360/Параметры!AZ30</f>
        <v>0.29910776863168009</v>
      </c>
      <c r="BA254" s="94">
        <f ca="1">(BA117-BA108*(1-Параметры!BA81-Параметры!BA107))/AVERAGE(SUM(AZ192,AZ200),SUM(BA192,BA200))*360/Параметры!BA30</f>
        <v>0.29783011487270988</v>
      </c>
      <c r="BB254" s="94">
        <f ca="1">(BB117-BB108*(1-Параметры!BB81-Параметры!BB107))/AVERAGE(SUM(BA192,BA200),SUM(BB192,BB200))*360/Параметры!BB30</f>
        <v>0.37310491557384129</v>
      </c>
    </row>
    <row r="255" spans="1:54" x14ac:dyDescent="0.3">
      <c r="A255" s="10" t="str">
        <f ca="1">Language!A1333</f>
        <v>Рентабельность суммарных активов, ROTA</v>
      </c>
      <c r="C255" s="48" t="str">
        <f ca="1">Language!$A$480</f>
        <v>% в год</v>
      </c>
      <c r="F255" s="6" t="s">
        <v>745</v>
      </c>
      <c r="G255" s="94">
        <f ca="1">SUM(G104,G106:G107)/AVERAGE(F181:G181)*360/Параметры!G30</f>
        <v>0</v>
      </c>
      <c r="H255" s="94">
        <f ca="1">SUM(H104,H106:H107)/AVERAGE(G181:H181)*360/Параметры!H30</f>
        <v>0</v>
      </c>
      <c r="I255" s="94">
        <f ca="1">SUM(I104,I106:I107)/AVERAGE(H181:I181)*360/Параметры!I30</f>
        <v>0</v>
      </c>
      <c r="J255" s="94">
        <f ca="1">SUM(J104,J106:J107)/AVERAGE(I181:J181)*360/Параметры!J30</f>
        <v>0</v>
      </c>
      <c r="K255" s="94">
        <f ca="1">SUM(K104,K106:K107)/AVERAGE(J181:K181)*360/Параметры!K30</f>
        <v>0</v>
      </c>
      <c r="L255" s="94">
        <f ca="1">SUM(L104,L106:L107)/AVERAGE(K181:L181)*360/Параметры!L30</f>
        <v>0</v>
      </c>
      <c r="M255" s="94">
        <f ca="1">SUM(M104,M106:M107)/AVERAGE(L181:M181)*360/Параметры!M30</f>
        <v>0.17084258477526978</v>
      </c>
      <c r="N255" s="94">
        <f ca="1">SUM(N104,N106:N107)/AVERAGE(M181:N181)*360/Параметры!N30</f>
        <v>0.26757200328107178</v>
      </c>
      <c r="O255" s="94">
        <f ca="1">SUM(O104,O106:O107)/AVERAGE(N181:O181)*360/Параметры!O30</f>
        <v>0.3744622175443606</v>
      </c>
      <c r="P255" s="94">
        <f ca="1">SUM(P104,P106:P107)/AVERAGE(O181:P181)*360/Параметры!P30</f>
        <v>0.47626054309203714</v>
      </c>
      <c r="Q255" s="94">
        <f ca="1">SUM(Q104,Q106:Q107)/AVERAGE(P181:Q181)*360/Параметры!Q30</f>
        <v>0.47621635567450432</v>
      </c>
      <c r="R255" s="94">
        <f ca="1">SUM(R104,R106:R107)/AVERAGE(Q181:R181)*360/Параметры!R30</f>
        <v>0.47523772501780143</v>
      </c>
      <c r="S255" s="94">
        <f ca="1">SUM(S104,S106:S107)/AVERAGE(R181:S181)*360/Параметры!S30</f>
        <v>0.67559107020982823</v>
      </c>
      <c r="T255" s="94">
        <f ca="1">SUM(T104,T106:T107)/AVERAGE(S181:T181)*360/Параметры!T30</f>
        <v>0.56925072154589906</v>
      </c>
      <c r="U255" s="94">
        <f ca="1">SUM(U104,U106:U107)/AVERAGE(T181:U181)*360/Параметры!U30</f>
        <v>0.47071155879420828</v>
      </c>
      <c r="V255" s="94">
        <f ca="1">SUM(V104,V106:V107)/AVERAGE(U181:V181)*360/Параметры!V30</f>
        <v>0.47405202775900762</v>
      </c>
      <c r="W255" s="94">
        <f ca="1">SUM(W104,W106:W107)/AVERAGE(V181:W181)*360/Параметры!W30</f>
        <v>0.37774740739294066</v>
      </c>
      <c r="X255" s="94">
        <f ca="1">SUM(X104,X106:X107)/AVERAGE(W181:X181)*360/Параметры!X30</f>
        <v>0.68635085911234117</v>
      </c>
      <c r="Y255" s="94">
        <f ca="1">SUM(Y104,Y106:Y107)/AVERAGE(X181:Y181)*360/Параметры!Y30</f>
        <v>0.87763675704959043</v>
      </c>
      <c r="Z255" s="94">
        <f ca="1">SUM(Z104,Z106:Z107)/AVERAGE(Y181:Z181)*360/Параметры!Z30</f>
        <v>0.86484152818522986</v>
      </c>
      <c r="AA255" s="94">
        <f ca="1">SUM(AA104,AA106:AA107)/AVERAGE(Z181:AA181)*360/Параметры!AA30</f>
        <v>0.56614122191903771</v>
      </c>
      <c r="AB255" s="94">
        <f ca="1">SUM(AB104,AB106:AB107)/AVERAGE(AA181:AB181)*360/Параметры!AB30</f>
        <v>0.37363685644551675</v>
      </c>
      <c r="AC255" s="94">
        <f ca="1">SUM(AC104,AC106:AC107)/AVERAGE(AB181:AC181)*360/Параметры!AC30</f>
        <v>0.38286376245416026</v>
      </c>
      <c r="AD255" s="94">
        <f ca="1">SUM(AD104,AD106:AD107)/AVERAGE(AC181:AD181)*360/Параметры!AD30</f>
        <v>0.49293669562127646</v>
      </c>
      <c r="AE255" s="94">
        <f ca="1">SUM(AE104,AE106:AE107)/AVERAGE(AD181:AE181)*360/Параметры!AE30</f>
        <v>0.70643164741981046</v>
      </c>
      <c r="AF255" s="94">
        <f ca="1">SUM(AF104,AF106:AF107)/AVERAGE(AE181:AF181)*360/Параметры!AF30</f>
        <v>0.60028435790102119</v>
      </c>
      <c r="AG255" s="94">
        <f ca="1">SUM(AG104,AG106:AG107)/AVERAGE(AF181:AG181)*360/Параметры!AG30</f>
        <v>0.50063009987458884</v>
      </c>
      <c r="AH255" s="94">
        <f ca="1">SUM(AH104,AH106:AH107)/AVERAGE(AG181:AH181)*360/Параметры!AH30</f>
        <v>0.50732353056858315</v>
      </c>
      <c r="AI255" s="94">
        <f ca="1">SUM(AI104,AI106:AI107)/AVERAGE(AH181:AI181)*360/Параметры!AI30</f>
        <v>0.40578032936386765</v>
      </c>
      <c r="AJ255" s="94">
        <f ca="1">SUM(AJ104,AJ106:AJ107)/AVERAGE(AI181:AJ181)*360/Параметры!AJ30</f>
        <v>0.73977388087949836</v>
      </c>
      <c r="AK255" s="94">
        <f ca="1">SUM(AK104,AK106:AK107)/AVERAGE(AJ181:AK181)*360/Параметры!AK30</f>
        <v>0.9405085775911548</v>
      </c>
      <c r="AL255" s="94">
        <f ca="1">SUM(AL104,AL106:AL107)/AVERAGE(AK181:AL181)*360/Параметры!AL30</f>
        <v>0.91558194061252307</v>
      </c>
      <c r="AM255" s="94">
        <f ca="1">SUM(AM104,AM106:AM107)/AVERAGE(AL181:AM181)*360/Параметры!AM30</f>
        <v>0.59281716009505769</v>
      </c>
      <c r="AN255" s="94">
        <f ca="1">SUM(AN104,AN106:AN107)/AVERAGE(AM181:AN181)*360/Параметры!AN30</f>
        <v>0.38723027571081786</v>
      </c>
      <c r="AO255" s="94">
        <f ca="1">SUM(AO104,AO106:AO107)/AVERAGE(AN181:AO181)*360/Параметры!AO30</f>
        <v>0.39282616048615687</v>
      </c>
      <c r="AP255" s="94">
        <f ca="1">SUM(AP104,AP106:AP107)/AVERAGE(AO181:AP181)*360/Параметры!AP30</f>
        <v>0.50057288517817777</v>
      </c>
      <c r="AQ255" s="94">
        <f ca="1">SUM(AQ104,AQ106:AQ107)/AVERAGE(AP181:AQ181)*360/Параметры!AQ30</f>
        <v>0.70994821901749816</v>
      </c>
      <c r="AR255" s="94">
        <f ca="1">SUM(AR104,AR106:AR107)/AVERAGE(AQ181:AR181)*360/Параметры!AR30</f>
        <v>0.59683290368739184</v>
      </c>
      <c r="AS255" s="94">
        <f ca="1">SUM(AS104,AS106:AS107)/AVERAGE(AR181:AS181)*360/Параметры!AS30</f>
        <v>0.49251087325930243</v>
      </c>
      <c r="AT255" s="94">
        <f ca="1">SUM(AT104,AT106:AT107)/AVERAGE(AS181:AT181)*360/Параметры!AT30</f>
        <v>0.49404791686274768</v>
      </c>
      <c r="AU255" s="94">
        <f ca="1">SUM(AU104,AU106:AU107)/AVERAGE(AT181:AU181)*360/Параметры!AU30</f>
        <v>0.39119458307175276</v>
      </c>
      <c r="AV255" s="94">
        <f ca="1">SUM(AV104,AV106:AV107)/AVERAGE(AU181:AV181)*360/Параметры!AV30</f>
        <v>0.70775580445290709</v>
      </c>
      <c r="AW255" s="94">
        <f ca="1">SUM(AW104,AW106:AW107)/AVERAGE(AV181:AW181)*360/Параметры!AW30</f>
        <v>0.89407674741113952</v>
      </c>
      <c r="AX255" s="94">
        <f ca="1">SUM(AX104,AX106:AX107)/AVERAGE(AW181:AX181)*360/Параметры!AX30</f>
        <v>0.8591791536990655</v>
      </c>
      <c r="AY255" s="94">
        <f ca="1">SUM(AY104,AY106:AY107)/AVERAGE(AX181:AY181)*360/Параметры!AY30</f>
        <v>0.54076306789527484</v>
      </c>
      <c r="AZ255" s="94">
        <f ca="1">SUM(AZ104,AZ106:AZ107)/AVERAGE(AY181:AZ181)*360/Параметры!AZ30</f>
        <v>0.3405485371815905</v>
      </c>
      <c r="BA255" s="94">
        <f ca="1">SUM(BA104,BA106:BA107)/AVERAGE(AZ181:BA181)*360/Параметры!BA30</f>
        <v>0.33358349662202874</v>
      </c>
      <c r="BB255" s="94">
        <f ca="1">SUM(BB104,BB106:BB107)/AVERAGE(BA181:BB181)*360/Параметры!BB30</f>
        <v>0.4116167315045543</v>
      </c>
    </row>
    <row r="256" spans="1:54" x14ac:dyDescent="0.3">
      <c r="A256" s="10" t="str">
        <f ca="1">Language!A1334</f>
        <v>Рентабельность внеоборотных активов, ROFA</v>
      </c>
      <c r="B256" s="80"/>
      <c r="C256" s="45" t="str">
        <f ca="1">Language!$A$480</f>
        <v>% в год</v>
      </c>
      <c r="D256" s="46"/>
      <c r="E256" s="46"/>
      <c r="F256" s="46" t="s">
        <v>745</v>
      </c>
      <c r="G256" s="95">
        <f ca="1">SUM(G104,G106:G107)/AVERAGE(F179:G179)*360/Параметры!G30</f>
        <v>0</v>
      </c>
      <c r="H256" s="95">
        <f ca="1">SUM(H104,H106:H107)/AVERAGE(G179:H179)*360/Параметры!H30</f>
        <v>0</v>
      </c>
      <c r="I256" s="95">
        <f ca="1">SUM(I104,I106:I107)/AVERAGE(H179:I179)*360/Параметры!I30</f>
        <v>0</v>
      </c>
      <c r="J256" s="95">
        <f ca="1">SUM(J104,J106:J107)/AVERAGE(I179:J179)*360/Параметры!J30</f>
        <v>0</v>
      </c>
      <c r="K256" s="95">
        <f ca="1">SUM(K104,K106:K107)/AVERAGE(J179:K179)*360/Параметры!K30</f>
        <v>0</v>
      </c>
      <c r="L256" s="95">
        <f ca="1">SUM(L104,L106:L107)/AVERAGE(K179:L179)*360/Параметры!L30</f>
        <v>0</v>
      </c>
      <c r="M256" s="95">
        <f ca="1">SUM(M104,M106:M107)/AVERAGE(L179:M179)*360/Параметры!M30</f>
        <v>0.18557820764938612</v>
      </c>
      <c r="N256" s="95">
        <f ca="1">SUM(N104,N106:N107)/AVERAGE(M179:N179)*360/Параметры!N30</f>
        <v>0.28202224263212161</v>
      </c>
      <c r="O256" s="95">
        <f ca="1">SUM(O104,O106:O107)/AVERAGE(N179:O179)*360/Параметры!O30</f>
        <v>0.38858468565642595</v>
      </c>
      <c r="P256" s="95">
        <f ca="1">SUM(P104,P106:P107)/AVERAGE(O179:P179)*360/Параметры!P30</f>
        <v>0.49590790721829964</v>
      </c>
      <c r="Q256" s="95">
        <f ca="1">SUM(Q104,Q106:Q107)/AVERAGE(P179:Q179)*360/Параметры!Q30</f>
        <v>0.49908121291528057</v>
      </c>
      <c r="R256" s="95">
        <f ca="1">SUM(R104,R106:R107)/AVERAGE(Q179:R179)*360/Параметры!R30</f>
        <v>0.4998438253570463</v>
      </c>
      <c r="S256" s="95">
        <f ca="1">SUM(S104,S106:S107)/AVERAGE(R179:S179)*360/Параметры!S30</f>
        <v>0.71923026889405683</v>
      </c>
      <c r="T256" s="95">
        <f ca="1">SUM(T104,T106:T107)/AVERAGE(S179:T179)*360/Параметры!T30</f>
        <v>0.61503912708705566</v>
      </c>
      <c r="U256" s="95">
        <f ca="1">SUM(U104,U106:U107)/AVERAGE(T179:U179)*360/Параметры!U30</f>
        <v>0.51071635715051189</v>
      </c>
      <c r="V256" s="95">
        <f ca="1">SUM(V104,V106:V107)/AVERAGE(U179:V179)*360/Параметры!V30</f>
        <v>0.51459959832109037</v>
      </c>
      <c r="W256" s="95">
        <f ca="1">SUM(W104,W106:W107)/AVERAGE(V179:W179)*360/Параметры!W30</f>
        <v>0.40791531922315538</v>
      </c>
      <c r="X256" s="95">
        <f ca="1">SUM(X104,X106:X107)/AVERAGE(W179:X179)*360/Параметры!X30</f>
        <v>0.74634278350759342</v>
      </c>
      <c r="Y256" s="95">
        <f ca="1">SUM(Y104,Y106:Y107)/AVERAGE(X179:Y179)*360/Параметры!Y30</f>
        <v>0.97709151122400639</v>
      </c>
      <c r="Z256" s="95">
        <f ca="1">SUM(Z104,Z106:Z107)/AVERAGE(Y179:Z179)*360/Параметры!Z30</f>
        <v>0.98335092292577597</v>
      </c>
      <c r="AA256" s="95">
        <f ca="1">SUM(AA104,AA106:AA107)/AVERAGE(Z179:AA179)*360/Параметры!AA30</f>
        <v>0.64694582596418904</v>
      </c>
      <c r="AB256" s="95">
        <f ca="1">SUM(AB104,AB106:AB107)/AVERAGE(AA179:AB179)*360/Параметры!AB30</f>
        <v>0.42069000379630911</v>
      </c>
      <c r="AC256" s="95">
        <f ca="1">SUM(AC104,AC106:AC107)/AVERAGE(AB179:AC179)*360/Параметры!AC30</f>
        <v>0.42335166381947542</v>
      </c>
      <c r="AD256" s="95">
        <f ca="1">SUM(AD104,AD106:AD107)/AVERAGE(AC179:AD179)*360/Параметры!AD30</f>
        <v>0.539372173190376</v>
      </c>
      <c r="AE256" s="95">
        <f ca="1">SUM(AE104,AE106:AE107)/AVERAGE(AD179:AE179)*360/Параметры!AE30</f>
        <v>0.77631402271157779</v>
      </c>
      <c r="AF256" s="95">
        <f ca="1">SUM(AF104,AF106:AF107)/AVERAGE(AE179:AF179)*360/Параметры!AF30</f>
        <v>0.66374117348538886</v>
      </c>
      <c r="AG256" s="95">
        <f ca="1">SUM(AG104,AG106:AG107)/AVERAGE(AF179:AG179)*360/Параметры!AG30</f>
        <v>0.5510498776688656</v>
      </c>
      <c r="AH256" s="95">
        <f ca="1">SUM(AH104,AH106:AH107)/AVERAGE(AG179:AH179)*360/Параметры!AH30</f>
        <v>0.55522557788729998</v>
      </c>
      <c r="AI256" s="95">
        <f ca="1">SUM(AI104,AI106:AI107)/AVERAGE(AH179:AI179)*360/Параметры!AI30</f>
        <v>0.43997763801446688</v>
      </c>
      <c r="AJ256" s="95">
        <f ca="1">SUM(AJ104,AJ106:AJ107)/AVERAGE(AI179:AJ179)*360/Параметры!AJ30</f>
        <v>0.80551691357416411</v>
      </c>
      <c r="AK256" s="95">
        <f ca="1">SUM(AK104,AK106:AK107)/AVERAGE(AJ179:AK179)*360/Параметры!AK30</f>
        <v>1.0547523519866866</v>
      </c>
      <c r="AL256" s="95">
        <f ca="1">SUM(AL104,AL106:AL107)/AVERAGE(AK179:AL179)*360/Параметры!AL30</f>
        <v>1.0614798989369298</v>
      </c>
      <c r="AM256" s="95">
        <f ca="1">SUM(AM104,AM106:AM107)/AVERAGE(AL179:AM179)*360/Параметры!AM30</f>
        <v>0.69805384098115675</v>
      </c>
      <c r="AN256" s="95">
        <f ca="1">SUM(AN104,AN106:AN107)/AVERAGE(AM179:AN179)*360/Параметры!AN30</f>
        <v>0.45360462220296671</v>
      </c>
      <c r="AO256" s="95">
        <f ca="1">SUM(AO104,AO106:AO107)/AVERAGE(AN179:AO179)*360/Параметры!AO30</f>
        <v>0.45644454453254379</v>
      </c>
      <c r="AP256" s="95">
        <f ca="1">SUM(AP104,AP106:AP107)/AVERAGE(AO179:AP179)*360/Параметры!AP30</f>
        <v>0.58167149304252275</v>
      </c>
      <c r="AQ256" s="95">
        <f ca="1">SUM(AQ104,AQ106:AQ107)/AVERAGE(AP179:AQ179)*360/Параметры!AQ30</f>
        <v>0.8375620044431924</v>
      </c>
      <c r="AR256" s="95">
        <f ca="1">SUM(AR104,AR106:AR107)/AVERAGE(AQ179:AR179)*360/Параметры!AR30</f>
        <v>0.71592984219795652</v>
      </c>
      <c r="AS256" s="95">
        <f ca="1">SUM(AS104,AS106:AS107)/AVERAGE(AR179:AS179)*360/Параметры!AS30</f>
        <v>0.59419851438346705</v>
      </c>
      <c r="AT256" s="95">
        <f ca="1">SUM(AT104,AT106:AT107)/AVERAGE(AS179:AT179)*360/Параметры!AT30</f>
        <v>0.59868383106685263</v>
      </c>
      <c r="AU256" s="95">
        <f ca="1">SUM(AU104,AU106:AU107)/AVERAGE(AT179:AU179)*360/Параметры!AU30</f>
        <v>0.47418493654372212</v>
      </c>
      <c r="AV256" s="95">
        <f ca="1">SUM(AV104,AV106:AV107)/AVERAGE(AU179:AV179)*360/Параметры!AV30</f>
        <v>0.86899000781907054</v>
      </c>
      <c r="AW256" s="95">
        <f ca="1">SUM(AW104,AW106:AW107)/AVERAGE(AV179:AW179)*360/Параметры!AW30</f>
        <v>1.1381786376783232</v>
      </c>
      <c r="AX256" s="95">
        <f ca="1">SUM(AX104,AX106:AX107)/AVERAGE(AW179:AX179)*360/Параметры!AX30</f>
        <v>1.1454010809770112</v>
      </c>
      <c r="AY256" s="95">
        <f ca="1">SUM(AY104,AY106:AY107)/AVERAGE(AX179:AY179)*360/Параметры!AY30</f>
        <v>0.7527903196310376</v>
      </c>
      <c r="AZ256" s="95">
        <f ca="1">SUM(AZ104,AZ106:AZ107)/AVERAGE(AY179:AZ179)*360/Параметры!AZ30</f>
        <v>0.48868736192015816</v>
      </c>
      <c r="BA256" s="95">
        <f ca="1">SUM(BA104,BA106:BA107)/AVERAGE(AZ179:BA179)*360/Параметры!BA30</f>
        <v>0.49171049726467603</v>
      </c>
      <c r="BB256" s="95">
        <f ca="1">SUM(BB104,BB106:BB107)/AVERAGE(BA179:BB179)*360/Параметры!BB30</f>
        <v>0.62685458229793989</v>
      </c>
    </row>
    <row r="257" spans="1:56" x14ac:dyDescent="0.3">
      <c r="A257" s="10"/>
    </row>
    <row r="258" spans="1:56" x14ac:dyDescent="0.3">
      <c r="A258" s="10" t="str">
        <f ca="1">Language!A1335</f>
        <v>Коэффициент текущей ликвидности</v>
      </c>
      <c r="C258" s="48" t="str">
        <f ca="1">Language!$A$1477</f>
        <v>раз</v>
      </c>
      <c r="F258" s="6" t="s">
        <v>745</v>
      </c>
      <c r="G258" s="96">
        <f ca="1">IF(G190=0,0,G170/G190)</f>
        <v>0</v>
      </c>
      <c r="H258" s="96">
        <f t="shared" ref="H258:M258" ca="1" si="1128">IF(H190=0,0,H170/H190)</f>
        <v>0</v>
      </c>
      <c r="I258" s="96">
        <f t="shared" ca="1" si="1128"/>
        <v>0</v>
      </c>
      <c r="J258" s="96">
        <f t="shared" ca="1" si="1128"/>
        <v>0</v>
      </c>
      <c r="K258" s="96">
        <f t="shared" ca="1" si="1128"/>
        <v>0</v>
      </c>
      <c r="L258" s="96">
        <f t="shared" ca="1" si="1128"/>
        <v>0</v>
      </c>
      <c r="M258" s="96">
        <f t="shared" ca="1" si="1128"/>
        <v>1.1976689634765847</v>
      </c>
      <c r="N258" s="96">
        <f t="shared" ref="N258:O258" ca="1" si="1129">IF(N190=0,0,N170/N190)</f>
        <v>3.140921227320042</v>
      </c>
      <c r="O258" s="96">
        <f t="shared" ca="1" si="1129"/>
        <v>2.662023638493292</v>
      </c>
      <c r="P258" s="96">
        <f t="shared" ref="P258:Q258" ca="1" si="1130">IF(P190=0,0,P170/P190)</f>
        <v>2.8187629287028257</v>
      </c>
      <c r="Q258" s="96">
        <f t="shared" ca="1" si="1130"/>
        <v>3.2312595868552054</v>
      </c>
      <c r="R258" s="96">
        <f t="shared" ref="R258:S258" ca="1" si="1131">IF(R190=0,0,R170/R190)</f>
        <v>3.298710058515637</v>
      </c>
      <c r="S258" s="96">
        <f t="shared" ca="1" si="1131"/>
        <v>3.6960785271292811</v>
      </c>
      <c r="T258" s="96">
        <f t="shared" ref="T258:U258" ca="1" si="1132">IF(T190=0,0,T170/T190)</f>
        <v>4.7589009875765829</v>
      </c>
      <c r="U258" s="96">
        <f t="shared" ca="1" si="1132"/>
        <v>5.3707656021894667</v>
      </c>
      <c r="V258" s="96">
        <f t="shared" ref="V258:W258" ca="1" si="1133">IF(V190=0,0,V170/V190)</f>
        <v>5.1679150118322701</v>
      </c>
      <c r="W258" s="96">
        <f t="shared" ca="1" si="1133"/>
        <v>5.2093878579578856</v>
      </c>
      <c r="X258" s="96">
        <f t="shared" ref="X258:Y258" ca="1" si="1134">IF(X190=0,0,X170/X190)</f>
        <v>4.5505234247908177</v>
      </c>
      <c r="Y258" s="96">
        <f t="shared" ca="1" si="1134"/>
        <v>4.8908880177420588</v>
      </c>
      <c r="Z258" s="96">
        <f t="shared" ref="Z258:AA258" ca="1" si="1135">IF(Z190=0,0,Z170/Z190)</f>
        <v>5.8953573353398223</v>
      </c>
      <c r="AA258" s="96">
        <f t="shared" ca="1" si="1135"/>
        <v>7.6910209153551863</v>
      </c>
      <c r="AB258" s="96">
        <f t="shared" ref="AB258:AC258" ca="1" si="1136">IF(AB190=0,0,AB170/AB190)</f>
        <v>7.9043354181379124</v>
      </c>
      <c r="AC258" s="96">
        <f t="shared" ca="1" si="1136"/>
        <v>6.2321917631875827</v>
      </c>
      <c r="AD258" s="96">
        <f t="shared" ref="AD258:AE258" ca="1" si="1137">IF(AD190=0,0,AD170/AD190)</f>
        <v>4.9637080422303725</v>
      </c>
      <c r="AE258" s="96">
        <f t="shared" ca="1" si="1137"/>
        <v>4.5757868356008249</v>
      </c>
      <c r="AF258" s="96">
        <f t="shared" ref="AF258:AG258" ca="1" si="1138">IF(AF190=0,0,AF170/AF190)</f>
        <v>5.2771383665694209</v>
      </c>
      <c r="AG258" s="96">
        <f t="shared" ca="1" si="1138"/>
        <v>5.4061171409988491</v>
      </c>
      <c r="AH258" s="96">
        <f t="shared" ref="AH258:AI258" ca="1" si="1139">IF(AH190=0,0,AH170/AH190)</f>
        <v>4.9763747429846203</v>
      </c>
      <c r="AI258" s="96">
        <f t="shared" ca="1" si="1139"/>
        <v>4.7784077389580855</v>
      </c>
      <c r="AJ258" s="96">
        <f t="shared" ref="AJ258:AK258" ca="1" si="1140">IF(AJ190=0,0,AJ170/AJ190)</f>
        <v>4.0773829778785151</v>
      </c>
      <c r="AK258" s="96">
        <f t="shared" ca="1" si="1140"/>
        <v>4.8694780669264848</v>
      </c>
      <c r="AL258" s="96">
        <f t="shared" ref="AL258:AM258" ca="1" si="1141">IF(AL190=0,0,AL170/AL190)</f>
        <v>6.2743629598240016</v>
      </c>
      <c r="AM258" s="96">
        <f t="shared" ca="1" si="1141"/>
        <v>8.8785478892640448</v>
      </c>
      <c r="AN258" s="96">
        <f t="shared" ref="AN258:AO258" ca="1" si="1142">IF(AN190=0,0,AN170/AN190)</f>
        <v>10.196056645277482</v>
      </c>
      <c r="AO258" s="96">
        <f t="shared" ca="1" si="1142"/>
        <v>9.0886183511866268</v>
      </c>
      <c r="AP258" s="96">
        <f t="shared" ref="AP258:AQ258" ca="1" si="1143">IF(AP190=0,0,AP170/AP190)</f>
        <v>7.9872941529918009</v>
      </c>
      <c r="AQ258" s="96">
        <f t="shared" ca="1" si="1143"/>
        <v>7.404546520993649</v>
      </c>
      <c r="AR258" s="96">
        <f t="shared" ref="AR258:AS258" ca="1" si="1144">IF(AR190=0,0,AR170/AR190)</f>
        <v>9.1724251192971007</v>
      </c>
      <c r="AS258" s="96">
        <f t="shared" ca="1" si="1144"/>
        <v>10.382296701306622</v>
      </c>
      <c r="AT258" s="96">
        <f t="shared" ref="AT258:AU258" ca="1" si="1145">IF(AT190=0,0,AT170/AT190)</f>
        <v>10.335100421639899</v>
      </c>
      <c r="AU258" s="96">
        <f t="shared" ca="1" si="1145"/>
        <v>11.669190644253549</v>
      </c>
      <c r="AV258" s="96">
        <f t="shared" ref="AV258:AW258" ca="1" si="1146">IF(AV190=0,0,AV170/AV190)</f>
        <v>8.779318708305496</v>
      </c>
      <c r="AW258" s="96">
        <f t="shared" ca="1" si="1146"/>
        <v>9.1216098760207345</v>
      </c>
      <c r="AX258" s="96">
        <f t="shared" ref="AX258:AY258" ca="1" si="1147">IF(AX190=0,0,AX170/AX190)</f>
        <v>11.516189418891692</v>
      </c>
      <c r="AY258" s="96">
        <f t="shared" ca="1" si="1147"/>
        <v>18.559509558563057</v>
      </c>
      <c r="AZ258" s="96">
        <f t="shared" ref="AZ258:BA258" ca="1" si="1148">IF(AZ190=0,0,AZ170/AZ190)</f>
        <v>24.958961241480072</v>
      </c>
      <c r="BA258" s="96">
        <f t="shared" ca="1" si="1148"/>
        <v>25.200474192007754</v>
      </c>
      <c r="BB258" s="96">
        <f t="shared" ref="BB258" ca="1" si="1149">IF(BB190=0,0,BB170/BB190)</f>
        <v>23.628922302872059</v>
      </c>
    </row>
    <row r="259" spans="1:56" x14ac:dyDescent="0.3">
      <c r="A259" s="10"/>
    </row>
    <row r="260" spans="1:56" x14ac:dyDescent="0.3">
      <c r="A260" s="10" t="str">
        <f ca="1">Language!A1336</f>
        <v>Период сбора дебиторской задолженности</v>
      </c>
      <c r="C260" s="48" t="str">
        <f ca="1">Language!$A$45</f>
        <v>дн.</v>
      </c>
      <c r="F260" s="6" t="s">
        <v>745</v>
      </c>
      <c r="G260" s="248">
        <f ca="1">IF(G93=0,0,AVERAGE(F162:G162)/G93*Параметры!G30)</f>
        <v>0</v>
      </c>
      <c r="H260" s="248">
        <f ca="1">IF(H93=0,0,AVERAGE(G162:H162)/H93*Параметры!H30)</f>
        <v>0</v>
      </c>
      <c r="I260" s="248">
        <f ca="1">IF(I93=0,0,AVERAGE(H162:I162)/I93*Параметры!I30)</f>
        <v>0</v>
      </c>
      <c r="J260" s="248">
        <f ca="1">IF(J93=0,0,AVERAGE(I162:J162)/J93*Параметры!J30)</f>
        <v>0</v>
      </c>
      <c r="K260" s="248">
        <f ca="1">IF(K93=0,0,AVERAGE(J162:K162)/K93*Параметры!K30)</f>
        <v>0</v>
      </c>
      <c r="L260" s="248">
        <f ca="1">IF(L93=0,0,AVERAGE(K162:L162)/L93*Параметры!L30)</f>
        <v>0</v>
      </c>
      <c r="M260" s="248">
        <f ca="1">IF(M93=0,0,AVERAGE(L162:M162)/M93*Параметры!M30)</f>
        <v>5.0000000000000009</v>
      </c>
      <c r="N260" s="248">
        <f ca="1">IF(N93=0,0,AVERAGE(M162:N162)/N93*Параметры!N30)</f>
        <v>8.7318351039300985</v>
      </c>
      <c r="O260" s="248">
        <f ca="1">IF(O93=0,0,AVERAGE(N162:O162)/O93*Параметры!O30)</f>
        <v>8.9806241108587699</v>
      </c>
      <c r="P260" s="248">
        <f ca="1">IF(P93=0,0,AVERAGE(O162:P162)/P93*Параметры!P30)</f>
        <v>9.146483448811221</v>
      </c>
      <c r="Q260" s="248">
        <f ca="1">IF(Q93=0,0,AVERAGE(P162:Q162)/Q93*Параметры!Q30)</f>
        <v>9.9757801385734624</v>
      </c>
      <c r="R260" s="248">
        <f ca="1">IF(R93=0,0,AVERAGE(Q162:R162)/R93*Параметры!R30)</f>
        <v>9.9757801385734641</v>
      </c>
      <c r="S260" s="248">
        <f ca="1">IF(S93=0,0,AVERAGE(R162:S162)/S93*Параметры!S30)</f>
        <v>8.7318351039300968</v>
      </c>
      <c r="T260" s="248">
        <f ca="1">IF(T93=0,0,AVERAGE(S162:T162)/T93*Параметры!T30)</f>
        <v>10.686605872655385</v>
      </c>
      <c r="U260" s="248">
        <f ca="1">IF(U93=0,0,AVERAGE(T162:U162)/U93*Параметры!U30)</f>
        <v>10.805076828335707</v>
      </c>
      <c r="V260" s="248">
        <f ca="1">IF(V93=0,0,AVERAGE(U162:V162)/V93*Параметры!V30)</f>
        <v>9.9757801385734641</v>
      </c>
      <c r="W260" s="248">
        <f ca="1">IF(W93=0,0,AVERAGE(V162:W162)/W93*Параметры!W30)</f>
        <v>10.970936166288158</v>
      </c>
      <c r="X260" s="248">
        <f ca="1">IF(X93=0,0,AVERAGE(W162:X162)/X93*Параметры!X30)</f>
        <v>8.1098625866084149</v>
      </c>
      <c r="Y260" s="248">
        <f ca="1">IF(Y93=0,0,AVERAGE(X162:Y162)/Y93*Параметры!Y30)</f>
        <v>8.9806241108587717</v>
      </c>
      <c r="Z260" s="248">
        <f ca="1">IF(Z93=0,0,AVERAGE(Y162:Z162)/Z93*Параметры!Z30)</f>
        <v>9.9757801385734641</v>
      </c>
      <c r="AA260" s="248">
        <f ca="1">IF(AA93=0,0,AVERAGE(Z162:AA162)/AA93*Параметры!AA30)</f>
        <v>12.108257340819231</v>
      </c>
      <c r="AB260" s="248">
        <f ca="1">IF(AB93=0,0,AVERAGE(AA162:AB162)/AB93*Параметры!AB30)</f>
        <v>11.966092194002849</v>
      </c>
      <c r="AC260" s="248">
        <f ca="1">IF(AC93=0,0,AVERAGE(AB162:AC162)/AC93*Параметры!AC30)</f>
        <v>9.9757801385734624</v>
      </c>
      <c r="AD260" s="248">
        <f ca="1">IF(AD93=0,0,AVERAGE(AC162:AD162)/AD93*Параметры!AD30)</f>
        <v>9.146483448811221</v>
      </c>
      <c r="AE260" s="248">
        <f ca="1">IF(AE93=0,0,AVERAGE(AD162:AE162)/AE93*Параметры!AE30)</f>
        <v>8.7318351039300968</v>
      </c>
      <c r="AF260" s="248">
        <f ca="1">IF(AF93=0,0,AVERAGE(AE162:AF162)/AF93*Параметры!AF30)</f>
        <v>10.68660587265539</v>
      </c>
      <c r="AG260" s="248">
        <f ca="1">IF(AG93=0,0,AVERAGE(AF162:AG162)/AG93*Параметры!AG30)</f>
        <v>10.805076828335711</v>
      </c>
      <c r="AH260" s="248">
        <f ca="1">IF(AH93=0,0,AVERAGE(AG162:AH162)/AH93*Параметры!AH30)</f>
        <v>9.9757801385734641</v>
      </c>
      <c r="AI260" s="248">
        <f ca="1">IF(AI93=0,0,AVERAGE(AH162:AI162)/AI93*Параметры!AI30)</f>
        <v>10.970936166288158</v>
      </c>
      <c r="AJ260" s="248">
        <f ca="1">IF(AJ93=0,0,AVERAGE(AI162:AJ162)/AJ93*Параметры!AJ30)</f>
        <v>8.1098625866084149</v>
      </c>
      <c r="AK260" s="248">
        <f ca="1">IF(AK93=0,0,AVERAGE(AJ162:AK162)/AK93*Параметры!AK30)</f>
        <v>8.9806241108587699</v>
      </c>
      <c r="AL260" s="248">
        <f ca="1">IF(AL93=0,0,AVERAGE(AK162:AL162)/AL93*Параметры!AL30)</f>
        <v>9.9757801385734624</v>
      </c>
      <c r="AM260" s="248">
        <f ca="1">IF(AM93=0,0,AVERAGE(AL162:AM162)/AM93*Параметры!AM30)</f>
        <v>12.108257340819234</v>
      </c>
      <c r="AN260" s="248">
        <f ca="1">IF(AN93=0,0,AVERAGE(AM162:AN162)/AN93*Параметры!AN30)</f>
        <v>11.966092194002851</v>
      </c>
      <c r="AO260" s="248">
        <f ca="1">IF(AO93=0,0,AVERAGE(AN162:AO162)/AO93*Параметры!AO30)</f>
        <v>9.9757801385734624</v>
      </c>
      <c r="AP260" s="248">
        <f ca="1">IF(AP93=0,0,AVERAGE(AO162:AP162)/AP93*Параметры!AP30)</f>
        <v>9.146483448811221</v>
      </c>
      <c r="AQ260" s="248">
        <f ca="1">IF(AQ93=0,0,AVERAGE(AP162:AQ162)/AQ93*Параметры!AQ30)</f>
        <v>8.731835103930095</v>
      </c>
      <c r="AR260" s="248">
        <f ca="1">IF(AR93=0,0,AVERAGE(AQ162:AR162)/AR93*Параметры!AR30)</f>
        <v>10.686605872655385</v>
      </c>
      <c r="AS260" s="248">
        <f ca="1">IF(AS93=0,0,AVERAGE(AR162:AS162)/AS93*Параметры!AS30)</f>
        <v>10.805076828335709</v>
      </c>
      <c r="AT260" s="248">
        <f ca="1">IF(AT93=0,0,AVERAGE(AS162:AT162)/AT93*Параметры!AT30)</f>
        <v>9.9757801385734659</v>
      </c>
      <c r="AU260" s="248">
        <f ca="1">IF(AU93=0,0,AVERAGE(AT162:AU162)/AU93*Параметры!AU30)</f>
        <v>10.970936166288157</v>
      </c>
      <c r="AV260" s="248">
        <f ca="1">IF(AV93=0,0,AVERAGE(AU162:AV162)/AV93*Параметры!AV30)</f>
        <v>8.1098625866084149</v>
      </c>
      <c r="AW260" s="248">
        <f ca="1">IF(AW93=0,0,AVERAGE(AV162:AW162)/AW93*Параметры!AW30)</f>
        <v>8.9806241108587717</v>
      </c>
      <c r="AX260" s="248">
        <f ca="1">IF(AX93=0,0,AVERAGE(AW162:AX162)/AX93*Параметры!AX30)</f>
        <v>9.9757801385734641</v>
      </c>
      <c r="AY260" s="248">
        <f ca="1">IF(AY93=0,0,AVERAGE(AX162:AY162)/AY93*Параметры!AY30)</f>
        <v>12.108257340819236</v>
      </c>
      <c r="AZ260" s="248">
        <f ca="1">IF(AZ93=0,0,AVERAGE(AY162:AZ162)/AZ93*Параметры!AZ30)</f>
        <v>11.966092194002849</v>
      </c>
      <c r="BA260" s="248">
        <f ca="1">IF(BA93=0,0,AVERAGE(AZ162:BA162)/BA93*Параметры!BA30)</f>
        <v>9.9757801385734641</v>
      </c>
      <c r="BB260" s="248">
        <f ca="1">IF(BB93=0,0,AVERAGE(BA162:BB162)/BB93*Параметры!BB30)</f>
        <v>9.146483448811221</v>
      </c>
    </row>
    <row r="261" spans="1:56" x14ac:dyDescent="0.3">
      <c r="A261" s="10" t="str">
        <f ca="1">Language!A1337</f>
        <v>Период хранения запасов продукции</v>
      </c>
      <c r="C261" s="48" t="str">
        <f ca="1">Language!$A$45</f>
        <v>дн.</v>
      </c>
      <c r="F261" s="6" t="s">
        <v>745</v>
      </c>
      <c r="G261" s="248">
        <f ca="1">IF(G93=0,0,AVERAGE(F164:G164)/G93*Параметры!G30)</f>
        <v>0</v>
      </c>
      <c r="H261" s="248">
        <f ca="1">IF(H93=0,0,AVERAGE(G164:H164)/H93*Параметры!H30)</f>
        <v>0</v>
      </c>
      <c r="I261" s="248">
        <f ca="1">IF(I93=0,0,AVERAGE(H164:I164)/I93*Параметры!I30)</f>
        <v>0</v>
      </c>
      <c r="J261" s="248">
        <f ca="1">IF(J93=0,0,AVERAGE(I164:J164)/J93*Параметры!J30)</f>
        <v>0</v>
      </c>
      <c r="K261" s="248">
        <f ca="1">IF(K93=0,0,AVERAGE(J164:K164)/K93*Параметры!K30)</f>
        <v>0</v>
      </c>
      <c r="L261" s="248">
        <f ca="1">IF(L93=0,0,AVERAGE(K164:L164)/L93*Параметры!L30)</f>
        <v>0</v>
      </c>
      <c r="M261" s="248">
        <f ca="1">IF(M93=0,0,AVERAGE(L164:M164)/M93*Параметры!M30)</f>
        <v>1.2177168150294706</v>
      </c>
      <c r="N261" s="248">
        <f ca="1">IF(N93=0,0,AVERAGE(M164:N164)/N93*Параметры!N30)</f>
        <v>2.1303390739475563</v>
      </c>
      <c r="O261" s="248">
        <f ca="1">IF(O93=0,0,AVERAGE(N164:O164)/O93*Параметры!O30)</f>
        <v>2.1976991728359483</v>
      </c>
      <c r="P261" s="248">
        <f ca="1">IF(P93=0,0,AVERAGE(O164:P164)/P93*Параметры!P30)</f>
        <v>2.2451452162296044</v>
      </c>
      <c r="Q261" s="248">
        <f ca="1">IF(Q93=0,0,AVERAGE(P164:Q164)/Q93*Параметры!Q30)</f>
        <v>2.4559553721731127</v>
      </c>
      <c r="R261" s="248">
        <f ca="1">IF(R93=0,0,AVERAGE(Q164:R164)/R93*Параметры!R30)</f>
        <v>2.4635829430118146</v>
      </c>
      <c r="S261" s="248">
        <f ca="1">IF(S93=0,0,AVERAGE(R164:S164)/S93*Параметры!S30)</f>
        <v>2.1635718696918094</v>
      </c>
      <c r="T261" s="248">
        <f ca="1">IF(T93=0,0,AVERAGE(S164:T164)/T93*Параметры!T30)</f>
        <v>2.6553118468862924</v>
      </c>
      <c r="U261" s="248">
        <f ca="1">IF(U93=0,0,AVERAGE(T164:U164)/U93*Параметры!U30)</f>
        <v>2.6930868696399961</v>
      </c>
      <c r="V261" s="248">
        <f ca="1">IF(V93=0,0,AVERAGE(U164:V164)/V93*Параметры!V30)</f>
        <v>2.4944663138407712</v>
      </c>
      <c r="W261" s="248">
        <f ca="1">IF(W93=0,0,AVERAGE(V164:W164)/W93*Параметры!W30)</f>
        <v>2.7515102567062097</v>
      </c>
      <c r="X261" s="248">
        <f ca="1">IF(X93=0,0,AVERAGE(W164:X164)/X93*Параметры!X30)</f>
        <v>2.0413648822010999</v>
      </c>
      <c r="Y261" s="248">
        <f ca="1">IF(Y93=0,0,AVERAGE(X164:Y164)/Y93*Параметры!Y30)</f>
        <v>2.2672299849098767</v>
      </c>
      <c r="Z261" s="248">
        <f ca="1">IF(Z93=0,0,AVERAGE(Y164:Z164)/Z93*Параметры!Z30)</f>
        <v>2.5259553947375952</v>
      </c>
      <c r="AA261" s="248">
        <f ca="1">IF(AA93=0,0,AVERAGE(Z164:AA164)/AA93*Параметры!AA30)</f>
        <v>3.0747332421643874</v>
      </c>
      <c r="AB261" s="248">
        <f ca="1">IF(AB93=0,0,AVERAGE(AA164:AB164)/AB93*Параметры!AB30)</f>
        <v>3.0482799990005613</v>
      </c>
      <c r="AC261" s="248">
        <f ca="1">IF(AC93=0,0,AVERAGE(AB164:AC164)/AC93*Параметры!AC30)</f>
        <v>2.5499768402972651</v>
      </c>
      <c r="AD261" s="248">
        <f ca="1">IF(AD93=0,0,AVERAGE(AC164:AD164)/AD93*Параметры!AD30)</f>
        <v>2.3457454776570108</v>
      </c>
      <c r="AE261" s="248">
        <f ca="1">IF(AE93=0,0,AVERAGE(AD164:AE164)/AE93*Параметры!AE30)</f>
        <v>2.2467011229018112</v>
      </c>
      <c r="AF261" s="248">
        <f ca="1">IF(AF93=0,0,AVERAGE(AE164:AF164)/AF93*Параметры!AF30)</f>
        <v>2.7574942490733934</v>
      </c>
      <c r="AG261" s="248">
        <f ca="1">IF(AG93=0,0,AVERAGE(AF164:AG164)/AG93*Параметры!AG30)</f>
        <v>2.7969023641223449</v>
      </c>
      <c r="AH261" s="248">
        <f ca="1">IF(AH93=0,0,AVERAGE(AG164:AH164)/AH93*Параметры!AH30)</f>
        <v>2.5907984384649838</v>
      </c>
      <c r="AI261" s="248">
        <f ca="1">IF(AI93=0,0,AVERAGE(AH164:AI164)/AI93*Параметры!AI30)</f>
        <v>2.8579443817145678</v>
      </c>
      <c r="AJ261" s="248">
        <f ca="1">IF(AJ93=0,0,AVERAGE(AI164:AJ164)/AJ93*Параметры!AJ30)</f>
        <v>2.1204871137790229</v>
      </c>
      <c r="AK261" s="248">
        <f ca="1">IF(AK93=0,0,AVERAGE(AJ164:AK164)/AK93*Параметры!AK30)</f>
        <v>2.3552485659860172</v>
      </c>
      <c r="AL261" s="248">
        <f ca="1">IF(AL93=0,0,AVERAGE(AK164:AL164)/AL93*Параметры!AL30)</f>
        <v>2.6241768642156185</v>
      </c>
      <c r="AM261" s="248">
        <f ca="1">IF(AM93=0,0,AVERAGE(AL164:AM164)/AM93*Параметры!AM30)</f>
        <v>3.1944800192284868</v>
      </c>
      <c r="AN261" s="248">
        <f ca="1">IF(AN93=0,0,AVERAGE(AM164:AN164)/AN93*Параметры!AN30)</f>
        <v>3.1671996723587981</v>
      </c>
      <c r="AO261" s="248">
        <f ca="1">IF(AO93=0,0,AVERAGE(AN164:AO164)/AO93*Параметры!AO30)</f>
        <v>2.6496395965088668</v>
      </c>
      <c r="AP261" s="248">
        <f ca="1">IF(AP93=0,0,AVERAGE(AO164:AP164)/AP93*Параметры!AP30)</f>
        <v>2.4375882156000155</v>
      </c>
      <c r="AQ261" s="248">
        <f ca="1">IF(AQ93=0,0,AVERAGE(AP164:AQ164)/AQ93*Параметры!AQ30)</f>
        <v>2.3348181313044125</v>
      </c>
      <c r="AR261" s="248">
        <f ca="1">IF(AR93=0,0,AVERAGE(AQ164:AR164)/AR93*Параметры!AR30)</f>
        <v>2.8658075953917188</v>
      </c>
      <c r="AS261" s="248">
        <f ca="1">IF(AS93=0,0,AVERAGE(AR164:AS164)/AS93*Параметры!AS30)</f>
        <v>2.906946788273634</v>
      </c>
      <c r="AT261" s="248">
        <f ca="1">IF(AT93=0,0,AVERAGE(AS164:AT164)/AT93*Параметры!AT30)</f>
        <v>2.692910490566649</v>
      </c>
      <c r="AU261" s="248">
        <f ca="1">IF(AU93=0,0,AVERAGE(AT164:AU164)/AU93*Параметры!AU30)</f>
        <v>2.9707645542234253</v>
      </c>
      <c r="AV261" s="248">
        <f ca="1">IF(AV93=0,0,AVERAGE(AU164:AV164)/AV93*Параметры!AV30)</f>
        <v>2.2043566792516205</v>
      </c>
      <c r="AW261" s="248">
        <f ca="1">IF(AW93=0,0,AVERAGE(AV164:AW164)/AW93*Параметры!AW30)</f>
        <v>2.4485482619267258</v>
      </c>
      <c r="AX261" s="248">
        <f ca="1">IF(AX93=0,0,AVERAGE(AW164:AX164)/AX93*Параметры!AX30)</f>
        <v>2.7282916218623212</v>
      </c>
      <c r="AY261" s="248">
        <f ca="1">IF(AY93=0,0,AVERAGE(AX164:AY164)/AY93*Параметры!AY30)</f>
        <v>3.32141160291643</v>
      </c>
      <c r="AZ261" s="248">
        <f ca="1">IF(AZ93=0,0,AVERAGE(AY164:AZ164)/AZ93*Параметры!AZ30)</f>
        <v>3.2932545261185284</v>
      </c>
      <c r="BA261" s="248">
        <f ca="1">IF(BA93=0,0,AVERAGE(AZ164:BA164)/BA93*Параметры!BA30)</f>
        <v>2.7552821180931653</v>
      </c>
      <c r="BB261" s="248">
        <f ca="1">IF(BB93=0,0,AVERAGE(BA164:BB164)/BB93*Параметры!BB30)</f>
        <v>2.5349415178196</v>
      </c>
    </row>
    <row r="262" spans="1:56" x14ac:dyDescent="0.3">
      <c r="A262" s="10" t="str">
        <f ca="1">Language!A1338</f>
        <v>Период хранения сырья и материалов</v>
      </c>
      <c r="C262" s="48" t="str">
        <f ca="1">Language!$A$45</f>
        <v>дн.</v>
      </c>
      <c r="F262" s="6" t="s">
        <v>745</v>
      </c>
      <c r="G262" s="248">
        <f ca="1">IF(G95=0,0,AVERAGE(F166:G166)/(-G95)*Параметры!G30)</f>
        <v>0</v>
      </c>
      <c r="H262" s="248">
        <f ca="1">IF(H95=0,0,AVERAGE(G166:H166)/(-H95)*Параметры!H30)</f>
        <v>0</v>
      </c>
      <c r="I262" s="248">
        <f ca="1">IF(I95=0,0,AVERAGE(H166:I166)/(-I95)*Параметры!I30)</f>
        <v>0</v>
      </c>
      <c r="J262" s="248">
        <f ca="1">IF(J95=0,0,AVERAGE(I166:J166)/(-J95)*Параметры!J30)</f>
        <v>0</v>
      </c>
      <c r="K262" s="248">
        <f ca="1">IF(K95=0,0,AVERAGE(J166:K166)/(-K95)*Параметры!K30)</f>
        <v>0</v>
      </c>
      <c r="L262" s="248">
        <f ca="1">IF(L95=0,0,AVERAGE(K166:L166)/(-L95)*Параметры!L30)</f>
        <v>0</v>
      </c>
      <c r="M262" s="248">
        <f ca="1">IF(M95=0,0,AVERAGE(L166:M166)/(-M95)*Параметры!M30)</f>
        <v>7.5</v>
      </c>
      <c r="N262" s="248">
        <f ca="1">IF(N95=0,0,AVERAGE(M166:N166)/(-N95)*Параметры!N30)</f>
        <v>13.080527877362474</v>
      </c>
      <c r="O262" s="248">
        <f ca="1">IF(O95=0,0,AVERAGE(N166:O166)/(-O95)*Параметры!O30)</f>
        <v>13.452530548593288</v>
      </c>
      <c r="P262" s="248">
        <f ca="1">IF(P95=0,0,AVERAGE(O166:P166)/(-P95)*Параметры!P30)</f>
        <v>13.700518823998548</v>
      </c>
      <c r="Q262" s="248">
        <f ca="1">IF(Q95=0,0,AVERAGE(P166:Q166)/(-Q95)*Параметры!Q30)</f>
        <v>14.940582046024163</v>
      </c>
      <c r="R262" s="248">
        <f ca="1">IF(R95=0,0,AVERAGE(Q166:R166)/(-R95)*Параметры!R30)</f>
        <v>14.940541557787988</v>
      </c>
      <c r="S262" s="248">
        <f ca="1">IF(S95=0,0,AVERAGE(R166:S166)/(-S95)*Параметры!S30)</f>
        <v>13.080375843342077</v>
      </c>
      <c r="T262" s="248">
        <f ca="1">IF(T95=0,0,AVERAGE(S166:T166)/(-T95)*Параметры!T30)</f>
        <v>16.003383710162989</v>
      </c>
      <c r="U262" s="248">
        <f ca="1">IF(U95=0,0,AVERAGE(T166:U166)/(-U95)*Параметры!U30)</f>
        <v>16.180490494619207</v>
      </c>
      <c r="V262" s="248">
        <f ca="1">IF(V95=0,0,AVERAGE(U166:V166)/(-V95)*Параметры!V30)</f>
        <v>14.94038015751571</v>
      </c>
      <c r="W262" s="248">
        <f ca="1">IF(W95=0,0,AVERAGE(V166:W166)/(-W95)*Параметры!W30)</f>
        <v>16.428407936902765</v>
      </c>
      <c r="X262" s="248">
        <f ca="1">IF(X95=0,0,AVERAGE(W166:X166)/(-X95)*Параметры!X30)</f>
        <v>12.150187371264961</v>
      </c>
      <c r="Y262" s="248">
        <f ca="1">IF(Y95=0,0,AVERAGE(X166:Y166)/(-Y95)*Параметры!Y30)</f>
        <v>13.452207758146518</v>
      </c>
      <c r="Z262" s="248">
        <f ca="1">IF(Z95=0,0,AVERAGE(Y166:Z166)/(-Z95)*Параметры!Z30)</f>
        <v>14.940219658746756</v>
      </c>
      <c r="AA262" s="248">
        <f ca="1">IF(AA95=0,0,AVERAGE(Z166:AA166)/(-AA95)*Параметры!AA30)</f>
        <v>18.128828110803703</v>
      </c>
      <c r="AB262" s="248">
        <f ca="1">IF(AB95=0,0,AVERAGE(AA166:AB166)/(-AB95)*Параметры!AB30)</f>
        <v>17.916195656266559</v>
      </c>
      <c r="AC262" s="248">
        <f ca="1">IF(AC95=0,0,AVERAGE(AB166:AC166)/(-AC95)*Параметры!AC30)</f>
        <v>14.940099889830401</v>
      </c>
      <c r="AD262" s="248">
        <f ca="1">IF(AD95=0,0,AVERAGE(AC166:AD166)/(-AD95)*Параметры!AD30)</f>
        <v>13.700050069971805</v>
      </c>
      <c r="AE262" s="248">
        <f ca="1">IF(AE95=0,0,AVERAGE(AD166:AE166)/(-AE95)*Параметры!AE30)</f>
        <v>13.08001525291629</v>
      </c>
      <c r="AF262" s="248">
        <f ca="1">IF(AF95=0,0,AVERAGE(AE166:AF166)/(-AF95)*Параметры!AF30)</f>
        <v>16.00283502849485</v>
      </c>
      <c r="AG262" s="248">
        <f ca="1">IF(AG95=0,0,AVERAGE(AF166:AG166)/(-AG95)*Параметры!AG30)</f>
        <v>16.179931192839078</v>
      </c>
      <c r="AH262" s="248">
        <f ca="1">IF(AH95=0,0,AVERAGE(AG166:AH166)/(-AH95)*Параметры!AH30)</f>
        <v>14.939901455054336</v>
      </c>
      <c r="AI262" s="248">
        <f ca="1">IF(AI95=0,0,AVERAGE(AH166:AI166)/(-AI95)*Параметры!AI30)</f>
        <v>16.427834337749051</v>
      </c>
      <c r="AJ262" s="248">
        <f ca="1">IF(AJ95=0,0,AVERAGE(AI166:AJ166)/(-AJ95)*Параметры!AJ30)</f>
        <v>12.149889063730853</v>
      </c>
      <c r="AK262" s="248">
        <f ca="1">IF(AK95=0,0,AVERAGE(AJ166:AK166)/(-AK95)*Параметры!AK30)</f>
        <v>13.451826493530907</v>
      </c>
      <c r="AL262" s="248">
        <f ca="1">IF(AL95=0,0,AVERAGE(AK166:AL166)/(-AL95)*Параметры!AL30)</f>
        <v>14.939743793278408</v>
      </c>
      <c r="AM262" s="248">
        <f ca="1">IF(AM95=0,0,AVERAGE(AL166:AM166)/(-AM95)*Параметры!AM30)</f>
        <v>18.128149330546599</v>
      </c>
      <c r="AN262" s="248">
        <f ca="1">IF(AN95=0,0,AVERAGE(AM166:AN166)/(-AN95)*Параметры!AN30)</f>
        <v>17.915531464159855</v>
      </c>
      <c r="AO262" s="248">
        <f ca="1">IF(AO95=0,0,AVERAGE(AN166:AO166)/(-AO95)*Параметры!AO30)</f>
        <v>14.939626194072833</v>
      </c>
      <c r="AP262" s="248">
        <f ca="1">IF(AP95=0,0,AVERAGE(AO166:AP166)/(-AP95)*Параметры!AP30)</f>
        <v>13.699655932737018</v>
      </c>
      <c r="AQ262" s="248">
        <f ca="1">IF(AQ95=0,0,AVERAGE(AP166:AQ166)/(-AQ95)*Параметры!AQ30)</f>
        <v>13.079661080614947</v>
      </c>
      <c r="AR262" s="248">
        <f ca="1">IF(AR95=0,0,AVERAGE(AQ166:AR166)/(-AR95)*Параметры!AR30)</f>
        <v>16.002296181698249</v>
      </c>
      <c r="AS262" s="248">
        <f ca="1">IF(AS95=0,0,AVERAGE(AR166:AS166)/(-AS95)*Параметры!AS30)</f>
        <v>16.179381986434429</v>
      </c>
      <c r="AT262" s="248">
        <f ca="1">IF(AT95=0,0,AVERAGE(AS166:AT166)/(-AT95)*Параметры!AT30)</f>
        <v>14.939431453090291</v>
      </c>
      <c r="AU262" s="248">
        <f ca="1">IF(AU95=0,0,AVERAGE(AT166:AU166)/(-AU95)*Параметры!AU30)</f>
        <v>16.427271235555217</v>
      </c>
      <c r="AV262" s="248">
        <f ca="1">IF(AV95=0,0,AVERAGE(AU166:AV166)/(-AV95)*Параметры!AV30)</f>
        <v>12.14959625250029</v>
      </c>
      <c r="AW262" s="248">
        <f ca="1">IF(AW95=0,0,AVERAGE(AV166:AW166)/(-AW95)*Параметры!AW30)</f>
        <v>13.451452301198215</v>
      </c>
      <c r="AX262" s="248">
        <f ca="1">IF(AX95=0,0,AVERAGE(AW166:AX166)/(-AX95)*Параметры!AX30)</f>
        <v>14.939276814079554</v>
      </c>
      <c r="AY262" s="248">
        <f ca="1">IF(AY95=0,0,AVERAGE(AX166:AY166)/(-AY95)*Параметры!AY30)</f>
        <v>18.127483310049904</v>
      </c>
      <c r="AZ262" s="248">
        <f ca="1">IF(AZ95=0,0,AVERAGE(AY166:AZ166)/(-AZ95)*Параметры!AZ30)</f>
        <v>17.914879839910682</v>
      </c>
      <c r="BA262" s="248">
        <f ca="1">IF(BA95=0,0,AVERAGE(AZ166:BA166)/(-BA95)*Параметры!BA30)</f>
        <v>14.939161520210304</v>
      </c>
      <c r="BB262" s="248">
        <f ca="1">IF(BB95=0,0,AVERAGE(BA166:BB166)/(-BB95)*Параметры!BB30)</f>
        <v>13.699269350829923</v>
      </c>
    </row>
    <row r="263" spans="1:56" x14ac:dyDescent="0.3">
      <c r="A263" s="10"/>
    </row>
    <row r="264" spans="1:56" x14ac:dyDescent="0.3">
      <c r="A264" s="10" t="str">
        <f ca="1">Language!A1339</f>
        <v>Оборачиваемость внеоборотных активов</v>
      </c>
      <c r="C264" s="48" t="str">
        <f ca="1">Language!$A$1478</f>
        <v>раз в год</v>
      </c>
      <c r="F264" s="6" t="s">
        <v>745</v>
      </c>
      <c r="G264" s="248">
        <f ca="1">IF(G93&lt;=0,0,(G93/AVERAGE(F179:G179)*360/Параметры!G30))</f>
        <v>0</v>
      </c>
      <c r="H264" s="248">
        <f ca="1">IF(H93&lt;=0,0,(H93/AVERAGE(G179:H179)*360/Параметры!H30))</f>
        <v>0</v>
      </c>
      <c r="I264" s="248">
        <f ca="1">IF(I93&lt;=0,0,(I93/AVERAGE(H179:I179)*360/Параметры!I30))</f>
        <v>0</v>
      </c>
      <c r="J264" s="248">
        <f ca="1">IF(J93&lt;=0,0,(J93/AVERAGE(I179:J179)*360/Параметры!J30))</f>
        <v>0</v>
      </c>
      <c r="K264" s="248">
        <f ca="1">IF(K93&lt;=0,0,(K93/AVERAGE(J179:K179)*360/Параметры!K30))</f>
        <v>0</v>
      </c>
      <c r="L264" s="248">
        <f ca="1">IF(L93&lt;=0,0,(L93/AVERAGE(K179:L179)*360/Параметры!L30))</f>
        <v>0</v>
      </c>
      <c r="M264" s="248">
        <f ca="1">IF(M93&lt;=0,0,(M93/AVERAGE(L179:M179)*360/Параметры!M30))</f>
        <v>0.44578622558763625</v>
      </c>
      <c r="N264" s="248">
        <f ca="1">IF(N93&lt;=0,0,(N93/AVERAGE(M179:N179)*360/Параметры!N30))</f>
        <v>0.57071254102034674</v>
      </c>
      <c r="O264" s="248">
        <f ca="1">IF(O93&lt;=0,0,(O93/AVERAGE(N179:O179)*360/Параметры!O30))</f>
        <v>0.71897609842994392</v>
      </c>
      <c r="P264" s="248">
        <f ca="1">IF(P93&lt;=0,0,(P93/AVERAGE(O179:P179)*360/Параметры!P30))</f>
        <v>0.86953385563622609</v>
      </c>
      <c r="Q264" s="248">
        <f ca="1">IF(Q93&lt;=0,0,(Q93/AVERAGE(P179:Q179)*360/Параметры!Q30))</f>
        <v>0.87635705766955319</v>
      </c>
      <c r="R264" s="248">
        <f ca="1">IF(R93&lt;=0,0,(R93/AVERAGE(Q179:R179)*360/Параметры!R30))</f>
        <v>0.88324156581688296</v>
      </c>
      <c r="S264" s="248">
        <f ca="1">IF(S93&lt;=0,0,(S93/AVERAGE(R179:S179)*360/Параметры!S30))</f>
        <v>1.1869173730986988</v>
      </c>
      <c r="T264" s="248">
        <f ca="1">IF(T93&lt;=0,0,(T93/AVERAGE(S179:T179)*360/Параметры!T30))</f>
        <v>1.0467299589901569</v>
      </c>
      <c r="U264" s="248">
        <f ca="1">IF(U93&lt;=0,0,(U93/AVERAGE(T179:U179)*360/Параметры!U30))</f>
        <v>0.90426946587276069</v>
      </c>
      <c r="V264" s="248">
        <f ca="1">IF(V93&lt;=0,0,(V93/AVERAGE(U179:V179)*360/Параметры!V30))</f>
        <v>0.91140577925946409</v>
      </c>
      <c r="W264" s="248">
        <f ca="1">IF(W93&lt;=0,0,(W93/AVERAGE(V179:W179)*360/Параметры!W30))</f>
        <v>0.76550560954672842</v>
      </c>
      <c r="X264" s="248">
        <f ca="1">IF(X93&lt;=0,0,(X93/AVERAGE(W179:X179)*360/Параметры!X30))</f>
        <v>1.2344973531221608</v>
      </c>
      <c r="Y264" s="248">
        <f ca="1">IF(Y93&lt;=0,0,(Y93/AVERAGE(X179:Y179)*360/Параметры!Y30))</f>
        <v>1.5553422178666625</v>
      </c>
      <c r="Z264" s="248">
        <f ca="1">IF(Z93&lt;=0,0,(Z93/AVERAGE(Y179:Z179)*360/Параметры!Z30))</f>
        <v>1.5676739824306845</v>
      </c>
      <c r="AA264" s="248">
        <f ca="1">IF(AA93&lt;=0,0,(AA93/AVERAGE(Z179:AA179)*360/Параметры!AA30))</f>
        <v>1.1060827290664343</v>
      </c>
      <c r="AB264" s="248">
        <f ca="1">IF(AB93&lt;=0,0,(AB93/AVERAGE(AA179:AB179)*360/Параметры!AB30))</f>
        <v>0.79633801929108661</v>
      </c>
      <c r="AC264" s="248">
        <f ca="1">IF(AC93&lt;=0,0,(AC93/AVERAGE(AB179:AC179)*360/Параметры!AC30))</f>
        <v>0.80267438786233469</v>
      </c>
      <c r="AD264" s="248">
        <f ca="1">IF(AD93&lt;=0,0,(AD93/AVERAGE(AC179:AD179)*360/Параметры!AD30))</f>
        <v>0.97088258554161544</v>
      </c>
      <c r="AE264" s="248">
        <f ca="1">IF(AE93&lt;=0,0,(AE93/AVERAGE(AD179:AE179)*360/Параметры!AE30))</f>
        <v>1.3048351217618808</v>
      </c>
      <c r="AF264" s="248">
        <f ca="1">IF(AF93&lt;=0,0,(AF93/AVERAGE(AE179:AF179)*360/Параметры!AF30))</f>
        <v>1.1508481840045932</v>
      </c>
      <c r="AG264" s="248">
        <f ca="1">IF(AG93&lt;=0,0,(AG93/AVERAGE(AF179:AG179)*360/Параметры!AG30))</f>
        <v>0.99432824121167107</v>
      </c>
      <c r="AH264" s="248">
        <f ca="1">IF(AH93&lt;=0,0,(AH93/AVERAGE(AG179:AH179)*360/Параметры!AH30))</f>
        <v>1.0022879514059915</v>
      </c>
      <c r="AI264" s="248">
        <f ca="1">IF(AI93&lt;=0,0,(AI93/AVERAGE(AH179:AI179)*360/Параметры!AI30))</f>
        <v>0.84193435813746142</v>
      </c>
      <c r="AJ264" s="248">
        <f ca="1">IF(AJ93&lt;=0,0,(AJ93/AVERAGE(AI179:AJ179)*360/Параметры!AJ30))</f>
        <v>1.3579051806569826</v>
      </c>
      <c r="AK264" s="248">
        <f ca="1">IF(AK93&lt;=0,0,(AK93/AVERAGE(AJ179:AK179)*360/Параметры!AK30))</f>
        <v>1.7110195642680301</v>
      </c>
      <c r="AL264" s="248">
        <f ca="1">IF(AL93&lt;=0,0,(AL93/AVERAGE(AK179:AL179)*360/Параметры!AL30))</f>
        <v>1.7247843664682594</v>
      </c>
      <c r="AM264" s="248">
        <f ca="1">IF(AM93&lt;=0,0,(AM93/AVERAGE(AL179:AM179)*360/Параметры!AM30))</f>
        <v>1.2170741000617269</v>
      </c>
      <c r="AN264" s="248">
        <f ca="1">IF(AN93&lt;=0,0,(AN93/AVERAGE(AM179:AN179)*360/Параметры!AN30))</f>
        <v>0.87634987223913363</v>
      </c>
      <c r="AO264" s="248">
        <f ca="1">IF(AO93&lt;=0,0,(AO93/AVERAGE(AN179:AO179)*360/Параметры!AO30))</f>
        <v>0.88342659191777251</v>
      </c>
      <c r="AP264" s="248">
        <f ca="1">IF(AP93&lt;=0,0,(AP93/AVERAGE(AO179:AP179)*360/Параметры!AP30))</f>
        <v>1.0686834387945261</v>
      </c>
      <c r="AQ264" s="248">
        <f ca="1">IF(AQ93&lt;=0,0,(AQ93/AVERAGE(AP179:AQ179)*360/Параметры!AQ30))</f>
        <v>1.4364470939903853</v>
      </c>
      <c r="AR264" s="248">
        <f ca="1">IF(AR93&lt;=0,0,(AR93/AVERAGE(AQ179:AR179)*360/Параметры!AR30))</f>
        <v>1.2670798650680202</v>
      </c>
      <c r="AS264" s="248">
        <f ca="1">IF(AS93&lt;=0,0,(AS93/AVERAGE(AR179:AS179)*360/Параметры!AS30))</f>
        <v>1.0948837572583812</v>
      </c>
      <c r="AT264" s="248">
        <f ca="1">IF(AT93&lt;=0,0,(AT93/AVERAGE(AS179:AT179)*360/Параметры!AT30))</f>
        <v>1.1037821500242038</v>
      </c>
      <c r="AU264" s="248">
        <f ca="1">IF(AU93&lt;=0,0,(AU93/AVERAGE(AT179:AU179)*360/Параметры!AU30))</f>
        <v>0.92730380983268845</v>
      </c>
      <c r="AV264" s="248">
        <f ca="1">IF(AV93&lt;=0,0,(AV93/AVERAGE(AU179:AV179)*360/Параметры!AV30))</f>
        <v>1.4957759642364581</v>
      </c>
      <c r="AW264" s="248">
        <f ca="1">IF(AW93&lt;=0,0,(AW93/AVERAGE(AV179:AW179)*360/Параметры!AW30))</f>
        <v>1.8849755297181723</v>
      </c>
      <c r="AX264" s="248">
        <f ca="1">IF(AX93&lt;=0,0,(AX93/AVERAGE(AW179:AX179)*360/Параметры!AX30))</f>
        <v>1.9003759712144386</v>
      </c>
      <c r="AY264" s="248">
        <f ca="1">IF(AY93&lt;=0,0,(AY93/AVERAGE(AX179:AY179)*360/Параметры!AY30))</f>
        <v>1.3411460514177471</v>
      </c>
      <c r="AZ264" s="248">
        <f ca="1">IF(AZ93&lt;=0,0,(AZ93/AVERAGE(AY179:AZ179)*360/Параметры!AZ30))</f>
        <v>0.9658090407933092</v>
      </c>
      <c r="BA264" s="248">
        <f ca="1">IF(BA93&lt;=0,0,(BA93/AVERAGE(AZ179:BA179)*360/Параметры!BA30))</f>
        <v>0.97373156059988353</v>
      </c>
      <c r="BB264" s="248">
        <f ca="1">IF(BB93&lt;=0,0,(BB93/AVERAGE(BA179:BB179)*360/Параметры!BB30))</f>
        <v>1.1780758620837468</v>
      </c>
    </row>
    <row r="265" spans="1:56" x14ac:dyDescent="0.3">
      <c r="A265" s="10" t="str">
        <f ca="1">Language!A1340</f>
        <v>Оборачиваемость суммарных активов</v>
      </c>
      <c r="C265" s="48" t="str">
        <f ca="1">Language!$A$1478</f>
        <v>раз в год</v>
      </c>
      <c r="F265" s="6" t="s">
        <v>745</v>
      </c>
      <c r="G265" s="248">
        <f ca="1">IF(G93&lt;=0,0,(G93/AVERAGE(F181:G181)*360/Параметры!G30))</f>
        <v>0</v>
      </c>
      <c r="H265" s="248">
        <f ca="1">IF(H93&lt;=0,0,(H93/AVERAGE(G181:H181)*360/Параметры!H30))</f>
        <v>0</v>
      </c>
      <c r="I265" s="248">
        <f ca="1">IF(I93&lt;=0,0,(I93/AVERAGE(H181:I181)*360/Параметры!I30))</f>
        <v>0</v>
      </c>
      <c r="J265" s="248">
        <f ca="1">IF(J93&lt;=0,0,(J93/AVERAGE(I181:J181)*360/Параметры!J30))</f>
        <v>0</v>
      </c>
      <c r="K265" s="248">
        <f ca="1">IF(K93&lt;=0,0,(K93/AVERAGE(J181:K181)*360/Параметры!K30))</f>
        <v>0</v>
      </c>
      <c r="L265" s="248">
        <f ca="1">IF(L93&lt;=0,0,(L93/AVERAGE(K181:L181)*360/Параметры!L30))</f>
        <v>0</v>
      </c>
      <c r="M265" s="248">
        <f ca="1">IF(M93&lt;=0,0,(M93/AVERAGE(L181:M181)*360/Параметры!M30))</f>
        <v>0.41038908609620478</v>
      </c>
      <c r="N265" s="248">
        <f ca="1">IF(N93&lt;=0,0,(N93/AVERAGE(M181:N181)*360/Параметры!N30))</f>
        <v>0.54147040486320874</v>
      </c>
      <c r="O265" s="248">
        <f ca="1">IF(O93&lt;=0,0,(O93/AVERAGE(N181:O181)*360/Параметры!O30))</f>
        <v>0.69284610052160722</v>
      </c>
      <c r="P265" s="248">
        <f ca="1">IF(P93&lt;=0,0,(P93/AVERAGE(O181:P181)*360/Параметры!P30))</f>
        <v>0.8350838135354105</v>
      </c>
      <c r="Q265" s="248">
        <f ca="1">IF(Q93&lt;=0,0,(Q93/AVERAGE(P181:Q181)*360/Параметры!Q30))</f>
        <v>0.83620772225675666</v>
      </c>
      <c r="R265" s="248">
        <f ca="1">IF(R93&lt;=0,0,(R93/AVERAGE(Q181:R181)*360/Параметры!R30))</f>
        <v>0.83976172373469327</v>
      </c>
      <c r="S265" s="248">
        <f ca="1">IF(S93&lt;=0,0,(S93/AVERAGE(R181:S181)*360/Параметры!S30))</f>
        <v>1.114901323014958</v>
      </c>
      <c r="T265" s="248">
        <f ca="1">IF(T93&lt;=0,0,(T93/AVERAGE(S181:T181)*360/Параметры!T30))</f>
        <v>0.96880305362184926</v>
      </c>
      <c r="U265" s="248">
        <f ca="1">IF(U93&lt;=0,0,(U93/AVERAGE(T181:U181)*360/Параметры!U30))</f>
        <v>0.83343735498475746</v>
      </c>
      <c r="V265" s="248">
        <f ca="1">IF(V93&lt;=0,0,(V93/AVERAGE(U181:V181)*360/Параметры!V30))</f>
        <v>0.83959210069115242</v>
      </c>
      <c r="W265" s="248">
        <f ca="1">IF(W93&lt;=0,0,(W93/AVERAGE(V181:W181)*360/Параметры!W30))</f>
        <v>0.70889163932780963</v>
      </c>
      <c r="X265" s="248">
        <f ca="1">IF(X93&lt;=0,0,(X93/AVERAGE(W181:X181)*360/Параметры!X30))</f>
        <v>1.1352669813530603</v>
      </c>
      <c r="Y265" s="248">
        <f ca="1">IF(Y93&lt;=0,0,(Y93/AVERAGE(X181:Y181)*360/Параметры!Y30))</f>
        <v>1.3970293309383506</v>
      </c>
      <c r="Z265" s="248">
        <f ca="1">IF(Z93&lt;=0,0,(Z93/AVERAGE(Y181:Z181)*360/Параметры!Z30))</f>
        <v>1.3787443841794353</v>
      </c>
      <c r="AA265" s="248">
        <f ca="1">IF(AA93&lt;=0,0,(AA93/AVERAGE(Z181:AA181)*360/Параметры!AA30))</f>
        <v>0.9679311661744574</v>
      </c>
      <c r="AB265" s="248">
        <f ca="1">IF(AB93&lt;=0,0,(AB93/AVERAGE(AA181:AB181)*360/Параметры!AB30))</f>
        <v>0.70726956074771696</v>
      </c>
      <c r="AC265" s="248">
        <f ca="1">IF(AC93&lt;=0,0,(AC93/AVERAGE(AB181:AC181)*360/Параметры!AC30))</f>
        <v>0.72590936194739486</v>
      </c>
      <c r="AD265" s="248">
        <f ca="1">IF(AD93&lt;=0,0,(AD93/AVERAGE(AC181:AD181)*360/Параметры!AD30))</f>
        <v>0.88729763480809942</v>
      </c>
      <c r="AE265" s="248">
        <f ca="1">IF(AE93&lt;=0,0,(AE93/AVERAGE(AD181:AE181)*360/Параметры!AE30))</f>
        <v>1.1873762391381406</v>
      </c>
      <c r="AF265" s="248">
        <f ca="1">IF(AF93&lt;=0,0,(AF93/AVERAGE(AE181:AF181)*360/Параметры!AF30))</f>
        <v>1.0408216195916933</v>
      </c>
      <c r="AG265" s="248">
        <f ca="1">IF(AG93&lt;=0,0,(AG93/AVERAGE(AF181:AG181)*360/Параметры!AG30))</f>
        <v>0.90334952765392551</v>
      </c>
      <c r="AH265" s="248">
        <f ca="1">IF(AH93&lt;=0,0,(AH93/AVERAGE(AG181:AH181)*360/Параметры!AH30))</f>
        <v>0.91581562954733409</v>
      </c>
      <c r="AI265" s="248">
        <f ca="1">IF(AI93&lt;=0,0,(AI93/AVERAGE(AH181:AI181)*360/Параметры!AI30))</f>
        <v>0.77649492071808923</v>
      </c>
      <c r="AJ265" s="248">
        <f ca="1">IF(AJ93&lt;=0,0,(AJ93/AVERAGE(AI181:AJ181)*360/Параметры!AJ30))</f>
        <v>1.2470784516537703</v>
      </c>
      <c r="AK265" s="248">
        <f ca="1">IF(AK93&lt;=0,0,(AK93/AVERAGE(AJ181:AK181)*360/Параметры!AK30))</f>
        <v>1.5256932810714177</v>
      </c>
      <c r="AL265" s="248">
        <f ca="1">IF(AL93&lt;=0,0,(AL93/AVERAGE(AK181:AL181)*360/Параметры!AL30))</f>
        <v>1.4877167424184836</v>
      </c>
      <c r="AM265" s="248">
        <f ca="1">IF(AM93&lt;=0,0,(AM93/AVERAGE(AL181:AM181)*360/Параметры!AM30))</f>
        <v>1.0335913496439268</v>
      </c>
      <c r="AN265" s="248">
        <f ca="1">IF(AN93&lt;=0,0,(AN93/AVERAGE(AM181:AN181)*360/Параметры!AN30))</f>
        <v>0.74811672111766292</v>
      </c>
      <c r="AO265" s="248">
        <f ca="1">IF(AO93&lt;=0,0,(AO93/AVERAGE(AN181:AO181)*360/Параметры!AO30))</f>
        <v>0.76029625138763501</v>
      </c>
      <c r="AP265" s="248">
        <f ca="1">IF(AP93&lt;=0,0,(AP93/AVERAGE(AO181:AP181)*360/Параметры!AP30))</f>
        <v>0.91968397746527553</v>
      </c>
      <c r="AQ265" s="248">
        <f ca="1">IF(AQ93&lt;=0,0,(AQ93/AVERAGE(AP181:AQ181)*360/Параметры!AQ30))</f>
        <v>1.2175851467489809</v>
      </c>
      <c r="AR265" s="248">
        <f ca="1">IF(AR93&lt;=0,0,(AR93/AVERAGE(AQ181:AR181)*360/Параметры!AR30))</f>
        <v>1.0562975734475308</v>
      </c>
      <c r="AS265" s="248">
        <f ca="1">IF(AS93&lt;=0,0,(AS93/AVERAGE(AR181:AS181)*360/Параметры!AS30))</f>
        <v>0.90751178663625964</v>
      </c>
      <c r="AT265" s="248">
        <f ca="1">IF(AT93&lt;=0,0,(AT93/AVERAGE(AS181:AT181)*360/Параметры!AT30))</f>
        <v>0.91086687762718088</v>
      </c>
      <c r="AU265" s="248">
        <f ca="1">IF(AU93&lt;=0,0,(AU93/AVERAGE(AT181:AU181)*360/Параметры!AU30))</f>
        <v>0.76501001890197873</v>
      </c>
      <c r="AV265" s="248">
        <f ca="1">IF(AV93&lt;=0,0,(AV93/AVERAGE(AU181:AV181)*360/Параметры!AV30))</f>
        <v>1.2182465981472066</v>
      </c>
      <c r="AW265" s="248">
        <f ca="1">IF(AW93&lt;=0,0,(AW93/AVERAGE(AV181:AW181)*360/Параметры!AW30))</f>
        <v>1.4807102635468048</v>
      </c>
      <c r="AX265" s="248">
        <f ca="1">IF(AX93&lt;=0,0,(AX93/AVERAGE(AW181:AX181)*360/Параметры!AX30))</f>
        <v>1.4254949168245381</v>
      </c>
      <c r="AY265" s="248">
        <f ca="1">IF(AY93&lt;=0,0,(AY93/AVERAGE(AX181:AY181)*360/Параметры!AY30))</f>
        <v>0.96340539237507106</v>
      </c>
      <c r="AZ265" s="248">
        <f ca="1">IF(AZ93&lt;=0,0,(AZ93/AVERAGE(AY181:AZ181)*360/Параметры!AZ30))</f>
        <v>0.67303736840375461</v>
      </c>
      <c r="BA265" s="248">
        <f ca="1">IF(BA93&lt;=0,0,(BA93/AVERAGE(AZ181:BA181)*360/Параметры!BA30))</f>
        <v>0.66059354144983962</v>
      </c>
      <c r="BB265" s="248">
        <f ca="1">IF(BB93&lt;=0,0,(BB93/AVERAGE(BA181:BB181)*360/Параметры!BB30))</f>
        <v>0.77356973931291229</v>
      </c>
    </row>
    <row r="266" spans="1:56" x14ac:dyDescent="0.3">
      <c r="A266" s="12"/>
      <c r="B266" s="83"/>
      <c r="C266" s="51"/>
      <c r="D266" s="14"/>
      <c r="E266" s="14" t="s">
        <v>695</v>
      </c>
      <c r="F266" s="14"/>
      <c r="G266" s="13"/>
      <c r="H266" s="13"/>
      <c r="I266" s="13"/>
      <c r="J266" s="13"/>
      <c r="K266" s="13"/>
      <c r="L266" s="13"/>
      <c r="M266" s="13"/>
      <c r="N266" s="13"/>
      <c r="O266" s="13"/>
      <c r="P266" s="13"/>
      <c r="Q266" s="13"/>
      <c r="R266" s="13"/>
      <c r="S266" s="13"/>
      <c r="T266" s="13"/>
      <c r="U266" s="13"/>
      <c r="V266" s="13"/>
      <c r="W266" s="13"/>
      <c r="X266" s="13"/>
      <c r="Y266" s="13"/>
      <c r="Z266" s="13"/>
      <c r="AA266" s="13"/>
      <c r="AB266" s="13"/>
      <c r="AC266" s="13"/>
      <c r="AD266" s="13"/>
      <c r="AE266" s="13"/>
      <c r="AF266" s="13"/>
      <c r="AG266" s="13"/>
      <c r="AH266" s="13"/>
      <c r="AI266" s="13"/>
      <c r="AJ266" s="13"/>
      <c r="AK266" s="13"/>
      <c r="AL266" s="13"/>
      <c r="AM266" s="13"/>
      <c r="AN266" s="13"/>
      <c r="AO266" s="13"/>
      <c r="AP266" s="13"/>
      <c r="AQ266" s="13"/>
      <c r="AR266" s="13"/>
      <c r="AS266" s="13"/>
      <c r="AT266" s="13"/>
      <c r="AU266" s="13"/>
      <c r="AV266" s="13"/>
      <c r="AW266" s="13"/>
      <c r="AX266" s="13"/>
      <c r="AY266" s="13"/>
      <c r="AZ266" s="13"/>
      <c r="BA266" s="13"/>
      <c r="BB266" s="13"/>
    </row>
    <row r="269" spans="1:56" s="9" customFormat="1" ht="25.5" customHeight="1" thickBot="1" x14ac:dyDescent="0.35">
      <c r="A269" s="323" t="str">
        <f ca="1">Language!A1341</f>
        <v>ЭФФЕКТИВНОСТЬ ДЛЯ ПРОЕКТА (FCFF)</v>
      </c>
      <c r="B269" s="337"/>
      <c r="C269" s="338"/>
      <c r="D269" s="326"/>
      <c r="E269" s="326" t="s">
        <v>899</v>
      </c>
      <c r="F269" s="326"/>
      <c r="G269" s="327" t="str">
        <f ca="1">Параметры!G$34</f>
        <v>янв.25</v>
      </c>
      <c r="H269" s="327" t="str">
        <f ca="1">Параметры!H$34</f>
        <v>фев.25</v>
      </c>
      <c r="I269" s="327" t="str">
        <f ca="1">Параметры!I$34</f>
        <v>мар.25</v>
      </c>
      <c r="J269" s="327" t="str">
        <f ca="1">Параметры!J$34</f>
        <v>апр.25</v>
      </c>
      <c r="K269" s="327" t="str">
        <f ca="1">Параметры!K$34</f>
        <v>май.25</v>
      </c>
      <c r="L269" s="327" t="str">
        <f ca="1">Параметры!L$34</f>
        <v>июн.25</v>
      </c>
      <c r="M269" s="328" t="str">
        <f ca="1">Параметры!M$34</f>
        <v>июл.25</v>
      </c>
      <c r="N269" s="328" t="str">
        <f ca="1">Параметры!N$34</f>
        <v>авг.25</v>
      </c>
      <c r="O269" s="328" t="str">
        <f ca="1">Параметры!O$34</f>
        <v>сен.25</v>
      </c>
      <c r="P269" s="328" t="str">
        <f ca="1">Параметры!P$34</f>
        <v>окт.25</v>
      </c>
      <c r="Q269" s="328" t="str">
        <f ca="1">Параметры!Q$34</f>
        <v>ноя.25</v>
      </c>
      <c r="R269" s="328" t="str">
        <f ca="1">Параметры!R$34</f>
        <v>дек.25</v>
      </c>
      <c r="S269" s="328" t="str">
        <f ca="1">Параметры!S$34</f>
        <v>янв.26</v>
      </c>
      <c r="T269" s="328" t="str">
        <f ca="1">Параметры!T$34</f>
        <v>фев.26</v>
      </c>
      <c r="U269" s="328" t="str">
        <f ca="1">Параметры!U$34</f>
        <v>мар.26</v>
      </c>
      <c r="V269" s="328" t="str">
        <f ca="1">Параметры!V$34</f>
        <v>апр.26</v>
      </c>
      <c r="W269" s="328" t="str">
        <f ca="1">Параметры!W$34</f>
        <v>май.26</v>
      </c>
      <c r="X269" s="328" t="str">
        <f ca="1">Параметры!X$34</f>
        <v>июн.26</v>
      </c>
      <c r="Y269" s="328" t="str">
        <f ca="1">Параметры!Y$34</f>
        <v>июл.26</v>
      </c>
      <c r="Z269" s="328" t="str">
        <f ca="1">Параметры!Z$34</f>
        <v>авг.26</v>
      </c>
      <c r="AA269" s="328" t="str">
        <f ca="1">Параметры!AA$34</f>
        <v>сен.26</v>
      </c>
      <c r="AB269" s="328" t="str">
        <f ca="1">Параметры!AB$34</f>
        <v>окт.26</v>
      </c>
      <c r="AC269" s="328" t="str">
        <f ca="1">Параметры!AC$34</f>
        <v>ноя.26</v>
      </c>
      <c r="AD269" s="328" t="str">
        <f ca="1">Параметры!AD$34</f>
        <v>дек.26</v>
      </c>
      <c r="AE269" s="328" t="str">
        <f ca="1">Параметры!AE$34</f>
        <v>янв.27</v>
      </c>
      <c r="AF269" s="328" t="str">
        <f ca="1">Параметры!AF$34</f>
        <v>фев.27</v>
      </c>
      <c r="AG269" s="328" t="str">
        <f ca="1">Параметры!AG$34</f>
        <v>мар.27</v>
      </c>
      <c r="AH269" s="328" t="str">
        <f ca="1">Параметры!AH$34</f>
        <v>апр.27</v>
      </c>
      <c r="AI269" s="328" t="str">
        <f ca="1">Параметры!AI$34</f>
        <v>май.27</v>
      </c>
      <c r="AJ269" s="328" t="str">
        <f ca="1">Параметры!AJ$34</f>
        <v>июн.27</v>
      </c>
      <c r="AK269" s="328" t="str">
        <f ca="1">Параметры!AK$34</f>
        <v>июл.27</v>
      </c>
      <c r="AL269" s="328" t="str">
        <f ca="1">Параметры!AL$34</f>
        <v>авг.27</v>
      </c>
      <c r="AM269" s="328" t="str">
        <f ca="1">Параметры!AM$34</f>
        <v>сен.27</v>
      </c>
      <c r="AN269" s="328" t="str">
        <f ca="1">Параметры!AN$34</f>
        <v>окт.27</v>
      </c>
      <c r="AO269" s="328" t="str">
        <f ca="1">Параметры!AO$34</f>
        <v>ноя.27</v>
      </c>
      <c r="AP269" s="328" t="str">
        <f ca="1">Параметры!AP$34</f>
        <v>дек.27</v>
      </c>
      <c r="AQ269" s="328" t="str">
        <f ca="1">Параметры!AQ$34</f>
        <v>янв.28</v>
      </c>
      <c r="AR269" s="328" t="str">
        <f ca="1">Параметры!AR$34</f>
        <v>фев.28</v>
      </c>
      <c r="AS269" s="328" t="str">
        <f ca="1">Параметры!AS$34</f>
        <v>мар.28</v>
      </c>
      <c r="AT269" s="328" t="str">
        <f ca="1">Параметры!AT$34</f>
        <v>апр.28</v>
      </c>
      <c r="AU269" s="328" t="str">
        <f ca="1">Параметры!AU$34</f>
        <v>май.28</v>
      </c>
      <c r="AV269" s="328" t="str">
        <f ca="1">Параметры!AV$34</f>
        <v>июн.28</v>
      </c>
      <c r="AW269" s="328" t="str">
        <f ca="1">Параметры!AW$34</f>
        <v>июл.28</v>
      </c>
      <c r="AX269" s="328" t="str">
        <f ca="1">Параметры!AX$34</f>
        <v>авг.28</v>
      </c>
      <c r="AY269" s="328" t="str">
        <f ca="1">Параметры!AY$34</f>
        <v>сен.28</v>
      </c>
      <c r="AZ269" s="328" t="str">
        <f ca="1">Параметры!AZ$34</f>
        <v>окт.28</v>
      </c>
      <c r="BA269" s="328" t="str">
        <f ca="1">Параметры!BA$34</f>
        <v>ноя.28</v>
      </c>
      <c r="BB269" s="328" t="str">
        <f ca="1">Параметры!BB$34</f>
        <v>дек.28</v>
      </c>
      <c r="BC269" s="328"/>
      <c r="BD269" s="329" t="str">
        <f ca="1">Language!$A$1473</f>
        <v>ИТОГО</v>
      </c>
    </row>
    <row r="270" spans="1:56" ht="14.4" thickTop="1" x14ac:dyDescent="0.3">
      <c r="A270" s="247"/>
    </row>
    <row r="271" spans="1:56" x14ac:dyDescent="0.3">
      <c r="A271" s="10" t="str">
        <f ca="1">Language!A$1342</f>
        <v>Ставка дисконтирования</v>
      </c>
      <c r="B271" s="97">
        <f>Параметры!B129</f>
        <v>0.2</v>
      </c>
      <c r="C271" s="48" t="s">
        <v>1</v>
      </c>
      <c r="H271" s="29"/>
    </row>
    <row r="272" spans="1:56" outlineLevel="1" x14ac:dyDescent="0.3">
      <c r="A272" s="35" t="str">
        <f ca="1">Language!A1343</f>
        <v>ставка на расчетный период</v>
      </c>
      <c r="C272" s="48" t="s">
        <v>1</v>
      </c>
      <c r="F272" s="6" t="s">
        <v>745</v>
      </c>
      <c r="G272" s="98">
        <f>((1+$B271) / IF(Prj_Inflation, 1, 1+CHOOSE(Prj_CurReport, Параметры!G$43,Параметры!G$56,Параметры!G$62))) ^ (Параметры!G$31/12) -1</f>
        <v>1.5309470499731193E-2</v>
      </c>
      <c r="H272" s="98">
        <f>((1+$B271) / IF(Prj_Inflation, 1, 1+CHOOSE(Prj_CurReport, Параметры!H$43,Параметры!H$56,Параметры!H$62))) ^ (Параметры!H$31/12) -1</f>
        <v>1.5309470499731193E-2</v>
      </c>
      <c r="I272" s="98">
        <f>((1+$B271) / IF(Prj_Inflation, 1, 1+CHOOSE(Prj_CurReport, Параметры!I$43,Параметры!I$56,Параметры!I$62))) ^ (Параметры!I$31/12) -1</f>
        <v>1.5309470499731193E-2</v>
      </c>
      <c r="J272" s="98">
        <f>((1+$B271) / IF(Prj_Inflation, 1, 1+CHOOSE(Prj_CurReport, Параметры!J$43,Параметры!J$56,Параметры!J$62))) ^ (Параметры!J$31/12) -1</f>
        <v>1.5309470499731193E-2</v>
      </c>
      <c r="K272" s="98">
        <f>((1+$B271) / IF(Prj_Inflation, 1, 1+CHOOSE(Prj_CurReport, Параметры!K$43,Параметры!K$56,Параметры!K$62))) ^ (Параметры!K$31/12) -1</f>
        <v>1.5309470499731193E-2</v>
      </c>
      <c r="L272" s="98">
        <f>((1+$B271) / IF(Prj_Inflation, 1, 1+CHOOSE(Prj_CurReport, Параметры!L$43,Параметры!L$56,Параметры!L$62))) ^ (Параметры!L$31/12) -1</f>
        <v>1.5309470499731193E-2</v>
      </c>
      <c r="M272" s="98">
        <f>((1+$B271) / IF(Prj_Inflation, 1, 1+CHOOSE(Prj_CurReport, Параметры!M$43,Параметры!M$56,Параметры!M$62))) ^ (Параметры!M$31/12) -1</f>
        <v>1.5309470499731193E-2</v>
      </c>
      <c r="N272" s="98">
        <f>((1+$B271) / IF(Prj_Inflation, 1, 1+CHOOSE(Prj_CurReport, Параметры!N$43,Параметры!N$56,Параметры!N$62))) ^ (Параметры!N$31/12) -1</f>
        <v>1.5309470499731193E-2</v>
      </c>
      <c r="O272" s="98">
        <f>((1+$B271) / IF(Prj_Inflation, 1, 1+CHOOSE(Prj_CurReport, Параметры!O$43,Параметры!O$56,Параметры!O$62))) ^ (Параметры!O$31/12) -1</f>
        <v>1.5309470499731193E-2</v>
      </c>
      <c r="P272" s="98">
        <f>((1+$B271) / IF(Prj_Inflation, 1, 1+CHOOSE(Prj_CurReport, Параметры!P$43,Параметры!P$56,Параметры!P$62))) ^ (Параметры!P$31/12) -1</f>
        <v>1.5309470499731193E-2</v>
      </c>
      <c r="Q272" s="98">
        <f>((1+$B271) / IF(Prj_Inflation, 1, 1+CHOOSE(Prj_CurReport, Параметры!Q$43,Параметры!Q$56,Параметры!Q$62))) ^ (Параметры!Q$31/12) -1</f>
        <v>1.5309470499731193E-2</v>
      </c>
      <c r="R272" s="98">
        <f>((1+$B271) / IF(Prj_Inflation, 1, 1+CHOOSE(Prj_CurReport, Параметры!R$43,Параметры!R$56,Параметры!R$62))) ^ (Параметры!R$31/12) -1</f>
        <v>1.5309470499731193E-2</v>
      </c>
      <c r="S272" s="98">
        <f>((1+$B271) / IF(Prj_Inflation, 1, 1+CHOOSE(Prj_CurReport, Параметры!S$43,Параметры!S$56,Параметры!S$62))) ^ (Параметры!S$31/12) -1</f>
        <v>1.5309470499731193E-2</v>
      </c>
      <c r="T272" s="98">
        <f>((1+$B271) / IF(Prj_Inflation, 1, 1+CHOOSE(Prj_CurReport, Параметры!T$43,Параметры!T$56,Параметры!T$62))) ^ (Параметры!T$31/12) -1</f>
        <v>1.5309470499731193E-2</v>
      </c>
      <c r="U272" s="98">
        <f>((1+$B271) / IF(Prj_Inflation, 1, 1+CHOOSE(Prj_CurReport, Параметры!U$43,Параметры!U$56,Параметры!U$62))) ^ (Параметры!U$31/12) -1</f>
        <v>1.5309470499731193E-2</v>
      </c>
      <c r="V272" s="98">
        <f>((1+$B271) / IF(Prj_Inflation, 1, 1+CHOOSE(Prj_CurReport, Параметры!V$43,Параметры!V$56,Параметры!V$62))) ^ (Параметры!V$31/12) -1</f>
        <v>1.5309470499731193E-2</v>
      </c>
      <c r="W272" s="98">
        <f>((1+$B271) / IF(Prj_Inflation, 1, 1+CHOOSE(Prj_CurReport, Параметры!W$43,Параметры!W$56,Параметры!W$62))) ^ (Параметры!W$31/12) -1</f>
        <v>1.5309470499731193E-2</v>
      </c>
      <c r="X272" s="98">
        <f>((1+$B271) / IF(Prj_Inflation, 1, 1+CHOOSE(Prj_CurReport, Параметры!X$43,Параметры!X$56,Параметры!X$62))) ^ (Параметры!X$31/12) -1</f>
        <v>1.5309470499731193E-2</v>
      </c>
      <c r="Y272" s="98">
        <f>((1+$B271) / IF(Prj_Inflation, 1, 1+CHOOSE(Prj_CurReport, Параметры!Y$43,Параметры!Y$56,Параметры!Y$62))) ^ (Параметры!Y$31/12) -1</f>
        <v>1.5309470499731193E-2</v>
      </c>
      <c r="Z272" s="98">
        <f>((1+$B271) / IF(Prj_Inflation, 1, 1+CHOOSE(Prj_CurReport, Параметры!Z$43,Параметры!Z$56,Параметры!Z$62))) ^ (Параметры!Z$31/12) -1</f>
        <v>1.5309470499731193E-2</v>
      </c>
      <c r="AA272" s="98">
        <f>((1+$B271) / IF(Prj_Inflation, 1, 1+CHOOSE(Prj_CurReport, Параметры!AA$43,Параметры!AA$56,Параметры!AA$62))) ^ (Параметры!AA$31/12) -1</f>
        <v>1.5309470499731193E-2</v>
      </c>
      <c r="AB272" s="98">
        <f>((1+$B271) / IF(Prj_Inflation, 1, 1+CHOOSE(Prj_CurReport, Параметры!AB$43,Параметры!AB$56,Параметры!AB$62))) ^ (Параметры!AB$31/12) -1</f>
        <v>1.5309470499731193E-2</v>
      </c>
      <c r="AC272" s="98">
        <f>((1+$B271) / IF(Prj_Inflation, 1, 1+CHOOSE(Prj_CurReport, Параметры!AC$43,Параметры!AC$56,Параметры!AC$62))) ^ (Параметры!AC$31/12) -1</f>
        <v>1.5309470499731193E-2</v>
      </c>
      <c r="AD272" s="98">
        <f>((1+$B271) / IF(Prj_Inflation, 1, 1+CHOOSE(Prj_CurReport, Параметры!AD$43,Параметры!AD$56,Параметры!AD$62))) ^ (Параметры!AD$31/12) -1</f>
        <v>1.5309470499731193E-2</v>
      </c>
      <c r="AE272" s="98">
        <f>((1+$B271) / IF(Prj_Inflation, 1, 1+CHOOSE(Prj_CurReport, Параметры!AE$43,Параметры!AE$56,Параметры!AE$62))) ^ (Параметры!AE$31/12) -1</f>
        <v>1.5309470499731193E-2</v>
      </c>
      <c r="AF272" s="98">
        <f>((1+$B271) / IF(Prj_Inflation, 1, 1+CHOOSE(Prj_CurReport, Параметры!AF$43,Параметры!AF$56,Параметры!AF$62))) ^ (Параметры!AF$31/12) -1</f>
        <v>1.5309470499731193E-2</v>
      </c>
      <c r="AG272" s="98">
        <f>((1+$B271) / IF(Prj_Inflation, 1, 1+CHOOSE(Prj_CurReport, Параметры!AG$43,Параметры!AG$56,Параметры!AG$62))) ^ (Параметры!AG$31/12) -1</f>
        <v>1.5309470499731193E-2</v>
      </c>
      <c r="AH272" s="98">
        <f>((1+$B271) / IF(Prj_Inflation, 1, 1+CHOOSE(Prj_CurReport, Параметры!AH$43,Параметры!AH$56,Параметры!AH$62))) ^ (Параметры!AH$31/12) -1</f>
        <v>1.5309470499731193E-2</v>
      </c>
      <c r="AI272" s="98">
        <f>((1+$B271) / IF(Prj_Inflation, 1, 1+CHOOSE(Prj_CurReport, Параметры!AI$43,Параметры!AI$56,Параметры!AI$62))) ^ (Параметры!AI$31/12) -1</f>
        <v>1.5309470499731193E-2</v>
      </c>
      <c r="AJ272" s="98">
        <f>((1+$B271) / IF(Prj_Inflation, 1, 1+CHOOSE(Prj_CurReport, Параметры!AJ$43,Параметры!AJ$56,Параметры!AJ$62))) ^ (Параметры!AJ$31/12) -1</f>
        <v>1.5309470499731193E-2</v>
      </c>
      <c r="AK272" s="98">
        <f>((1+$B271) / IF(Prj_Inflation, 1, 1+CHOOSE(Prj_CurReport, Параметры!AK$43,Параметры!AK$56,Параметры!AK$62))) ^ (Параметры!AK$31/12) -1</f>
        <v>1.5309470499731193E-2</v>
      </c>
      <c r="AL272" s="98">
        <f>((1+$B271) / IF(Prj_Inflation, 1, 1+CHOOSE(Prj_CurReport, Параметры!AL$43,Параметры!AL$56,Параметры!AL$62))) ^ (Параметры!AL$31/12) -1</f>
        <v>1.5309470499731193E-2</v>
      </c>
      <c r="AM272" s="98">
        <f>((1+$B271) / IF(Prj_Inflation, 1, 1+CHOOSE(Prj_CurReport, Параметры!AM$43,Параметры!AM$56,Параметры!AM$62))) ^ (Параметры!AM$31/12) -1</f>
        <v>1.5309470499731193E-2</v>
      </c>
      <c r="AN272" s="98">
        <f>((1+$B271) / IF(Prj_Inflation, 1, 1+CHOOSE(Prj_CurReport, Параметры!AN$43,Параметры!AN$56,Параметры!AN$62))) ^ (Параметры!AN$31/12) -1</f>
        <v>1.5309470499731193E-2</v>
      </c>
      <c r="AO272" s="98">
        <f>((1+$B271) / IF(Prj_Inflation, 1, 1+CHOOSE(Prj_CurReport, Параметры!AO$43,Параметры!AO$56,Параметры!AO$62))) ^ (Параметры!AO$31/12) -1</f>
        <v>1.5309470499731193E-2</v>
      </c>
      <c r="AP272" s="98">
        <f>((1+$B271) / IF(Prj_Inflation, 1, 1+CHOOSE(Prj_CurReport, Параметры!AP$43,Параметры!AP$56,Параметры!AP$62))) ^ (Параметры!AP$31/12) -1</f>
        <v>1.5309470499731193E-2</v>
      </c>
      <c r="AQ272" s="98">
        <f>((1+$B271) / IF(Prj_Inflation, 1, 1+CHOOSE(Prj_CurReport, Параметры!AQ$43,Параметры!AQ$56,Параметры!AQ$62))) ^ (Параметры!AQ$31/12) -1</f>
        <v>1.5309470499731193E-2</v>
      </c>
      <c r="AR272" s="98">
        <f>((1+$B271) / IF(Prj_Inflation, 1, 1+CHOOSE(Prj_CurReport, Параметры!AR$43,Параметры!AR$56,Параметры!AR$62))) ^ (Параметры!AR$31/12) -1</f>
        <v>1.5309470499731193E-2</v>
      </c>
      <c r="AS272" s="98">
        <f>((1+$B271) / IF(Prj_Inflation, 1, 1+CHOOSE(Prj_CurReport, Параметры!AS$43,Параметры!AS$56,Параметры!AS$62))) ^ (Параметры!AS$31/12) -1</f>
        <v>1.5309470499731193E-2</v>
      </c>
      <c r="AT272" s="98">
        <f>((1+$B271) / IF(Prj_Inflation, 1, 1+CHOOSE(Prj_CurReport, Параметры!AT$43,Параметры!AT$56,Параметры!AT$62))) ^ (Параметры!AT$31/12) -1</f>
        <v>1.5309470499731193E-2</v>
      </c>
      <c r="AU272" s="98">
        <f>((1+$B271) / IF(Prj_Inflation, 1, 1+CHOOSE(Prj_CurReport, Параметры!AU$43,Параметры!AU$56,Параметры!AU$62))) ^ (Параметры!AU$31/12) -1</f>
        <v>1.5309470499731193E-2</v>
      </c>
      <c r="AV272" s="98">
        <f>((1+$B271) / IF(Prj_Inflation, 1, 1+CHOOSE(Prj_CurReport, Параметры!AV$43,Параметры!AV$56,Параметры!AV$62))) ^ (Параметры!AV$31/12) -1</f>
        <v>1.5309470499731193E-2</v>
      </c>
      <c r="AW272" s="98">
        <f>((1+$B271) / IF(Prj_Inflation, 1, 1+CHOOSE(Prj_CurReport, Параметры!AW$43,Параметры!AW$56,Параметры!AW$62))) ^ (Параметры!AW$31/12) -1</f>
        <v>1.5309470499731193E-2</v>
      </c>
      <c r="AX272" s="98">
        <f>((1+$B271) / IF(Prj_Inflation, 1, 1+CHOOSE(Prj_CurReport, Параметры!AX$43,Параметры!AX$56,Параметры!AX$62))) ^ (Параметры!AX$31/12) -1</f>
        <v>1.5309470499731193E-2</v>
      </c>
      <c r="AY272" s="98">
        <f>((1+$B271) / IF(Prj_Inflation, 1, 1+CHOOSE(Prj_CurReport, Параметры!AY$43,Параметры!AY$56,Параметры!AY$62))) ^ (Параметры!AY$31/12) -1</f>
        <v>1.5309470499731193E-2</v>
      </c>
      <c r="AZ272" s="98">
        <f>((1+$B271) / IF(Prj_Inflation, 1, 1+CHOOSE(Prj_CurReport, Параметры!AZ$43,Параметры!AZ$56,Параметры!AZ$62))) ^ (Параметры!AZ$31/12) -1</f>
        <v>1.5309470499731193E-2</v>
      </c>
      <c r="BA272" s="98">
        <f>((1+$B271) / IF(Prj_Inflation, 1, 1+CHOOSE(Prj_CurReport, Параметры!BA$43,Параметры!BA$56,Параметры!BA$62))) ^ (Параметры!BA$31/12) -1</f>
        <v>1.5309470499731193E-2</v>
      </c>
      <c r="BB272" s="98">
        <f>((1+$B271) / IF(Prj_Inflation, 1, 1+CHOOSE(Prj_CurReport, Параметры!BB$43,Параметры!BB$56,Параметры!BB$62))) ^ (Параметры!BB$31/12) -1</f>
        <v>1.5309470499731193E-2</v>
      </c>
    </row>
    <row r="273" spans="1:56" outlineLevel="1" x14ac:dyDescent="0.3">
      <c r="A273" s="35" t="str">
        <f ca="1">Language!A1344</f>
        <v>коэффициент дисконта на начало периода</v>
      </c>
      <c r="C273" s="48" t="str">
        <f ca="1">Language!$A$1477</f>
        <v>раз</v>
      </c>
      <c r="F273" s="6" t="s">
        <v>745</v>
      </c>
      <c r="G273" s="31">
        <f>IF(G$2=1,1,F273*(1+G272))</f>
        <v>1</v>
      </c>
      <c r="H273" s="31">
        <f t="shared" ref="H273:BB273" si="1150">IF(H$2=1,1,G273*(1+H272))</f>
        <v>1.0153094704997312</v>
      </c>
      <c r="I273" s="31">
        <f t="shared" si="1150"/>
        <v>1.0308533208864445</v>
      </c>
      <c r="J273" s="31">
        <f t="shared" si="1150"/>
        <v>1.0466351393921054</v>
      </c>
      <c r="K273" s="31">
        <f t="shared" si="1150"/>
        <v>1.0626585691826109</v>
      </c>
      <c r="L273" s="31">
        <f t="shared" si="1150"/>
        <v>1.0789273091987988</v>
      </c>
      <c r="M273" s="31">
        <f t="shared" si="1150"/>
        <v>1.0954451150103321</v>
      </c>
      <c r="N273" s="31">
        <f t="shared" si="1150"/>
        <v>1.1122157996826574</v>
      </c>
      <c r="O273" s="31">
        <f t="shared" si="1150"/>
        <v>1.1292432346572339</v>
      </c>
      <c r="P273" s="31">
        <f t="shared" si="1150"/>
        <v>1.1465313506452399</v>
      </c>
      <c r="Q273" s="31">
        <f t="shared" si="1150"/>
        <v>1.1640841385349603</v>
      </c>
      <c r="R273" s="31">
        <f t="shared" si="1150"/>
        <v>1.1819056503130663</v>
      </c>
      <c r="S273" s="31">
        <f t="shared" si="1150"/>
        <v>1.1999999999999997</v>
      </c>
      <c r="T273" s="31">
        <f t="shared" si="1150"/>
        <v>1.2183713645996772</v>
      </c>
      <c r="U273" s="31">
        <f t="shared" si="1150"/>
        <v>1.2370239850637332</v>
      </c>
      <c r="V273" s="31">
        <f t="shared" si="1150"/>
        <v>1.2559621672705263</v>
      </c>
      <c r="W273" s="31">
        <f t="shared" si="1150"/>
        <v>1.2751902830191328</v>
      </c>
      <c r="X273" s="31">
        <f t="shared" si="1150"/>
        <v>1.2947127710385582</v>
      </c>
      <c r="Y273" s="31">
        <f t="shared" si="1150"/>
        <v>1.3145341380123983</v>
      </c>
      <c r="Z273" s="31">
        <f t="shared" si="1150"/>
        <v>1.3346589596191887</v>
      </c>
      <c r="AA273" s="31">
        <f t="shared" si="1150"/>
        <v>1.3550918815886805</v>
      </c>
      <c r="AB273" s="31">
        <f t="shared" si="1150"/>
        <v>1.3758376207742877</v>
      </c>
      <c r="AC273" s="31">
        <f t="shared" si="1150"/>
        <v>1.396900966241952</v>
      </c>
      <c r="AD273" s="31">
        <f t="shared" si="1150"/>
        <v>1.4182867803756791</v>
      </c>
      <c r="AE273" s="31">
        <f t="shared" si="1150"/>
        <v>1.4399999999999993</v>
      </c>
      <c r="AF273" s="31">
        <f t="shared" si="1150"/>
        <v>1.4620456375196123</v>
      </c>
      <c r="AG273" s="31">
        <f t="shared" si="1150"/>
        <v>1.4844287820764794</v>
      </c>
      <c r="AH273" s="31">
        <f t="shared" si="1150"/>
        <v>1.5071546007246313</v>
      </c>
      <c r="AI273" s="31">
        <f t="shared" si="1150"/>
        <v>1.5302283396229592</v>
      </c>
      <c r="AJ273" s="31">
        <f t="shared" si="1150"/>
        <v>1.5536553252462695</v>
      </c>
      <c r="AK273" s="31">
        <f t="shared" si="1150"/>
        <v>1.5774409656148776</v>
      </c>
      <c r="AL273" s="31">
        <f t="shared" si="1150"/>
        <v>1.6015907515430261</v>
      </c>
      <c r="AM273" s="31">
        <f t="shared" si="1150"/>
        <v>1.6261102579064164</v>
      </c>
      <c r="AN273" s="31">
        <f t="shared" si="1150"/>
        <v>1.651005144929145</v>
      </c>
      <c r="AO273" s="31">
        <f t="shared" si="1150"/>
        <v>1.6762811594903422</v>
      </c>
      <c r="AP273" s="31">
        <f t="shared" si="1150"/>
        <v>1.7019441364508148</v>
      </c>
      <c r="AQ273" s="31">
        <f t="shared" si="1150"/>
        <v>1.7279999999999991</v>
      </c>
      <c r="AR273" s="31">
        <f t="shared" si="1150"/>
        <v>1.7544547650235345</v>
      </c>
      <c r="AS273" s="31">
        <f t="shared" si="1150"/>
        <v>1.781314538491775</v>
      </c>
      <c r="AT273" s="31">
        <f t="shared" si="1150"/>
        <v>1.8085855208695572</v>
      </c>
      <c r="AU273" s="31">
        <f t="shared" si="1150"/>
        <v>1.8362740075475505</v>
      </c>
      <c r="AV273" s="31">
        <f t="shared" si="1150"/>
        <v>1.8643863902955229</v>
      </c>
      <c r="AW273" s="31">
        <f t="shared" si="1150"/>
        <v>1.8929291587378525</v>
      </c>
      <c r="AX273" s="31">
        <f t="shared" si="1150"/>
        <v>1.9219089018516307</v>
      </c>
      <c r="AY273" s="31">
        <f t="shared" si="1150"/>
        <v>1.9513323094876989</v>
      </c>
      <c r="AZ273" s="31">
        <f t="shared" si="1150"/>
        <v>1.9812061739149731</v>
      </c>
      <c r="BA273" s="31">
        <f t="shared" si="1150"/>
        <v>2.0115373913884098</v>
      </c>
      <c r="BB273" s="31">
        <f t="shared" si="1150"/>
        <v>2.0423329637409768</v>
      </c>
    </row>
    <row r="274" spans="1:56" x14ac:dyDescent="0.3">
      <c r="A274" s="10" t="str">
        <f ca="1">Language!A1345</f>
        <v>Свободный денежный поток компании, FCFF</v>
      </c>
      <c r="C274" s="48" t="str">
        <f ca="1">Параметры!$C$64</f>
        <v>руб.</v>
      </c>
      <c r="F274" s="6" t="s">
        <v>740</v>
      </c>
      <c r="G274" s="55">
        <f ca="1">SUM(G275:G277)</f>
        <v>-291667</v>
      </c>
      <c r="H274" s="55">
        <f ca="1">SUM(H275:H277)</f>
        <v>-1658333.6666666667</v>
      </c>
      <c r="I274" s="55">
        <f t="shared" ref="I274:M274" ca="1" si="1151">SUM(I275:I277)</f>
        <v>-136658332.66666666</v>
      </c>
      <c r="J274" s="55">
        <f t="shared" ca="1" si="1151"/>
        <v>-18391666.666666668</v>
      </c>
      <c r="K274" s="55">
        <f t="shared" ca="1" si="1151"/>
        <v>-17025000</v>
      </c>
      <c r="L274" s="55">
        <f t="shared" ca="1" si="1151"/>
        <v>-18902925.060418263</v>
      </c>
      <c r="M274" s="55">
        <f t="shared" ca="1" si="1151"/>
        <v>-7886918.2840950666</v>
      </c>
      <c r="N274" s="55">
        <f t="shared" ref="N274:O274" ca="1" si="1152">SUM(N275:N277)</f>
        <v>-6232039.9085776005</v>
      </c>
      <c r="O274" s="55">
        <f t="shared" ca="1" si="1152"/>
        <v>5621274.1251944918</v>
      </c>
      <c r="P274" s="55">
        <f t="shared" ref="P274:Q274" ca="1" si="1153">SUM(P275:P277)</f>
        <v>7660948.0157057578</v>
      </c>
      <c r="Q274" s="55">
        <f t="shared" ca="1" si="1153"/>
        <v>8271780.2482123412</v>
      </c>
      <c r="R274" s="55">
        <f t="shared" ref="R274:S274" ca="1" si="1154">SUM(R275:R277)</f>
        <v>7659601.2717252243</v>
      </c>
      <c r="S274" s="55">
        <f t="shared" ca="1" si="1154"/>
        <v>10934450.009093545</v>
      </c>
      <c r="T274" s="55">
        <f t="shared" ref="T274:U274" ca="1" si="1155">SUM(T275:T277)</f>
        <v>10907857.537697751</v>
      </c>
      <c r="U274" s="55">
        <f t="shared" ca="1" si="1155"/>
        <v>9142084.1888643112</v>
      </c>
      <c r="V274" s="55">
        <f t="shared" ref="V274:W274" ca="1" si="1156">SUM(V275:V277)</f>
        <v>8933019.3270192426</v>
      </c>
      <c r="W274" s="55">
        <f t="shared" ca="1" si="1156"/>
        <v>6302682.3345128149</v>
      </c>
      <c r="X274" s="55">
        <f t="shared" ref="X274:Y274" ca="1" si="1157">SUM(X275:X277)</f>
        <v>9531143.2605401427</v>
      </c>
      <c r="Y274" s="55">
        <f t="shared" ca="1" si="1157"/>
        <v>14054646.549902095</v>
      </c>
      <c r="Z274" s="55">
        <f t="shared" ref="Z274:AA274" ca="1" si="1158">SUM(Z275:Z277)</f>
        <v>16571335.234077554</v>
      </c>
      <c r="AA274" s="55">
        <f t="shared" ca="1" si="1158"/>
        <v>13039208.632376103</v>
      </c>
      <c r="AB274" s="55">
        <f t="shared" ref="AB274:AC274" ca="1" si="1159">SUM(AB275:AB277)</f>
        <v>8435184.3236111198</v>
      </c>
      <c r="AC274" s="55">
        <f t="shared" ca="1" si="1159"/>
        <v>6697207.9380209679</v>
      </c>
      <c r="AD274" s="55">
        <f t="shared" ref="AD274:AE274" ca="1" si="1160">SUM(AD275:AD277)</f>
        <v>7244398.4125958197</v>
      </c>
      <c r="AE274" s="55">
        <f t="shared" ca="1" si="1160"/>
        <v>11240196.241873104</v>
      </c>
      <c r="AF274" s="55">
        <f t="shared" ref="AF274:AG274" ca="1" si="1161">SUM(AF275:AF277)</f>
        <v>11315284.721229495</v>
      </c>
      <c r="AG274" s="55">
        <f t="shared" ca="1" si="1161"/>
        <v>9477609.3995322883</v>
      </c>
      <c r="AH274" s="55">
        <f t="shared" ref="AH274:AI274" ca="1" si="1162">SUM(AH275:AH277)</f>
        <v>9276373.7954233903</v>
      </c>
      <c r="AI274" s="55">
        <f t="shared" ca="1" si="1162"/>
        <v>6443949.6621978907</v>
      </c>
      <c r="AJ274" s="55">
        <f t="shared" ref="AJ274:AK274" ca="1" si="1163">SUM(AJ275:AJ277)</f>
        <v>9801235.2522034701</v>
      </c>
      <c r="AK274" s="55">
        <f t="shared" ca="1" si="1163"/>
        <v>14523290.786738934</v>
      </c>
      <c r="AL274" s="55">
        <f t="shared" ref="AL274:AM274" ca="1" si="1164">SUM(AL275:AL277)</f>
        <v>17232511.227023654</v>
      </c>
      <c r="AM274" s="55">
        <f t="shared" ca="1" si="1164"/>
        <v>13574228.733756416</v>
      </c>
      <c r="AN274" s="55">
        <f t="shared" ref="AN274:AO274" ca="1" si="1165">SUM(AN275:AN277)</f>
        <v>8757348.8981603831</v>
      </c>
      <c r="AO274" s="55">
        <f t="shared" ca="1" si="1165"/>
        <v>6902114.1647834787</v>
      </c>
      <c r="AP274" s="55">
        <f t="shared" ref="AP274:AQ274" ca="1" si="1166">SUM(AP275:AP277)</f>
        <v>7417472.712871192</v>
      </c>
      <c r="AQ274" s="55">
        <f t="shared" ca="1" si="1166"/>
        <v>11626436.181462388</v>
      </c>
      <c r="AR274" s="55">
        <f t="shared" ref="AR274:AS274" ca="1" si="1167">SUM(AR275:AR277)</f>
        <v>11716622.864158114</v>
      </c>
      <c r="AS274" s="55">
        <f t="shared" ca="1" si="1167"/>
        <v>9806939.3425342925</v>
      </c>
      <c r="AT274" s="55">
        <f t="shared" ref="AT274:AU274" ca="1" si="1168">SUM(AT275:AT277)</f>
        <v>9616520.8728973772</v>
      </c>
      <c r="AU274" s="55">
        <f t="shared" ca="1" si="1168"/>
        <v>6564412.9790532039</v>
      </c>
      <c r="AV274" s="55">
        <f t="shared" ref="AV274:AW274" ca="1" si="1169">SUM(AV275:AV277)</f>
        <v>10050233.175116023</v>
      </c>
      <c r="AW274" s="55">
        <f t="shared" ca="1" si="1169"/>
        <v>14973748.846644955</v>
      </c>
      <c r="AX274" s="55">
        <f t="shared" ref="AX274:AY274" ca="1" si="1170">SUM(AX275:AX277)</f>
        <v>17892186.110178754</v>
      </c>
      <c r="AY274" s="55">
        <f t="shared" ca="1" si="1170"/>
        <v>14110779.75453246</v>
      </c>
      <c r="AZ274" s="55">
        <f t="shared" ref="AZ274:BA274" ca="1" si="1171">SUM(AZ275:AZ277)</f>
        <v>9076107.5616529956</v>
      </c>
      <c r="BA274" s="55">
        <f t="shared" ca="1" si="1171"/>
        <v>7094974.6807112303</v>
      </c>
      <c r="BB274" s="55">
        <f t="shared" ref="BB274" ca="1" si="1172">SUM(BB275:BB277)</f>
        <v>8348418.0810810896</v>
      </c>
      <c r="BD274" s="57">
        <f ca="1">SUM(G274:BC274)</f>
        <v>200798934.20187497</v>
      </c>
    </row>
    <row r="275" spans="1:56" x14ac:dyDescent="0.3">
      <c r="A275" s="35" t="str">
        <f ca="1">Language!A1346</f>
        <v>Денежные потоки от операционной деятельности</v>
      </c>
      <c r="C275" s="48" t="str">
        <f ca="1">Параметры!$C$64</f>
        <v>руб.</v>
      </c>
      <c r="F275" s="6" t="s">
        <v>740</v>
      </c>
      <c r="G275" s="55">
        <f ca="1">G$135</f>
        <v>0</v>
      </c>
      <c r="H275" s="55">
        <f t="shared" ref="H275:BB275" ca="1" si="1173">H$135</f>
        <v>0</v>
      </c>
      <c r="I275" s="55">
        <f t="shared" ca="1" si="1173"/>
        <v>0</v>
      </c>
      <c r="J275" s="55">
        <f t="shared" ca="1" si="1173"/>
        <v>0</v>
      </c>
      <c r="K275" s="55">
        <f t="shared" ca="1" si="1173"/>
        <v>0</v>
      </c>
      <c r="L275" s="55">
        <f t="shared" ca="1" si="1173"/>
        <v>-1077925.0604182645</v>
      </c>
      <c r="M275" s="55">
        <f t="shared" ca="1" si="1173"/>
        <v>2113081.7159049334</v>
      </c>
      <c r="N275" s="55">
        <f t="shared" ca="1" si="1173"/>
        <v>3767960.091422399</v>
      </c>
      <c r="O275" s="55">
        <f t="shared" ca="1" si="1173"/>
        <v>1332732.4376944918</v>
      </c>
      <c r="P275" s="55">
        <f t="shared" ca="1" si="1173"/>
        <v>3434906.3282057578</v>
      </c>
      <c r="Q275" s="55">
        <f t="shared" ca="1" si="1173"/>
        <v>4108238.5607123412</v>
      </c>
      <c r="R275" s="55">
        <f t="shared" ca="1" si="1173"/>
        <v>3579392.9175585578</v>
      </c>
      <c r="S275" s="55">
        <f t="shared" ca="1" si="1173"/>
        <v>6937574.9882602114</v>
      </c>
      <c r="T275" s="55">
        <f t="shared" ca="1" si="1173"/>
        <v>6994315.8501977511</v>
      </c>
      <c r="U275" s="55">
        <f t="shared" ca="1" si="1173"/>
        <v>5311875.8346976452</v>
      </c>
      <c r="V275" s="55">
        <f t="shared" ca="1" si="1173"/>
        <v>5206977.6395192426</v>
      </c>
      <c r="W275" s="55">
        <f t="shared" ca="1" si="1173"/>
        <v>2680807.3136794814</v>
      </c>
      <c r="X275" s="55">
        <f t="shared" ca="1" si="1173"/>
        <v>6013434.9063734766</v>
      </c>
      <c r="Y275" s="55">
        <f t="shared" ca="1" si="1173"/>
        <v>10703604.862402095</v>
      </c>
      <c r="Z275" s="55">
        <f t="shared" ca="1" si="1173"/>
        <v>13386960.21324422</v>
      </c>
      <c r="AA275" s="55">
        <f t="shared" ca="1" si="1173"/>
        <v>10021500.278209437</v>
      </c>
      <c r="AB275" s="55">
        <f t="shared" ca="1" si="1173"/>
        <v>5584142.6361111198</v>
      </c>
      <c r="AC275" s="55">
        <f t="shared" ca="1" si="1173"/>
        <v>4012832.9171876344</v>
      </c>
      <c r="AD275" s="55">
        <f t="shared" ca="1" si="1173"/>
        <v>4726690.0584291536</v>
      </c>
      <c r="AE275" s="55">
        <f t="shared" ca="1" si="1173"/>
        <v>8889154.5543731041</v>
      </c>
      <c r="AF275" s="55">
        <f t="shared" ca="1" si="1173"/>
        <v>9130909.7003961615</v>
      </c>
      <c r="AG275" s="55">
        <f t="shared" ca="1" si="1173"/>
        <v>7459901.0453656213</v>
      </c>
      <c r="AH275" s="55">
        <f t="shared" ca="1" si="1173"/>
        <v>7425332.1079233903</v>
      </c>
      <c r="AI275" s="55">
        <f t="shared" ca="1" si="1173"/>
        <v>4759574.6413645577</v>
      </c>
      <c r="AJ275" s="55">
        <f t="shared" ca="1" si="1173"/>
        <v>8283526.8980368031</v>
      </c>
      <c r="AK275" s="55">
        <f t="shared" ca="1" si="1173"/>
        <v>13172249.099238934</v>
      </c>
      <c r="AL275" s="55">
        <f t="shared" ca="1" si="1173"/>
        <v>16048136.20619032</v>
      </c>
      <c r="AM275" s="55">
        <f t="shared" ca="1" si="1173"/>
        <v>12556520.37958975</v>
      </c>
      <c r="AN275" s="55">
        <f t="shared" ca="1" si="1173"/>
        <v>7906307.2106603831</v>
      </c>
      <c r="AO275" s="55">
        <f t="shared" ca="1" si="1173"/>
        <v>6217739.1439501457</v>
      </c>
      <c r="AP275" s="55">
        <f t="shared" ca="1" si="1173"/>
        <v>6899764.358704525</v>
      </c>
      <c r="AQ275" s="55">
        <f t="shared" ca="1" si="1173"/>
        <v>11275394.493962388</v>
      </c>
      <c r="AR275" s="55">
        <f t="shared" ca="1" si="1173"/>
        <v>11532247.84332478</v>
      </c>
      <c r="AS275" s="55">
        <f t="shared" ca="1" si="1173"/>
        <v>9789230.9883676264</v>
      </c>
      <c r="AT275" s="55">
        <f t="shared" ca="1" si="1173"/>
        <v>9616520.8728973772</v>
      </c>
      <c r="AU275" s="55">
        <f t="shared" ca="1" si="1173"/>
        <v>6564412.9790532039</v>
      </c>
      <c r="AV275" s="55">
        <f t="shared" ca="1" si="1173"/>
        <v>10050233.175116023</v>
      </c>
      <c r="AW275" s="55">
        <f t="shared" ca="1" si="1173"/>
        <v>14973748.846644955</v>
      </c>
      <c r="AX275" s="55">
        <f t="shared" ca="1" si="1173"/>
        <v>17892186.110178754</v>
      </c>
      <c r="AY275" s="55">
        <f t="shared" ca="1" si="1173"/>
        <v>14110779.75453246</v>
      </c>
      <c r="AZ275" s="55">
        <f t="shared" ca="1" si="1173"/>
        <v>9076107.5616529956</v>
      </c>
      <c r="BA275" s="55">
        <f t="shared" ca="1" si="1173"/>
        <v>7094974.6807112303</v>
      </c>
      <c r="BB275" s="55">
        <f t="shared" ca="1" si="1173"/>
        <v>8348418.0810810896</v>
      </c>
      <c r="BD275" s="57">
        <f ca="1">SUM(G275:BC275)</f>
        <v>337912475.22270823</v>
      </c>
    </row>
    <row r="276" spans="1:56" x14ac:dyDescent="0.3">
      <c r="A276" s="35" t="str">
        <f ca="1">Language!A1347</f>
        <v>Скорректированные проценты по кредитам, * (1 - налог)</v>
      </c>
      <c r="C276" s="48" t="str">
        <f ca="1">Параметры!$C$64</f>
        <v>руб.</v>
      </c>
      <c r="F276" s="6" t="s">
        <v>740</v>
      </c>
      <c r="G276" s="55">
        <f>-G$130*(1-Параметры!G$81-Параметры!G$107)</f>
        <v>0</v>
      </c>
      <c r="H276" s="55">
        <f>-H$130*(1-Параметры!H$81-Параметры!H$107)</f>
        <v>0</v>
      </c>
      <c r="I276" s="55">
        <f>-I$130*(1-Параметры!I$81-Параметры!I$107)</f>
        <v>0</v>
      </c>
      <c r="J276" s="55">
        <f>-J$130*(1-Параметры!J$81-Параметры!J$107)</f>
        <v>0</v>
      </c>
      <c r="K276" s="55">
        <f>-K$130*(1-Параметры!K$81-Параметры!K$107)</f>
        <v>0</v>
      </c>
      <c r="L276" s="55">
        <f>-L$130*(1-Параметры!L$81-Параметры!L$107)</f>
        <v>0</v>
      </c>
      <c r="M276" s="55">
        <f>-M$130*(1-Параметры!M$81-Параметры!M$107)</f>
        <v>0</v>
      </c>
      <c r="N276" s="55">
        <f>-N$130*(1-Параметры!N$81-Параметры!N$107)</f>
        <v>0</v>
      </c>
      <c r="O276" s="55">
        <f>-O$130*(1-Параметры!O$81-Параметры!O$107)</f>
        <v>4288541.6875</v>
      </c>
      <c r="P276" s="55">
        <f>-P$130*(1-Параметры!P$81-Параметры!P$107)</f>
        <v>4226041.6875</v>
      </c>
      <c r="Q276" s="55">
        <f>-Q$130*(1-Параметры!Q$81-Параметры!Q$107)</f>
        <v>4163541.6875</v>
      </c>
      <c r="R276" s="55">
        <f>-R$130*(1-Параметры!R$81-Параметры!R$107)</f>
        <v>4080208.3541666665</v>
      </c>
      <c r="S276" s="55">
        <f>-S$130*(1-Параметры!S$81-Параметры!S$107)</f>
        <v>3996875.0208333335</v>
      </c>
      <c r="T276" s="55">
        <f>-T$130*(1-Параметры!T$81-Параметры!T$107)</f>
        <v>3913541.6875</v>
      </c>
      <c r="U276" s="55">
        <f>-U$130*(1-Параметры!U$81-Параметры!U$107)</f>
        <v>3830208.3541666665</v>
      </c>
      <c r="V276" s="55">
        <f>-V$130*(1-Параметры!V$81-Параметры!V$107)</f>
        <v>3726041.6875</v>
      </c>
      <c r="W276" s="55">
        <f>-W$130*(1-Параметры!W$81-Параметры!W$107)</f>
        <v>3621875.0208333335</v>
      </c>
      <c r="X276" s="55">
        <f>-X$130*(1-Параметры!X$81-Параметры!X$107)</f>
        <v>3517708.3541666665</v>
      </c>
      <c r="Y276" s="55">
        <f>-Y$130*(1-Параметры!Y$81-Параметры!Y$107)</f>
        <v>3351041.6875</v>
      </c>
      <c r="Z276" s="55">
        <f>-Z$130*(1-Параметры!Z$81-Параметры!Z$107)</f>
        <v>3184375.0208333335</v>
      </c>
      <c r="AA276" s="55">
        <f>-AA$130*(1-Параметры!AA$81-Параметры!AA$107)</f>
        <v>3017708.3541666665</v>
      </c>
      <c r="AB276" s="55">
        <f>-AB$130*(1-Параметры!AB$81-Параметры!AB$107)</f>
        <v>2851041.6875</v>
      </c>
      <c r="AC276" s="55">
        <f>-AC$130*(1-Параметры!AC$81-Параметры!AC$107)</f>
        <v>2684375.0208333335</v>
      </c>
      <c r="AD276" s="55">
        <f>-AD$130*(1-Параметры!AD$81-Параметры!AD$107)</f>
        <v>2517708.3541666665</v>
      </c>
      <c r="AE276" s="55">
        <f>-AE$130*(1-Параметры!AE$81-Параметры!AE$107)</f>
        <v>2351041.6875</v>
      </c>
      <c r="AF276" s="55">
        <f>-AF$130*(1-Параметры!AF$81-Параметры!AF$107)</f>
        <v>2184375.0208333335</v>
      </c>
      <c r="AG276" s="55">
        <f>-AG$130*(1-Параметры!AG$81-Параметры!AG$107)</f>
        <v>2017708.3541666667</v>
      </c>
      <c r="AH276" s="55">
        <f>-AH$130*(1-Параметры!AH$81-Параметры!AH$107)</f>
        <v>1851041.6875</v>
      </c>
      <c r="AI276" s="55">
        <f>-AI$130*(1-Параметры!AI$81-Параметры!AI$107)</f>
        <v>1684375.0208333333</v>
      </c>
      <c r="AJ276" s="55">
        <f>-AJ$130*(1-Параметры!AJ$81-Параметры!AJ$107)</f>
        <v>1517708.3541666667</v>
      </c>
      <c r="AK276" s="55">
        <f>-AK$130*(1-Параметры!AK$81-Параметры!AK$107)</f>
        <v>1351041.6875</v>
      </c>
      <c r="AL276" s="55">
        <f>-AL$130*(1-Параметры!AL$81-Параметры!AL$107)</f>
        <v>1184375.0208333333</v>
      </c>
      <c r="AM276" s="55">
        <f>-AM$130*(1-Параметры!AM$81-Параметры!AM$107)</f>
        <v>1017708.3541666666</v>
      </c>
      <c r="AN276" s="55">
        <f>-AN$130*(1-Параметры!AN$81-Параметры!AN$107)</f>
        <v>851041.6875</v>
      </c>
      <c r="AO276" s="55">
        <f>-AO$130*(1-Параметры!AO$81-Параметры!AO$107)</f>
        <v>684375.02083333337</v>
      </c>
      <c r="AP276" s="55">
        <f>-AP$130*(1-Параметры!AP$81-Параметры!AP$107)</f>
        <v>517708.35416666669</v>
      </c>
      <c r="AQ276" s="55">
        <f>-AQ$130*(1-Параметры!AQ$81-Параметры!AQ$107)</f>
        <v>351041.6875</v>
      </c>
      <c r="AR276" s="55">
        <f>-AR$130*(1-Параметры!AR$81-Параметры!AR$107)</f>
        <v>184375.02083333334</v>
      </c>
      <c r="AS276" s="55">
        <f>-AS$130*(1-Параметры!AS$81-Параметры!AS$107)</f>
        <v>17708.354166666668</v>
      </c>
      <c r="AT276" s="55">
        <f>-AT$130*(1-Параметры!AT$81-Параметры!AT$107)</f>
        <v>0</v>
      </c>
      <c r="AU276" s="55">
        <f>-AU$130*(1-Параметры!AU$81-Параметры!AU$107)</f>
        <v>0</v>
      </c>
      <c r="AV276" s="55">
        <f>-AV$130*(1-Параметры!AV$81-Параметры!AV$107)</f>
        <v>0</v>
      </c>
      <c r="AW276" s="55">
        <f>-AW$130*(1-Параметры!AW$81-Параметры!AW$107)</f>
        <v>0</v>
      </c>
      <c r="AX276" s="55">
        <f>-AX$130*(1-Параметры!AX$81-Параметры!AX$107)</f>
        <v>0</v>
      </c>
      <c r="AY276" s="55">
        <f>-AY$130*(1-Параметры!AY$81-Параметры!AY$107)</f>
        <v>0</v>
      </c>
      <c r="AZ276" s="55">
        <f>-AZ$130*(1-Параметры!AZ$81-Параметры!AZ$107)</f>
        <v>0</v>
      </c>
      <c r="BA276" s="55">
        <f>-BA$130*(1-Параметры!BA$81-Параметры!BA$107)</f>
        <v>0</v>
      </c>
      <c r="BB276" s="55">
        <f>-BB$130*(1-Параметры!BB$81-Параметры!BB$107)</f>
        <v>0</v>
      </c>
      <c r="BD276" s="57">
        <f>SUM(G276:BC276)</f>
        <v>74736458.979166672</v>
      </c>
    </row>
    <row r="277" spans="1:56" x14ac:dyDescent="0.3">
      <c r="A277" s="35" t="str">
        <f ca="1">Language!A1348</f>
        <v>Денежные потоки от инвестиционной деятельности</v>
      </c>
      <c r="C277" s="48" t="str">
        <f ca="1">Параметры!$C$64</f>
        <v>руб.</v>
      </c>
      <c r="F277" s="6" t="s">
        <v>740</v>
      </c>
      <c r="G277" s="55">
        <f>G$144</f>
        <v>-291667</v>
      </c>
      <c r="H277" s="55">
        <f t="shared" ref="H277:BB277" si="1174">H$144</f>
        <v>-1658333.6666666667</v>
      </c>
      <c r="I277" s="55">
        <f t="shared" si="1174"/>
        <v>-136658332.66666666</v>
      </c>
      <c r="J277" s="55">
        <f t="shared" si="1174"/>
        <v>-18391666.666666668</v>
      </c>
      <c r="K277" s="55">
        <f t="shared" si="1174"/>
        <v>-17025000</v>
      </c>
      <c r="L277" s="55">
        <f t="shared" si="1174"/>
        <v>-17825000</v>
      </c>
      <c r="M277" s="55">
        <f t="shared" si="1174"/>
        <v>-10000000</v>
      </c>
      <c r="N277" s="55">
        <f t="shared" si="1174"/>
        <v>-10000000</v>
      </c>
      <c r="O277" s="55">
        <f t="shared" si="1174"/>
        <v>0</v>
      </c>
      <c r="P277" s="55">
        <f t="shared" si="1174"/>
        <v>0</v>
      </c>
      <c r="Q277" s="55">
        <f t="shared" si="1174"/>
        <v>0</v>
      </c>
      <c r="R277" s="55">
        <f t="shared" si="1174"/>
        <v>0</v>
      </c>
      <c r="S277" s="55">
        <f t="shared" si="1174"/>
        <v>0</v>
      </c>
      <c r="T277" s="55">
        <f t="shared" si="1174"/>
        <v>0</v>
      </c>
      <c r="U277" s="55">
        <f t="shared" si="1174"/>
        <v>0</v>
      </c>
      <c r="V277" s="55">
        <f t="shared" si="1174"/>
        <v>0</v>
      </c>
      <c r="W277" s="55">
        <f t="shared" si="1174"/>
        <v>0</v>
      </c>
      <c r="X277" s="55">
        <f t="shared" si="1174"/>
        <v>0</v>
      </c>
      <c r="Y277" s="55">
        <f t="shared" si="1174"/>
        <v>0</v>
      </c>
      <c r="Z277" s="55">
        <f t="shared" si="1174"/>
        <v>0</v>
      </c>
      <c r="AA277" s="55">
        <f t="shared" si="1174"/>
        <v>0</v>
      </c>
      <c r="AB277" s="55">
        <f t="shared" si="1174"/>
        <v>0</v>
      </c>
      <c r="AC277" s="55">
        <f t="shared" si="1174"/>
        <v>0</v>
      </c>
      <c r="AD277" s="55">
        <f t="shared" si="1174"/>
        <v>0</v>
      </c>
      <c r="AE277" s="55">
        <f t="shared" si="1174"/>
        <v>0</v>
      </c>
      <c r="AF277" s="55">
        <f t="shared" si="1174"/>
        <v>0</v>
      </c>
      <c r="AG277" s="55">
        <f t="shared" si="1174"/>
        <v>0</v>
      </c>
      <c r="AH277" s="55">
        <f t="shared" si="1174"/>
        <v>0</v>
      </c>
      <c r="AI277" s="55">
        <f t="shared" si="1174"/>
        <v>0</v>
      </c>
      <c r="AJ277" s="55">
        <f t="shared" si="1174"/>
        <v>0</v>
      </c>
      <c r="AK277" s="55">
        <f t="shared" si="1174"/>
        <v>0</v>
      </c>
      <c r="AL277" s="55">
        <f t="shared" si="1174"/>
        <v>0</v>
      </c>
      <c r="AM277" s="55">
        <f t="shared" si="1174"/>
        <v>0</v>
      </c>
      <c r="AN277" s="55">
        <f t="shared" si="1174"/>
        <v>0</v>
      </c>
      <c r="AO277" s="55">
        <f t="shared" si="1174"/>
        <v>0</v>
      </c>
      <c r="AP277" s="55">
        <f t="shared" si="1174"/>
        <v>0</v>
      </c>
      <c r="AQ277" s="55">
        <f t="shared" si="1174"/>
        <v>0</v>
      </c>
      <c r="AR277" s="55">
        <f t="shared" si="1174"/>
        <v>0</v>
      </c>
      <c r="AS277" s="55">
        <f t="shared" si="1174"/>
        <v>0</v>
      </c>
      <c r="AT277" s="55">
        <f t="shared" si="1174"/>
        <v>0</v>
      </c>
      <c r="AU277" s="55">
        <f t="shared" si="1174"/>
        <v>0</v>
      </c>
      <c r="AV277" s="55">
        <f t="shared" si="1174"/>
        <v>0</v>
      </c>
      <c r="AW277" s="55">
        <f t="shared" si="1174"/>
        <v>0</v>
      </c>
      <c r="AX277" s="55">
        <f t="shared" si="1174"/>
        <v>0</v>
      </c>
      <c r="AY277" s="55">
        <f t="shared" si="1174"/>
        <v>0</v>
      </c>
      <c r="AZ277" s="55">
        <f t="shared" si="1174"/>
        <v>0</v>
      </c>
      <c r="BA277" s="55">
        <f t="shared" si="1174"/>
        <v>0</v>
      </c>
      <c r="BB277" s="55">
        <f t="shared" si="1174"/>
        <v>0</v>
      </c>
      <c r="BD277" s="57">
        <f>SUM(G277:BC277)</f>
        <v>-211849999.99999997</v>
      </c>
    </row>
    <row r="278" spans="1:56" x14ac:dyDescent="0.3">
      <c r="A278" s="10" t="str">
        <f ca="1">Language!A$1352</f>
        <v>Дисконтированный денежный поток</v>
      </c>
      <c r="C278" s="48" t="str">
        <f ca="1">Параметры!$C$64</f>
        <v>руб.</v>
      </c>
      <c r="F278" s="6" t="s">
        <v>740</v>
      </c>
      <c r="G278" s="55">
        <f ca="1">G274/G273</f>
        <v>-291667</v>
      </c>
      <c r="H278" s="55">
        <f t="shared" ref="H278:M278" ca="1" si="1175">H274/H273</f>
        <v>-1633328.2756147657</v>
      </c>
      <c r="I278" s="55">
        <f t="shared" ca="1" si="1175"/>
        <v>-132568164.54658392</v>
      </c>
      <c r="J278" s="55">
        <f t="shared" ca="1" si="1175"/>
        <v>-17572185.353291985</v>
      </c>
      <c r="K278" s="55">
        <f t="shared" ca="1" si="1175"/>
        <v>-16021138.391699512</v>
      </c>
      <c r="L278" s="55">
        <f t="shared" ca="1" si="1175"/>
        <v>-17520109.927012041</v>
      </c>
      <c r="M278" s="55">
        <f t="shared" ca="1" si="1175"/>
        <v>-7199738.4223313443</v>
      </c>
      <c r="N278" s="55">
        <f t="shared" ref="N278:O278" ca="1" si="1176">N274/N273</f>
        <v>-5603265.0411509667</v>
      </c>
      <c r="O278" s="55">
        <f t="shared" ca="1" si="1176"/>
        <v>4977912.599052012</v>
      </c>
      <c r="P278" s="55">
        <f t="shared" ref="P278:Q278" ca="1" si="1177">P274/P273</f>
        <v>6681847.8285782263</v>
      </c>
      <c r="Q278" s="55">
        <f t="shared" ca="1" si="1177"/>
        <v>7105826.7820938267</v>
      </c>
      <c r="R278" s="55">
        <f t="shared" ref="R278:S278" ca="1" si="1178">R274/R273</f>
        <v>6480721.4261953393</v>
      </c>
      <c r="S278" s="55">
        <f t="shared" ca="1" si="1178"/>
        <v>9112041.6742446236</v>
      </c>
      <c r="T278" s="55">
        <f t="shared" ref="T278:U278" ca="1" si="1179">T274/T273</f>
        <v>8952818.3726492692</v>
      </c>
      <c r="U278" s="55">
        <f t="shared" ca="1" si="1179"/>
        <v>7390385.5537556922</v>
      </c>
      <c r="V278" s="55">
        <f t="shared" ref="V278:W278" ca="1" si="1180">V274/V273</f>
        <v>7112490.7738523679</v>
      </c>
      <c r="W278" s="55">
        <f t="shared" ca="1" si="1180"/>
        <v>4942542.6294737924</v>
      </c>
      <c r="X278" s="55">
        <f t="shared" ref="X278:Y278" ca="1" si="1181">X274/X273</f>
        <v>7361588.9745914098</v>
      </c>
      <c r="Y278" s="55">
        <f t="shared" ca="1" si="1181"/>
        <v>10691731.879366023</v>
      </c>
      <c r="Z278" s="55">
        <f t="shared" ref="Z278:AA278" ca="1" si="1182">Z274/Z273</f>
        <v>12416157.037454547</v>
      </c>
      <c r="AA278" s="55">
        <f t="shared" ca="1" si="1182"/>
        <v>9622379.7142738514</v>
      </c>
      <c r="AB278" s="55">
        <f t="shared" ref="AB278:AC278" ca="1" si="1183">AB274/AB273</f>
        <v>6130944.6669033552</v>
      </c>
      <c r="AC278" s="55">
        <f t="shared" ca="1" si="1183"/>
        <v>4794332.6691499827</v>
      </c>
      <c r="AD278" s="55">
        <f t="shared" ref="AD278:AE278" ca="1" si="1184">AD274/AD273</f>
        <v>5107851.6085984437</v>
      </c>
      <c r="AE278" s="55">
        <f t="shared" ca="1" si="1184"/>
        <v>7805691.8346341038</v>
      </c>
      <c r="AF278" s="55">
        <f t="shared" ref="AF278:AG278" ca="1" si="1185">AF274/AF273</f>
        <v>7739351.2424318623</v>
      </c>
      <c r="AG278" s="55">
        <f t="shared" ca="1" si="1185"/>
        <v>6384684.4752461771</v>
      </c>
      <c r="AH278" s="55">
        <f t="shared" ref="AH278:AI278" ca="1" si="1186">AH274/AH273</f>
        <v>6154892.0004380196</v>
      </c>
      <c r="AI278" s="55">
        <f t="shared" ca="1" si="1186"/>
        <v>4211103.3336277436</v>
      </c>
      <c r="AJ278" s="55">
        <f t="shared" ref="AJ278:AK278" ca="1" si="1187">AJ274/AJ273</f>
        <v>6308500.4073537858</v>
      </c>
      <c r="AK278" s="55">
        <f t="shared" ca="1" si="1187"/>
        <v>9206868.0244257748</v>
      </c>
      <c r="AL278" s="55">
        <f t="shared" ref="AL278:AM278" ca="1" si="1188">AL274/AL273</f>
        <v>10759622.088490007</v>
      </c>
      <c r="AM278" s="55">
        <f t="shared" ca="1" si="1188"/>
        <v>8347668.1041499339</v>
      </c>
      <c r="AN278" s="55">
        <f t="shared" ref="AN278:AO278" ca="1" si="1189">AN274/AN273</f>
        <v>5304252.9425528934</v>
      </c>
      <c r="AO278" s="55">
        <f t="shared" ca="1" si="1189"/>
        <v>4117515.803185429</v>
      </c>
      <c r="AP278" s="55">
        <f t="shared" ref="AP278:AQ278" ca="1" si="1190">AP274/AP273</f>
        <v>4358235.1230043164</v>
      </c>
      <c r="AQ278" s="55">
        <f t="shared" ca="1" si="1190"/>
        <v>6728261.6790870335</v>
      </c>
      <c r="AR278" s="55">
        <f t="shared" ref="AR278:AS278" ca="1" si="1191">AR274/AR273</f>
        <v>6678213.1393401567</v>
      </c>
      <c r="AS278" s="55">
        <f t="shared" ca="1" si="1191"/>
        <v>5505450.6829758156</v>
      </c>
      <c r="AT278" s="55">
        <f t="shared" ref="AT278:AU278" ca="1" si="1192">AT274/AT273</f>
        <v>5317150.2049147291</v>
      </c>
      <c r="AU278" s="55">
        <f t="shared" ca="1" si="1192"/>
        <v>3574854.815823677</v>
      </c>
      <c r="AV278" s="55">
        <f t="shared" ref="AV278:AW278" ca="1" si="1193">AV274/AV273</f>
        <v>5390638.5647467459</v>
      </c>
      <c r="AW278" s="55">
        <f t="shared" ca="1" si="1193"/>
        <v>7910358.8095335774</v>
      </c>
      <c r="AX278" s="55">
        <f t="shared" ref="AX278:AY278" ca="1" si="1194">AX274/AX273</f>
        <v>9309591.1533272099</v>
      </c>
      <c r="AY278" s="55">
        <f t="shared" ca="1" si="1194"/>
        <v>7231356.589507347</v>
      </c>
      <c r="AZ278" s="55">
        <f t="shared" ref="AZ278:BA278" ca="1" si="1195">AZ274/AZ273</f>
        <v>4581101.9979400253</v>
      </c>
      <c r="BA278" s="55">
        <f t="shared" ca="1" si="1195"/>
        <v>3527140.3410573015</v>
      </c>
      <c r="BB278" s="55">
        <f t="shared" ref="BB278" ca="1" si="1196">BB274/BB273</f>
        <v>4087687.0859436882</v>
      </c>
      <c r="BD278" s="57">
        <f ca="1">SUM(G278:BC278)</f>
        <v>71012167.676285639</v>
      </c>
    </row>
    <row r="279" spans="1:56" x14ac:dyDescent="0.3">
      <c r="A279" s="10" t="str">
        <f ca="1">Language!A1353</f>
        <v>Дисконтированный поток нарастающим итогом</v>
      </c>
      <c r="C279" s="48" t="str">
        <f ca="1">Параметры!$C$64</f>
        <v>руб.</v>
      </c>
      <c r="F279" s="6" t="s">
        <v>741</v>
      </c>
      <c r="G279" s="55">
        <f ca="1">IF(G$2=1,G278,F279+G278)</f>
        <v>-291667</v>
      </c>
      <c r="H279" s="55">
        <f t="shared" ref="H279:BB279" ca="1" si="1197">IF(H2=1,H278,G279+H278)</f>
        <v>-1924995.2756147657</v>
      </c>
      <c r="I279" s="55">
        <f t="shared" ca="1" si="1197"/>
        <v>-134493159.82219869</v>
      </c>
      <c r="J279" s="55">
        <f t="shared" ca="1" si="1197"/>
        <v>-152065345.17549068</v>
      </c>
      <c r="K279" s="55">
        <f t="shared" ca="1" si="1197"/>
        <v>-168086483.5671902</v>
      </c>
      <c r="L279" s="55">
        <f t="shared" ca="1" si="1197"/>
        <v>-185606593.49420226</v>
      </c>
      <c r="M279" s="55">
        <f t="shared" ca="1" si="1197"/>
        <v>-192806331.91653359</v>
      </c>
      <c r="N279" s="55">
        <f t="shared" ca="1" si="1197"/>
        <v>-198409596.95768455</v>
      </c>
      <c r="O279" s="55">
        <f t="shared" ca="1" si="1197"/>
        <v>-193431684.35863253</v>
      </c>
      <c r="P279" s="55">
        <f t="shared" ca="1" si="1197"/>
        <v>-186749836.5300543</v>
      </c>
      <c r="Q279" s="55">
        <f t="shared" ca="1" si="1197"/>
        <v>-179644009.74796048</v>
      </c>
      <c r="R279" s="55">
        <f t="shared" ca="1" si="1197"/>
        <v>-173163288.32176512</v>
      </c>
      <c r="S279" s="55">
        <f t="shared" ca="1" si="1197"/>
        <v>-164051246.64752051</v>
      </c>
      <c r="T279" s="55">
        <f t="shared" ca="1" si="1197"/>
        <v>-155098428.27487123</v>
      </c>
      <c r="U279" s="55">
        <f t="shared" ca="1" si="1197"/>
        <v>-147708042.72111553</v>
      </c>
      <c r="V279" s="55">
        <f t="shared" ca="1" si="1197"/>
        <v>-140595551.94726315</v>
      </c>
      <c r="W279" s="55">
        <f t="shared" ca="1" si="1197"/>
        <v>-135653009.31778935</v>
      </c>
      <c r="X279" s="55">
        <f t="shared" ca="1" si="1197"/>
        <v>-128291420.34319794</v>
      </c>
      <c r="Y279" s="55">
        <f t="shared" ca="1" si="1197"/>
        <v>-117599688.46383192</v>
      </c>
      <c r="Z279" s="55">
        <f t="shared" ca="1" si="1197"/>
        <v>-105183531.42637737</v>
      </c>
      <c r="AA279" s="55">
        <f t="shared" ca="1" si="1197"/>
        <v>-95561151.712103516</v>
      </c>
      <c r="AB279" s="55">
        <f t="shared" ca="1" si="1197"/>
        <v>-89430207.045200154</v>
      </c>
      <c r="AC279" s="55">
        <f t="shared" ca="1" si="1197"/>
        <v>-84635874.376050174</v>
      </c>
      <c r="AD279" s="55">
        <f t="shared" ca="1" si="1197"/>
        <v>-79528022.767451733</v>
      </c>
      <c r="AE279" s="55">
        <f t="shared" ca="1" si="1197"/>
        <v>-71722330.932817623</v>
      </c>
      <c r="AF279" s="55">
        <f t="shared" ca="1" si="1197"/>
        <v>-63982979.690385759</v>
      </c>
      <c r="AG279" s="55">
        <f t="shared" ca="1" si="1197"/>
        <v>-57598295.215139583</v>
      </c>
      <c r="AH279" s="55">
        <f t="shared" ca="1" si="1197"/>
        <v>-51443403.214701563</v>
      </c>
      <c r="AI279" s="55">
        <f t="shared" ca="1" si="1197"/>
        <v>-47232299.881073818</v>
      </c>
      <c r="AJ279" s="55">
        <f t="shared" ca="1" si="1197"/>
        <v>-40923799.473720029</v>
      </c>
      <c r="AK279" s="55">
        <f t="shared" ca="1" si="1197"/>
        <v>-31716931.449294254</v>
      </c>
      <c r="AL279" s="55">
        <f t="shared" ca="1" si="1197"/>
        <v>-20957309.360804245</v>
      </c>
      <c r="AM279" s="55">
        <f t="shared" ca="1" si="1197"/>
        <v>-12609641.256654311</v>
      </c>
      <c r="AN279" s="55">
        <f t="shared" ca="1" si="1197"/>
        <v>-7305388.3141014175</v>
      </c>
      <c r="AO279" s="55">
        <f t="shared" ca="1" si="1197"/>
        <v>-3187872.5109159886</v>
      </c>
      <c r="AP279" s="55">
        <f t="shared" ca="1" si="1197"/>
        <v>1170362.6120883278</v>
      </c>
      <c r="AQ279" s="55">
        <f t="shared" ca="1" si="1197"/>
        <v>7898624.2911753617</v>
      </c>
      <c r="AR279" s="55">
        <f t="shared" ca="1" si="1197"/>
        <v>14576837.430515518</v>
      </c>
      <c r="AS279" s="55">
        <f t="shared" ca="1" si="1197"/>
        <v>20082288.113491334</v>
      </c>
      <c r="AT279" s="55">
        <f t="shared" ca="1" si="1197"/>
        <v>25399438.318406064</v>
      </c>
      <c r="AU279" s="55">
        <f t="shared" ca="1" si="1197"/>
        <v>28974293.134229742</v>
      </c>
      <c r="AV279" s="55">
        <f t="shared" ca="1" si="1197"/>
        <v>34364931.698976487</v>
      </c>
      <c r="AW279" s="55">
        <f t="shared" ca="1" si="1197"/>
        <v>42275290.508510068</v>
      </c>
      <c r="AX279" s="55">
        <f t="shared" ca="1" si="1197"/>
        <v>51584881.66183728</v>
      </c>
      <c r="AY279" s="55">
        <f t="shared" ca="1" si="1197"/>
        <v>58816238.251344629</v>
      </c>
      <c r="AZ279" s="55">
        <f t="shared" ca="1" si="1197"/>
        <v>63397340.249284655</v>
      </c>
      <c r="BA279" s="55">
        <f t="shared" ca="1" si="1197"/>
        <v>66924480.590341955</v>
      </c>
      <c r="BB279" s="55">
        <f t="shared" ca="1" si="1197"/>
        <v>71012167.676285639</v>
      </c>
      <c r="BD279" s="57"/>
    </row>
    <row r="280" spans="1:56" x14ac:dyDescent="0.3">
      <c r="A280" s="10" t="str">
        <f ca="1">Language!A1385</f>
        <v>Чистая приведенная стоимость потоков проекта</v>
      </c>
      <c r="B280" s="77">
        <f ca="1">BD278</f>
        <v>71012167.676285639</v>
      </c>
      <c r="C280" s="48" t="str">
        <f ca="1">Параметры!$C$64</f>
        <v>руб.</v>
      </c>
      <c r="G280" s="55"/>
      <c r="H280" s="55"/>
      <c r="I280" s="55"/>
      <c r="J280" s="55"/>
      <c r="K280" s="55"/>
      <c r="L280" s="55"/>
      <c r="M280" s="55"/>
      <c r="N280" s="55"/>
      <c r="O280" s="55"/>
      <c r="P280" s="55"/>
      <c r="Q280" s="55"/>
      <c r="R280" s="55"/>
      <c r="S280" s="55"/>
      <c r="T280" s="55"/>
      <c r="U280" s="55"/>
      <c r="V280" s="55"/>
      <c r="W280" s="55"/>
      <c r="X280" s="55"/>
      <c r="Y280" s="55"/>
      <c r="Z280" s="55"/>
      <c r="AA280" s="55"/>
      <c r="AB280" s="55"/>
      <c r="AC280" s="55"/>
      <c r="AD280" s="55"/>
      <c r="AE280" s="55"/>
      <c r="AF280" s="55"/>
      <c r="AG280" s="55"/>
      <c r="AH280" s="55"/>
      <c r="AI280" s="55"/>
      <c r="AJ280" s="55"/>
      <c r="AK280" s="55"/>
      <c r="AL280" s="55"/>
      <c r="AM280" s="55"/>
      <c r="AN280" s="55"/>
      <c r="AO280" s="55"/>
      <c r="AP280" s="55"/>
      <c r="AQ280" s="55"/>
      <c r="AR280" s="55"/>
      <c r="AS280" s="55"/>
      <c r="AT280" s="55"/>
      <c r="AU280" s="55"/>
      <c r="AV280" s="55"/>
      <c r="AW280" s="55"/>
      <c r="AX280" s="55"/>
      <c r="AY280" s="55"/>
      <c r="AZ280" s="55"/>
      <c r="BA280" s="55"/>
      <c r="BB280" s="55"/>
    </row>
    <row r="281" spans="1:56" x14ac:dyDescent="0.3">
      <c r="A281" s="10"/>
      <c r="B281" s="77"/>
      <c r="G281" s="55"/>
      <c r="H281" s="55"/>
      <c r="I281" s="55"/>
      <c r="J281" s="55"/>
      <c r="K281" s="55"/>
      <c r="L281" s="55"/>
      <c r="M281" s="55"/>
      <c r="N281" s="55"/>
      <c r="O281" s="55"/>
      <c r="P281" s="55"/>
      <c r="Q281" s="55"/>
      <c r="R281" s="55"/>
      <c r="S281" s="55"/>
      <c r="T281" s="55"/>
      <c r="U281" s="55"/>
      <c r="V281" s="55"/>
      <c r="W281" s="55"/>
      <c r="X281" s="55"/>
      <c r="Y281" s="55"/>
      <c r="Z281" s="55"/>
      <c r="AA281" s="55"/>
      <c r="AB281" s="55"/>
      <c r="AC281" s="55"/>
      <c r="AD281" s="55"/>
      <c r="AE281" s="55"/>
      <c r="AF281" s="55"/>
      <c r="AG281" s="55"/>
      <c r="AH281" s="55"/>
      <c r="AI281" s="55"/>
      <c r="AJ281" s="55"/>
      <c r="AK281" s="55"/>
      <c r="AL281" s="55"/>
      <c r="AM281" s="55"/>
      <c r="AN281" s="55"/>
      <c r="AO281" s="55"/>
      <c r="AP281" s="55"/>
      <c r="AQ281" s="55"/>
      <c r="AR281" s="55"/>
      <c r="AS281" s="55"/>
      <c r="AT281" s="55"/>
      <c r="AU281" s="55"/>
      <c r="AV281" s="55"/>
      <c r="AW281" s="55"/>
      <c r="AX281" s="55"/>
      <c r="AY281" s="55"/>
      <c r="AZ281" s="55"/>
      <c r="BA281" s="55"/>
      <c r="BB281" s="55"/>
    </row>
    <row r="282" spans="1:56" x14ac:dyDescent="0.3">
      <c r="A282" s="10" t="str">
        <f ca="1">Language!A1386</f>
        <v>Учет активов начального баланса</v>
      </c>
      <c r="B282" s="77" t="str">
        <f ca="1">Параметры!C134</f>
        <v>Нет</v>
      </c>
      <c r="C282" s="48" t="str">
        <f ca="1">Параметры!$C$64</f>
        <v>руб.</v>
      </c>
      <c r="E282" s="6" t="s">
        <v>1577</v>
      </c>
      <c r="F282" s="6" t="s">
        <v>740</v>
      </c>
      <c r="G282" s="55">
        <f>-IF(Параметры!$B$134=0,0,IF(G$2=1,Проект!G$992+Старт!$B$26,0))</f>
        <v>0</v>
      </c>
      <c r="H282" s="55">
        <f>-IF(Параметры!$B$134=0,0,IF(H$2=1,Проект!H$992+Старт!$B$26,0))</f>
        <v>0</v>
      </c>
      <c r="I282" s="55">
        <f>-IF(Параметры!$B$134=0,0,IF(I$2=1,Проект!I$992+Старт!$B$26,0))</f>
        <v>0</v>
      </c>
      <c r="J282" s="55">
        <f>-IF(Параметры!$B$134=0,0,IF(J$2=1,Проект!J$992+Старт!$B$26,0))</f>
        <v>0</v>
      </c>
      <c r="K282" s="55">
        <f>-IF(Параметры!$B$134=0,0,IF(K$2=1,Проект!K$992+Старт!$B$26,0))</f>
        <v>0</v>
      </c>
      <c r="L282" s="55">
        <f>-IF(Параметры!$B$134=0,0,IF(L$2=1,Проект!L$992+Старт!$B$26,0))</f>
        <v>0</v>
      </c>
      <c r="M282" s="55">
        <f>-IF(Параметры!$B$134=0,0,IF(M$2=1,Проект!M$992+Старт!$B$26,0))</f>
        <v>0</v>
      </c>
      <c r="N282" s="55">
        <f>-IF(Параметры!$B$134=0,0,IF(N$2=1,Проект!N$992+Старт!$B$26,0))</f>
        <v>0</v>
      </c>
      <c r="O282" s="55">
        <f>-IF(Параметры!$B$134=0,0,IF(O$2=1,Проект!O$992+Старт!$B$26,0))</f>
        <v>0</v>
      </c>
      <c r="P282" s="55">
        <f>-IF(Параметры!$B$134=0,0,IF(P$2=1,Проект!P$992+Старт!$B$26,0))</f>
        <v>0</v>
      </c>
      <c r="Q282" s="55">
        <f>-IF(Параметры!$B$134=0,0,IF(Q$2=1,Проект!Q$992+Старт!$B$26,0))</f>
        <v>0</v>
      </c>
      <c r="R282" s="55">
        <f>-IF(Параметры!$B$134=0,0,IF(R$2=1,Проект!R$992+Старт!$B$26,0))</f>
        <v>0</v>
      </c>
      <c r="S282" s="55">
        <f>-IF(Параметры!$B$134=0,0,IF(S$2=1,Проект!S$992+Старт!$B$26,0))</f>
        <v>0</v>
      </c>
      <c r="T282" s="55">
        <f>-IF(Параметры!$B$134=0,0,IF(T$2=1,Проект!T$992+Старт!$B$26,0))</f>
        <v>0</v>
      </c>
      <c r="U282" s="55">
        <f>-IF(Параметры!$B$134=0,0,IF(U$2=1,Проект!U$992+Старт!$B$26,0))</f>
        <v>0</v>
      </c>
      <c r="V282" s="55">
        <f>-IF(Параметры!$B$134=0,0,IF(V$2=1,Проект!V$992+Старт!$B$26,0))</f>
        <v>0</v>
      </c>
      <c r="W282" s="55">
        <f>-IF(Параметры!$B$134=0,0,IF(W$2=1,Проект!W$992+Старт!$B$26,0))</f>
        <v>0</v>
      </c>
      <c r="X282" s="55">
        <f>-IF(Параметры!$B$134=0,0,IF(X$2=1,Проект!X$992+Старт!$B$26,0))</f>
        <v>0</v>
      </c>
      <c r="Y282" s="55">
        <f>-IF(Параметры!$B$134=0,0,IF(Y$2=1,Проект!Y$992+Старт!$B$26,0))</f>
        <v>0</v>
      </c>
      <c r="Z282" s="55">
        <f>-IF(Параметры!$B$134=0,0,IF(Z$2=1,Проект!Z$992+Старт!$B$26,0))</f>
        <v>0</v>
      </c>
      <c r="AA282" s="55">
        <f>-IF(Параметры!$B$134=0,0,IF(AA$2=1,Проект!AA$992+Старт!$B$26,0))</f>
        <v>0</v>
      </c>
      <c r="AB282" s="55">
        <f>-IF(Параметры!$B$134=0,0,IF(AB$2=1,Проект!AB$992+Старт!$B$26,0))</f>
        <v>0</v>
      </c>
      <c r="AC282" s="55">
        <f>-IF(Параметры!$B$134=0,0,IF(AC$2=1,Проект!AC$992+Старт!$B$26,0))</f>
        <v>0</v>
      </c>
      <c r="AD282" s="55">
        <f>-IF(Параметры!$B$134=0,0,IF(AD$2=1,Проект!AD$992+Старт!$B$26,0))</f>
        <v>0</v>
      </c>
      <c r="AE282" s="55">
        <f>-IF(Параметры!$B$134=0,0,IF(AE$2=1,Проект!AE$992+Старт!$B$26,0))</f>
        <v>0</v>
      </c>
      <c r="AF282" s="55">
        <f>-IF(Параметры!$B$134=0,0,IF(AF$2=1,Проект!AF$992+Старт!$B$26,0))</f>
        <v>0</v>
      </c>
      <c r="AG282" s="55">
        <f>-IF(Параметры!$B$134=0,0,IF(AG$2=1,Проект!AG$992+Старт!$B$26,0))</f>
        <v>0</v>
      </c>
      <c r="AH282" s="55">
        <f>-IF(Параметры!$B$134=0,0,IF(AH$2=1,Проект!AH$992+Старт!$B$26,0))</f>
        <v>0</v>
      </c>
      <c r="AI282" s="55">
        <f>-IF(Параметры!$B$134=0,0,IF(AI$2=1,Проект!AI$992+Старт!$B$26,0))</f>
        <v>0</v>
      </c>
      <c r="AJ282" s="55">
        <f>-IF(Параметры!$B$134=0,0,IF(AJ$2=1,Проект!AJ$992+Старт!$B$26,0))</f>
        <v>0</v>
      </c>
      <c r="AK282" s="55">
        <f>-IF(Параметры!$B$134=0,0,IF(AK$2=1,Проект!AK$992+Старт!$B$26,0))</f>
        <v>0</v>
      </c>
      <c r="AL282" s="55">
        <f>-IF(Параметры!$B$134=0,0,IF(AL$2=1,Проект!AL$992+Старт!$B$26,0))</f>
        <v>0</v>
      </c>
      <c r="AM282" s="55">
        <f>-IF(Параметры!$B$134=0,0,IF(AM$2=1,Проект!AM$992+Старт!$B$26,0))</f>
        <v>0</v>
      </c>
      <c r="AN282" s="55">
        <f>-IF(Параметры!$B$134=0,0,IF(AN$2=1,Проект!AN$992+Старт!$B$26,0))</f>
        <v>0</v>
      </c>
      <c r="AO282" s="55">
        <f>-IF(Параметры!$B$134=0,0,IF(AO$2=1,Проект!AO$992+Старт!$B$26,0))</f>
        <v>0</v>
      </c>
      <c r="AP282" s="55">
        <f>-IF(Параметры!$B$134=0,0,IF(AP$2=1,Проект!AP$992+Старт!$B$26,0))</f>
        <v>0</v>
      </c>
      <c r="AQ282" s="55">
        <f>-IF(Параметры!$B$134=0,0,IF(AQ$2=1,Проект!AQ$992+Старт!$B$26,0))</f>
        <v>0</v>
      </c>
      <c r="AR282" s="55">
        <f>-IF(Параметры!$B$134=0,0,IF(AR$2=1,Проект!AR$992+Старт!$B$26,0))</f>
        <v>0</v>
      </c>
      <c r="AS282" s="55">
        <f>-IF(Параметры!$B$134=0,0,IF(AS$2=1,Проект!AS$992+Старт!$B$26,0))</f>
        <v>0</v>
      </c>
      <c r="AT282" s="55">
        <f>-IF(Параметры!$B$134=0,0,IF(AT$2=1,Проект!AT$992+Старт!$B$26,0))</f>
        <v>0</v>
      </c>
      <c r="AU282" s="55">
        <f>-IF(Параметры!$B$134=0,0,IF(AU$2=1,Проект!AU$992+Старт!$B$26,0))</f>
        <v>0</v>
      </c>
      <c r="AV282" s="55">
        <f>-IF(Параметры!$B$134=0,0,IF(AV$2=1,Проект!AV$992+Старт!$B$26,0))</f>
        <v>0</v>
      </c>
      <c r="AW282" s="55">
        <f>-IF(Параметры!$B$134=0,0,IF(AW$2=1,Проект!AW$992+Старт!$B$26,0))</f>
        <v>0</v>
      </c>
      <c r="AX282" s="55">
        <f>-IF(Параметры!$B$134=0,0,IF(AX$2=1,Проект!AX$992+Старт!$B$26,0))</f>
        <v>0</v>
      </c>
      <c r="AY282" s="55">
        <f>-IF(Параметры!$B$134=0,0,IF(AY$2=1,Проект!AY$992+Старт!$B$26,0))</f>
        <v>0</v>
      </c>
      <c r="AZ282" s="55">
        <f>-IF(Параметры!$B$134=0,0,IF(AZ$2=1,Проект!AZ$992+Старт!$B$26,0))</f>
        <v>0</v>
      </c>
      <c r="BA282" s="55">
        <f>-IF(Параметры!$B$134=0,0,IF(BA$2=1,Проект!BA$992+Старт!$B$26,0))</f>
        <v>0</v>
      </c>
      <c r="BB282" s="55">
        <f>-IF(Параметры!$B$134=0,0,IF(BB$2=1,Проект!BB$992+Старт!$B$26,0))</f>
        <v>0</v>
      </c>
      <c r="BD282" s="57">
        <f>SUM(G282:BC282)</f>
        <v>0</v>
      </c>
    </row>
    <row r="283" spans="1:56" s="70" customFormat="1" x14ac:dyDescent="0.3">
      <c r="A283" s="109" t="str">
        <f ca="1">Language!A1387</f>
        <v>Учет продленной стоимости</v>
      </c>
      <c r="B283" s="77" t="str">
        <f ca="1">Параметры!C135</f>
        <v>Нет</v>
      </c>
      <c r="C283" s="253" t="str">
        <f ca="1">Параметры!$C$64</f>
        <v>руб.</v>
      </c>
      <c r="F283" s="70" t="s">
        <v>740</v>
      </c>
      <c r="G283" s="68">
        <f>IF(AND(Параметры!$B$135=1,G2=Prj_Len),Результаты!G$284*(1+Параметры!$B137)/(Параметры!G130-Параметры!$B137),0)</f>
        <v>0</v>
      </c>
      <c r="H283" s="68">
        <f>IF(AND(Параметры!$B$135=1,H2=Prj_Len),Результаты!H$284*(1+Параметры!$B137)/(Параметры!H130-Параметры!$B137),0)</f>
        <v>0</v>
      </c>
      <c r="I283" s="68">
        <f>IF(AND(Параметры!$B$135=1,I2=Prj_Len),Результаты!I$284*(1+Параметры!$B137)/(Параметры!I130-Параметры!$B137),0)</f>
        <v>0</v>
      </c>
      <c r="J283" s="68">
        <f>IF(AND(Параметры!$B$135=1,J2=Prj_Len),Результаты!J$284*(1+Параметры!$B137)/(Параметры!J130-Параметры!$B137),0)</f>
        <v>0</v>
      </c>
      <c r="K283" s="68">
        <f>IF(AND(Параметры!$B$135=1,K2=Prj_Len),Результаты!K$284*(1+Параметры!$B137)/(Параметры!K130-Параметры!$B137),0)</f>
        <v>0</v>
      </c>
      <c r="L283" s="68">
        <f>IF(AND(Параметры!$B$135=1,L2=Prj_Len),Результаты!L$284*(1+Параметры!$B137)/(Параметры!L130-Параметры!$B137),0)</f>
        <v>0</v>
      </c>
      <c r="M283" s="68">
        <f>IF(AND(Параметры!$B$135=1,M2=Prj_Len),Результаты!M$284*(1+Параметры!$B137)/(Параметры!M130-Параметры!$B137),0)</f>
        <v>0</v>
      </c>
      <c r="N283" s="68">
        <f>IF(AND(Параметры!$B$135=1,N2=Prj_Len),Результаты!N$284*(1+Параметры!$B137)/(Параметры!N130-Параметры!$B137),0)</f>
        <v>0</v>
      </c>
      <c r="O283" s="68">
        <f>IF(AND(Параметры!$B$135=1,O2=Prj_Len),Результаты!O$284*(1+Параметры!$B137)/(Параметры!O130-Параметры!$B137),0)</f>
        <v>0</v>
      </c>
      <c r="P283" s="68">
        <f>IF(AND(Параметры!$B$135=1,P2=Prj_Len),Результаты!P$284*(1+Параметры!$B137)/(Параметры!P130-Параметры!$B137),0)</f>
        <v>0</v>
      </c>
      <c r="Q283" s="68">
        <f>IF(AND(Параметры!$B$135=1,Q2=Prj_Len),Результаты!Q$284*(1+Параметры!$B137)/(Параметры!Q130-Параметры!$B137),0)</f>
        <v>0</v>
      </c>
      <c r="R283" s="68">
        <f>IF(AND(Параметры!$B$135=1,R2=Prj_Len),Результаты!R$284*(1+Параметры!$B137)/(Параметры!R130-Параметры!$B137),0)</f>
        <v>0</v>
      </c>
      <c r="S283" s="68">
        <f>IF(AND(Параметры!$B$135=1,S2=Prj_Len),Результаты!S$284*(1+Параметры!$B137)/(Параметры!S130-Параметры!$B137),0)</f>
        <v>0</v>
      </c>
      <c r="T283" s="68">
        <f>IF(AND(Параметры!$B$135=1,T2=Prj_Len),Результаты!T$284*(1+Параметры!$B137)/(Параметры!T130-Параметры!$B137),0)</f>
        <v>0</v>
      </c>
      <c r="U283" s="68">
        <f>IF(AND(Параметры!$B$135=1,U2=Prj_Len),Результаты!U$284*(1+Параметры!$B137)/(Параметры!U130-Параметры!$B137),0)</f>
        <v>0</v>
      </c>
      <c r="V283" s="68">
        <f>IF(AND(Параметры!$B$135=1,V2=Prj_Len),Результаты!V$284*(1+Параметры!$B137)/(Параметры!V130-Параметры!$B137),0)</f>
        <v>0</v>
      </c>
      <c r="W283" s="68">
        <f>IF(AND(Параметры!$B$135=1,W2=Prj_Len),Результаты!W$284*(1+Параметры!$B137)/(Параметры!W130-Параметры!$B137),0)</f>
        <v>0</v>
      </c>
      <c r="X283" s="68">
        <f>IF(AND(Параметры!$B$135=1,X2=Prj_Len),Результаты!X$284*(1+Параметры!$B137)/(Параметры!X130-Параметры!$B137),0)</f>
        <v>0</v>
      </c>
      <c r="Y283" s="68">
        <f>IF(AND(Параметры!$B$135=1,Y2=Prj_Len),Результаты!Y$284*(1+Параметры!$B137)/(Параметры!Y130-Параметры!$B137),0)</f>
        <v>0</v>
      </c>
      <c r="Z283" s="68">
        <f>IF(AND(Параметры!$B$135=1,Z2=Prj_Len),Результаты!Z$284*(1+Параметры!$B137)/(Параметры!Z130-Параметры!$B137),0)</f>
        <v>0</v>
      </c>
      <c r="AA283" s="68">
        <f>IF(AND(Параметры!$B$135=1,AA2=Prj_Len),Результаты!AA$284*(1+Параметры!$B137)/(Параметры!AA130-Параметры!$B137),0)</f>
        <v>0</v>
      </c>
      <c r="AB283" s="68">
        <f>IF(AND(Параметры!$B$135=1,AB2=Prj_Len),Результаты!AB$284*(1+Параметры!$B137)/(Параметры!AB130-Параметры!$B137),0)</f>
        <v>0</v>
      </c>
      <c r="AC283" s="68">
        <f>IF(AND(Параметры!$B$135=1,AC2=Prj_Len),Результаты!AC$284*(1+Параметры!$B137)/(Параметры!AC130-Параметры!$B137),0)</f>
        <v>0</v>
      </c>
      <c r="AD283" s="68">
        <f>IF(AND(Параметры!$B$135=1,AD2=Prj_Len),Результаты!AD$284*(1+Параметры!$B137)/(Параметры!AD130-Параметры!$B137),0)</f>
        <v>0</v>
      </c>
      <c r="AE283" s="68">
        <f>IF(AND(Параметры!$B$135=1,AE2=Prj_Len),Результаты!AE$284*(1+Параметры!$B137)/(Параметры!AE130-Параметры!$B137),0)</f>
        <v>0</v>
      </c>
      <c r="AF283" s="68">
        <f>IF(AND(Параметры!$B$135=1,AF2=Prj_Len),Результаты!AF$284*(1+Параметры!$B137)/(Параметры!AF130-Параметры!$B137),0)</f>
        <v>0</v>
      </c>
      <c r="AG283" s="68">
        <f>IF(AND(Параметры!$B$135=1,AG2=Prj_Len),Результаты!AG$284*(1+Параметры!$B137)/(Параметры!AG130-Параметры!$B137),0)</f>
        <v>0</v>
      </c>
      <c r="AH283" s="68">
        <f>IF(AND(Параметры!$B$135=1,AH2=Prj_Len),Результаты!AH$284*(1+Параметры!$B137)/(Параметры!AH130-Параметры!$B137),0)</f>
        <v>0</v>
      </c>
      <c r="AI283" s="68">
        <f>IF(AND(Параметры!$B$135=1,AI2=Prj_Len),Результаты!AI$284*(1+Параметры!$B137)/(Параметры!AI130-Параметры!$B137),0)</f>
        <v>0</v>
      </c>
      <c r="AJ283" s="68">
        <f>IF(AND(Параметры!$B$135=1,AJ2=Prj_Len),Результаты!AJ$284*(1+Параметры!$B137)/(Параметры!AJ130-Параметры!$B137),0)</f>
        <v>0</v>
      </c>
      <c r="AK283" s="68">
        <f>IF(AND(Параметры!$B$135=1,AK2=Prj_Len),Результаты!AK$284*(1+Параметры!$B137)/(Параметры!AK130-Параметры!$B137),0)</f>
        <v>0</v>
      </c>
      <c r="AL283" s="68">
        <f>IF(AND(Параметры!$B$135=1,AL2=Prj_Len),Результаты!AL$284*(1+Параметры!$B137)/(Параметры!AL130-Параметры!$B137),0)</f>
        <v>0</v>
      </c>
      <c r="AM283" s="68">
        <f>IF(AND(Параметры!$B$135=1,AM2=Prj_Len),Результаты!AM$284*(1+Параметры!$B137)/(Параметры!AM130-Параметры!$B137),0)</f>
        <v>0</v>
      </c>
      <c r="AN283" s="68">
        <f>IF(AND(Параметры!$B$135=1,AN2=Prj_Len),Результаты!AN$284*(1+Параметры!$B137)/(Параметры!AN130-Параметры!$B137),0)</f>
        <v>0</v>
      </c>
      <c r="AO283" s="68">
        <f>IF(AND(Параметры!$B$135=1,AO2=Prj_Len),Результаты!AO$284*(1+Параметры!$B137)/(Параметры!AO130-Параметры!$B137),0)</f>
        <v>0</v>
      </c>
      <c r="AP283" s="68">
        <f>IF(AND(Параметры!$B$135=1,AP2=Prj_Len),Результаты!AP$284*(1+Параметры!$B137)/(Параметры!AP130-Параметры!$B137),0)</f>
        <v>0</v>
      </c>
      <c r="AQ283" s="68">
        <f>IF(AND(Параметры!$B$135=1,AQ2=Prj_Len),Результаты!AQ$284*(1+Параметры!$B137)/(Параметры!AQ130-Параметры!$B137),0)</f>
        <v>0</v>
      </c>
      <c r="AR283" s="68">
        <f>IF(AND(Параметры!$B$135=1,AR2=Prj_Len),Результаты!AR$284*(1+Параметры!$B137)/(Параметры!AR130-Параметры!$B137),0)</f>
        <v>0</v>
      </c>
      <c r="AS283" s="68">
        <f>IF(AND(Параметры!$B$135=1,AS2=Prj_Len),Результаты!AS$284*(1+Параметры!$B137)/(Параметры!AS130-Параметры!$B137),0)</f>
        <v>0</v>
      </c>
      <c r="AT283" s="68">
        <f>IF(AND(Параметры!$B$135=1,AT2=Prj_Len),Результаты!AT$284*(1+Параметры!$B137)/(Параметры!AT130-Параметры!$B137),0)</f>
        <v>0</v>
      </c>
      <c r="AU283" s="68">
        <f>IF(AND(Параметры!$B$135=1,AU2=Prj_Len),Результаты!AU$284*(1+Параметры!$B137)/(Параметры!AU130-Параметры!$B137),0)</f>
        <v>0</v>
      </c>
      <c r="AV283" s="68">
        <f>IF(AND(Параметры!$B$135=1,AV2=Prj_Len),Результаты!AV$284*(1+Параметры!$B137)/(Параметры!AV130-Параметры!$B137),0)</f>
        <v>0</v>
      </c>
      <c r="AW283" s="68">
        <f>IF(AND(Параметры!$B$135=1,AW2=Prj_Len),Результаты!AW$284*(1+Параметры!$B137)/(Параметры!AW130-Параметры!$B137),0)</f>
        <v>0</v>
      </c>
      <c r="AX283" s="68">
        <f>IF(AND(Параметры!$B$135=1,AX2=Prj_Len),Результаты!AX$284*(1+Параметры!$B137)/(Параметры!AX130-Параметры!$B137),0)</f>
        <v>0</v>
      </c>
      <c r="AY283" s="68">
        <f>IF(AND(Параметры!$B$135=1,AY2=Prj_Len),Результаты!AY$284*(1+Параметры!$B137)/(Параметры!AY130-Параметры!$B137),0)</f>
        <v>0</v>
      </c>
      <c r="AZ283" s="68">
        <f>IF(AND(Параметры!$B$135=1,AZ2=Prj_Len),Результаты!AZ$284*(1+Параметры!$B137)/(Параметры!AZ130-Параметры!$B137),0)</f>
        <v>0</v>
      </c>
      <c r="BA283" s="68">
        <f>IF(AND(Параметры!$B$135=1,BA2=Prj_Len),Результаты!BA$284*(1+Параметры!$B137)/(Параметры!BA130-Параметры!$B137),0)</f>
        <v>0</v>
      </c>
      <c r="BB283" s="68">
        <f>IF(AND(Параметры!$B$135=1,BB2=Prj_Len),Результаты!BB$284*(1+Параметры!$B137)/(Параметры!BB130-Параметры!$B137),0)</f>
        <v>0</v>
      </c>
      <c r="BD283" s="69">
        <f>SUM(G283:BC283)</f>
        <v>0</v>
      </c>
    </row>
    <row r="284" spans="1:56" s="70" customFormat="1" outlineLevel="1" x14ac:dyDescent="0.3">
      <c r="A284" s="24" t="str">
        <f ca="1">Language!A1388</f>
        <v>NOPLAT</v>
      </c>
      <c r="B284" s="77"/>
      <c r="C284" s="253" t="str">
        <f ca="1">Параметры!$C$64</f>
        <v>руб.</v>
      </c>
      <c r="F284" s="70" t="s">
        <v>740</v>
      </c>
      <c r="G284" s="68">
        <f ca="1">SUM(G$104,G$106:G$107)*(1-Параметры!G$81-Параметры!G$107)</f>
        <v>0</v>
      </c>
      <c r="H284" s="68">
        <f ca="1">SUM(H104,H106:H107)*(1-Параметры!H$81-Параметры!H$107)</f>
        <v>0</v>
      </c>
      <c r="I284" s="68">
        <f ca="1">SUM(I104,I106:I107)*(1-Параметры!I$81-Параметры!I$107)</f>
        <v>0</v>
      </c>
      <c r="J284" s="68">
        <f ca="1">SUM(J104,J106:J107)*(1-Параметры!J$81-Параметры!J$107)</f>
        <v>0</v>
      </c>
      <c r="K284" s="68">
        <f ca="1">SUM(K104,K106:K107)*(1-Параметры!K$81-Параметры!K$107)</f>
        <v>0</v>
      </c>
      <c r="L284" s="68">
        <f ca="1">SUM(L104,L106:L107)*(1-Параметры!L$81-Параметры!L$107)</f>
        <v>0</v>
      </c>
      <c r="M284" s="68">
        <f ca="1">SUM(M104,M106:M107)*(1-Параметры!M$81-Параметры!M$107)</f>
        <v>3116787.0714194006</v>
      </c>
      <c r="N284" s="68">
        <f ca="1">SUM(N104,N106:N107)*(1-Параметры!N$81-Параметры!N$107)</f>
        <v>4957015.8475500802</v>
      </c>
      <c r="O284" s="68">
        <f ca="1">SUM(O104,O106:O107)*(1-Параметры!O$81-Параметры!O$107)</f>
        <v>6809957.859898705</v>
      </c>
      <c r="P284" s="68">
        <f ca="1">SUM(P104,P106:P107)*(1-Параметры!P$81-Параметры!P$107)</f>
        <v>8665184.2543230727</v>
      </c>
      <c r="Q284" s="68">
        <f ca="1">SUM(Q104,Q106:Q107)*(1-Параметры!Q$81-Параметры!Q$107)</f>
        <v>8694852.5248188861</v>
      </c>
      <c r="R284" s="68">
        <f ca="1">SUM(R104,R106:R107)*(1-Параметры!R$81-Параметры!R$107)</f>
        <v>8682319.0652139224</v>
      </c>
      <c r="S284" s="68">
        <f ca="1">SUM(S104,S106:S107)*(1-Параметры!S$81-Параметры!S$107)</f>
        <v>12455923.648888897</v>
      </c>
      <c r="T284" s="68">
        <f ca="1">SUM(T104,T106:T107)*(1-Параметры!T$81-Параметры!T$107)</f>
        <v>10619728.983182944</v>
      </c>
      <c r="U284" s="68">
        <f ca="1">SUM(U104,U106:U107)*(1-Параметры!U$81-Параметры!U$107)</f>
        <v>8792032.3324321248</v>
      </c>
      <c r="V284" s="68">
        <f ca="1">SUM(V104,V106:V107)*(1-Параметры!V$81-Параметры!V$107)</f>
        <v>8832301.0213160738</v>
      </c>
      <c r="W284" s="68">
        <f ca="1">SUM(W104,W106:W107)*(1-Параметры!W$81-Параметры!W$107)</f>
        <v>6980160.5438158261</v>
      </c>
      <c r="X284" s="68">
        <f ca="1">SUM(X104,X106:X107)*(1-Параметры!X$81-Параметры!X$107)</f>
        <v>12732707.226246145</v>
      </c>
      <c r="Y284" s="68">
        <f ca="1">SUM(Y104,Y106:Y107)*(1-Параметры!Y$81-Параметры!Y$107)</f>
        <v>16618839.481687408</v>
      </c>
      <c r="Z284" s="68">
        <f ca="1">SUM(Z104,Z106:Z107)*(1-Параметры!Z$81-Параметры!Z$107)</f>
        <v>16674507.464993112</v>
      </c>
      <c r="AA284" s="68">
        <f ca="1">SUM(AA104,AA106:AA107)*(1-Параметры!AA$81-Параметры!AA$107)</f>
        <v>10936727.761008833</v>
      </c>
      <c r="AB284" s="68">
        <f ca="1">SUM(AB104,AB106:AB107)*(1-Параметры!AB$81-Параметры!AB$107)</f>
        <v>7090104.3349880883</v>
      </c>
      <c r="AC284" s="68">
        <f ca="1">SUM(AC104,AC106:AC107)*(1-Параметры!AC$81-Параметры!AC$107)</f>
        <v>7113094.3866815753</v>
      </c>
      <c r="AD284" s="68">
        <f ca="1">SUM(AD104,AD106:AD107)*(1-Параметры!AD$81-Параметры!AD$107)</f>
        <v>9034593.1487748027</v>
      </c>
      <c r="AE284" s="68">
        <f ca="1">SUM(AE104,AE106:AE107)*(1-Параметры!AE$81-Параметры!AE$107)</f>
        <v>12963316.547224898</v>
      </c>
      <c r="AF284" s="68">
        <f ca="1">SUM(AF104,AF106:AF107)*(1-Параметры!AF$81-Параметры!AF$107)</f>
        <v>11049227.870648842</v>
      </c>
      <c r="AG284" s="68">
        <f ca="1">SUM(AG104,AG106:AG107)*(1-Параметры!AG$81-Параметры!AG$107)</f>
        <v>9144803.4667029269</v>
      </c>
      <c r="AH284" s="68">
        <f ca="1">SUM(AH104,AH106:AH107)*(1-Параметры!AH$81-Параметры!AH$107)</f>
        <v>9185419.9739545062</v>
      </c>
      <c r="AI284" s="68">
        <f ca="1">SUM(AI104,AI106:AI107)*(1-Параметры!AI$81-Параметры!AI$107)</f>
        <v>7256079.1244318159</v>
      </c>
      <c r="AJ284" s="68">
        <f ca="1">SUM(AJ104,AJ106:AJ107)*(1-Параметры!AJ$81-Параметры!AJ$107)</f>
        <v>13242917.152301259</v>
      </c>
      <c r="AK284" s="68">
        <f ca="1">SUM(AK104,AK106:AK107)*(1-Параметры!AK$81-Параметры!AK$107)</f>
        <v>17285932.219130516</v>
      </c>
      <c r="AL284" s="68">
        <f ca="1">SUM(AL104,AL106:AL107)*(1-Параметры!AL$81-Параметры!AL$107)</f>
        <v>17341356.566297594</v>
      </c>
      <c r="AM284" s="68">
        <f ca="1">SUM(AM104,AM106:AM107)*(1-Параметры!AM$81-Параметры!AM$107)</f>
        <v>11368020.902540013</v>
      </c>
      <c r="AN284" s="68">
        <f ca="1">SUM(AN104,AN106:AN107)*(1-Параметры!AN$81-Параметры!AN$107)</f>
        <v>7363659.4102326808</v>
      </c>
      <c r="AO284" s="68">
        <f ca="1">SUM(AO104,AO106:AO107)*(1-Параметры!AO$81-Параметры!AO$107)</f>
        <v>7386184.034748733</v>
      </c>
      <c r="AP284" s="68">
        <f ca="1">SUM(AP104,AP106:AP107)*(1-Параметры!AP$81-Параметры!AP$107)</f>
        <v>9382559.7858898342</v>
      </c>
      <c r="AQ284" s="68">
        <f ca="1">SUM(AQ104,AQ106:AQ107)*(1-Параметры!AQ$81-Параметры!AQ$107)</f>
        <v>13466896.761915233</v>
      </c>
      <c r="AR284" s="68">
        <f ca="1">SUM(AR104,AR106:AR107)*(1-Параметры!AR$81-Параметры!AR$107)</f>
        <v>11474229.953714218</v>
      </c>
      <c r="AS284" s="68">
        <f ca="1">SUM(AS104,AS106:AS107)*(1-Параметры!AS$81-Параметры!AS$107)</f>
        <v>9492544.7794485427</v>
      </c>
      <c r="AT284" s="68">
        <f ca="1">SUM(AT104,AT106:AT107)*(1-Параметры!AT$81-Параметры!AT$107)</f>
        <v>9533274.3319232762</v>
      </c>
      <c r="AU284" s="68">
        <f ca="1">SUM(AU104,AU106:AU107)*(1-Параметры!AU$81-Параметры!AU$107)</f>
        <v>7526294.5958559671</v>
      </c>
      <c r="AV284" s="68">
        <f ca="1">SUM(AV104,AV106:AV107)*(1-Параметры!AV$81-Параметры!AV$107)</f>
        <v>13747778.973990262</v>
      </c>
      <c r="AW284" s="68">
        <f ca="1">SUM(AW104,AW106:AW107)*(1-Параметры!AW$81-Параметры!AW$107)</f>
        <v>17947660.979571991</v>
      </c>
      <c r="AX284" s="68">
        <f ca="1">SUM(AX104,AX106:AX107)*(1-Параметры!AX$81-Параметры!AX$107)</f>
        <v>18002384.125241201</v>
      </c>
      <c r="AY284" s="68">
        <f ca="1">SUM(AY104,AY106:AY107)*(1-Параметры!AY$81-Параметры!AY$107)</f>
        <v>11792795.801780686</v>
      </c>
      <c r="AZ284" s="68">
        <f ca="1">SUM(AZ104,AZ106:AZ107)*(1-Параметры!AZ$81-Параметры!AZ$107)</f>
        <v>7630262.0935439104</v>
      </c>
      <c r="BA284" s="68">
        <f ca="1">SUM(BA104,BA106:BA107)*(1-Параметры!BA$81-Параметры!BA$107)</f>
        <v>7652065.3442293936</v>
      </c>
      <c r="BB284" s="68">
        <f ca="1">SUM(BB104,BB106:BB107)*(1-Параметры!BB$81-Параметры!BB$107)</f>
        <v>9722815.6647878699</v>
      </c>
      <c r="BD284" s="69">
        <f ca="1">SUM(G284:BC284)</f>
        <v>439765317.417346</v>
      </c>
    </row>
    <row r="285" spans="1:56" s="34" customFormat="1" x14ac:dyDescent="0.3">
      <c r="A285" s="22" t="str">
        <f ca="1">Language!A$1351</f>
        <v>Денежный поток для расчета эффективности</v>
      </c>
      <c r="B285" s="99"/>
      <c r="C285" s="100" t="str">
        <f ca="1">Параметры!$C$64</f>
        <v>руб.</v>
      </c>
      <c r="D285" s="101"/>
      <c r="E285" s="101"/>
      <c r="F285" s="101" t="s">
        <v>740</v>
      </c>
      <c r="G285" s="58">
        <f ca="1">SUM(G274,G282:G283)</f>
        <v>-291667</v>
      </c>
      <c r="H285" s="58">
        <f t="shared" ref="H285:J285" ca="1" si="1198">SUM(H274,H282:H283)</f>
        <v>-1658333.6666666667</v>
      </c>
      <c r="I285" s="58">
        <f t="shared" ca="1" si="1198"/>
        <v>-136658332.66666666</v>
      </c>
      <c r="J285" s="58">
        <f t="shared" ca="1" si="1198"/>
        <v>-18391666.666666668</v>
      </c>
      <c r="K285" s="58">
        <f ca="1">SUM(K274,K282:K283)</f>
        <v>-17025000</v>
      </c>
      <c r="L285" s="58">
        <f ca="1">SUM(L274,L282:L283)</f>
        <v>-18902925.060418263</v>
      </c>
      <c r="M285" s="58">
        <f t="shared" ref="M285:N285" ca="1" si="1199">SUM(M274,M282:M283)</f>
        <v>-7886918.2840950666</v>
      </c>
      <c r="N285" s="58">
        <f t="shared" ca="1" si="1199"/>
        <v>-6232039.9085776005</v>
      </c>
      <c r="O285" s="58">
        <f t="shared" ref="O285:P285" ca="1" si="1200">SUM(O274,O282:O283)</f>
        <v>5621274.1251944918</v>
      </c>
      <c r="P285" s="58">
        <f t="shared" ca="1" si="1200"/>
        <v>7660948.0157057578</v>
      </c>
      <c r="Q285" s="58">
        <f t="shared" ref="Q285:R285" ca="1" si="1201">SUM(Q274,Q282:Q283)</f>
        <v>8271780.2482123412</v>
      </c>
      <c r="R285" s="58">
        <f t="shared" ca="1" si="1201"/>
        <v>7659601.2717252243</v>
      </c>
      <c r="S285" s="58">
        <f t="shared" ref="S285:T285" ca="1" si="1202">SUM(S274,S282:S283)</f>
        <v>10934450.009093545</v>
      </c>
      <c r="T285" s="58">
        <f t="shared" ca="1" si="1202"/>
        <v>10907857.537697751</v>
      </c>
      <c r="U285" s="58">
        <f t="shared" ref="U285:V285" ca="1" si="1203">SUM(U274,U282:U283)</f>
        <v>9142084.1888643112</v>
      </c>
      <c r="V285" s="58">
        <f t="shared" ca="1" si="1203"/>
        <v>8933019.3270192426</v>
      </c>
      <c r="W285" s="58">
        <f t="shared" ref="W285:X285" ca="1" si="1204">SUM(W274,W282:W283)</f>
        <v>6302682.3345128149</v>
      </c>
      <c r="X285" s="58">
        <f t="shared" ca="1" si="1204"/>
        <v>9531143.2605401427</v>
      </c>
      <c r="Y285" s="58">
        <f t="shared" ref="Y285:Z285" ca="1" si="1205">SUM(Y274,Y282:Y283)</f>
        <v>14054646.549902095</v>
      </c>
      <c r="Z285" s="58">
        <f t="shared" ca="1" si="1205"/>
        <v>16571335.234077554</v>
      </c>
      <c r="AA285" s="58">
        <f t="shared" ref="AA285:AB285" ca="1" si="1206">SUM(AA274,AA282:AA283)</f>
        <v>13039208.632376103</v>
      </c>
      <c r="AB285" s="58">
        <f t="shared" ca="1" si="1206"/>
        <v>8435184.3236111198</v>
      </c>
      <c r="AC285" s="58">
        <f t="shared" ref="AC285:AD285" ca="1" si="1207">SUM(AC274,AC282:AC283)</f>
        <v>6697207.9380209679</v>
      </c>
      <c r="AD285" s="58">
        <f t="shared" ca="1" si="1207"/>
        <v>7244398.4125958197</v>
      </c>
      <c r="AE285" s="58">
        <f t="shared" ref="AE285:AF285" ca="1" si="1208">SUM(AE274,AE282:AE283)</f>
        <v>11240196.241873104</v>
      </c>
      <c r="AF285" s="58">
        <f t="shared" ca="1" si="1208"/>
        <v>11315284.721229495</v>
      </c>
      <c r="AG285" s="58">
        <f t="shared" ref="AG285:AH285" ca="1" si="1209">SUM(AG274,AG282:AG283)</f>
        <v>9477609.3995322883</v>
      </c>
      <c r="AH285" s="58">
        <f t="shared" ca="1" si="1209"/>
        <v>9276373.7954233903</v>
      </c>
      <c r="AI285" s="58">
        <f t="shared" ref="AI285:AJ285" ca="1" si="1210">SUM(AI274,AI282:AI283)</f>
        <v>6443949.6621978907</v>
      </c>
      <c r="AJ285" s="58">
        <f t="shared" ca="1" si="1210"/>
        <v>9801235.2522034701</v>
      </c>
      <c r="AK285" s="58">
        <f t="shared" ref="AK285:AL285" ca="1" si="1211">SUM(AK274,AK282:AK283)</f>
        <v>14523290.786738934</v>
      </c>
      <c r="AL285" s="58">
        <f t="shared" ca="1" si="1211"/>
        <v>17232511.227023654</v>
      </c>
      <c r="AM285" s="58">
        <f t="shared" ref="AM285:AN285" ca="1" si="1212">SUM(AM274,AM282:AM283)</f>
        <v>13574228.733756416</v>
      </c>
      <c r="AN285" s="58">
        <f t="shared" ca="1" si="1212"/>
        <v>8757348.8981603831</v>
      </c>
      <c r="AO285" s="58">
        <f t="shared" ref="AO285:AP285" ca="1" si="1213">SUM(AO274,AO282:AO283)</f>
        <v>6902114.1647834787</v>
      </c>
      <c r="AP285" s="58">
        <f t="shared" ca="1" si="1213"/>
        <v>7417472.712871192</v>
      </c>
      <c r="AQ285" s="58">
        <f t="shared" ref="AQ285:AR285" ca="1" si="1214">SUM(AQ274,AQ282:AQ283)</f>
        <v>11626436.181462388</v>
      </c>
      <c r="AR285" s="58">
        <f t="shared" ca="1" si="1214"/>
        <v>11716622.864158114</v>
      </c>
      <c r="AS285" s="58">
        <f t="shared" ref="AS285:AT285" ca="1" si="1215">SUM(AS274,AS282:AS283)</f>
        <v>9806939.3425342925</v>
      </c>
      <c r="AT285" s="58">
        <f t="shared" ca="1" si="1215"/>
        <v>9616520.8728973772</v>
      </c>
      <c r="AU285" s="58">
        <f t="shared" ref="AU285:AV285" ca="1" si="1216">SUM(AU274,AU282:AU283)</f>
        <v>6564412.9790532039</v>
      </c>
      <c r="AV285" s="58">
        <f t="shared" ca="1" si="1216"/>
        <v>10050233.175116023</v>
      </c>
      <c r="AW285" s="58">
        <f t="shared" ref="AW285:AX285" ca="1" si="1217">SUM(AW274,AW282:AW283)</f>
        <v>14973748.846644955</v>
      </c>
      <c r="AX285" s="58">
        <f t="shared" ca="1" si="1217"/>
        <v>17892186.110178754</v>
      </c>
      <c r="AY285" s="58">
        <f t="shared" ref="AY285:AZ285" ca="1" si="1218">SUM(AY274,AY282:AY283)</f>
        <v>14110779.75453246</v>
      </c>
      <c r="AZ285" s="58">
        <f t="shared" ca="1" si="1218"/>
        <v>9076107.5616529956</v>
      </c>
      <c r="BA285" s="58">
        <f t="shared" ref="BA285:BB285" ca="1" si="1219">SUM(BA274,BA282:BA283)</f>
        <v>7094974.6807112303</v>
      </c>
      <c r="BB285" s="58">
        <f t="shared" ca="1" si="1219"/>
        <v>8348418.0810810896</v>
      </c>
      <c r="BD285" s="58">
        <f ca="1">SUM(G285:BC285)</f>
        <v>200798934.20187497</v>
      </c>
    </row>
    <row r="286" spans="1:56" x14ac:dyDescent="0.3">
      <c r="A286" s="10" t="str">
        <f ca="1">Language!A1352</f>
        <v>Дисконтированный денежный поток</v>
      </c>
      <c r="B286" s="77"/>
      <c r="C286" s="48" t="str">
        <f ca="1">Параметры!$C$64</f>
        <v>руб.</v>
      </c>
      <c r="F286" s="6" t="s">
        <v>740</v>
      </c>
      <c r="G286" s="124">
        <f ca="1">G285/G273</f>
        <v>-291667</v>
      </c>
      <c r="H286" s="124">
        <f t="shared" ref="H286:M286" ca="1" si="1220">H285/H273</f>
        <v>-1633328.2756147657</v>
      </c>
      <c r="I286" s="124">
        <f t="shared" ca="1" si="1220"/>
        <v>-132568164.54658392</v>
      </c>
      <c r="J286" s="124">
        <f t="shared" ca="1" si="1220"/>
        <v>-17572185.353291985</v>
      </c>
      <c r="K286" s="124">
        <f t="shared" ca="1" si="1220"/>
        <v>-16021138.391699512</v>
      </c>
      <c r="L286" s="124">
        <f t="shared" ca="1" si="1220"/>
        <v>-17520109.927012041</v>
      </c>
      <c r="M286" s="124">
        <f t="shared" ca="1" si="1220"/>
        <v>-7199738.4223313443</v>
      </c>
      <c r="N286" s="124">
        <f t="shared" ref="N286:O286" ca="1" si="1221">N285/N273</f>
        <v>-5603265.0411509667</v>
      </c>
      <c r="O286" s="124">
        <f t="shared" ca="1" si="1221"/>
        <v>4977912.599052012</v>
      </c>
      <c r="P286" s="124">
        <f t="shared" ref="P286:Q286" ca="1" si="1222">P285/P273</f>
        <v>6681847.8285782263</v>
      </c>
      <c r="Q286" s="124">
        <f t="shared" ca="1" si="1222"/>
        <v>7105826.7820938267</v>
      </c>
      <c r="R286" s="124">
        <f t="shared" ref="R286:S286" ca="1" si="1223">R285/R273</f>
        <v>6480721.4261953393</v>
      </c>
      <c r="S286" s="124">
        <f t="shared" ca="1" si="1223"/>
        <v>9112041.6742446236</v>
      </c>
      <c r="T286" s="124">
        <f t="shared" ref="T286:U286" ca="1" si="1224">T285/T273</f>
        <v>8952818.3726492692</v>
      </c>
      <c r="U286" s="124">
        <f t="shared" ca="1" si="1224"/>
        <v>7390385.5537556922</v>
      </c>
      <c r="V286" s="124">
        <f t="shared" ref="V286:W286" ca="1" si="1225">V285/V273</f>
        <v>7112490.7738523679</v>
      </c>
      <c r="W286" s="124">
        <f t="shared" ca="1" si="1225"/>
        <v>4942542.6294737924</v>
      </c>
      <c r="X286" s="124">
        <f t="shared" ref="X286:Y286" ca="1" si="1226">X285/X273</f>
        <v>7361588.9745914098</v>
      </c>
      <c r="Y286" s="124">
        <f t="shared" ca="1" si="1226"/>
        <v>10691731.879366023</v>
      </c>
      <c r="Z286" s="124">
        <f t="shared" ref="Z286:AA286" ca="1" si="1227">Z285/Z273</f>
        <v>12416157.037454547</v>
      </c>
      <c r="AA286" s="124">
        <f t="shared" ca="1" si="1227"/>
        <v>9622379.7142738514</v>
      </c>
      <c r="AB286" s="124">
        <f t="shared" ref="AB286:AC286" ca="1" si="1228">AB285/AB273</f>
        <v>6130944.6669033552</v>
      </c>
      <c r="AC286" s="124">
        <f t="shared" ca="1" si="1228"/>
        <v>4794332.6691499827</v>
      </c>
      <c r="AD286" s="124">
        <f t="shared" ref="AD286:AE286" ca="1" si="1229">AD285/AD273</f>
        <v>5107851.6085984437</v>
      </c>
      <c r="AE286" s="124">
        <f t="shared" ca="1" si="1229"/>
        <v>7805691.8346341038</v>
      </c>
      <c r="AF286" s="124">
        <f t="shared" ref="AF286:AG286" ca="1" si="1230">AF285/AF273</f>
        <v>7739351.2424318623</v>
      </c>
      <c r="AG286" s="124">
        <f t="shared" ca="1" si="1230"/>
        <v>6384684.4752461771</v>
      </c>
      <c r="AH286" s="124">
        <f t="shared" ref="AH286:AI286" ca="1" si="1231">AH285/AH273</f>
        <v>6154892.0004380196</v>
      </c>
      <c r="AI286" s="124">
        <f t="shared" ca="1" si="1231"/>
        <v>4211103.3336277436</v>
      </c>
      <c r="AJ286" s="124">
        <f t="shared" ref="AJ286:AK286" ca="1" si="1232">AJ285/AJ273</f>
        <v>6308500.4073537858</v>
      </c>
      <c r="AK286" s="124">
        <f t="shared" ca="1" si="1232"/>
        <v>9206868.0244257748</v>
      </c>
      <c r="AL286" s="124">
        <f t="shared" ref="AL286:AM286" ca="1" si="1233">AL285/AL273</f>
        <v>10759622.088490007</v>
      </c>
      <c r="AM286" s="124">
        <f t="shared" ca="1" si="1233"/>
        <v>8347668.1041499339</v>
      </c>
      <c r="AN286" s="124">
        <f t="shared" ref="AN286:AO286" ca="1" si="1234">AN285/AN273</f>
        <v>5304252.9425528934</v>
      </c>
      <c r="AO286" s="124">
        <f t="shared" ca="1" si="1234"/>
        <v>4117515.803185429</v>
      </c>
      <c r="AP286" s="124">
        <f t="shared" ref="AP286:AQ286" ca="1" si="1235">AP285/AP273</f>
        <v>4358235.1230043164</v>
      </c>
      <c r="AQ286" s="124">
        <f t="shared" ca="1" si="1235"/>
        <v>6728261.6790870335</v>
      </c>
      <c r="AR286" s="124">
        <f t="shared" ref="AR286:AS286" ca="1" si="1236">AR285/AR273</f>
        <v>6678213.1393401567</v>
      </c>
      <c r="AS286" s="124">
        <f t="shared" ca="1" si="1236"/>
        <v>5505450.6829758156</v>
      </c>
      <c r="AT286" s="124">
        <f t="shared" ref="AT286:AU286" ca="1" si="1237">AT285/AT273</f>
        <v>5317150.2049147291</v>
      </c>
      <c r="AU286" s="124">
        <f t="shared" ca="1" si="1237"/>
        <v>3574854.815823677</v>
      </c>
      <c r="AV286" s="124">
        <f t="shared" ref="AV286:AW286" ca="1" si="1238">AV285/AV273</f>
        <v>5390638.5647467459</v>
      </c>
      <c r="AW286" s="124">
        <f t="shared" ca="1" si="1238"/>
        <v>7910358.8095335774</v>
      </c>
      <c r="AX286" s="124">
        <f t="shared" ref="AX286:AY286" ca="1" si="1239">AX285/AX273</f>
        <v>9309591.1533272099</v>
      </c>
      <c r="AY286" s="124">
        <f t="shared" ca="1" si="1239"/>
        <v>7231356.589507347</v>
      </c>
      <c r="AZ286" s="124">
        <f t="shared" ref="AZ286:BA286" ca="1" si="1240">AZ285/AZ273</f>
        <v>4581101.9979400253</v>
      </c>
      <c r="BA286" s="124">
        <f t="shared" ca="1" si="1240"/>
        <v>3527140.3410573015</v>
      </c>
      <c r="BB286" s="124">
        <f t="shared" ref="BB286" ca="1" si="1241">BB285/BB273</f>
        <v>4087687.0859436882</v>
      </c>
      <c r="BD286" s="57">
        <f ca="1">SUM(G286:BC286)</f>
        <v>71012167.676285639</v>
      </c>
    </row>
    <row r="287" spans="1:56" x14ac:dyDescent="0.3">
      <c r="A287" s="10" t="str">
        <f ca="1">Language!A1353</f>
        <v>Дисконтированный поток нарастающим итогом</v>
      </c>
      <c r="B287" s="77"/>
      <c r="C287" s="48" t="str">
        <f ca="1">Параметры!$C$64</f>
        <v>руб.</v>
      </c>
      <c r="F287" s="6" t="s">
        <v>741</v>
      </c>
      <c r="G287" s="55">
        <f ca="1">IF(G$2=1,G286,F287+G286)</f>
        <v>-291667</v>
      </c>
      <c r="H287" s="55">
        <f t="shared" ref="H287:BB287" ca="1" si="1242">IF(H$2=1,H286,G287+H286)</f>
        <v>-1924995.2756147657</v>
      </c>
      <c r="I287" s="55">
        <f t="shared" ca="1" si="1242"/>
        <v>-134493159.82219869</v>
      </c>
      <c r="J287" s="55">
        <f t="shared" ca="1" si="1242"/>
        <v>-152065345.17549068</v>
      </c>
      <c r="K287" s="55">
        <f t="shared" ca="1" si="1242"/>
        <v>-168086483.5671902</v>
      </c>
      <c r="L287" s="55">
        <f t="shared" ca="1" si="1242"/>
        <v>-185606593.49420226</v>
      </c>
      <c r="M287" s="55">
        <f t="shared" ca="1" si="1242"/>
        <v>-192806331.91653359</v>
      </c>
      <c r="N287" s="55">
        <f t="shared" ca="1" si="1242"/>
        <v>-198409596.95768455</v>
      </c>
      <c r="O287" s="55">
        <f t="shared" ca="1" si="1242"/>
        <v>-193431684.35863253</v>
      </c>
      <c r="P287" s="55">
        <f t="shared" ca="1" si="1242"/>
        <v>-186749836.5300543</v>
      </c>
      <c r="Q287" s="55">
        <f t="shared" ca="1" si="1242"/>
        <v>-179644009.74796048</v>
      </c>
      <c r="R287" s="55">
        <f t="shared" ca="1" si="1242"/>
        <v>-173163288.32176512</v>
      </c>
      <c r="S287" s="55">
        <f t="shared" ca="1" si="1242"/>
        <v>-164051246.64752051</v>
      </c>
      <c r="T287" s="55">
        <f t="shared" ca="1" si="1242"/>
        <v>-155098428.27487123</v>
      </c>
      <c r="U287" s="55">
        <f t="shared" ca="1" si="1242"/>
        <v>-147708042.72111553</v>
      </c>
      <c r="V287" s="55">
        <f t="shared" ca="1" si="1242"/>
        <v>-140595551.94726315</v>
      </c>
      <c r="W287" s="55">
        <f t="shared" ca="1" si="1242"/>
        <v>-135653009.31778935</v>
      </c>
      <c r="X287" s="55">
        <f t="shared" ca="1" si="1242"/>
        <v>-128291420.34319794</v>
      </c>
      <c r="Y287" s="55">
        <f t="shared" ca="1" si="1242"/>
        <v>-117599688.46383192</v>
      </c>
      <c r="Z287" s="55">
        <f t="shared" ca="1" si="1242"/>
        <v>-105183531.42637737</v>
      </c>
      <c r="AA287" s="55">
        <f t="shared" ca="1" si="1242"/>
        <v>-95561151.712103516</v>
      </c>
      <c r="AB287" s="55">
        <f t="shared" ca="1" si="1242"/>
        <v>-89430207.045200154</v>
      </c>
      <c r="AC287" s="55">
        <f t="shared" ca="1" si="1242"/>
        <v>-84635874.376050174</v>
      </c>
      <c r="AD287" s="55">
        <f t="shared" ca="1" si="1242"/>
        <v>-79528022.767451733</v>
      </c>
      <c r="AE287" s="55">
        <f t="shared" ca="1" si="1242"/>
        <v>-71722330.932817623</v>
      </c>
      <c r="AF287" s="55">
        <f t="shared" ca="1" si="1242"/>
        <v>-63982979.690385759</v>
      </c>
      <c r="AG287" s="55">
        <f t="shared" ca="1" si="1242"/>
        <v>-57598295.215139583</v>
      </c>
      <c r="AH287" s="55">
        <f t="shared" ca="1" si="1242"/>
        <v>-51443403.214701563</v>
      </c>
      <c r="AI287" s="55">
        <f t="shared" ca="1" si="1242"/>
        <v>-47232299.881073818</v>
      </c>
      <c r="AJ287" s="55">
        <f t="shared" ca="1" si="1242"/>
        <v>-40923799.473720029</v>
      </c>
      <c r="AK287" s="55">
        <f t="shared" ca="1" si="1242"/>
        <v>-31716931.449294254</v>
      </c>
      <c r="AL287" s="55">
        <f t="shared" ca="1" si="1242"/>
        <v>-20957309.360804245</v>
      </c>
      <c r="AM287" s="55">
        <f t="shared" ca="1" si="1242"/>
        <v>-12609641.256654311</v>
      </c>
      <c r="AN287" s="55">
        <f t="shared" ca="1" si="1242"/>
        <v>-7305388.3141014175</v>
      </c>
      <c r="AO287" s="55">
        <f t="shared" ca="1" si="1242"/>
        <v>-3187872.5109159886</v>
      </c>
      <c r="AP287" s="55">
        <f t="shared" ca="1" si="1242"/>
        <v>1170362.6120883278</v>
      </c>
      <c r="AQ287" s="55">
        <f t="shared" ca="1" si="1242"/>
        <v>7898624.2911753617</v>
      </c>
      <c r="AR287" s="55">
        <f t="shared" ca="1" si="1242"/>
        <v>14576837.430515518</v>
      </c>
      <c r="AS287" s="55">
        <f t="shared" ca="1" si="1242"/>
        <v>20082288.113491334</v>
      </c>
      <c r="AT287" s="55">
        <f t="shared" ca="1" si="1242"/>
        <v>25399438.318406064</v>
      </c>
      <c r="AU287" s="55">
        <f t="shared" ca="1" si="1242"/>
        <v>28974293.134229742</v>
      </c>
      <c r="AV287" s="55">
        <f t="shared" ca="1" si="1242"/>
        <v>34364931.698976487</v>
      </c>
      <c r="AW287" s="55">
        <f t="shared" ca="1" si="1242"/>
        <v>42275290.508510068</v>
      </c>
      <c r="AX287" s="55">
        <f t="shared" ca="1" si="1242"/>
        <v>51584881.66183728</v>
      </c>
      <c r="AY287" s="55">
        <f t="shared" ca="1" si="1242"/>
        <v>58816238.251344629</v>
      </c>
      <c r="AZ287" s="55">
        <f t="shared" ca="1" si="1242"/>
        <v>63397340.249284655</v>
      </c>
      <c r="BA287" s="55">
        <f t="shared" ca="1" si="1242"/>
        <v>66924480.590341955</v>
      </c>
      <c r="BB287" s="55">
        <f t="shared" ca="1" si="1242"/>
        <v>71012167.676285639</v>
      </c>
    </row>
    <row r="288" spans="1:56" x14ac:dyDescent="0.3">
      <c r="A288" s="10"/>
      <c r="B288" s="77"/>
      <c r="G288" s="55"/>
      <c r="H288" s="55"/>
      <c r="I288" s="55"/>
      <c r="J288" s="55"/>
      <c r="K288" s="55"/>
      <c r="L288" s="55"/>
      <c r="M288" s="55"/>
      <c r="N288" s="55"/>
      <c r="O288" s="55"/>
      <c r="P288" s="55"/>
      <c r="Q288" s="55"/>
      <c r="R288" s="55"/>
      <c r="S288" s="55"/>
      <c r="T288" s="55"/>
      <c r="U288" s="55"/>
      <c r="V288" s="55"/>
      <c r="W288" s="55"/>
      <c r="X288" s="55"/>
      <c r="Y288" s="55"/>
      <c r="Z288" s="55"/>
      <c r="AA288" s="55"/>
      <c r="AB288" s="55"/>
      <c r="AC288" s="55"/>
      <c r="AD288" s="55"/>
      <c r="AE288" s="55"/>
      <c r="AF288" s="55"/>
      <c r="AG288" s="55"/>
      <c r="AH288" s="55"/>
      <c r="AI288" s="55"/>
      <c r="AJ288" s="55"/>
      <c r="AK288" s="55"/>
      <c r="AL288" s="55"/>
      <c r="AM288" s="55"/>
      <c r="AN288" s="55"/>
      <c r="AO288" s="55"/>
      <c r="AP288" s="55"/>
      <c r="AQ288" s="55"/>
      <c r="AR288" s="55"/>
      <c r="AS288" s="55"/>
      <c r="AT288" s="55"/>
      <c r="AU288" s="55"/>
      <c r="AV288" s="55"/>
      <c r="AW288" s="55"/>
      <c r="AX288" s="55"/>
      <c r="AY288" s="55"/>
      <c r="AZ288" s="55"/>
      <c r="BA288" s="55"/>
      <c r="BB288" s="55"/>
    </row>
    <row r="289" spans="1:56" x14ac:dyDescent="0.3">
      <c r="A289" s="22" t="str">
        <f ca="1">Language!A1359</f>
        <v>Чистая приведенная стоимость, NPV</v>
      </c>
      <c r="B289" s="99">
        <f ca="1">BD286</f>
        <v>71012167.676285639</v>
      </c>
      <c r="C289" s="48" t="str">
        <f ca="1">Параметры!$C$64</f>
        <v>руб.</v>
      </c>
      <c r="G289" s="55"/>
      <c r="H289" s="55"/>
      <c r="I289" s="55"/>
      <c r="J289" s="55"/>
      <c r="K289" s="55"/>
      <c r="L289" s="55"/>
      <c r="M289" s="55"/>
      <c r="N289" s="55"/>
      <c r="O289" s="55"/>
      <c r="P289" s="55"/>
      <c r="Q289" s="55"/>
      <c r="R289" s="55"/>
      <c r="S289" s="55"/>
      <c r="T289" s="55"/>
      <c r="U289" s="55"/>
      <c r="V289" s="55"/>
      <c r="W289" s="55"/>
      <c r="X289" s="55"/>
      <c r="Y289" s="55"/>
      <c r="Z289" s="55"/>
      <c r="AA289" s="55"/>
      <c r="AB289" s="55"/>
      <c r="AC289" s="55"/>
      <c r="AD289" s="55"/>
      <c r="AE289" s="55"/>
      <c r="AF289" s="55"/>
      <c r="AG289" s="55"/>
      <c r="AH289" s="55"/>
      <c r="AI289" s="55"/>
      <c r="AJ289" s="55"/>
      <c r="AK289" s="55"/>
      <c r="AL289" s="55"/>
      <c r="AM289" s="55"/>
      <c r="AN289" s="55"/>
      <c r="AO289" s="55"/>
      <c r="AP289" s="55"/>
      <c r="AQ289" s="55"/>
      <c r="AR289" s="55"/>
      <c r="AS289" s="55"/>
      <c r="AT289" s="55"/>
      <c r="AU289" s="55"/>
      <c r="AV289" s="55"/>
      <c r="AW289" s="55"/>
      <c r="AX289" s="55"/>
      <c r="AY289" s="55"/>
      <c r="AZ289" s="55"/>
      <c r="BA289" s="55"/>
      <c r="BB289" s="55"/>
    </row>
    <row r="290" spans="1:56" x14ac:dyDescent="0.3">
      <c r="A290" s="10"/>
      <c r="G290" s="55"/>
      <c r="H290" s="55"/>
      <c r="I290" s="55"/>
      <c r="J290" s="55"/>
      <c r="K290" s="55"/>
      <c r="L290" s="55"/>
      <c r="M290" s="55"/>
      <c r="N290" s="55"/>
      <c r="O290" s="55"/>
      <c r="P290" s="55"/>
      <c r="Q290" s="55"/>
      <c r="R290" s="55"/>
      <c r="S290" s="55"/>
      <c r="T290" s="55"/>
      <c r="U290" s="55"/>
      <c r="V290" s="55"/>
      <c r="W290" s="55"/>
      <c r="X290" s="55"/>
      <c r="Y290" s="55"/>
      <c r="Z290" s="55"/>
      <c r="AA290" s="55"/>
      <c r="AB290" s="55"/>
      <c r="AC290" s="55"/>
      <c r="AD290" s="55"/>
      <c r="AE290" s="55"/>
      <c r="AF290" s="55"/>
      <c r="AG290" s="55"/>
      <c r="AH290" s="55"/>
      <c r="AI290" s="55"/>
      <c r="AJ290" s="55"/>
      <c r="AK290" s="55"/>
      <c r="AL290" s="55"/>
      <c r="AM290" s="55"/>
      <c r="AN290" s="55"/>
      <c r="AO290" s="55"/>
      <c r="AP290" s="55"/>
      <c r="AQ290" s="55"/>
      <c r="AR290" s="55"/>
      <c r="AS290" s="55"/>
      <c r="AT290" s="55"/>
      <c r="AU290" s="55"/>
      <c r="AV290" s="55"/>
      <c r="AW290" s="55"/>
      <c r="AX290" s="55"/>
      <c r="AY290" s="55"/>
      <c r="AZ290" s="55"/>
      <c r="BA290" s="55"/>
      <c r="BB290" s="55"/>
    </row>
    <row r="291" spans="1:56" x14ac:dyDescent="0.3">
      <c r="A291" s="22" t="str">
        <f ca="1">Language!A1360</f>
        <v>Внутренняя норма рентабельности, IRR</v>
      </c>
      <c r="B291" s="97">
        <f ca="1">IFERROR(IF(POWER(1+IRR(G294:BC294,G272),360/Параметры!B$21)-1&gt;999%,"-",POWER(1+IRR(G294:BC294,G272),360/Параметры!B$21)-1),"-")</f>
        <v>0.49509032155244537</v>
      </c>
      <c r="C291" s="48" t="s">
        <v>1</v>
      </c>
      <c r="G291" s="41" t="str">
        <f ca="1">Language!A$1361</f>
        <v>(с учетом инфляции, номинальная)</v>
      </c>
    </row>
    <row r="292" spans="1:56" outlineLevel="1" x14ac:dyDescent="0.3">
      <c r="A292" s="10" t="str">
        <f ca="1">Language!A$412</f>
        <v>Темпы роста цен, базовые</v>
      </c>
      <c r="B292" s="5"/>
      <c r="C292" s="48" t="str">
        <f ca="1">Language!A$480</f>
        <v>% в год</v>
      </c>
      <c r="F292" s="6" t="s">
        <v>745</v>
      </c>
      <c r="G292" s="29">
        <f>(CHOOSE(Prj_CurReport,Параметры!G$43,Параметры!G$54,Параметры!G$60))</f>
        <v>0.06</v>
      </c>
      <c r="H292" s="29">
        <f>(CHOOSE(Prj_CurReport,Параметры!H$43,Параметры!H$54,Параметры!H$60))</f>
        <v>0.06</v>
      </c>
      <c r="I292" s="29">
        <f>(CHOOSE(Prj_CurReport,Параметры!I$43,Параметры!I$54,Параметры!I$60))</f>
        <v>0.06</v>
      </c>
      <c r="J292" s="29">
        <f>(CHOOSE(Prj_CurReport,Параметры!J$43,Параметры!J$54,Параметры!J$60))</f>
        <v>0.06</v>
      </c>
      <c r="K292" s="29">
        <f>(CHOOSE(Prj_CurReport,Параметры!K$43,Параметры!K$54,Параметры!K$60))</f>
        <v>0.06</v>
      </c>
      <c r="L292" s="29">
        <f>(CHOOSE(Prj_CurReport,Параметры!L$43,Параметры!L$54,Параметры!L$60))</f>
        <v>0.06</v>
      </c>
      <c r="M292" s="29">
        <f>(CHOOSE(Prj_CurReport,Параметры!M$43,Параметры!M$54,Параметры!M$60))</f>
        <v>0.06</v>
      </c>
      <c r="N292" s="29">
        <f>(CHOOSE(Prj_CurReport,Параметры!N$43,Параметры!N$54,Параметры!N$60))</f>
        <v>0.06</v>
      </c>
      <c r="O292" s="29">
        <f>(CHOOSE(Prj_CurReport,Параметры!O$43,Параметры!O$54,Параметры!O$60))</f>
        <v>0.06</v>
      </c>
      <c r="P292" s="29">
        <f>(CHOOSE(Prj_CurReport,Параметры!P$43,Параметры!P$54,Параметры!P$60))</f>
        <v>0.06</v>
      </c>
      <c r="Q292" s="29">
        <f>(CHOOSE(Prj_CurReport,Параметры!Q$43,Параметры!Q$54,Параметры!Q$60))</f>
        <v>0.06</v>
      </c>
      <c r="R292" s="29">
        <f>(CHOOSE(Prj_CurReport,Параметры!R$43,Параметры!R$54,Параметры!R$60))</f>
        <v>0.06</v>
      </c>
      <c r="S292" s="29">
        <f>(CHOOSE(Prj_CurReport,Параметры!S$43,Параметры!S$54,Параметры!S$60))</f>
        <v>0.06</v>
      </c>
      <c r="T292" s="29">
        <f>(CHOOSE(Prj_CurReport,Параметры!T$43,Параметры!T$54,Параметры!T$60))</f>
        <v>0.06</v>
      </c>
      <c r="U292" s="29">
        <f>(CHOOSE(Prj_CurReport,Параметры!U$43,Параметры!U$54,Параметры!U$60))</f>
        <v>0.06</v>
      </c>
      <c r="V292" s="29">
        <f>(CHOOSE(Prj_CurReport,Параметры!V$43,Параметры!V$54,Параметры!V$60))</f>
        <v>0.06</v>
      </c>
      <c r="W292" s="29">
        <f>(CHOOSE(Prj_CurReport,Параметры!W$43,Параметры!W$54,Параметры!W$60))</f>
        <v>0.06</v>
      </c>
      <c r="X292" s="29">
        <f>(CHOOSE(Prj_CurReport,Параметры!X$43,Параметры!X$54,Параметры!X$60))</f>
        <v>0.06</v>
      </c>
      <c r="Y292" s="29">
        <f>(CHOOSE(Prj_CurReport,Параметры!Y$43,Параметры!Y$54,Параметры!Y$60))</f>
        <v>0.06</v>
      </c>
      <c r="Z292" s="29">
        <f>(CHOOSE(Prj_CurReport,Параметры!Z$43,Параметры!Z$54,Параметры!Z$60))</f>
        <v>0.06</v>
      </c>
      <c r="AA292" s="29">
        <f>(CHOOSE(Prj_CurReport,Параметры!AA$43,Параметры!AA$54,Параметры!AA$60))</f>
        <v>0.06</v>
      </c>
      <c r="AB292" s="29">
        <f>(CHOOSE(Prj_CurReport,Параметры!AB$43,Параметры!AB$54,Параметры!AB$60))</f>
        <v>0.06</v>
      </c>
      <c r="AC292" s="29">
        <f>(CHOOSE(Prj_CurReport,Параметры!AC$43,Параметры!AC$54,Параметры!AC$60))</f>
        <v>0.06</v>
      </c>
      <c r="AD292" s="29">
        <f>(CHOOSE(Prj_CurReport,Параметры!AD$43,Параметры!AD$54,Параметры!AD$60))</f>
        <v>0.06</v>
      </c>
      <c r="AE292" s="29">
        <f>(CHOOSE(Prj_CurReport,Параметры!AE$43,Параметры!AE$54,Параметры!AE$60))</f>
        <v>0.06</v>
      </c>
      <c r="AF292" s="29">
        <f>(CHOOSE(Prj_CurReport,Параметры!AF$43,Параметры!AF$54,Параметры!AF$60))</f>
        <v>0.06</v>
      </c>
      <c r="AG292" s="29">
        <f>(CHOOSE(Prj_CurReport,Параметры!AG$43,Параметры!AG$54,Параметры!AG$60))</f>
        <v>0.06</v>
      </c>
      <c r="AH292" s="29">
        <f>(CHOOSE(Prj_CurReport,Параметры!AH$43,Параметры!AH$54,Параметры!AH$60))</f>
        <v>0.06</v>
      </c>
      <c r="AI292" s="29">
        <f>(CHOOSE(Prj_CurReport,Параметры!AI$43,Параметры!AI$54,Параметры!AI$60))</f>
        <v>0.06</v>
      </c>
      <c r="AJ292" s="29">
        <f>(CHOOSE(Prj_CurReport,Параметры!AJ$43,Параметры!AJ$54,Параметры!AJ$60))</f>
        <v>0.06</v>
      </c>
      <c r="AK292" s="29">
        <f>(CHOOSE(Prj_CurReport,Параметры!AK$43,Параметры!AK$54,Параметры!AK$60))</f>
        <v>0.06</v>
      </c>
      <c r="AL292" s="29">
        <f>(CHOOSE(Prj_CurReport,Параметры!AL$43,Параметры!AL$54,Параметры!AL$60))</f>
        <v>0.06</v>
      </c>
      <c r="AM292" s="29">
        <f>(CHOOSE(Prj_CurReport,Параметры!AM$43,Параметры!AM$54,Параметры!AM$60))</f>
        <v>0.06</v>
      </c>
      <c r="AN292" s="29">
        <f>(CHOOSE(Prj_CurReport,Параметры!AN$43,Параметры!AN$54,Параметры!AN$60))</f>
        <v>0.06</v>
      </c>
      <c r="AO292" s="29">
        <f>(CHOOSE(Prj_CurReport,Параметры!AO$43,Параметры!AO$54,Параметры!AO$60))</f>
        <v>0.06</v>
      </c>
      <c r="AP292" s="29">
        <f>(CHOOSE(Prj_CurReport,Параметры!AP$43,Параметры!AP$54,Параметры!AP$60))</f>
        <v>0.06</v>
      </c>
      <c r="AQ292" s="29">
        <f>(CHOOSE(Prj_CurReport,Параметры!AQ$43,Параметры!AQ$54,Параметры!AQ$60))</f>
        <v>0.06</v>
      </c>
      <c r="AR292" s="29">
        <f>(CHOOSE(Prj_CurReport,Параметры!AR$43,Параметры!AR$54,Параметры!AR$60))</f>
        <v>0.06</v>
      </c>
      <c r="AS292" s="29">
        <f>(CHOOSE(Prj_CurReport,Параметры!AS$43,Параметры!AS$54,Параметры!AS$60))</f>
        <v>0.06</v>
      </c>
      <c r="AT292" s="29">
        <f>(CHOOSE(Prj_CurReport,Параметры!AT$43,Параметры!AT$54,Параметры!AT$60))</f>
        <v>0.06</v>
      </c>
      <c r="AU292" s="29">
        <f>(CHOOSE(Prj_CurReport,Параметры!AU$43,Параметры!AU$54,Параметры!AU$60))</f>
        <v>0.06</v>
      </c>
      <c r="AV292" s="29">
        <f>(CHOOSE(Prj_CurReport,Параметры!AV$43,Параметры!AV$54,Параметры!AV$60))</f>
        <v>0.06</v>
      </c>
      <c r="AW292" s="29">
        <f>(CHOOSE(Prj_CurReport,Параметры!AW$43,Параметры!AW$54,Параметры!AW$60))</f>
        <v>0.06</v>
      </c>
      <c r="AX292" s="29">
        <f>(CHOOSE(Prj_CurReport,Параметры!AX$43,Параметры!AX$54,Параметры!AX$60))</f>
        <v>0.06</v>
      </c>
      <c r="AY292" s="29">
        <f>(CHOOSE(Prj_CurReport,Параметры!AY$43,Параметры!AY$54,Параметры!AY$60))</f>
        <v>0.06</v>
      </c>
      <c r="AZ292" s="29">
        <f>(CHOOSE(Prj_CurReport,Параметры!AZ$43,Параметры!AZ$54,Параметры!AZ$60))</f>
        <v>0.06</v>
      </c>
      <c r="BA292" s="29">
        <f>(CHOOSE(Prj_CurReport,Параметры!BA$43,Параметры!BA$54,Параметры!BA$60))</f>
        <v>0.06</v>
      </c>
      <c r="BB292" s="29">
        <f>(CHOOSE(Prj_CurReport,Параметры!BB$43,Параметры!BB$54,Параметры!BB$60))</f>
        <v>0.06</v>
      </c>
    </row>
    <row r="293" spans="1:56" outlineLevel="1" x14ac:dyDescent="0.3">
      <c r="A293" s="35" t="str">
        <f ca="1">Language!A$600</f>
        <v>коэффициент изменения цен к началу проекта</v>
      </c>
      <c r="B293" s="25"/>
      <c r="C293" s="48" t="str">
        <f ca="1">Language!$A$1477</f>
        <v>раз</v>
      </c>
      <c r="F293" s="6" t="s">
        <v>745</v>
      </c>
      <c r="G293" s="19">
        <f ca="1">IF(G$2=1,1,IF(Prj_Inflation=1,POWER(1+OFFSET(G292,0,-1),Параметры!G$30/360),1) * IF(G$2&gt;1, F293, 1))</f>
        <v>1</v>
      </c>
      <c r="H293" s="19">
        <f ca="1">IF(H$2=1,1,IF(Prj_Inflation=1,POWER(1+OFFSET(H292,0,-1),Параметры!H$30/360),1) * IF(H$2&gt;1, G293, 1))</f>
        <v>1.004867550565343</v>
      </c>
      <c r="I293" s="19">
        <f ca="1">IF(I$2=1,1,IF(Prj_Inflation=1,POWER(1+OFFSET(I292,0,-1),Параметры!I$30/360),1) * IF(I$2&gt;1, H293, 1))</f>
        <v>1.0097587941791923</v>
      </c>
      <c r="J293" s="19">
        <f ca="1">IF(J$2=1,1,IF(Prj_Inflation=1,POWER(1+OFFSET(J292,0,-1),Параметры!J$30/360),1) * IF(J$2&gt;1, I293, 1))</f>
        <v>1.0146738461686593</v>
      </c>
      <c r="K293" s="19">
        <f ca="1">IF(K$2=1,1,IF(Prj_Inflation=1,POWER(1+OFFSET(K292,0,-1),Параметры!K$30/360),1) * IF(K$2&gt;1, J293, 1))</f>
        <v>1.0196128224222163</v>
      </c>
      <c r="L293" s="19">
        <f ca="1">IF(L$2=1,1,IF(Prj_Inflation=1,POWER(1+OFFSET(L292,0,-1),Параметры!L$30/360),1) * IF(L$2&gt;1, K293, 1))</f>
        <v>1.0245758393924285</v>
      </c>
      <c r="M293" s="19">
        <f ca="1">IF(M$2=1,1,IF(Prj_Inflation=1,POWER(1+OFFSET(M292,0,-1),Параметры!M$30/360),1) * IF(M$2&gt;1, L293, 1))</f>
        <v>1.0295630140987</v>
      </c>
      <c r="N293" s="19">
        <f ca="1">IF(N$2=1,1,IF(Prj_Inflation=1,POWER(1+OFFSET(N292,0,-1),Параметры!N$30/360),1) * IF(N$2&gt;1, M293, 1))</f>
        <v>1.0345744641300325</v>
      </c>
      <c r="O293" s="19">
        <f ca="1">IF(O$2=1,1,IF(Prj_Inflation=1,POWER(1+OFFSET(O292,0,-1),Параметры!O$30/360),1) * IF(O$2&gt;1, N293, 1))</f>
        <v>1.039610307647798</v>
      </c>
      <c r="P293" s="19">
        <f ca="1">IF(P$2=1,1,IF(Prj_Inflation=1,POWER(1+OFFSET(P292,0,-1),Параметры!P$30/360),1) * IF(P$2&gt;1, O293, 1))</f>
        <v>1.0446706633885257</v>
      </c>
      <c r="Q293" s="19">
        <f ca="1">IF(Q$2=1,1,IF(Prj_Inflation=1,POWER(1+OFFSET(Q292,0,-1),Параметры!Q$30/360),1) * IF(Q$2&gt;1, P293, 1))</f>
        <v>1.0497556506666998</v>
      </c>
      <c r="R293" s="19">
        <f ca="1">IF(R$2=1,1,IF(Prj_Inflation=1,POWER(1+OFFSET(R292,0,-1),Параметры!R$30/360),1) * IF(R$2&gt;1, Q293, 1))</f>
        <v>1.0548653893775746</v>
      </c>
      <c r="S293" s="19">
        <f ca="1">IF(S$2=1,1,IF(Prj_Inflation=1,POWER(1+OFFSET(S292,0,-1),Параметры!S$30/360),1) * IF(S$2&gt;1, R293, 1))</f>
        <v>1.0600000000000003</v>
      </c>
      <c r="T293" s="19">
        <f ca="1">IF(T$2=1,1,IF(Prj_Inflation=1,POWER(1+OFFSET(T292,0,-1),Параметры!T$30/360),1) * IF(T$2&gt;1, S293, 1))</f>
        <v>1.0651596035992639</v>
      </c>
      <c r="U293" s="19">
        <f ca="1">IF(U$2=1,1,IF(Prj_Inflation=1,POWER(1+OFFSET(U292,0,-1),Параметры!U$30/360),1) * IF(U$2&gt;1, T293, 1))</f>
        <v>1.070344321829944</v>
      </c>
      <c r="V293" s="19">
        <f ca="1">IF(V$2=1,1,IF(Prj_Inflation=1,POWER(1+OFFSET(V292,0,-1),Параметры!V$30/360),1) * IF(V$2&gt;1, U293, 1))</f>
        <v>1.0755542769387791</v>
      </c>
      <c r="W293" s="19">
        <f ca="1">IF(W$2=1,1,IF(Prj_Inflation=1,POWER(1+OFFSET(W292,0,-1),Параметры!W$30/360),1) * IF(W$2&gt;1, V293, 1))</f>
        <v>1.0807895917675496</v>
      </c>
      <c r="X293" s="19">
        <f ca="1">IF(X$2=1,1,IF(Prj_Inflation=1,POWER(1+OFFSET(X292,0,-1),Параметры!X$30/360),1) * IF(X$2&gt;1, W293, 1))</f>
        <v>1.0860503897559746</v>
      </c>
      <c r="Y293" s="19">
        <f ca="1">IF(Y$2=1,1,IF(Prj_Inflation=1,POWER(1+OFFSET(Y292,0,-1),Параметры!Y$30/360),1) * IF(Y$2&gt;1, X293, 1))</f>
        <v>1.0913367949446222</v>
      </c>
      <c r="Z293" s="19">
        <f ca="1">IF(Z$2=1,1,IF(Prj_Inflation=1,POWER(1+OFFSET(Z292,0,-1),Параметры!Z$30/360),1) * IF(Z$2&gt;1, Y293, 1))</f>
        <v>1.0966489319778345</v>
      </c>
      <c r="AA293" s="19">
        <f ca="1">IF(AA$2=1,1,IF(Prj_Inflation=1,POWER(1+OFFSET(AA292,0,-1),Параметры!AA$30/360),1) * IF(AA$2&gt;1, Z293, 1))</f>
        <v>1.1019869261066662</v>
      </c>
      <c r="AB293" s="19">
        <f ca="1">IF(AB$2=1,1,IF(Prj_Inflation=1,POWER(1+OFFSET(AB292,0,-1),Параметры!AB$30/360),1) * IF(AB$2&gt;1, AA293, 1))</f>
        <v>1.1073509031918374</v>
      </c>
      <c r="AC293" s="19">
        <f ca="1">IF(AC$2=1,1,IF(Prj_Inflation=1,POWER(1+OFFSET(AC292,0,-1),Параметры!AC$30/360),1) * IF(AC$2&gt;1, AB293, 1))</f>
        <v>1.112740989706702</v>
      </c>
      <c r="AD293" s="19">
        <f ca="1">IF(AD$2=1,1,IF(Prj_Inflation=1,POWER(1+OFFSET(AD292,0,-1),Параметры!AD$30/360),1) * IF(AD$2&gt;1, AC293, 1))</f>
        <v>1.1181573127402293</v>
      </c>
      <c r="AE293" s="19">
        <f ca="1">IF(AE$2=1,1,IF(Prj_Inflation=1,POWER(1+OFFSET(AE292,0,-1),Параметры!AE$30/360),1) * IF(AE$2&gt;1, AD293, 1))</f>
        <v>1.1236000000000006</v>
      </c>
      <c r="AF293" s="19">
        <f ca="1">IF(AF$2=1,1,IF(Prj_Inflation=1,POWER(1+OFFSET(AF292,0,-1),Параметры!AF$30/360),1) * IF(AF$2&gt;1, AE293, 1))</f>
        <v>1.1290691798152201</v>
      </c>
      <c r="AG293" s="19">
        <f ca="1">IF(AG$2=1,1,IF(Prj_Inflation=1,POWER(1+OFFSET(AG292,0,-1),Параметры!AG$30/360),1) * IF(AG$2&gt;1, AF293, 1))</f>
        <v>1.1345649811397411</v>
      </c>
      <c r="AH293" s="19">
        <f ca="1">IF(AH$2=1,1,IF(Prj_Inflation=1,POWER(1+OFFSET(AH292,0,-1),Параметры!AH$30/360),1) * IF(AH$2&gt;1, AG293, 1))</f>
        <v>1.1400875335551064</v>
      </c>
      <c r="AI293" s="19">
        <f ca="1">IF(AI$2=1,1,IF(Prj_Inflation=1,POWER(1+OFFSET(AI292,0,-1),Параметры!AI$30/360),1) * IF(AI$2&gt;1, AH293, 1))</f>
        <v>1.1456369672736031</v>
      </c>
      <c r="AJ293" s="19">
        <f ca="1">IF(AJ$2=1,1,IF(Prj_Inflation=1,POWER(1+OFFSET(AJ292,0,-1),Параметры!AJ$30/360),1) * IF(AJ$2&gt;1, AI293, 1))</f>
        <v>1.1512134131413336</v>
      </c>
      <c r="AK293" s="19">
        <f ca="1">IF(AK$2=1,1,IF(Prj_Inflation=1,POWER(1+OFFSET(AK292,0,-1),Параметры!AK$30/360),1) * IF(AK$2&gt;1, AJ293, 1))</f>
        <v>1.1568170026413003</v>
      </c>
      <c r="AL293" s="19">
        <f ca="1">IF(AL$2=1,1,IF(Prj_Inflation=1,POWER(1+OFFSET(AL292,0,-1),Параметры!AL$30/360),1) * IF(AL$2&gt;1, AK293, 1))</f>
        <v>1.1624478678965053</v>
      </c>
      <c r="AM293" s="19">
        <f ca="1">IF(AM$2=1,1,IF(Prj_Inflation=1,POWER(1+OFFSET(AM292,0,-1),Параметры!AM$30/360),1) * IF(AM$2&gt;1, AL293, 1))</f>
        <v>1.1681061416730667</v>
      </c>
      <c r="AN293" s="19">
        <f ca="1">IF(AN$2=1,1,IF(Prj_Inflation=1,POWER(1+OFFSET(AN292,0,-1),Параметры!AN$30/360),1) * IF(AN$2&gt;1, AM293, 1))</f>
        <v>1.1737919573833482</v>
      </c>
      <c r="AO293" s="19">
        <f ca="1">IF(AO$2=1,1,IF(Prj_Inflation=1,POWER(1+OFFSET(AO292,0,-1),Параметры!AO$30/360),1) * IF(AO$2&gt;1, AN293, 1))</f>
        <v>1.1795054490891046</v>
      </c>
      <c r="AP293" s="19">
        <f ca="1">IF(AP$2=1,1,IF(Prj_Inflation=1,POWER(1+OFFSET(AP292,0,-1),Параметры!AP$30/360),1) * IF(AP$2&gt;1, AO293, 1))</f>
        <v>1.1852467515046434</v>
      </c>
      <c r="AQ293" s="19">
        <f ca="1">IF(AQ$2=1,1,IF(Prj_Inflation=1,POWER(1+OFFSET(AQ292,0,-1),Параметры!AQ$30/360),1) * IF(AQ$2&gt;1, AP293, 1))</f>
        <v>1.191016000000001</v>
      </c>
      <c r="AR293" s="19">
        <f ca="1">IF(AR$2=1,1,IF(Prj_Inflation=1,POWER(1+OFFSET(AR292,0,-1),Параметры!AR$30/360),1) * IF(AR$2&gt;1, AQ293, 1))</f>
        <v>1.1968133306041335</v>
      </c>
      <c r="AS293" s="19">
        <f ca="1">IF(AS$2=1,1,IF(Prj_Inflation=1,POWER(1+OFFSET(AS292,0,-1),Параметры!AS$30/360),1) * IF(AS$2&gt;1, AR293, 1))</f>
        <v>1.2026388800081258</v>
      </c>
      <c r="AT293" s="19">
        <f ca="1">IF(AT$2=1,1,IF(Prj_Inflation=1,POWER(1+OFFSET(AT292,0,-1),Параметры!AT$30/360),1) * IF(AT$2&gt;1, AS293, 1))</f>
        <v>1.2084927855684129</v>
      </c>
      <c r="AU293" s="19">
        <f ca="1">IF(AU$2=1,1,IF(Prj_Inflation=1,POWER(1+OFFSET(AU292,0,-1),Параметры!AU$30/360),1) * IF(AU$2&gt;1, AT293, 1))</f>
        <v>1.2143751853100193</v>
      </c>
      <c r="AV293" s="19">
        <f ca="1">IF(AV$2=1,1,IF(Prj_Inflation=1,POWER(1+OFFSET(AV292,0,-1),Параметры!AV$30/360),1) * IF(AV$2&gt;1, AU293, 1))</f>
        <v>1.2202862179298137</v>
      </c>
      <c r="AW293" s="19">
        <f ca="1">IF(AW$2=1,1,IF(Prj_Inflation=1,POWER(1+OFFSET(AW292,0,-1),Параметры!AW$30/360),1) * IF(AW$2&gt;1, AV293, 1))</f>
        <v>1.2262260227997783</v>
      </c>
      <c r="AX293" s="19">
        <f ca="1">IF(AX$2=1,1,IF(Prj_Inflation=1,POWER(1+OFFSET(AX292,0,-1),Параметры!AX$30/360),1) * IF(AX$2&gt;1, AW293, 1))</f>
        <v>1.2321947399702957</v>
      </c>
      <c r="AY293" s="19">
        <f ca="1">IF(AY$2=1,1,IF(Prj_Inflation=1,POWER(1+OFFSET(AY292,0,-1),Параметры!AY$30/360),1) * IF(AY$2&gt;1, AX293, 1))</f>
        <v>1.2381925101734508</v>
      </c>
      <c r="AZ293" s="19">
        <f ca="1">IF(AZ$2=1,1,IF(Prj_Inflation=1,POWER(1+OFFSET(AZ292,0,-1),Параметры!AZ$30/360),1) * IF(AZ$2&gt;1, AY293, 1))</f>
        <v>1.2442194748263491</v>
      </c>
      <c r="BA293" s="19">
        <f ca="1">IF(BA$2=1,1,IF(Prj_Inflation=1,POWER(1+OFFSET(BA292,0,-1),Параметры!BA$30/360),1) * IF(BA$2&gt;1, AZ293, 1))</f>
        <v>1.2502757760344509</v>
      </c>
      <c r="BB293" s="19">
        <f ca="1">IF(BB$2=1,1,IF(Prj_Inflation=1,POWER(1+OFFSET(BB292,0,-1),Параметры!BB$30/360),1) * IF(BB$2&gt;1, BA293, 1))</f>
        <v>1.2563615565949222</v>
      </c>
    </row>
    <row r="294" spans="1:56" outlineLevel="1" x14ac:dyDescent="0.3">
      <c r="A294" s="10" t="str">
        <f ca="1">Language!A$1351</f>
        <v>Денежный поток для расчета эффективности</v>
      </c>
      <c r="B294" s="97"/>
      <c r="C294" s="48" t="str">
        <f ca="1">Параметры!$C$64</f>
        <v>руб.</v>
      </c>
      <c r="F294" s="6" t="s">
        <v>740</v>
      </c>
      <c r="G294" s="55">
        <f ca="1">G285*G293</f>
        <v>-291667</v>
      </c>
      <c r="H294" s="55">
        <f t="shared" ref="H294:M294" ca="1" si="1243">H285*H293</f>
        <v>-1666405.6896433774</v>
      </c>
      <c r="I294" s="55">
        <f t="shared" ca="1" si="1243"/>
        <v>-137991953.20803225</v>
      </c>
      <c r="J294" s="55">
        <f t="shared" ca="1" si="1243"/>
        <v>-18661543.154118594</v>
      </c>
      <c r="K294" s="55">
        <f t="shared" ca="1" si="1243"/>
        <v>-17358908.301738232</v>
      </c>
      <c r="L294" s="55">
        <f t="shared" ca="1" si="1243"/>
        <v>-19367480.310750213</v>
      </c>
      <c r="M294" s="55">
        <f t="shared" ca="1" si="1243"/>
        <v>-8120079.3605230637</v>
      </c>
      <c r="N294" s="55">
        <f t="shared" ref="N294:O294" ca="1" si="1244">N285*N293</f>
        <v>-6447509.3488536477</v>
      </c>
      <c r="O294" s="55">
        <f t="shared" ca="1" si="1244"/>
        <v>5843934.5226660529</v>
      </c>
      <c r="P294" s="55">
        <f t="shared" ref="P294:Q294" ca="1" si="1245">P285*P293</f>
        <v>8003167.6457523433</v>
      </c>
      <c r="Q294" s="55">
        <f t="shared" ca="1" si="1245"/>
        <v>8683348.056634102</v>
      </c>
      <c r="R294" s="55">
        <f t="shared" ref="R294:S294" ca="1" si="1246">R285*R293</f>
        <v>8079848.2779753944</v>
      </c>
      <c r="S294" s="55">
        <f t="shared" ca="1" si="1246"/>
        <v>11590517.009639161</v>
      </c>
      <c r="T294" s="55">
        <f t="shared" ref="T294:U294" ca="1" si="1247">T285*T293</f>
        <v>11618609.21097138</v>
      </c>
      <c r="U294" s="55">
        <f t="shared" ca="1" si="1247"/>
        <v>9785177.9012422245</v>
      </c>
      <c r="V294" s="55">
        <f t="shared" ref="V294:W294" ca="1" si="1248">V285*V293</f>
        <v>9607947.1431523208</v>
      </c>
      <c r="W294" s="55">
        <f t="shared" ca="1" si="1248"/>
        <v>6811873.4673586516</v>
      </c>
      <c r="X294" s="55">
        <f t="shared" ref="X294:Y294" ca="1" si="1249">X285*X293</f>
        <v>10351301.852929652</v>
      </c>
      <c r="Y294" s="55">
        <f t="shared" ca="1" si="1249"/>
        <v>15338352.919849643</v>
      </c>
      <c r="Z294" s="55">
        <f t="shared" ref="Z294:AA294" ca="1" si="1250">Z285*Z293</f>
        <v>18172937.085897807</v>
      </c>
      <c r="AA294" s="55">
        <f t="shared" ca="1" si="1250"/>
        <v>14369037.439655649</v>
      </c>
      <c r="AB294" s="55">
        <f t="shared" ref="AB294:AC294" ca="1" si="1251">AB285*AB293</f>
        <v>9340708.9793404005</v>
      </c>
      <c r="AC294" s="55">
        <f t="shared" ca="1" si="1251"/>
        <v>7452257.7892250326</v>
      </c>
      <c r="AD294" s="55">
        <f t="shared" ref="AD294:AE294" ca="1" si="1252">AD285*AD293</f>
        <v>8100377.0614477247</v>
      </c>
      <c r="AE294" s="55">
        <f t="shared" ca="1" si="1252"/>
        <v>12629484.497368626</v>
      </c>
      <c r="AF294" s="55">
        <f t="shared" ref="AF294:AG294" ca="1" si="1253">AF285*AF293</f>
        <v>12775739.239574278</v>
      </c>
      <c r="AG294" s="55">
        <f t="shared" ca="1" si="1253"/>
        <v>10752963.729630183</v>
      </c>
      <c r="AH294" s="55">
        <f t="shared" ref="AH294:AI294" ca="1" si="1254">AH285*AH293</f>
        <v>10575878.120759474</v>
      </c>
      <c r="AI294" s="55">
        <f t="shared" ca="1" si="1254"/>
        <v>7382426.9482641509</v>
      </c>
      <c r="AJ294" s="55">
        <f t="shared" ref="AJ294:AK294" ca="1" si="1255">AJ285*AJ293</f>
        <v>11283313.487690317</v>
      </c>
      <c r="AK294" s="55">
        <f t="shared" ca="1" si="1255"/>
        <v>16800789.716403347</v>
      </c>
      <c r="AL294" s="55">
        <f t="shared" ref="AL294:AM294" ca="1" si="1256">AL285*AL293</f>
        <v>20031895.934356239</v>
      </c>
      <c r="AM294" s="55">
        <f t="shared" ca="1" si="1256"/>
        <v>15856139.952375885</v>
      </c>
      <c r="AN294" s="55">
        <f t="shared" ref="AN294:AO294" ca="1" si="1257">AN285*AN293</f>
        <v>10279305.704660583</v>
      </c>
      <c r="AO294" s="55">
        <f t="shared" ca="1" si="1257"/>
        <v>8141081.2675972069</v>
      </c>
      <c r="AP294" s="55">
        <f t="shared" ref="AP294:AQ294" ca="1" si="1258">AP285*AP293</f>
        <v>8791535.4373049159</v>
      </c>
      <c r="AQ294" s="55">
        <f t="shared" ca="1" si="1258"/>
        <v>13847271.515100619</v>
      </c>
      <c r="AR294" s="55">
        <f t="shared" ref="AR294:AS294" ca="1" si="1259">AR285*AR293</f>
        <v>14022610.433485616</v>
      </c>
      <c r="AS294" s="55">
        <f t="shared" ca="1" si="1259"/>
        <v>11794206.547213066</v>
      </c>
      <c r="AT294" s="55">
        <f t="shared" ref="AT294:AU294" ca="1" si="1260">AT285*AT293</f>
        <v>11621496.097164536</v>
      </c>
      <c r="AU294" s="55">
        <f t="shared" ca="1" si="1260"/>
        <v>7971660.2278892305</v>
      </c>
      <c r="AV294" s="55">
        <f t="shared" ref="AV294:AW294" ca="1" si="1261">AV285*AV293</f>
        <v>12264161.030575074</v>
      </c>
      <c r="AW294" s="55">
        <f t="shared" ca="1" si="1261"/>
        <v>18361200.494624212</v>
      </c>
      <c r="AX294" s="55">
        <f t="shared" ref="AX294:AY294" ca="1" si="1262">AX285*AX293</f>
        <v>22046657.611531846</v>
      </c>
      <c r="AY294" s="55">
        <f t="shared" ca="1" si="1262"/>
        <v>17471861.804769255</v>
      </c>
      <c r="AZ294" s="55">
        <f t="shared" ref="AZ294:BA294" ca="1" si="1263">AZ285*AZ293</f>
        <v>11292669.783827346</v>
      </c>
      <c r="BA294" s="55">
        <f t="shared" ca="1" si="1263"/>
        <v>8870674.9748710152</v>
      </c>
      <c r="BB294" s="55">
        <f t="shared" ref="BB294" ca="1" si="1264">BB285*BB293</f>
        <v>10488631.535452232</v>
      </c>
      <c r="BD294" s="57">
        <f ca="1">SUM(G294:BC294)</f>
        <v>258597506.08256739</v>
      </c>
    </row>
    <row r="295" spans="1:56" x14ac:dyDescent="0.3">
      <c r="A295" s="10"/>
      <c r="B295" s="97"/>
      <c r="G295" s="41"/>
    </row>
    <row r="296" spans="1:56" x14ac:dyDescent="0.3">
      <c r="A296" s="10" t="str">
        <f ca="1">Language!A1363</f>
        <v>Модифицированная IRR, MIRR</v>
      </c>
      <c r="B296" s="102">
        <f ca="1">IFERROR(IF(POWER(1+IRR(G298:BC298,G272),360/Параметры!B$21)-1&gt;999%,"-",POWER(1+IRR(G298:BC298,G272),360/Параметры!B$21)-1),"-")</f>
        <v>0.27407231733186288</v>
      </c>
      <c r="C296" s="48" t="s">
        <v>1</v>
      </c>
      <c r="G296" s="41" t="str">
        <f ca="1">Language!A$1361</f>
        <v>(с учетом инфляции, номинальная)</v>
      </c>
    </row>
    <row r="297" spans="1:56" outlineLevel="1" x14ac:dyDescent="0.3">
      <c r="A297" s="10" t="str">
        <f ca="1">Language!A1351</f>
        <v>Денежный поток для расчета эффективности</v>
      </c>
      <c r="B297" s="102"/>
      <c r="C297" s="48" t="str">
        <f ca="1">Параметры!$C$64</f>
        <v>руб.</v>
      </c>
      <c r="F297" s="6" t="s">
        <v>740</v>
      </c>
      <c r="G297" s="55">
        <f ca="1">IF(G285&lt;0,G285*Параметры!G$131,G285*Параметры!G$141)</f>
        <v>-291667</v>
      </c>
      <c r="H297" s="55">
        <f ca="1">IF(H285&lt;0,H285*Параметры!H$131,H285*Параметры!H$141)</f>
        <v>-1683721.8770152112</v>
      </c>
      <c r="I297" s="55">
        <f ca="1">IF(I285&lt;0,I285*Параметры!I$131,I285*Параметры!I$141)</f>
        <v>-140874696.05623782</v>
      </c>
      <c r="J297" s="55">
        <f ca="1">IF(J285&lt;0,J285*Параметры!J$131,J285*Параметры!J$141)</f>
        <v>-19249364.605319805</v>
      </c>
      <c r="K297" s="55">
        <f ca="1">IF(K285&lt;0,K285*Параметры!K$131,K285*Параметры!K$141)</f>
        <v>-18091762.140333951</v>
      </c>
      <c r="L297" s="55">
        <f ca="1">IF(L285&lt;0,L285*Параметры!L$131,L285*Параметры!L$141)</f>
        <v>-20394882.071423616</v>
      </c>
      <c r="M297" s="55">
        <f ca="1">IF(M285&lt;0,M285*Параметры!M$131,M285*Параметры!M$141)</f>
        <v>-8639686.1067976113</v>
      </c>
      <c r="N297" s="55">
        <f ca="1">IF(N285&lt;0,N285*Параметры!N$131,N285*Параметры!N$141)</f>
        <v>-6931373.2505728705</v>
      </c>
      <c r="O297" s="55">
        <f ca="1">IF(O285&lt;0,O285*Параметры!O$131,O285*Параметры!O$141)</f>
        <v>10444489.508899441</v>
      </c>
      <c r="P297" s="55">
        <f ca="1">IF(P285&lt;0,P285*Параметры!P$131,P285*Параметры!P$141)</f>
        <v>14009937.184175279</v>
      </c>
      <c r="Q297" s="55">
        <f ca="1">IF(Q285&lt;0,Q285*Параметры!Q$131,Q285*Параметры!Q$141)</f>
        <v>14888600.610831697</v>
      </c>
      <c r="R297" s="55">
        <f ca="1">IF(R285&lt;0,R285*Параметры!R$131,R285*Параметры!R$141)</f>
        <v>13569450.888538819</v>
      </c>
      <c r="S297" s="55">
        <f ca="1">IF(S285&lt;0,S285*Параметры!S$131,S285*Параметры!S$141)</f>
        <v>19065766.657836251</v>
      </c>
      <c r="T297" s="55">
        <f ca="1">IF(T285&lt;0,T285*Параметры!T$131,T285*Параметры!T$141)</f>
        <v>18719662.151777804</v>
      </c>
      <c r="U297" s="55">
        <f ca="1">IF(U285&lt;0,U285*Параметры!U$131,U285*Параметры!U$141)</f>
        <v>15442051.081057595</v>
      </c>
      <c r="V297" s="55">
        <f ca="1">IF(V285&lt;0,V285*Параметры!V$131,V285*Параметры!V$141)</f>
        <v>14851121.840747075</v>
      </c>
      <c r="W297" s="55">
        <f ca="1">IF(W285&lt;0,W285*Параметры!W$131,W285*Параметры!W$141)</f>
        <v>10313061.917605674</v>
      </c>
      <c r="X297" s="55">
        <f ca="1">IF(X285&lt;0,X285*Параметры!X$131,X285*Параметры!X$141)</f>
        <v>15350001.532532517</v>
      </c>
      <c r="Y297" s="55">
        <f ca="1">IF(Y285&lt;0,Y285*Параметры!Y$131,Y285*Параметры!Y$141)</f>
        <v>22278429.546977904</v>
      </c>
      <c r="Z297" s="55">
        <f ca="1">IF(Z285&lt;0,Z285*Параметры!Z$131,Z285*Параметры!Z$141)</f>
        <v>25853739.414553639</v>
      </c>
      <c r="AA297" s="55">
        <f ca="1">IF(AA285&lt;0,AA285*Параметры!AA$131,AA285*Параметры!AA$141)</f>
        <v>20022500.697973888</v>
      </c>
      <c r="AB297" s="55">
        <f ca="1">IF(AB285&lt;0,AB285*Параметры!AB$131,AB285*Параметры!AB$141)</f>
        <v>12748611.288805263</v>
      </c>
      <c r="AC297" s="55">
        <f ca="1">IF(AC285&lt;0,AC285*Параметры!AC$131,AC285*Параметры!AC$141)</f>
        <v>9962384.6243826468</v>
      </c>
      <c r="AD297" s="55">
        <f ca="1">IF(AD285&lt;0,AD285*Параметры!AD$131,AD285*Параметры!AD$141)</f>
        <v>10606523.715881545</v>
      </c>
      <c r="AE297" s="55">
        <f ca="1">IF(AE285&lt;0,AE285*Параметры!AE$131,AE285*Параметры!AE$141)</f>
        <v>16197420.364578813</v>
      </c>
      <c r="AF297" s="55">
        <f ca="1">IF(AF285&lt;0,AF285*Параметры!AF$131,AF285*Параметры!AF$141)</f>
        <v>16048655.895137563</v>
      </c>
      <c r="AG297" s="55">
        <f ca="1">IF(AG285&lt;0,AG285*Параметры!AG$131,AG285*Параметры!AG$141)</f>
        <v>13230406.995578717</v>
      </c>
      <c r="AH297" s="55">
        <f ca="1">IF(AH285&lt;0,AH285*Параметры!AH$131,AH285*Параметры!AH$141)</f>
        <v>12745411.378912143</v>
      </c>
      <c r="AI297" s="55">
        <f ca="1">IF(AI285&lt;0,AI285*Параметры!AI$131,AI285*Параметры!AI$141)</f>
        <v>8714229.1410615295</v>
      </c>
      <c r="AJ297" s="55">
        <f ca="1">IF(AJ285&lt;0,AJ285*Параметры!AJ$131,AJ285*Параметры!AJ$141)</f>
        <v>13045444.120682823</v>
      </c>
      <c r="AK297" s="55">
        <f ca="1">IF(AK285&lt;0,AK285*Параметры!AK$131,AK285*Параметры!AK$141)</f>
        <v>19025860.474949714</v>
      </c>
      <c r="AL297" s="55">
        <f ca="1">IF(AL285&lt;0,AL285*Параметры!AL$131,AL285*Параметры!AL$141)</f>
        <v>22219233.035432793</v>
      </c>
      <c r="AM297" s="55">
        <f ca="1">IF(AM285&lt;0,AM285*Параметры!AM$131,AM285*Параметры!AM$141)</f>
        <v>17226493.155689586</v>
      </c>
      <c r="AN297" s="55">
        <f ca="1">IF(AN285&lt;0,AN285*Параметры!AN$131,AN285*Параметры!AN$141)</f>
        <v>10938444.929338479</v>
      </c>
      <c r="AO297" s="55">
        <f ca="1">IF(AO285&lt;0,AO285*Параметры!AO$131,AO285*Параметры!AO$141)</f>
        <v>8485282.1840176508</v>
      </c>
      <c r="AP297" s="55">
        <f ca="1">IF(AP285&lt;0,AP285*Параметры!AP$131,AP285*Параметры!AP$141)</f>
        <v>8975141.9825741462</v>
      </c>
      <c r="AQ297" s="55">
        <f ca="1">IF(AQ285&lt;0,AQ285*Параметры!AQ$131,AQ285*Параметры!AQ$141)</f>
        <v>13846282.928170715</v>
      </c>
      <c r="AR297" s="55">
        <f ca="1">IF(AR285&lt;0,AR285*Параметры!AR$131,AR285*Параметры!AR$141)</f>
        <v>13733785.484537473</v>
      </c>
      <c r="AS297" s="55">
        <f ca="1">IF(AS285&lt;0,AS285*Параметры!AS$131,AS285*Параметры!AS$141)</f>
        <v>11314165.23150973</v>
      </c>
      <c r="AT297" s="55">
        <f ca="1">IF(AT285&lt;0,AT285*Параметры!AT$131,AT285*Параметры!AT$141)</f>
        <v>10919637.604659377</v>
      </c>
      <c r="AU297" s="55">
        <f ca="1">IF(AU285&lt;0,AU285*Параметры!AU$131,AU285*Параметры!AU$141)</f>
        <v>7336473.6408520835</v>
      </c>
      <c r="AV297" s="55">
        <f ca="1">IF(AV285&lt;0,AV285*Параметры!AV$131,AV285*Параметры!AV$141)</f>
        <v>11055256.492627626</v>
      </c>
      <c r="AW297" s="55">
        <f ca="1">IF(AW285&lt;0,AW285*Параметры!AW$131,AW285*Параметры!AW$141)</f>
        <v>16211546.590893948</v>
      </c>
      <c r="AX297" s="55">
        <f ca="1">IF(AX285&lt;0,AX285*Параметры!AX$131,AX285*Параметры!AX$141)</f>
        <v>19065953.539650965</v>
      </c>
      <c r="AY297" s="55">
        <f ca="1">IF(AY285&lt;0,AY285*Параметры!AY$131,AY285*Параметры!AY$141)</f>
        <v>14799510.661133885</v>
      </c>
      <c r="AZ297" s="55">
        <f ca="1">IF(AZ285&lt;0,AZ285*Параметры!AZ$131,AZ285*Параметры!AZ$141)</f>
        <v>9369085.3616375625</v>
      </c>
      <c r="BA297" s="55">
        <f ca="1">IF(BA285&lt;0,BA285*Параметры!BA$131,BA285*Параметры!BA$141)</f>
        <v>7208578.4771543099</v>
      </c>
      <c r="BB297" s="55">
        <f ca="1">IF(BB285&lt;0,BB285*Параметры!BB$131,BB285*Параметры!BB$141)</f>
        <v>8348418.0810810896</v>
      </c>
      <c r="BC297" s="55"/>
      <c r="BD297" s="57">
        <f ca="1">SUM(G297:BC297)</f>
        <v>342029897.30673897</v>
      </c>
    </row>
    <row r="298" spans="1:56" outlineLevel="1" x14ac:dyDescent="0.3">
      <c r="A298" s="10" t="str">
        <f ca="1">Language!A476</f>
        <v>Модифицированный денежный поток</v>
      </c>
      <c r="B298" s="102"/>
      <c r="C298" s="48" t="str">
        <f ca="1">Параметры!$C$64</f>
        <v>руб.</v>
      </c>
      <c r="F298" s="6" t="s">
        <v>740</v>
      </c>
      <c r="G298" s="55">
        <f ca="1">IF(G$2=1,SUMIF($G297:OFFSET($G297,0,Prj_Len-G$2),"&lt;0",$G297:OFFSET($G297,0,Prj_Len-G$2)),IF(G$2=Prj_Len,SUMIF($G297:OFFSET(G297,0,Prj_Len-G$2),"&gt;=0",$G297:OFFSET($G297,0,Prj_Len-G$2)),0))</f>
        <v>-216157153.10770085</v>
      </c>
      <c r="H298" s="55">
        <f ca="1">IF(H$2=1,SUMIF($G297:OFFSET($G297,0,Prj_Len-H$2),"&lt;0",$G297:OFFSET($G297,0,Prj_Len-H$2)),IF(H$2=Prj_Len,SUMIF($G297:OFFSET(H297,0,Prj_Len-H$2),"&gt;=0",$G297:OFFSET($G297,0,Prj_Len-H$2)),0))</f>
        <v>0</v>
      </c>
      <c r="I298" s="55">
        <f ca="1">IF(I$2=1,SUMIF($G297:OFFSET($G297,0,Prj_Len-I$2),"&lt;0",$G297:OFFSET($G297,0,Prj_Len-I$2)),IF(I$2=Prj_Len,SUMIF($G297:OFFSET(I297,0,Prj_Len-I$2),"&gt;=0",$G297:OFFSET($G297,0,Prj_Len-I$2)),0))</f>
        <v>0</v>
      </c>
      <c r="J298" s="55">
        <f ca="1">IF(J$2=1,SUMIF($G297:OFFSET($G297,0,Prj_Len-J$2),"&lt;0",$G297:OFFSET($G297,0,Prj_Len-J$2)),IF(J$2=Prj_Len,SUMIF($G297:OFFSET(J297,0,Prj_Len-J$2),"&gt;=0",$G297:OFFSET($G297,0,Prj_Len-J$2)),0))</f>
        <v>0</v>
      </c>
      <c r="K298" s="55">
        <f ca="1">IF(K$2=1,SUMIF($G297:OFFSET($G297,0,Prj_Len-K$2),"&lt;0",$G297:OFFSET($G297,0,Prj_Len-K$2)),IF(K$2=Prj_Len,SUMIF($G297:OFFSET(K297,0,Prj_Len-K$2),"&gt;=0",$G297:OFFSET($G297,0,Prj_Len-K$2)),0))</f>
        <v>0</v>
      </c>
      <c r="L298" s="55">
        <f ca="1">IF(L$2=1,SUMIF($G297:OFFSET($G297,0,Prj_Len-L$2),"&lt;0",$G297:OFFSET($G297,0,Prj_Len-L$2)),IF(L$2=Prj_Len,SUMIF($G297:OFFSET(L297,0,Prj_Len-L$2),"&gt;=0",$G297:OFFSET($G297,0,Prj_Len-L$2)),0))</f>
        <v>0</v>
      </c>
      <c r="M298" s="55">
        <f ca="1">IF(M$2=1,SUMIF($G297:OFFSET($G297,0,Prj_Len-M$2),"&lt;0",$G297:OFFSET($G297,0,Prj_Len-M$2)),IF(M$2=Prj_Len,SUMIF($G297:OFFSET(M297,0,Prj_Len-M$2),"&gt;=0",$G297:OFFSET($G297,0,Prj_Len-M$2)),0))</f>
        <v>0</v>
      </c>
      <c r="N298" s="55">
        <f ca="1">IF(N$2=1,SUMIF($G297:OFFSET($G297,0,Prj_Len-N$2),"&lt;0",$G297:OFFSET($G297,0,Prj_Len-N$2)),IF(N$2=Prj_Len,SUMIF($G297:OFFSET(N297,0,Prj_Len-N$2),"&gt;=0",$G297:OFFSET($G297,0,Prj_Len-N$2)),0))</f>
        <v>0</v>
      </c>
      <c r="O298" s="55">
        <f ca="1">IF(O$2=1,SUMIF($G297:OFFSET($G297,0,Prj_Len-O$2),"&lt;0",$G297:OFFSET($G297,0,Prj_Len-O$2)),IF(O$2=Prj_Len,SUMIF($G297:OFFSET(O297,0,Prj_Len-O$2),"&gt;=0",$G297:OFFSET($G297,0,Prj_Len-O$2)),0))</f>
        <v>0</v>
      </c>
      <c r="P298" s="55">
        <f ca="1">IF(P$2=1,SUMIF($G297:OFFSET($G297,0,Prj_Len-P$2),"&lt;0",$G297:OFFSET($G297,0,Prj_Len-P$2)),IF(P$2=Prj_Len,SUMIF($G297:OFFSET(P297,0,Prj_Len-P$2),"&gt;=0",$G297:OFFSET($G297,0,Prj_Len-P$2)),0))</f>
        <v>0</v>
      </c>
      <c r="Q298" s="55">
        <f ca="1">IF(Q$2=1,SUMIF($G297:OFFSET($G297,0,Prj_Len-Q$2),"&lt;0",$G297:OFFSET($G297,0,Prj_Len-Q$2)),IF(Q$2=Prj_Len,SUMIF($G297:OFFSET(Q297,0,Prj_Len-Q$2),"&gt;=0",$G297:OFFSET($G297,0,Prj_Len-Q$2)),0))</f>
        <v>0</v>
      </c>
      <c r="R298" s="55">
        <f ca="1">IF(R$2=1,SUMIF($G297:OFFSET($G297,0,Prj_Len-R$2),"&lt;0",$G297:OFFSET($G297,0,Prj_Len-R$2)),IF(R$2=Prj_Len,SUMIF($G297:OFFSET(R297,0,Prj_Len-R$2),"&gt;=0",$G297:OFFSET($G297,0,Prj_Len-R$2)),0))</f>
        <v>0</v>
      </c>
      <c r="S298" s="55">
        <f ca="1">IF(S$2=1,SUMIF($G297:OFFSET($G297,0,Prj_Len-S$2),"&lt;0",$G297:OFFSET($G297,0,Prj_Len-S$2)),IF(S$2=Prj_Len,SUMIF($G297:OFFSET(S297,0,Prj_Len-S$2),"&gt;=0",$G297:OFFSET($G297,0,Prj_Len-S$2)),0))</f>
        <v>0</v>
      </c>
      <c r="T298" s="55">
        <f ca="1">IF(T$2=1,SUMIF($G297:OFFSET($G297,0,Prj_Len-T$2),"&lt;0",$G297:OFFSET($G297,0,Prj_Len-T$2)),IF(T$2=Prj_Len,SUMIF($G297:OFFSET(T297,0,Prj_Len-T$2),"&gt;=0",$G297:OFFSET($G297,0,Prj_Len-T$2)),0))</f>
        <v>0</v>
      </c>
      <c r="U298" s="55">
        <f ca="1">IF(U$2=1,SUMIF($G297:OFFSET($G297,0,Prj_Len-U$2),"&lt;0",$G297:OFFSET($G297,0,Prj_Len-U$2)),IF(U$2=Prj_Len,SUMIF($G297:OFFSET(U297,0,Prj_Len-U$2),"&gt;=0",$G297:OFFSET($G297,0,Prj_Len-U$2)),0))</f>
        <v>0</v>
      </c>
      <c r="V298" s="55">
        <f ca="1">IF(V$2=1,SUMIF($G297:OFFSET($G297,0,Prj_Len-V$2),"&lt;0",$G297:OFFSET($G297,0,Prj_Len-V$2)),IF(V$2=Prj_Len,SUMIF($G297:OFFSET(V297,0,Prj_Len-V$2),"&gt;=0",$G297:OFFSET($G297,0,Prj_Len-V$2)),0))</f>
        <v>0</v>
      </c>
      <c r="W298" s="55">
        <f ca="1">IF(W$2=1,SUMIF($G297:OFFSET($G297,0,Prj_Len-W$2),"&lt;0",$G297:OFFSET($G297,0,Prj_Len-W$2)),IF(W$2=Prj_Len,SUMIF($G297:OFFSET(W297,0,Prj_Len-W$2),"&gt;=0",$G297:OFFSET($G297,0,Prj_Len-W$2)),0))</f>
        <v>0</v>
      </c>
      <c r="X298" s="55">
        <f ca="1">IF(X$2=1,SUMIF($G297:OFFSET($G297,0,Prj_Len-X$2),"&lt;0",$G297:OFFSET($G297,0,Prj_Len-X$2)),IF(X$2=Prj_Len,SUMIF($G297:OFFSET(X297,0,Prj_Len-X$2),"&gt;=0",$G297:OFFSET($G297,0,Prj_Len-X$2)),0))</f>
        <v>0</v>
      </c>
      <c r="Y298" s="55">
        <f ca="1">IF(Y$2=1,SUMIF($G297:OFFSET($G297,0,Prj_Len-Y$2),"&lt;0",$G297:OFFSET($G297,0,Prj_Len-Y$2)),IF(Y$2=Prj_Len,SUMIF($G297:OFFSET(Y297,0,Prj_Len-Y$2),"&gt;=0",$G297:OFFSET($G297,0,Prj_Len-Y$2)),0))</f>
        <v>0</v>
      </c>
      <c r="Z298" s="55">
        <f ca="1">IF(Z$2=1,SUMIF($G297:OFFSET($G297,0,Prj_Len-Z$2),"&lt;0",$G297:OFFSET($G297,0,Prj_Len-Z$2)),IF(Z$2=Prj_Len,SUMIF($G297:OFFSET(Z297,0,Prj_Len-Z$2),"&gt;=0",$G297:OFFSET($G297,0,Prj_Len-Z$2)),0))</f>
        <v>0</v>
      </c>
      <c r="AA298" s="55">
        <f ca="1">IF(AA$2=1,SUMIF($G297:OFFSET($G297,0,Prj_Len-AA$2),"&lt;0",$G297:OFFSET($G297,0,Prj_Len-AA$2)),IF(AA$2=Prj_Len,SUMIF($G297:OFFSET(AA297,0,Prj_Len-AA$2),"&gt;=0",$G297:OFFSET($G297,0,Prj_Len-AA$2)),0))</f>
        <v>0</v>
      </c>
      <c r="AB298" s="55">
        <f ca="1">IF(AB$2=1,SUMIF($G297:OFFSET($G297,0,Prj_Len-AB$2),"&lt;0",$G297:OFFSET($G297,0,Prj_Len-AB$2)),IF(AB$2=Prj_Len,SUMIF($G297:OFFSET(AB297,0,Prj_Len-AB$2),"&gt;=0",$G297:OFFSET($G297,0,Prj_Len-AB$2)),0))</f>
        <v>0</v>
      </c>
      <c r="AC298" s="55">
        <f ca="1">IF(AC$2=1,SUMIF($G297:OFFSET($G297,0,Prj_Len-AC$2),"&lt;0",$G297:OFFSET($G297,0,Prj_Len-AC$2)),IF(AC$2=Prj_Len,SUMIF($G297:OFFSET(AC297,0,Prj_Len-AC$2),"&gt;=0",$G297:OFFSET($G297,0,Prj_Len-AC$2)),0))</f>
        <v>0</v>
      </c>
      <c r="AD298" s="55">
        <f ca="1">IF(AD$2=1,SUMIF($G297:OFFSET($G297,0,Prj_Len-AD$2),"&lt;0",$G297:OFFSET($G297,0,Prj_Len-AD$2)),IF(AD$2=Prj_Len,SUMIF($G297:OFFSET(AD297,0,Prj_Len-AD$2),"&gt;=0",$G297:OFFSET($G297,0,Prj_Len-AD$2)),0))</f>
        <v>0</v>
      </c>
      <c r="AE298" s="55">
        <f ca="1">IF(AE$2=1,SUMIF($G297:OFFSET($G297,0,Prj_Len-AE$2),"&lt;0",$G297:OFFSET($G297,0,Prj_Len-AE$2)),IF(AE$2=Prj_Len,SUMIF($G297:OFFSET(AE297,0,Prj_Len-AE$2),"&gt;=0",$G297:OFFSET($G297,0,Prj_Len-AE$2)),0))</f>
        <v>0</v>
      </c>
      <c r="AF298" s="55">
        <f ca="1">IF(AF$2=1,SUMIF($G297:OFFSET($G297,0,Prj_Len-AF$2),"&lt;0",$G297:OFFSET($G297,0,Prj_Len-AF$2)),IF(AF$2=Prj_Len,SUMIF($G297:OFFSET(AF297,0,Prj_Len-AF$2),"&gt;=0",$G297:OFFSET($G297,0,Prj_Len-AF$2)),0))</f>
        <v>0</v>
      </c>
      <c r="AG298" s="55">
        <f ca="1">IF(AG$2=1,SUMIF($G297:OFFSET($G297,0,Prj_Len-AG$2),"&lt;0",$G297:OFFSET($G297,0,Prj_Len-AG$2)),IF(AG$2=Prj_Len,SUMIF($G297:OFFSET(AG297,0,Prj_Len-AG$2),"&gt;=0",$G297:OFFSET($G297,0,Prj_Len-AG$2)),0))</f>
        <v>0</v>
      </c>
      <c r="AH298" s="55">
        <f ca="1">IF(AH$2=1,SUMIF($G297:OFFSET($G297,0,Prj_Len-AH$2),"&lt;0",$G297:OFFSET($G297,0,Prj_Len-AH$2)),IF(AH$2=Prj_Len,SUMIF($G297:OFFSET(AH297,0,Prj_Len-AH$2),"&gt;=0",$G297:OFFSET($G297,0,Prj_Len-AH$2)),0))</f>
        <v>0</v>
      </c>
      <c r="AI298" s="55">
        <f ca="1">IF(AI$2=1,SUMIF($G297:OFFSET($G297,0,Prj_Len-AI$2),"&lt;0",$G297:OFFSET($G297,0,Prj_Len-AI$2)),IF(AI$2=Prj_Len,SUMIF($G297:OFFSET(AI297,0,Prj_Len-AI$2),"&gt;=0",$G297:OFFSET($G297,0,Prj_Len-AI$2)),0))</f>
        <v>0</v>
      </c>
      <c r="AJ298" s="55">
        <f ca="1">IF(AJ$2=1,SUMIF($G297:OFFSET($G297,0,Prj_Len-AJ$2),"&lt;0",$G297:OFFSET($G297,0,Prj_Len-AJ$2)),IF(AJ$2=Prj_Len,SUMIF($G297:OFFSET(AJ297,0,Prj_Len-AJ$2),"&gt;=0",$G297:OFFSET($G297,0,Prj_Len-AJ$2)),0))</f>
        <v>0</v>
      </c>
      <c r="AK298" s="55">
        <f ca="1">IF(AK$2=1,SUMIF($G297:OFFSET($G297,0,Prj_Len-AK$2),"&lt;0",$G297:OFFSET($G297,0,Prj_Len-AK$2)),IF(AK$2=Prj_Len,SUMIF($G297:OFFSET(AK297,0,Prj_Len-AK$2),"&gt;=0",$G297:OFFSET($G297,0,Prj_Len-AK$2)),0))</f>
        <v>0</v>
      </c>
      <c r="AL298" s="55">
        <f ca="1">IF(AL$2=1,SUMIF($G297:OFFSET($G297,0,Prj_Len-AL$2),"&lt;0",$G297:OFFSET($G297,0,Prj_Len-AL$2)),IF(AL$2=Prj_Len,SUMIF($G297:OFFSET(AL297,0,Prj_Len-AL$2),"&gt;=0",$G297:OFFSET($G297,0,Prj_Len-AL$2)),0))</f>
        <v>0</v>
      </c>
      <c r="AM298" s="55">
        <f ca="1">IF(AM$2=1,SUMIF($G297:OFFSET($G297,0,Prj_Len-AM$2),"&lt;0",$G297:OFFSET($G297,0,Prj_Len-AM$2)),IF(AM$2=Prj_Len,SUMIF($G297:OFFSET(AM297,0,Prj_Len-AM$2),"&gt;=0",$G297:OFFSET($G297,0,Prj_Len-AM$2)),0))</f>
        <v>0</v>
      </c>
      <c r="AN298" s="55">
        <f ca="1">IF(AN$2=1,SUMIF($G297:OFFSET($G297,0,Prj_Len-AN$2),"&lt;0",$G297:OFFSET($G297,0,Prj_Len-AN$2)),IF(AN$2=Prj_Len,SUMIF($G297:OFFSET(AN297,0,Prj_Len-AN$2),"&gt;=0",$G297:OFFSET($G297,0,Prj_Len-AN$2)),0))</f>
        <v>0</v>
      </c>
      <c r="AO298" s="55">
        <f ca="1">IF(AO$2=1,SUMIF($G297:OFFSET($G297,0,Prj_Len-AO$2),"&lt;0",$G297:OFFSET($G297,0,Prj_Len-AO$2)),IF(AO$2=Prj_Len,SUMIF($G297:OFFSET(AO297,0,Prj_Len-AO$2),"&gt;=0",$G297:OFFSET($G297,0,Prj_Len-AO$2)),0))</f>
        <v>0</v>
      </c>
      <c r="AP298" s="55">
        <f ca="1">IF(AP$2=1,SUMIF($G297:OFFSET($G297,0,Prj_Len-AP$2),"&lt;0",$G297:OFFSET($G297,0,Prj_Len-AP$2)),IF(AP$2=Prj_Len,SUMIF($G297:OFFSET(AP297,0,Prj_Len-AP$2),"&gt;=0",$G297:OFFSET($G297,0,Prj_Len-AP$2)),0))</f>
        <v>0</v>
      </c>
      <c r="AQ298" s="55">
        <f ca="1">IF(AQ$2=1,SUMIF($G297:OFFSET($G297,0,Prj_Len-AQ$2),"&lt;0",$G297:OFFSET($G297,0,Prj_Len-AQ$2)),IF(AQ$2=Prj_Len,SUMIF($G297:OFFSET(AQ297,0,Prj_Len-AQ$2),"&gt;=0",$G297:OFFSET($G297,0,Prj_Len-AQ$2)),0))</f>
        <v>0</v>
      </c>
      <c r="AR298" s="55">
        <f ca="1">IF(AR$2=1,SUMIF($G297:OFFSET($G297,0,Prj_Len-AR$2),"&lt;0",$G297:OFFSET($G297,0,Prj_Len-AR$2)),IF(AR$2=Prj_Len,SUMIF($G297:OFFSET(AR297,0,Prj_Len-AR$2),"&gt;=0",$G297:OFFSET($G297,0,Prj_Len-AR$2)),0))</f>
        <v>0</v>
      </c>
      <c r="AS298" s="55">
        <f ca="1">IF(AS$2=1,SUMIF($G297:OFFSET($G297,0,Prj_Len-AS$2),"&lt;0",$G297:OFFSET($G297,0,Prj_Len-AS$2)),IF(AS$2=Prj_Len,SUMIF($G297:OFFSET(AS297,0,Prj_Len-AS$2),"&gt;=0",$G297:OFFSET($G297,0,Prj_Len-AS$2)),0))</f>
        <v>0</v>
      </c>
      <c r="AT298" s="55">
        <f ca="1">IF(AT$2=1,SUMIF($G297:OFFSET($G297,0,Prj_Len-AT$2),"&lt;0",$G297:OFFSET($G297,0,Prj_Len-AT$2)),IF(AT$2=Prj_Len,SUMIF($G297:OFFSET(AT297,0,Prj_Len-AT$2),"&gt;=0",$G297:OFFSET($G297,0,Prj_Len-AT$2)),0))</f>
        <v>0</v>
      </c>
      <c r="AU298" s="55">
        <f ca="1">IF(AU$2=1,SUMIF($G297:OFFSET($G297,0,Prj_Len-AU$2),"&lt;0",$G297:OFFSET($G297,0,Prj_Len-AU$2)),IF(AU$2=Prj_Len,SUMIF($G297:OFFSET(AU297,0,Prj_Len-AU$2),"&gt;=0",$G297:OFFSET($G297,0,Prj_Len-AU$2)),0))</f>
        <v>0</v>
      </c>
      <c r="AV298" s="55">
        <f ca="1">IF(AV$2=1,SUMIF($G297:OFFSET($G297,0,Prj_Len-AV$2),"&lt;0",$G297:OFFSET($G297,0,Prj_Len-AV$2)),IF(AV$2=Prj_Len,SUMIF($G297:OFFSET(AV297,0,Prj_Len-AV$2),"&gt;=0",$G297:OFFSET($G297,0,Prj_Len-AV$2)),0))</f>
        <v>0</v>
      </c>
      <c r="AW298" s="55">
        <f ca="1">IF(AW$2=1,SUMIF($G297:OFFSET($G297,0,Prj_Len-AW$2),"&lt;0",$G297:OFFSET($G297,0,Prj_Len-AW$2)),IF(AW$2=Prj_Len,SUMIF($G297:OFFSET(AW297,0,Prj_Len-AW$2),"&gt;=0",$G297:OFFSET($G297,0,Prj_Len-AW$2)),0))</f>
        <v>0</v>
      </c>
      <c r="AX298" s="55">
        <f ca="1">IF(AX$2=1,SUMIF($G297:OFFSET($G297,0,Prj_Len-AX$2),"&lt;0",$G297:OFFSET($G297,0,Prj_Len-AX$2)),IF(AX$2=Prj_Len,SUMIF($G297:OFFSET(AX297,0,Prj_Len-AX$2),"&gt;=0",$G297:OFFSET($G297,0,Prj_Len-AX$2)),0))</f>
        <v>0</v>
      </c>
      <c r="AY298" s="55">
        <f ca="1">IF(AY$2=1,SUMIF($G297:OFFSET($G297,0,Prj_Len-AY$2),"&lt;0",$G297:OFFSET($G297,0,Prj_Len-AY$2)),IF(AY$2=Prj_Len,SUMIF($G297:OFFSET(AY297,0,Prj_Len-AY$2),"&gt;=0",$G297:OFFSET($G297,0,Prj_Len-AY$2)),0))</f>
        <v>0</v>
      </c>
      <c r="AZ298" s="55">
        <f ca="1">IF(AZ$2=1,SUMIF($G297:OFFSET($G297,0,Prj_Len-AZ$2),"&lt;0",$G297:OFFSET($G297,0,Prj_Len-AZ$2)),IF(AZ$2=Prj_Len,SUMIF($G297:OFFSET(AZ297,0,Prj_Len-AZ$2),"&gt;=0",$G297:OFFSET($G297,0,Prj_Len-AZ$2)),0))</f>
        <v>0</v>
      </c>
      <c r="BA298" s="55">
        <f ca="1">IF(BA$2=1,SUMIF($G297:OFFSET($G297,0,Prj_Len-BA$2),"&lt;0",$G297:OFFSET($G297,0,Prj_Len-BA$2)),IF(BA$2=Prj_Len,SUMIF($G297:OFFSET(BA297,0,Prj_Len-BA$2),"&gt;=0",$G297:OFFSET($G297,0,Prj_Len-BA$2)),0))</f>
        <v>0</v>
      </c>
      <c r="BB298" s="55">
        <f ca="1">IF(BB$2=1,SUMIF($G297:OFFSET($G297,0,Prj_Len-BB$2),"&lt;0",$G297:OFFSET($G297,0,Prj_Len-BB$2)),IF(BB$2=Prj_Len,SUMIF($G297:OFFSET(BB297,0,Prj_Len-BB$2),"&gt;=0",$G297:OFFSET($G297,0,Prj_Len-BB$2)),0))</f>
        <v>558187050.4144398</v>
      </c>
      <c r="BC298" s="55"/>
      <c r="BD298" s="57">
        <f ca="1">SUM(G298:BC298)</f>
        <v>342029897.30673897</v>
      </c>
    </row>
    <row r="299" spans="1:56" x14ac:dyDescent="0.3">
      <c r="A299" s="10"/>
      <c r="G299" s="55"/>
      <c r="H299" s="55"/>
      <c r="I299" s="55"/>
      <c r="J299" s="55"/>
      <c r="K299" s="55"/>
      <c r="L299" s="55"/>
    </row>
    <row r="300" spans="1:56" x14ac:dyDescent="0.3">
      <c r="A300" s="22" t="str">
        <f ca="1">Language!A1364</f>
        <v>Дисконтированный срок окупаемости, PBP</v>
      </c>
      <c r="B300" s="103">
        <f ca="1">IF(B301&gt;0, BD302/12, "-")</f>
        <v>2.9776216255155146</v>
      </c>
      <c r="C300" s="48" t="str">
        <f ca="1">Language!A$48</f>
        <v>лет</v>
      </c>
    </row>
    <row r="301" spans="1:56" outlineLevel="1" x14ac:dyDescent="0.3">
      <c r="A301" s="10" t="str">
        <f ca="1">Language!A$1365</f>
        <v>Флаг периода окупаемости</v>
      </c>
      <c r="B301" s="104">
        <f ca="1">MAX(G301:BC301)</f>
        <v>36</v>
      </c>
      <c r="C301" s="48" t="str">
        <f ca="1">Параметры!$C$17</f>
        <v>мес.</v>
      </c>
      <c r="F301" s="6" t="s">
        <v>1541</v>
      </c>
      <c r="G301" s="105">
        <f ca="1">IF(G287&lt;0,0,IF(F287&gt;=0,0,G$2))</f>
        <v>0</v>
      </c>
      <c r="H301" s="105">
        <f t="shared" ref="H301:BB301" ca="1" si="1265">IF(H287&lt;0,0,IF(G287&gt;=0,0,H$2))</f>
        <v>0</v>
      </c>
      <c r="I301" s="105">
        <f t="shared" ca="1" si="1265"/>
        <v>0</v>
      </c>
      <c r="J301" s="105">
        <f t="shared" ca="1" si="1265"/>
        <v>0</v>
      </c>
      <c r="K301" s="105">
        <f t="shared" ca="1" si="1265"/>
        <v>0</v>
      </c>
      <c r="L301" s="105">
        <f t="shared" ca="1" si="1265"/>
        <v>0</v>
      </c>
      <c r="M301" s="105">
        <f t="shared" ca="1" si="1265"/>
        <v>0</v>
      </c>
      <c r="N301" s="105">
        <f t="shared" ca="1" si="1265"/>
        <v>0</v>
      </c>
      <c r="O301" s="105">
        <f t="shared" ca="1" si="1265"/>
        <v>0</v>
      </c>
      <c r="P301" s="105">
        <f t="shared" ca="1" si="1265"/>
        <v>0</v>
      </c>
      <c r="Q301" s="105">
        <f t="shared" ca="1" si="1265"/>
        <v>0</v>
      </c>
      <c r="R301" s="105">
        <f t="shared" ca="1" si="1265"/>
        <v>0</v>
      </c>
      <c r="S301" s="105">
        <f t="shared" ca="1" si="1265"/>
        <v>0</v>
      </c>
      <c r="T301" s="105">
        <f t="shared" ca="1" si="1265"/>
        <v>0</v>
      </c>
      <c r="U301" s="105">
        <f t="shared" ca="1" si="1265"/>
        <v>0</v>
      </c>
      <c r="V301" s="105">
        <f t="shared" ca="1" si="1265"/>
        <v>0</v>
      </c>
      <c r="W301" s="105">
        <f t="shared" ca="1" si="1265"/>
        <v>0</v>
      </c>
      <c r="X301" s="105">
        <f t="shared" ca="1" si="1265"/>
        <v>0</v>
      </c>
      <c r="Y301" s="105">
        <f t="shared" ca="1" si="1265"/>
        <v>0</v>
      </c>
      <c r="Z301" s="105">
        <f t="shared" ca="1" si="1265"/>
        <v>0</v>
      </c>
      <c r="AA301" s="105">
        <f t="shared" ca="1" si="1265"/>
        <v>0</v>
      </c>
      <c r="AB301" s="105">
        <f t="shared" ca="1" si="1265"/>
        <v>0</v>
      </c>
      <c r="AC301" s="105">
        <f t="shared" ca="1" si="1265"/>
        <v>0</v>
      </c>
      <c r="AD301" s="105">
        <f t="shared" ca="1" si="1265"/>
        <v>0</v>
      </c>
      <c r="AE301" s="105">
        <f t="shared" ca="1" si="1265"/>
        <v>0</v>
      </c>
      <c r="AF301" s="105">
        <f t="shared" ca="1" si="1265"/>
        <v>0</v>
      </c>
      <c r="AG301" s="105">
        <f t="shared" ca="1" si="1265"/>
        <v>0</v>
      </c>
      <c r="AH301" s="105">
        <f t="shared" ca="1" si="1265"/>
        <v>0</v>
      </c>
      <c r="AI301" s="105">
        <f t="shared" ca="1" si="1265"/>
        <v>0</v>
      </c>
      <c r="AJ301" s="105">
        <f t="shared" ca="1" si="1265"/>
        <v>0</v>
      </c>
      <c r="AK301" s="105">
        <f t="shared" ca="1" si="1265"/>
        <v>0</v>
      </c>
      <c r="AL301" s="105">
        <f t="shared" ca="1" si="1265"/>
        <v>0</v>
      </c>
      <c r="AM301" s="105">
        <f t="shared" ca="1" si="1265"/>
        <v>0</v>
      </c>
      <c r="AN301" s="105">
        <f t="shared" ca="1" si="1265"/>
        <v>0</v>
      </c>
      <c r="AO301" s="105">
        <f t="shared" ca="1" si="1265"/>
        <v>0</v>
      </c>
      <c r="AP301" s="105">
        <f t="shared" ca="1" si="1265"/>
        <v>36</v>
      </c>
      <c r="AQ301" s="105">
        <f t="shared" ca="1" si="1265"/>
        <v>0</v>
      </c>
      <c r="AR301" s="105">
        <f t="shared" ca="1" si="1265"/>
        <v>0</v>
      </c>
      <c r="AS301" s="105">
        <f t="shared" ca="1" si="1265"/>
        <v>0</v>
      </c>
      <c r="AT301" s="105">
        <f t="shared" ca="1" si="1265"/>
        <v>0</v>
      </c>
      <c r="AU301" s="105">
        <f t="shared" ca="1" si="1265"/>
        <v>0</v>
      </c>
      <c r="AV301" s="105">
        <f t="shared" ca="1" si="1265"/>
        <v>0</v>
      </c>
      <c r="AW301" s="105">
        <f t="shared" ca="1" si="1265"/>
        <v>0</v>
      </c>
      <c r="AX301" s="105">
        <f t="shared" ca="1" si="1265"/>
        <v>0</v>
      </c>
      <c r="AY301" s="105">
        <f t="shared" ca="1" si="1265"/>
        <v>0</v>
      </c>
      <c r="AZ301" s="105">
        <f t="shared" ca="1" si="1265"/>
        <v>0</v>
      </c>
      <c r="BA301" s="105">
        <f t="shared" ca="1" si="1265"/>
        <v>0</v>
      </c>
      <c r="BB301" s="105">
        <f t="shared" ca="1" si="1265"/>
        <v>0</v>
      </c>
      <c r="BC301" s="106"/>
      <c r="BD301" s="106"/>
    </row>
    <row r="302" spans="1:56" outlineLevel="1" x14ac:dyDescent="0.3">
      <c r="A302" s="10" t="str">
        <f ca="1">Language!A$1366</f>
        <v>Расчет окупаемости в месяцах</v>
      </c>
      <c r="B302" s="107">
        <f ca="1">BD302</f>
        <v>35.731459506186177</v>
      </c>
      <c r="C302" s="48" t="str">
        <f ca="1">Language!A$46</f>
        <v>мес.</v>
      </c>
      <c r="F302" s="6" t="s">
        <v>1541</v>
      </c>
      <c r="G302" s="106">
        <f t="shared" ref="G302:BB302" ca="1" si="1266">IF(G$2&lt;$B$301,Prj_Period,IF(G$2=$B$301,-F287/G286*Prj_Period,0))</f>
        <v>1</v>
      </c>
      <c r="H302" s="106">
        <f t="shared" ca="1" si="1266"/>
        <v>1</v>
      </c>
      <c r="I302" s="106">
        <f t="shared" ca="1" si="1266"/>
        <v>1</v>
      </c>
      <c r="J302" s="106">
        <f t="shared" ca="1" si="1266"/>
        <v>1</v>
      </c>
      <c r="K302" s="106">
        <f t="shared" ca="1" si="1266"/>
        <v>1</v>
      </c>
      <c r="L302" s="106">
        <f t="shared" ca="1" si="1266"/>
        <v>1</v>
      </c>
      <c r="M302" s="106">
        <f t="shared" ca="1" si="1266"/>
        <v>1</v>
      </c>
      <c r="N302" s="106">
        <f t="shared" ca="1" si="1266"/>
        <v>1</v>
      </c>
      <c r="O302" s="106">
        <f t="shared" ca="1" si="1266"/>
        <v>1</v>
      </c>
      <c r="P302" s="106">
        <f t="shared" ca="1" si="1266"/>
        <v>1</v>
      </c>
      <c r="Q302" s="106">
        <f t="shared" ca="1" si="1266"/>
        <v>1</v>
      </c>
      <c r="R302" s="106">
        <f t="shared" ca="1" si="1266"/>
        <v>1</v>
      </c>
      <c r="S302" s="106">
        <f t="shared" ca="1" si="1266"/>
        <v>1</v>
      </c>
      <c r="T302" s="106">
        <f t="shared" ca="1" si="1266"/>
        <v>1</v>
      </c>
      <c r="U302" s="106">
        <f t="shared" ca="1" si="1266"/>
        <v>1</v>
      </c>
      <c r="V302" s="106">
        <f t="shared" ca="1" si="1266"/>
        <v>1</v>
      </c>
      <c r="W302" s="106">
        <f t="shared" ca="1" si="1266"/>
        <v>1</v>
      </c>
      <c r="X302" s="106">
        <f t="shared" ca="1" si="1266"/>
        <v>1</v>
      </c>
      <c r="Y302" s="106">
        <f t="shared" ca="1" si="1266"/>
        <v>1</v>
      </c>
      <c r="Z302" s="106">
        <f t="shared" ca="1" si="1266"/>
        <v>1</v>
      </c>
      <c r="AA302" s="106">
        <f t="shared" ca="1" si="1266"/>
        <v>1</v>
      </c>
      <c r="AB302" s="106">
        <f t="shared" ca="1" si="1266"/>
        <v>1</v>
      </c>
      <c r="AC302" s="106">
        <f t="shared" ca="1" si="1266"/>
        <v>1</v>
      </c>
      <c r="AD302" s="106">
        <f t="shared" ca="1" si="1266"/>
        <v>1</v>
      </c>
      <c r="AE302" s="106">
        <f t="shared" ca="1" si="1266"/>
        <v>1</v>
      </c>
      <c r="AF302" s="106">
        <f t="shared" ca="1" si="1266"/>
        <v>1</v>
      </c>
      <c r="AG302" s="106">
        <f t="shared" ca="1" si="1266"/>
        <v>1</v>
      </c>
      <c r="AH302" s="106">
        <f t="shared" ca="1" si="1266"/>
        <v>1</v>
      </c>
      <c r="AI302" s="106">
        <f t="shared" ca="1" si="1266"/>
        <v>1</v>
      </c>
      <c r="AJ302" s="106">
        <f t="shared" ca="1" si="1266"/>
        <v>1</v>
      </c>
      <c r="AK302" s="106">
        <f t="shared" ca="1" si="1266"/>
        <v>1</v>
      </c>
      <c r="AL302" s="106">
        <f t="shared" ca="1" si="1266"/>
        <v>1</v>
      </c>
      <c r="AM302" s="106">
        <f t="shared" ca="1" si="1266"/>
        <v>1</v>
      </c>
      <c r="AN302" s="106">
        <f t="shared" ca="1" si="1266"/>
        <v>1</v>
      </c>
      <c r="AO302" s="106">
        <f t="shared" ca="1" si="1266"/>
        <v>1</v>
      </c>
      <c r="AP302" s="106">
        <f t="shared" ca="1" si="1266"/>
        <v>0.73145950618617672</v>
      </c>
      <c r="AQ302" s="106">
        <f t="shared" ca="1" si="1266"/>
        <v>0</v>
      </c>
      <c r="AR302" s="106">
        <f t="shared" ca="1" si="1266"/>
        <v>0</v>
      </c>
      <c r="AS302" s="106">
        <f t="shared" ca="1" si="1266"/>
        <v>0</v>
      </c>
      <c r="AT302" s="106">
        <f t="shared" ca="1" si="1266"/>
        <v>0</v>
      </c>
      <c r="AU302" s="106">
        <f t="shared" ca="1" si="1266"/>
        <v>0</v>
      </c>
      <c r="AV302" s="106">
        <f t="shared" ca="1" si="1266"/>
        <v>0</v>
      </c>
      <c r="AW302" s="106">
        <f t="shared" ca="1" si="1266"/>
        <v>0</v>
      </c>
      <c r="AX302" s="106">
        <f t="shared" ca="1" si="1266"/>
        <v>0</v>
      </c>
      <c r="AY302" s="106">
        <f t="shared" ca="1" si="1266"/>
        <v>0</v>
      </c>
      <c r="AZ302" s="106">
        <f t="shared" ca="1" si="1266"/>
        <v>0</v>
      </c>
      <c r="BA302" s="106">
        <f t="shared" ca="1" si="1266"/>
        <v>0</v>
      </c>
      <c r="BB302" s="106">
        <f t="shared" ca="1" si="1266"/>
        <v>0</v>
      </c>
      <c r="BC302" s="106"/>
      <c r="BD302" s="108">
        <f ca="1">SUM(G302:BC302)</f>
        <v>35.731459506186177</v>
      </c>
    </row>
    <row r="303" spans="1:56" x14ac:dyDescent="0.3">
      <c r="A303" s="10"/>
      <c r="B303" s="107"/>
      <c r="G303" s="106"/>
      <c r="H303" s="106"/>
      <c r="I303" s="106"/>
      <c r="J303" s="106"/>
      <c r="K303" s="106"/>
      <c r="L303" s="106"/>
      <c r="M303" s="106"/>
      <c r="N303" s="106"/>
      <c r="O303" s="106"/>
      <c r="P303" s="106"/>
      <c r="Q303" s="106"/>
      <c r="R303" s="106"/>
      <c r="S303" s="106"/>
      <c r="T303" s="106"/>
      <c r="U303" s="106"/>
      <c r="V303" s="106"/>
      <c r="W303" s="106"/>
      <c r="X303" s="106"/>
      <c r="Y303" s="106"/>
      <c r="Z303" s="106"/>
      <c r="AA303" s="106"/>
      <c r="AB303" s="106"/>
      <c r="AC303" s="106"/>
      <c r="AD303" s="106"/>
      <c r="AE303" s="106"/>
      <c r="AF303" s="106"/>
      <c r="AG303" s="106"/>
      <c r="AH303" s="106"/>
      <c r="AI303" s="106"/>
      <c r="AJ303" s="106"/>
      <c r="AK303" s="106"/>
      <c r="AL303" s="106"/>
      <c r="AM303" s="106"/>
      <c r="AN303" s="106"/>
      <c r="AO303" s="106"/>
      <c r="AP303" s="106"/>
      <c r="AQ303" s="106"/>
      <c r="AR303" s="106"/>
      <c r="AS303" s="106"/>
      <c r="AT303" s="106"/>
      <c r="AU303" s="106"/>
      <c r="AV303" s="106"/>
      <c r="AW303" s="106"/>
      <c r="AX303" s="106"/>
      <c r="AY303" s="106"/>
      <c r="AZ303" s="106"/>
      <c r="BA303" s="106"/>
      <c r="BB303" s="106"/>
      <c r="BC303" s="106"/>
      <c r="BD303" s="108"/>
    </row>
    <row r="304" spans="1:56" x14ac:dyDescent="0.3">
      <c r="A304" s="10" t="str">
        <f ca="1">Language!A$1367</f>
        <v>Простой срок окупаемости</v>
      </c>
      <c r="B304" s="103">
        <f ca="1">IF(B306&gt;0, BD307/12, "-")</f>
        <v>2.4871224800620788</v>
      </c>
      <c r="C304" s="48" t="str">
        <f ca="1">Language!A$48</f>
        <v>лет</v>
      </c>
    </row>
    <row r="305" spans="1:56" outlineLevel="1" x14ac:dyDescent="0.3">
      <c r="A305" s="10" t="str">
        <f ca="1">Language!A$1368</f>
        <v>Недисконтированный поток нарастающим итогом</v>
      </c>
      <c r="B305" s="77"/>
      <c r="C305" s="48" t="str">
        <f ca="1">Параметры!$C$64</f>
        <v>руб.</v>
      </c>
      <c r="F305" s="6" t="s">
        <v>741</v>
      </c>
      <c r="G305" s="55">
        <f ca="1">IF(G$2=1,G285,F305+G285)</f>
        <v>-291667</v>
      </c>
      <c r="H305" s="55">
        <f t="shared" ref="H305:BB305" ca="1" si="1267">IF(H$2=1,H285,G305+H285)</f>
        <v>-1950000.6666666667</v>
      </c>
      <c r="I305" s="55">
        <f t="shared" ca="1" si="1267"/>
        <v>-138608333.33333331</v>
      </c>
      <c r="J305" s="55">
        <f t="shared" ca="1" si="1267"/>
        <v>-156999999.99999997</v>
      </c>
      <c r="K305" s="55">
        <f t="shared" ca="1" si="1267"/>
        <v>-174024999.99999997</v>
      </c>
      <c r="L305" s="55">
        <f t="shared" ca="1" si="1267"/>
        <v>-192927925.06041825</v>
      </c>
      <c r="M305" s="55">
        <f t="shared" ca="1" si="1267"/>
        <v>-200814843.34451333</v>
      </c>
      <c r="N305" s="55">
        <f t="shared" ca="1" si="1267"/>
        <v>-207046883.25309092</v>
      </c>
      <c r="O305" s="55">
        <f t="shared" ca="1" si="1267"/>
        <v>-201425609.12789643</v>
      </c>
      <c r="P305" s="55">
        <f t="shared" ca="1" si="1267"/>
        <v>-193764661.11219066</v>
      </c>
      <c r="Q305" s="55">
        <f t="shared" ca="1" si="1267"/>
        <v>-185492880.86397833</v>
      </c>
      <c r="R305" s="55">
        <f t="shared" ca="1" si="1267"/>
        <v>-177833279.59225309</v>
      </c>
      <c r="S305" s="55">
        <f t="shared" ca="1" si="1267"/>
        <v>-166898829.58315954</v>
      </c>
      <c r="T305" s="55">
        <f t="shared" ca="1" si="1267"/>
        <v>-155990972.04546177</v>
      </c>
      <c r="U305" s="55">
        <f t="shared" ca="1" si="1267"/>
        <v>-146848887.85659745</v>
      </c>
      <c r="V305" s="55">
        <f t="shared" ca="1" si="1267"/>
        <v>-137915868.52957821</v>
      </c>
      <c r="W305" s="55">
        <f t="shared" ca="1" si="1267"/>
        <v>-131613186.19506539</v>
      </c>
      <c r="X305" s="55">
        <f t="shared" ca="1" si="1267"/>
        <v>-122082042.93452525</v>
      </c>
      <c r="Y305" s="55">
        <f t="shared" ca="1" si="1267"/>
        <v>-108027396.38462315</v>
      </c>
      <c r="Z305" s="55">
        <f t="shared" ca="1" si="1267"/>
        <v>-91456061.150545597</v>
      </c>
      <c r="AA305" s="55">
        <f t="shared" ca="1" si="1267"/>
        <v>-78416852.518169492</v>
      </c>
      <c r="AB305" s="55">
        <f t="shared" ca="1" si="1267"/>
        <v>-69981668.194558367</v>
      </c>
      <c r="AC305" s="55">
        <f t="shared" ca="1" si="1267"/>
        <v>-63284460.2565374</v>
      </c>
      <c r="AD305" s="55">
        <f t="shared" ca="1" si="1267"/>
        <v>-56040061.843941584</v>
      </c>
      <c r="AE305" s="55">
        <f t="shared" ca="1" si="1267"/>
        <v>-44799865.602068484</v>
      </c>
      <c r="AF305" s="55">
        <f t="shared" ca="1" si="1267"/>
        <v>-33484580.88083899</v>
      </c>
      <c r="AG305" s="55">
        <f t="shared" ca="1" si="1267"/>
        <v>-24006971.481306702</v>
      </c>
      <c r="AH305" s="55">
        <f t="shared" ca="1" si="1267"/>
        <v>-14730597.685883312</v>
      </c>
      <c r="AI305" s="55">
        <f t="shared" ca="1" si="1267"/>
        <v>-8286648.0236854209</v>
      </c>
      <c r="AJ305" s="55">
        <f t="shared" ca="1" si="1267"/>
        <v>1514587.2285180492</v>
      </c>
      <c r="AK305" s="55">
        <f t="shared" ca="1" si="1267"/>
        <v>16037878.015256982</v>
      </c>
      <c r="AL305" s="55">
        <f t="shared" ca="1" si="1267"/>
        <v>33270389.242280636</v>
      </c>
      <c r="AM305" s="55">
        <f t="shared" ca="1" si="1267"/>
        <v>46844617.976037055</v>
      </c>
      <c r="AN305" s="55">
        <f t="shared" ca="1" si="1267"/>
        <v>55601966.874197438</v>
      </c>
      <c r="AO305" s="55">
        <f t="shared" ca="1" si="1267"/>
        <v>62504081.038980916</v>
      </c>
      <c r="AP305" s="55">
        <f t="shared" ca="1" si="1267"/>
        <v>69921553.75185211</v>
      </c>
      <c r="AQ305" s="55">
        <f t="shared" ca="1" si="1267"/>
        <v>81547989.933314502</v>
      </c>
      <c r="AR305" s="55">
        <f t="shared" ca="1" si="1267"/>
        <v>93264612.797472611</v>
      </c>
      <c r="AS305" s="55">
        <f t="shared" ca="1" si="1267"/>
        <v>103071552.1400069</v>
      </c>
      <c r="AT305" s="55">
        <f t="shared" ca="1" si="1267"/>
        <v>112688073.01290427</v>
      </c>
      <c r="AU305" s="55">
        <f t="shared" ca="1" si="1267"/>
        <v>119252485.99195747</v>
      </c>
      <c r="AV305" s="55">
        <f t="shared" ca="1" si="1267"/>
        <v>129302719.16707349</v>
      </c>
      <c r="AW305" s="55">
        <f t="shared" ca="1" si="1267"/>
        <v>144276468.01371846</v>
      </c>
      <c r="AX305" s="55">
        <f t="shared" ca="1" si="1267"/>
        <v>162168654.12389719</v>
      </c>
      <c r="AY305" s="55">
        <f t="shared" ca="1" si="1267"/>
        <v>176279433.87842965</v>
      </c>
      <c r="AZ305" s="55">
        <f t="shared" ca="1" si="1267"/>
        <v>185355541.44008264</v>
      </c>
      <c r="BA305" s="55">
        <f t="shared" ca="1" si="1267"/>
        <v>192450516.12079388</v>
      </c>
      <c r="BB305" s="55">
        <f t="shared" ca="1" si="1267"/>
        <v>200798934.20187497</v>
      </c>
    </row>
    <row r="306" spans="1:56" outlineLevel="1" x14ac:dyDescent="0.3">
      <c r="A306" s="10" t="str">
        <f ca="1">Language!A$1365</f>
        <v>Флаг периода окупаемости</v>
      </c>
      <c r="B306" s="104">
        <f ca="1">MAX(G306:BC306)</f>
        <v>30</v>
      </c>
      <c r="C306" s="48" t="str">
        <f ca="1">Параметры!$C$17</f>
        <v>мес.</v>
      </c>
      <c r="F306" s="6" t="s">
        <v>1541</v>
      </c>
      <c r="G306" s="105">
        <f ca="1">IF(G305&lt;0,0,IF(F305&gt;=0,0,G$2))</f>
        <v>0</v>
      </c>
      <c r="H306" s="105">
        <f t="shared" ref="H306:BB306" ca="1" si="1268">IF(H305&lt;0,0,IF(G305&gt;=0,0,H$2))</f>
        <v>0</v>
      </c>
      <c r="I306" s="105">
        <f t="shared" ca="1" si="1268"/>
        <v>0</v>
      </c>
      <c r="J306" s="105">
        <f t="shared" ca="1" si="1268"/>
        <v>0</v>
      </c>
      <c r="K306" s="105">
        <f t="shared" ca="1" si="1268"/>
        <v>0</v>
      </c>
      <c r="L306" s="105">
        <f t="shared" ca="1" si="1268"/>
        <v>0</v>
      </c>
      <c r="M306" s="105">
        <f t="shared" ca="1" si="1268"/>
        <v>0</v>
      </c>
      <c r="N306" s="105">
        <f t="shared" ca="1" si="1268"/>
        <v>0</v>
      </c>
      <c r="O306" s="105">
        <f t="shared" ca="1" si="1268"/>
        <v>0</v>
      </c>
      <c r="P306" s="105">
        <f t="shared" ca="1" si="1268"/>
        <v>0</v>
      </c>
      <c r="Q306" s="105">
        <f t="shared" ca="1" si="1268"/>
        <v>0</v>
      </c>
      <c r="R306" s="105">
        <f t="shared" ca="1" si="1268"/>
        <v>0</v>
      </c>
      <c r="S306" s="105">
        <f t="shared" ca="1" si="1268"/>
        <v>0</v>
      </c>
      <c r="T306" s="105">
        <f t="shared" ca="1" si="1268"/>
        <v>0</v>
      </c>
      <c r="U306" s="105">
        <f t="shared" ca="1" si="1268"/>
        <v>0</v>
      </c>
      <c r="V306" s="105">
        <f t="shared" ca="1" si="1268"/>
        <v>0</v>
      </c>
      <c r="W306" s="105">
        <f t="shared" ca="1" si="1268"/>
        <v>0</v>
      </c>
      <c r="X306" s="105">
        <f t="shared" ca="1" si="1268"/>
        <v>0</v>
      </c>
      <c r="Y306" s="105">
        <f t="shared" ca="1" si="1268"/>
        <v>0</v>
      </c>
      <c r="Z306" s="105">
        <f t="shared" ca="1" si="1268"/>
        <v>0</v>
      </c>
      <c r="AA306" s="105">
        <f t="shared" ca="1" si="1268"/>
        <v>0</v>
      </c>
      <c r="AB306" s="105">
        <f t="shared" ca="1" si="1268"/>
        <v>0</v>
      </c>
      <c r="AC306" s="105">
        <f t="shared" ca="1" si="1268"/>
        <v>0</v>
      </c>
      <c r="AD306" s="105">
        <f t="shared" ca="1" si="1268"/>
        <v>0</v>
      </c>
      <c r="AE306" s="105">
        <f t="shared" ca="1" si="1268"/>
        <v>0</v>
      </c>
      <c r="AF306" s="105">
        <f t="shared" ca="1" si="1268"/>
        <v>0</v>
      </c>
      <c r="AG306" s="105">
        <f t="shared" ca="1" si="1268"/>
        <v>0</v>
      </c>
      <c r="AH306" s="105">
        <f t="shared" ca="1" si="1268"/>
        <v>0</v>
      </c>
      <c r="AI306" s="105">
        <f t="shared" ca="1" si="1268"/>
        <v>0</v>
      </c>
      <c r="AJ306" s="105">
        <f t="shared" ca="1" si="1268"/>
        <v>30</v>
      </c>
      <c r="AK306" s="105">
        <f t="shared" ca="1" si="1268"/>
        <v>0</v>
      </c>
      <c r="AL306" s="105">
        <f t="shared" ca="1" si="1268"/>
        <v>0</v>
      </c>
      <c r="AM306" s="105">
        <f t="shared" ca="1" si="1268"/>
        <v>0</v>
      </c>
      <c r="AN306" s="105">
        <f t="shared" ca="1" si="1268"/>
        <v>0</v>
      </c>
      <c r="AO306" s="105">
        <f t="shared" ca="1" si="1268"/>
        <v>0</v>
      </c>
      <c r="AP306" s="105">
        <f t="shared" ca="1" si="1268"/>
        <v>0</v>
      </c>
      <c r="AQ306" s="105">
        <f t="shared" ca="1" si="1268"/>
        <v>0</v>
      </c>
      <c r="AR306" s="105">
        <f t="shared" ca="1" si="1268"/>
        <v>0</v>
      </c>
      <c r="AS306" s="105">
        <f t="shared" ca="1" si="1268"/>
        <v>0</v>
      </c>
      <c r="AT306" s="105">
        <f t="shared" ca="1" si="1268"/>
        <v>0</v>
      </c>
      <c r="AU306" s="105">
        <f t="shared" ca="1" si="1268"/>
        <v>0</v>
      </c>
      <c r="AV306" s="105">
        <f t="shared" ca="1" si="1268"/>
        <v>0</v>
      </c>
      <c r="AW306" s="105">
        <f t="shared" ca="1" si="1268"/>
        <v>0</v>
      </c>
      <c r="AX306" s="105">
        <f t="shared" ca="1" si="1268"/>
        <v>0</v>
      </c>
      <c r="AY306" s="105">
        <f t="shared" ca="1" si="1268"/>
        <v>0</v>
      </c>
      <c r="AZ306" s="105">
        <f t="shared" ca="1" si="1268"/>
        <v>0</v>
      </c>
      <c r="BA306" s="105">
        <f t="shared" ca="1" si="1268"/>
        <v>0</v>
      </c>
      <c r="BB306" s="105">
        <f t="shared" ca="1" si="1268"/>
        <v>0</v>
      </c>
      <c r="BC306" s="106"/>
      <c r="BD306" s="106"/>
    </row>
    <row r="307" spans="1:56" outlineLevel="1" x14ac:dyDescent="0.3">
      <c r="A307" s="10" t="str">
        <f ca="1">Language!A$1366</f>
        <v>Расчет окупаемости в месяцах</v>
      </c>
      <c r="B307" s="107">
        <f ca="1">BD307</f>
        <v>29.845469760744948</v>
      </c>
      <c r="C307" s="48" t="str">
        <f ca="1">Language!A$46</f>
        <v>мес.</v>
      </c>
      <c r="F307" s="6" t="s">
        <v>1541</v>
      </c>
      <c r="G307" s="106">
        <f t="shared" ref="G307:BB307" ca="1" si="1269">IF(G$2&lt;$B$306,Prj_Period,IF(G$2=$B$306,-F305/G285*Prj_Period,0))</f>
        <v>1</v>
      </c>
      <c r="H307" s="106">
        <f t="shared" ca="1" si="1269"/>
        <v>1</v>
      </c>
      <c r="I307" s="106">
        <f t="shared" ca="1" si="1269"/>
        <v>1</v>
      </c>
      <c r="J307" s="106">
        <f t="shared" ca="1" si="1269"/>
        <v>1</v>
      </c>
      <c r="K307" s="106">
        <f t="shared" ca="1" si="1269"/>
        <v>1</v>
      </c>
      <c r="L307" s="106">
        <f t="shared" ca="1" si="1269"/>
        <v>1</v>
      </c>
      <c r="M307" s="106">
        <f t="shared" ca="1" si="1269"/>
        <v>1</v>
      </c>
      <c r="N307" s="106">
        <f t="shared" ca="1" si="1269"/>
        <v>1</v>
      </c>
      <c r="O307" s="106">
        <f t="shared" ca="1" si="1269"/>
        <v>1</v>
      </c>
      <c r="P307" s="106">
        <f t="shared" ca="1" si="1269"/>
        <v>1</v>
      </c>
      <c r="Q307" s="106">
        <f t="shared" ca="1" si="1269"/>
        <v>1</v>
      </c>
      <c r="R307" s="106">
        <f t="shared" ca="1" si="1269"/>
        <v>1</v>
      </c>
      <c r="S307" s="106">
        <f t="shared" ca="1" si="1269"/>
        <v>1</v>
      </c>
      <c r="T307" s="106">
        <f t="shared" ca="1" si="1269"/>
        <v>1</v>
      </c>
      <c r="U307" s="106">
        <f t="shared" ca="1" si="1269"/>
        <v>1</v>
      </c>
      <c r="V307" s="106">
        <f t="shared" ca="1" si="1269"/>
        <v>1</v>
      </c>
      <c r="W307" s="106">
        <f t="shared" ca="1" si="1269"/>
        <v>1</v>
      </c>
      <c r="X307" s="106">
        <f t="shared" ca="1" si="1269"/>
        <v>1</v>
      </c>
      <c r="Y307" s="106">
        <f t="shared" ca="1" si="1269"/>
        <v>1</v>
      </c>
      <c r="Z307" s="106">
        <f t="shared" ca="1" si="1269"/>
        <v>1</v>
      </c>
      <c r="AA307" s="106">
        <f t="shared" ca="1" si="1269"/>
        <v>1</v>
      </c>
      <c r="AB307" s="106">
        <f t="shared" ca="1" si="1269"/>
        <v>1</v>
      </c>
      <c r="AC307" s="106">
        <f t="shared" ca="1" si="1269"/>
        <v>1</v>
      </c>
      <c r="AD307" s="106">
        <f t="shared" ca="1" si="1269"/>
        <v>1</v>
      </c>
      <c r="AE307" s="106">
        <f t="shared" ca="1" si="1269"/>
        <v>1</v>
      </c>
      <c r="AF307" s="106">
        <f t="shared" ca="1" si="1269"/>
        <v>1</v>
      </c>
      <c r="AG307" s="106">
        <f t="shared" ca="1" si="1269"/>
        <v>1</v>
      </c>
      <c r="AH307" s="106">
        <f t="shared" ca="1" si="1269"/>
        <v>1</v>
      </c>
      <c r="AI307" s="106">
        <f t="shared" ca="1" si="1269"/>
        <v>1</v>
      </c>
      <c r="AJ307" s="106">
        <f t="shared" ca="1" si="1269"/>
        <v>0.84546976074494828</v>
      </c>
      <c r="AK307" s="106">
        <f t="shared" ca="1" si="1269"/>
        <v>0</v>
      </c>
      <c r="AL307" s="106">
        <f t="shared" ca="1" si="1269"/>
        <v>0</v>
      </c>
      <c r="AM307" s="106">
        <f t="shared" ca="1" si="1269"/>
        <v>0</v>
      </c>
      <c r="AN307" s="106">
        <f t="shared" ca="1" si="1269"/>
        <v>0</v>
      </c>
      <c r="AO307" s="106">
        <f t="shared" ca="1" si="1269"/>
        <v>0</v>
      </c>
      <c r="AP307" s="106">
        <f t="shared" ca="1" si="1269"/>
        <v>0</v>
      </c>
      <c r="AQ307" s="106">
        <f t="shared" ca="1" si="1269"/>
        <v>0</v>
      </c>
      <c r="AR307" s="106">
        <f t="shared" ca="1" si="1269"/>
        <v>0</v>
      </c>
      <c r="AS307" s="106">
        <f t="shared" ca="1" si="1269"/>
        <v>0</v>
      </c>
      <c r="AT307" s="106">
        <f t="shared" ca="1" si="1269"/>
        <v>0</v>
      </c>
      <c r="AU307" s="106">
        <f t="shared" ca="1" si="1269"/>
        <v>0</v>
      </c>
      <c r="AV307" s="106">
        <f t="shared" ca="1" si="1269"/>
        <v>0</v>
      </c>
      <c r="AW307" s="106">
        <f t="shared" ca="1" si="1269"/>
        <v>0</v>
      </c>
      <c r="AX307" s="106">
        <f t="shared" ca="1" si="1269"/>
        <v>0</v>
      </c>
      <c r="AY307" s="106">
        <f t="shared" ca="1" si="1269"/>
        <v>0</v>
      </c>
      <c r="AZ307" s="106">
        <f t="shared" ca="1" si="1269"/>
        <v>0</v>
      </c>
      <c r="BA307" s="106">
        <f t="shared" ca="1" si="1269"/>
        <v>0</v>
      </c>
      <c r="BB307" s="106">
        <f t="shared" ca="1" si="1269"/>
        <v>0</v>
      </c>
      <c r="BC307" s="106"/>
      <c r="BD307" s="108">
        <f ca="1">SUM(G307:BC307)</f>
        <v>29.845469760744948</v>
      </c>
    </row>
    <row r="308" spans="1:56" x14ac:dyDescent="0.3">
      <c r="A308" s="10"/>
      <c r="B308" s="107"/>
      <c r="G308" s="106"/>
      <c r="H308" s="106"/>
      <c r="I308" s="106"/>
      <c r="J308" s="106"/>
      <c r="K308" s="106"/>
      <c r="L308" s="106"/>
      <c r="M308" s="106"/>
      <c r="N308" s="106"/>
      <c r="O308" s="106"/>
      <c r="P308" s="106"/>
      <c r="Q308" s="106"/>
      <c r="R308" s="106"/>
      <c r="S308" s="106"/>
      <c r="T308" s="106"/>
      <c r="U308" s="106"/>
      <c r="V308" s="106"/>
      <c r="W308" s="106"/>
      <c r="X308" s="106"/>
      <c r="Y308" s="106"/>
      <c r="Z308" s="106"/>
      <c r="AA308" s="106"/>
      <c r="AB308" s="106"/>
      <c r="AC308" s="106"/>
      <c r="AD308" s="106"/>
      <c r="AE308" s="106"/>
      <c r="AF308" s="106"/>
      <c r="AG308" s="106"/>
      <c r="AH308" s="106"/>
      <c r="AI308" s="106"/>
      <c r="AJ308" s="106"/>
      <c r="AK308" s="106"/>
      <c r="AL308" s="106"/>
      <c r="AM308" s="106"/>
      <c r="AN308" s="106"/>
      <c r="AO308" s="106"/>
      <c r="AP308" s="106"/>
      <c r="AQ308" s="106"/>
      <c r="AR308" s="106"/>
      <c r="AS308" s="106"/>
      <c r="AT308" s="106"/>
      <c r="AU308" s="106"/>
      <c r="AV308" s="106"/>
      <c r="AW308" s="106"/>
      <c r="AX308" s="106"/>
      <c r="AY308" s="106"/>
      <c r="AZ308" s="106"/>
      <c r="BA308" s="106"/>
      <c r="BB308" s="106"/>
      <c r="BC308" s="106"/>
      <c r="BD308" s="108"/>
    </row>
    <row r="309" spans="1:56" x14ac:dyDescent="0.3">
      <c r="A309" s="10" t="str">
        <f ca="1">Language!A$1369</f>
        <v>Норма доходности дисконтированных затрат (PI)</v>
      </c>
      <c r="B309" s="107">
        <f ca="1">IF(BD313=0,"-",BD311/-BD313)</f>
        <v>1.3579069196508198</v>
      </c>
      <c r="C309" s="48" t="str">
        <f ca="1">Language!$A$1477</f>
        <v>раз</v>
      </c>
      <c r="G309" s="55"/>
      <c r="H309" s="55"/>
      <c r="I309" s="55"/>
      <c r="J309" s="55"/>
      <c r="K309" s="55"/>
      <c r="L309" s="55"/>
      <c r="M309" s="55"/>
      <c r="N309" s="55"/>
      <c r="O309" s="55"/>
      <c r="P309" s="55"/>
      <c r="Q309" s="55"/>
      <c r="R309" s="55"/>
      <c r="S309" s="55"/>
      <c r="T309" s="55"/>
      <c r="U309" s="55"/>
      <c r="V309" s="55"/>
      <c r="W309" s="55"/>
      <c r="X309" s="55"/>
      <c r="Y309" s="55"/>
      <c r="Z309" s="55"/>
      <c r="AA309" s="55"/>
      <c r="AB309" s="55"/>
      <c r="AC309" s="55"/>
      <c r="AD309" s="55"/>
      <c r="AE309" s="55"/>
      <c r="AF309" s="55"/>
      <c r="AG309" s="55"/>
      <c r="AH309" s="55"/>
      <c r="AI309" s="55"/>
      <c r="AJ309" s="55"/>
      <c r="AK309" s="55"/>
      <c r="AL309" s="55"/>
      <c r="AM309" s="55"/>
      <c r="AN309" s="55"/>
      <c r="AO309" s="55"/>
      <c r="AP309" s="55"/>
      <c r="AQ309" s="55"/>
      <c r="AR309" s="55"/>
      <c r="AS309" s="55"/>
      <c r="AT309" s="55"/>
      <c r="AU309" s="55"/>
      <c r="AV309" s="55"/>
      <c r="AW309" s="55"/>
      <c r="AX309" s="55"/>
      <c r="AY309" s="55"/>
      <c r="AZ309" s="55"/>
      <c r="BA309" s="55"/>
      <c r="BB309" s="55"/>
      <c r="BC309" s="106"/>
      <c r="BD309" s="108"/>
    </row>
    <row r="310" spans="1:56" outlineLevel="1" x14ac:dyDescent="0.3">
      <c r="A310" s="35" t="str">
        <f ca="1">Language!A$1370</f>
        <v>притоки</v>
      </c>
      <c r="B310" s="107"/>
      <c r="C310" s="48" t="str">
        <f ca="1">Параметры!$C$64</f>
        <v>руб.</v>
      </c>
      <c r="F310" s="6" t="s">
        <v>740</v>
      </c>
      <c r="G310" s="55">
        <f ca="1">IF(G285&lt;0,0,G285)</f>
        <v>0</v>
      </c>
      <c r="H310" s="55">
        <f t="shared" ref="H310:M310" ca="1" si="1270">IF(H285&lt;0,0,H285)</f>
        <v>0</v>
      </c>
      <c r="I310" s="55">
        <f t="shared" ca="1" si="1270"/>
        <v>0</v>
      </c>
      <c r="J310" s="55">
        <f t="shared" ca="1" si="1270"/>
        <v>0</v>
      </c>
      <c r="K310" s="55">
        <f t="shared" ca="1" si="1270"/>
        <v>0</v>
      </c>
      <c r="L310" s="55">
        <f t="shared" ca="1" si="1270"/>
        <v>0</v>
      </c>
      <c r="M310" s="55">
        <f t="shared" ca="1" si="1270"/>
        <v>0</v>
      </c>
      <c r="N310" s="55">
        <f t="shared" ref="N310:O310" ca="1" si="1271">IF(N285&lt;0,0,N285)</f>
        <v>0</v>
      </c>
      <c r="O310" s="55">
        <f t="shared" ca="1" si="1271"/>
        <v>5621274.1251944918</v>
      </c>
      <c r="P310" s="55">
        <f t="shared" ref="P310:Q310" ca="1" si="1272">IF(P285&lt;0,0,P285)</f>
        <v>7660948.0157057578</v>
      </c>
      <c r="Q310" s="55">
        <f t="shared" ca="1" si="1272"/>
        <v>8271780.2482123412</v>
      </c>
      <c r="R310" s="55">
        <f t="shared" ref="R310:S310" ca="1" si="1273">IF(R285&lt;0,0,R285)</f>
        <v>7659601.2717252243</v>
      </c>
      <c r="S310" s="55">
        <f t="shared" ca="1" si="1273"/>
        <v>10934450.009093545</v>
      </c>
      <c r="T310" s="55">
        <f t="shared" ref="T310:U310" ca="1" si="1274">IF(T285&lt;0,0,T285)</f>
        <v>10907857.537697751</v>
      </c>
      <c r="U310" s="55">
        <f t="shared" ca="1" si="1274"/>
        <v>9142084.1888643112</v>
      </c>
      <c r="V310" s="55">
        <f t="shared" ref="V310:W310" ca="1" si="1275">IF(V285&lt;0,0,V285)</f>
        <v>8933019.3270192426</v>
      </c>
      <c r="W310" s="55">
        <f t="shared" ca="1" si="1275"/>
        <v>6302682.3345128149</v>
      </c>
      <c r="X310" s="55">
        <f t="shared" ref="X310:Y310" ca="1" si="1276">IF(X285&lt;0,0,X285)</f>
        <v>9531143.2605401427</v>
      </c>
      <c r="Y310" s="55">
        <f t="shared" ca="1" si="1276"/>
        <v>14054646.549902095</v>
      </c>
      <c r="Z310" s="55">
        <f t="shared" ref="Z310:AA310" ca="1" si="1277">IF(Z285&lt;0,0,Z285)</f>
        <v>16571335.234077554</v>
      </c>
      <c r="AA310" s="55">
        <f t="shared" ca="1" si="1277"/>
        <v>13039208.632376103</v>
      </c>
      <c r="AB310" s="55">
        <f t="shared" ref="AB310:AC310" ca="1" si="1278">IF(AB285&lt;0,0,AB285)</f>
        <v>8435184.3236111198</v>
      </c>
      <c r="AC310" s="55">
        <f t="shared" ca="1" si="1278"/>
        <v>6697207.9380209679</v>
      </c>
      <c r="AD310" s="55">
        <f t="shared" ref="AD310:AE310" ca="1" si="1279">IF(AD285&lt;0,0,AD285)</f>
        <v>7244398.4125958197</v>
      </c>
      <c r="AE310" s="55">
        <f t="shared" ca="1" si="1279"/>
        <v>11240196.241873104</v>
      </c>
      <c r="AF310" s="55">
        <f t="shared" ref="AF310:AG310" ca="1" si="1280">IF(AF285&lt;0,0,AF285)</f>
        <v>11315284.721229495</v>
      </c>
      <c r="AG310" s="55">
        <f t="shared" ca="1" si="1280"/>
        <v>9477609.3995322883</v>
      </c>
      <c r="AH310" s="55">
        <f t="shared" ref="AH310:AI310" ca="1" si="1281">IF(AH285&lt;0,0,AH285)</f>
        <v>9276373.7954233903</v>
      </c>
      <c r="AI310" s="55">
        <f t="shared" ca="1" si="1281"/>
        <v>6443949.6621978907</v>
      </c>
      <c r="AJ310" s="55">
        <f t="shared" ref="AJ310:AK310" ca="1" si="1282">IF(AJ285&lt;0,0,AJ285)</f>
        <v>9801235.2522034701</v>
      </c>
      <c r="AK310" s="55">
        <f t="shared" ca="1" si="1282"/>
        <v>14523290.786738934</v>
      </c>
      <c r="AL310" s="55">
        <f t="shared" ref="AL310:AM310" ca="1" si="1283">IF(AL285&lt;0,0,AL285)</f>
        <v>17232511.227023654</v>
      </c>
      <c r="AM310" s="55">
        <f t="shared" ca="1" si="1283"/>
        <v>13574228.733756416</v>
      </c>
      <c r="AN310" s="55">
        <f t="shared" ref="AN310:AO310" ca="1" si="1284">IF(AN285&lt;0,0,AN285)</f>
        <v>8757348.8981603831</v>
      </c>
      <c r="AO310" s="55">
        <f t="shared" ca="1" si="1284"/>
        <v>6902114.1647834787</v>
      </c>
      <c r="AP310" s="55">
        <f t="shared" ref="AP310:AQ310" ca="1" si="1285">IF(AP285&lt;0,0,AP285)</f>
        <v>7417472.712871192</v>
      </c>
      <c r="AQ310" s="55">
        <f t="shared" ca="1" si="1285"/>
        <v>11626436.181462388</v>
      </c>
      <c r="AR310" s="55">
        <f t="shared" ref="AR310:AS310" ca="1" si="1286">IF(AR285&lt;0,0,AR285)</f>
        <v>11716622.864158114</v>
      </c>
      <c r="AS310" s="55">
        <f t="shared" ca="1" si="1286"/>
        <v>9806939.3425342925</v>
      </c>
      <c r="AT310" s="55">
        <f t="shared" ref="AT310:AU310" ca="1" si="1287">IF(AT285&lt;0,0,AT285)</f>
        <v>9616520.8728973772</v>
      </c>
      <c r="AU310" s="55">
        <f t="shared" ca="1" si="1287"/>
        <v>6564412.9790532039</v>
      </c>
      <c r="AV310" s="55">
        <f t="shared" ref="AV310:AW310" ca="1" si="1288">IF(AV285&lt;0,0,AV285)</f>
        <v>10050233.175116023</v>
      </c>
      <c r="AW310" s="55">
        <f t="shared" ca="1" si="1288"/>
        <v>14973748.846644955</v>
      </c>
      <c r="AX310" s="55">
        <f t="shared" ref="AX310:AY310" ca="1" si="1289">IF(AX285&lt;0,0,AX285)</f>
        <v>17892186.110178754</v>
      </c>
      <c r="AY310" s="55">
        <f t="shared" ca="1" si="1289"/>
        <v>14110779.75453246</v>
      </c>
      <c r="AZ310" s="55">
        <f t="shared" ref="AZ310:BA310" ca="1" si="1290">IF(AZ285&lt;0,0,AZ285)</f>
        <v>9076107.5616529956</v>
      </c>
      <c r="BA310" s="55">
        <f t="shared" ca="1" si="1290"/>
        <v>7094974.6807112303</v>
      </c>
      <c r="BB310" s="55">
        <f t="shared" ref="BB310" ca="1" si="1291">IF(BB285&lt;0,0,BB285)</f>
        <v>8348418.0810810896</v>
      </c>
      <c r="BC310" s="106"/>
      <c r="BD310" s="57">
        <f ca="1">SUM(G310:BC310)</f>
        <v>407845817.45496589</v>
      </c>
    </row>
    <row r="311" spans="1:56" outlineLevel="1" x14ac:dyDescent="0.3">
      <c r="A311" s="35" t="str">
        <f ca="1">Language!A$1371</f>
        <v>дисконтированные притоки</v>
      </c>
      <c r="B311" s="107"/>
      <c r="C311" s="48" t="str">
        <f ca="1">Параметры!$C$64</f>
        <v>руб.</v>
      </c>
      <c r="F311" s="6" t="s">
        <v>740</v>
      </c>
      <c r="G311" s="55">
        <f ca="1">G310/G273</f>
        <v>0</v>
      </c>
      <c r="H311" s="55">
        <f t="shared" ref="H311:M311" ca="1" si="1292">H310/H273</f>
        <v>0</v>
      </c>
      <c r="I311" s="55">
        <f t="shared" ca="1" si="1292"/>
        <v>0</v>
      </c>
      <c r="J311" s="55">
        <f t="shared" ca="1" si="1292"/>
        <v>0</v>
      </c>
      <c r="K311" s="55">
        <f t="shared" ca="1" si="1292"/>
        <v>0</v>
      </c>
      <c r="L311" s="55">
        <f t="shared" ca="1" si="1292"/>
        <v>0</v>
      </c>
      <c r="M311" s="55">
        <f t="shared" ca="1" si="1292"/>
        <v>0</v>
      </c>
      <c r="N311" s="55">
        <f t="shared" ref="N311:O311" ca="1" si="1293">N310/N273</f>
        <v>0</v>
      </c>
      <c r="O311" s="55">
        <f t="shared" ca="1" si="1293"/>
        <v>4977912.599052012</v>
      </c>
      <c r="P311" s="55">
        <f t="shared" ref="P311:Q311" ca="1" si="1294">P310/P273</f>
        <v>6681847.8285782263</v>
      </c>
      <c r="Q311" s="55">
        <f t="shared" ca="1" si="1294"/>
        <v>7105826.7820938267</v>
      </c>
      <c r="R311" s="55">
        <f t="shared" ref="R311:S311" ca="1" si="1295">R310/R273</f>
        <v>6480721.4261953393</v>
      </c>
      <c r="S311" s="55">
        <f t="shared" ca="1" si="1295"/>
        <v>9112041.6742446236</v>
      </c>
      <c r="T311" s="55">
        <f t="shared" ref="T311:U311" ca="1" si="1296">T310/T273</f>
        <v>8952818.3726492692</v>
      </c>
      <c r="U311" s="55">
        <f t="shared" ca="1" si="1296"/>
        <v>7390385.5537556922</v>
      </c>
      <c r="V311" s="55">
        <f t="shared" ref="V311:W311" ca="1" si="1297">V310/V273</f>
        <v>7112490.7738523679</v>
      </c>
      <c r="W311" s="55">
        <f t="shared" ca="1" si="1297"/>
        <v>4942542.6294737924</v>
      </c>
      <c r="X311" s="55">
        <f t="shared" ref="X311:Y311" ca="1" si="1298">X310/X273</f>
        <v>7361588.9745914098</v>
      </c>
      <c r="Y311" s="55">
        <f t="shared" ca="1" si="1298"/>
        <v>10691731.879366023</v>
      </c>
      <c r="Z311" s="55">
        <f t="shared" ref="Z311:AA311" ca="1" si="1299">Z310/Z273</f>
        <v>12416157.037454547</v>
      </c>
      <c r="AA311" s="55">
        <f t="shared" ca="1" si="1299"/>
        <v>9622379.7142738514</v>
      </c>
      <c r="AB311" s="55">
        <f t="shared" ref="AB311:AC311" ca="1" si="1300">AB310/AB273</f>
        <v>6130944.6669033552</v>
      </c>
      <c r="AC311" s="55">
        <f t="shared" ca="1" si="1300"/>
        <v>4794332.6691499827</v>
      </c>
      <c r="AD311" s="55">
        <f t="shared" ref="AD311:AE311" ca="1" si="1301">AD310/AD273</f>
        <v>5107851.6085984437</v>
      </c>
      <c r="AE311" s="55">
        <f t="shared" ca="1" si="1301"/>
        <v>7805691.8346341038</v>
      </c>
      <c r="AF311" s="55">
        <f t="shared" ref="AF311:AG311" ca="1" si="1302">AF310/AF273</f>
        <v>7739351.2424318623</v>
      </c>
      <c r="AG311" s="55">
        <f t="shared" ca="1" si="1302"/>
        <v>6384684.4752461771</v>
      </c>
      <c r="AH311" s="55">
        <f t="shared" ref="AH311:AI311" ca="1" si="1303">AH310/AH273</f>
        <v>6154892.0004380196</v>
      </c>
      <c r="AI311" s="55">
        <f t="shared" ca="1" si="1303"/>
        <v>4211103.3336277436</v>
      </c>
      <c r="AJ311" s="55">
        <f t="shared" ref="AJ311:AK311" ca="1" si="1304">AJ310/AJ273</f>
        <v>6308500.4073537858</v>
      </c>
      <c r="AK311" s="55">
        <f t="shared" ca="1" si="1304"/>
        <v>9206868.0244257748</v>
      </c>
      <c r="AL311" s="55">
        <f t="shared" ref="AL311:AM311" ca="1" si="1305">AL310/AL273</f>
        <v>10759622.088490007</v>
      </c>
      <c r="AM311" s="55">
        <f t="shared" ca="1" si="1305"/>
        <v>8347668.1041499339</v>
      </c>
      <c r="AN311" s="55">
        <f t="shared" ref="AN311:AO311" ca="1" si="1306">AN310/AN273</f>
        <v>5304252.9425528934</v>
      </c>
      <c r="AO311" s="55">
        <f t="shared" ca="1" si="1306"/>
        <v>4117515.803185429</v>
      </c>
      <c r="AP311" s="55">
        <f t="shared" ref="AP311:AQ311" ca="1" si="1307">AP310/AP273</f>
        <v>4358235.1230043164</v>
      </c>
      <c r="AQ311" s="55">
        <f t="shared" ca="1" si="1307"/>
        <v>6728261.6790870335</v>
      </c>
      <c r="AR311" s="55">
        <f t="shared" ref="AR311:AS311" ca="1" si="1308">AR310/AR273</f>
        <v>6678213.1393401567</v>
      </c>
      <c r="AS311" s="55">
        <f t="shared" ca="1" si="1308"/>
        <v>5505450.6829758156</v>
      </c>
      <c r="AT311" s="55">
        <f t="shared" ref="AT311:AU311" ca="1" si="1309">AT310/AT273</f>
        <v>5317150.2049147291</v>
      </c>
      <c r="AU311" s="55">
        <f t="shared" ca="1" si="1309"/>
        <v>3574854.815823677</v>
      </c>
      <c r="AV311" s="55">
        <f t="shared" ref="AV311:AW311" ca="1" si="1310">AV310/AV273</f>
        <v>5390638.5647467459</v>
      </c>
      <c r="AW311" s="55">
        <f t="shared" ca="1" si="1310"/>
        <v>7910358.8095335774</v>
      </c>
      <c r="AX311" s="55">
        <f t="shared" ref="AX311:AY311" ca="1" si="1311">AX310/AX273</f>
        <v>9309591.1533272099</v>
      </c>
      <c r="AY311" s="55">
        <f t="shared" ca="1" si="1311"/>
        <v>7231356.589507347</v>
      </c>
      <c r="AZ311" s="55">
        <f t="shared" ref="AZ311:BA311" ca="1" si="1312">AZ310/AZ273</f>
        <v>4581101.9979400253</v>
      </c>
      <c r="BA311" s="55">
        <f t="shared" ca="1" si="1312"/>
        <v>3527140.3410573015</v>
      </c>
      <c r="BB311" s="55">
        <f t="shared" ref="BB311" ca="1" si="1313">BB310/BB273</f>
        <v>4087687.0859436882</v>
      </c>
      <c r="BC311" s="106"/>
      <c r="BD311" s="57">
        <f ca="1">SUM(G311:BC311)</f>
        <v>269421764.63397008</v>
      </c>
    </row>
    <row r="312" spans="1:56" outlineLevel="1" x14ac:dyDescent="0.3">
      <c r="A312" s="35" t="str">
        <f ca="1">Language!A$1372</f>
        <v>оттоки</v>
      </c>
      <c r="B312" s="107"/>
      <c r="C312" s="48" t="str">
        <f ca="1">Параметры!$C$64</f>
        <v>руб.</v>
      </c>
      <c r="F312" s="6" t="s">
        <v>740</v>
      </c>
      <c r="G312" s="55">
        <f ca="1">IF(G285&lt;0,G285,0)</f>
        <v>-291667</v>
      </c>
      <c r="H312" s="55">
        <f t="shared" ref="H312:M312" ca="1" si="1314">IF(H285&lt;0,H285,0)</f>
        <v>-1658333.6666666667</v>
      </c>
      <c r="I312" s="55">
        <f t="shared" ca="1" si="1314"/>
        <v>-136658332.66666666</v>
      </c>
      <c r="J312" s="55">
        <f t="shared" ca="1" si="1314"/>
        <v>-18391666.666666668</v>
      </c>
      <c r="K312" s="55">
        <f t="shared" ca="1" si="1314"/>
        <v>-17025000</v>
      </c>
      <c r="L312" s="55">
        <f t="shared" ca="1" si="1314"/>
        <v>-18902925.060418263</v>
      </c>
      <c r="M312" s="55">
        <f t="shared" ca="1" si="1314"/>
        <v>-7886918.2840950666</v>
      </c>
      <c r="N312" s="55">
        <f t="shared" ref="N312:O312" ca="1" si="1315">IF(N285&lt;0,N285,0)</f>
        <v>-6232039.9085776005</v>
      </c>
      <c r="O312" s="55">
        <f t="shared" ca="1" si="1315"/>
        <v>0</v>
      </c>
      <c r="P312" s="55">
        <f t="shared" ref="P312:Q312" ca="1" si="1316">IF(P285&lt;0,P285,0)</f>
        <v>0</v>
      </c>
      <c r="Q312" s="55">
        <f t="shared" ca="1" si="1316"/>
        <v>0</v>
      </c>
      <c r="R312" s="55">
        <f t="shared" ref="R312:S312" ca="1" si="1317">IF(R285&lt;0,R285,0)</f>
        <v>0</v>
      </c>
      <c r="S312" s="55">
        <f t="shared" ca="1" si="1317"/>
        <v>0</v>
      </c>
      <c r="T312" s="55">
        <f t="shared" ref="T312:U312" ca="1" si="1318">IF(T285&lt;0,T285,0)</f>
        <v>0</v>
      </c>
      <c r="U312" s="55">
        <f t="shared" ca="1" si="1318"/>
        <v>0</v>
      </c>
      <c r="V312" s="55">
        <f t="shared" ref="V312:W312" ca="1" si="1319">IF(V285&lt;0,V285,0)</f>
        <v>0</v>
      </c>
      <c r="W312" s="55">
        <f t="shared" ca="1" si="1319"/>
        <v>0</v>
      </c>
      <c r="X312" s="55">
        <f t="shared" ref="X312:Y312" ca="1" si="1320">IF(X285&lt;0,X285,0)</f>
        <v>0</v>
      </c>
      <c r="Y312" s="55">
        <f t="shared" ca="1" si="1320"/>
        <v>0</v>
      </c>
      <c r="Z312" s="55">
        <f t="shared" ref="Z312:AA312" ca="1" si="1321">IF(Z285&lt;0,Z285,0)</f>
        <v>0</v>
      </c>
      <c r="AA312" s="55">
        <f t="shared" ca="1" si="1321"/>
        <v>0</v>
      </c>
      <c r="AB312" s="55">
        <f t="shared" ref="AB312:AC312" ca="1" si="1322">IF(AB285&lt;0,AB285,0)</f>
        <v>0</v>
      </c>
      <c r="AC312" s="55">
        <f t="shared" ca="1" si="1322"/>
        <v>0</v>
      </c>
      <c r="AD312" s="55">
        <f t="shared" ref="AD312:AE312" ca="1" si="1323">IF(AD285&lt;0,AD285,0)</f>
        <v>0</v>
      </c>
      <c r="AE312" s="55">
        <f t="shared" ca="1" si="1323"/>
        <v>0</v>
      </c>
      <c r="AF312" s="55">
        <f t="shared" ref="AF312:AG312" ca="1" si="1324">IF(AF285&lt;0,AF285,0)</f>
        <v>0</v>
      </c>
      <c r="AG312" s="55">
        <f t="shared" ca="1" si="1324"/>
        <v>0</v>
      </c>
      <c r="AH312" s="55">
        <f t="shared" ref="AH312:AI312" ca="1" si="1325">IF(AH285&lt;0,AH285,0)</f>
        <v>0</v>
      </c>
      <c r="AI312" s="55">
        <f t="shared" ca="1" si="1325"/>
        <v>0</v>
      </c>
      <c r="AJ312" s="55">
        <f t="shared" ref="AJ312:AK312" ca="1" si="1326">IF(AJ285&lt;0,AJ285,0)</f>
        <v>0</v>
      </c>
      <c r="AK312" s="55">
        <f t="shared" ca="1" si="1326"/>
        <v>0</v>
      </c>
      <c r="AL312" s="55">
        <f t="shared" ref="AL312:AM312" ca="1" si="1327">IF(AL285&lt;0,AL285,0)</f>
        <v>0</v>
      </c>
      <c r="AM312" s="55">
        <f t="shared" ca="1" si="1327"/>
        <v>0</v>
      </c>
      <c r="AN312" s="55">
        <f t="shared" ref="AN312:AO312" ca="1" si="1328">IF(AN285&lt;0,AN285,0)</f>
        <v>0</v>
      </c>
      <c r="AO312" s="55">
        <f t="shared" ca="1" si="1328"/>
        <v>0</v>
      </c>
      <c r="AP312" s="55">
        <f t="shared" ref="AP312:AQ312" ca="1" si="1329">IF(AP285&lt;0,AP285,0)</f>
        <v>0</v>
      </c>
      <c r="AQ312" s="55">
        <f t="shared" ca="1" si="1329"/>
        <v>0</v>
      </c>
      <c r="AR312" s="55">
        <f t="shared" ref="AR312:AS312" ca="1" si="1330">IF(AR285&lt;0,AR285,0)</f>
        <v>0</v>
      </c>
      <c r="AS312" s="55">
        <f t="shared" ca="1" si="1330"/>
        <v>0</v>
      </c>
      <c r="AT312" s="55">
        <f t="shared" ref="AT312:AU312" ca="1" si="1331">IF(AT285&lt;0,AT285,0)</f>
        <v>0</v>
      </c>
      <c r="AU312" s="55">
        <f t="shared" ca="1" si="1331"/>
        <v>0</v>
      </c>
      <c r="AV312" s="55">
        <f t="shared" ref="AV312:AW312" ca="1" si="1332">IF(AV285&lt;0,AV285,0)</f>
        <v>0</v>
      </c>
      <c r="AW312" s="55">
        <f t="shared" ca="1" si="1332"/>
        <v>0</v>
      </c>
      <c r="AX312" s="55">
        <f t="shared" ref="AX312:AY312" ca="1" si="1333">IF(AX285&lt;0,AX285,0)</f>
        <v>0</v>
      </c>
      <c r="AY312" s="55">
        <f t="shared" ca="1" si="1333"/>
        <v>0</v>
      </c>
      <c r="AZ312" s="55">
        <f t="shared" ref="AZ312:BA312" ca="1" si="1334">IF(AZ285&lt;0,AZ285,0)</f>
        <v>0</v>
      </c>
      <c r="BA312" s="55">
        <f t="shared" ca="1" si="1334"/>
        <v>0</v>
      </c>
      <c r="BB312" s="55">
        <f t="shared" ref="BB312" ca="1" si="1335">IF(BB285&lt;0,BB285,0)</f>
        <v>0</v>
      </c>
      <c r="BC312" s="106"/>
      <c r="BD312" s="57">
        <f ca="1">SUM(G312:BC312)</f>
        <v>-207046883.25309092</v>
      </c>
    </row>
    <row r="313" spans="1:56" outlineLevel="1" x14ac:dyDescent="0.3">
      <c r="A313" s="35" t="str">
        <f ca="1">Language!A$1373</f>
        <v>дисконтированные оттоки</v>
      </c>
      <c r="B313" s="107"/>
      <c r="C313" s="48" t="str">
        <f ca="1">Параметры!$C$64</f>
        <v>руб.</v>
      </c>
      <c r="F313" s="6" t="s">
        <v>740</v>
      </c>
      <c r="G313" s="55">
        <f ca="1">G312/G273</f>
        <v>-291667</v>
      </c>
      <c r="H313" s="55">
        <f t="shared" ref="H313:M313" ca="1" si="1336">H312/H273</f>
        <v>-1633328.2756147657</v>
      </c>
      <c r="I313" s="55">
        <f t="shared" ca="1" si="1336"/>
        <v>-132568164.54658392</v>
      </c>
      <c r="J313" s="55">
        <f t="shared" ca="1" si="1336"/>
        <v>-17572185.353291985</v>
      </c>
      <c r="K313" s="55">
        <f t="shared" ca="1" si="1336"/>
        <v>-16021138.391699512</v>
      </c>
      <c r="L313" s="55">
        <f t="shared" ca="1" si="1336"/>
        <v>-17520109.927012041</v>
      </c>
      <c r="M313" s="55">
        <f t="shared" ca="1" si="1336"/>
        <v>-7199738.4223313443</v>
      </c>
      <c r="N313" s="55">
        <f t="shared" ref="N313:O313" ca="1" si="1337">N312/N273</f>
        <v>-5603265.0411509667</v>
      </c>
      <c r="O313" s="55">
        <f t="shared" ca="1" si="1337"/>
        <v>0</v>
      </c>
      <c r="P313" s="55">
        <f t="shared" ref="P313:Q313" ca="1" si="1338">P312/P273</f>
        <v>0</v>
      </c>
      <c r="Q313" s="55">
        <f t="shared" ca="1" si="1338"/>
        <v>0</v>
      </c>
      <c r="R313" s="55">
        <f t="shared" ref="R313:S313" ca="1" si="1339">R312/R273</f>
        <v>0</v>
      </c>
      <c r="S313" s="55">
        <f t="shared" ca="1" si="1339"/>
        <v>0</v>
      </c>
      <c r="T313" s="55">
        <f t="shared" ref="T313:U313" ca="1" si="1340">T312/T273</f>
        <v>0</v>
      </c>
      <c r="U313" s="55">
        <f t="shared" ca="1" si="1340"/>
        <v>0</v>
      </c>
      <c r="V313" s="55">
        <f t="shared" ref="V313:W313" ca="1" si="1341">V312/V273</f>
        <v>0</v>
      </c>
      <c r="W313" s="55">
        <f t="shared" ca="1" si="1341"/>
        <v>0</v>
      </c>
      <c r="X313" s="55">
        <f t="shared" ref="X313:Y313" ca="1" si="1342">X312/X273</f>
        <v>0</v>
      </c>
      <c r="Y313" s="55">
        <f t="shared" ca="1" si="1342"/>
        <v>0</v>
      </c>
      <c r="Z313" s="55">
        <f t="shared" ref="Z313:AA313" ca="1" si="1343">Z312/Z273</f>
        <v>0</v>
      </c>
      <c r="AA313" s="55">
        <f t="shared" ca="1" si="1343"/>
        <v>0</v>
      </c>
      <c r="AB313" s="55">
        <f t="shared" ref="AB313:AC313" ca="1" si="1344">AB312/AB273</f>
        <v>0</v>
      </c>
      <c r="AC313" s="55">
        <f t="shared" ca="1" si="1344"/>
        <v>0</v>
      </c>
      <c r="AD313" s="55">
        <f t="shared" ref="AD313:AE313" ca="1" si="1345">AD312/AD273</f>
        <v>0</v>
      </c>
      <c r="AE313" s="55">
        <f t="shared" ca="1" si="1345"/>
        <v>0</v>
      </c>
      <c r="AF313" s="55">
        <f t="shared" ref="AF313:AG313" ca="1" si="1346">AF312/AF273</f>
        <v>0</v>
      </c>
      <c r="AG313" s="55">
        <f t="shared" ca="1" si="1346"/>
        <v>0</v>
      </c>
      <c r="AH313" s="55">
        <f t="shared" ref="AH313:AI313" ca="1" si="1347">AH312/AH273</f>
        <v>0</v>
      </c>
      <c r="AI313" s="55">
        <f t="shared" ca="1" si="1347"/>
        <v>0</v>
      </c>
      <c r="AJ313" s="55">
        <f t="shared" ref="AJ313:AK313" ca="1" si="1348">AJ312/AJ273</f>
        <v>0</v>
      </c>
      <c r="AK313" s="55">
        <f t="shared" ca="1" si="1348"/>
        <v>0</v>
      </c>
      <c r="AL313" s="55">
        <f t="shared" ref="AL313:AM313" ca="1" si="1349">AL312/AL273</f>
        <v>0</v>
      </c>
      <c r="AM313" s="55">
        <f t="shared" ca="1" si="1349"/>
        <v>0</v>
      </c>
      <c r="AN313" s="55">
        <f t="shared" ref="AN313:AO313" ca="1" si="1350">AN312/AN273</f>
        <v>0</v>
      </c>
      <c r="AO313" s="55">
        <f t="shared" ca="1" si="1350"/>
        <v>0</v>
      </c>
      <c r="AP313" s="55">
        <f t="shared" ref="AP313:AQ313" ca="1" si="1351">AP312/AP273</f>
        <v>0</v>
      </c>
      <c r="AQ313" s="55">
        <f t="shared" ca="1" si="1351"/>
        <v>0</v>
      </c>
      <c r="AR313" s="55">
        <f t="shared" ref="AR313:AS313" ca="1" si="1352">AR312/AR273</f>
        <v>0</v>
      </c>
      <c r="AS313" s="55">
        <f t="shared" ca="1" si="1352"/>
        <v>0</v>
      </c>
      <c r="AT313" s="55">
        <f t="shared" ref="AT313:AU313" ca="1" si="1353">AT312/AT273</f>
        <v>0</v>
      </c>
      <c r="AU313" s="55">
        <f t="shared" ca="1" si="1353"/>
        <v>0</v>
      </c>
      <c r="AV313" s="55">
        <f t="shared" ref="AV313:AW313" ca="1" si="1354">AV312/AV273</f>
        <v>0</v>
      </c>
      <c r="AW313" s="55">
        <f t="shared" ca="1" si="1354"/>
        <v>0</v>
      </c>
      <c r="AX313" s="55">
        <f t="shared" ref="AX313:AY313" ca="1" si="1355">AX312/AX273</f>
        <v>0</v>
      </c>
      <c r="AY313" s="55">
        <f t="shared" ca="1" si="1355"/>
        <v>0</v>
      </c>
      <c r="AZ313" s="55">
        <f t="shared" ref="AZ313:BA313" ca="1" si="1356">AZ312/AZ273</f>
        <v>0</v>
      </c>
      <c r="BA313" s="55">
        <f t="shared" ca="1" si="1356"/>
        <v>0</v>
      </c>
      <c r="BB313" s="55">
        <f t="shared" ref="BB313" ca="1" si="1357">BB312/BB273</f>
        <v>0</v>
      </c>
      <c r="BC313" s="106"/>
      <c r="BD313" s="57">
        <f ca="1">SUM(G313:BC313)</f>
        <v>-198409596.95768455</v>
      </c>
    </row>
    <row r="314" spans="1:56" x14ac:dyDescent="0.3">
      <c r="A314" s="12"/>
      <c r="B314" s="83"/>
      <c r="C314" s="51"/>
      <c r="D314" s="14"/>
      <c r="E314" s="14" t="s">
        <v>735</v>
      </c>
      <c r="F314" s="14"/>
      <c r="G314" s="13"/>
      <c r="H314" s="13"/>
      <c r="I314" s="13"/>
      <c r="J314" s="13"/>
      <c r="K314" s="13"/>
      <c r="L314" s="13"/>
      <c r="M314" s="13"/>
      <c r="N314" s="13"/>
      <c r="O314" s="13"/>
      <c r="P314" s="13"/>
      <c r="Q314" s="13"/>
      <c r="R314" s="13"/>
      <c r="S314" s="13"/>
      <c r="T314" s="13"/>
      <c r="U314" s="13"/>
      <c r="V314" s="13"/>
      <c r="W314" s="13"/>
      <c r="X314" s="13"/>
      <c r="Y314" s="13"/>
      <c r="Z314" s="13"/>
      <c r="AA314" s="13"/>
      <c r="AB314" s="13"/>
      <c r="AC314" s="13"/>
      <c r="AD314" s="13"/>
      <c r="AE314" s="13"/>
      <c r="AF314" s="13"/>
      <c r="AG314" s="13"/>
      <c r="AH314" s="13"/>
      <c r="AI314" s="13"/>
      <c r="AJ314" s="13"/>
      <c r="AK314" s="13"/>
      <c r="AL314" s="13"/>
      <c r="AM314" s="13"/>
      <c r="AN314" s="13"/>
      <c r="AO314" s="13"/>
      <c r="AP314" s="13"/>
      <c r="AQ314" s="13"/>
      <c r="AR314" s="13"/>
      <c r="AS314" s="13"/>
      <c r="AT314" s="13"/>
      <c r="AU314" s="13"/>
      <c r="AV314" s="13"/>
      <c r="AW314" s="13"/>
      <c r="AX314" s="13"/>
      <c r="AY314" s="13"/>
      <c r="AZ314" s="13"/>
      <c r="BA314" s="13"/>
      <c r="BB314" s="13"/>
      <c r="BC314" s="13"/>
      <c r="BD314" s="13"/>
    </row>
    <row r="316" spans="1:56" hidden="1" x14ac:dyDescent="0.3"/>
    <row r="317" spans="1:56" s="9" customFormat="1" ht="25.5" hidden="1" customHeight="1" thickBot="1" x14ac:dyDescent="0.35">
      <c r="A317" s="323" t="str">
        <f ca="1">Language!A1374</f>
        <v>ЭФФЕКТИВНОСТЬ ДЛЯ АКЦИОНЕРОВ (FCFE)</v>
      </c>
      <c r="B317" s="337"/>
      <c r="C317" s="338"/>
      <c r="D317" s="326"/>
      <c r="E317" s="326" t="s">
        <v>900</v>
      </c>
      <c r="F317" s="326"/>
      <c r="G317" s="327" t="str">
        <f ca="1">Параметры!G$34</f>
        <v>янв.25</v>
      </c>
      <c r="H317" s="327" t="str">
        <f ca="1">Параметры!H$34</f>
        <v>фев.25</v>
      </c>
      <c r="I317" s="327" t="str">
        <f ca="1">Параметры!I$34</f>
        <v>мар.25</v>
      </c>
      <c r="J317" s="327" t="str">
        <f ca="1">Параметры!J$34</f>
        <v>апр.25</v>
      </c>
      <c r="K317" s="327" t="str">
        <f ca="1">Параметры!K$34</f>
        <v>май.25</v>
      </c>
      <c r="L317" s="327" t="str">
        <f ca="1">Параметры!L$34</f>
        <v>июн.25</v>
      </c>
      <c r="M317" s="328" t="str">
        <f ca="1">Параметры!M$34</f>
        <v>июл.25</v>
      </c>
      <c r="N317" s="328" t="str">
        <f ca="1">Параметры!N$34</f>
        <v>авг.25</v>
      </c>
      <c r="O317" s="328" t="str">
        <f ca="1">Параметры!O$34</f>
        <v>сен.25</v>
      </c>
      <c r="P317" s="328" t="str">
        <f ca="1">Параметры!P$34</f>
        <v>окт.25</v>
      </c>
      <c r="Q317" s="328" t="str">
        <f ca="1">Параметры!Q$34</f>
        <v>ноя.25</v>
      </c>
      <c r="R317" s="328" t="str">
        <f ca="1">Параметры!R$34</f>
        <v>дек.25</v>
      </c>
      <c r="S317" s="328" t="str">
        <f ca="1">Параметры!S$34</f>
        <v>янв.26</v>
      </c>
      <c r="T317" s="328" t="str">
        <f ca="1">Параметры!T$34</f>
        <v>фев.26</v>
      </c>
      <c r="U317" s="328" t="str">
        <f ca="1">Параметры!U$34</f>
        <v>мар.26</v>
      </c>
      <c r="V317" s="328" t="str">
        <f ca="1">Параметры!V$34</f>
        <v>апр.26</v>
      </c>
      <c r="W317" s="328" t="str">
        <f ca="1">Параметры!W$34</f>
        <v>май.26</v>
      </c>
      <c r="X317" s="328" t="str">
        <f ca="1">Параметры!X$34</f>
        <v>июн.26</v>
      </c>
      <c r="Y317" s="328" t="str">
        <f ca="1">Параметры!Y$34</f>
        <v>июл.26</v>
      </c>
      <c r="Z317" s="328" t="str">
        <f ca="1">Параметры!Z$34</f>
        <v>авг.26</v>
      </c>
      <c r="AA317" s="328" t="str">
        <f ca="1">Параметры!AA$34</f>
        <v>сен.26</v>
      </c>
      <c r="AB317" s="328" t="str">
        <f ca="1">Параметры!AB$34</f>
        <v>окт.26</v>
      </c>
      <c r="AC317" s="328" t="str">
        <f ca="1">Параметры!AC$34</f>
        <v>ноя.26</v>
      </c>
      <c r="AD317" s="328" t="str">
        <f ca="1">Параметры!AD$34</f>
        <v>дек.26</v>
      </c>
      <c r="AE317" s="328" t="str">
        <f ca="1">Параметры!AE$34</f>
        <v>янв.27</v>
      </c>
      <c r="AF317" s="328" t="str">
        <f ca="1">Параметры!AF$34</f>
        <v>фев.27</v>
      </c>
      <c r="AG317" s="328" t="str">
        <f ca="1">Параметры!AG$34</f>
        <v>мар.27</v>
      </c>
      <c r="AH317" s="328" t="str">
        <f ca="1">Параметры!AH$34</f>
        <v>апр.27</v>
      </c>
      <c r="AI317" s="328" t="str">
        <f ca="1">Параметры!AI$34</f>
        <v>май.27</v>
      </c>
      <c r="AJ317" s="328" t="str">
        <f ca="1">Параметры!AJ$34</f>
        <v>июн.27</v>
      </c>
      <c r="AK317" s="328" t="str">
        <f ca="1">Параметры!AK$34</f>
        <v>июл.27</v>
      </c>
      <c r="AL317" s="328" t="str">
        <f ca="1">Параметры!AL$34</f>
        <v>авг.27</v>
      </c>
      <c r="AM317" s="328" t="str">
        <f ca="1">Параметры!AM$34</f>
        <v>сен.27</v>
      </c>
      <c r="AN317" s="328" t="str">
        <f ca="1">Параметры!AN$34</f>
        <v>окт.27</v>
      </c>
      <c r="AO317" s="328" t="str">
        <f ca="1">Параметры!AO$34</f>
        <v>ноя.27</v>
      </c>
      <c r="AP317" s="328" t="str">
        <f ca="1">Параметры!AP$34</f>
        <v>дек.27</v>
      </c>
      <c r="AQ317" s="328" t="str">
        <f ca="1">Параметры!AQ$34</f>
        <v>янв.28</v>
      </c>
      <c r="AR317" s="328" t="str">
        <f ca="1">Параметры!AR$34</f>
        <v>фев.28</v>
      </c>
      <c r="AS317" s="328" t="str">
        <f ca="1">Параметры!AS$34</f>
        <v>мар.28</v>
      </c>
      <c r="AT317" s="328" t="str">
        <f ca="1">Параметры!AT$34</f>
        <v>апр.28</v>
      </c>
      <c r="AU317" s="328" t="str">
        <f ca="1">Параметры!AU$34</f>
        <v>май.28</v>
      </c>
      <c r="AV317" s="328" t="str">
        <f ca="1">Параметры!AV$34</f>
        <v>июн.28</v>
      </c>
      <c r="AW317" s="328" t="str">
        <f ca="1">Параметры!AW$34</f>
        <v>июл.28</v>
      </c>
      <c r="AX317" s="328" t="str">
        <f ca="1">Параметры!AX$34</f>
        <v>авг.28</v>
      </c>
      <c r="AY317" s="328" t="str">
        <f ca="1">Параметры!AY$34</f>
        <v>сен.28</v>
      </c>
      <c r="AZ317" s="328" t="str">
        <f ca="1">Параметры!AZ$34</f>
        <v>окт.28</v>
      </c>
      <c r="BA317" s="328" t="str">
        <f ca="1">Параметры!BA$34</f>
        <v>ноя.28</v>
      </c>
      <c r="BB317" s="328" t="str">
        <f ca="1">Параметры!BB$34</f>
        <v>дек.28</v>
      </c>
      <c r="BC317" s="328"/>
      <c r="BD317" s="329" t="str">
        <f ca="1">Language!$A$1473</f>
        <v>ИТОГО</v>
      </c>
    </row>
    <row r="318" spans="1:56" hidden="1" x14ac:dyDescent="0.3">
      <c r="A318" s="247"/>
    </row>
    <row r="319" spans="1:56" hidden="1" collapsed="1" x14ac:dyDescent="0.3">
      <c r="A319" s="10" t="str">
        <f ca="1">Language!A1375</f>
        <v>Ставка дисконтирования</v>
      </c>
      <c r="B319" s="97">
        <f>Параметры!B118</f>
        <v>0.21</v>
      </c>
      <c r="C319" s="48" t="s">
        <v>1</v>
      </c>
    </row>
    <row r="320" spans="1:56" hidden="1" outlineLevel="1" x14ac:dyDescent="0.3">
      <c r="A320" s="35" t="str">
        <f ca="1">Language!A1376</f>
        <v>ставка на расчетный период</v>
      </c>
      <c r="C320" s="48" t="s">
        <v>1</v>
      </c>
      <c r="F320" s="6" t="s">
        <v>745</v>
      </c>
      <c r="G320" s="98">
        <f>((1+$B319) / IF(Prj_Inflation, 1, 1+CHOOSE(Prj_CurReport, Параметры!G$43,Параметры!G$56,Параметры!G$62))) ^ (Параметры!G$31/12) -1</f>
        <v>1.6011867773387367E-2</v>
      </c>
      <c r="H320" s="98">
        <f>((1+$B319) / IF(Prj_Inflation, 1, 1+CHOOSE(Prj_CurReport, Параметры!H$43,Параметры!H$56,Параметры!H$62))) ^ (Параметры!H$31/12) -1</f>
        <v>1.6011867773387367E-2</v>
      </c>
      <c r="I320" s="98">
        <f>((1+$B319) / IF(Prj_Inflation, 1, 1+CHOOSE(Prj_CurReport, Параметры!I$43,Параметры!I$56,Параметры!I$62))) ^ (Параметры!I$31/12) -1</f>
        <v>1.6011867773387367E-2</v>
      </c>
      <c r="J320" s="98">
        <f>((1+$B319) / IF(Prj_Inflation, 1, 1+CHOOSE(Prj_CurReport, Параметры!J$43,Параметры!J$56,Параметры!J$62))) ^ (Параметры!J$31/12) -1</f>
        <v>1.6011867773387367E-2</v>
      </c>
      <c r="K320" s="98">
        <f>((1+$B319) / IF(Prj_Inflation, 1, 1+CHOOSE(Prj_CurReport, Параметры!K$43,Параметры!K$56,Параметры!K$62))) ^ (Параметры!K$31/12) -1</f>
        <v>1.6011867773387367E-2</v>
      </c>
      <c r="L320" s="98">
        <f>((1+$B319) / IF(Prj_Inflation, 1, 1+CHOOSE(Prj_CurReport, Параметры!L$43,Параметры!L$56,Параметры!L$62))) ^ (Параметры!L$31/12) -1</f>
        <v>1.6011867773387367E-2</v>
      </c>
      <c r="M320" s="98">
        <f>((1+$B319) / IF(Prj_Inflation, 1, 1+CHOOSE(Prj_CurReport, Параметры!M$43,Параметры!M$56,Параметры!M$62))) ^ (Параметры!M$31/12) -1</f>
        <v>1.6011867773387367E-2</v>
      </c>
      <c r="N320" s="98">
        <f>((1+$B319) / IF(Prj_Inflation, 1, 1+CHOOSE(Prj_CurReport, Параметры!N$43,Параметры!N$56,Параметры!N$62))) ^ (Параметры!N$31/12) -1</f>
        <v>1.6011867773387367E-2</v>
      </c>
      <c r="O320" s="98">
        <f>((1+$B319) / IF(Prj_Inflation, 1, 1+CHOOSE(Prj_CurReport, Параметры!O$43,Параметры!O$56,Параметры!O$62))) ^ (Параметры!O$31/12) -1</f>
        <v>1.6011867773387367E-2</v>
      </c>
      <c r="P320" s="98">
        <f>((1+$B319) / IF(Prj_Inflation, 1, 1+CHOOSE(Prj_CurReport, Параметры!P$43,Параметры!P$56,Параметры!P$62))) ^ (Параметры!P$31/12) -1</f>
        <v>1.6011867773387367E-2</v>
      </c>
      <c r="Q320" s="98">
        <f>((1+$B319) / IF(Prj_Inflation, 1, 1+CHOOSE(Prj_CurReport, Параметры!Q$43,Параметры!Q$56,Параметры!Q$62))) ^ (Параметры!Q$31/12) -1</f>
        <v>1.6011867773387367E-2</v>
      </c>
      <c r="R320" s="98">
        <f>((1+$B319) / IF(Prj_Inflation, 1, 1+CHOOSE(Prj_CurReport, Параметры!R$43,Параметры!R$56,Параметры!R$62))) ^ (Параметры!R$31/12) -1</f>
        <v>1.6011867773387367E-2</v>
      </c>
      <c r="S320" s="98">
        <f>((1+$B319) / IF(Prj_Inflation, 1, 1+CHOOSE(Prj_CurReport, Параметры!S$43,Параметры!S$56,Параметры!S$62))) ^ (Параметры!S$31/12) -1</f>
        <v>1.6011867773387367E-2</v>
      </c>
      <c r="T320" s="98">
        <f>((1+$B319) / IF(Prj_Inflation, 1, 1+CHOOSE(Prj_CurReport, Параметры!T$43,Параметры!T$56,Параметры!T$62))) ^ (Параметры!T$31/12) -1</f>
        <v>1.6011867773387367E-2</v>
      </c>
      <c r="U320" s="98">
        <f>((1+$B319) / IF(Prj_Inflation, 1, 1+CHOOSE(Prj_CurReport, Параметры!U$43,Параметры!U$56,Параметры!U$62))) ^ (Параметры!U$31/12) -1</f>
        <v>1.6011867773387367E-2</v>
      </c>
      <c r="V320" s="98">
        <f>((1+$B319) / IF(Prj_Inflation, 1, 1+CHOOSE(Prj_CurReport, Параметры!V$43,Параметры!V$56,Параметры!V$62))) ^ (Параметры!V$31/12) -1</f>
        <v>1.6011867773387367E-2</v>
      </c>
      <c r="W320" s="98">
        <f>((1+$B319) / IF(Prj_Inflation, 1, 1+CHOOSE(Prj_CurReport, Параметры!W$43,Параметры!W$56,Параметры!W$62))) ^ (Параметры!W$31/12) -1</f>
        <v>1.6011867773387367E-2</v>
      </c>
      <c r="X320" s="98">
        <f>((1+$B319) / IF(Prj_Inflation, 1, 1+CHOOSE(Prj_CurReport, Параметры!X$43,Параметры!X$56,Параметры!X$62))) ^ (Параметры!X$31/12) -1</f>
        <v>1.6011867773387367E-2</v>
      </c>
      <c r="Y320" s="98">
        <f>((1+$B319) / IF(Prj_Inflation, 1, 1+CHOOSE(Prj_CurReport, Параметры!Y$43,Параметры!Y$56,Параметры!Y$62))) ^ (Параметры!Y$31/12) -1</f>
        <v>1.6011867773387367E-2</v>
      </c>
      <c r="Z320" s="98">
        <f>((1+$B319) / IF(Prj_Inflation, 1, 1+CHOOSE(Prj_CurReport, Параметры!Z$43,Параметры!Z$56,Параметры!Z$62))) ^ (Параметры!Z$31/12) -1</f>
        <v>1.6011867773387367E-2</v>
      </c>
      <c r="AA320" s="98">
        <f>((1+$B319) / IF(Prj_Inflation, 1, 1+CHOOSE(Prj_CurReport, Параметры!AA$43,Параметры!AA$56,Параметры!AA$62))) ^ (Параметры!AA$31/12) -1</f>
        <v>1.6011867773387367E-2</v>
      </c>
      <c r="AB320" s="98">
        <f>((1+$B319) / IF(Prj_Inflation, 1, 1+CHOOSE(Prj_CurReport, Параметры!AB$43,Параметры!AB$56,Параметры!AB$62))) ^ (Параметры!AB$31/12) -1</f>
        <v>1.6011867773387367E-2</v>
      </c>
      <c r="AC320" s="98">
        <f>((1+$B319) / IF(Prj_Inflation, 1, 1+CHOOSE(Prj_CurReport, Параметры!AC$43,Параметры!AC$56,Параметры!AC$62))) ^ (Параметры!AC$31/12) -1</f>
        <v>1.6011867773387367E-2</v>
      </c>
      <c r="AD320" s="98">
        <f>((1+$B319) / IF(Prj_Inflation, 1, 1+CHOOSE(Prj_CurReport, Параметры!AD$43,Параметры!AD$56,Параметры!AD$62))) ^ (Параметры!AD$31/12) -1</f>
        <v>1.6011867773387367E-2</v>
      </c>
      <c r="AE320" s="98">
        <f>((1+$B319) / IF(Prj_Inflation, 1, 1+CHOOSE(Prj_CurReport, Параметры!AE$43,Параметры!AE$56,Параметры!AE$62))) ^ (Параметры!AE$31/12) -1</f>
        <v>1.6011867773387367E-2</v>
      </c>
      <c r="AF320" s="98">
        <f>((1+$B319) / IF(Prj_Inflation, 1, 1+CHOOSE(Prj_CurReport, Параметры!AF$43,Параметры!AF$56,Параметры!AF$62))) ^ (Параметры!AF$31/12) -1</f>
        <v>1.6011867773387367E-2</v>
      </c>
      <c r="AG320" s="98">
        <f>((1+$B319) / IF(Prj_Inflation, 1, 1+CHOOSE(Prj_CurReport, Параметры!AG$43,Параметры!AG$56,Параметры!AG$62))) ^ (Параметры!AG$31/12) -1</f>
        <v>1.6011867773387367E-2</v>
      </c>
      <c r="AH320" s="98">
        <f>((1+$B319) / IF(Prj_Inflation, 1, 1+CHOOSE(Prj_CurReport, Параметры!AH$43,Параметры!AH$56,Параметры!AH$62))) ^ (Параметры!AH$31/12) -1</f>
        <v>1.6011867773387367E-2</v>
      </c>
      <c r="AI320" s="98">
        <f>((1+$B319) / IF(Prj_Inflation, 1, 1+CHOOSE(Prj_CurReport, Параметры!AI$43,Параметры!AI$56,Параметры!AI$62))) ^ (Параметры!AI$31/12) -1</f>
        <v>1.6011867773387367E-2</v>
      </c>
      <c r="AJ320" s="98">
        <f>((1+$B319) / IF(Prj_Inflation, 1, 1+CHOOSE(Prj_CurReport, Параметры!AJ$43,Параметры!AJ$56,Параметры!AJ$62))) ^ (Параметры!AJ$31/12) -1</f>
        <v>1.6011867773387367E-2</v>
      </c>
      <c r="AK320" s="98">
        <f>((1+$B319) / IF(Prj_Inflation, 1, 1+CHOOSE(Prj_CurReport, Параметры!AK$43,Параметры!AK$56,Параметры!AK$62))) ^ (Параметры!AK$31/12) -1</f>
        <v>1.6011867773387367E-2</v>
      </c>
      <c r="AL320" s="98">
        <f>((1+$B319) / IF(Prj_Inflation, 1, 1+CHOOSE(Prj_CurReport, Параметры!AL$43,Параметры!AL$56,Параметры!AL$62))) ^ (Параметры!AL$31/12) -1</f>
        <v>1.6011867773387367E-2</v>
      </c>
      <c r="AM320" s="98">
        <f>((1+$B319) / IF(Prj_Inflation, 1, 1+CHOOSE(Prj_CurReport, Параметры!AM$43,Параметры!AM$56,Параметры!AM$62))) ^ (Параметры!AM$31/12) -1</f>
        <v>1.6011867773387367E-2</v>
      </c>
      <c r="AN320" s="98">
        <f>((1+$B319) / IF(Prj_Inflation, 1, 1+CHOOSE(Prj_CurReport, Параметры!AN$43,Параметры!AN$56,Параметры!AN$62))) ^ (Параметры!AN$31/12) -1</f>
        <v>1.6011867773387367E-2</v>
      </c>
      <c r="AO320" s="98">
        <f>((1+$B319) / IF(Prj_Inflation, 1, 1+CHOOSE(Prj_CurReport, Параметры!AO$43,Параметры!AO$56,Параметры!AO$62))) ^ (Параметры!AO$31/12) -1</f>
        <v>1.6011867773387367E-2</v>
      </c>
      <c r="AP320" s="98">
        <f>((1+$B319) / IF(Prj_Inflation, 1, 1+CHOOSE(Prj_CurReport, Параметры!AP$43,Параметры!AP$56,Параметры!AP$62))) ^ (Параметры!AP$31/12) -1</f>
        <v>1.6011867773387367E-2</v>
      </c>
      <c r="AQ320" s="98">
        <f>((1+$B319) / IF(Prj_Inflation, 1, 1+CHOOSE(Prj_CurReport, Параметры!AQ$43,Параметры!AQ$56,Параметры!AQ$62))) ^ (Параметры!AQ$31/12) -1</f>
        <v>1.6011867773387367E-2</v>
      </c>
      <c r="AR320" s="98">
        <f>((1+$B319) / IF(Prj_Inflation, 1, 1+CHOOSE(Prj_CurReport, Параметры!AR$43,Параметры!AR$56,Параметры!AR$62))) ^ (Параметры!AR$31/12) -1</f>
        <v>1.6011867773387367E-2</v>
      </c>
      <c r="AS320" s="98">
        <f>((1+$B319) / IF(Prj_Inflation, 1, 1+CHOOSE(Prj_CurReport, Параметры!AS$43,Параметры!AS$56,Параметры!AS$62))) ^ (Параметры!AS$31/12) -1</f>
        <v>1.6011867773387367E-2</v>
      </c>
      <c r="AT320" s="98">
        <f>((1+$B319) / IF(Prj_Inflation, 1, 1+CHOOSE(Prj_CurReport, Параметры!AT$43,Параметры!AT$56,Параметры!AT$62))) ^ (Параметры!AT$31/12) -1</f>
        <v>1.6011867773387367E-2</v>
      </c>
      <c r="AU320" s="98">
        <f>((1+$B319) / IF(Prj_Inflation, 1, 1+CHOOSE(Prj_CurReport, Параметры!AU$43,Параметры!AU$56,Параметры!AU$62))) ^ (Параметры!AU$31/12) -1</f>
        <v>1.6011867773387367E-2</v>
      </c>
      <c r="AV320" s="98">
        <f>((1+$B319) / IF(Prj_Inflation, 1, 1+CHOOSE(Prj_CurReport, Параметры!AV$43,Параметры!AV$56,Параметры!AV$62))) ^ (Параметры!AV$31/12) -1</f>
        <v>1.6011867773387367E-2</v>
      </c>
      <c r="AW320" s="98">
        <f>((1+$B319) / IF(Prj_Inflation, 1, 1+CHOOSE(Prj_CurReport, Параметры!AW$43,Параметры!AW$56,Параметры!AW$62))) ^ (Параметры!AW$31/12) -1</f>
        <v>1.6011867773387367E-2</v>
      </c>
      <c r="AX320" s="98">
        <f>((1+$B319) / IF(Prj_Inflation, 1, 1+CHOOSE(Prj_CurReport, Параметры!AX$43,Параметры!AX$56,Параметры!AX$62))) ^ (Параметры!AX$31/12) -1</f>
        <v>1.6011867773387367E-2</v>
      </c>
      <c r="AY320" s="98">
        <f>((1+$B319) / IF(Prj_Inflation, 1, 1+CHOOSE(Prj_CurReport, Параметры!AY$43,Параметры!AY$56,Параметры!AY$62))) ^ (Параметры!AY$31/12) -1</f>
        <v>1.6011867773387367E-2</v>
      </c>
      <c r="AZ320" s="98">
        <f>((1+$B319) / IF(Prj_Inflation, 1, 1+CHOOSE(Prj_CurReport, Параметры!AZ$43,Параметры!AZ$56,Параметры!AZ$62))) ^ (Параметры!AZ$31/12) -1</f>
        <v>1.6011867773387367E-2</v>
      </c>
      <c r="BA320" s="98">
        <f>((1+$B319) / IF(Prj_Inflation, 1, 1+CHOOSE(Prj_CurReport, Параметры!BA$43,Параметры!BA$56,Параметры!BA$62))) ^ (Параметры!BA$31/12) -1</f>
        <v>1.6011867773387367E-2</v>
      </c>
      <c r="BB320" s="98">
        <f>((1+$B319) / IF(Prj_Inflation, 1, 1+CHOOSE(Prj_CurReport, Параметры!BB$43,Параметры!BB$56,Параметры!BB$62))) ^ (Параметры!BB$31/12) -1</f>
        <v>1.6011867773387367E-2</v>
      </c>
    </row>
    <row r="321" spans="1:56" hidden="1" outlineLevel="1" x14ac:dyDescent="0.3">
      <c r="A321" s="35" t="str">
        <f ca="1">Language!A1377</f>
        <v>коэффициент дисконта на начало периода</v>
      </c>
      <c r="C321" s="48" t="str">
        <f ca="1">Language!$A$1477</f>
        <v>раз</v>
      </c>
      <c r="F321" s="6" t="s">
        <v>745</v>
      </c>
      <c r="G321" s="31">
        <f>IF(G$2=1,1,F321*(1+G320))</f>
        <v>1</v>
      </c>
      <c r="H321" s="31">
        <f t="shared" ref="H321" si="1358">IF(H$2=1,1,G321*(1+H320))</f>
        <v>1.0160118677733874</v>
      </c>
      <c r="I321" s="31">
        <f t="shared" ref="I321" si="1359">IF(I$2=1,1,H321*(1+I320))</f>
        <v>1.0322801154563672</v>
      </c>
      <c r="J321" s="31">
        <f t="shared" ref="J321" si="1360">IF(J$2=1,1,I321*(1+J320))</f>
        <v>1.0488088481701516</v>
      </c>
      <c r="K321" s="31">
        <f t="shared" ref="K321" si="1361">IF(K$2=1,1,J321*(1+K320))</f>
        <v>1.0656022367666107</v>
      </c>
      <c r="L321" s="31">
        <f t="shared" ref="L321" si="1362">IF(L$2=1,1,K321*(1+L320))</f>
        <v>1.0826645188807436</v>
      </c>
      <c r="M321" s="31">
        <f t="shared" ref="M321:BB321" si="1363">IF(M$2=1,1,L321*(1+M320))</f>
        <v>1.1000000000000001</v>
      </c>
      <c r="N321" s="31">
        <f t="shared" si="1363"/>
        <v>1.1176130545507261</v>
      </c>
      <c r="O321" s="31">
        <f t="shared" si="1363"/>
        <v>1.135508127002004</v>
      </c>
      <c r="P321" s="31">
        <f t="shared" si="1363"/>
        <v>1.1536897329871669</v>
      </c>
      <c r="Q321" s="31">
        <f t="shared" si="1363"/>
        <v>1.1721624604432721</v>
      </c>
      <c r="R321" s="31">
        <f t="shared" si="1363"/>
        <v>1.1909309707688183</v>
      </c>
      <c r="S321" s="31">
        <f t="shared" si="1363"/>
        <v>1.2100000000000004</v>
      </c>
      <c r="T321" s="31">
        <f t="shared" si="1363"/>
        <v>1.2293743600057991</v>
      </c>
      <c r="U321" s="31">
        <f t="shared" si="1363"/>
        <v>1.2490589397022047</v>
      </c>
      <c r="V321" s="31">
        <f t="shared" si="1363"/>
        <v>1.2690587062858838</v>
      </c>
      <c r="W321" s="31">
        <f t="shared" si="1363"/>
        <v>1.2893787064875994</v>
      </c>
      <c r="X321" s="31">
        <f t="shared" si="1363"/>
        <v>1.3100240678457</v>
      </c>
      <c r="Y321" s="31">
        <f t="shared" si="1363"/>
        <v>1.3310000000000004</v>
      </c>
      <c r="Z321" s="31">
        <f t="shared" si="1363"/>
        <v>1.3523117960063791</v>
      </c>
      <c r="AA321" s="31">
        <f t="shared" si="1363"/>
        <v>1.3739648336724253</v>
      </c>
      <c r="AB321" s="31">
        <f t="shared" si="1363"/>
        <v>1.3959645769144724</v>
      </c>
      <c r="AC321" s="31">
        <f t="shared" si="1363"/>
        <v>1.4183165771363595</v>
      </c>
      <c r="AD321" s="31">
        <f t="shared" si="1363"/>
        <v>1.4410264746302703</v>
      </c>
      <c r="AE321" s="31">
        <f t="shared" si="1363"/>
        <v>1.4641000000000008</v>
      </c>
      <c r="AF321" s="31">
        <f t="shared" si="1363"/>
        <v>1.4875429756070173</v>
      </c>
      <c r="AG321" s="31">
        <f t="shared" si="1363"/>
        <v>1.511361317039668</v>
      </c>
      <c r="AH321" s="31">
        <f t="shared" si="1363"/>
        <v>1.5355610346059199</v>
      </c>
      <c r="AI321" s="31">
        <f t="shared" si="1363"/>
        <v>1.5601482348499958</v>
      </c>
      <c r="AJ321" s="31">
        <f t="shared" si="1363"/>
        <v>1.5851291220932977</v>
      </c>
      <c r="AK321" s="31">
        <f t="shared" si="1363"/>
        <v>1.6105100000000012</v>
      </c>
      <c r="AL321" s="31">
        <f t="shared" si="1363"/>
        <v>1.6362972731677192</v>
      </c>
      <c r="AM321" s="31">
        <f t="shared" si="1363"/>
        <v>1.662497448743635</v>
      </c>
      <c r="AN321" s="31">
        <f t="shared" si="1363"/>
        <v>1.689117138066512</v>
      </c>
      <c r="AO321" s="31">
        <f t="shared" si="1363"/>
        <v>1.7161630583349954</v>
      </c>
      <c r="AP321" s="31">
        <f t="shared" si="1363"/>
        <v>1.7436420343026273</v>
      </c>
      <c r="AQ321" s="31">
        <f t="shared" si="1363"/>
        <v>1.7715610000000011</v>
      </c>
      <c r="AR321" s="31">
        <f t="shared" si="1363"/>
        <v>1.7999270004844909</v>
      </c>
      <c r="AS321" s="31">
        <f t="shared" si="1363"/>
        <v>1.8287471936179984</v>
      </c>
      <c r="AT321" s="31">
        <f t="shared" si="1363"/>
        <v>1.8580288518731631</v>
      </c>
      <c r="AU321" s="31">
        <f t="shared" si="1363"/>
        <v>1.887779364168495</v>
      </c>
      <c r="AV321" s="31">
        <f t="shared" si="1363"/>
        <v>1.9180062377328901</v>
      </c>
      <c r="AW321" s="31">
        <f t="shared" si="1363"/>
        <v>1.9487171000000014</v>
      </c>
      <c r="AX321" s="31">
        <f t="shared" si="1363"/>
        <v>1.9799197005329403</v>
      </c>
      <c r="AY321" s="31">
        <f t="shared" si="1363"/>
        <v>2.0116219129797983</v>
      </c>
      <c r="AZ321" s="31">
        <f t="shared" si="1363"/>
        <v>2.0438317370604793</v>
      </c>
      <c r="BA321" s="31">
        <f t="shared" si="1363"/>
        <v>2.0765573005853444</v>
      </c>
      <c r="BB321" s="31">
        <f t="shared" si="1363"/>
        <v>2.1098068615061791</v>
      </c>
    </row>
    <row r="322" spans="1:56" hidden="1" x14ac:dyDescent="0.3">
      <c r="A322" s="10" t="str">
        <f ca="1">Language!A1378</f>
        <v>Свободный денежный поток акционеров, FCFE</v>
      </c>
      <c r="C322" s="48" t="str">
        <f ca="1">Параметры!$C$64</f>
        <v>руб.</v>
      </c>
      <c r="F322" s="6" t="s">
        <v>740</v>
      </c>
      <c r="G322" s="55">
        <f ca="1">SUM(G323:G326)</f>
        <v>211558334</v>
      </c>
      <c r="H322" s="55">
        <f t="shared" ref="H322:M322" ca="1" si="1364">SUM(H323:H326)</f>
        <v>-1658333.6666666667</v>
      </c>
      <c r="I322" s="55">
        <f t="shared" ca="1" si="1364"/>
        <v>-136658332.66666666</v>
      </c>
      <c r="J322" s="55">
        <f t="shared" ca="1" si="1364"/>
        <v>-18391666.666666668</v>
      </c>
      <c r="K322" s="55">
        <f t="shared" ca="1" si="1364"/>
        <v>-17025000</v>
      </c>
      <c r="L322" s="55">
        <f t="shared" ca="1" si="1364"/>
        <v>-18902925.060418263</v>
      </c>
      <c r="M322" s="55">
        <f t="shared" ca="1" si="1364"/>
        <v>-8886918.2840950675</v>
      </c>
      <c r="N322" s="55">
        <f t="shared" ref="N322:O322" ca="1" si="1365">SUM(N323:N326)</f>
        <v>-8232039.9085776005</v>
      </c>
      <c r="O322" s="55">
        <f t="shared" ca="1" si="1365"/>
        <v>-1667267.5623055082</v>
      </c>
      <c r="P322" s="55">
        <f t="shared" ref="P322:Q322" ca="1" si="1366">SUM(P323:P326)</f>
        <v>434906.32820575777</v>
      </c>
      <c r="Q322" s="55">
        <f t="shared" ca="1" si="1366"/>
        <v>1108238.5607123412</v>
      </c>
      <c r="R322" s="55">
        <f t="shared" ref="R322:S322" ca="1" si="1367">SUM(R323:R326)</f>
        <v>-420607.08244144218</v>
      </c>
      <c r="S322" s="55">
        <f t="shared" ca="1" si="1367"/>
        <v>2937574.9882602114</v>
      </c>
      <c r="T322" s="55">
        <f t="shared" ref="T322:U322" ca="1" si="1368">SUM(T323:T326)</f>
        <v>2994315.8501977511</v>
      </c>
      <c r="U322" s="55">
        <f t="shared" ca="1" si="1368"/>
        <v>1311875.8346976452</v>
      </c>
      <c r="V322" s="55">
        <f t="shared" ref="V322:W322" ca="1" si="1369">SUM(V323:V326)</f>
        <v>206977.63951924257</v>
      </c>
      <c r="W322" s="55">
        <f t="shared" ca="1" si="1369"/>
        <v>-2319192.6863205186</v>
      </c>
      <c r="X322" s="55">
        <f t="shared" ref="X322:Y322" ca="1" si="1370">SUM(X323:X326)</f>
        <v>1013434.9063734766</v>
      </c>
      <c r="Y322" s="55">
        <f t="shared" ca="1" si="1370"/>
        <v>2703604.8624020945</v>
      </c>
      <c r="Z322" s="55">
        <f t="shared" ref="Z322:AA322" ca="1" si="1371">SUM(Z323:Z326)</f>
        <v>5386960.2132442202</v>
      </c>
      <c r="AA322" s="55">
        <f t="shared" ca="1" si="1371"/>
        <v>2021500.2782094367</v>
      </c>
      <c r="AB322" s="55">
        <f t="shared" ref="AB322:AC322" ca="1" si="1372">SUM(AB323:AB326)</f>
        <v>-2415857.3638888802</v>
      </c>
      <c r="AC322" s="55">
        <f t="shared" ca="1" si="1372"/>
        <v>-3987167.0828123656</v>
      </c>
      <c r="AD322" s="55">
        <f t="shared" ref="AD322:AE322" ca="1" si="1373">SUM(AD323:AD326)</f>
        <v>-3273309.9415708464</v>
      </c>
      <c r="AE322" s="55">
        <f t="shared" ca="1" si="1373"/>
        <v>889154.55437310413</v>
      </c>
      <c r="AF322" s="55">
        <f t="shared" ref="AF322:AG322" ca="1" si="1374">SUM(AF323:AF326)</f>
        <v>1130909.7003961615</v>
      </c>
      <c r="AG322" s="55">
        <f t="shared" ca="1" si="1374"/>
        <v>-540098.95463437866</v>
      </c>
      <c r="AH322" s="55">
        <f t="shared" ref="AH322:AI322" ca="1" si="1375">SUM(AH323:AH326)</f>
        <v>-574667.89207660966</v>
      </c>
      <c r="AI322" s="55">
        <f t="shared" ca="1" si="1375"/>
        <v>-3240425.3586354423</v>
      </c>
      <c r="AJ322" s="55">
        <f t="shared" ref="AJ322:AK322" ca="1" si="1376">SUM(AJ323:AJ326)</f>
        <v>283526.89803680312</v>
      </c>
      <c r="AK322" s="55">
        <f t="shared" ca="1" si="1376"/>
        <v>5172249.099238934</v>
      </c>
      <c r="AL322" s="55">
        <f t="shared" ref="AL322:AM322" ca="1" si="1377">SUM(AL323:AL326)</f>
        <v>8048136.2061903197</v>
      </c>
      <c r="AM322" s="55">
        <f t="shared" ca="1" si="1377"/>
        <v>4556520.3795897495</v>
      </c>
      <c r="AN322" s="55">
        <f t="shared" ref="AN322:AO322" ca="1" si="1378">SUM(AN323:AN326)</f>
        <v>-93692.789339616895</v>
      </c>
      <c r="AO322" s="55">
        <f t="shared" ca="1" si="1378"/>
        <v>-1782260.8560498543</v>
      </c>
      <c r="AP322" s="55">
        <f t="shared" ref="AP322:AQ322" ca="1" si="1379">SUM(AP323:AP326)</f>
        <v>-1100235.641295475</v>
      </c>
      <c r="AQ322" s="55">
        <f t="shared" ca="1" si="1379"/>
        <v>3275394.4939623885</v>
      </c>
      <c r="AR322" s="55">
        <f t="shared" ref="AR322:AS322" ca="1" si="1380">SUM(AR323:AR326)</f>
        <v>3532247.8433247805</v>
      </c>
      <c r="AS322" s="55">
        <f t="shared" ca="1" si="1380"/>
        <v>1789230.9883676264</v>
      </c>
      <c r="AT322" s="55">
        <f t="shared" ref="AT322:AU322" ca="1" si="1381">SUM(AT323:AT326)</f>
        <v>1616520.8728973772</v>
      </c>
      <c r="AU322" s="55">
        <f t="shared" ca="1" si="1381"/>
        <v>-1435587.0209467961</v>
      </c>
      <c r="AV322" s="55">
        <f t="shared" ref="AV322:AW322" ca="1" si="1382">SUM(AV323:AV326)</f>
        <v>2050233.175116023</v>
      </c>
      <c r="AW322" s="55">
        <f t="shared" ca="1" si="1382"/>
        <v>6973748.8466449548</v>
      </c>
      <c r="AX322" s="55">
        <f t="shared" ref="AX322:AY322" ca="1" si="1383">SUM(AX323:AX326)</f>
        <v>13817185.110178754</v>
      </c>
      <c r="AY322" s="55">
        <f t="shared" ca="1" si="1383"/>
        <v>14110779.75453246</v>
      </c>
      <c r="AZ322" s="55">
        <f t="shared" ref="AZ322:BA322" ca="1" si="1384">SUM(AZ323:AZ326)</f>
        <v>9076107.5616529956</v>
      </c>
      <c r="BA322" s="55">
        <f t="shared" ca="1" si="1384"/>
        <v>7094974.6807112303</v>
      </c>
      <c r="BB322" s="55">
        <f t="shared" ref="BB322" ca="1" si="1385">SUM(BB323:BB326)</f>
        <v>8348418.0810810896</v>
      </c>
      <c r="BD322" s="57">
        <f t="shared" ref="BD322:BD327" ca="1" si="1386">SUM(G322:BC322)</f>
        <v>90837475.22270827</v>
      </c>
    </row>
    <row r="323" spans="1:56" hidden="1" x14ac:dyDescent="0.3">
      <c r="A323" s="35" t="str">
        <f ca="1">Language!A1379</f>
        <v>Денежные потоки от операционной деятельности</v>
      </c>
      <c r="C323" s="48" t="str">
        <f ca="1">Параметры!$C$64</f>
        <v>руб.</v>
      </c>
      <c r="F323" s="6" t="s">
        <v>740</v>
      </c>
      <c r="G323" s="55">
        <f ca="1">G$135</f>
        <v>0</v>
      </c>
      <c r="H323" s="55">
        <f t="shared" ref="H323:BB323" ca="1" si="1387">H$135</f>
        <v>0</v>
      </c>
      <c r="I323" s="55">
        <f t="shared" ca="1" si="1387"/>
        <v>0</v>
      </c>
      <c r="J323" s="55">
        <f t="shared" ca="1" si="1387"/>
        <v>0</v>
      </c>
      <c r="K323" s="55">
        <f t="shared" ca="1" si="1387"/>
        <v>0</v>
      </c>
      <c r="L323" s="55">
        <f t="shared" ca="1" si="1387"/>
        <v>-1077925.0604182645</v>
      </c>
      <c r="M323" s="55">
        <f t="shared" ca="1" si="1387"/>
        <v>2113081.7159049334</v>
      </c>
      <c r="N323" s="55">
        <f t="shared" ca="1" si="1387"/>
        <v>3767960.091422399</v>
      </c>
      <c r="O323" s="55">
        <f t="shared" ca="1" si="1387"/>
        <v>1332732.4376944918</v>
      </c>
      <c r="P323" s="55">
        <f t="shared" ca="1" si="1387"/>
        <v>3434906.3282057578</v>
      </c>
      <c r="Q323" s="55">
        <f t="shared" ca="1" si="1387"/>
        <v>4108238.5607123412</v>
      </c>
      <c r="R323" s="55">
        <f t="shared" ca="1" si="1387"/>
        <v>3579392.9175585578</v>
      </c>
      <c r="S323" s="55">
        <f t="shared" ca="1" si="1387"/>
        <v>6937574.9882602114</v>
      </c>
      <c r="T323" s="55">
        <f t="shared" ca="1" si="1387"/>
        <v>6994315.8501977511</v>
      </c>
      <c r="U323" s="55">
        <f t="shared" ca="1" si="1387"/>
        <v>5311875.8346976452</v>
      </c>
      <c r="V323" s="55">
        <f t="shared" ca="1" si="1387"/>
        <v>5206977.6395192426</v>
      </c>
      <c r="W323" s="55">
        <f t="shared" ca="1" si="1387"/>
        <v>2680807.3136794814</v>
      </c>
      <c r="X323" s="55">
        <f t="shared" ca="1" si="1387"/>
        <v>6013434.9063734766</v>
      </c>
      <c r="Y323" s="55">
        <f t="shared" ca="1" si="1387"/>
        <v>10703604.862402095</v>
      </c>
      <c r="Z323" s="55">
        <f t="shared" ca="1" si="1387"/>
        <v>13386960.21324422</v>
      </c>
      <c r="AA323" s="55">
        <f t="shared" ca="1" si="1387"/>
        <v>10021500.278209437</v>
      </c>
      <c r="AB323" s="55">
        <f t="shared" ca="1" si="1387"/>
        <v>5584142.6361111198</v>
      </c>
      <c r="AC323" s="55">
        <f t="shared" ca="1" si="1387"/>
        <v>4012832.9171876344</v>
      </c>
      <c r="AD323" s="55">
        <f t="shared" ca="1" si="1387"/>
        <v>4726690.0584291536</v>
      </c>
      <c r="AE323" s="55">
        <f t="shared" ca="1" si="1387"/>
        <v>8889154.5543731041</v>
      </c>
      <c r="AF323" s="55">
        <f t="shared" ca="1" si="1387"/>
        <v>9130909.7003961615</v>
      </c>
      <c r="AG323" s="55">
        <f t="shared" ca="1" si="1387"/>
        <v>7459901.0453656213</v>
      </c>
      <c r="AH323" s="55">
        <f t="shared" ca="1" si="1387"/>
        <v>7425332.1079233903</v>
      </c>
      <c r="AI323" s="55">
        <f t="shared" ca="1" si="1387"/>
        <v>4759574.6413645577</v>
      </c>
      <c r="AJ323" s="55">
        <f t="shared" ca="1" si="1387"/>
        <v>8283526.8980368031</v>
      </c>
      <c r="AK323" s="55">
        <f t="shared" ca="1" si="1387"/>
        <v>13172249.099238934</v>
      </c>
      <c r="AL323" s="55">
        <f t="shared" ca="1" si="1387"/>
        <v>16048136.20619032</v>
      </c>
      <c r="AM323" s="55">
        <f t="shared" ca="1" si="1387"/>
        <v>12556520.37958975</v>
      </c>
      <c r="AN323" s="55">
        <f t="shared" ca="1" si="1387"/>
        <v>7906307.2106603831</v>
      </c>
      <c r="AO323" s="55">
        <f t="shared" ca="1" si="1387"/>
        <v>6217739.1439501457</v>
      </c>
      <c r="AP323" s="55">
        <f t="shared" ca="1" si="1387"/>
        <v>6899764.358704525</v>
      </c>
      <c r="AQ323" s="55">
        <f t="shared" ca="1" si="1387"/>
        <v>11275394.493962388</v>
      </c>
      <c r="AR323" s="55">
        <f t="shared" ca="1" si="1387"/>
        <v>11532247.84332478</v>
      </c>
      <c r="AS323" s="55">
        <f t="shared" ca="1" si="1387"/>
        <v>9789230.9883676264</v>
      </c>
      <c r="AT323" s="55">
        <f t="shared" ca="1" si="1387"/>
        <v>9616520.8728973772</v>
      </c>
      <c r="AU323" s="55">
        <f t="shared" ca="1" si="1387"/>
        <v>6564412.9790532039</v>
      </c>
      <c r="AV323" s="55">
        <f t="shared" ca="1" si="1387"/>
        <v>10050233.175116023</v>
      </c>
      <c r="AW323" s="55">
        <f t="shared" ca="1" si="1387"/>
        <v>14973748.846644955</v>
      </c>
      <c r="AX323" s="55">
        <f t="shared" ca="1" si="1387"/>
        <v>17892186.110178754</v>
      </c>
      <c r="AY323" s="55">
        <f t="shared" ca="1" si="1387"/>
        <v>14110779.75453246</v>
      </c>
      <c r="AZ323" s="55">
        <f t="shared" ca="1" si="1387"/>
        <v>9076107.5616529956</v>
      </c>
      <c r="BA323" s="55">
        <f t="shared" ca="1" si="1387"/>
        <v>7094974.6807112303</v>
      </c>
      <c r="BB323" s="55">
        <f t="shared" ca="1" si="1387"/>
        <v>8348418.0810810896</v>
      </c>
      <c r="BD323" s="57">
        <f t="shared" ca="1" si="1386"/>
        <v>337912475.22270823</v>
      </c>
    </row>
    <row r="324" spans="1:56" hidden="1" x14ac:dyDescent="0.3">
      <c r="A324" s="35" t="str">
        <f ca="1">Language!A1380</f>
        <v>Денежные потоки от инвестиционной деятельности</v>
      </c>
      <c r="C324" s="48" t="str">
        <f ca="1">Параметры!$C$64</f>
        <v>руб.</v>
      </c>
      <c r="F324" s="6" t="s">
        <v>740</v>
      </c>
      <c r="G324" s="55">
        <f>G$144</f>
        <v>-291667</v>
      </c>
      <c r="H324" s="55">
        <f t="shared" ref="H324:BB324" si="1388">H$144</f>
        <v>-1658333.6666666667</v>
      </c>
      <c r="I324" s="55">
        <f t="shared" si="1388"/>
        <v>-136658332.66666666</v>
      </c>
      <c r="J324" s="55">
        <f t="shared" si="1388"/>
        <v>-18391666.666666668</v>
      </c>
      <c r="K324" s="55">
        <f t="shared" si="1388"/>
        <v>-17025000</v>
      </c>
      <c r="L324" s="55">
        <f t="shared" si="1388"/>
        <v>-17825000</v>
      </c>
      <c r="M324" s="55">
        <f t="shared" si="1388"/>
        <v>-10000000</v>
      </c>
      <c r="N324" s="55">
        <f t="shared" si="1388"/>
        <v>-10000000</v>
      </c>
      <c r="O324" s="55">
        <f t="shared" si="1388"/>
        <v>0</v>
      </c>
      <c r="P324" s="55">
        <f t="shared" si="1388"/>
        <v>0</v>
      </c>
      <c r="Q324" s="55">
        <f t="shared" si="1388"/>
        <v>0</v>
      </c>
      <c r="R324" s="55">
        <f t="shared" si="1388"/>
        <v>0</v>
      </c>
      <c r="S324" s="55">
        <f t="shared" si="1388"/>
        <v>0</v>
      </c>
      <c r="T324" s="55">
        <f t="shared" si="1388"/>
        <v>0</v>
      </c>
      <c r="U324" s="55">
        <f t="shared" si="1388"/>
        <v>0</v>
      </c>
      <c r="V324" s="55">
        <f t="shared" si="1388"/>
        <v>0</v>
      </c>
      <c r="W324" s="55">
        <f t="shared" si="1388"/>
        <v>0</v>
      </c>
      <c r="X324" s="55">
        <f t="shared" si="1388"/>
        <v>0</v>
      </c>
      <c r="Y324" s="55">
        <f t="shared" si="1388"/>
        <v>0</v>
      </c>
      <c r="Z324" s="55">
        <f t="shared" si="1388"/>
        <v>0</v>
      </c>
      <c r="AA324" s="55">
        <f t="shared" si="1388"/>
        <v>0</v>
      </c>
      <c r="AB324" s="55">
        <f t="shared" si="1388"/>
        <v>0</v>
      </c>
      <c r="AC324" s="55">
        <f t="shared" si="1388"/>
        <v>0</v>
      </c>
      <c r="AD324" s="55">
        <f t="shared" si="1388"/>
        <v>0</v>
      </c>
      <c r="AE324" s="55">
        <f t="shared" si="1388"/>
        <v>0</v>
      </c>
      <c r="AF324" s="55">
        <f t="shared" si="1388"/>
        <v>0</v>
      </c>
      <c r="AG324" s="55">
        <f t="shared" si="1388"/>
        <v>0</v>
      </c>
      <c r="AH324" s="55">
        <f t="shared" si="1388"/>
        <v>0</v>
      </c>
      <c r="AI324" s="55">
        <f t="shared" si="1388"/>
        <v>0</v>
      </c>
      <c r="AJ324" s="55">
        <f t="shared" si="1388"/>
        <v>0</v>
      </c>
      <c r="AK324" s="55">
        <f t="shared" si="1388"/>
        <v>0</v>
      </c>
      <c r="AL324" s="55">
        <f t="shared" si="1388"/>
        <v>0</v>
      </c>
      <c r="AM324" s="55">
        <f t="shared" si="1388"/>
        <v>0</v>
      </c>
      <c r="AN324" s="55">
        <f t="shared" si="1388"/>
        <v>0</v>
      </c>
      <c r="AO324" s="55">
        <f t="shared" si="1388"/>
        <v>0</v>
      </c>
      <c r="AP324" s="55">
        <f t="shared" si="1388"/>
        <v>0</v>
      </c>
      <c r="AQ324" s="55">
        <f t="shared" si="1388"/>
        <v>0</v>
      </c>
      <c r="AR324" s="55">
        <f t="shared" si="1388"/>
        <v>0</v>
      </c>
      <c r="AS324" s="55">
        <f t="shared" si="1388"/>
        <v>0</v>
      </c>
      <c r="AT324" s="55">
        <f t="shared" si="1388"/>
        <v>0</v>
      </c>
      <c r="AU324" s="55">
        <f t="shared" si="1388"/>
        <v>0</v>
      </c>
      <c r="AV324" s="55">
        <f t="shared" si="1388"/>
        <v>0</v>
      </c>
      <c r="AW324" s="55">
        <f t="shared" si="1388"/>
        <v>0</v>
      </c>
      <c r="AX324" s="55">
        <f t="shared" si="1388"/>
        <v>0</v>
      </c>
      <c r="AY324" s="55">
        <f t="shared" si="1388"/>
        <v>0</v>
      </c>
      <c r="AZ324" s="55">
        <f t="shared" si="1388"/>
        <v>0</v>
      </c>
      <c r="BA324" s="55">
        <f t="shared" si="1388"/>
        <v>0</v>
      </c>
      <c r="BB324" s="55">
        <f t="shared" si="1388"/>
        <v>0</v>
      </c>
      <c r="BD324" s="57">
        <f t="shared" si="1386"/>
        <v>-211849999.99999997</v>
      </c>
    </row>
    <row r="325" spans="1:56" hidden="1" x14ac:dyDescent="0.3">
      <c r="A325" s="35" t="str">
        <f ca="1">Language!A1381</f>
        <v>Поступления кредитов</v>
      </c>
      <c r="C325" s="48" t="str">
        <f ca="1">Параметры!$C$64</f>
        <v>руб.</v>
      </c>
      <c r="F325" s="6" t="s">
        <v>740</v>
      </c>
      <c r="G325" s="55">
        <f>G$147</f>
        <v>211850001</v>
      </c>
      <c r="H325" s="55">
        <f t="shared" ref="H325:BB325" si="1389">H$147</f>
        <v>0</v>
      </c>
      <c r="I325" s="55">
        <f t="shared" si="1389"/>
        <v>0</v>
      </c>
      <c r="J325" s="55">
        <f t="shared" si="1389"/>
        <v>0</v>
      </c>
      <c r="K325" s="55">
        <f t="shared" si="1389"/>
        <v>0</v>
      </c>
      <c r="L325" s="55">
        <f t="shared" si="1389"/>
        <v>0</v>
      </c>
      <c r="M325" s="55">
        <f t="shared" si="1389"/>
        <v>0</v>
      </c>
      <c r="N325" s="55">
        <f t="shared" si="1389"/>
        <v>0</v>
      </c>
      <c r="O325" s="55">
        <f t="shared" si="1389"/>
        <v>0</v>
      </c>
      <c r="P325" s="55">
        <f t="shared" si="1389"/>
        <v>0</v>
      </c>
      <c r="Q325" s="55">
        <f t="shared" si="1389"/>
        <v>0</v>
      </c>
      <c r="R325" s="55">
        <f t="shared" si="1389"/>
        <v>0</v>
      </c>
      <c r="S325" s="55">
        <f t="shared" si="1389"/>
        <v>0</v>
      </c>
      <c r="T325" s="55">
        <f t="shared" si="1389"/>
        <v>0</v>
      </c>
      <c r="U325" s="55">
        <f t="shared" si="1389"/>
        <v>0</v>
      </c>
      <c r="V325" s="55">
        <f t="shared" si="1389"/>
        <v>0</v>
      </c>
      <c r="W325" s="55">
        <f t="shared" si="1389"/>
        <v>0</v>
      </c>
      <c r="X325" s="55">
        <f t="shared" si="1389"/>
        <v>0</v>
      </c>
      <c r="Y325" s="55">
        <f t="shared" si="1389"/>
        <v>0</v>
      </c>
      <c r="Z325" s="55">
        <f t="shared" si="1389"/>
        <v>0</v>
      </c>
      <c r="AA325" s="55">
        <f t="shared" si="1389"/>
        <v>0</v>
      </c>
      <c r="AB325" s="55">
        <f t="shared" si="1389"/>
        <v>0</v>
      </c>
      <c r="AC325" s="55">
        <f t="shared" si="1389"/>
        <v>0</v>
      </c>
      <c r="AD325" s="55">
        <f t="shared" si="1389"/>
        <v>0</v>
      </c>
      <c r="AE325" s="55">
        <f t="shared" si="1389"/>
        <v>0</v>
      </c>
      <c r="AF325" s="55">
        <f t="shared" si="1389"/>
        <v>0</v>
      </c>
      <c r="AG325" s="55">
        <f t="shared" si="1389"/>
        <v>0</v>
      </c>
      <c r="AH325" s="55">
        <f t="shared" si="1389"/>
        <v>0</v>
      </c>
      <c r="AI325" s="55">
        <f t="shared" si="1389"/>
        <v>0</v>
      </c>
      <c r="AJ325" s="55">
        <f t="shared" si="1389"/>
        <v>0</v>
      </c>
      <c r="AK325" s="55">
        <f t="shared" si="1389"/>
        <v>0</v>
      </c>
      <c r="AL325" s="55">
        <f t="shared" si="1389"/>
        <v>0</v>
      </c>
      <c r="AM325" s="55">
        <f t="shared" si="1389"/>
        <v>0</v>
      </c>
      <c r="AN325" s="55">
        <f t="shared" si="1389"/>
        <v>0</v>
      </c>
      <c r="AO325" s="55">
        <f t="shared" si="1389"/>
        <v>0</v>
      </c>
      <c r="AP325" s="55">
        <f t="shared" si="1389"/>
        <v>0</v>
      </c>
      <c r="AQ325" s="55">
        <f t="shared" si="1389"/>
        <v>0</v>
      </c>
      <c r="AR325" s="55">
        <f t="shared" si="1389"/>
        <v>0</v>
      </c>
      <c r="AS325" s="55">
        <f t="shared" si="1389"/>
        <v>0</v>
      </c>
      <c r="AT325" s="55">
        <f t="shared" si="1389"/>
        <v>0</v>
      </c>
      <c r="AU325" s="55">
        <f t="shared" si="1389"/>
        <v>0</v>
      </c>
      <c r="AV325" s="55">
        <f t="shared" si="1389"/>
        <v>0</v>
      </c>
      <c r="AW325" s="55">
        <f t="shared" si="1389"/>
        <v>0</v>
      </c>
      <c r="AX325" s="55">
        <f t="shared" si="1389"/>
        <v>0</v>
      </c>
      <c r="AY325" s="55">
        <f t="shared" si="1389"/>
        <v>0</v>
      </c>
      <c r="AZ325" s="55">
        <f t="shared" si="1389"/>
        <v>0</v>
      </c>
      <c r="BA325" s="55">
        <f t="shared" si="1389"/>
        <v>0</v>
      </c>
      <c r="BB325" s="55">
        <f t="shared" si="1389"/>
        <v>0</v>
      </c>
      <c r="BD325" s="57">
        <f t="shared" si="1386"/>
        <v>211850001</v>
      </c>
    </row>
    <row r="326" spans="1:56" hidden="1" x14ac:dyDescent="0.3">
      <c r="A326" s="35" t="str">
        <f ca="1">Language!A1382</f>
        <v>Возврат кредитов</v>
      </c>
      <c r="C326" s="48" t="str">
        <f ca="1">Параметры!$C$64</f>
        <v>руб.</v>
      </c>
      <c r="F326" s="6" t="s">
        <v>740</v>
      </c>
      <c r="G326" s="55">
        <f>G$148</f>
        <v>0</v>
      </c>
      <c r="H326" s="55">
        <f t="shared" ref="H326:BB326" si="1390">H$148</f>
        <v>0</v>
      </c>
      <c r="I326" s="55">
        <f t="shared" si="1390"/>
        <v>0</v>
      </c>
      <c r="J326" s="55">
        <f t="shared" si="1390"/>
        <v>0</v>
      </c>
      <c r="K326" s="55">
        <f t="shared" si="1390"/>
        <v>0</v>
      </c>
      <c r="L326" s="55">
        <f t="shared" si="1390"/>
        <v>0</v>
      </c>
      <c r="M326" s="55">
        <f t="shared" si="1390"/>
        <v>-1000000</v>
      </c>
      <c r="N326" s="55">
        <f t="shared" si="1390"/>
        <v>-2000000</v>
      </c>
      <c r="O326" s="55">
        <f t="shared" si="1390"/>
        <v>-3000000</v>
      </c>
      <c r="P326" s="55">
        <f t="shared" si="1390"/>
        <v>-3000000</v>
      </c>
      <c r="Q326" s="55">
        <f t="shared" si="1390"/>
        <v>-3000000</v>
      </c>
      <c r="R326" s="55">
        <f t="shared" si="1390"/>
        <v>-4000000</v>
      </c>
      <c r="S326" s="55">
        <f t="shared" si="1390"/>
        <v>-4000000</v>
      </c>
      <c r="T326" s="55">
        <f t="shared" si="1390"/>
        <v>-4000000</v>
      </c>
      <c r="U326" s="55">
        <f t="shared" si="1390"/>
        <v>-4000000</v>
      </c>
      <c r="V326" s="55">
        <f t="shared" si="1390"/>
        <v>-5000000</v>
      </c>
      <c r="W326" s="55">
        <f t="shared" si="1390"/>
        <v>-5000000</v>
      </c>
      <c r="X326" s="55">
        <f t="shared" si="1390"/>
        <v>-5000000</v>
      </c>
      <c r="Y326" s="55">
        <f t="shared" si="1390"/>
        <v>-8000000</v>
      </c>
      <c r="Z326" s="55">
        <f t="shared" si="1390"/>
        <v>-8000000</v>
      </c>
      <c r="AA326" s="55">
        <f t="shared" si="1390"/>
        <v>-8000000</v>
      </c>
      <c r="AB326" s="55">
        <f t="shared" si="1390"/>
        <v>-8000000</v>
      </c>
      <c r="AC326" s="55">
        <f t="shared" si="1390"/>
        <v>-8000000</v>
      </c>
      <c r="AD326" s="55">
        <f t="shared" si="1390"/>
        <v>-8000000</v>
      </c>
      <c r="AE326" s="55">
        <f t="shared" si="1390"/>
        <v>-8000000</v>
      </c>
      <c r="AF326" s="55">
        <f t="shared" si="1390"/>
        <v>-8000000</v>
      </c>
      <c r="AG326" s="55">
        <f t="shared" si="1390"/>
        <v>-8000000</v>
      </c>
      <c r="AH326" s="55">
        <f t="shared" si="1390"/>
        <v>-8000000</v>
      </c>
      <c r="AI326" s="55">
        <f t="shared" si="1390"/>
        <v>-8000000</v>
      </c>
      <c r="AJ326" s="55">
        <f t="shared" si="1390"/>
        <v>-8000000</v>
      </c>
      <c r="AK326" s="55">
        <f t="shared" si="1390"/>
        <v>-8000000</v>
      </c>
      <c r="AL326" s="55">
        <f t="shared" si="1390"/>
        <v>-8000000</v>
      </c>
      <c r="AM326" s="55">
        <f t="shared" si="1390"/>
        <v>-8000000</v>
      </c>
      <c r="AN326" s="55">
        <f t="shared" si="1390"/>
        <v>-8000000</v>
      </c>
      <c r="AO326" s="55">
        <f t="shared" si="1390"/>
        <v>-8000000</v>
      </c>
      <c r="AP326" s="55">
        <f t="shared" si="1390"/>
        <v>-8000000</v>
      </c>
      <c r="AQ326" s="55">
        <f t="shared" si="1390"/>
        <v>-8000000</v>
      </c>
      <c r="AR326" s="55">
        <f t="shared" si="1390"/>
        <v>-8000000</v>
      </c>
      <c r="AS326" s="55">
        <f t="shared" si="1390"/>
        <v>-8000000</v>
      </c>
      <c r="AT326" s="55">
        <f t="shared" si="1390"/>
        <v>-8000000</v>
      </c>
      <c r="AU326" s="55">
        <f t="shared" si="1390"/>
        <v>-8000000</v>
      </c>
      <c r="AV326" s="55">
        <f t="shared" si="1390"/>
        <v>-8000000</v>
      </c>
      <c r="AW326" s="55">
        <f t="shared" si="1390"/>
        <v>-8000000</v>
      </c>
      <c r="AX326" s="55">
        <f t="shared" si="1390"/>
        <v>-4075001</v>
      </c>
      <c r="AY326" s="55">
        <f t="shared" si="1390"/>
        <v>0</v>
      </c>
      <c r="AZ326" s="55">
        <f t="shared" si="1390"/>
        <v>0</v>
      </c>
      <c r="BA326" s="55">
        <f t="shared" si="1390"/>
        <v>0</v>
      </c>
      <c r="BB326" s="55">
        <f t="shared" si="1390"/>
        <v>0</v>
      </c>
      <c r="BD326" s="57">
        <f t="shared" si="1386"/>
        <v>-247075001</v>
      </c>
    </row>
    <row r="327" spans="1:56" hidden="1" x14ac:dyDescent="0.3">
      <c r="A327" s="10" t="str">
        <f ca="1">Language!A1383</f>
        <v>Дисконтированный денежный поток</v>
      </c>
      <c r="C327" s="48" t="str">
        <f ca="1">Параметры!$C$64</f>
        <v>руб.</v>
      </c>
      <c r="F327" s="6" t="s">
        <v>740</v>
      </c>
      <c r="G327" s="55">
        <f ca="1">G322/G321</f>
        <v>211558334</v>
      </c>
      <c r="H327" s="55">
        <f t="shared" ref="H327:M327" ca="1" si="1391">H322/H321</f>
        <v>-1632199.1103321873</v>
      </c>
      <c r="I327" s="55">
        <f t="shared" ca="1" si="1391"/>
        <v>-132384931.78399597</v>
      </c>
      <c r="J327" s="55">
        <f t="shared" ca="1" si="1391"/>
        <v>-17535766.120541852</v>
      </c>
      <c r="K327" s="55">
        <f t="shared" ca="1" si="1391"/>
        <v>-15976880.877858773</v>
      </c>
      <c r="L327" s="55">
        <f t="shared" ca="1" si="1391"/>
        <v>-17459632.906378116</v>
      </c>
      <c r="M327" s="55">
        <f t="shared" ca="1" si="1391"/>
        <v>-8079016.621904606</v>
      </c>
      <c r="N327" s="55">
        <f t="shared" ref="N327:O327" ca="1" si="1392">N322/N321</f>
        <v>-7365733.4934109477</v>
      </c>
      <c r="O327" s="55">
        <f t="shared" ca="1" si="1392"/>
        <v>-1468300.8625464165</v>
      </c>
      <c r="P327" s="55">
        <f t="shared" ref="P327:Q327" ca="1" si="1393">P322/P321</f>
        <v>376969.92160941375</v>
      </c>
      <c r="Q327" s="55">
        <f t="shared" ca="1" si="1393"/>
        <v>945464.9829796144</v>
      </c>
      <c r="R327" s="55">
        <f t="shared" ref="R327:S327" ca="1" si="1394">R322/R321</f>
        <v>-353175.03093392117</v>
      </c>
      <c r="S327" s="55">
        <f t="shared" ca="1" si="1394"/>
        <v>2427747.9241819922</v>
      </c>
      <c r="T327" s="55">
        <f t="shared" ref="T327:U327" ca="1" si="1395">T322/T321</f>
        <v>2435642.0205344339</v>
      </c>
      <c r="U327" s="55">
        <f t="shared" ca="1" si="1395"/>
        <v>1050291.3777715061</v>
      </c>
      <c r="V327" s="55">
        <f t="shared" ref="V327:W327" ca="1" si="1396">V322/V321</f>
        <v>163095.40172889072</v>
      </c>
      <c r="W327" s="55">
        <f t="shared" ca="1" si="1396"/>
        <v>-1798690.0781371198</v>
      </c>
      <c r="X327" s="55">
        <f t="shared" ref="X327:Y327" ca="1" si="1397">X322/X321</f>
        <v>773600.21945248952</v>
      </c>
      <c r="Y327" s="55">
        <f t="shared" ca="1" si="1397"/>
        <v>2031258.3489121667</v>
      </c>
      <c r="Z327" s="55">
        <f t="shared" ref="Z327:AA327" ca="1" si="1398">Z322/Z321</f>
        <v>3983519.3548949929</v>
      </c>
      <c r="AA327" s="55">
        <f t="shared" ca="1" si="1398"/>
        <v>1471289.678358241</v>
      </c>
      <c r="AB327" s="55">
        <f t="shared" ref="AB327:AC327" ca="1" si="1399">AB322/AB321</f>
        <v>-1730600.764403848</v>
      </c>
      <c r="AC327" s="55">
        <f t="shared" ca="1" si="1399"/>
        <v>-2811196.8421483324</v>
      </c>
      <c r="AD327" s="55">
        <f t="shared" ref="AD327:AE327" ca="1" si="1400">AD322/AD321</f>
        <v>-2271512.7023677286</v>
      </c>
      <c r="AE327" s="55">
        <f t="shared" ca="1" si="1400"/>
        <v>607304.52453596308</v>
      </c>
      <c r="AF327" s="55">
        <f t="shared" ref="AF327:AG327" ca="1" si="1401">AF322/AF321</f>
        <v>760253.46422994905</v>
      </c>
      <c r="AG327" s="55">
        <f t="shared" ca="1" si="1401"/>
        <v>-357359.25522579916</v>
      </c>
      <c r="AH327" s="55">
        <f t="shared" ref="AH327:AI327" ca="1" si="1402">AH322/AH321</f>
        <v>-374239.69423923944</v>
      </c>
      <c r="AI327" s="55">
        <f t="shared" ca="1" si="1402"/>
        <v>-2076998.381469182</v>
      </c>
      <c r="AJ327" s="55">
        <f t="shared" ref="AJ327:AK327" ca="1" si="1403">AJ322/AJ321</f>
        <v>178866.75229484256</v>
      </c>
      <c r="AK327" s="55">
        <f t="shared" ca="1" si="1403"/>
        <v>3211559.75389096</v>
      </c>
      <c r="AL327" s="55">
        <f t="shared" ref="AL327:AM327" ca="1" si="1404">AL322/AL321</f>
        <v>4918504.9307146231</v>
      </c>
      <c r="AM327" s="55">
        <f t="shared" ca="1" si="1404"/>
        <v>2740768.3440555981</v>
      </c>
      <c r="AN327" s="55">
        <f t="shared" ref="AN327:AO327" ca="1" si="1405">AN322/AN321</f>
        <v>-55468.497257013551</v>
      </c>
      <c r="AO327" s="55">
        <f t="shared" ca="1" si="1405"/>
        <v>-1038514.8703637674</v>
      </c>
      <c r="AP327" s="55">
        <f t="shared" ref="AP327:AQ327" ca="1" si="1406">AP322/AP321</f>
        <v>-630998.57634225721</v>
      </c>
      <c r="AQ327" s="55">
        <f t="shared" ca="1" si="1406"/>
        <v>1848874.802483452</v>
      </c>
      <c r="AR327" s="55">
        <f t="shared" ref="AR327:AS327" ca="1" si="1407">AR322/AR321</f>
        <v>1962439.5002541749</v>
      </c>
      <c r="AS327" s="55">
        <f t="shared" ca="1" si="1407"/>
        <v>978391.65228071075</v>
      </c>
      <c r="AT327" s="55">
        <f t="shared" ref="AT327:AU327" ca="1" si="1408">AT322/AT321</f>
        <v>870019.25253619673</v>
      </c>
      <c r="AU327" s="55">
        <f t="shared" ca="1" si="1408"/>
        <v>-760463.35085304058</v>
      </c>
      <c r="AV327" s="55">
        <f t="shared" ref="AV327:AW327" ca="1" si="1409">AV322/AV321</f>
        <v>1068939.7848567099</v>
      </c>
      <c r="AW327" s="55">
        <f t="shared" ca="1" si="1409"/>
        <v>3578635.8351578838</v>
      </c>
      <c r="AX327" s="55">
        <f t="shared" ref="AX327:AY327" ca="1" si="1410">AX322/AX321</f>
        <v>6978659.3398002684</v>
      </c>
      <c r="AY327" s="55">
        <f t="shared" ca="1" si="1410"/>
        <v>7014628.1781302942</v>
      </c>
      <c r="AZ327" s="55">
        <f t="shared" ref="AZ327:BA327" ca="1" si="1411">AZ322/AZ321</f>
        <v>4440731.2975316728</v>
      </c>
      <c r="BA327" s="55">
        <f t="shared" ca="1" si="1411"/>
        <v>3416700.6509819324</v>
      </c>
      <c r="BB327" s="55">
        <f t="shared" ref="BB327" ca="1" si="1412">BB322/BB321</f>
        <v>3956958.4464813056</v>
      </c>
      <c r="BD327" s="57">
        <f t="shared" ca="1" si="1386"/>
        <v>59587769.919930138</v>
      </c>
    </row>
    <row r="328" spans="1:56" hidden="1" x14ac:dyDescent="0.3">
      <c r="A328" s="10" t="str">
        <f ca="1">Language!A1384</f>
        <v>Дисконтированный поток нарастающим итогом</v>
      </c>
      <c r="C328" s="48" t="str">
        <f ca="1">Параметры!$C$64</f>
        <v>руб.</v>
      </c>
      <c r="F328" s="6" t="s">
        <v>741</v>
      </c>
      <c r="G328" s="55">
        <f ca="1">IF(G$2=1,G327,F328+G327)</f>
        <v>211558334</v>
      </c>
      <c r="H328" s="55">
        <f t="shared" ref="H328:BB328" ca="1" si="1413">IF(H$2=1,H327,G328+H327)</f>
        <v>209926134.88966781</v>
      </c>
      <c r="I328" s="55">
        <f t="shared" ca="1" si="1413"/>
        <v>77541203.105671838</v>
      </c>
      <c r="J328" s="55">
        <f t="shared" ca="1" si="1413"/>
        <v>60005436.985129982</v>
      </c>
      <c r="K328" s="55">
        <f t="shared" ca="1" si="1413"/>
        <v>44028556.107271209</v>
      </c>
      <c r="L328" s="55">
        <f t="shared" ca="1" si="1413"/>
        <v>26568923.200893093</v>
      </c>
      <c r="M328" s="55">
        <f t="shared" ca="1" si="1413"/>
        <v>18489906.578988485</v>
      </c>
      <c r="N328" s="55">
        <f t="shared" ca="1" si="1413"/>
        <v>11124173.085577536</v>
      </c>
      <c r="O328" s="55">
        <f t="shared" ca="1" si="1413"/>
        <v>9655872.2230311204</v>
      </c>
      <c r="P328" s="55">
        <f t="shared" ca="1" si="1413"/>
        <v>10032842.144640533</v>
      </c>
      <c r="Q328" s="55">
        <f t="shared" ca="1" si="1413"/>
        <v>10978307.127620148</v>
      </c>
      <c r="R328" s="55">
        <f t="shared" ca="1" si="1413"/>
        <v>10625132.096686227</v>
      </c>
      <c r="S328" s="55">
        <f t="shared" ca="1" si="1413"/>
        <v>13052880.020868219</v>
      </c>
      <c r="T328" s="55">
        <f t="shared" ca="1" si="1413"/>
        <v>15488522.041402653</v>
      </c>
      <c r="U328" s="55">
        <f t="shared" ca="1" si="1413"/>
        <v>16538813.419174159</v>
      </c>
      <c r="V328" s="55">
        <f t="shared" ca="1" si="1413"/>
        <v>16701908.82090305</v>
      </c>
      <c r="W328" s="55">
        <f t="shared" ca="1" si="1413"/>
        <v>14903218.74276593</v>
      </c>
      <c r="X328" s="55">
        <f t="shared" ca="1" si="1413"/>
        <v>15676818.962218419</v>
      </c>
      <c r="Y328" s="55">
        <f t="shared" ca="1" si="1413"/>
        <v>17708077.311130587</v>
      </c>
      <c r="Z328" s="55">
        <f t="shared" ca="1" si="1413"/>
        <v>21691596.666025579</v>
      </c>
      <c r="AA328" s="55">
        <f t="shared" ca="1" si="1413"/>
        <v>23162886.344383821</v>
      </c>
      <c r="AB328" s="55">
        <f t="shared" ca="1" si="1413"/>
        <v>21432285.579979971</v>
      </c>
      <c r="AC328" s="55">
        <f t="shared" ca="1" si="1413"/>
        <v>18621088.737831637</v>
      </c>
      <c r="AD328" s="55">
        <f t="shared" ca="1" si="1413"/>
        <v>16349576.035463909</v>
      </c>
      <c r="AE328" s="55">
        <f t="shared" ca="1" si="1413"/>
        <v>16956880.559999872</v>
      </c>
      <c r="AF328" s="55">
        <f t="shared" ca="1" si="1413"/>
        <v>17717134.024229821</v>
      </c>
      <c r="AG328" s="55">
        <f t="shared" ca="1" si="1413"/>
        <v>17359774.769004021</v>
      </c>
      <c r="AH328" s="55">
        <f t="shared" ca="1" si="1413"/>
        <v>16985535.074764781</v>
      </c>
      <c r="AI328" s="55">
        <f t="shared" ca="1" si="1413"/>
        <v>14908536.693295598</v>
      </c>
      <c r="AJ328" s="55">
        <f t="shared" ca="1" si="1413"/>
        <v>15087403.44559044</v>
      </c>
      <c r="AK328" s="55">
        <f t="shared" ca="1" si="1413"/>
        <v>18298963.199481402</v>
      </c>
      <c r="AL328" s="55">
        <f t="shared" ca="1" si="1413"/>
        <v>23217468.130196024</v>
      </c>
      <c r="AM328" s="55">
        <f t="shared" ca="1" si="1413"/>
        <v>25958236.47425162</v>
      </c>
      <c r="AN328" s="55">
        <f t="shared" ca="1" si="1413"/>
        <v>25902767.976994608</v>
      </c>
      <c r="AO328" s="55">
        <f t="shared" ca="1" si="1413"/>
        <v>24864253.106630839</v>
      </c>
      <c r="AP328" s="55">
        <f t="shared" ca="1" si="1413"/>
        <v>24233254.530288581</v>
      </c>
      <c r="AQ328" s="55">
        <f t="shared" ca="1" si="1413"/>
        <v>26082129.332772031</v>
      </c>
      <c r="AR328" s="55">
        <f t="shared" ca="1" si="1413"/>
        <v>28044568.833026208</v>
      </c>
      <c r="AS328" s="55">
        <f t="shared" ca="1" si="1413"/>
        <v>29022960.485306919</v>
      </c>
      <c r="AT328" s="55">
        <f t="shared" ca="1" si="1413"/>
        <v>29892979.737843115</v>
      </c>
      <c r="AU328" s="55">
        <f t="shared" ca="1" si="1413"/>
        <v>29132516.386990074</v>
      </c>
      <c r="AV328" s="55">
        <f t="shared" ca="1" si="1413"/>
        <v>30201456.171846785</v>
      </c>
      <c r="AW328" s="55">
        <f t="shared" ca="1" si="1413"/>
        <v>33780092.007004671</v>
      </c>
      <c r="AX328" s="55">
        <f t="shared" ca="1" si="1413"/>
        <v>40758751.346804939</v>
      </c>
      <c r="AY328" s="55">
        <f t="shared" ca="1" si="1413"/>
        <v>47773379.524935231</v>
      </c>
      <c r="AZ328" s="55">
        <f t="shared" ca="1" si="1413"/>
        <v>52214110.822466902</v>
      </c>
      <c r="BA328" s="55">
        <f t="shared" ca="1" si="1413"/>
        <v>55630811.473448835</v>
      </c>
      <c r="BB328" s="55">
        <f t="shared" ca="1" si="1413"/>
        <v>59587769.919930138</v>
      </c>
      <c r="BD328" s="57"/>
    </row>
    <row r="329" spans="1:56" hidden="1" x14ac:dyDescent="0.3">
      <c r="A329" s="10" t="str">
        <f ca="1">Language!A1385</f>
        <v>Чистая приведенная стоимость потоков проекта</v>
      </c>
      <c r="B329" s="77">
        <f ca="1">BD327</f>
        <v>59587769.919930138</v>
      </c>
      <c r="C329" s="48" t="str">
        <f ca="1">Параметры!$C$64</f>
        <v>руб.</v>
      </c>
      <c r="G329" s="55"/>
      <c r="H329" s="55"/>
      <c r="I329" s="55"/>
      <c r="J329" s="55"/>
      <c r="K329" s="55"/>
      <c r="L329" s="55"/>
      <c r="M329" s="55"/>
      <c r="N329" s="55"/>
      <c r="O329" s="55"/>
      <c r="P329" s="55"/>
      <c r="Q329" s="55"/>
      <c r="R329" s="55"/>
      <c r="S329" s="55"/>
      <c r="T329" s="55"/>
      <c r="U329" s="55"/>
      <c r="V329" s="55"/>
      <c r="W329" s="55"/>
      <c r="X329" s="55"/>
      <c r="Y329" s="55"/>
      <c r="Z329" s="55"/>
      <c r="AA329" s="55"/>
      <c r="AB329" s="55"/>
      <c r="AC329" s="55"/>
      <c r="AD329" s="55"/>
      <c r="AE329" s="55"/>
      <c r="AF329" s="55"/>
      <c r="AG329" s="55"/>
      <c r="AH329" s="55"/>
      <c r="AI329" s="55"/>
      <c r="AJ329" s="55"/>
      <c r="AK329" s="55"/>
      <c r="AL329" s="55"/>
      <c r="AM329" s="55"/>
      <c r="AN329" s="55"/>
      <c r="AO329" s="55"/>
      <c r="AP329" s="55"/>
      <c r="AQ329" s="55"/>
      <c r="AR329" s="55"/>
      <c r="AS329" s="55"/>
      <c r="AT329" s="55"/>
      <c r="AU329" s="55"/>
      <c r="AV329" s="55"/>
      <c r="AW329" s="55"/>
      <c r="AX329" s="55"/>
      <c r="AY329" s="55"/>
      <c r="AZ329" s="55"/>
      <c r="BA329" s="55"/>
      <c r="BB329" s="55"/>
    </row>
    <row r="330" spans="1:56" hidden="1" x14ac:dyDescent="0.3">
      <c r="A330" s="10"/>
      <c r="B330" s="77"/>
      <c r="G330" s="55"/>
      <c r="H330" s="55"/>
      <c r="I330" s="55"/>
      <c r="J330" s="55"/>
      <c r="K330" s="55"/>
      <c r="L330" s="55"/>
      <c r="M330" s="55"/>
      <c r="N330" s="55"/>
      <c r="O330" s="55"/>
      <c r="P330" s="55"/>
      <c r="Q330" s="55"/>
      <c r="R330" s="55"/>
      <c r="S330" s="55"/>
      <c r="T330" s="55"/>
      <c r="U330" s="55"/>
      <c r="V330" s="55"/>
      <c r="W330" s="55"/>
      <c r="X330" s="55"/>
      <c r="Y330" s="55"/>
      <c r="Z330" s="55"/>
      <c r="AA330" s="55"/>
      <c r="AB330" s="55"/>
      <c r="AC330" s="55"/>
      <c r="AD330" s="55"/>
      <c r="AE330" s="55"/>
      <c r="AF330" s="55"/>
      <c r="AG330" s="55"/>
      <c r="AH330" s="55"/>
      <c r="AI330" s="55"/>
      <c r="AJ330" s="55"/>
      <c r="AK330" s="55"/>
      <c r="AL330" s="55"/>
      <c r="AM330" s="55"/>
      <c r="AN330" s="55"/>
      <c r="AO330" s="55"/>
      <c r="AP330" s="55"/>
      <c r="AQ330" s="55"/>
      <c r="AR330" s="55"/>
      <c r="AS330" s="55"/>
      <c r="AT330" s="55"/>
      <c r="AU330" s="55"/>
      <c r="AV330" s="55"/>
      <c r="AW330" s="55"/>
      <c r="AX330" s="55"/>
      <c r="AY330" s="55"/>
      <c r="AZ330" s="55"/>
      <c r="BA330" s="55"/>
      <c r="BB330" s="55"/>
    </row>
    <row r="331" spans="1:56" hidden="1" x14ac:dyDescent="0.3">
      <c r="A331" s="10" t="str">
        <f ca="1">Language!A1386</f>
        <v>Учет активов начального баланса</v>
      </c>
      <c r="B331" s="77" t="str">
        <f ca="1">Параметры!C134</f>
        <v>Нет</v>
      </c>
      <c r="C331" s="48" t="str">
        <f ca="1">Параметры!$C$64</f>
        <v>руб.</v>
      </c>
      <c r="F331" s="6" t="s">
        <v>740</v>
      </c>
      <c r="G331" s="55">
        <f>-IF(Параметры!$B$134=0,0,IF(G$2=1,Проект!G$992+Старт!$B$26,0))</f>
        <v>0</v>
      </c>
      <c r="H331" s="55">
        <f>-IF(Параметры!$B$134=0,0,IF(H$2=1,Проект!H$992+Старт!$B$26,0))</f>
        <v>0</v>
      </c>
      <c r="I331" s="55">
        <f>-IF(Параметры!$B$134=0,0,IF(I$2=1,Проект!I$992+Старт!$B$26,0))</f>
        <v>0</v>
      </c>
      <c r="J331" s="55">
        <f>-IF(Параметры!$B$134=0,0,IF(J$2=1,Проект!J$992+Старт!$B$26,0))</f>
        <v>0</v>
      </c>
      <c r="K331" s="55">
        <f>-IF(Параметры!$B$134=0,0,IF(K$2=1,Проект!K$992+Старт!$B$26,0))</f>
        <v>0</v>
      </c>
      <c r="L331" s="55">
        <f>-IF(Параметры!$B$134=0,0,IF(L$2=1,Проект!L$992+Старт!$B$26,0))</f>
        <v>0</v>
      </c>
      <c r="M331" s="55">
        <f>-IF(Параметры!$B$134=0,0,IF(M$2=1,Проект!M$992+Старт!$B$26,0))</f>
        <v>0</v>
      </c>
      <c r="N331" s="55">
        <f>-IF(Параметры!$B$134=0,0,IF(N$2=1,Проект!N$992+Старт!$B$26,0))</f>
        <v>0</v>
      </c>
      <c r="O331" s="55">
        <f>-IF(Параметры!$B$134=0,0,IF(O$2=1,Проект!O$992+Старт!$B$26,0))</f>
        <v>0</v>
      </c>
      <c r="P331" s="55">
        <f>-IF(Параметры!$B$134=0,0,IF(P$2=1,Проект!P$992+Старт!$B$26,0))</f>
        <v>0</v>
      </c>
      <c r="Q331" s="55">
        <f>-IF(Параметры!$B$134=0,0,IF(Q$2=1,Проект!Q$992+Старт!$B$26,0))</f>
        <v>0</v>
      </c>
      <c r="R331" s="55">
        <f>-IF(Параметры!$B$134=0,0,IF(R$2=1,Проект!R$992+Старт!$B$26,0))</f>
        <v>0</v>
      </c>
      <c r="S331" s="55">
        <f>-IF(Параметры!$B$134=0,0,IF(S$2=1,Проект!S$992+Старт!$B$26,0))</f>
        <v>0</v>
      </c>
      <c r="T331" s="55">
        <f>-IF(Параметры!$B$134=0,0,IF(T$2=1,Проект!T$992+Старт!$B$26,0))</f>
        <v>0</v>
      </c>
      <c r="U331" s="55">
        <f>-IF(Параметры!$B$134=0,0,IF(U$2=1,Проект!U$992+Старт!$B$26,0))</f>
        <v>0</v>
      </c>
      <c r="V331" s="55">
        <f>-IF(Параметры!$B$134=0,0,IF(V$2=1,Проект!V$992+Старт!$B$26,0))</f>
        <v>0</v>
      </c>
      <c r="W331" s="55">
        <f>-IF(Параметры!$B$134=0,0,IF(W$2=1,Проект!W$992+Старт!$B$26,0))</f>
        <v>0</v>
      </c>
      <c r="X331" s="55">
        <f>-IF(Параметры!$B$134=0,0,IF(X$2=1,Проект!X$992+Старт!$B$26,0))</f>
        <v>0</v>
      </c>
      <c r="Y331" s="55">
        <f>-IF(Параметры!$B$134=0,0,IF(Y$2=1,Проект!Y$992+Старт!$B$26,0))</f>
        <v>0</v>
      </c>
      <c r="Z331" s="55">
        <f>-IF(Параметры!$B$134=0,0,IF(Z$2=1,Проект!Z$992+Старт!$B$26,0))</f>
        <v>0</v>
      </c>
      <c r="AA331" s="55">
        <f>-IF(Параметры!$B$134=0,0,IF(AA$2=1,Проект!AA$992+Старт!$B$26,0))</f>
        <v>0</v>
      </c>
      <c r="AB331" s="55">
        <f>-IF(Параметры!$B$134=0,0,IF(AB$2=1,Проект!AB$992+Старт!$B$26,0))</f>
        <v>0</v>
      </c>
      <c r="AC331" s="55">
        <f>-IF(Параметры!$B$134=0,0,IF(AC$2=1,Проект!AC$992+Старт!$B$26,0))</f>
        <v>0</v>
      </c>
      <c r="AD331" s="55">
        <f>-IF(Параметры!$B$134=0,0,IF(AD$2=1,Проект!AD$992+Старт!$B$26,0))</f>
        <v>0</v>
      </c>
      <c r="AE331" s="55">
        <f>-IF(Параметры!$B$134=0,0,IF(AE$2=1,Проект!AE$992+Старт!$B$26,0))</f>
        <v>0</v>
      </c>
      <c r="AF331" s="55">
        <f>-IF(Параметры!$B$134=0,0,IF(AF$2=1,Проект!AF$992+Старт!$B$26,0))</f>
        <v>0</v>
      </c>
      <c r="AG331" s="55">
        <f>-IF(Параметры!$B$134=0,0,IF(AG$2=1,Проект!AG$992+Старт!$B$26,0))</f>
        <v>0</v>
      </c>
      <c r="AH331" s="55">
        <f>-IF(Параметры!$B$134=0,0,IF(AH$2=1,Проект!AH$992+Старт!$B$26,0))</f>
        <v>0</v>
      </c>
      <c r="AI331" s="55">
        <f>-IF(Параметры!$B$134=0,0,IF(AI$2=1,Проект!AI$992+Старт!$B$26,0))</f>
        <v>0</v>
      </c>
      <c r="AJ331" s="55">
        <f>-IF(Параметры!$B$134=0,0,IF(AJ$2=1,Проект!AJ$992+Старт!$B$26,0))</f>
        <v>0</v>
      </c>
      <c r="AK331" s="55">
        <f>-IF(Параметры!$B$134=0,0,IF(AK$2=1,Проект!AK$992+Старт!$B$26,0))</f>
        <v>0</v>
      </c>
      <c r="AL331" s="55">
        <f>-IF(Параметры!$B$134=0,0,IF(AL$2=1,Проект!AL$992+Старт!$B$26,0))</f>
        <v>0</v>
      </c>
      <c r="AM331" s="55">
        <f>-IF(Параметры!$B$134=0,0,IF(AM$2=1,Проект!AM$992+Старт!$B$26,0))</f>
        <v>0</v>
      </c>
      <c r="AN331" s="55">
        <f>-IF(Параметры!$B$134=0,0,IF(AN$2=1,Проект!AN$992+Старт!$B$26,0))</f>
        <v>0</v>
      </c>
      <c r="AO331" s="55">
        <f>-IF(Параметры!$B$134=0,0,IF(AO$2=1,Проект!AO$992+Старт!$B$26,0))</f>
        <v>0</v>
      </c>
      <c r="AP331" s="55">
        <f>-IF(Параметры!$B$134=0,0,IF(AP$2=1,Проект!AP$992+Старт!$B$26,0))</f>
        <v>0</v>
      </c>
      <c r="AQ331" s="55">
        <f>-IF(Параметры!$B$134=0,0,IF(AQ$2=1,Проект!AQ$992+Старт!$B$26,0))</f>
        <v>0</v>
      </c>
      <c r="AR331" s="55">
        <f>-IF(Параметры!$B$134=0,0,IF(AR$2=1,Проект!AR$992+Старт!$B$26,0))</f>
        <v>0</v>
      </c>
      <c r="AS331" s="55">
        <f>-IF(Параметры!$B$134=0,0,IF(AS$2=1,Проект!AS$992+Старт!$B$26,0))</f>
        <v>0</v>
      </c>
      <c r="AT331" s="55">
        <f>-IF(Параметры!$B$134=0,0,IF(AT$2=1,Проект!AT$992+Старт!$B$26,0))</f>
        <v>0</v>
      </c>
      <c r="AU331" s="55">
        <f>-IF(Параметры!$B$134=0,0,IF(AU$2=1,Проект!AU$992+Старт!$B$26,0))</f>
        <v>0</v>
      </c>
      <c r="AV331" s="55">
        <f>-IF(Параметры!$B$134=0,0,IF(AV$2=1,Проект!AV$992+Старт!$B$26,0))</f>
        <v>0</v>
      </c>
      <c r="AW331" s="55">
        <f>-IF(Параметры!$B$134=0,0,IF(AW$2=1,Проект!AW$992+Старт!$B$26,0))</f>
        <v>0</v>
      </c>
      <c r="AX331" s="55">
        <f>-IF(Параметры!$B$134=0,0,IF(AX$2=1,Проект!AX$992+Старт!$B$26,0))</f>
        <v>0</v>
      </c>
      <c r="AY331" s="55">
        <f>-IF(Параметры!$B$134=0,0,IF(AY$2=1,Проект!AY$992+Старт!$B$26,0))</f>
        <v>0</v>
      </c>
      <c r="AZ331" s="55">
        <f>-IF(Параметры!$B$134=0,0,IF(AZ$2=1,Проект!AZ$992+Старт!$B$26,0))</f>
        <v>0</v>
      </c>
      <c r="BA331" s="55">
        <f>-IF(Параметры!$B$134=0,0,IF(BA$2=1,Проект!BA$992+Старт!$B$26,0))</f>
        <v>0</v>
      </c>
      <c r="BB331" s="55">
        <f>-IF(Параметры!$B$134=0,0,IF(BB$2=1,Проект!BB$992+Старт!$B$26,0))</f>
        <v>0</v>
      </c>
      <c r="BD331" s="57">
        <f>SUM(G331:BC331)</f>
        <v>0</v>
      </c>
    </row>
    <row r="332" spans="1:56" s="70" customFormat="1" hidden="1" collapsed="1" x14ac:dyDescent="0.3">
      <c r="A332" s="109" t="str">
        <f ca="1">Language!A1387</f>
        <v>Учет продленной стоимости</v>
      </c>
      <c r="B332" s="77" t="str">
        <f ca="1">Параметры!C135</f>
        <v>Нет</v>
      </c>
      <c r="C332" s="253" t="str">
        <f ca="1">Параметры!$C$64</f>
        <v>руб.</v>
      </c>
      <c r="F332" s="70" t="s">
        <v>740</v>
      </c>
      <c r="G332" s="68">
        <f>IF(AND(Параметры!$B$135=1,G2=Prj_Len),G333*(1+Параметры!$B137)/(Параметры!G130-Параметры!$B137),0)</f>
        <v>0</v>
      </c>
      <c r="H332" s="68">
        <f>IF(AND(Параметры!$B$135=1,H2=Prj_Len),H333*(1+Параметры!$B137)/(Параметры!H130-Параметры!$B137),0)</f>
        <v>0</v>
      </c>
      <c r="I332" s="68">
        <f>IF(AND(Параметры!$B$135=1,I2=Prj_Len),I333*(1+Параметры!$B137)/(Параметры!I130-Параметры!$B137),0)</f>
        <v>0</v>
      </c>
      <c r="J332" s="68">
        <f>IF(AND(Параметры!$B$135=1,J2=Prj_Len),J333*(1+Параметры!$B137)/(Параметры!J130-Параметры!$B137),0)</f>
        <v>0</v>
      </c>
      <c r="K332" s="68">
        <f>IF(AND(Параметры!$B$135=1,K2=Prj_Len),K333*(1+Параметры!$B137)/(Параметры!K130-Параметры!$B137),0)</f>
        <v>0</v>
      </c>
      <c r="L332" s="68">
        <f>IF(AND(Параметры!$B$135=1,L2=Prj_Len),L333*(1+Параметры!$B137)/(Параметры!L130-Параметры!$B137),0)</f>
        <v>0</v>
      </c>
      <c r="M332" s="68">
        <f>IF(AND(Параметры!$B$135=1,M2=Prj_Len),M333*(1+Параметры!$B137)/(Параметры!M130-Параметры!$B137),0)</f>
        <v>0</v>
      </c>
      <c r="N332" s="68">
        <f>IF(AND(Параметры!$B$135=1,N2=Prj_Len),N333*(1+Параметры!$B137)/(Параметры!N130-Параметры!$B137),0)</f>
        <v>0</v>
      </c>
      <c r="O332" s="68">
        <f>IF(AND(Параметры!$B$135=1,O2=Prj_Len),O333*(1+Параметры!$B137)/(Параметры!O130-Параметры!$B137),0)</f>
        <v>0</v>
      </c>
      <c r="P332" s="68">
        <f>IF(AND(Параметры!$B$135=1,P2=Prj_Len),P333*(1+Параметры!$B137)/(Параметры!P130-Параметры!$B137),0)</f>
        <v>0</v>
      </c>
      <c r="Q332" s="68">
        <f>IF(AND(Параметры!$B$135=1,Q2=Prj_Len),Q333*(1+Параметры!$B137)/(Параметры!Q130-Параметры!$B137),0)</f>
        <v>0</v>
      </c>
      <c r="R332" s="68">
        <f>IF(AND(Параметры!$B$135=1,R2=Prj_Len),R333*(1+Параметры!$B137)/(Параметры!R130-Параметры!$B137),0)</f>
        <v>0</v>
      </c>
      <c r="S332" s="68">
        <f>IF(AND(Параметры!$B$135=1,S2=Prj_Len),S333*(1+Параметры!$B137)/(Параметры!S130-Параметры!$B137),0)</f>
        <v>0</v>
      </c>
      <c r="T332" s="68">
        <f>IF(AND(Параметры!$B$135=1,T2=Prj_Len),T333*(1+Параметры!$B137)/(Параметры!T130-Параметры!$B137),0)</f>
        <v>0</v>
      </c>
      <c r="U332" s="68">
        <f>IF(AND(Параметры!$B$135=1,U2=Prj_Len),U333*(1+Параметры!$B137)/(Параметры!U130-Параметры!$B137),0)</f>
        <v>0</v>
      </c>
      <c r="V332" s="68">
        <f>IF(AND(Параметры!$B$135=1,V2=Prj_Len),V333*(1+Параметры!$B137)/(Параметры!V130-Параметры!$B137),0)</f>
        <v>0</v>
      </c>
      <c r="W332" s="68">
        <f>IF(AND(Параметры!$B$135=1,W2=Prj_Len),W333*(1+Параметры!$B137)/(Параметры!W130-Параметры!$B137),0)</f>
        <v>0</v>
      </c>
      <c r="X332" s="68">
        <f>IF(AND(Параметры!$B$135=1,X2=Prj_Len),X333*(1+Параметры!$B137)/(Параметры!X130-Параметры!$B137),0)</f>
        <v>0</v>
      </c>
      <c r="Y332" s="68">
        <f>IF(AND(Параметры!$B$135=1,Y2=Prj_Len),Y333*(1+Параметры!$B137)/(Параметры!Y130-Параметры!$B137),0)</f>
        <v>0</v>
      </c>
      <c r="Z332" s="68">
        <f>IF(AND(Параметры!$B$135=1,Z2=Prj_Len),Z333*(1+Параметры!$B137)/(Параметры!Z130-Параметры!$B137),0)</f>
        <v>0</v>
      </c>
      <c r="AA332" s="68">
        <f>IF(AND(Параметры!$B$135=1,AA2=Prj_Len),AA333*(1+Параметры!$B137)/(Параметры!AA130-Параметры!$B137),0)</f>
        <v>0</v>
      </c>
      <c r="AB332" s="68">
        <f>IF(AND(Параметры!$B$135=1,AB2=Prj_Len),AB333*(1+Параметры!$B137)/(Параметры!AB130-Параметры!$B137),0)</f>
        <v>0</v>
      </c>
      <c r="AC332" s="68">
        <f>IF(AND(Параметры!$B$135=1,AC2=Prj_Len),AC333*(1+Параметры!$B137)/(Параметры!AC130-Параметры!$B137),0)</f>
        <v>0</v>
      </c>
      <c r="AD332" s="68">
        <f>IF(AND(Параметры!$B$135=1,AD2=Prj_Len),AD333*(1+Параметры!$B137)/(Параметры!AD130-Параметры!$B137),0)</f>
        <v>0</v>
      </c>
      <c r="AE332" s="68">
        <f>IF(AND(Параметры!$B$135=1,AE2=Prj_Len),AE333*(1+Параметры!$B137)/(Параметры!AE130-Параметры!$B137),0)</f>
        <v>0</v>
      </c>
      <c r="AF332" s="68">
        <f>IF(AND(Параметры!$B$135=1,AF2=Prj_Len),AF333*(1+Параметры!$B137)/(Параметры!AF130-Параметры!$B137),0)</f>
        <v>0</v>
      </c>
      <c r="AG332" s="68">
        <f>IF(AND(Параметры!$B$135=1,AG2=Prj_Len),AG333*(1+Параметры!$B137)/(Параметры!AG130-Параметры!$B137),0)</f>
        <v>0</v>
      </c>
      <c r="AH332" s="68">
        <f>IF(AND(Параметры!$B$135=1,AH2=Prj_Len),AH333*(1+Параметры!$B137)/(Параметры!AH130-Параметры!$B137),0)</f>
        <v>0</v>
      </c>
      <c r="AI332" s="68">
        <f>IF(AND(Параметры!$B$135=1,AI2=Prj_Len),AI333*(1+Параметры!$B137)/(Параметры!AI130-Параметры!$B137),0)</f>
        <v>0</v>
      </c>
      <c r="AJ332" s="68">
        <f>IF(AND(Параметры!$B$135=1,AJ2=Prj_Len),AJ333*(1+Параметры!$B137)/(Параметры!AJ130-Параметры!$B137),0)</f>
        <v>0</v>
      </c>
      <c r="AK332" s="68">
        <f>IF(AND(Параметры!$B$135=1,AK2=Prj_Len),AK333*(1+Параметры!$B137)/(Параметры!AK130-Параметры!$B137),0)</f>
        <v>0</v>
      </c>
      <c r="AL332" s="68">
        <f>IF(AND(Параметры!$B$135=1,AL2=Prj_Len),AL333*(1+Параметры!$B137)/(Параметры!AL130-Параметры!$B137),0)</f>
        <v>0</v>
      </c>
      <c r="AM332" s="68">
        <f>IF(AND(Параметры!$B$135=1,AM2=Prj_Len),AM333*(1+Параметры!$B137)/(Параметры!AM130-Параметры!$B137),0)</f>
        <v>0</v>
      </c>
      <c r="AN332" s="68">
        <f>IF(AND(Параметры!$B$135=1,AN2=Prj_Len),AN333*(1+Параметры!$B137)/(Параметры!AN130-Параметры!$B137),0)</f>
        <v>0</v>
      </c>
      <c r="AO332" s="68">
        <f>IF(AND(Параметры!$B$135=1,AO2=Prj_Len),AO333*(1+Параметры!$B137)/(Параметры!AO130-Параметры!$B137),0)</f>
        <v>0</v>
      </c>
      <c r="AP332" s="68">
        <f>IF(AND(Параметры!$B$135=1,AP2=Prj_Len),AP333*(1+Параметры!$B137)/(Параметры!AP130-Параметры!$B137),0)</f>
        <v>0</v>
      </c>
      <c r="AQ332" s="68">
        <f>IF(AND(Параметры!$B$135=1,AQ2=Prj_Len),AQ333*(1+Параметры!$B137)/(Параметры!AQ130-Параметры!$B137),0)</f>
        <v>0</v>
      </c>
      <c r="AR332" s="68">
        <f>IF(AND(Параметры!$B$135=1,AR2=Prj_Len),AR333*(1+Параметры!$B137)/(Параметры!AR130-Параметры!$B137),0)</f>
        <v>0</v>
      </c>
      <c r="AS332" s="68">
        <f>IF(AND(Параметры!$B$135=1,AS2=Prj_Len),AS333*(1+Параметры!$B137)/(Параметры!AS130-Параметры!$B137),0)</f>
        <v>0</v>
      </c>
      <c r="AT332" s="68">
        <f>IF(AND(Параметры!$B$135=1,AT2=Prj_Len),AT333*(1+Параметры!$B137)/(Параметры!AT130-Параметры!$B137),0)</f>
        <v>0</v>
      </c>
      <c r="AU332" s="68">
        <f>IF(AND(Параметры!$B$135=1,AU2=Prj_Len),AU333*(1+Параметры!$B137)/(Параметры!AU130-Параметры!$B137),0)</f>
        <v>0</v>
      </c>
      <c r="AV332" s="68">
        <f>IF(AND(Параметры!$B$135=1,AV2=Prj_Len),AV333*(1+Параметры!$B137)/(Параметры!AV130-Параметры!$B137),0)</f>
        <v>0</v>
      </c>
      <c r="AW332" s="68">
        <f>IF(AND(Параметры!$B$135=1,AW2=Prj_Len),AW333*(1+Параметры!$B137)/(Параметры!AW130-Параметры!$B137),0)</f>
        <v>0</v>
      </c>
      <c r="AX332" s="68">
        <f>IF(AND(Параметры!$B$135=1,AX2=Prj_Len),AX333*(1+Параметры!$B137)/(Параметры!AX130-Параметры!$B137),0)</f>
        <v>0</v>
      </c>
      <c r="AY332" s="68">
        <f>IF(AND(Параметры!$B$135=1,AY2=Prj_Len),AY333*(1+Параметры!$B137)/(Параметры!AY130-Параметры!$B137),0)</f>
        <v>0</v>
      </c>
      <c r="AZ332" s="68">
        <f>IF(AND(Параметры!$B$135=1,AZ2=Prj_Len),AZ333*(1+Параметры!$B137)/(Параметры!AZ130-Параметры!$B137),0)</f>
        <v>0</v>
      </c>
      <c r="BA332" s="68">
        <f>IF(AND(Параметры!$B$135=1,BA2=Prj_Len),BA333*(1+Параметры!$B137)/(Параметры!BA130-Параметры!$B137),0)</f>
        <v>0</v>
      </c>
      <c r="BB332" s="68">
        <f>IF(AND(Параметры!$B$135=1,BB2=Prj_Len),BB333*(1+Параметры!$B137)/(Параметры!BB130-Параметры!$B137),0)</f>
        <v>0</v>
      </c>
      <c r="BD332" s="69">
        <f>SUM(G332:BC332)</f>
        <v>0</v>
      </c>
    </row>
    <row r="333" spans="1:56" s="70" customFormat="1" hidden="1" outlineLevel="1" x14ac:dyDescent="0.3">
      <c r="A333" s="109" t="str">
        <f ca="1">Language!A1388</f>
        <v>NOPLAT</v>
      </c>
      <c r="B333" s="77"/>
      <c r="C333" s="253" t="str">
        <f ca="1">Параметры!$C$64</f>
        <v>руб.</v>
      </c>
      <c r="F333" s="70" t="s">
        <v>740</v>
      </c>
      <c r="G333" s="68">
        <f ca="1">SUM(G104,G106:G107)*(1-Параметры!G$81-Параметры!G$107)</f>
        <v>0</v>
      </c>
      <c r="H333" s="68">
        <f ca="1">SUM(H104,H106:H107)*(1-Параметры!H$81-Параметры!H$107)</f>
        <v>0</v>
      </c>
      <c r="I333" s="68">
        <f ca="1">SUM(I104,I106:I107)*(1-Параметры!I$81-Параметры!I$107)</f>
        <v>0</v>
      </c>
      <c r="J333" s="68">
        <f ca="1">SUM(J104,J106:J107)*(1-Параметры!J$81-Параметры!J$107)</f>
        <v>0</v>
      </c>
      <c r="K333" s="68">
        <f ca="1">SUM(K104,K106:K107)*(1-Параметры!K$81-Параметры!K$107)</f>
        <v>0</v>
      </c>
      <c r="L333" s="68">
        <f ca="1">SUM(L104,L106:L107)*(1-Параметры!L$81-Параметры!L$107)</f>
        <v>0</v>
      </c>
      <c r="M333" s="68">
        <f ca="1">SUM(M104,M106:M107)*(1-Параметры!M$81-Параметры!M$107)</f>
        <v>3116787.0714194006</v>
      </c>
      <c r="N333" s="68">
        <f ca="1">SUM(N104,N106:N107)*(1-Параметры!N$81-Параметры!N$107)</f>
        <v>4957015.8475500802</v>
      </c>
      <c r="O333" s="68">
        <f ca="1">SUM(O104,O106:O107)*(1-Параметры!O$81-Параметры!O$107)</f>
        <v>6809957.859898705</v>
      </c>
      <c r="P333" s="68">
        <f ca="1">SUM(P104,P106:P107)*(1-Параметры!P$81-Параметры!P$107)</f>
        <v>8665184.2543230727</v>
      </c>
      <c r="Q333" s="68">
        <f ca="1">SUM(Q104,Q106:Q107)*(1-Параметры!Q$81-Параметры!Q$107)</f>
        <v>8694852.5248188861</v>
      </c>
      <c r="R333" s="68">
        <f ca="1">SUM(R104,R106:R107)*(1-Параметры!R$81-Параметры!R$107)</f>
        <v>8682319.0652139224</v>
      </c>
      <c r="S333" s="68">
        <f ca="1">SUM(S104,S106:S107)*(1-Параметры!S$81-Параметры!S$107)</f>
        <v>12455923.648888897</v>
      </c>
      <c r="T333" s="68">
        <f ca="1">SUM(T104,T106:T107)*(1-Параметры!T$81-Параметры!T$107)</f>
        <v>10619728.983182944</v>
      </c>
      <c r="U333" s="68">
        <f ca="1">SUM(U104,U106:U107)*(1-Параметры!U$81-Параметры!U$107)</f>
        <v>8792032.3324321248</v>
      </c>
      <c r="V333" s="68">
        <f ca="1">SUM(V104,V106:V107)*(1-Параметры!V$81-Параметры!V$107)</f>
        <v>8832301.0213160738</v>
      </c>
      <c r="W333" s="68">
        <f ca="1">SUM(W104,W106:W107)*(1-Параметры!W$81-Параметры!W$107)</f>
        <v>6980160.5438158261</v>
      </c>
      <c r="X333" s="68">
        <f ca="1">SUM(X104,X106:X107)*(1-Параметры!X$81-Параметры!X$107)</f>
        <v>12732707.226246145</v>
      </c>
      <c r="Y333" s="68">
        <f ca="1">SUM(Y104,Y106:Y107)*(1-Параметры!Y$81-Параметры!Y$107)</f>
        <v>16618839.481687408</v>
      </c>
      <c r="Z333" s="68">
        <f ca="1">SUM(Z104,Z106:Z107)*(1-Параметры!Z$81-Параметры!Z$107)</f>
        <v>16674507.464993112</v>
      </c>
      <c r="AA333" s="68">
        <f ca="1">SUM(AA104,AA106:AA107)*(1-Параметры!AA$81-Параметры!AA$107)</f>
        <v>10936727.761008833</v>
      </c>
      <c r="AB333" s="68">
        <f ca="1">SUM(AB104,AB106:AB107)*(1-Параметры!AB$81-Параметры!AB$107)</f>
        <v>7090104.3349880883</v>
      </c>
      <c r="AC333" s="68">
        <f ca="1">SUM(AC104,AC106:AC107)*(1-Параметры!AC$81-Параметры!AC$107)</f>
        <v>7113094.3866815753</v>
      </c>
      <c r="AD333" s="68">
        <f ca="1">SUM(AD104,AD106:AD107)*(1-Параметры!AD$81-Параметры!AD$107)</f>
        <v>9034593.1487748027</v>
      </c>
      <c r="AE333" s="68">
        <f ca="1">SUM(AE104,AE106:AE107)*(1-Параметры!AE$81-Параметры!AE$107)</f>
        <v>12963316.547224898</v>
      </c>
      <c r="AF333" s="68">
        <f ca="1">SUM(AF104,AF106:AF107)*(1-Параметры!AF$81-Параметры!AF$107)</f>
        <v>11049227.870648842</v>
      </c>
      <c r="AG333" s="68">
        <f ca="1">SUM(AG104,AG106:AG107)*(1-Параметры!AG$81-Параметры!AG$107)</f>
        <v>9144803.4667029269</v>
      </c>
      <c r="AH333" s="68">
        <f ca="1">SUM(AH104,AH106:AH107)*(1-Параметры!AH$81-Параметры!AH$107)</f>
        <v>9185419.9739545062</v>
      </c>
      <c r="AI333" s="68">
        <f ca="1">SUM(AI104,AI106:AI107)*(1-Параметры!AI$81-Параметры!AI$107)</f>
        <v>7256079.1244318159</v>
      </c>
      <c r="AJ333" s="68">
        <f ca="1">SUM(AJ104,AJ106:AJ107)*(1-Параметры!AJ$81-Параметры!AJ$107)</f>
        <v>13242917.152301259</v>
      </c>
      <c r="AK333" s="68">
        <f ca="1">SUM(AK104,AK106:AK107)*(1-Параметры!AK$81-Параметры!AK$107)</f>
        <v>17285932.219130516</v>
      </c>
      <c r="AL333" s="68">
        <f ca="1">SUM(AL104,AL106:AL107)*(1-Параметры!AL$81-Параметры!AL$107)</f>
        <v>17341356.566297594</v>
      </c>
      <c r="AM333" s="68">
        <f ca="1">SUM(AM104,AM106:AM107)*(1-Параметры!AM$81-Параметры!AM$107)</f>
        <v>11368020.902540013</v>
      </c>
      <c r="AN333" s="68">
        <f ca="1">SUM(AN104,AN106:AN107)*(1-Параметры!AN$81-Параметры!AN$107)</f>
        <v>7363659.4102326808</v>
      </c>
      <c r="AO333" s="68">
        <f ca="1">SUM(AO104,AO106:AO107)*(1-Параметры!AO$81-Параметры!AO$107)</f>
        <v>7386184.034748733</v>
      </c>
      <c r="AP333" s="68">
        <f ca="1">SUM(AP104,AP106:AP107)*(1-Параметры!AP$81-Параметры!AP$107)</f>
        <v>9382559.7858898342</v>
      </c>
      <c r="AQ333" s="68">
        <f ca="1">SUM(AQ104,AQ106:AQ107)*(1-Параметры!AQ$81-Параметры!AQ$107)</f>
        <v>13466896.761915233</v>
      </c>
      <c r="AR333" s="68">
        <f ca="1">SUM(AR104,AR106:AR107)*(1-Параметры!AR$81-Параметры!AR$107)</f>
        <v>11474229.953714218</v>
      </c>
      <c r="AS333" s="68">
        <f ca="1">SUM(AS104,AS106:AS107)*(1-Параметры!AS$81-Параметры!AS$107)</f>
        <v>9492544.7794485427</v>
      </c>
      <c r="AT333" s="68">
        <f ca="1">SUM(AT104,AT106:AT107)*(1-Параметры!AT$81-Параметры!AT$107)</f>
        <v>9533274.3319232762</v>
      </c>
      <c r="AU333" s="68">
        <f ca="1">SUM(AU104,AU106:AU107)*(1-Параметры!AU$81-Параметры!AU$107)</f>
        <v>7526294.5958559671</v>
      </c>
      <c r="AV333" s="68">
        <f ca="1">SUM(AV104,AV106:AV107)*(1-Параметры!AV$81-Параметры!AV$107)</f>
        <v>13747778.973990262</v>
      </c>
      <c r="AW333" s="68">
        <f ca="1">SUM(AW104,AW106:AW107)*(1-Параметры!AW$81-Параметры!AW$107)</f>
        <v>17947660.979571991</v>
      </c>
      <c r="AX333" s="68">
        <f ca="1">SUM(AX104,AX106:AX107)*(1-Параметры!AX$81-Параметры!AX$107)</f>
        <v>18002384.125241201</v>
      </c>
      <c r="AY333" s="68">
        <f ca="1">SUM(AY104,AY106:AY107)*(1-Параметры!AY$81-Параметры!AY$107)</f>
        <v>11792795.801780686</v>
      </c>
      <c r="AZ333" s="68">
        <f ca="1">SUM(AZ104,AZ106:AZ107)*(1-Параметры!AZ$81-Параметры!AZ$107)</f>
        <v>7630262.0935439104</v>
      </c>
      <c r="BA333" s="68">
        <f ca="1">SUM(BA104,BA106:BA107)*(1-Параметры!BA$81-Параметры!BA$107)</f>
        <v>7652065.3442293936</v>
      </c>
      <c r="BB333" s="68">
        <f ca="1">SUM(BB104,BB106:BB107)*(1-Параметры!BB$81-Параметры!BB$107)</f>
        <v>9722815.6647878699</v>
      </c>
      <c r="BD333" s="69">
        <f ca="1">SUM(G333:BC333)</f>
        <v>439765317.417346</v>
      </c>
    </row>
    <row r="334" spans="1:56" s="34" customFormat="1" hidden="1" x14ac:dyDescent="0.3">
      <c r="A334" s="22" t="str">
        <f ca="1">Language!A1351</f>
        <v>Денежный поток для расчета эффективности</v>
      </c>
      <c r="B334" s="99"/>
      <c r="C334" s="100" t="str">
        <f ca="1">Параметры!$C$64</f>
        <v>руб.</v>
      </c>
      <c r="D334" s="101"/>
      <c r="E334" s="101"/>
      <c r="F334" s="101" t="s">
        <v>740</v>
      </c>
      <c r="G334" s="58">
        <f ca="1">SUM(G322,G331:G332)</f>
        <v>211558334</v>
      </c>
      <c r="H334" s="58">
        <f t="shared" ref="H334:M334" ca="1" si="1414">SUM(H322,H331:H332)</f>
        <v>-1658333.6666666667</v>
      </c>
      <c r="I334" s="58">
        <f t="shared" ca="1" si="1414"/>
        <v>-136658332.66666666</v>
      </c>
      <c r="J334" s="58">
        <f t="shared" ca="1" si="1414"/>
        <v>-18391666.666666668</v>
      </c>
      <c r="K334" s="58">
        <f t="shared" ca="1" si="1414"/>
        <v>-17025000</v>
      </c>
      <c r="L334" s="58">
        <f t="shared" ca="1" si="1414"/>
        <v>-18902925.060418263</v>
      </c>
      <c r="M334" s="58">
        <f t="shared" ca="1" si="1414"/>
        <v>-8886918.2840950675</v>
      </c>
      <c r="N334" s="58">
        <f t="shared" ref="N334:O334" ca="1" si="1415">SUM(N322,N331:N332)</f>
        <v>-8232039.9085776005</v>
      </c>
      <c r="O334" s="58">
        <f t="shared" ca="1" si="1415"/>
        <v>-1667267.5623055082</v>
      </c>
      <c r="P334" s="58">
        <f t="shared" ref="P334:Q334" ca="1" si="1416">SUM(P322,P331:P332)</f>
        <v>434906.32820575777</v>
      </c>
      <c r="Q334" s="58">
        <f t="shared" ca="1" si="1416"/>
        <v>1108238.5607123412</v>
      </c>
      <c r="R334" s="58">
        <f t="shared" ref="R334:S334" ca="1" si="1417">SUM(R322,R331:R332)</f>
        <v>-420607.08244144218</v>
      </c>
      <c r="S334" s="58">
        <f t="shared" ca="1" si="1417"/>
        <v>2937574.9882602114</v>
      </c>
      <c r="T334" s="58">
        <f t="shared" ref="T334:U334" ca="1" si="1418">SUM(T322,T331:T332)</f>
        <v>2994315.8501977511</v>
      </c>
      <c r="U334" s="58">
        <f t="shared" ca="1" si="1418"/>
        <v>1311875.8346976452</v>
      </c>
      <c r="V334" s="58">
        <f t="shared" ref="V334:W334" ca="1" si="1419">SUM(V322,V331:V332)</f>
        <v>206977.63951924257</v>
      </c>
      <c r="W334" s="58">
        <f t="shared" ca="1" si="1419"/>
        <v>-2319192.6863205186</v>
      </c>
      <c r="X334" s="58">
        <f t="shared" ref="X334:Y334" ca="1" si="1420">SUM(X322,X331:X332)</f>
        <v>1013434.9063734766</v>
      </c>
      <c r="Y334" s="58">
        <f t="shared" ca="1" si="1420"/>
        <v>2703604.8624020945</v>
      </c>
      <c r="Z334" s="58">
        <f t="shared" ref="Z334:AA334" ca="1" si="1421">SUM(Z322,Z331:Z332)</f>
        <v>5386960.2132442202</v>
      </c>
      <c r="AA334" s="58">
        <f t="shared" ca="1" si="1421"/>
        <v>2021500.2782094367</v>
      </c>
      <c r="AB334" s="58">
        <f t="shared" ref="AB334:AC334" ca="1" si="1422">SUM(AB322,AB331:AB332)</f>
        <v>-2415857.3638888802</v>
      </c>
      <c r="AC334" s="58">
        <f t="shared" ca="1" si="1422"/>
        <v>-3987167.0828123656</v>
      </c>
      <c r="AD334" s="58">
        <f t="shared" ref="AD334:AE334" ca="1" si="1423">SUM(AD322,AD331:AD332)</f>
        <v>-3273309.9415708464</v>
      </c>
      <c r="AE334" s="58">
        <f t="shared" ca="1" si="1423"/>
        <v>889154.55437310413</v>
      </c>
      <c r="AF334" s="58">
        <f t="shared" ref="AF334:AG334" ca="1" si="1424">SUM(AF322,AF331:AF332)</f>
        <v>1130909.7003961615</v>
      </c>
      <c r="AG334" s="58">
        <f t="shared" ca="1" si="1424"/>
        <v>-540098.95463437866</v>
      </c>
      <c r="AH334" s="58">
        <f t="shared" ref="AH334:AI334" ca="1" si="1425">SUM(AH322,AH331:AH332)</f>
        <v>-574667.89207660966</v>
      </c>
      <c r="AI334" s="58">
        <f t="shared" ca="1" si="1425"/>
        <v>-3240425.3586354423</v>
      </c>
      <c r="AJ334" s="58">
        <f t="shared" ref="AJ334:AK334" ca="1" si="1426">SUM(AJ322,AJ331:AJ332)</f>
        <v>283526.89803680312</v>
      </c>
      <c r="AK334" s="58">
        <f t="shared" ca="1" si="1426"/>
        <v>5172249.099238934</v>
      </c>
      <c r="AL334" s="58">
        <f t="shared" ref="AL334:AM334" ca="1" si="1427">SUM(AL322,AL331:AL332)</f>
        <v>8048136.2061903197</v>
      </c>
      <c r="AM334" s="58">
        <f t="shared" ca="1" si="1427"/>
        <v>4556520.3795897495</v>
      </c>
      <c r="AN334" s="58">
        <f t="shared" ref="AN334:AO334" ca="1" si="1428">SUM(AN322,AN331:AN332)</f>
        <v>-93692.789339616895</v>
      </c>
      <c r="AO334" s="58">
        <f t="shared" ca="1" si="1428"/>
        <v>-1782260.8560498543</v>
      </c>
      <c r="AP334" s="58">
        <f t="shared" ref="AP334:AQ334" ca="1" si="1429">SUM(AP322,AP331:AP332)</f>
        <v>-1100235.641295475</v>
      </c>
      <c r="AQ334" s="58">
        <f t="shared" ca="1" si="1429"/>
        <v>3275394.4939623885</v>
      </c>
      <c r="AR334" s="58">
        <f t="shared" ref="AR334:AS334" ca="1" si="1430">SUM(AR322,AR331:AR332)</f>
        <v>3532247.8433247805</v>
      </c>
      <c r="AS334" s="58">
        <f t="shared" ca="1" si="1430"/>
        <v>1789230.9883676264</v>
      </c>
      <c r="AT334" s="58">
        <f t="shared" ref="AT334:AU334" ca="1" si="1431">SUM(AT322,AT331:AT332)</f>
        <v>1616520.8728973772</v>
      </c>
      <c r="AU334" s="58">
        <f t="shared" ca="1" si="1431"/>
        <v>-1435587.0209467961</v>
      </c>
      <c r="AV334" s="58">
        <f t="shared" ref="AV334:AW334" ca="1" si="1432">SUM(AV322,AV331:AV332)</f>
        <v>2050233.175116023</v>
      </c>
      <c r="AW334" s="58">
        <f t="shared" ca="1" si="1432"/>
        <v>6973748.8466449548</v>
      </c>
      <c r="AX334" s="58">
        <f t="shared" ref="AX334:AY334" ca="1" si="1433">SUM(AX322,AX331:AX332)</f>
        <v>13817185.110178754</v>
      </c>
      <c r="AY334" s="58">
        <f t="shared" ca="1" si="1433"/>
        <v>14110779.75453246</v>
      </c>
      <c r="AZ334" s="58">
        <f t="shared" ref="AZ334:BA334" ca="1" si="1434">SUM(AZ322,AZ331:AZ332)</f>
        <v>9076107.5616529956</v>
      </c>
      <c r="BA334" s="58">
        <f t="shared" ca="1" si="1434"/>
        <v>7094974.6807112303</v>
      </c>
      <c r="BB334" s="58">
        <f t="shared" ref="BB334" ca="1" si="1435">SUM(BB322,BB331:BB332)</f>
        <v>8348418.0810810896</v>
      </c>
      <c r="BD334" s="58">
        <f ca="1">SUM(G334:BC334)</f>
        <v>90837475.22270827</v>
      </c>
    </row>
    <row r="335" spans="1:56" hidden="1" x14ac:dyDescent="0.3">
      <c r="A335" s="10" t="str">
        <f ca="1">Language!A1352</f>
        <v>Дисконтированный денежный поток</v>
      </c>
      <c r="B335" s="77"/>
      <c r="C335" s="48" t="str">
        <f ca="1">Параметры!$C$64</f>
        <v>руб.</v>
      </c>
      <c r="F335" s="6" t="s">
        <v>740</v>
      </c>
      <c r="G335" s="124">
        <f ca="1">G334/G321</f>
        <v>211558334</v>
      </c>
      <c r="H335" s="124">
        <f t="shared" ref="H335:M335" ca="1" si="1436">H334/H321</f>
        <v>-1632199.1103321873</v>
      </c>
      <c r="I335" s="124">
        <f t="shared" ca="1" si="1436"/>
        <v>-132384931.78399597</v>
      </c>
      <c r="J335" s="124">
        <f t="shared" ca="1" si="1436"/>
        <v>-17535766.120541852</v>
      </c>
      <c r="K335" s="124">
        <f t="shared" ca="1" si="1436"/>
        <v>-15976880.877858773</v>
      </c>
      <c r="L335" s="124">
        <f t="shared" ca="1" si="1436"/>
        <v>-17459632.906378116</v>
      </c>
      <c r="M335" s="124">
        <f t="shared" ca="1" si="1436"/>
        <v>-8079016.621904606</v>
      </c>
      <c r="N335" s="124">
        <f t="shared" ref="N335:O335" ca="1" si="1437">N334/N321</f>
        <v>-7365733.4934109477</v>
      </c>
      <c r="O335" s="124">
        <f t="shared" ca="1" si="1437"/>
        <v>-1468300.8625464165</v>
      </c>
      <c r="P335" s="124">
        <f t="shared" ref="P335:Q335" ca="1" si="1438">P334/P321</f>
        <v>376969.92160941375</v>
      </c>
      <c r="Q335" s="124">
        <f t="shared" ca="1" si="1438"/>
        <v>945464.9829796144</v>
      </c>
      <c r="R335" s="124">
        <f t="shared" ref="R335:S335" ca="1" si="1439">R334/R321</f>
        <v>-353175.03093392117</v>
      </c>
      <c r="S335" s="124">
        <f t="shared" ca="1" si="1439"/>
        <v>2427747.9241819922</v>
      </c>
      <c r="T335" s="124">
        <f t="shared" ref="T335:U335" ca="1" si="1440">T334/T321</f>
        <v>2435642.0205344339</v>
      </c>
      <c r="U335" s="124">
        <f t="shared" ca="1" si="1440"/>
        <v>1050291.3777715061</v>
      </c>
      <c r="V335" s="124">
        <f t="shared" ref="V335:W335" ca="1" si="1441">V334/V321</f>
        <v>163095.40172889072</v>
      </c>
      <c r="W335" s="124">
        <f t="shared" ca="1" si="1441"/>
        <v>-1798690.0781371198</v>
      </c>
      <c r="X335" s="124">
        <f t="shared" ref="X335:Y335" ca="1" si="1442">X334/X321</f>
        <v>773600.21945248952</v>
      </c>
      <c r="Y335" s="124">
        <f t="shared" ca="1" si="1442"/>
        <v>2031258.3489121667</v>
      </c>
      <c r="Z335" s="124">
        <f t="shared" ref="Z335:AA335" ca="1" si="1443">Z334/Z321</f>
        <v>3983519.3548949929</v>
      </c>
      <c r="AA335" s="124">
        <f t="shared" ca="1" si="1443"/>
        <v>1471289.678358241</v>
      </c>
      <c r="AB335" s="124">
        <f t="shared" ref="AB335:AC335" ca="1" si="1444">AB334/AB321</f>
        <v>-1730600.764403848</v>
      </c>
      <c r="AC335" s="124">
        <f t="shared" ca="1" si="1444"/>
        <v>-2811196.8421483324</v>
      </c>
      <c r="AD335" s="124">
        <f t="shared" ref="AD335:AE335" ca="1" si="1445">AD334/AD321</f>
        <v>-2271512.7023677286</v>
      </c>
      <c r="AE335" s="124">
        <f t="shared" ca="1" si="1445"/>
        <v>607304.52453596308</v>
      </c>
      <c r="AF335" s="124">
        <f t="shared" ref="AF335:AG335" ca="1" si="1446">AF334/AF321</f>
        <v>760253.46422994905</v>
      </c>
      <c r="AG335" s="124">
        <f t="shared" ca="1" si="1446"/>
        <v>-357359.25522579916</v>
      </c>
      <c r="AH335" s="124">
        <f t="shared" ref="AH335:AI335" ca="1" si="1447">AH334/AH321</f>
        <v>-374239.69423923944</v>
      </c>
      <c r="AI335" s="124">
        <f t="shared" ca="1" si="1447"/>
        <v>-2076998.381469182</v>
      </c>
      <c r="AJ335" s="124">
        <f t="shared" ref="AJ335:AK335" ca="1" si="1448">AJ334/AJ321</f>
        <v>178866.75229484256</v>
      </c>
      <c r="AK335" s="124">
        <f t="shared" ca="1" si="1448"/>
        <v>3211559.75389096</v>
      </c>
      <c r="AL335" s="124">
        <f t="shared" ref="AL335:AM335" ca="1" si="1449">AL334/AL321</f>
        <v>4918504.9307146231</v>
      </c>
      <c r="AM335" s="124">
        <f t="shared" ca="1" si="1449"/>
        <v>2740768.3440555981</v>
      </c>
      <c r="AN335" s="124">
        <f t="shared" ref="AN335:AO335" ca="1" si="1450">AN334/AN321</f>
        <v>-55468.497257013551</v>
      </c>
      <c r="AO335" s="124">
        <f t="shared" ca="1" si="1450"/>
        <v>-1038514.8703637674</v>
      </c>
      <c r="AP335" s="124">
        <f t="shared" ref="AP335:AQ335" ca="1" si="1451">AP334/AP321</f>
        <v>-630998.57634225721</v>
      </c>
      <c r="AQ335" s="124">
        <f t="shared" ca="1" si="1451"/>
        <v>1848874.802483452</v>
      </c>
      <c r="AR335" s="124">
        <f t="shared" ref="AR335:AS335" ca="1" si="1452">AR334/AR321</f>
        <v>1962439.5002541749</v>
      </c>
      <c r="AS335" s="124">
        <f t="shared" ca="1" si="1452"/>
        <v>978391.65228071075</v>
      </c>
      <c r="AT335" s="124">
        <f t="shared" ref="AT335:AU335" ca="1" si="1453">AT334/AT321</f>
        <v>870019.25253619673</v>
      </c>
      <c r="AU335" s="124">
        <f t="shared" ca="1" si="1453"/>
        <v>-760463.35085304058</v>
      </c>
      <c r="AV335" s="124">
        <f t="shared" ref="AV335:AW335" ca="1" si="1454">AV334/AV321</f>
        <v>1068939.7848567099</v>
      </c>
      <c r="AW335" s="124">
        <f t="shared" ca="1" si="1454"/>
        <v>3578635.8351578838</v>
      </c>
      <c r="AX335" s="124">
        <f t="shared" ref="AX335:AY335" ca="1" si="1455">AX334/AX321</f>
        <v>6978659.3398002684</v>
      </c>
      <c r="AY335" s="124">
        <f t="shared" ca="1" si="1455"/>
        <v>7014628.1781302942</v>
      </c>
      <c r="AZ335" s="124">
        <f t="shared" ref="AZ335:BA335" ca="1" si="1456">AZ334/AZ321</f>
        <v>4440731.2975316728</v>
      </c>
      <c r="BA335" s="124">
        <f t="shared" ca="1" si="1456"/>
        <v>3416700.6509819324</v>
      </c>
      <c r="BB335" s="124">
        <f t="shared" ref="BB335" ca="1" si="1457">BB334/BB321</f>
        <v>3956958.4464813056</v>
      </c>
      <c r="BD335" s="57">
        <f ca="1">SUM(G335:BC335)</f>
        <v>59587769.919930138</v>
      </c>
    </row>
    <row r="336" spans="1:56" hidden="1" x14ac:dyDescent="0.3">
      <c r="A336" s="10" t="str">
        <f ca="1">Language!A1353</f>
        <v>Дисконтированный поток нарастающим итогом</v>
      </c>
      <c r="B336" s="77"/>
      <c r="C336" s="48" t="str">
        <f ca="1">Параметры!$C$64</f>
        <v>руб.</v>
      </c>
      <c r="F336" s="6" t="s">
        <v>741</v>
      </c>
      <c r="G336" s="55">
        <f ca="1">IF(G$2=1,G335,F336+G335)</f>
        <v>211558334</v>
      </c>
      <c r="H336" s="55">
        <f t="shared" ref="H336" ca="1" si="1458">IF(H$2=1,H335,G336+H335)</f>
        <v>209926134.88966781</v>
      </c>
      <c r="I336" s="55">
        <f t="shared" ref="I336" ca="1" si="1459">IF(I$2=1,I335,H336+I335)</f>
        <v>77541203.105671838</v>
      </c>
      <c r="J336" s="55">
        <f t="shared" ref="J336" ca="1" si="1460">IF(J$2=1,J335,I336+J335)</f>
        <v>60005436.985129982</v>
      </c>
      <c r="K336" s="55">
        <f t="shared" ref="K336" ca="1" si="1461">IF(K$2=1,K335,J336+K335)</f>
        <v>44028556.107271209</v>
      </c>
      <c r="L336" s="55">
        <f t="shared" ref="L336" ca="1" si="1462">IF(L$2=1,L335,K336+L335)</f>
        <v>26568923.200893093</v>
      </c>
      <c r="M336" s="55">
        <f t="shared" ref="M336:BB336" ca="1" si="1463">IF(M$2=1,M335,L336+M335)</f>
        <v>18489906.578988485</v>
      </c>
      <c r="N336" s="55">
        <f t="shared" ca="1" si="1463"/>
        <v>11124173.085577536</v>
      </c>
      <c r="O336" s="55">
        <f t="shared" ca="1" si="1463"/>
        <v>9655872.2230311204</v>
      </c>
      <c r="P336" s="55">
        <f t="shared" ca="1" si="1463"/>
        <v>10032842.144640533</v>
      </c>
      <c r="Q336" s="55">
        <f t="shared" ca="1" si="1463"/>
        <v>10978307.127620148</v>
      </c>
      <c r="R336" s="55">
        <f t="shared" ca="1" si="1463"/>
        <v>10625132.096686227</v>
      </c>
      <c r="S336" s="55">
        <f t="shared" ca="1" si="1463"/>
        <v>13052880.020868219</v>
      </c>
      <c r="T336" s="55">
        <f t="shared" ca="1" si="1463"/>
        <v>15488522.041402653</v>
      </c>
      <c r="U336" s="55">
        <f t="shared" ca="1" si="1463"/>
        <v>16538813.419174159</v>
      </c>
      <c r="V336" s="55">
        <f t="shared" ca="1" si="1463"/>
        <v>16701908.82090305</v>
      </c>
      <c r="W336" s="55">
        <f t="shared" ca="1" si="1463"/>
        <v>14903218.74276593</v>
      </c>
      <c r="X336" s="55">
        <f t="shared" ca="1" si="1463"/>
        <v>15676818.962218419</v>
      </c>
      <c r="Y336" s="55">
        <f t="shared" ca="1" si="1463"/>
        <v>17708077.311130587</v>
      </c>
      <c r="Z336" s="55">
        <f t="shared" ca="1" si="1463"/>
        <v>21691596.666025579</v>
      </c>
      <c r="AA336" s="55">
        <f t="shared" ca="1" si="1463"/>
        <v>23162886.344383821</v>
      </c>
      <c r="AB336" s="55">
        <f t="shared" ca="1" si="1463"/>
        <v>21432285.579979971</v>
      </c>
      <c r="AC336" s="55">
        <f t="shared" ca="1" si="1463"/>
        <v>18621088.737831637</v>
      </c>
      <c r="AD336" s="55">
        <f t="shared" ca="1" si="1463"/>
        <v>16349576.035463909</v>
      </c>
      <c r="AE336" s="55">
        <f t="shared" ca="1" si="1463"/>
        <v>16956880.559999872</v>
      </c>
      <c r="AF336" s="55">
        <f t="shared" ca="1" si="1463"/>
        <v>17717134.024229821</v>
      </c>
      <c r="AG336" s="55">
        <f t="shared" ca="1" si="1463"/>
        <v>17359774.769004021</v>
      </c>
      <c r="AH336" s="55">
        <f t="shared" ca="1" si="1463"/>
        <v>16985535.074764781</v>
      </c>
      <c r="AI336" s="55">
        <f t="shared" ca="1" si="1463"/>
        <v>14908536.693295598</v>
      </c>
      <c r="AJ336" s="55">
        <f t="shared" ca="1" si="1463"/>
        <v>15087403.44559044</v>
      </c>
      <c r="AK336" s="55">
        <f t="shared" ca="1" si="1463"/>
        <v>18298963.199481402</v>
      </c>
      <c r="AL336" s="55">
        <f t="shared" ca="1" si="1463"/>
        <v>23217468.130196024</v>
      </c>
      <c r="AM336" s="55">
        <f t="shared" ca="1" si="1463"/>
        <v>25958236.47425162</v>
      </c>
      <c r="AN336" s="55">
        <f t="shared" ca="1" si="1463"/>
        <v>25902767.976994608</v>
      </c>
      <c r="AO336" s="55">
        <f t="shared" ca="1" si="1463"/>
        <v>24864253.106630839</v>
      </c>
      <c r="AP336" s="55">
        <f t="shared" ca="1" si="1463"/>
        <v>24233254.530288581</v>
      </c>
      <c r="AQ336" s="55">
        <f t="shared" ca="1" si="1463"/>
        <v>26082129.332772031</v>
      </c>
      <c r="AR336" s="55">
        <f t="shared" ca="1" si="1463"/>
        <v>28044568.833026208</v>
      </c>
      <c r="AS336" s="55">
        <f t="shared" ca="1" si="1463"/>
        <v>29022960.485306919</v>
      </c>
      <c r="AT336" s="55">
        <f t="shared" ca="1" si="1463"/>
        <v>29892979.737843115</v>
      </c>
      <c r="AU336" s="55">
        <f t="shared" ca="1" si="1463"/>
        <v>29132516.386990074</v>
      </c>
      <c r="AV336" s="55">
        <f t="shared" ca="1" si="1463"/>
        <v>30201456.171846785</v>
      </c>
      <c r="AW336" s="55">
        <f t="shared" ca="1" si="1463"/>
        <v>33780092.007004671</v>
      </c>
      <c r="AX336" s="55">
        <f t="shared" ca="1" si="1463"/>
        <v>40758751.346804939</v>
      </c>
      <c r="AY336" s="55">
        <f t="shared" ca="1" si="1463"/>
        <v>47773379.524935231</v>
      </c>
      <c r="AZ336" s="55">
        <f t="shared" ca="1" si="1463"/>
        <v>52214110.822466902</v>
      </c>
      <c r="BA336" s="55">
        <f t="shared" ca="1" si="1463"/>
        <v>55630811.473448835</v>
      </c>
      <c r="BB336" s="55">
        <f t="shared" ca="1" si="1463"/>
        <v>59587769.919930138</v>
      </c>
    </row>
    <row r="337" spans="1:56" hidden="1" x14ac:dyDescent="0.3">
      <c r="A337" s="35"/>
      <c r="B337" s="77"/>
      <c r="G337" s="55"/>
      <c r="H337" s="55"/>
      <c r="I337" s="55"/>
      <c r="J337" s="55"/>
      <c r="K337" s="55"/>
      <c r="L337" s="55"/>
      <c r="M337" s="55"/>
      <c r="N337" s="55"/>
      <c r="O337" s="55"/>
      <c r="P337" s="55"/>
      <c r="Q337" s="55"/>
      <c r="R337" s="55"/>
      <c r="S337" s="55"/>
      <c r="T337" s="55"/>
      <c r="U337" s="55"/>
      <c r="V337" s="55"/>
      <c r="W337" s="55"/>
      <c r="X337" s="55"/>
      <c r="Y337" s="55"/>
      <c r="Z337" s="55"/>
      <c r="AA337" s="55"/>
      <c r="AB337" s="55"/>
      <c r="AC337" s="55"/>
      <c r="AD337" s="55"/>
      <c r="AE337" s="55"/>
      <c r="AF337" s="55"/>
      <c r="AG337" s="55"/>
      <c r="AH337" s="55"/>
      <c r="AI337" s="55"/>
      <c r="AJ337" s="55"/>
      <c r="AK337" s="55"/>
      <c r="AL337" s="55"/>
      <c r="AM337" s="55"/>
      <c r="AN337" s="55"/>
      <c r="AO337" s="55"/>
      <c r="AP337" s="55"/>
      <c r="AQ337" s="55"/>
      <c r="AR337" s="55"/>
      <c r="AS337" s="55"/>
      <c r="AT337" s="55"/>
      <c r="AU337" s="55"/>
      <c r="AV337" s="55"/>
      <c r="AW337" s="55"/>
      <c r="AX337" s="55"/>
      <c r="AY337" s="55"/>
      <c r="AZ337" s="55"/>
      <c r="BA337" s="55"/>
      <c r="BB337" s="55"/>
    </row>
    <row r="338" spans="1:56" hidden="1" x14ac:dyDescent="0.3">
      <c r="A338" s="22" t="str">
        <f ca="1">Language!A1390</f>
        <v>Чистая приведенная стоимость, NPV</v>
      </c>
      <c r="B338" s="99">
        <f ca="1">BD335</f>
        <v>59587769.919930138</v>
      </c>
      <c r="C338" s="48" t="str">
        <f ca="1">Параметры!$C$64</f>
        <v>руб.</v>
      </c>
      <c r="G338" s="55"/>
      <c r="H338" s="55"/>
      <c r="I338" s="55"/>
      <c r="J338" s="55"/>
      <c r="K338" s="55"/>
      <c r="L338" s="55"/>
      <c r="M338" s="55"/>
      <c r="N338" s="55"/>
      <c r="O338" s="55"/>
      <c r="P338" s="55"/>
      <c r="Q338" s="55"/>
      <c r="R338" s="55"/>
      <c r="S338" s="55"/>
      <c r="T338" s="55"/>
      <c r="U338" s="55"/>
      <c r="V338" s="55"/>
      <c r="W338" s="55"/>
      <c r="X338" s="55"/>
      <c r="Y338" s="55"/>
      <c r="Z338" s="55"/>
      <c r="AA338" s="55"/>
      <c r="AB338" s="55"/>
      <c r="AC338" s="55"/>
      <c r="AD338" s="55"/>
      <c r="AE338" s="55"/>
      <c r="AF338" s="55"/>
      <c r="AG338" s="55"/>
      <c r="AH338" s="55"/>
      <c r="AI338" s="55"/>
      <c r="AJ338" s="55"/>
      <c r="AK338" s="55"/>
      <c r="AL338" s="55"/>
      <c r="AM338" s="55"/>
      <c r="AN338" s="55"/>
      <c r="AO338" s="55"/>
      <c r="AP338" s="55"/>
      <c r="AQ338" s="55"/>
      <c r="AR338" s="55"/>
      <c r="AS338" s="55"/>
      <c r="AT338" s="55"/>
      <c r="AU338" s="55"/>
      <c r="AV338" s="55"/>
      <c r="AW338" s="55"/>
      <c r="AX338" s="55"/>
      <c r="AY338" s="55"/>
      <c r="AZ338" s="55"/>
      <c r="BA338" s="55"/>
      <c r="BB338" s="55"/>
    </row>
    <row r="339" spans="1:56" hidden="1" x14ac:dyDescent="0.3">
      <c r="A339" s="10"/>
      <c r="G339" s="55"/>
      <c r="H339" s="55"/>
      <c r="I339" s="55"/>
      <c r="J339" s="55"/>
      <c r="K339" s="55"/>
      <c r="L339" s="55"/>
      <c r="M339" s="55"/>
      <c r="N339" s="55"/>
      <c r="O339" s="55"/>
      <c r="P339" s="55"/>
      <c r="Q339" s="55"/>
      <c r="R339" s="55"/>
      <c r="S339" s="55"/>
      <c r="T339" s="55"/>
      <c r="U339" s="55"/>
      <c r="V339" s="55"/>
      <c r="W339" s="55"/>
      <c r="X339" s="55"/>
      <c r="Y339" s="55"/>
      <c r="Z339" s="55"/>
      <c r="AA339" s="55"/>
      <c r="AB339" s="55"/>
      <c r="AC339" s="55"/>
      <c r="AD339" s="55"/>
      <c r="AE339" s="55"/>
      <c r="AF339" s="55"/>
      <c r="AG339" s="55"/>
      <c r="AH339" s="55"/>
      <c r="AI339" s="55"/>
      <c r="AJ339" s="55"/>
      <c r="AK339" s="55"/>
      <c r="AL339" s="55"/>
      <c r="AM339" s="55"/>
      <c r="AN339" s="55"/>
      <c r="AO339" s="55"/>
      <c r="AP339" s="55"/>
      <c r="AQ339" s="55"/>
      <c r="AR339" s="55"/>
      <c r="AS339" s="55"/>
      <c r="AT339" s="55"/>
      <c r="AU339" s="55"/>
      <c r="AV339" s="55"/>
      <c r="AW339" s="55"/>
      <c r="AX339" s="55"/>
      <c r="AY339" s="55"/>
      <c r="AZ339" s="55"/>
      <c r="BA339" s="55"/>
      <c r="BB339" s="55"/>
    </row>
    <row r="340" spans="1:56" hidden="1" collapsed="1" x14ac:dyDescent="0.3">
      <c r="A340" s="22" t="str">
        <f ca="1">Language!A1391</f>
        <v>Внутренняя норма рентабельности, IRR</v>
      </c>
      <c r="B340" s="97" t="str">
        <f ca="1">IFERROR(IF(POWER(1+IRR(G343:BC343,G320),360/Параметры!B$21)-1&gt;999%,"-",POWER(1+IRR(G343:BC343,G320),360/Параметры!B$21)-1),"-")</f>
        <v>-</v>
      </c>
      <c r="C340" s="48" t="s">
        <v>1</v>
      </c>
      <c r="G340" s="41" t="str">
        <f ca="1">Language!A$1361</f>
        <v>(с учетом инфляции, номинальная)</v>
      </c>
    </row>
    <row r="341" spans="1:56" hidden="1" outlineLevel="1" x14ac:dyDescent="0.3">
      <c r="A341" s="10" t="str">
        <f ca="1">Language!A$412</f>
        <v>Темпы роста цен, базовые</v>
      </c>
      <c r="B341" s="5"/>
      <c r="C341" s="48" t="str">
        <f ca="1">Language!A$480</f>
        <v>% в год</v>
      </c>
      <c r="F341" s="6" t="s">
        <v>745</v>
      </c>
      <c r="G341" s="29">
        <f>(CHOOSE(Prj_CurReport,Параметры!G$43,Параметры!G$54,Параметры!G$60))</f>
        <v>0.06</v>
      </c>
      <c r="H341" s="29">
        <f>(CHOOSE(Prj_CurReport,Параметры!H$43,Параметры!H$54,Параметры!H$60))</f>
        <v>0.06</v>
      </c>
      <c r="I341" s="29">
        <f>(CHOOSE(Prj_CurReport,Параметры!I$43,Параметры!I$54,Параметры!I$60))</f>
        <v>0.06</v>
      </c>
      <c r="J341" s="29">
        <f>(CHOOSE(Prj_CurReport,Параметры!J$43,Параметры!J$54,Параметры!J$60))</f>
        <v>0.06</v>
      </c>
      <c r="K341" s="29">
        <f>(CHOOSE(Prj_CurReport,Параметры!K$43,Параметры!K$54,Параметры!K$60))</f>
        <v>0.06</v>
      </c>
      <c r="L341" s="29">
        <f>(CHOOSE(Prj_CurReport,Параметры!L$43,Параметры!L$54,Параметры!L$60))</f>
        <v>0.06</v>
      </c>
      <c r="M341" s="29">
        <f>(CHOOSE(Prj_CurReport,Параметры!M$43,Параметры!M$54,Параметры!M$60))</f>
        <v>0.06</v>
      </c>
      <c r="N341" s="29">
        <f>(CHOOSE(Prj_CurReport,Параметры!N$43,Параметры!N$54,Параметры!N$60))</f>
        <v>0.06</v>
      </c>
      <c r="O341" s="29">
        <f>(CHOOSE(Prj_CurReport,Параметры!O$43,Параметры!O$54,Параметры!O$60))</f>
        <v>0.06</v>
      </c>
      <c r="P341" s="29">
        <f>(CHOOSE(Prj_CurReport,Параметры!P$43,Параметры!P$54,Параметры!P$60))</f>
        <v>0.06</v>
      </c>
      <c r="Q341" s="29">
        <f>(CHOOSE(Prj_CurReport,Параметры!Q$43,Параметры!Q$54,Параметры!Q$60))</f>
        <v>0.06</v>
      </c>
      <c r="R341" s="29">
        <f>(CHOOSE(Prj_CurReport,Параметры!R$43,Параметры!R$54,Параметры!R$60))</f>
        <v>0.06</v>
      </c>
      <c r="S341" s="29">
        <f>(CHOOSE(Prj_CurReport,Параметры!S$43,Параметры!S$54,Параметры!S$60))</f>
        <v>0.06</v>
      </c>
      <c r="T341" s="29">
        <f>(CHOOSE(Prj_CurReport,Параметры!T$43,Параметры!T$54,Параметры!T$60))</f>
        <v>0.06</v>
      </c>
      <c r="U341" s="29">
        <f>(CHOOSE(Prj_CurReport,Параметры!U$43,Параметры!U$54,Параметры!U$60))</f>
        <v>0.06</v>
      </c>
      <c r="V341" s="29">
        <f>(CHOOSE(Prj_CurReport,Параметры!V$43,Параметры!V$54,Параметры!V$60))</f>
        <v>0.06</v>
      </c>
      <c r="W341" s="29">
        <f>(CHOOSE(Prj_CurReport,Параметры!W$43,Параметры!W$54,Параметры!W$60))</f>
        <v>0.06</v>
      </c>
      <c r="X341" s="29">
        <f>(CHOOSE(Prj_CurReport,Параметры!X$43,Параметры!X$54,Параметры!X$60))</f>
        <v>0.06</v>
      </c>
      <c r="Y341" s="29">
        <f>(CHOOSE(Prj_CurReport,Параметры!Y$43,Параметры!Y$54,Параметры!Y$60))</f>
        <v>0.06</v>
      </c>
      <c r="Z341" s="29">
        <f>(CHOOSE(Prj_CurReport,Параметры!Z$43,Параметры!Z$54,Параметры!Z$60))</f>
        <v>0.06</v>
      </c>
      <c r="AA341" s="29">
        <f>(CHOOSE(Prj_CurReport,Параметры!AA$43,Параметры!AA$54,Параметры!AA$60))</f>
        <v>0.06</v>
      </c>
      <c r="AB341" s="29">
        <f>(CHOOSE(Prj_CurReport,Параметры!AB$43,Параметры!AB$54,Параметры!AB$60))</f>
        <v>0.06</v>
      </c>
      <c r="AC341" s="29">
        <f>(CHOOSE(Prj_CurReport,Параметры!AC$43,Параметры!AC$54,Параметры!AC$60))</f>
        <v>0.06</v>
      </c>
      <c r="AD341" s="29">
        <f>(CHOOSE(Prj_CurReport,Параметры!AD$43,Параметры!AD$54,Параметры!AD$60))</f>
        <v>0.06</v>
      </c>
      <c r="AE341" s="29">
        <f>(CHOOSE(Prj_CurReport,Параметры!AE$43,Параметры!AE$54,Параметры!AE$60))</f>
        <v>0.06</v>
      </c>
      <c r="AF341" s="29">
        <f>(CHOOSE(Prj_CurReport,Параметры!AF$43,Параметры!AF$54,Параметры!AF$60))</f>
        <v>0.06</v>
      </c>
      <c r="AG341" s="29">
        <f>(CHOOSE(Prj_CurReport,Параметры!AG$43,Параметры!AG$54,Параметры!AG$60))</f>
        <v>0.06</v>
      </c>
      <c r="AH341" s="29">
        <f>(CHOOSE(Prj_CurReport,Параметры!AH$43,Параметры!AH$54,Параметры!AH$60))</f>
        <v>0.06</v>
      </c>
      <c r="AI341" s="29">
        <f>(CHOOSE(Prj_CurReport,Параметры!AI$43,Параметры!AI$54,Параметры!AI$60))</f>
        <v>0.06</v>
      </c>
      <c r="AJ341" s="29">
        <f>(CHOOSE(Prj_CurReport,Параметры!AJ$43,Параметры!AJ$54,Параметры!AJ$60))</f>
        <v>0.06</v>
      </c>
      <c r="AK341" s="29">
        <f>(CHOOSE(Prj_CurReport,Параметры!AK$43,Параметры!AK$54,Параметры!AK$60))</f>
        <v>0.06</v>
      </c>
      <c r="AL341" s="29">
        <f>(CHOOSE(Prj_CurReport,Параметры!AL$43,Параметры!AL$54,Параметры!AL$60))</f>
        <v>0.06</v>
      </c>
      <c r="AM341" s="29">
        <f>(CHOOSE(Prj_CurReport,Параметры!AM$43,Параметры!AM$54,Параметры!AM$60))</f>
        <v>0.06</v>
      </c>
      <c r="AN341" s="29">
        <f>(CHOOSE(Prj_CurReport,Параметры!AN$43,Параметры!AN$54,Параметры!AN$60))</f>
        <v>0.06</v>
      </c>
      <c r="AO341" s="29">
        <f>(CHOOSE(Prj_CurReport,Параметры!AO$43,Параметры!AO$54,Параметры!AO$60))</f>
        <v>0.06</v>
      </c>
      <c r="AP341" s="29">
        <f>(CHOOSE(Prj_CurReport,Параметры!AP$43,Параметры!AP$54,Параметры!AP$60))</f>
        <v>0.06</v>
      </c>
      <c r="AQ341" s="29">
        <f>(CHOOSE(Prj_CurReport,Параметры!AQ$43,Параметры!AQ$54,Параметры!AQ$60))</f>
        <v>0.06</v>
      </c>
      <c r="AR341" s="29">
        <f>(CHOOSE(Prj_CurReport,Параметры!AR$43,Параметры!AR$54,Параметры!AR$60))</f>
        <v>0.06</v>
      </c>
      <c r="AS341" s="29">
        <f>(CHOOSE(Prj_CurReport,Параметры!AS$43,Параметры!AS$54,Параметры!AS$60))</f>
        <v>0.06</v>
      </c>
      <c r="AT341" s="29">
        <f>(CHOOSE(Prj_CurReport,Параметры!AT$43,Параметры!AT$54,Параметры!AT$60))</f>
        <v>0.06</v>
      </c>
      <c r="AU341" s="29">
        <f>(CHOOSE(Prj_CurReport,Параметры!AU$43,Параметры!AU$54,Параметры!AU$60))</f>
        <v>0.06</v>
      </c>
      <c r="AV341" s="29">
        <f>(CHOOSE(Prj_CurReport,Параметры!AV$43,Параметры!AV$54,Параметры!AV$60))</f>
        <v>0.06</v>
      </c>
      <c r="AW341" s="29">
        <f>(CHOOSE(Prj_CurReport,Параметры!AW$43,Параметры!AW$54,Параметры!AW$60))</f>
        <v>0.06</v>
      </c>
      <c r="AX341" s="29">
        <f>(CHOOSE(Prj_CurReport,Параметры!AX$43,Параметры!AX$54,Параметры!AX$60))</f>
        <v>0.06</v>
      </c>
      <c r="AY341" s="29">
        <f>(CHOOSE(Prj_CurReport,Параметры!AY$43,Параметры!AY$54,Параметры!AY$60))</f>
        <v>0.06</v>
      </c>
      <c r="AZ341" s="29">
        <f>(CHOOSE(Prj_CurReport,Параметры!AZ$43,Параметры!AZ$54,Параметры!AZ$60))</f>
        <v>0.06</v>
      </c>
      <c r="BA341" s="29">
        <f>(CHOOSE(Prj_CurReport,Параметры!BA$43,Параметры!BA$54,Параметры!BA$60))</f>
        <v>0.06</v>
      </c>
      <c r="BB341" s="29">
        <f>(CHOOSE(Prj_CurReport,Параметры!BB$43,Параметры!BB$54,Параметры!BB$60))</f>
        <v>0.06</v>
      </c>
    </row>
    <row r="342" spans="1:56" hidden="1" outlineLevel="1" x14ac:dyDescent="0.3">
      <c r="A342" s="35" t="str">
        <f ca="1">Language!A$600</f>
        <v>коэффициент изменения цен к началу проекта</v>
      </c>
      <c r="B342" s="25"/>
      <c r="C342" s="48" t="str">
        <f ca="1">Language!$A$1477</f>
        <v>раз</v>
      </c>
      <c r="F342" s="6" t="s">
        <v>745</v>
      </c>
      <c r="G342" s="19">
        <f ca="1">IF(G$2=1,1,IF(Prj_Inflation=1,POWER(1+OFFSET(G341,0,-1),Параметры!G$30/360),1) * IF(G$2&gt;1, F342, 1))</f>
        <v>1</v>
      </c>
      <c r="H342" s="19">
        <f ca="1">IF(H$2=1,1,IF(Prj_Inflation=1,POWER(1+OFFSET(H341,0,-1),Параметры!H$30/360),1) * IF(H$2&gt;1, G342, 1))</f>
        <v>1.004867550565343</v>
      </c>
      <c r="I342" s="19">
        <f ca="1">IF(I$2=1,1,IF(Prj_Inflation=1,POWER(1+OFFSET(I341,0,-1),Параметры!I$30/360),1) * IF(I$2&gt;1, H342, 1))</f>
        <v>1.0097587941791923</v>
      </c>
      <c r="J342" s="19">
        <f ca="1">IF(J$2=1,1,IF(Prj_Inflation=1,POWER(1+OFFSET(J341,0,-1),Параметры!J$30/360),1) * IF(J$2&gt;1, I342, 1))</f>
        <v>1.0146738461686593</v>
      </c>
      <c r="K342" s="19">
        <f ca="1">IF(K$2=1,1,IF(Prj_Inflation=1,POWER(1+OFFSET(K341,0,-1),Параметры!K$30/360),1) * IF(K$2&gt;1, J342, 1))</f>
        <v>1.0196128224222163</v>
      </c>
      <c r="L342" s="19">
        <f ca="1">IF(L$2=1,1,IF(Prj_Inflation=1,POWER(1+OFFSET(L341,0,-1),Параметры!L$30/360),1) * IF(L$2&gt;1, K342, 1))</f>
        <v>1.0245758393924285</v>
      </c>
      <c r="M342" s="19">
        <f ca="1">IF(M$2=1,1,IF(Prj_Inflation=1,POWER(1+OFFSET(M341,0,-1),Параметры!M$30/360),1) * IF(M$2&gt;1, L342, 1))</f>
        <v>1.0295630140987</v>
      </c>
      <c r="N342" s="19">
        <f ca="1">IF(N$2=1,1,IF(Prj_Inflation=1,POWER(1+OFFSET(N341,0,-1),Параметры!N$30/360),1) * IF(N$2&gt;1, M342, 1))</f>
        <v>1.0345744641300325</v>
      </c>
      <c r="O342" s="19">
        <f ca="1">IF(O$2=1,1,IF(Prj_Inflation=1,POWER(1+OFFSET(O341,0,-1),Параметры!O$30/360),1) * IF(O$2&gt;1, N342, 1))</f>
        <v>1.039610307647798</v>
      </c>
      <c r="P342" s="19">
        <f ca="1">IF(P$2=1,1,IF(Prj_Inflation=1,POWER(1+OFFSET(P341,0,-1),Параметры!P$30/360),1) * IF(P$2&gt;1, O342, 1))</f>
        <v>1.0446706633885257</v>
      </c>
      <c r="Q342" s="19">
        <f ca="1">IF(Q$2=1,1,IF(Prj_Inflation=1,POWER(1+OFFSET(Q341,0,-1),Параметры!Q$30/360),1) * IF(Q$2&gt;1, P342, 1))</f>
        <v>1.0497556506666998</v>
      </c>
      <c r="R342" s="19">
        <f ca="1">IF(R$2=1,1,IF(Prj_Inflation=1,POWER(1+OFFSET(R341,0,-1),Параметры!R$30/360),1) * IF(R$2&gt;1, Q342, 1))</f>
        <v>1.0548653893775746</v>
      </c>
      <c r="S342" s="19">
        <f ca="1">IF(S$2=1,1,IF(Prj_Inflation=1,POWER(1+OFFSET(S341,0,-1),Параметры!S$30/360),1) * IF(S$2&gt;1, R342, 1))</f>
        <v>1.0600000000000003</v>
      </c>
      <c r="T342" s="19">
        <f ca="1">IF(T$2=1,1,IF(Prj_Inflation=1,POWER(1+OFFSET(T341,0,-1),Параметры!T$30/360),1) * IF(T$2&gt;1, S342, 1))</f>
        <v>1.0651596035992639</v>
      </c>
      <c r="U342" s="19">
        <f ca="1">IF(U$2=1,1,IF(Prj_Inflation=1,POWER(1+OFFSET(U341,0,-1),Параметры!U$30/360),1) * IF(U$2&gt;1, T342, 1))</f>
        <v>1.070344321829944</v>
      </c>
      <c r="V342" s="19">
        <f ca="1">IF(V$2=1,1,IF(Prj_Inflation=1,POWER(1+OFFSET(V341,0,-1),Параметры!V$30/360),1) * IF(V$2&gt;1, U342, 1))</f>
        <v>1.0755542769387791</v>
      </c>
      <c r="W342" s="19">
        <f ca="1">IF(W$2=1,1,IF(Prj_Inflation=1,POWER(1+OFFSET(W341,0,-1),Параметры!W$30/360),1) * IF(W$2&gt;1, V342, 1))</f>
        <v>1.0807895917675496</v>
      </c>
      <c r="X342" s="19">
        <f ca="1">IF(X$2=1,1,IF(Prj_Inflation=1,POWER(1+OFFSET(X341,0,-1),Параметры!X$30/360),1) * IF(X$2&gt;1, W342, 1))</f>
        <v>1.0860503897559746</v>
      </c>
      <c r="Y342" s="19">
        <f ca="1">IF(Y$2=1,1,IF(Prj_Inflation=1,POWER(1+OFFSET(Y341,0,-1),Параметры!Y$30/360),1) * IF(Y$2&gt;1, X342, 1))</f>
        <v>1.0913367949446222</v>
      </c>
      <c r="Z342" s="19">
        <f ca="1">IF(Z$2=1,1,IF(Prj_Inflation=1,POWER(1+OFFSET(Z341,0,-1),Параметры!Z$30/360),1) * IF(Z$2&gt;1, Y342, 1))</f>
        <v>1.0966489319778345</v>
      </c>
      <c r="AA342" s="19">
        <f ca="1">IF(AA$2=1,1,IF(Prj_Inflation=1,POWER(1+OFFSET(AA341,0,-1),Параметры!AA$30/360),1) * IF(AA$2&gt;1, Z342, 1))</f>
        <v>1.1019869261066662</v>
      </c>
      <c r="AB342" s="19">
        <f ca="1">IF(AB$2=1,1,IF(Prj_Inflation=1,POWER(1+OFFSET(AB341,0,-1),Параметры!AB$30/360),1) * IF(AB$2&gt;1, AA342, 1))</f>
        <v>1.1073509031918374</v>
      </c>
      <c r="AC342" s="19">
        <f ca="1">IF(AC$2=1,1,IF(Prj_Inflation=1,POWER(1+OFFSET(AC341,0,-1),Параметры!AC$30/360),1) * IF(AC$2&gt;1, AB342, 1))</f>
        <v>1.112740989706702</v>
      </c>
      <c r="AD342" s="19">
        <f ca="1">IF(AD$2=1,1,IF(Prj_Inflation=1,POWER(1+OFFSET(AD341,0,-1),Параметры!AD$30/360),1) * IF(AD$2&gt;1, AC342, 1))</f>
        <v>1.1181573127402293</v>
      </c>
      <c r="AE342" s="19">
        <f ca="1">IF(AE$2=1,1,IF(Prj_Inflation=1,POWER(1+OFFSET(AE341,0,-1),Параметры!AE$30/360),1) * IF(AE$2&gt;1, AD342, 1))</f>
        <v>1.1236000000000006</v>
      </c>
      <c r="AF342" s="19">
        <f ca="1">IF(AF$2=1,1,IF(Prj_Inflation=1,POWER(1+OFFSET(AF341,0,-1),Параметры!AF$30/360),1) * IF(AF$2&gt;1, AE342, 1))</f>
        <v>1.1290691798152201</v>
      </c>
      <c r="AG342" s="19">
        <f ca="1">IF(AG$2=1,1,IF(Prj_Inflation=1,POWER(1+OFFSET(AG341,0,-1),Параметры!AG$30/360),1) * IF(AG$2&gt;1, AF342, 1))</f>
        <v>1.1345649811397411</v>
      </c>
      <c r="AH342" s="19">
        <f ca="1">IF(AH$2=1,1,IF(Prj_Inflation=1,POWER(1+OFFSET(AH341,0,-1),Параметры!AH$30/360),1) * IF(AH$2&gt;1, AG342, 1))</f>
        <v>1.1400875335551064</v>
      </c>
      <c r="AI342" s="19">
        <f ca="1">IF(AI$2=1,1,IF(Prj_Inflation=1,POWER(1+OFFSET(AI341,0,-1),Параметры!AI$30/360),1) * IF(AI$2&gt;1, AH342, 1))</f>
        <v>1.1456369672736031</v>
      </c>
      <c r="AJ342" s="19">
        <f ca="1">IF(AJ$2=1,1,IF(Prj_Inflation=1,POWER(1+OFFSET(AJ341,0,-1),Параметры!AJ$30/360),1) * IF(AJ$2&gt;1, AI342, 1))</f>
        <v>1.1512134131413336</v>
      </c>
      <c r="AK342" s="19">
        <f ca="1">IF(AK$2=1,1,IF(Prj_Inflation=1,POWER(1+OFFSET(AK341,0,-1),Параметры!AK$30/360),1) * IF(AK$2&gt;1, AJ342, 1))</f>
        <v>1.1568170026413003</v>
      </c>
      <c r="AL342" s="19">
        <f ca="1">IF(AL$2=1,1,IF(Prj_Inflation=1,POWER(1+OFFSET(AL341,0,-1),Параметры!AL$30/360),1) * IF(AL$2&gt;1, AK342, 1))</f>
        <v>1.1624478678965053</v>
      </c>
      <c r="AM342" s="19">
        <f ca="1">IF(AM$2=1,1,IF(Prj_Inflation=1,POWER(1+OFFSET(AM341,0,-1),Параметры!AM$30/360),1) * IF(AM$2&gt;1, AL342, 1))</f>
        <v>1.1681061416730667</v>
      </c>
      <c r="AN342" s="19">
        <f ca="1">IF(AN$2=1,1,IF(Prj_Inflation=1,POWER(1+OFFSET(AN341,0,-1),Параметры!AN$30/360),1) * IF(AN$2&gt;1, AM342, 1))</f>
        <v>1.1737919573833482</v>
      </c>
      <c r="AO342" s="19">
        <f ca="1">IF(AO$2=1,1,IF(Prj_Inflation=1,POWER(1+OFFSET(AO341,0,-1),Параметры!AO$30/360),1) * IF(AO$2&gt;1, AN342, 1))</f>
        <v>1.1795054490891046</v>
      </c>
      <c r="AP342" s="19">
        <f ca="1">IF(AP$2=1,1,IF(Prj_Inflation=1,POWER(1+OFFSET(AP341,0,-1),Параметры!AP$30/360),1) * IF(AP$2&gt;1, AO342, 1))</f>
        <v>1.1852467515046434</v>
      </c>
      <c r="AQ342" s="19">
        <f ca="1">IF(AQ$2=1,1,IF(Prj_Inflation=1,POWER(1+OFFSET(AQ341,0,-1),Параметры!AQ$30/360),1) * IF(AQ$2&gt;1, AP342, 1))</f>
        <v>1.191016000000001</v>
      </c>
      <c r="AR342" s="19">
        <f ca="1">IF(AR$2=1,1,IF(Prj_Inflation=1,POWER(1+OFFSET(AR341,0,-1),Параметры!AR$30/360),1) * IF(AR$2&gt;1, AQ342, 1))</f>
        <v>1.1968133306041335</v>
      </c>
      <c r="AS342" s="19">
        <f ca="1">IF(AS$2=1,1,IF(Prj_Inflation=1,POWER(1+OFFSET(AS341,0,-1),Параметры!AS$30/360),1) * IF(AS$2&gt;1, AR342, 1))</f>
        <v>1.2026388800081258</v>
      </c>
      <c r="AT342" s="19">
        <f ca="1">IF(AT$2=1,1,IF(Prj_Inflation=1,POWER(1+OFFSET(AT341,0,-1),Параметры!AT$30/360),1) * IF(AT$2&gt;1, AS342, 1))</f>
        <v>1.2084927855684129</v>
      </c>
      <c r="AU342" s="19">
        <f ca="1">IF(AU$2=1,1,IF(Prj_Inflation=1,POWER(1+OFFSET(AU341,0,-1),Параметры!AU$30/360),1) * IF(AU$2&gt;1, AT342, 1))</f>
        <v>1.2143751853100193</v>
      </c>
      <c r="AV342" s="19">
        <f ca="1">IF(AV$2=1,1,IF(Prj_Inflation=1,POWER(1+OFFSET(AV341,0,-1),Параметры!AV$30/360),1) * IF(AV$2&gt;1, AU342, 1))</f>
        <v>1.2202862179298137</v>
      </c>
      <c r="AW342" s="19">
        <f ca="1">IF(AW$2=1,1,IF(Prj_Inflation=1,POWER(1+OFFSET(AW341,0,-1),Параметры!AW$30/360),1) * IF(AW$2&gt;1, AV342, 1))</f>
        <v>1.2262260227997783</v>
      </c>
      <c r="AX342" s="19">
        <f ca="1">IF(AX$2=1,1,IF(Prj_Inflation=1,POWER(1+OFFSET(AX341,0,-1),Параметры!AX$30/360),1) * IF(AX$2&gt;1, AW342, 1))</f>
        <v>1.2321947399702957</v>
      </c>
      <c r="AY342" s="19">
        <f ca="1">IF(AY$2=1,1,IF(Prj_Inflation=1,POWER(1+OFFSET(AY341,0,-1),Параметры!AY$30/360),1) * IF(AY$2&gt;1, AX342, 1))</f>
        <v>1.2381925101734508</v>
      </c>
      <c r="AZ342" s="19">
        <f ca="1">IF(AZ$2=1,1,IF(Prj_Inflation=1,POWER(1+OFFSET(AZ341,0,-1),Параметры!AZ$30/360),1) * IF(AZ$2&gt;1, AY342, 1))</f>
        <v>1.2442194748263491</v>
      </c>
      <c r="BA342" s="19">
        <f ca="1">IF(BA$2=1,1,IF(Prj_Inflation=1,POWER(1+OFFSET(BA341,0,-1),Параметры!BA$30/360),1) * IF(BA$2&gt;1, AZ342, 1))</f>
        <v>1.2502757760344509</v>
      </c>
      <c r="BB342" s="19">
        <f ca="1">IF(BB$2=1,1,IF(Prj_Inflation=1,POWER(1+OFFSET(BB341,0,-1),Параметры!BB$30/360),1) * IF(BB$2&gt;1, BA342, 1))</f>
        <v>1.2563615565949222</v>
      </c>
    </row>
    <row r="343" spans="1:56" hidden="1" outlineLevel="1" x14ac:dyDescent="0.3">
      <c r="A343" s="10" t="str">
        <f ca="1">Language!A$1351</f>
        <v>Денежный поток для расчета эффективности</v>
      </c>
      <c r="B343" s="97"/>
      <c r="C343" s="48" t="str">
        <f ca="1">Параметры!$C$64</f>
        <v>руб.</v>
      </c>
      <c r="F343" s="6" t="s">
        <v>740</v>
      </c>
      <c r="G343" s="55">
        <f ca="1">G334*G342</f>
        <v>211558334</v>
      </c>
      <c r="H343" s="55">
        <f t="shared" ref="H343:M343" ca="1" si="1464">H334*H342</f>
        <v>-1666405.6896433774</v>
      </c>
      <c r="I343" s="55">
        <f t="shared" ca="1" si="1464"/>
        <v>-137991953.20803225</v>
      </c>
      <c r="J343" s="55">
        <f t="shared" ca="1" si="1464"/>
        <v>-18661543.154118594</v>
      </c>
      <c r="K343" s="55">
        <f t="shared" ca="1" si="1464"/>
        <v>-17358908.301738232</v>
      </c>
      <c r="L343" s="55">
        <f t="shared" ca="1" si="1464"/>
        <v>-19367480.310750213</v>
      </c>
      <c r="M343" s="55">
        <f t="shared" ca="1" si="1464"/>
        <v>-9149642.3746217638</v>
      </c>
      <c r="N343" s="55">
        <f t="shared" ref="N343:O343" ca="1" si="1465">N334*N342</f>
        <v>-8516658.2771137133</v>
      </c>
      <c r="O343" s="55">
        <f t="shared" ca="1" si="1465"/>
        <v>-1733308.5433796237</v>
      </c>
      <c r="P343" s="55">
        <f t="shared" ref="P343:Q343" ca="1" si="1466">P334*P342</f>
        <v>454333.88239857682</v>
      </c>
      <c r="Q343" s="55">
        <f t="shared" ca="1" si="1466"/>
        <v>1163379.6913945107</v>
      </c>
      <c r="R343" s="55">
        <f t="shared" ref="R343:S343" ca="1" si="1467">R334*R342</f>
        <v>-443683.85379455751</v>
      </c>
      <c r="S343" s="55">
        <f t="shared" ca="1" si="1467"/>
        <v>3113829.4875558247</v>
      </c>
      <c r="T343" s="55">
        <f t="shared" ref="T343:U343" ca="1" si="1468">T334*T342</f>
        <v>3189424.2840476292</v>
      </c>
      <c r="U343" s="55">
        <f t="shared" ca="1" si="1468"/>
        <v>1404158.8506145426</v>
      </c>
      <c r="V343" s="55">
        <f t="shared" ref="V343:W343" ca="1" si="1469">V334*V342</f>
        <v>222615.68541561422</v>
      </c>
      <c r="W343" s="55">
        <f t="shared" ca="1" si="1469"/>
        <v>-2506559.31667864</v>
      </c>
      <c r="X343" s="55">
        <f t="shared" ref="X343:Y343" ca="1" si="1470">X334*X342</f>
        <v>1100641.375059224</v>
      </c>
      <c r="Y343" s="55">
        <f t="shared" ca="1" si="1470"/>
        <v>2950543.4653305984</v>
      </c>
      <c r="Z343" s="55">
        <f t="shared" ref="Z343:AA343" ca="1" si="1471">Z334*Z342</f>
        <v>5907604.1644613622</v>
      </c>
      <c r="AA343" s="55">
        <f t="shared" ca="1" si="1471"/>
        <v>2227666.8777077878</v>
      </c>
      <c r="AB343" s="55">
        <f t="shared" ref="AB343:AC343" ca="1" si="1472">AB334*AB342</f>
        <v>-2675201.8338850029</v>
      </c>
      <c r="AC343" s="55">
        <f t="shared" ca="1" si="1472"/>
        <v>-4436684.2458546152</v>
      </c>
      <c r="AD343" s="55">
        <f t="shared" ref="AD343:AE343" ca="1" si="1473">AD334*AD342</f>
        <v>-3660075.4480327344</v>
      </c>
      <c r="AE343" s="55">
        <f t="shared" ca="1" si="1473"/>
        <v>999054.05729362031</v>
      </c>
      <c r="AF343" s="55">
        <f t="shared" ref="AF343:AG343" ca="1" si="1474">AF334*AF342</f>
        <v>1276875.2878713706</v>
      </c>
      <c r="AG343" s="55">
        <f t="shared" ca="1" si="1474"/>
        <v>-612777.36027834774</v>
      </c>
      <c r="AH343" s="55">
        <f t="shared" ref="AH343:AI343" ca="1" si="1475">AH334*AH342</f>
        <v>-655171.69969093392</v>
      </c>
      <c r="AI343" s="55">
        <f t="shared" ca="1" si="1475"/>
        <v>-3712351.0805435856</v>
      </c>
      <c r="AJ343" s="55">
        <f t="shared" ref="AJ343:AK343" ca="1" si="1476">AJ334*AJ342</f>
        <v>326399.96800632298</v>
      </c>
      <c r="AK343" s="55">
        <f t="shared" ca="1" si="1476"/>
        <v>5983345.6998957489</v>
      </c>
      <c r="AL343" s="55">
        <f t="shared" ref="AL343:AM343" ca="1" si="1477">AL334*AL342</f>
        <v>9355538.7734266073</v>
      </c>
      <c r="AM343" s="55">
        <f t="shared" ca="1" si="1477"/>
        <v>5322499.4400572795</v>
      </c>
      <c r="AN343" s="55">
        <f t="shared" ref="AN343:AO343" ca="1" si="1478">AN334*AN342</f>
        <v>-109975.84259165461</v>
      </c>
      <c r="AO343" s="55">
        <f t="shared" ca="1" si="1478"/>
        <v>-2102186.3914090153</v>
      </c>
      <c r="AP343" s="55">
        <f t="shared" ref="AP343:AQ343" ca="1" si="1479">AP334*AP342</f>
        <v>-1304050.7197350897</v>
      </c>
      <c r="AQ343" s="55">
        <f t="shared" ca="1" si="1479"/>
        <v>3901047.2486211113</v>
      </c>
      <c r="AR343" s="55">
        <f t="shared" ref="AR343:AS343" ca="1" si="1480">AR334*AR342</f>
        <v>4227441.3058887981</v>
      </c>
      <c r="AS343" s="55">
        <f t="shared" ca="1" si="1480"/>
        <v>2151798.751926274</v>
      </c>
      <c r="AT343" s="55">
        <f t="shared" ref="AT343:AU343" ca="1" si="1481">AT334*AT342</f>
        <v>1953553.8126172337</v>
      </c>
      <c r="AU343" s="55">
        <f t="shared" ca="1" si="1481"/>
        <v>-1743341.2545909241</v>
      </c>
      <c r="AV343" s="55">
        <f t="shared" ref="AV343:AW343" ca="1" si="1482">AV334*AV342</f>
        <v>2501871.2871365654</v>
      </c>
      <c r="AW343" s="55">
        <f t="shared" ca="1" si="1482"/>
        <v>8551392.3122259844</v>
      </c>
      <c r="AX343" s="55">
        <f t="shared" ref="AX343:AY343" ca="1" si="1483">AX334*AX342</f>
        <v>17025462.813958149</v>
      </c>
      <c r="AY343" s="55">
        <f t="shared" ca="1" si="1483"/>
        <v>17471861.804769255</v>
      </c>
      <c r="AZ343" s="55">
        <f t="shared" ref="AZ343:BA343" ca="1" si="1484">AZ334*AZ342</f>
        <v>11292669.783827346</v>
      </c>
      <c r="BA343" s="55">
        <f t="shared" ca="1" si="1484"/>
        <v>8870674.9748710152</v>
      </c>
      <c r="BB343" s="55">
        <f t="shared" ref="BB343" ca="1" si="1485">BB334*BB342</f>
        <v>10488631.535452232</v>
      </c>
      <c r="BD343" s="57">
        <f ca="1">SUM(G343:BC343)</f>
        <v>106584691.71534771</v>
      </c>
    </row>
    <row r="344" spans="1:56" hidden="1" x14ac:dyDescent="0.3">
      <c r="A344" s="22"/>
      <c r="B344" s="97"/>
      <c r="G344" s="41"/>
    </row>
    <row r="345" spans="1:56" hidden="1" collapsed="1" x14ac:dyDescent="0.3">
      <c r="A345" s="10" t="str">
        <f ca="1">Language!A1392</f>
        <v>Модифицированная IRR, MIRR</v>
      </c>
      <c r="B345" s="102">
        <f ca="1">IFERROR(IF(POWER(1+IRR(G347:BC347,G320),360/Параметры!B$21)-1&gt;999%,"-",POWER(1+IRR(G347:BC347,G320),360/Параметры!B$21)-1),"-")</f>
        <v>0.2377251084216867</v>
      </c>
      <c r="C345" s="48" t="s">
        <v>1</v>
      </c>
      <c r="G345" s="41" t="str">
        <f ca="1">Language!A$1361</f>
        <v>(с учетом инфляции, номинальная)</v>
      </c>
    </row>
    <row r="346" spans="1:56" hidden="1" outlineLevel="1" x14ac:dyDescent="0.3">
      <c r="A346" s="10" t="str">
        <f ca="1">Language!A1351</f>
        <v>Денежный поток для расчета эффективности</v>
      </c>
      <c r="B346" s="102"/>
      <c r="C346" s="48" t="str">
        <f ca="1">Параметры!$C$64</f>
        <v>руб.</v>
      </c>
      <c r="F346" s="6" t="s">
        <v>740</v>
      </c>
      <c r="G346" s="55">
        <f ca="1">IF(G334&lt;0,G334*Параметры!G$131,G334*Параметры!G$141)</f>
        <v>446347224.68201602</v>
      </c>
      <c r="H346" s="55">
        <f ca="1">IF(H334&lt;0,H334*Параметры!H$131,H334*Параметры!H$141)</f>
        <v>-1683721.8770152112</v>
      </c>
      <c r="I346" s="55">
        <f ca="1">IF(I334&lt;0,I334*Параметры!I$131,I334*Параметры!I$141)</f>
        <v>-140874696.05623782</v>
      </c>
      <c r="J346" s="55">
        <f ca="1">IF(J334&lt;0,J334*Параметры!J$131,J334*Параметры!J$141)</f>
        <v>-19249364.605319805</v>
      </c>
      <c r="K346" s="55">
        <f ca="1">IF(K334&lt;0,K334*Параметры!K$131,K334*Параметры!K$141)</f>
        <v>-18091762.140333951</v>
      </c>
      <c r="L346" s="55">
        <f ca="1">IF(L334&lt;0,L334*Параметры!L$131,L334*Параметры!L$141)</f>
        <v>-20394882.071423616</v>
      </c>
      <c r="M346" s="55">
        <f ca="1">IF(M334&lt;0,M334*Параметры!M$131,M334*Параметры!M$141)</f>
        <v>-9735131.2218079455</v>
      </c>
      <c r="N346" s="55">
        <f ca="1">IF(N334&lt;0,N334*Параметры!N$131,N334*Параметры!N$141)</f>
        <v>-9155804.8499381859</v>
      </c>
      <c r="O346" s="55">
        <f ca="1">IF(O334&lt;0,O334*Параметры!O$131,O334*Параметры!O$141)</f>
        <v>-1882750.6150969532</v>
      </c>
      <c r="P346" s="55">
        <f ca="1">IF(P334&lt;0,P334*Параметры!P$131,P334*Параметры!P$141)</f>
        <v>795333.72719298769</v>
      </c>
      <c r="Q346" s="55">
        <f ca="1">IF(Q334&lt;0,Q334*Параметры!Q$131,Q334*Параметры!Q$141)</f>
        <v>1994748.5084042137</v>
      </c>
      <c r="R346" s="55">
        <f ca="1">IF(R334&lt;0,R334*Параметры!R$131,R334*Параметры!R$141)</f>
        <v>-497117.88729923422</v>
      </c>
      <c r="S346" s="55">
        <f ca="1">IF(S334&lt;0,S334*Параметры!S$131,S334*Параметры!S$141)</f>
        <v>5122079.2284465516</v>
      </c>
      <c r="T346" s="55">
        <f ca="1">IF(T334&lt;0,T334*Параметры!T$131,T334*Параметры!T$141)</f>
        <v>5138734.2470963243</v>
      </c>
      <c r="U346" s="55">
        <f ca="1">IF(U334&lt;0,U334*Параметры!U$131,U334*Параметры!U$141)</f>
        <v>2215911.955403103</v>
      </c>
      <c r="V346" s="55">
        <f ca="1">IF(V334&lt;0,V334*Параметры!V$131,V334*Параметры!V$141)</f>
        <v>344099.79764772055</v>
      </c>
      <c r="W346" s="55">
        <f ca="1">IF(W334&lt;0,W334*Параметры!W$131,W334*Параметры!W$141)</f>
        <v>-2957411.9780449653</v>
      </c>
      <c r="X346" s="55">
        <f ca="1">IF(X334&lt;0,X334*Параметры!X$131,X334*Параметры!X$141)</f>
        <v>1632147.051063549</v>
      </c>
      <c r="Y346" s="55">
        <f ca="1">IF(Y334&lt;0,Y334*Параметры!Y$131,Y334*Параметры!Y$141)</f>
        <v>4285562.8020266034</v>
      </c>
      <c r="Z346" s="55">
        <f ca="1">IF(Z334&lt;0,Z334*Параметры!Z$131,Z334*Параметры!Z$141)</f>
        <v>8404456.4679001272</v>
      </c>
      <c r="AA346" s="55">
        <f ca="1">IF(AA334&lt;0,AA334*Параметры!AA$131,AA334*Параметры!AA$141)</f>
        <v>3104137.0586634376</v>
      </c>
      <c r="AB346" s="55">
        <f ca="1">IF(AB334&lt;0,AB334*Параметры!AB$131,AB334*Параметры!AB$141)</f>
        <v>-3323827.4476629198</v>
      </c>
      <c r="AC346" s="55">
        <f ca="1">IF(AC334&lt;0,AC334*Параметры!AC$131,AC334*Параметры!AC$141)</f>
        <v>-5569677.5505486988</v>
      </c>
      <c r="AD346" s="55">
        <f ca="1">IF(AD334&lt;0,AD334*Параметры!AD$131,AD334*Параметры!AD$141)</f>
        <v>-4642492.2182022184</v>
      </c>
      <c r="AE346" s="55">
        <f ca="1">IF(AE334&lt;0,AE334*Параметры!AE$131,AE334*Параметры!AE$141)</f>
        <v>1281295.2528897233</v>
      </c>
      <c r="AF346" s="55">
        <f ca="1">IF(AF334&lt;0,AF334*Параметры!AF$131,AF334*Параметры!AF$141)</f>
        <v>1603987.9753161897</v>
      </c>
      <c r="AG346" s="55">
        <f ca="1">IF(AG334&lt;0,AG334*Параметры!AG$131,AG334*Параметры!AG$141)</f>
        <v>-801738.43342869042</v>
      </c>
      <c r="AH346" s="55">
        <f ca="1">IF(AH334&lt;0,AH334*Параметры!AH$131,AH334*Параметры!AH$141)</f>
        <v>-866113.35743198812</v>
      </c>
      <c r="AI346" s="55">
        <f ca="1">IF(AI334&lt;0,AI334*Параметры!AI$131,AI334*Параметры!AI$141)</f>
        <v>-4958590.7162168454</v>
      </c>
      <c r="AJ346" s="55">
        <f ca="1">IF(AJ334&lt;0,AJ334*Параметры!AJ$131,AJ334*Параметры!AJ$141)</f>
        <v>377374.30128698505</v>
      </c>
      <c r="AK346" s="55">
        <f ca="1">IF(AK334&lt;0,AK334*Параметры!AK$131,AK334*Параметры!AK$141)</f>
        <v>6775770.8048962457</v>
      </c>
      <c r="AL346" s="55">
        <f ca="1">IF(AL334&lt;0,AL334*Параметры!AL$131,AL334*Параметры!AL$141)</f>
        <v>10377095.451173691</v>
      </c>
      <c r="AM346" s="55">
        <f ca="1">IF(AM334&lt;0,AM334*Параметры!AM$131,AM334*Параметры!AM$141)</f>
        <v>5782491.8580874316</v>
      </c>
      <c r="AN346" s="55">
        <f ca="1">IF(AN334&lt;0,AN334*Параметры!AN$131,AN334*Параметры!AN$141)</f>
        <v>-154687.27724247004</v>
      </c>
      <c r="AO346" s="55">
        <f ca="1">IF(AO334&lt;0,AO334*Параметры!AO$131,AO334*Параметры!AO$141)</f>
        <v>-2987570.2942934996</v>
      </c>
      <c r="AP346" s="55">
        <f ca="1">IF(AP334&lt;0,AP334*Параметры!AP$131,AP334*Параметры!AP$141)</f>
        <v>-1872539.5984170355</v>
      </c>
      <c r="AQ346" s="55">
        <f ca="1">IF(AQ334&lt;0,AQ334*Параметры!AQ$131,AQ334*Параметры!AQ$141)</f>
        <v>3900768.7443454694</v>
      </c>
      <c r="AR346" s="55">
        <f ca="1">IF(AR334&lt;0,AR334*Параметры!AR$131,AR334*Параметры!AR$141)</f>
        <v>4140368.3229270163</v>
      </c>
      <c r="AS346" s="55">
        <f ca="1">IF(AS334&lt;0,AS334*Параметры!AS$131,AS334*Параметры!AS$141)</f>
        <v>2064217.4212222118</v>
      </c>
      <c r="AT346" s="55">
        <f ca="1">IF(AT334&lt;0,AT334*Параметры!AT$131,AT334*Параметры!AT$141)</f>
        <v>1835572.5886433453</v>
      </c>
      <c r="AU346" s="55">
        <f ca="1">IF(AU334&lt;0,AU334*Параметры!AU$131,AU334*Параметры!AU$141)</f>
        <v>-2636131.1321372227</v>
      </c>
      <c r="AV346" s="55">
        <f ca="1">IF(AV334&lt;0,AV334*Параметры!AV$131,AV334*Параметры!AV$141)</f>
        <v>2255256.4926276254</v>
      </c>
      <c r="AW346" s="55">
        <f ca="1">IF(AW334&lt;0,AW334*Параметры!AW$131,AW334*Параметры!AW$141)</f>
        <v>7550230.4398480002</v>
      </c>
      <c r="AX346" s="55">
        <f ca="1">IF(AX334&lt;0,AX334*Параметры!AX$131,AX334*Параметры!AX$141)</f>
        <v>14723623.359224789</v>
      </c>
      <c r="AY346" s="55">
        <f ca="1">IF(AY334&lt;0,AY334*Параметры!AY$131,AY334*Параметры!AY$141)</f>
        <v>14799510.661133885</v>
      </c>
      <c r="AZ346" s="55">
        <f ca="1">IF(AZ334&lt;0,AZ334*Параметры!AZ$131,AZ334*Параметры!AZ$141)</f>
        <v>9369085.3616375625</v>
      </c>
      <c r="BA346" s="55">
        <f ca="1">IF(BA334&lt;0,BA334*Параметры!BA$131,BA334*Параметры!BA$141)</f>
        <v>7208578.4771543099</v>
      </c>
      <c r="BB346" s="55">
        <f ca="1">IF(BB334&lt;0,BB334*Параметры!BB$131,BB334*Параметры!BB$141)</f>
        <v>8348418.0810810896</v>
      </c>
      <c r="BC346" s="55"/>
      <c r="BD346" s="57">
        <f ca="1">SUM(G346:BC346)</f>
        <v>329442069.7912569</v>
      </c>
    </row>
    <row r="347" spans="1:56" hidden="1" outlineLevel="1" x14ac:dyDescent="0.3">
      <c r="A347" s="10" t="str">
        <f ca="1">Language!A476</f>
        <v>Модифицированный денежный поток</v>
      </c>
      <c r="B347" s="102"/>
      <c r="C347" s="48" t="str">
        <f ca="1">Параметры!$C$64</f>
        <v>руб.</v>
      </c>
      <c r="F347" s="6" t="s">
        <v>740</v>
      </c>
      <c r="G347" s="55">
        <f ca="1">IF(G$2=1,SUMIF($G346:OFFSET($G346,0,Prj_Len-G$2),"&lt;0",$G346:OFFSET($G346,0,Prj_Len-G$2)),IF(G$2=Prj_Len,SUMIF($G346:OFFSET(G346,0,Prj_Len-G$2),"&gt;=0",$G346:OFFSET($G346,0,Prj_Len-G$2)),0))</f>
        <v>-252336011.32809925</v>
      </c>
      <c r="H347" s="55">
        <f ca="1">IF(H$2=1,SUMIF($G346:OFFSET($G346,0,Prj_Len-H$2),"&lt;0",$G346:OFFSET($G346,0,Prj_Len-H$2)),IF(H$2=Prj_Len,SUMIF($G346:OFFSET(H346,0,Prj_Len-H$2),"&gt;=0",$G346:OFFSET($G346,0,Prj_Len-H$2)),0))</f>
        <v>0</v>
      </c>
      <c r="I347" s="55">
        <f ca="1">IF(I$2=1,SUMIF($G346:OFFSET($G346,0,Prj_Len-I$2),"&lt;0",$G346:OFFSET($G346,0,Prj_Len-I$2)),IF(I$2=Prj_Len,SUMIF($G346:OFFSET(I346,0,Prj_Len-I$2),"&gt;=0",$G346:OFFSET($G346,0,Prj_Len-I$2)),0))</f>
        <v>0</v>
      </c>
      <c r="J347" s="55">
        <f ca="1">IF(J$2=1,SUMIF($G346:OFFSET($G346,0,Prj_Len-J$2),"&lt;0",$G346:OFFSET($G346,0,Prj_Len-J$2)),IF(J$2=Prj_Len,SUMIF($G346:OFFSET(J346,0,Prj_Len-J$2),"&gt;=0",$G346:OFFSET($G346,0,Prj_Len-J$2)),0))</f>
        <v>0</v>
      </c>
      <c r="K347" s="55">
        <f ca="1">IF(K$2=1,SUMIF($G346:OFFSET($G346,0,Prj_Len-K$2),"&lt;0",$G346:OFFSET($G346,0,Prj_Len-K$2)),IF(K$2=Prj_Len,SUMIF($G346:OFFSET(K346,0,Prj_Len-K$2),"&gt;=0",$G346:OFFSET($G346,0,Prj_Len-K$2)),0))</f>
        <v>0</v>
      </c>
      <c r="L347" s="55">
        <f ca="1">IF(L$2=1,SUMIF($G346:OFFSET($G346,0,Prj_Len-L$2),"&lt;0",$G346:OFFSET($G346,0,Prj_Len-L$2)),IF(L$2=Prj_Len,SUMIF($G346:OFFSET(L346,0,Prj_Len-L$2),"&gt;=0",$G346:OFFSET($G346,0,Prj_Len-L$2)),0))</f>
        <v>0</v>
      </c>
      <c r="M347" s="55">
        <f ca="1">IF(M$2=1,SUMIF($G346:OFFSET($G346,0,Prj_Len-M$2),"&lt;0",$G346:OFFSET($G346,0,Prj_Len-M$2)),IF(M$2=Prj_Len,SUMIF($G346:OFFSET(M346,0,Prj_Len-M$2),"&gt;=0",$G346:OFFSET($G346,0,Prj_Len-M$2)),0))</f>
        <v>0</v>
      </c>
      <c r="N347" s="55">
        <f ca="1">IF(N$2=1,SUMIF($G346:OFFSET($G346,0,Prj_Len-N$2),"&lt;0",$G346:OFFSET($G346,0,Prj_Len-N$2)),IF(N$2=Prj_Len,SUMIF($G346:OFFSET(N346,0,Prj_Len-N$2),"&gt;=0",$G346:OFFSET($G346,0,Prj_Len-N$2)),0))</f>
        <v>0</v>
      </c>
      <c r="O347" s="55">
        <f ca="1">IF(O$2=1,SUMIF($G346:OFFSET($G346,0,Prj_Len-O$2),"&lt;0",$G346:OFFSET($G346,0,Prj_Len-O$2)),IF(O$2=Prj_Len,SUMIF($G346:OFFSET(O346,0,Prj_Len-O$2),"&gt;=0",$G346:OFFSET($G346,0,Prj_Len-O$2)),0))</f>
        <v>0</v>
      </c>
      <c r="P347" s="55">
        <f ca="1">IF(P$2=1,SUMIF($G346:OFFSET($G346,0,Prj_Len-P$2),"&lt;0",$G346:OFFSET($G346,0,Prj_Len-P$2)),IF(P$2=Prj_Len,SUMIF($G346:OFFSET(P346,0,Prj_Len-P$2),"&gt;=0",$G346:OFFSET($G346,0,Prj_Len-P$2)),0))</f>
        <v>0</v>
      </c>
      <c r="Q347" s="55">
        <f ca="1">IF(Q$2=1,SUMIF($G346:OFFSET($G346,0,Prj_Len-Q$2),"&lt;0",$G346:OFFSET($G346,0,Prj_Len-Q$2)),IF(Q$2=Prj_Len,SUMIF($G346:OFFSET(Q346,0,Prj_Len-Q$2),"&gt;=0",$G346:OFFSET($G346,0,Prj_Len-Q$2)),0))</f>
        <v>0</v>
      </c>
      <c r="R347" s="55">
        <f ca="1">IF(R$2=1,SUMIF($G346:OFFSET($G346,0,Prj_Len-R$2),"&lt;0",$G346:OFFSET($G346,0,Prj_Len-R$2)),IF(R$2=Prj_Len,SUMIF($G346:OFFSET(R346,0,Prj_Len-R$2),"&gt;=0",$G346:OFFSET($G346,0,Prj_Len-R$2)),0))</f>
        <v>0</v>
      </c>
      <c r="S347" s="55">
        <f ca="1">IF(S$2=1,SUMIF($G346:OFFSET($G346,0,Prj_Len-S$2),"&lt;0",$G346:OFFSET($G346,0,Prj_Len-S$2)),IF(S$2=Prj_Len,SUMIF($G346:OFFSET(S346,0,Prj_Len-S$2),"&gt;=0",$G346:OFFSET($G346,0,Prj_Len-S$2)),0))</f>
        <v>0</v>
      </c>
      <c r="T347" s="55">
        <f ca="1">IF(T$2=1,SUMIF($G346:OFFSET($G346,0,Prj_Len-T$2),"&lt;0",$G346:OFFSET($G346,0,Prj_Len-T$2)),IF(T$2=Prj_Len,SUMIF($G346:OFFSET(T346,0,Prj_Len-T$2),"&gt;=0",$G346:OFFSET($G346,0,Prj_Len-T$2)),0))</f>
        <v>0</v>
      </c>
      <c r="U347" s="55">
        <f ca="1">IF(U$2=1,SUMIF($G346:OFFSET($G346,0,Prj_Len-U$2),"&lt;0",$G346:OFFSET($G346,0,Prj_Len-U$2)),IF(U$2=Prj_Len,SUMIF($G346:OFFSET(U346,0,Prj_Len-U$2),"&gt;=0",$G346:OFFSET($G346,0,Prj_Len-U$2)),0))</f>
        <v>0</v>
      </c>
      <c r="V347" s="55">
        <f ca="1">IF(V$2=1,SUMIF($G346:OFFSET($G346,0,Prj_Len-V$2),"&lt;0",$G346:OFFSET($G346,0,Prj_Len-V$2)),IF(V$2=Prj_Len,SUMIF($G346:OFFSET(V346,0,Prj_Len-V$2),"&gt;=0",$G346:OFFSET($G346,0,Prj_Len-V$2)),0))</f>
        <v>0</v>
      </c>
      <c r="W347" s="55">
        <f ca="1">IF(W$2=1,SUMIF($G346:OFFSET($G346,0,Prj_Len-W$2),"&lt;0",$G346:OFFSET($G346,0,Prj_Len-W$2)),IF(W$2=Prj_Len,SUMIF($G346:OFFSET(W346,0,Prj_Len-W$2),"&gt;=0",$G346:OFFSET($G346,0,Prj_Len-W$2)),0))</f>
        <v>0</v>
      </c>
      <c r="X347" s="55">
        <f ca="1">IF(X$2=1,SUMIF($G346:OFFSET($G346,0,Prj_Len-X$2),"&lt;0",$G346:OFFSET($G346,0,Prj_Len-X$2)),IF(X$2=Prj_Len,SUMIF($G346:OFFSET(X346,0,Prj_Len-X$2),"&gt;=0",$G346:OFFSET($G346,0,Prj_Len-X$2)),0))</f>
        <v>0</v>
      </c>
      <c r="Y347" s="55">
        <f ca="1">IF(Y$2=1,SUMIF($G346:OFFSET($G346,0,Prj_Len-Y$2),"&lt;0",$G346:OFFSET($G346,0,Prj_Len-Y$2)),IF(Y$2=Prj_Len,SUMIF($G346:OFFSET(Y346,0,Prj_Len-Y$2),"&gt;=0",$G346:OFFSET($G346,0,Prj_Len-Y$2)),0))</f>
        <v>0</v>
      </c>
      <c r="Z347" s="55">
        <f ca="1">IF(Z$2=1,SUMIF($G346:OFFSET($G346,0,Prj_Len-Z$2),"&lt;0",$G346:OFFSET($G346,0,Prj_Len-Z$2)),IF(Z$2=Prj_Len,SUMIF($G346:OFFSET(Z346,0,Prj_Len-Z$2),"&gt;=0",$G346:OFFSET($G346,0,Prj_Len-Z$2)),0))</f>
        <v>0</v>
      </c>
      <c r="AA347" s="55">
        <f ca="1">IF(AA$2=1,SUMIF($G346:OFFSET($G346,0,Prj_Len-AA$2),"&lt;0",$G346:OFFSET($G346,0,Prj_Len-AA$2)),IF(AA$2=Prj_Len,SUMIF($G346:OFFSET(AA346,0,Prj_Len-AA$2),"&gt;=0",$G346:OFFSET($G346,0,Prj_Len-AA$2)),0))</f>
        <v>0</v>
      </c>
      <c r="AB347" s="55">
        <f ca="1">IF(AB$2=1,SUMIF($G346:OFFSET($G346,0,Prj_Len-AB$2),"&lt;0",$G346:OFFSET($G346,0,Prj_Len-AB$2)),IF(AB$2=Prj_Len,SUMIF($G346:OFFSET(AB346,0,Prj_Len-AB$2),"&gt;=0",$G346:OFFSET($G346,0,Prj_Len-AB$2)),0))</f>
        <v>0</v>
      </c>
      <c r="AC347" s="55">
        <f ca="1">IF(AC$2=1,SUMIF($G346:OFFSET($G346,0,Prj_Len-AC$2),"&lt;0",$G346:OFFSET($G346,0,Prj_Len-AC$2)),IF(AC$2=Prj_Len,SUMIF($G346:OFFSET(AC346,0,Prj_Len-AC$2),"&gt;=0",$G346:OFFSET($G346,0,Prj_Len-AC$2)),0))</f>
        <v>0</v>
      </c>
      <c r="AD347" s="55">
        <f ca="1">IF(AD$2=1,SUMIF($G346:OFFSET($G346,0,Prj_Len-AD$2),"&lt;0",$G346:OFFSET($G346,0,Prj_Len-AD$2)),IF(AD$2=Prj_Len,SUMIF($G346:OFFSET(AD346,0,Prj_Len-AD$2),"&gt;=0",$G346:OFFSET($G346,0,Prj_Len-AD$2)),0))</f>
        <v>0</v>
      </c>
      <c r="AE347" s="55">
        <f ca="1">IF(AE$2=1,SUMIF($G346:OFFSET($G346,0,Prj_Len-AE$2),"&lt;0",$G346:OFFSET($G346,0,Prj_Len-AE$2)),IF(AE$2=Prj_Len,SUMIF($G346:OFFSET(AE346,0,Prj_Len-AE$2),"&gt;=0",$G346:OFFSET($G346,0,Prj_Len-AE$2)),0))</f>
        <v>0</v>
      </c>
      <c r="AF347" s="55">
        <f ca="1">IF(AF$2=1,SUMIF($G346:OFFSET($G346,0,Prj_Len-AF$2),"&lt;0",$G346:OFFSET($G346,0,Prj_Len-AF$2)),IF(AF$2=Prj_Len,SUMIF($G346:OFFSET(AF346,0,Prj_Len-AF$2),"&gt;=0",$G346:OFFSET($G346,0,Prj_Len-AF$2)),0))</f>
        <v>0</v>
      </c>
      <c r="AG347" s="55">
        <f ca="1">IF(AG$2=1,SUMIF($G346:OFFSET($G346,0,Prj_Len-AG$2),"&lt;0",$G346:OFFSET($G346,0,Prj_Len-AG$2)),IF(AG$2=Prj_Len,SUMIF($G346:OFFSET(AG346,0,Prj_Len-AG$2),"&gt;=0",$G346:OFFSET($G346,0,Prj_Len-AG$2)),0))</f>
        <v>0</v>
      </c>
      <c r="AH347" s="55">
        <f ca="1">IF(AH$2=1,SUMIF($G346:OFFSET($G346,0,Prj_Len-AH$2),"&lt;0",$G346:OFFSET($G346,0,Prj_Len-AH$2)),IF(AH$2=Prj_Len,SUMIF($G346:OFFSET(AH346,0,Prj_Len-AH$2),"&gt;=0",$G346:OFFSET($G346,0,Prj_Len-AH$2)),0))</f>
        <v>0</v>
      </c>
      <c r="AI347" s="55">
        <f ca="1">IF(AI$2=1,SUMIF($G346:OFFSET($G346,0,Prj_Len-AI$2),"&lt;0",$G346:OFFSET($G346,0,Prj_Len-AI$2)),IF(AI$2=Prj_Len,SUMIF($G346:OFFSET(AI346,0,Prj_Len-AI$2),"&gt;=0",$G346:OFFSET($G346,0,Prj_Len-AI$2)),0))</f>
        <v>0</v>
      </c>
      <c r="AJ347" s="55">
        <f ca="1">IF(AJ$2=1,SUMIF($G346:OFFSET($G346,0,Prj_Len-AJ$2),"&lt;0",$G346:OFFSET($G346,0,Prj_Len-AJ$2)),IF(AJ$2=Prj_Len,SUMIF($G346:OFFSET(AJ346,0,Prj_Len-AJ$2),"&gt;=0",$G346:OFFSET($G346,0,Prj_Len-AJ$2)),0))</f>
        <v>0</v>
      </c>
      <c r="AK347" s="55">
        <f ca="1">IF(AK$2=1,SUMIF($G346:OFFSET($G346,0,Prj_Len-AK$2),"&lt;0",$G346:OFFSET($G346,0,Prj_Len-AK$2)),IF(AK$2=Prj_Len,SUMIF($G346:OFFSET(AK346,0,Prj_Len-AK$2),"&gt;=0",$G346:OFFSET($G346,0,Prj_Len-AK$2)),0))</f>
        <v>0</v>
      </c>
      <c r="AL347" s="55">
        <f ca="1">IF(AL$2=1,SUMIF($G346:OFFSET($G346,0,Prj_Len-AL$2),"&lt;0",$G346:OFFSET($G346,0,Prj_Len-AL$2)),IF(AL$2=Prj_Len,SUMIF($G346:OFFSET(AL346,0,Prj_Len-AL$2),"&gt;=0",$G346:OFFSET($G346,0,Prj_Len-AL$2)),0))</f>
        <v>0</v>
      </c>
      <c r="AM347" s="55">
        <f ca="1">IF(AM$2=1,SUMIF($G346:OFFSET($G346,0,Prj_Len-AM$2),"&lt;0",$G346:OFFSET($G346,0,Prj_Len-AM$2)),IF(AM$2=Prj_Len,SUMIF($G346:OFFSET(AM346,0,Prj_Len-AM$2),"&gt;=0",$G346:OFFSET($G346,0,Prj_Len-AM$2)),0))</f>
        <v>0</v>
      </c>
      <c r="AN347" s="55">
        <f ca="1">IF(AN$2=1,SUMIF($G346:OFFSET($G346,0,Prj_Len-AN$2),"&lt;0",$G346:OFFSET($G346,0,Prj_Len-AN$2)),IF(AN$2=Prj_Len,SUMIF($G346:OFFSET(AN346,0,Prj_Len-AN$2),"&gt;=0",$G346:OFFSET($G346,0,Prj_Len-AN$2)),0))</f>
        <v>0</v>
      </c>
      <c r="AO347" s="55">
        <f ca="1">IF(AO$2=1,SUMIF($G346:OFFSET($G346,0,Prj_Len-AO$2),"&lt;0",$G346:OFFSET($G346,0,Prj_Len-AO$2)),IF(AO$2=Prj_Len,SUMIF($G346:OFFSET(AO346,0,Prj_Len-AO$2),"&gt;=0",$G346:OFFSET($G346,0,Prj_Len-AO$2)),0))</f>
        <v>0</v>
      </c>
      <c r="AP347" s="55">
        <f ca="1">IF(AP$2=1,SUMIF($G346:OFFSET($G346,0,Prj_Len-AP$2),"&lt;0",$G346:OFFSET($G346,0,Prj_Len-AP$2)),IF(AP$2=Prj_Len,SUMIF($G346:OFFSET(AP346,0,Prj_Len-AP$2),"&gt;=0",$G346:OFFSET($G346,0,Prj_Len-AP$2)),0))</f>
        <v>0</v>
      </c>
      <c r="AQ347" s="55">
        <f ca="1">IF(AQ$2=1,SUMIF($G346:OFFSET($G346,0,Prj_Len-AQ$2),"&lt;0",$G346:OFFSET($G346,0,Prj_Len-AQ$2)),IF(AQ$2=Prj_Len,SUMIF($G346:OFFSET(AQ346,0,Prj_Len-AQ$2),"&gt;=0",$G346:OFFSET($G346,0,Prj_Len-AQ$2)),0))</f>
        <v>0</v>
      </c>
      <c r="AR347" s="55">
        <f ca="1">IF(AR$2=1,SUMIF($G346:OFFSET($G346,0,Prj_Len-AR$2),"&lt;0",$G346:OFFSET($G346,0,Prj_Len-AR$2)),IF(AR$2=Prj_Len,SUMIF($G346:OFFSET(AR346,0,Prj_Len-AR$2),"&gt;=0",$G346:OFFSET($G346,0,Prj_Len-AR$2)),0))</f>
        <v>0</v>
      </c>
      <c r="AS347" s="55">
        <f ca="1">IF(AS$2=1,SUMIF($G346:OFFSET($G346,0,Prj_Len-AS$2),"&lt;0",$G346:OFFSET($G346,0,Prj_Len-AS$2)),IF(AS$2=Prj_Len,SUMIF($G346:OFFSET(AS346,0,Prj_Len-AS$2),"&gt;=0",$G346:OFFSET($G346,0,Prj_Len-AS$2)),0))</f>
        <v>0</v>
      </c>
      <c r="AT347" s="55">
        <f ca="1">IF(AT$2=1,SUMIF($G346:OFFSET($G346,0,Prj_Len-AT$2),"&lt;0",$G346:OFFSET($G346,0,Prj_Len-AT$2)),IF(AT$2=Prj_Len,SUMIF($G346:OFFSET(AT346,0,Prj_Len-AT$2),"&gt;=0",$G346:OFFSET($G346,0,Prj_Len-AT$2)),0))</f>
        <v>0</v>
      </c>
      <c r="AU347" s="55">
        <f ca="1">IF(AU$2=1,SUMIF($G346:OFFSET($G346,0,Prj_Len-AU$2),"&lt;0",$G346:OFFSET($G346,0,Prj_Len-AU$2)),IF(AU$2=Prj_Len,SUMIF($G346:OFFSET(AU346,0,Prj_Len-AU$2),"&gt;=0",$G346:OFFSET($G346,0,Prj_Len-AU$2)),0))</f>
        <v>0</v>
      </c>
      <c r="AV347" s="55">
        <f ca="1">IF(AV$2=1,SUMIF($G346:OFFSET($G346,0,Prj_Len-AV$2),"&lt;0",$G346:OFFSET($G346,0,Prj_Len-AV$2)),IF(AV$2=Prj_Len,SUMIF($G346:OFFSET(AV346,0,Prj_Len-AV$2),"&gt;=0",$G346:OFFSET($G346,0,Prj_Len-AV$2)),0))</f>
        <v>0</v>
      </c>
      <c r="AW347" s="55">
        <f ca="1">IF(AW$2=1,SUMIF($G346:OFFSET($G346,0,Prj_Len-AW$2),"&lt;0",$G346:OFFSET($G346,0,Prj_Len-AW$2)),IF(AW$2=Prj_Len,SUMIF($G346:OFFSET(AW346,0,Prj_Len-AW$2),"&gt;=0",$G346:OFFSET($G346,0,Prj_Len-AW$2)),0))</f>
        <v>0</v>
      </c>
      <c r="AX347" s="55">
        <f ca="1">IF(AX$2=1,SUMIF($G346:OFFSET($G346,0,Prj_Len-AX$2),"&lt;0",$G346:OFFSET($G346,0,Prj_Len-AX$2)),IF(AX$2=Prj_Len,SUMIF($G346:OFFSET(AX346,0,Prj_Len-AX$2),"&gt;=0",$G346:OFFSET($G346,0,Prj_Len-AX$2)),0))</f>
        <v>0</v>
      </c>
      <c r="AY347" s="55">
        <f ca="1">IF(AY$2=1,SUMIF($G346:OFFSET($G346,0,Prj_Len-AY$2),"&lt;0",$G346:OFFSET($G346,0,Prj_Len-AY$2)),IF(AY$2=Prj_Len,SUMIF($G346:OFFSET(AY346,0,Prj_Len-AY$2),"&gt;=0",$G346:OFFSET($G346,0,Prj_Len-AY$2)),0))</f>
        <v>0</v>
      </c>
      <c r="AZ347" s="55">
        <f ca="1">IF(AZ$2=1,SUMIF($G346:OFFSET($G346,0,Prj_Len-AZ$2),"&lt;0",$G346:OFFSET($G346,0,Prj_Len-AZ$2)),IF(AZ$2=Prj_Len,SUMIF($G346:OFFSET(AZ346,0,Prj_Len-AZ$2),"&gt;=0",$G346:OFFSET($G346,0,Prj_Len-AZ$2)),0))</f>
        <v>0</v>
      </c>
      <c r="BA347" s="55">
        <f ca="1">IF(BA$2=1,SUMIF($G346:OFFSET($G346,0,Prj_Len-BA$2),"&lt;0",$G346:OFFSET($G346,0,Prj_Len-BA$2)),IF(BA$2=Prj_Len,SUMIF($G346:OFFSET(BA346,0,Prj_Len-BA$2),"&gt;=0",$G346:OFFSET($G346,0,Prj_Len-BA$2)),0))</f>
        <v>0</v>
      </c>
      <c r="BB347" s="55">
        <f ca="1">IF(BB$2=1,SUMIF($G346:OFFSET($G346,0,Prj_Len-BB$2),"&lt;0",$G346:OFFSET($G346,0,Prj_Len-BB$2)),IF(BB$2=Prj_Len,SUMIF($G346:OFFSET(BB346,0,Prj_Len-BB$2),"&gt;=0",$G346:OFFSET($G346,0,Prj_Len-BB$2)),0))</f>
        <v>581778081.11935604</v>
      </c>
      <c r="BC347" s="55"/>
      <c r="BD347" s="57">
        <f ca="1">SUM(G347:BC347)</f>
        <v>329442069.79125679</v>
      </c>
    </row>
    <row r="348" spans="1:56" hidden="1" x14ac:dyDescent="0.3">
      <c r="A348" s="10"/>
    </row>
    <row r="349" spans="1:56" hidden="1" collapsed="1" x14ac:dyDescent="0.3">
      <c r="A349" s="22" t="str">
        <f ca="1">Language!A1393</f>
        <v>Дисконтированный срок окупаемости, PBP</v>
      </c>
      <c r="B349" s="103" t="str">
        <f ca="1">IF(B350&gt;0, BD351/12, "-")</f>
        <v>-</v>
      </c>
      <c r="C349" s="48" t="str">
        <f ca="1">Language!A48</f>
        <v>лет</v>
      </c>
    </row>
    <row r="350" spans="1:56" hidden="1" outlineLevel="1" x14ac:dyDescent="0.3">
      <c r="A350" s="10" t="str">
        <f ca="1">Language!A$1365</f>
        <v>Флаг периода окупаемости</v>
      </c>
      <c r="B350" s="104">
        <f ca="1">MAX(G350:BC350)</f>
        <v>0</v>
      </c>
      <c r="C350" s="48" t="str">
        <f ca="1">Параметры!$C$17</f>
        <v>мес.</v>
      </c>
      <c r="F350" s="6" t="s">
        <v>1541</v>
      </c>
      <c r="G350" s="105">
        <f ca="1">IF(G336&lt;0,0,IF(F336&gt;=0,0,G$2))</f>
        <v>0</v>
      </c>
      <c r="H350" s="105">
        <f t="shared" ref="H350:BB350" ca="1" si="1486">IF(H336&lt;0,0,IF(G336&gt;=0,0,H$2))</f>
        <v>0</v>
      </c>
      <c r="I350" s="105">
        <f t="shared" ca="1" si="1486"/>
        <v>0</v>
      </c>
      <c r="J350" s="105">
        <f t="shared" ca="1" si="1486"/>
        <v>0</v>
      </c>
      <c r="K350" s="105">
        <f t="shared" ca="1" si="1486"/>
        <v>0</v>
      </c>
      <c r="L350" s="105">
        <f t="shared" ca="1" si="1486"/>
        <v>0</v>
      </c>
      <c r="M350" s="105">
        <f t="shared" ca="1" si="1486"/>
        <v>0</v>
      </c>
      <c r="N350" s="105">
        <f t="shared" ca="1" si="1486"/>
        <v>0</v>
      </c>
      <c r="O350" s="105">
        <f t="shared" ca="1" si="1486"/>
        <v>0</v>
      </c>
      <c r="P350" s="105">
        <f t="shared" ca="1" si="1486"/>
        <v>0</v>
      </c>
      <c r="Q350" s="105">
        <f t="shared" ca="1" si="1486"/>
        <v>0</v>
      </c>
      <c r="R350" s="105">
        <f t="shared" ca="1" si="1486"/>
        <v>0</v>
      </c>
      <c r="S350" s="105">
        <f t="shared" ca="1" si="1486"/>
        <v>0</v>
      </c>
      <c r="T350" s="105">
        <f t="shared" ca="1" si="1486"/>
        <v>0</v>
      </c>
      <c r="U350" s="105">
        <f t="shared" ca="1" si="1486"/>
        <v>0</v>
      </c>
      <c r="V350" s="105">
        <f t="shared" ca="1" si="1486"/>
        <v>0</v>
      </c>
      <c r="W350" s="105">
        <f t="shared" ca="1" si="1486"/>
        <v>0</v>
      </c>
      <c r="X350" s="105">
        <f t="shared" ca="1" si="1486"/>
        <v>0</v>
      </c>
      <c r="Y350" s="105">
        <f t="shared" ca="1" si="1486"/>
        <v>0</v>
      </c>
      <c r="Z350" s="105">
        <f t="shared" ca="1" si="1486"/>
        <v>0</v>
      </c>
      <c r="AA350" s="105">
        <f t="shared" ca="1" si="1486"/>
        <v>0</v>
      </c>
      <c r="AB350" s="105">
        <f t="shared" ca="1" si="1486"/>
        <v>0</v>
      </c>
      <c r="AC350" s="105">
        <f t="shared" ca="1" si="1486"/>
        <v>0</v>
      </c>
      <c r="AD350" s="105">
        <f t="shared" ca="1" si="1486"/>
        <v>0</v>
      </c>
      <c r="AE350" s="105">
        <f t="shared" ca="1" si="1486"/>
        <v>0</v>
      </c>
      <c r="AF350" s="105">
        <f t="shared" ca="1" si="1486"/>
        <v>0</v>
      </c>
      <c r="AG350" s="105">
        <f t="shared" ca="1" si="1486"/>
        <v>0</v>
      </c>
      <c r="AH350" s="105">
        <f t="shared" ca="1" si="1486"/>
        <v>0</v>
      </c>
      <c r="AI350" s="105">
        <f t="shared" ca="1" si="1486"/>
        <v>0</v>
      </c>
      <c r="AJ350" s="105">
        <f t="shared" ca="1" si="1486"/>
        <v>0</v>
      </c>
      <c r="AK350" s="105">
        <f t="shared" ca="1" si="1486"/>
        <v>0</v>
      </c>
      <c r="AL350" s="105">
        <f t="shared" ca="1" si="1486"/>
        <v>0</v>
      </c>
      <c r="AM350" s="105">
        <f t="shared" ca="1" si="1486"/>
        <v>0</v>
      </c>
      <c r="AN350" s="105">
        <f t="shared" ca="1" si="1486"/>
        <v>0</v>
      </c>
      <c r="AO350" s="105">
        <f t="shared" ca="1" si="1486"/>
        <v>0</v>
      </c>
      <c r="AP350" s="105">
        <f t="shared" ca="1" si="1486"/>
        <v>0</v>
      </c>
      <c r="AQ350" s="105">
        <f t="shared" ca="1" si="1486"/>
        <v>0</v>
      </c>
      <c r="AR350" s="105">
        <f t="shared" ca="1" si="1486"/>
        <v>0</v>
      </c>
      <c r="AS350" s="105">
        <f t="shared" ca="1" si="1486"/>
        <v>0</v>
      </c>
      <c r="AT350" s="105">
        <f t="shared" ca="1" si="1486"/>
        <v>0</v>
      </c>
      <c r="AU350" s="105">
        <f t="shared" ca="1" si="1486"/>
        <v>0</v>
      </c>
      <c r="AV350" s="105">
        <f t="shared" ca="1" si="1486"/>
        <v>0</v>
      </c>
      <c r="AW350" s="105">
        <f t="shared" ca="1" si="1486"/>
        <v>0</v>
      </c>
      <c r="AX350" s="105">
        <f t="shared" ca="1" si="1486"/>
        <v>0</v>
      </c>
      <c r="AY350" s="105">
        <f t="shared" ca="1" si="1486"/>
        <v>0</v>
      </c>
      <c r="AZ350" s="105">
        <f t="shared" ca="1" si="1486"/>
        <v>0</v>
      </c>
      <c r="BA350" s="105">
        <f t="shared" ca="1" si="1486"/>
        <v>0</v>
      </c>
      <c r="BB350" s="105">
        <f t="shared" ca="1" si="1486"/>
        <v>0</v>
      </c>
    </row>
    <row r="351" spans="1:56" hidden="1" outlineLevel="1" x14ac:dyDescent="0.3">
      <c r="A351" s="10" t="str">
        <f ca="1">Language!A1395</f>
        <v>Расчет окупаемости в месяцах</v>
      </c>
      <c r="B351" s="107">
        <f ca="1">BD351</f>
        <v>0</v>
      </c>
      <c r="C351" s="48" t="str">
        <f ca="1">Language!A46</f>
        <v>мес.</v>
      </c>
      <c r="F351" s="6" t="s">
        <v>1541</v>
      </c>
      <c r="G351" s="106">
        <f t="shared" ref="G351:BB351" ca="1" si="1487">IF(G$2&lt;$B$350,Prj_Period,IF(G$2=$B$350,-F336/G335*Prj_Period,0))</f>
        <v>0</v>
      </c>
      <c r="H351" s="106">
        <f t="shared" ca="1" si="1487"/>
        <v>0</v>
      </c>
      <c r="I351" s="106">
        <f t="shared" ca="1" si="1487"/>
        <v>0</v>
      </c>
      <c r="J351" s="106">
        <f t="shared" ca="1" si="1487"/>
        <v>0</v>
      </c>
      <c r="K351" s="106">
        <f t="shared" ca="1" si="1487"/>
        <v>0</v>
      </c>
      <c r="L351" s="106">
        <f t="shared" ca="1" si="1487"/>
        <v>0</v>
      </c>
      <c r="M351" s="106">
        <f t="shared" ca="1" si="1487"/>
        <v>0</v>
      </c>
      <c r="N351" s="106">
        <f t="shared" ca="1" si="1487"/>
        <v>0</v>
      </c>
      <c r="O351" s="106">
        <f t="shared" ca="1" si="1487"/>
        <v>0</v>
      </c>
      <c r="P351" s="106">
        <f t="shared" ca="1" si="1487"/>
        <v>0</v>
      </c>
      <c r="Q351" s="106">
        <f t="shared" ca="1" si="1487"/>
        <v>0</v>
      </c>
      <c r="R351" s="106">
        <f t="shared" ca="1" si="1487"/>
        <v>0</v>
      </c>
      <c r="S351" s="106">
        <f t="shared" ca="1" si="1487"/>
        <v>0</v>
      </c>
      <c r="T351" s="106">
        <f t="shared" ca="1" si="1487"/>
        <v>0</v>
      </c>
      <c r="U351" s="106">
        <f t="shared" ca="1" si="1487"/>
        <v>0</v>
      </c>
      <c r="V351" s="106">
        <f t="shared" ca="1" si="1487"/>
        <v>0</v>
      </c>
      <c r="W351" s="106">
        <f t="shared" ca="1" si="1487"/>
        <v>0</v>
      </c>
      <c r="X351" s="106">
        <f t="shared" ca="1" si="1487"/>
        <v>0</v>
      </c>
      <c r="Y351" s="106">
        <f t="shared" ca="1" si="1487"/>
        <v>0</v>
      </c>
      <c r="Z351" s="106">
        <f t="shared" ca="1" si="1487"/>
        <v>0</v>
      </c>
      <c r="AA351" s="106">
        <f t="shared" ca="1" si="1487"/>
        <v>0</v>
      </c>
      <c r="AB351" s="106">
        <f t="shared" ca="1" si="1487"/>
        <v>0</v>
      </c>
      <c r="AC351" s="106">
        <f t="shared" ca="1" si="1487"/>
        <v>0</v>
      </c>
      <c r="AD351" s="106">
        <f t="shared" ca="1" si="1487"/>
        <v>0</v>
      </c>
      <c r="AE351" s="106">
        <f t="shared" ca="1" si="1487"/>
        <v>0</v>
      </c>
      <c r="AF351" s="106">
        <f t="shared" ca="1" si="1487"/>
        <v>0</v>
      </c>
      <c r="AG351" s="106">
        <f t="shared" ca="1" si="1487"/>
        <v>0</v>
      </c>
      <c r="AH351" s="106">
        <f t="shared" ca="1" si="1487"/>
        <v>0</v>
      </c>
      <c r="AI351" s="106">
        <f t="shared" ca="1" si="1487"/>
        <v>0</v>
      </c>
      <c r="AJ351" s="106">
        <f t="shared" ca="1" si="1487"/>
        <v>0</v>
      </c>
      <c r="AK351" s="106">
        <f t="shared" ca="1" si="1487"/>
        <v>0</v>
      </c>
      <c r="AL351" s="106">
        <f t="shared" ca="1" si="1487"/>
        <v>0</v>
      </c>
      <c r="AM351" s="106">
        <f t="shared" ca="1" si="1487"/>
        <v>0</v>
      </c>
      <c r="AN351" s="106">
        <f t="shared" ca="1" si="1487"/>
        <v>0</v>
      </c>
      <c r="AO351" s="106">
        <f t="shared" ca="1" si="1487"/>
        <v>0</v>
      </c>
      <c r="AP351" s="106">
        <f t="shared" ca="1" si="1487"/>
        <v>0</v>
      </c>
      <c r="AQ351" s="106">
        <f t="shared" ca="1" si="1487"/>
        <v>0</v>
      </c>
      <c r="AR351" s="106">
        <f t="shared" ca="1" si="1487"/>
        <v>0</v>
      </c>
      <c r="AS351" s="106">
        <f t="shared" ca="1" si="1487"/>
        <v>0</v>
      </c>
      <c r="AT351" s="106">
        <f t="shared" ca="1" si="1487"/>
        <v>0</v>
      </c>
      <c r="AU351" s="106">
        <f t="shared" ca="1" si="1487"/>
        <v>0</v>
      </c>
      <c r="AV351" s="106">
        <f t="shared" ca="1" si="1487"/>
        <v>0</v>
      </c>
      <c r="AW351" s="106">
        <f t="shared" ca="1" si="1487"/>
        <v>0</v>
      </c>
      <c r="AX351" s="106">
        <f t="shared" ca="1" si="1487"/>
        <v>0</v>
      </c>
      <c r="AY351" s="106">
        <f t="shared" ca="1" si="1487"/>
        <v>0</v>
      </c>
      <c r="AZ351" s="106">
        <f t="shared" ca="1" si="1487"/>
        <v>0</v>
      </c>
      <c r="BA351" s="106">
        <f t="shared" ca="1" si="1487"/>
        <v>0</v>
      </c>
      <c r="BB351" s="106">
        <f t="shared" ca="1" si="1487"/>
        <v>0</v>
      </c>
      <c r="BD351" s="57">
        <f ca="1">SUM(G351:BC351)</f>
        <v>0</v>
      </c>
    </row>
    <row r="352" spans="1:56" hidden="1" x14ac:dyDescent="0.3">
      <c r="A352" s="10"/>
      <c r="B352" s="107"/>
      <c r="G352" s="106"/>
      <c r="H352" s="106"/>
      <c r="I352" s="106"/>
      <c r="J352" s="106"/>
      <c r="K352" s="106"/>
      <c r="L352" s="106"/>
      <c r="M352" s="106"/>
      <c r="N352" s="106"/>
      <c r="O352" s="106"/>
      <c r="P352" s="106"/>
      <c r="Q352" s="106"/>
      <c r="R352" s="106"/>
      <c r="S352" s="106"/>
      <c r="T352" s="106"/>
      <c r="U352" s="106"/>
      <c r="V352" s="106"/>
      <c r="W352" s="106"/>
      <c r="X352" s="106"/>
      <c r="Y352" s="106"/>
      <c r="Z352" s="106"/>
      <c r="AA352" s="106"/>
      <c r="AB352" s="106"/>
      <c r="AC352" s="106"/>
      <c r="AD352" s="106"/>
      <c r="AE352" s="106"/>
      <c r="AF352" s="106"/>
      <c r="AG352" s="106"/>
      <c r="AH352" s="106"/>
      <c r="AI352" s="106"/>
      <c r="AJ352" s="106"/>
      <c r="AK352" s="106"/>
      <c r="AL352" s="106"/>
      <c r="AM352" s="106"/>
      <c r="AN352" s="106"/>
      <c r="AO352" s="106"/>
      <c r="AP352" s="106"/>
      <c r="AQ352" s="106"/>
      <c r="AR352" s="106"/>
      <c r="AS352" s="106"/>
      <c r="AT352" s="106"/>
      <c r="AU352" s="106"/>
      <c r="AV352" s="106"/>
      <c r="AW352" s="106"/>
      <c r="AX352" s="106"/>
      <c r="AY352" s="106"/>
      <c r="AZ352" s="106"/>
      <c r="BA352" s="106"/>
      <c r="BB352" s="106"/>
      <c r="BD352" s="57"/>
    </row>
    <row r="353" spans="1:56" hidden="1" collapsed="1" x14ac:dyDescent="0.3">
      <c r="A353" s="10" t="str">
        <f ca="1">Language!A$1367</f>
        <v>Простой срок окупаемости</v>
      </c>
      <c r="B353" s="103" t="str">
        <f ca="1">IF(B355&gt;0, BD356/12, "-")</f>
        <v>-</v>
      </c>
      <c r="C353" s="48" t="str">
        <f ca="1">Language!A$48</f>
        <v>лет</v>
      </c>
    </row>
    <row r="354" spans="1:56" hidden="1" outlineLevel="1" x14ac:dyDescent="0.3">
      <c r="A354" s="10" t="str">
        <f ca="1">Language!A$1368</f>
        <v>Недисконтированный поток нарастающим итогом</v>
      </c>
      <c r="B354" s="77"/>
      <c r="C354" s="48" t="str">
        <f ca="1">Параметры!$C$64</f>
        <v>руб.</v>
      </c>
      <c r="F354" s="6" t="s">
        <v>741</v>
      </c>
      <c r="G354" s="55">
        <f ca="1">IF(G$2=1,G334,F354+G334)</f>
        <v>211558334</v>
      </c>
      <c r="H354" s="55">
        <f t="shared" ref="H354:BB354" ca="1" si="1488">IF(H$2=1,H334,G354+H334)</f>
        <v>209900000.33333334</v>
      </c>
      <c r="I354" s="55">
        <f t="shared" ca="1" si="1488"/>
        <v>73241667.666666687</v>
      </c>
      <c r="J354" s="55">
        <f t="shared" ca="1" si="1488"/>
        <v>54850001.000000015</v>
      </c>
      <c r="K354" s="55">
        <f t="shared" ca="1" si="1488"/>
        <v>37825001.000000015</v>
      </c>
      <c r="L354" s="55">
        <f t="shared" ca="1" si="1488"/>
        <v>18922075.939581752</v>
      </c>
      <c r="M354" s="55">
        <f t="shared" ca="1" si="1488"/>
        <v>10035157.655486684</v>
      </c>
      <c r="N354" s="55">
        <f t="shared" ca="1" si="1488"/>
        <v>1803117.7469090838</v>
      </c>
      <c r="O354" s="55">
        <f t="shared" ca="1" si="1488"/>
        <v>135850.18460357562</v>
      </c>
      <c r="P354" s="55">
        <f t="shared" ca="1" si="1488"/>
        <v>570756.51280933339</v>
      </c>
      <c r="Q354" s="55">
        <f t="shared" ca="1" si="1488"/>
        <v>1678995.0735216746</v>
      </c>
      <c r="R354" s="55">
        <f t="shared" ca="1" si="1488"/>
        <v>1258387.9910802324</v>
      </c>
      <c r="S354" s="55">
        <f t="shared" ca="1" si="1488"/>
        <v>4195962.9793404434</v>
      </c>
      <c r="T354" s="55">
        <f t="shared" ca="1" si="1488"/>
        <v>7190278.8295381945</v>
      </c>
      <c r="U354" s="55">
        <f t="shared" ca="1" si="1488"/>
        <v>8502154.6642358396</v>
      </c>
      <c r="V354" s="55">
        <f t="shared" ca="1" si="1488"/>
        <v>8709132.3037550822</v>
      </c>
      <c r="W354" s="55">
        <f t="shared" ca="1" si="1488"/>
        <v>6389939.6174345631</v>
      </c>
      <c r="X354" s="55">
        <f t="shared" ca="1" si="1488"/>
        <v>7403374.5238080397</v>
      </c>
      <c r="Y354" s="55">
        <f t="shared" ca="1" si="1488"/>
        <v>10106979.386210134</v>
      </c>
      <c r="Z354" s="55">
        <f t="shared" ca="1" si="1488"/>
        <v>15493939.599454354</v>
      </c>
      <c r="AA354" s="55">
        <f t="shared" ca="1" si="1488"/>
        <v>17515439.877663791</v>
      </c>
      <c r="AB354" s="55">
        <f t="shared" ca="1" si="1488"/>
        <v>15099582.513774911</v>
      </c>
      <c r="AC354" s="55">
        <f t="shared" ca="1" si="1488"/>
        <v>11112415.430962546</v>
      </c>
      <c r="AD354" s="55">
        <f t="shared" ca="1" si="1488"/>
        <v>7839105.4893916994</v>
      </c>
      <c r="AE354" s="55">
        <f t="shared" ca="1" si="1488"/>
        <v>8728260.0437648036</v>
      </c>
      <c r="AF354" s="55">
        <f t="shared" ca="1" si="1488"/>
        <v>9859169.7441609651</v>
      </c>
      <c r="AG354" s="55">
        <f t="shared" ca="1" si="1488"/>
        <v>9319070.7895265855</v>
      </c>
      <c r="AH354" s="55">
        <f t="shared" ca="1" si="1488"/>
        <v>8744402.8974499758</v>
      </c>
      <c r="AI354" s="55">
        <f t="shared" ca="1" si="1488"/>
        <v>5503977.5388145335</v>
      </c>
      <c r="AJ354" s="55">
        <f t="shared" ca="1" si="1488"/>
        <v>5787504.4368513366</v>
      </c>
      <c r="AK354" s="55">
        <f t="shared" ca="1" si="1488"/>
        <v>10959753.53609027</v>
      </c>
      <c r="AL354" s="55">
        <f t="shared" ca="1" si="1488"/>
        <v>19007889.742280588</v>
      </c>
      <c r="AM354" s="55">
        <f t="shared" ca="1" si="1488"/>
        <v>23564410.121870339</v>
      </c>
      <c r="AN354" s="55">
        <f t="shared" ca="1" si="1488"/>
        <v>23470717.332530722</v>
      </c>
      <c r="AO354" s="55">
        <f t="shared" ca="1" si="1488"/>
        <v>21688456.476480868</v>
      </c>
      <c r="AP354" s="55">
        <f t="shared" ca="1" si="1488"/>
        <v>20588220.835185394</v>
      </c>
      <c r="AQ354" s="55">
        <f t="shared" ca="1" si="1488"/>
        <v>23863615.329147782</v>
      </c>
      <c r="AR354" s="55">
        <f t="shared" ca="1" si="1488"/>
        <v>27395863.172472563</v>
      </c>
      <c r="AS354" s="55">
        <f t="shared" ca="1" si="1488"/>
        <v>29185094.160840191</v>
      </c>
      <c r="AT354" s="55">
        <f t="shared" ca="1" si="1488"/>
        <v>30801615.03373757</v>
      </c>
      <c r="AU354" s="55">
        <f t="shared" ca="1" si="1488"/>
        <v>29366028.012790773</v>
      </c>
      <c r="AV354" s="55">
        <f t="shared" ca="1" si="1488"/>
        <v>31416261.187906794</v>
      </c>
      <c r="AW354" s="55">
        <f t="shared" ca="1" si="1488"/>
        <v>38390010.034551747</v>
      </c>
      <c r="AX354" s="55">
        <f t="shared" ca="1" si="1488"/>
        <v>52207195.144730501</v>
      </c>
      <c r="AY354" s="55">
        <f t="shared" ca="1" si="1488"/>
        <v>66317974.899262965</v>
      </c>
      <c r="AZ354" s="55">
        <f t="shared" ca="1" si="1488"/>
        <v>75394082.460915953</v>
      </c>
      <c r="BA354" s="55">
        <f t="shared" ca="1" si="1488"/>
        <v>82489057.141627178</v>
      </c>
      <c r="BB354" s="55">
        <f t="shared" ca="1" si="1488"/>
        <v>90837475.22270827</v>
      </c>
    </row>
    <row r="355" spans="1:56" hidden="1" outlineLevel="1" x14ac:dyDescent="0.3">
      <c r="A355" s="10" t="str">
        <f ca="1">Language!A$1365</f>
        <v>Флаг периода окупаемости</v>
      </c>
      <c r="B355" s="104">
        <f ca="1">MAX(G355:BC355)</f>
        <v>0</v>
      </c>
      <c r="C355" s="48" t="str">
        <f ca="1">Параметры!$C$17</f>
        <v>мес.</v>
      </c>
      <c r="F355" s="6" t="s">
        <v>1541</v>
      </c>
      <c r="G355" s="105">
        <f ca="1">IF(G354&lt;0,0,IF(F354&gt;=0,0,G$2))</f>
        <v>0</v>
      </c>
      <c r="H355" s="105">
        <f t="shared" ref="H355:BB355" ca="1" si="1489">IF(H354&lt;0,0,IF(G354&gt;=0,0,H$2))</f>
        <v>0</v>
      </c>
      <c r="I355" s="105">
        <f t="shared" ca="1" si="1489"/>
        <v>0</v>
      </c>
      <c r="J355" s="105">
        <f t="shared" ca="1" si="1489"/>
        <v>0</v>
      </c>
      <c r="K355" s="105">
        <f t="shared" ca="1" si="1489"/>
        <v>0</v>
      </c>
      <c r="L355" s="105">
        <f t="shared" ca="1" si="1489"/>
        <v>0</v>
      </c>
      <c r="M355" s="105">
        <f t="shared" ca="1" si="1489"/>
        <v>0</v>
      </c>
      <c r="N355" s="105">
        <f t="shared" ca="1" si="1489"/>
        <v>0</v>
      </c>
      <c r="O355" s="105">
        <f t="shared" ca="1" si="1489"/>
        <v>0</v>
      </c>
      <c r="P355" s="105">
        <f t="shared" ca="1" si="1489"/>
        <v>0</v>
      </c>
      <c r="Q355" s="105">
        <f t="shared" ca="1" si="1489"/>
        <v>0</v>
      </c>
      <c r="R355" s="105">
        <f t="shared" ca="1" si="1489"/>
        <v>0</v>
      </c>
      <c r="S355" s="105">
        <f t="shared" ca="1" si="1489"/>
        <v>0</v>
      </c>
      <c r="T355" s="105">
        <f t="shared" ca="1" si="1489"/>
        <v>0</v>
      </c>
      <c r="U355" s="105">
        <f t="shared" ca="1" si="1489"/>
        <v>0</v>
      </c>
      <c r="V355" s="105">
        <f t="shared" ca="1" si="1489"/>
        <v>0</v>
      </c>
      <c r="W355" s="105">
        <f t="shared" ca="1" si="1489"/>
        <v>0</v>
      </c>
      <c r="X355" s="105">
        <f t="shared" ca="1" si="1489"/>
        <v>0</v>
      </c>
      <c r="Y355" s="105">
        <f t="shared" ca="1" si="1489"/>
        <v>0</v>
      </c>
      <c r="Z355" s="105">
        <f t="shared" ca="1" si="1489"/>
        <v>0</v>
      </c>
      <c r="AA355" s="105">
        <f t="shared" ca="1" si="1489"/>
        <v>0</v>
      </c>
      <c r="AB355" s="105">
        <f t="shared" ca="1" si="1489"/>
        <v>0</v>
      </c>
      <c r="AC355" s="105">
        <f t="shared" ca="1" si="1489"/>
        <v>0</v>
      </c>
      <c r="AD355" s="105">
        <f t="shared" ca="1" si="1489"/>
        <v>0</v>
      </c>
      <c r="AE355" s="105">
        <f t="shared" ca="1" si="1489"/>
        <v>0</v>
      </c>
      <c r="AF355" s="105">
        <f t="shared" ca="1" si="1489"/>
        <v>0</v>
      </c>
      <c r="AG355" s="105">
        <f t="shared" ca="1" si="1489"/>
        <v>0</v>
      </c>
      <c r="AH355" s="105">
        <f t="shared" ca="1" si="1489"/>
        <v>0</v>
      </c>
      <c r="AI355" s="105">
        <f t="shared" ca="1" si="1489"/>
        <v>0</v>
      </c>
      <c r="AJ355" s="105">
        <f t="shared" ca="1" si="1489"/>
        <v>0</v>
      </c>
      <c r="AK355" s="105">
        <f t="shared" ca="1" si="1489"/>
        <v>0</v>
      </c>
      <c r="AL355" s="105">
        <f t="shared" ca="1" si="1489"/>
        <v>0</v>
      </c>
      <c r="AM355" s="105">
        <f t="shared" ca="1" si="1489"/>
        <v>0</v>
      </c>
      <c r="AN355" s="105">
        <f t="shared" ca="1" si="1489"/>
        <v>0</v>
      </c>
      <c r="AO355" s="105">
        <f t="shared" ca="1" si="1489"/>
        <v>0</v>
      </c>
      <c r="AP355" s="105">
        <f t="shared" ca="1" si="1489"/>
        <v>0</v>
      </c>
      <c r="AQ355" s="105">
        <f t="shared" ca="1" si="1489"/>
        <v>0</v>
      </c>
      <c r="AR355" s="105">
        <f t="shared" ca="1" si="1489"/>
        <v>0</v>
      </c>
      <c r="AS355" s="105">
        <f t="shared" ca="1" si="1489"/>
        <v>0</v>
      </c>
      <c r="AT355" s="105">
        <f t="shared" ca="1" si="1489"/>
        <v>0</v>
      </c>
      <c r="AU355" s="105">
        <f t="shared" ca="1" si="1489"/>
        <v>0</v>
      </c>
      <c r="AV355" s="105">
        <f t="shared" ca="1" si="1489"/>
        <v>0</v>
      </c>
      <c r="AW355" s="105">
        <f t="shared" ca="1" si="1489"/>
        <v>0</v>
      </c>
      <c r="AX355" s="105">
        <f t="shared" ca="1" si="1489"/>
        <v>0</v>
      </c>
      <c r="AY355" s="105">
        <f t="shared" ca="1" si="1489"/>
        <v>0</v>
      </c>
      <c r="AZ355" s="105">
        <f t="shared" ca="1" si="1489"/>
        <v>0</v>
      </c>
      <c r="BA355" s="105">
        <f t="shared" ca="1" si="1489"/>
        <v>0</v>
      </c>
      <c r="BB355" s="105">
        <f t="shared" ca="1" si="1489"/>
        <v>0</v>
      </c>
      <c r="BC355" s="106"/>
      <c r="BD355" s="106"/>
    </row>
    <row r="356" spans="1:56" hidden="1" outlineLevel="1" x14ac:dyDescent="0.3">
      <c r="A356" s="10" t="str">
        <f ca="1">Language!A$1366</f>
        <v>Расчет окупаемости в месяцах</v>
      </c>
      <c r="B356" s="107">
        <f ca="1">BD356</f>
        <v>0</v>
      </c>
      <c r="C356" s="48" t="str">
        <f ca="1">Language!A$46</f>
        <v>мес.</v>
      </c>
      <c r="F356" s="6" t="s">
        <v>1541</v>
      </c>
      <c r="G356" s="106">
        <f t="shared" ref="G356:BB356" ca="1" si="1490">IF(G$2&lt;$B$355,Prj_Period,IF(G$2=$B$355,-F354/G334*Prj_Period,0))</f>
        <v>0</v>
      </c>
      <c r="H356" s="106">
        <f t="shared" ca="1" si="1490"/>
        <v>0</v>
      </c>
      <c r="I356" s="106">
        <f t="shared" ca="1" si="1490"/>
        <v>0</v>
      </c>
      <c r="J356" s="106">
        <f t="shared" ca="1" si="1490"/>
        <v>0</v>
      </c>
      <c r="K356" s="106">
        <f t="shared" ca="1" si="1490"/>
        <v>0</v>
      </c>
      <c r="L356" s="106">
        <f t="shared" ca="1" si="1490"/>
        <v>0</v>
      </c>
      <c r="M356" s="106">
        <f t="shared" ca="1" si="1490"/>
        <v>0</v>
      </c>
      <c r="N356" s="106">
        <f t="shared" ca="1" si="1490"/>
        <v>0</v>
      </c>
      <c r="O356" s="106">
        <f t="shared" ca="1" si="1490"/>
        <v>0</v>
      </c>
      <c r="P356" s="106">
        <f t="shared" ca="1" si="1490"/>
        <v>0</v>
      </c>
      <c r="Q356" s="106">
        <f t="shared" ca="1" si="1490"/>
        <v>0</v>
      </c>
      <c r="R356" s="106">
        <f t="shared" ca="1" si="1490"/>
        <v>0</v>
      </c>
      <c r="S356" s="106">
        <f t="shared" ca="1" si="1490"/>
        <v>0</v>
      </c>
      <c r="T356" s="106">
        <f t="shared" ca="1" si="1490"/>
        <v>0</v>
      </c>
      <c r="U356" s="106">
        <f t="shared" ca="1" si="1490"/>
        <v>0</v>
      </c>
      <c r="V356" s="106">
        <f t="shared" ca="1" si="1490"/>
        <v>0</v>
      </c>
      <c r="W356" s="106">
        <f t="shared" ca="1" si="1490"/>
        <v>0</v>
      </c>
      <c r="X356" s="106">
        <f t="shared" ca="1" si="1490"/>
        <v>0</v>
      </c>
      <c r="Y356" s="106">
        <f t="shared" ca="1" si="1490"/>
        <v>0</v>
      </c>
      <c r="Z356" s="106">
        <f t="shared" ca="1" si="1490"/>
        <v>0</v>
      </c>
      <c r="AA356" s="106">
        <f t="shared" ca="1" si="1490"/>
        <v>0</v>
      </c>
      <c r="AB356" s="106">
        <f t="shared" ca="1" si="1490"/>
        <v>0</v>
      </c>
      <c r="AC356" s="106">
        <f t="shared" ca="1" si="1490"/>
        <v>0</v>
      </c>
      <c r="AD356" s="106">
        <f t="shared" ca="1" si="1490"/>
        <v>0</v>
      </c>
      <c r="AE356" s="106">
        <f t="shared" ca="1" si="1490"/>
        <v>0</v>
      </c>
      <c r="AF356" s="106">
        <f t="shared" ca="1" si="1490"/>
        <v>0</v>
      </c>
      <c r="AG356" s="106">
        <f t="shared" ca="1" si="1490"/>
        <v>0</v>
      </c>
      <c r="AH356" s="106">
        <f t="shared" ca="1" si="1490"/>
        <v>0</v>
      </c>
      <c r="AI356" s="106">
        <f t="shared" ca="1" si="1490"/>
        <v>0</v>
      </c>
      <c r="AJ356" s="106">
        <f t="shared" ca="1" si="1490"/>
        <v>0</v>
      </c>
      <c r="AK356" s="106">
        <f t="shared" ca="1" si="1490"/>
        <v>0</v>
      </c>
      <c r="AL356" s="106">
        <f t="shared" ca="1" si="1490"/>
        <v>0</v>
      </c>
      <c r="AM356" s="106">
        <f t="shared" ca="1" si="1490"/>
        <v>0</v>
      </c>
      <c r="AN356" s="106">
        <f t="shared" ca="1" si="1490"/>
        <v>0</v>
      </c>
      <c r="AO356" s="106">
        <f t="shared" ca="1" si="1490"/>
        <v>0</v>
      </c>
      <c r="AP356" s="106">
        <f t="shared" ca="1" si="1490"/>
        <v>0</v>
      </c>
      <c r="AQ356" s="106">
        <f t="shared" ca="1" si="1490"/>
        <v>0</v>
      </c>
      <c r="AR356" s="106">
        <f t="shared" ca="1" si="1490"/>
        <v>0</v>
      </c>
      <c r="AS356" s="106">
        <f t="shared" ca="1" si="1490"/>
        <v>0</v>
      </c>
      <c r="AT356" s="106">
        <f t="shared" ca="1" si="1490"/>
        <v>0</v>
      </c>
      <c r="AU356" s="106">
        <f t="shared" ca="1" si="1490"/>
        <v>0</v>
      </c>
      <c r="AV356" s="106">
        <f t="shared" ca="1" si="1490"/>
        <v>0</v>
      </c>
      <c r="AW356" s="106">
        <f t="shared" ca="1" si="1490"/>
        <v>0</v>
      </c>
      <c r="AX356" s="106">
        <f t="shared" ca="1" si="1490"/>
        <v>0</v>
      </c>
      <c r="AY356" s="106">
        <f t="shared" ca="1" si="1490"/>
        <v>0</v>
      </c>
      <c r="AZ356" s="106">
        <f t="shared" ca="1" si="1490"/>
        <v>0</v>
      </c>
      <c r="BA356" s="106">
        <f t="shared" ca="1" si="1490"/>
        <v>0</v>
      </c>
      <c r="BB356" s="106">
        <f t="shared" ca="1" si="1490"/>
        <v>0</v>
      </c>
      <c r="BC356" s="106"/>
      <c r="BD356" s="108">
        <f ca="1">SUM(G356:BC356)</f>
        <v>0</v>
      </c>
    </row>
    <row r="357" spans="1:56" hidden="1" x14ac:dyDescent="0.3">
      <c r="A357" s="10"/>
      <c r="B357" s="107"/>
      <c r="G357" s="106"/>
      <c r="H357" s="106"/>
      <c r="I357" s="106"/>
      <c r="J357" s="106"/>
      <c r="K357" s="106"/>
      <c r="L357" s="106"/>
      <c r="M357" s="106"/>
      <c r="N357" s="106"/>
      <c r="O357" s="106"/>
      <c r="P357" s="106"/>
      <c r="Q357" s="106"/>
      <c r="R357" s="106"/>
      <c r="S357" s="106"/>
      <c r="T357" s="106"/>
      <c r="U357" s="106"/>
      <c r="V357" s="106"/>
      <c r="W357" s="106"/>
      <c r="X357" s="106"/>
      <c r="Y357" s="106"/>
      <c r="Z357" s="106"/>
      <c r="AA357" s="106"/>
      <c r="AB357" s="106"/>
      <c r="AC357" s="106"/>
      <c r="AD357" s="106"/>
      <c r="AE357" s="106"/>
      <c r="AF357" s="106"/>
      <c r="AG357" s="106"/>
      <c r="AH357" s="106"/>
      <c r="AI357" s="106"/>
      <c r="AJ357" s="106"/>
      <c r="AK357" s="106"/>
      <c r="AL357" s="106"/>
      <c r="AM357" s="106"/>
      <c r="AN357" s="106"/>
      <c r="AO357" s="106"/>
      <c r="AP357" s="106"/>
      <c r="AQ357" s="106"/>
      <c r="AR357" s="106"/>
      <c r="AS357" s="106"/>
      <c r="AT357" s="106"/>
      <c r="AU357" s="106"/>
      <c r="AV357" s="106"/>
      <c r="AW357" s="106"/>
      <c r="AX357" s="106"/>
      <c r="AY357" s="106"/>
      <c r="AZ357" s="106"/>
      <c r="BA357" s="106"/>
      <c r="BB357" s="106"/>
      <c r="BC357" s="106"/>
      <c r="BD357" s="108"/>
    </row>
    <row r="358" spans="1:56" hidden="1" collapsed="1" x14ac:dyDescent="0.3">
      <c r="A358" s="10" t="str">
        <f ca="1">Language!A$1369</f>
        <v>Норма доходности дисконтированных затрат (PI)</v>
      </c>
      <c r="B358" s="107">
        <f ca="1">IF(BD362=0,"-",BD360/-BD362)</f>
        <v>1.2756629665783206</v>
      </c>
      <c r="C358" s="48" t="str">
        <f ca="1">Language!$A$1477</f>
        <v>раз</v>
      </c>
      <c r="G358" s="55"/>
      <c r="H358" s="55"/>
      <c r="I358" s="55"/>
      <c r="J358" s="55"/>
      <c r="K358" s="55"/>
      <c r="L358" s="55"/>
      <c r="M358" s="55"/>
      <c r="N358" s="55"/>
      <c r="O358" s="55"/>
      <c r="P358" s="55"/>
      <c r="Q358" s="55"/>
      <c r="R358" s="55"/>
      <c r="S358" s="55"/>
      <c r="T358" s="55"/>
      <c r="U358" s="55"/>
      <c r="V358" s="55"/>
      <c r="W358" s="55"/>
      <c r="X358" s="55"/>
      <c r="Y358" s="55"/>
      <c r="Z358" s="55"/>
      <c r="AA358" s="55"/>
      <c r="AB358" s="55"/>
      <c r="AC358" s="55"/>
      <c r="AD358" s="55"/>
      <c r="AE358" s="55"/>
      <c r="AF358" s="55"/>
      <c r="AG358" s="55"/>
      <c r="AH358" s="55"/>
      <c r="AI358" s="55"/>
      <c r="AJ358" s="55"/>
      <c r="AK358" s="55"/>
      <c r="AL358" s="55"/>
      <c r="AM358" s="55"/>
      <c r="AN358" s="55"/>
      <c r="AO358" s="55"/>
      <c r="AP358" s="55"/>
      <c r="AQ358" s="55"/>
      <c r="AR358" s="55"/>
      <c r="AS358" s="55"/>
      <c r="AT358" s="55"/>
      <c r="AU358" s="55"/>
      <c r="AV358" s="55"/>
      <c r="AW358" s="55"/>
      <c r="AX358" s="55"/>
      <c r="AY358" s="55"/>
      <c r="AZ358" s="55"/>
      <c r="BA358" s="55"/>
      <c r="BB358" s="55"/>
      <c r="BC358" s="106"/>
      <c r="BD358" s="108"/>
    </row>
    <row r="359" spans="1:56" hidden="1" outlineLevel="1" x14ac:dyDescent="0.3">
      <c r="A359" s="35" t="str">
        <f ca="1">Language!A$1370</f>
        <v>притоки</v>
      </c>
      <c r="B359" s="107"/>
      <c r="C359" s="48" t="str">
        <f ca="1">Параметры!$C$64</f>
        <v>руб.</v>
      </c>
      <c r="F359" s="6" t="s">
        <v>740</v>
      </c>
      <c r="G359" s="55">
        <f ca="1">IF(G334&lt;0,0,G334)</f>
        <v>211558334</v>
      </c>
      <c r="H359" s="55">
        <f t="shared" ref="H359:L359" ca="1" si="1491">IF(H334&lt;0,0,H334)</f>
        <v>0</v>
      </c>
      <c r="I359" s="55">
        <f t="shared" ca="1" si="1491"/>
        <v>0</v>
      </c>
      <c r="J359" s="55">
        <f t="shared" ca="1" si="1491"/>
        <v>0</v>
      </c>
      <c r="K359" s="55">
        <f t="shared" ca="1" si="1491"/>
        <v>0</v>
      </c>
      <c r="L359" s="55">
        <f t="shared" ca="1" si="1491"/>
        <v>0</v>
      </c>
      <c r="M359" s="55">
        <f t="shared" ref="M359:N359" ca="1" si="1492">IF(M334&lt;0,0,M334)</f>
        <v>0</v>
      </c>
      <c r="N359" s="55">
        <f t="shared" ca="1" si="1492"/>
        <v>0</v>
      </c>
      <c r="O359" s="55">
        <f t="shared" ref="O359:P359" ca="1" si="1493">IF(O334&lt;0,0,O334)</f>
        <v>0</v>
      </c>
      <c r="P359" s="55">
        <f t="shared" ca="1" si="1493"/>
        <v>434906.32820575777</v>
      </c>
      <c r="Q359" s="55">
        <f t="shared" ref="Q359:R359" ca="1" si="1494">IF(Q334&lt;0,0,Q334)</f>
        <v>1108238.5607123412</v>
      </c>
      <c r="R359" s="55">
        <f t="shared" ca="1" si="1494"/>
        <v>0</v>
      </c>
      <c r="S359" s="55">
        <f t="shared" ref="S359:T359" ca="1" si="1495">IF(S334&lt;0,0,S334)</f>
        <v>2937574.9882602114</v>
      </c>
      <c r="T359" s="55">
        <f t="shared" ca="1" si="1495"/>
        <v>2994315.8501977511</v>
      </c>
      <c r="U359" s="55">
        <f t="shared" ref="U359:V359" ca="1" si="1496">IF(U334&lt;0,0,U334)</f>
        <v>1311875.8346976452</v>
      </c>
      <c r="V359" s="55">
        <f t="shared" ca="1" si="1496"/>
        <v>206977.63951924257</v>
      </c>
      <c r="W359" s="55">
        <f t="shared" ref="W359:X359" ca="1" si="1497">IF(W334&lt;0,0,W334)</f>
        <v>0</v>
      </c>
      <c r="X359" s="55">
        <f t="shared" ca="1" si="1497"/>
        <v>1013434.9063734766</v>
      </c>
      <c r="Y359" s="55">
        <f t="shared" ref="Y359:Z359" ca="1" si="1498">IF(Y334&lt;0,0,Y334)</f>
        <v>2703604.8624020945</v>
      </c>
      <c r="Z359" s="55">
        <f t="shared" ca="1" si="1498"/>
        <v>5386960.2132442202</v>
      </c>
      <c r="AA359" s="55">
        <f t="shared" ref="AA359:AB359" ca="1" si="1499">IF(AA334&lt;0,0,AA334)</f>
        <v>2021500.2782094367</v>
      </c>
      <c r="AB359" s="55">
        <f t="shared" ca="1" si="1499"/>
        <v>0</v>
      </c>
      <c r="AC359" s="55">
        <f t="shared" ref="AC359:AD359" ca="1" si="1500">IF(AC334&lt;0,0,AC334)</f>
        <v>0</v>
      </c>
      <c r="AD359" s="55">
        <f t="shared" ca="1" si="1500"/>
        <v>0</v>
      </c>
      <c r="AE359" s="55">
        <f t="shared" ref="AE359:AF359" ca="1" si="1501">IF(AE334&lt;0,0,AE334)</f>
        <v>889154.55437310413</v>
      </c>
      <c r="AF359" s="55">
        <f t="shared" ca="1" si="1501"/>
        <v>1130909.7003961615</v>
      </c>
      <c r="AG359" s="55">
        <f t="shared" ref="AG359:AH359" ca="1" si="1502">IF(AG334&lt;0,0,AG334)</f>
        <v>0</v>
      </c>
      <c r="AH359" s="55">
        <f t="shared" ca="1" si="1502"/>
        <v>0</v>
      </c>
      <c r="AI359" s="55">
        <f t="shared" ref="AI359:AJ359" ca="1" si="1503">IF(AI334&lt;0,0,AI334)</f>
        <v>0</v>
      </c>
      <c r="AJ359" s="55">
        <f t="shared" ca="1" si="1503"/>
        <v>283526.89803680312</v>
      </c>
      <c r="AK359" s="55">
        <f t="shared" ref="AK359:AL359" ca="1" si="1504">IF(AK334&lt;0,0,AK334)</f>
        <v>5172249.099238934</v>
      </c>
      <c r="AL359" s="55">
        <f t="shared" ca="1" si="1504"/>
        <v>8048136.2061903197</v>
      </c>
      <c r="AM359" s="55">
        <f t="shared" ref="AM359:AN359" ca="1" si="1505">IF(AM334&lt;0,0,AM334)</f>
        <v>4556520.3795897495</v>
      </c>
      <c r="AN359" s="55">
        <f t="shared" ca="1" si="1505"/>
        <v>0</v>
      </c>
      <c r="AO359" s="55">
        <f t="shared" ref="AO359:AP359" ca="1" si="1506">IF(AO334&lt;0,0,AO334)</f>
        <v>0</v>
      </c>
      <c r="AP359" s="55">
        <f t="shared" ca="1" si="1506"/>
        <v>0</v>
      </c>
      <c r="AQ359" s="55">
        <f t="shared" ref="AQ359:AR359" ca="1" si="1507">IF(AQ334&lt;0,0,AQ334)</f>
        <v>3275394.4939623885</v>
      </c>
      <c r="AR359" s="55">
        <f t="shared" ca="1" si="1507"/>
        <v>3532247.8433247805</v>
      </c>
      <c r="AS359" s="55">
        <f t="shared" ref="AS359:AT359" ca="1" si="1508">IF(AS334&lt;0,0,AS334)</f>
        <v>1789230.9883676264</v>
      </c>
      <c r="AT359" s="55">
        <f t="shared" ca="1" si="1508"/>
        <v>1616520.8728973772</v>
      </c>
      <c r="AU359" s="55">
        <f t="shared" ref="AU359:AV359" ca="1" si="1509">IF(AU334&lt;0,0,AU334)</f>
        <v>0</v>
      </c>
      <c r="AV359" s="55">
        <f t="shared" ca="1" si="1509"/>
        <v>2050233.175116023</v>
      </c>
      <c r="AW359" s="55">
        <f t="shared" ref="AW359:AX359" ca="1" si="1510">IF(AW334&lt;0,0,AW334)</f>
        <v>6973748.8466449548</v>
      </c>
      <c r="AX359" s="55">
        <f t="shared" ca="1" si="1510"/>
        <v>13817185.110178754</v>
      </c>
      <c r="AY359" s="55">
        <f t="shared" ref="AY359:AZ359" ca="1" si="1511">IF(AY334&lt;0,0,AY334)</f>
        <v>14110779.75453246</v>
      </c>
      <c r="AZ359" s="55">
        <f t="shared" ca="1" si="1511"/>
        <v>9076107.5616529956</v>
      </c>
      <c r="BA359" s="55">
        <f t="shared" ref="BA359:BB359" ca="1" si="1512">IF(BA334&lt;0,0,BA334)</f>
        <v>7094974.6807112303</v>
      </c>
      <c r="BB359" s="55">
        <f t="shared" ca="1" si="1512"/>
        <v>8348418.0810810896</v>
      </c>
      <c r="BC359" s="106"/>
      <c r="BD359" s="57">
        <f ca="1">SUM(G359:BC359)</f>
        <v>323443061.70811695</v>
      </c>
    </row>
    <row r="360" spans="1:56" hidden="1" outlineLevel="1" x14ac:dyDescent="0.3">
      <c r="A360" s="35" t="str">
        <f ca="1">Language!A$1371</f>
        <v>дисконтированные притоки</v>
      </c>
      <c r="B360" s="107"/>
      <c r="C360" s="48" t="str">
        <f ca="1">Параметры!$C$64</f>
        <v>руб.</v>
      </c>
      <c r="F360" s="6" t="s">
        <v>740</v>
      </c>
      <c r="G360" s="55">
        <f ca="1">G359/G321</f>
        <v>211558334</v>
      </c>
      <c r="H360" s="55">
        <f t="shared" ref="H360:L360" ca="1" si="1513">H359/H321</f>
        <v>0</v>
      </c>
      <c r="I360" s="55">
        <f t="shared" ca="1" si="1513"/>
        <v>0</v>
      </c>
      <c r="J360" s="55">
        <f t="shared" ca="1" si="1513"/>
        <v>0</v>
      </c>
      <c r="K360" s="55">
        <f t="shared" ca="1" si="1513"/>
        <v>0</v>
      </c>
      <c r="L360" s="55">
        <f t="shared" ca="1" si="1513"/>
        <v>0</v>
      </c>
      <c r="M360" s="55">
        <f t="shared" ref="M360:N360" ca="1" si="1514">M359/M321</f>
        <v>0</v>
      </c>
      <c r="N360" s="55">
        <f t="shared" ca="1" si="1514"/>
        <v>0</v>
      </c>
      <c r="O360" s="55">
        <f t="shared" ref="O360:P360" ca="1" si="1515">O359/O321</f>
        <v>0</v>
      </c>
      <c r="P360" s="55">
        <f t="shared" ca="1" si="1515"/>
        <v>376969.92160941375</v>
      </c>
      <c r="Q360" s="55">
        <f t="shared" ref="Q360:R360" ca="1" si="1516">Q359/Q321</f>
        <v>945464.9829796144</v>
      </c>
      <c r="R360" s="55">
        <f t="shared" ca="1" si="1516"/>
        <v>0</v>
      </c>
      <c r="S360" s="55">
        <f t="shared" ref="S360:T360" ca="1" si="1517">S359/S321</f>
        <v>2427747.9241819922</v>
      </c>
      <c r="T360" s="55">
        <f t="shared" ca="1" si="1517"/>
        <v>2435642.0205344339</v>
      </c>
      <c r="U360" s="55">
        <f t="shared" ref="U360:V360" ca="1" si="1518">U359/U321</f>
        <v>1050291.3777715061</v>
      </c>
      <c r="V360" s="55">
        <f t="shared" ca="1" si="1518"/>
        <v>163095.40172889072</v>
      </c>
      <c r="W360" s="55">
        <f t="shared" ref="W360:X360" ca="1" si="1519">W359/W321</f>
        <v>0</v>
      </c>
      <c r="X360" s="55">
        <f t="shared" ca="1" si="1519"/>
        <v>773600.21945248952</v>
      </c>
      <c r="Y360" s="55">
        <f t="shared" ref="Y360:Z360" ca="1" si="1520">Y359/Y321</f>
        <v>2031258.3489121667</v>
      </c>
      <c r="Z360" s="55">
        <f t="shared" ca="1" si="1520"/>
        <v>3983519.3548949929</v>
      </c>
      <c r="AA360" s="55">
        <f t="shared" ref="AA360:AB360" ca="1" si="1521">AA359/AA321</f>
        <v>1471289.678358241</v>
      </c>
      <c r="AB360" s="55">
        <f t="shared" ca="1" si="1521"/>
        <v>0</v>
      </c>
      <c r="AC360" s="55">
        <f t="shared" ref="AC360:AD360" ca="1" si="1522">AC359/AC321</f>
        <v>0</v>
      </c>
      <c r="AD360" s="55">
        <f t="shared" ca="1" si="1522"/>
        <v>0</v>
      </c>
      <c r="AE360" s="55">
        <f t="shared" ref="AE360:AF360" ca="1" si="1523">AE359/AE321</f>
        <v>607304.52453596308</v>
      </c>
      <c r="AF360" s="55">
        <f t="shared" ca="1" si="1523"/>
        <v>760253.46422994905</v>
      </c>
      <c r="AG360" s="55">
        <f t="shared" ref="AG360:AH360" ca="1" si="1524">AG359/AG321</f>
        <v>0</v>
      </c>
      <c r="AH360" s="55">
        <f t="shared" ca="1" si="1524"/>
        <v>0</v>
      </c>
      <c r="AI360" s="55">
        <f t="shared" ref="AI360:AJ360" ca="1" si="1525">AI359/AI321</f>
        <v>0</v>
      </c>
      <c r="AJ360" s="55">
        <f t="shared" ca="1" si="1525"/>
        <v>178866.75229484256</v>
      </c>
      <c r="AK360" s="55">
        <f t="shared" ref="AK360:AL360" ca="1" si="1526">AK359/AK321</f>
        <v>3211559.75389096</v>
      </c>
      <c r="AL360" s="55">
        <f t="shared" ca="1" si="1526"/>
        <v>4918504.9307146231</v>
      </c>
      <c r="AM360" s="55">
        <f t="shared" ref="AM360:AN360" ca="1" si="1527">AM359/AM321</f>
        <v>2740768.3440555981</v>
      </c>
      <c r="AN360" s="55">
        <f t="shared" ca="1" si="1527"/>
        <v>0</v>
      </c>
      <c r="AO360" s="55">
        <f t="shared" ref="AO360:AP360" ca="1" si="1528">AO359/AO321</f>
        <v>0</v>
      </c>
      <c r="AP360" s="55">
        <f t="shared" ca="1" si="1528"/>
        <v>0</v>
      </c>
      <c r="AQ360" s="55">
        <f t="shared" ref="AQ360:AR360" ca="1" si="1529">AQ359/AQ321</f>
        <v>1848874.802483452</v>
      </c>
      <c r="AR360" s="55">
        <f t="shared" ca="1" si="1529"/>
        <v>1962439.5002541749</v>
      </c>
      <c r="AS360" s="55">
        <f t="shared" ref="AS360:AT360" ca="1" si="1530">AS359/AS321</f>
        <v>978391.65228071075</v>
      </c>
      <c r="AT360" s="55">
        <f t="shared" ca="1" si="1530"/>
        <v>870019.25253619673</v>
      </c>
      <c r="AU360" s="55">
        <f t="shared" ref="AU360:AV360" ca="1" si="1531">AU359/AU321</f>
        <v>0</v>
      </c>
      <c r="AV360" s="55">
        <f t="shared" ca="1" si="1531"/>
        <v>1068939.7848567099</v>
      </c>
      <c r="AW360" s="55">
        <f t="shared" ref="AW360:AX360" ca="1" si="1532">AW359/AW321</f>
        <v>3578635.8351578838</v>
      </c>
      <c r="AX360" s="55">
        <f t="shared" ca="1" si="1532"/>
        <v>6978659.3398002684</v>
      </c>
      <c r="AY360" s="55">
        <f t="shared" ref="AY360:AZ360" ca="1" si="1533">AY359/AY321</f>
        <v>7014628.1781302942</v>
      </c>
      <c r="AZ360" s="55">
        <f t="shared" ca="1" si="1533"/>
        <v>4440731.2975316728</v>
      </c>
      <c r="BA360" s="55">
        <f t="shared" ref="BA360:BB360" ca="1" si="1534">BA359/BA321</f>
        <v>3416700.6509819324</v>
      </c>
      <c r="BB360" s="55">
        <f t="shared" ca="1" si="1534"/>
        <v>3956958.4464813056</v>
      </c>
      <c r="BC360" s="106"/>
      <c r="BD360" s="57">
        <f ca="1">SUM(G360:BC360)</f>
        <v>275749449.74064022</v>
      </c>
    </row>
    <row r="361" spans="1:56" hidden="1" outlineLevel="1" x14ac:dyDescent="0.3">
      <c r="A361" s="35" t="str">
        <f ca="1">Language!A$1372</f>
        <v>оттоки</v>
      </c>
      <c r="B361" s="107"/>
      <c r="C361" s="48" t="str">
        <f ca="1">Параметры!$C$64</f>
        <v>руб.</v>
      </c>
      <c r="F361" s="6" t="s">
        <v>740</v>
      </c>
      <c r="G361" s="55">
        <f ca="1">IF(G334&lt;0,G334,0)</f>
        <v>0</v>
      </c>
      <c r="H361" s="55">
        <f t="shared" ref="H361:L361" ca="1" si="1535">IF(H334&lt;0,H334,0)</f>
        <v>-1658333.6666666667</v>
      </c>
      <c r="I361" s="55">
        <f t="shared" ca="1" si="1535"/>
        <v>-136658332.66666666</v>
      </c>
      <c r="J361" s="55">
        <f t="shared" ca="1" si="1535"/>
        <v>-18391666.666666668</v>
      </c>
      <c r="K361" s="55">
        <f t="shared" ca="1" si="1535"/>
        <v>-17025000</v>
      </c>
      <c r="L361" s="55">
        <f t="shared" ca="1" si="1535"/>
        <v>-18902925.060418263</v>
      </c>
      <c r="M361" s="55">
        <f t="shared" ref="M361:N361" ca="1" si="1536">IF(M334&lt;0,M334,0)</f>
        <v>-8886918.2840950675</v>
      </c>
      <c r="N361" s="55">
        <f t="shared" ca="1" si="1536"/>
        <v>-8232039.9085776005</v>
      </c>
      <c r="O361" s="55">
        <f t="shared" ref="O361:P361" ca="1" si="1537">IF(O334&lt;0,O334,0)</f>
        <v>-1667267.5623055082</v>
      </c>
      <c r="P361" s="55">
        <f t="shared" ca="1" si="1537"/>
        <v>0</v>
      </c>
      <c r="Q361" s="55">
        <f t="shared" ref="Q361:R361" ca="1" si="1538">IF(Q334&lt;0,Q334,0)</f>
        <v>0</v>
      </c>
      <c r="R361" s="55">
        <f t="shared" ca="1" si="1538"/>
        <v>-420607.08244144218</v>
      </c>
      <c r="S361" s="55">
        <f t="shared" ref="S361:T361" ca="1" si="1539">IF(S334&lt;0,S334,0)</f>
        <v>0</v>
      </c>
      <c r="T361" s="55">
        <f t="shared" ca="1" si="1539"/>
        <v>0</v>
      </c>
      <c r="U361" s="55">
        <f t="shared" ref="U361:V361" ca="1" si="1540">IF(U334&lt;0,U334,0)</f>
        <v>0</v>
      </c>
      <c r="V361" s="55">
        <f t="shared" ca="1" si="1540"/>
        <v>0</v>
      </c>
      <c r="W361" s="55">
        <f t="shared" ref="W361:X361" ca="1" si="1541">IF(W334&lt;0,W334,0)</f>
        <v>-2319192.6863205186</v>
      </c>
      <c r="X361" s="55">
        <f t="shared" ca="1" si="1541"/>
        <v>0</v>
      </c>
      <c r="Y361" s="55">
        <f t="shared" ref="Y361:Z361" ca="1" si="1542">IF(Y334&lt;0,Y334,0)</f>
        <v>0</v>
      </c>
      <c r="Z361" s="55">
        <f t="shared" ca="1" si="1542"/>
        <v>0</v>
      </c>
      <c r="AA361" s="55">
        <f t="shared" ref="AA361:AB361" ca="1" si="1543">IF(AA334&lt;0,AA334,0)</f>
        <v>0</v>
      </c>
      <c r="AB361" s="55">
        <f t="shared" ca="1" si="1543"/>
        <v>-2415857.3638888802</v>
      </c>
      <c r="AC361" s="55">
        <f t="shared" ref="AC361:AD361" ca="1" si="1544">IF(AC334&lt;0,AC334,0)</f>
        <v>-3987167.0828123656</v>
      </c>
      <c r="AD361" s="55">
        <f t="shared" ca="1" si="1544"/>
        <v>-3273309.9415708464</v>
      </c>
      <c r="AE361" s="55">
        <f t="shared" ref="AE361:AF361" ca="1" si="1545">IF(AE334&lt;0,AE334,0)</f>
        <v>0</v>
      </c>
      <c r="AF361" s="55">
        <f t="shared" ca="1" si="1545"/>
        <v>0</v>
      </c>
      <c r="AG361" s="55">
        <f t="shared" ref="AG361:AH361" ca="1" si="1546">IF(AG334&lt;0,AG334,0)</f>
        <v>-540098.95463437866</v>
      </c>
      <c r="AH361" s="55">
        <f t="shared" ca="1" si="1546"/>
        <v>-574667.89207660966</v>
      </c>
      <c r="AI361" s="55">
        <f t="shared" ref="AI361:AJ361" ca="1" si="1547">IF(AI334&lt;0,AI334,0)</f>
        <v>-3240425.3586354423</v>
      </c>
      <c r="AJ361" s="55">
        <f t="shared" ca="1" si="1547"/>
        <v>0</v>
      </c>
      <c r="AK361" s="55">
        <f t="shared" ref="AK361:AL361" ca="1" si="1548">IF(AK334&lt;0,AK334,0)</f>
        <v>0</v>
      </c>
      <c r="AL361" s="55">
        <f t="shared" ca="1" si="1548"/>
        <v>0</v>
      </c>
      <c r="AM361" s="55">
        <f t="shared" ref="AM361:AN361" ca="1" si="1549">IF(AM334&lt;0,AM334,0)</f>
        <v>0</v>
      </c>
      <c r="AN361" s="55">
        <f t="shared" ca="1" si="1549"/>
        <v>-93692.789339616895</v>
      </c>
      <c r="AO361" s="55">
        <f t="shared" ref="AO361:AP361" ca="1" si="1550">IF(AO334&lt;0,AO334,0)</f>
        <v>-1782260.8560498543</v>
      </c>
      <c r="AP361" s="55">
        <f t="shared" ca="1" si="1550"/>
        <v>-1100235.641295475</v>
      </c>
      <c r="AQ361" s="55">
        <f t="shared" ref="AQ361:AR361" ca="1" si="1551">IF(AQ334&lt;0,AQ334,0)</f>
        <v>0</v>
      </c>
      <c r="AR361" s="55">
        <f t="shared" ca="1" si="1551"/>
        <v>0</v>
      </c>
      <c r="AS361" s="55">
        <f t="shared" ref="AS361:AT361" ca="1" si="1552">IF(AS334&lt;0,AS334,0)</f>
        <v>0</v>
      </c>
      <c r="AT361" s="55">
        <f t="shared" ca="1" si="1552"/>
        <v>0</v>
      </c>
      <c r="AU361" s="55">
        <f t="shared" ref="AU361:AV361" ca="1" si="1553">IF(AU334&lt;0,AU334,0)</f>
        <v>-1435587.0209467961</v>
      </c>
      <c r="AV361" s="55">
        <f t="shared" ca="1" si="1553"/>
        <v>0</v>
      </c>
      <c r="AW361" s="55">
        <f t="shared" ref="AW361:AX361" ca="1" si="1554">IF(AW334&lt;0,AW334,0)</f>
        <v>0</v>
      </c>
      <c r="AX361" s="55">
        <f t="shared" ca="1" si="1554"/>
        <v>0</v>
      </c>
      <c r="AY361" s="55">
        <f t="shared" ref="AY361:AZ361" ca="1" si="1555">IF(AY334&lt;0,AY334,0)</f>
        <v>0</v>
      </c>
      <c r="AZ361" s="55">
        <f t="shared" ca="1" si="1555"/>
        <v>0</v>
      </c>
      <c r="BA361" s="55">
        <f t="shared" ref="BA361:BB361" ca="1" si="1556">IF(BA334&lt;0,BA334,0)</f>
        <v>0</v>
      </c>
      <c r="BB361" s="55">
        <f t="shared" ca="1" si="1556"/>
        <v>0</v>
      </c>
      <c r="BC361" s="106"/>
      <c r="BD361" s="57">
        <f ca="1">SUM(G361:BC361)</f>
        <v>-232605586.48540866</v>
      </c>
    </row>
    <row r="362" spans="1:56" hidden="1" outlineLevel="1" x14ac:dyDescent="0.3">
      <c r="A362" s="35" t="str">
        <f ca="1">Language!A$1373</f>
        <v>дисконтированные оттоки</v>
      </c>
      <c r="B362" s="107"/>
      <c r="C362" s="48" t="str">
        <f ca="1">Параметры!$C$64</f>
        <v>руб.</v>
      </c>
      <c r="F362" s="6" t="s">
        <v>740</v>
      </c>
      <c r="G362" s="55">
        <f ca="1">G361/G321</f>
        <v>0</v>
      </c>
      <c r="H362" s="55">
        <f t="shared" ref="H362:L362" ca="1" si="1557">H361/H321</f>
        <v>-1632199.1103321873</v>
      </c>
      <c r="I362" s="55">
        <f t="shared" ca="1" si="1557"/>
        <v>-132384931.78399597</v>
      </c>
      <c r="J362" s="55">
        <f t="shared" ca="1" si="1557"/>
        <v>-17535766.120541852</v>
      </c>
      <c r="K362" s="55">
        <f t="shared" ca="1" si="1557"/>
        <v>-15976880.877858773</v>
      </c>
      <c r="L362" s="55">
        <f t="shared" ca="1" si="1557"/>
        <v>-17459632.906378116</v>
      </c>
      <c r="M362" s="55">
        <f t="shared" ref="M362:N362" ca="1" si="1558">M361/M321</f>
        <v>-8079016.621904606</v>
      </c>
      <c r="N362" s="55">
        <f t="shared" ca="1" si="1558"/>
        <v>-7365733.4934109477</v>
      </c>
      <c r="O362" s="55">
        <f t="shared" ref="O362:P362" ca="1" si="1559">O361/O321</f>
        <v>-1468300.8625464165</v>
      </c>
      <c r="P362" s="55">
        <f t="shared" ca="1" si="1559"/>
        <v>0</v>
      </c>
      <c r="Q362" s="55">
        <f t="shared" ref="Q362:R362" ca="1" si="1560">Q361/Q321</f>
        <v>0</v>
      </c>
      <c r="R362" s="55">
        <f t="shared" ca="1" si="1560"/>
        <v>-353175.03093392117</v>
      </c>
      <c r="S362" s="55">
        <f t="shared" ref="S362:T362" ca="1" si="1561">S361/S321</f>
        <v>0</v>
      </c>
      <c r="T362" s="55">
        <f t="shared" ca="1" si="1561"/>
        <v>0</v>
      </c>
      <c r="U362" s="55">
        <f t="shared" ref="U362:V362" ca="1" si="1562">U361/U321</f>
        <v>0</v>
      </c>
      <c r="V362" s="55">
        <f t="shared" ca="1" si="1562"/>
        <v>0</v>
      </c>
      <c r="W362" s="55">
        <f t="shared" ref="W362:X362" ca="1" si="1563">W361/W321</f>
        <v>-1798690.0781371198</v>
      </c>
      <c r="X362" s="55">
        <f t="shared" ca="1" si="1563"/>
        <v>0</v>
      </c>
      <c r="Y362" s="55">
        <f t="shared" ref="Y362:Z362" ca="1" si="1564">Y361/Y321</f>
        <v>0</v>
      </c>
      <c r="Z362" s="55">
        <f t="shared" ca="1" si="1564"/>
        <v>0</v>
      </c>
      <c r="AA362" s="55">
        <f t="shared" ref="AA362:AB362" ca="1" si="1565">AA361/AA321</f>
        <v>0</v>
      </c>
      <c r="AB362" s="55">
        <f t="shared" ca="1" si="1565"/>
        <v>-1730600.764403848</v>
      </c>
      <c r="AC362" s="55">
        <f t="shared" ref="AC362:AD362" ca="1" si="1566">AC361/AC321</f>
        <v>-2811196.8421483324</v>
      </c>
      <c r="AD362" s="55">
        <f t="shared" ca="1" si="1566"/>
        <v>-2271512.7023677286</v>
      </c>
      <c r="AE362" s="55">
        <f t="shared" ref="AE362:AF362" ca="1" si="1567">AE361/AE321</f>
        <v>0</v>
      </c>
      <c r="AF362" s="55">
        <f t="shared" ca="1" si="1567"/>
        <v>0</v>
      </c>
      <c r="AG362" s="55">
        <f t="shared" ref="AG362:AH362" ca="1" si="1568">AG361/AG321</f>
        <v>-357359.25522579916</v>
      </c>
      <c r="AH362" s="55">
        <f t="shared" ca="1" si="1568"/>
        <v>-374239.69423923944</v>
      </c>
      <c r="AI362" s="55">
        <f t="shared" ref="AI362:AJ362" ca="1" si="1569">AI361/AI321</f>
        <v>-2076998.381469182</v>
      </c>
      <c r="AJ362" s="55">
        <f t="shared" ca="1" si="1569"/>
        <v>0</v>
      </c>
      <c r="AK362" s="55">
        <f t="shared" ref="AK362:AL362" ca="1" si="1570">AK361/AK321</f>
        <v>0</v>
      </c>
      <c r="AL362" s="55">
        <f t="shared" ca="1" si="1570"/>
        <v>0</v>
      </c>
      <c r="AM362" s="55">
        <f t="shared" ref="AM362:AN362" ca="1" si="1571">AM361/AM321</f>
        <v>0</v>
      </c>
      <c r="AN362" s="55">
        <f t="shared" ca="1" si="1571"/>
        <v>-55468.497257013551</v>
      </c>
      <c r="AO362" s="55">
        <f t="shared" ref="AO362:AP362" ca="1" si="1572">AO361/AO321</f>
        <v>-1038514.8703637674</v>
      </c>
      <c r="AP362" s="55">
        <f t="shared" ca="1" si="1572"/>
        <v>-630998.57634225721</v>
      </c>
      <c r="AQ362" s="55">
        <f t="shared" ref="AQ362:AR362" ca="1" si="1573">AQ361/AQ321</f>
        <v>0</v>
      </c>
      <c r="AR362" s="55">
        <f t="shared" ca="1" si="1573"/>
        <v>0</v>
      </c>
      <c r="AS362" s="55">
        <f t="shared" ref="AS362:AT362" ca="1" si="1574">AS361/AS321</f>
        <v>0</v>
      </c>
      <c r="AT362" s="55">
        <f t="shared" ca="1" si="1574"/>
        <v>0</v>
      </c>
      <c r="AU362" s="55">
        <f t="shared" ref="AU362:AV362" ca="1" si="1575">AU361/AU321</f>
        <v>-760463.35085304058</v>
      </c>
      <c r="AV362" s="55">
        <f t="shared" ca="1" si="1575"/>
        <v>0</v>
      </c>
      <c r="AW362" s="55">
        <f t="shared" ref="AW362:AX362" ca="1" si="1576">AW361/AW321</f>
        <v>0</v>
      </c>
      <c r="AX362" s="55">
        <f t="shared" ca="1" si="1576"/>
        <v>0</v>
      </c>
      <c r="AY362" s="55">
        <f t="shared" ref="AY362:AZ362" ca="1" si="1577">AY361/AY321</f>
        <v>0</v>
      </c>
      <c r="AZ362" s="55">
        <f t="shared" ca="1" si="1577"/>
        <v>0</v>
      </c>
      <c r="BA362" s="55">
        <f t="shared" ref="BA362:BB362" ca="1" si="1578">BA361/BA321</f>
        <v>0</v>
      </c>
      <c r="BB362" s="55">
        <f t="shared" ca="1" si="1578"/>
        <v>0</v>
      </c>
      <c r="BC362" s="106"/>
      <c r="BD362" s="57">
        <f ca="1">SUM(G362:BC362)</f>
        <v>-216161679.82071015</v>
      </c>
    </row>
    <row r="363" spans="1:56" hidden="1" x14ac:dyDescent="0.3">
      <c r="A363" s="12"/>
      <c r="B363" s="83"/>
      <c r="C363" s="51"/>
      <c r="D363" s="14"/>
      <c r="E363" s="14" t="s">
        <v>736</v>
      </c>
      <c r="F363" s="14"/>
      <c r="G363" s="13"/>
      <c r="H363" s="13"/>
      <c r="I363" s="13"/>
      <c r="J363" s="13"/>
      <c r="K363" s="13"/>
      <c r="L363" s="13"/>
      <c r="M363" s="13"/>
      <c r="N363" s="13"/>
      <c r="O363" s="13"/>
      <c r="P363" s="13"/>
      <c r="Q363" s="13"/>
      <c r="R363" s="13"/>
      <c r="S363" s="13"/>
      <c r="T363" s="13"/>
      <c r="U363" s="13"/>
      <c r="V363" s="13"/>
      <c r="W363" s="13"/>
      <c r="X363" s="13"/>
      <c r="Y363" s="13"/>
      <c r="Z363" s="13"/>
      <c r="AA363" s="13"/>
      <c r="AB363" s="13"/>
      <c r="AC363" s="13"/>
      <c r="AD363" s="13"/>
      <c r="AE363" s="13"/>
      <c r="AF363" s="13"/>
      <c r="AG363" s="13"/>
      <c r="AH363" s="13"/>
      <c r="AI363" s="13"/>
      <c r="AJ363" s="13"/>
      <c r="AK363" s="13"/>
      <c r="AL363" s="13"/>
      <c r="AM363" s="13"/>
      <c r="AN363" s="13"/>
      <c r="AO363" s="13"/>
      <c r="AP363" s="13"/>
      <c r="AQ363" s="13"/>
      <c r="AR363" s="13"/>
      <c r="AS363" s="13"/>
      <c r="AT363" s="13"/>
      <c r="AU363" s="13"/>
      <c r="AV363" s="13"/>
      <c r="AW363" s="13"/>
      <c r="AX363" s="13"/>
      <c r="AY363" s="13"/>
      <c r="AZ363" s="13"/>
      <c r="BA363" s="13"/>
      <c r="BB363" s="13"/>
      <c r="BC363" s="13"/>
      <c r="BD363" s="13"/>
    </row>
    <row r="364" spans="1:56" hidden="1" x14ac:dyDescent="0.3"/>
    <row r="365" spans="1:56" hidden="1" x14ac:dyDescent="0.3"/>
    <row r="366" spans="1:56" s="9" customFormat="1" ht="25.5" hidden="1" customHeight="1" thickBot="1" x14ac:dyDescent="0.35">
      <c r="A366" s="323" t="str">
        <f ca="1">Language!A1396</f>
        <v>ЭФФЕКТИВНОСТЬ ДЛЯ БАНКА (CFADS)</v>
      </c>
      <c r="B366" s="337"/>
      <c r="C366" s="338"/>
      <c r="D366" s="326"/>
      <c r="E366" s="326" t="s">
        <v>901</v>
      </c>
      <c r="F366" s="326"/>
      <c r="G366" s="327" t="str">
        <f ca="1">Параметры!G$34</f>
        <v>янв.25</v>
      </c>
      <c r="H366" s="327" t="str">
        <f ca="1">Параметры!H$34</f>
        <v>фев.25</v>
      </c>
      <c r="I366" s="327" t="str">
        <f ca="1">Параметры!I$34</f>
        <v>мар.25</v>
      </c>
      <c r="J366" s="327" t="str">
        <f ca="1">Параметры!J$34</f>
        <v>апр.25</v>
      </c>
      <c r="K366" s="327" t="str">
        <f ca="1">Параметры!K$34</f>
        <v>май.25</v>
      </c>
      <c r="L366" s="327" t="str">
        <f ca="1">Параметры!L$34</f>
        <v>июн.25</v>
      </c>
      <c r="M366" s="328" t="str">
        <f ca="1">Параметры!M$34</f>
        <v>июл.25</v>
      </c>
      <c r="N366" s="328" t="str">
        <f ca="1">Параметры!N$34</f>
        <v>авг.25</v>
      </c>
      <c r="O366" s="328" t="str">
        <f ca="1">Параметры!O$34</f>
        <v>сен.25</v>
      </c>
      <c r="P366" s="328" t="str">
        <f ca="1">Параметры!P$34</f>
        <v>окт.25</v>
      </c>
      <c r="Q366" s="328" t="str">
        <f ca="1">Параметры!Q$34</f>
        <v>ноя.25</v>
      </c>
      <c r="R366" s="328" t="str">
        <f ca="1">Параметры!R$34</f>
        <v>дек.25</v>
      </c>
      <c r="S366" s="328" t="str">
        <f ca="1">Параметры!S$34</f>
        <v>янв.26</v>
      </c>
      <c r="T366" s="328" t="str">
        <f ca="1">Параметры!T$34</f>
        <v>фев.26</v>
      </c>
      <c r="U366" s="328" t="str">
        <f ca="1">Параметры!U$34</f>
        <v>мар.26</v>
      </c>
      <c r="V366" s="328" t="str">
        <f ca="1">Параметры!V$34</f>
        <v>апр.26</v>
      </c>
      <c r="W366" s="328" t="str">
        <f ca="1">Параметры!W$34</f>
        <v>май.26</v>
      </c>
      <c r="X366" s="328" t="str">
        <f ca="1">Параметры!X$34</f>
        <v>июн.26</v>
      </c>
      <c r="Y366" s="328" t="str">
        <f ca="1">Параметры!Y$34</f>
        <v>июл.26</v>
      </c>
      <c r="Z366" s="328" t="str">
        <f ca="1">Параметры!Z$34</f>
        <v>авг.26</v>
      </c>
      <c r="AA366" s="328" t="str">
        <f ca="1">Параметры!AA$34</f>
        <v>сен.26</v>
      </c>
      <c r="AB366" s="328" t="str">
        <f ca="1">Параметры!AB$34</f>
        <v>окт.26</v>
      </c>
      <c r="AC366" s="328" t="str">
        <f ca="1">Параметры!AC$34</f>
        <v>ноя.26</v>
      </c>
      <c r="AD366" s="328" t="str">
        <f ca="1">Параметры!AD$34</f>
        <v>дек.26</v>
      </c>
      <c r="AE366" s="328" t="str">
        <f ca="1">Параметры!AE$34</f>
        <v>янв.27</v>
      </c>
      <c r="AF366" s="328" t="str">
        <f ca="1">Параметры!AF$34</f>
        <v>фев.27</v>
      </c>
      <c r="AG366" s="328" t="str">
        <f ca="1">Параметры!AG$34</f>
        <v>мар.27</v>
      </c>
      <c r="AH366" s="328" t="str">
        <f ca="1">Параметры!AH$34</f>
        <v>апр.27</v>
      </c>
      <c r="AI366" s="328" t="str">
        <f ca="1">Параметры!AI$34</f>
        <v>май.27</v>
      </c>
      <c r="AJ366" s="328" t="str">
        <f ca="1">Параметры!AJ$34</f>
        <v>июн.27</v>
      </c>
      <c r="AK366" s="328" t="str">
        <f ca="1">Параметры!AK$34</f>
        <v>июл.27</v>
      </c>
      <c r="AL366" s="328" t="str">
        <f ca="1">Параметры!AL$34</f>
        <v>авг.27</v>
      </c>
      <c r="AM366" s="328" t="str">
        <f ca="1">Параметры!AM$34</f>
        <v>сен.27</v>
      </c>
      <c r="AN366" s="328" t="str">
        <f ca="1">Параметры!AN$34</f>
        <v>окт.27</v>
      </c>
      <c r="AO366" s="328" t="str">
        <f ca="1">Параметры!AO$34</f>
        <v>ноя.27</v>
      </c>
      <c r="AP366" s="328" t="str">
        <f ca="1">Параметры!AP$34</f>
        <v>дек.27</v>
      </c>
      <c r="AQ366" s="328" t="str">
        <f ca="1">Параметры!AQ$34</f>
        <v>янв.28</v>
      </c>
      <c r="AR366" s="328" t="str">
        <f ca="1">Параметры!AR$34</f>
        <v>фев.28</v>
      </c>
      <c r="AS366" s="328" t="str">
        <f ca="1">Параметры!AS$34</f>
        <v>мар.28</v>
      </c>
      <c r="AT366" s="328" t="str">
        <f ca="1">Параметры!AT$34</f>
        <v>апр.28</v>
      </c>
      <c r="AU366" s="328" t="str">
        <f ca="1">Параметры!AU$34</f>
        <v>май.28</v>
      </c>
      <c r="AV366" s="328" t="str">
        <f ca="1">Параметры!AV$34</f>
        <v>июн.28</v>
      </c>
      <c r="AW366" s="328" t="str">
        <f ca="1">Параметры!AW$34</f>
        <v>июл.28</v>
      </c>
      <c r="AX366" s="328" t="str">
        <f ca="1">Параметры!AX$34</f>
        <v>авг.28</v>
      </c>
      <c r="AY366" s="328" t="str">
        <f ca="1">Параметры!AY$34</f>
        <v>сен.28</v>
      </c>
      <c r="AZ366" s="328" t="str">
        <f ca="1">Параметры!AZ$34</f>
        <v>окт.28</v>
      </c>
      <c r="BA366" s="328" t="str">
        <f ca="1">Параметры!BA$34</f>
        <v>ноя.28</v>
      </c>
      <c r="BB366" s="328" t="str">
        <f ca="1">Параметры!BB$34</f>
        <v>дек.28</v>
      </c>
      <c r="BC366" s="328"/>
      <c r="BD366" s="329" t="str">
        <f ca="1">Language!$A$1473</f>
        <v>ИТОГО</v>
      </c>
    </row>
    <row r="367" spans="1:56" hidden="1" x14ac:dyDescent="0.3">
      <c r="A367" s="247"/>
    </row>
    <row r="368" spans="1:56" hidden="1" collapsed="1" x14ac:dyDescent="0.3">
      <c r="A368" s="10" t="str">
        <f ca="1">Language!A1397</f>
        <v>Ставка дисконтирования</v>
      </c>
      <c r="B368" s="97">
        <f>Параметры!B121</f>
        <v>0.2</v>
      </c>
      <c r="C368" s="48" t="s">
        <v>1</v>
      </c>
    </row>
    <row r="369" spans="1:56" hidden="1" outlineLevel="1" x14ac:dyDescent="0.3">
      <c r="A369" s="35" t="str">
        <f ca="1">Language!A1398</f>
        <v>ставка на расчетный период</v>
      </c>
      <c r="C369" s="48" t="s">
        <v>1</v>
      </c>
      <c r="F369" s="6" t="s">
        <v>745</v>
      </c>
      <c r="G369" s="98">
        <f>((1+$B368) / IF(Prj_Inflation, 1, 1+CHOOSE(Prj_CurReport, Параметры!G$43,Параметры!G$56,Параметры!G$62))) ^ (Параметры!G$31/12) -1</f>
        <v>1.5309470499731193E-2</v>
      </c>
      <c r="H369" s="98">
        <f>((1+$B368) / IF(Prj_Inflation, 1, 1+CHOOSE(Prj_CurReport, Параметры!H$43,Параметры!H$56,Параметры!H$62))) ^ (Параметры!H$31/12) -1</f>
        <v>1.5309470499731193E-2</v>
      </c>
      <c r="I369" s="98">
        <f>((1+$B368) / IF(Prj_Inflation, 1, 1+CHOOSE(Prj_CurReport, Параметры!I$43,Параметры!I$56,Параметры!I$62))) ^ (Параметры!I$31/12) -1</f>
        <v>1.5309470499731193E-2</v>
      </c>
      <c r="J369" s="98">
        <f>((1+$B368) / IF(Prj_Inflation, 1, 1+CHOOSE(Prj_CurReport, Параметры!J$43,Параметры!J$56,Параметры!J$62))) ^ (Параметры!J$31/12) -1</f>
        <v>1.5309470499731193E-2</v>
      </c>
      <c r="K369" s="98">
        <f>((1+$B368) / IF(Prj_Inflation, 1, 1+CHOOSE(Prj_CurReport, Параметры!K$43,Параметры!K$56,Параметры!K$62))) ^ (Параметры!K$31/12) -1</f>
        <v>1.5309470499731193E-2</v>
      </c>
      <c r="L369" s="98">
        <f>((1+$B368) / IF(Prj_Inflation, 1, 1+CHOOSE(Prj_CurReport, Параметры!L$43,Параметры!L$56,Параметры!L$62))) ^ (Параметры!L$31/12) -1</f>
        <v>1.5309470499731193E-2</v>
      </c>
      <c r="M369" s="98">
        <f>((1+$B368) / IF(Prj_Inflation, 1, 1+CHOOSE(Prj_CurReport, Параметры!M$43,Параметры!M$56,Параметры!M$62))) ^ (Параметры!M$31/12) -1</f>
        <v>1.5309470499731193E-2</v>
      </c>
      <c r="N369" s="98">
        <f>((1+$B368) / IF(Prj_Inflation, 1, 1+CHOOSE(Prj_CurReport, Параметры!N$43,Параметры!N$56,Параметры!N$62))) ^ (Параметры!N$31/12) -1</f>
        <v>1.5309470499731193E-2</v>
      </c>
      <c r="O369" s="98">
        <f>((1+$B368) / IF(Prj_Inflation, 1, 1+CHOOSE(Prj_CurReport, Параметры!O$43,Параметры!O$56,Параметры!O$62))) ^ (Параметры!O$31/12) -1</f>
        <v>1.5309470499731193E-2</v>
      </c>
      <c r="P369" s="98">
        <f>((1+$B368) / IF(Prj_Inflation, 1, 1+CHOOSE(Prj_CurReport, Параметры!P$43,Параметры!P$56,Параметры!P$62))) ^ (Параметры!P$31/12) -1</f>
        <v>1.5309470499731193E-2</v>
      </c>
      <c r="Q369" s="98">
        <f>((1+$B368) / IF(Prj_Inflation, 1, 1+CHOOSE(Prj_CurReport, Параметры!Q$43,Параметры!Q$56,Параметры!Q$62))) ^ (Параметры!Q$31/12) -1</f>
        <v>1.5309470499731193E-2</v>
      </c>
      <c r="R369" s="98">
        <f>((1+$B368) / IF(Prj_Inflation, 1, 1+CHOOSE(Prj_CurReport, Параметры!R$43,Параметры!R$56,Параметры!R$62))) ^ (Параметры!R$31/12) -1</f>
        <v>1.5309470499731193E-2</v>
      </c>
      <c r="S369" s="98">
        <f>((1+$B368) / IF(Prj_Inflation, 1, 1+CHOOSE(Prj_CurReport, Параметры!S$43,Параметры!S$56,Параметры!S$62))) ^ (Параметры!S$31/12) -1</f>
        <v>1.5309470499731193E-2</v>
      </c>
      <c r="T369" s="98">
        <f>((1+$B368) / IF(Prj_Inflation, 1, 1+CHOOSE(Prj_CurReport, Параметры!T$43,Параметры!T$56,Параметры!T$62))) ^ (Параметры!T$31/12) -1</f>
        <v>1.5309470499731193E-2</v>
      </c>
      <c r="U369" s="98">
        <f>((1+$B368) / IF(Prj_Inflation, 1, 1+CHOOSE(Prj_CurReport, Параметры!U$43,Параметры!U$56,Параметры!U$62))) ^ (Параметры!U$31/12) -1</f>
        <v>1.5309470499731193E-2</v>
      </c>
      <c r="V369" s="98">
        <f>((1+$B368) / IF(Prj_Inflation, 1, 1+CHOOSE(Prj_CurReport, Параметры!V$43,Параметры!V$56,Параметры!V$62))) ^ (Параметры!V$31/12) -1</f>
        <v>1.5309470499731193E-2</v>
      </c>
      <c r="W369" s="98">
        <f>((1+$B368) / IF(Prj_Inflation, 1, 1+CHOOSE(Prj_CurReport, Параметры!W$43,Параметры!W$56,Параметры!W$62))) ^ (Параметры!W$31/12) -1</f>
        <v>1.5309470499731193E-2</v>
      </c>
      <c r="X369" s="98">
        <f>((1+$B368) / IF(Prj_Inflation, 1, 1+CHOOSE(Prj_CurReport, Параметры!X$43,Параметры!X$56,Параметры!X$62))) ^ (Параметры!X$31/12) -1</f>
        <v>1.5309470499731193E-2</v>
      </c>
      <c r="Y369" s="98">
        <f>((1+$B368) / IF(Prj_Inflation, 1, 1+CHOOSE(Prj_CurReport, Параметры!Y$43,Параметры!Y$56,Параметры!Y$62))) ^ (Параметры!Y$31/12) -1</f>
        <v>1.5309470499731193E-2</v>
      </c>
      <c r="Z369" s="98">
        <f>((1+$B368) / IF(Prj_Inflation, 1, 1+CHOOSE(Prj_CurReport, Параметры!Z$43,Параметры!Z$56,Параметры!Z$62))) ^ (Параметры!Z$31/12) -1</f>
        <v>1.5309470499731193E-2</v>
      </c>
      <c r="AA369" s="98">
        <f>((1+$B368) / IF(Prj_Inflation, 1, 1+CHOOSE(Prj_CurReport, Параметры!AA$43,Параметры!AA$56,Параметры!AA$62))) ^ (Параметры!AA$31/12) -1</f>
        <v>1.5309470499731193E-2</v>
      </c>
      <c r="AB369" s="98">
        <f>((1+$B368) / IF(Prj_Inflation, 1, 1+CHOOSE(Prj_CurReport, Параметры!AB$43,Параметры!AB$56,Параметры!AB$62))) ^ (Параметры!AB$31/12) -1</f>
        <v>1.5309470499731193E-2</v>
      </c>
      <c r="AC369" s="98">
        <f>((1+$B368) / IF(Prj_Inflation, 1, 1+CHOOSE(Prj_CurReport, Параметры!AC$43,Параметры!AC$56,Параметры!AC$62))) ^ (Параметры!AC$31/12) -1</f>
        <v>1.5309470499731193E-2</v>
      </c>
      <c r="AD369" s="98">
        <f>((1+$B368) / IF(Prj_Inflation, 1, 1+CHOOSE(Prj_CurReport, Параметры!AD$43,Параметры!AD$56,Параметры!AD$62))) ^ (Параметры!AD$31/12) -1</f>
        <v>1.5309470499731193E-2</v>
      </c>
      <c r="AE369" s="98">
        <f>((1+$B368) / IF(Prj_Inflation, 1, 1+CHOOSE(Prj_CurReport, Параметры!AE$43,Параметры!AE$56,Параметры!AE$62))) ^ (Параметры!AE$31/12) -1</f>
        <v>1.5309470499731193E-2</v>
      </c>
      <c r="AF369" s="98">
        <f>((1+$B368) / IF(Prj_Inflation, 1, 1+CHOOSE(Prj_CurReport, Параметры!AF$43,Параметры!AF$56,Параметры!AF$62))) ^ (Параметры!AF$31/12) -1</f>
        <v>1.5309470499731193E-2</v>
      </c>
      <c r="AG369" s="98">
        <f>((1+$B368) / IF(Prj_Inflation, 1, 1+CHOOSE(Prj_CurReport, Параметры!AG$43,Параметры!AG$56,Параметры!AG$62))) ^ (Параметры!AG$31/12) -1</f>
        <v>1.5309470499731193E-2</v>
      </c>
      <c r="AH369" s="98">
        <f>((1+$B368) / IF(Prj_Inflation, 1, 1+CHOOSE(Prj_CurReport, Параметры!AH$43,Параметры!AH$56,Параметры!AH$62))) ^ (Параметры!AH$31/12) -1</f>
        <v>1.5309470499731193E-2</v>
      </c>
      <c r="AI369" s="98">
        <f>((1+$B368) / IF(Prj_Inflation, 1, 1+CHOOSE(Prj_CurReport, Параметры!AI$43,Параметры!AI$56,Параметры!AI$62))) ^ (Параметры!AI$31/12) -1</f>
        <v>1.5309470499731193E-2</v>
      </c>
      <c r="AJ369" s="98">
        <f>((1+$B368) / IF(Prj_Inflation, 1, 1+CHOOSE(Prj_CurReport, Параметры!AJ$43,Параметры!AJ$56,Параметры!AJ$62))) ^ (Параметры!AJ$31/12) -1</f>
        <v>1.5309470499731193E-2</v>
      </c>
      <c r="AK369" s="98">
        <f>((1+$B368) / IF(Prj_Inflation, 1, 1+CHOOSE(Prj_CurReport, Параметры!AK$43,Параметры!AK$56,Параметры!AK$62))) ^ (Параметры!AK$31/12) -1</f>
        <v>1.5309470499731193E-2</v>
      </c>
      <c r="AL369" s="98">
        <f>((1+$B368) / IF(Prj_Inflation, 1, 1+CHOOSE(Prj_CurReport, Параметры!AL$43,Параметры!AL$56,Параметры!AL$62))) ^ (Параметры!AL$31/12) -1</f>
        <v>1.5309470499731193E-2</v>
      </c>
      <c r="AM369" s="98">
        <f>((1+$B368) / IF(Prj_Inflation, 1, 1+CHOOSE(Prj_CurReport, Параметры!AM$43,Параметры!AM$56,Параметры!AM$62))) ^ (Параметры!AM$31/12) -1</f>
        <v>1.5309470499731193E-2</v>
      </c>
      <c r="AN369" s="98">
        <f>((1+$B368) / IF(Prj_Inflation, 1, 1+CHOOSE(Prj_CurReport, Параметры!AN$43,Параметры!AN$56,Параметры!AN$62))) ^ (Параметры!AN$31/12) -1</f>
        <v>1.5309470499731193E-2</v>
      </c>
      <c r="AO369" s="98">
        <f>((1+$B368) / IF(Prj_Inflation, 1, 1+CHOOSE(Prj_CurReport, Параметры!AO$43,Параметры!AO$56,Параметры!AO$62))) ^ (Параметры!AO$31/12) -1</f>
        <v>1.5309470499731193E-2</v>
      </c>
      <c r="AP369" s="98">
        <f>((1+$B368) / IF(Prj_Inflation, 1, 1+CHOOSE(Prj_CurReport, Параметры!AP$43,Параметры!AP$56,Параметры!AP$62))) ^ (Параметры!AP$31/12) -1</f>
        <v>1.5309470499731193E-2</v>
      </c>
      <c r="AQ369" s="98">
        <f>((1+$B368) / IF(Prj_Inflation, 1, 1+CHOOSE(Prj_CurReport, Параметры!AQ$43,Параметры!AQ$56,Параметры!AQ$62))) ^ (Параметры!AQ$31/12) -1</f>
        <v>1.5309470499731193E-2</v>
      </c>
      <c r="AR369" s="98">
        <f>((1+$B368) / IF(Prj_Inflation, 1, 1+CHOOSE(Prj_CurReport, Параметры!AR$43,Параметры!AR$56,Параметры!AR$62))) ^ (Параметры!AR$31/12) -1</f>
        <v>1.5309470499731193E-2</v>
      </c>
      <c r="AS369" s="98">
        <f>((1+$B368) / IF(Prj_Inflation, 1, 1+CHOOSE(Prj_CurReport, Параметры!AS$43,Параметры!AS$56,Параметры!AS$62))) ^ (Параметры!AS$31/12) -1</f>
        <v>1.5309470499731193E-2</v>
      </c>
      <c r="AT369" s="98">
        <f>((1+$B368) / IF(Prj_Inflation, 1, 1+CHOOSE(Prj_CurReport, Параметры!AT$43,Параметры!AT$56,Параметры!AT$62))) ^ (Параметры!AT$31/12) -1</f>
        <v>1.5309470499731193E-2</v>
      </c>
      <c r="AU369" s="98">
        <f>((1+$B368) / IF(Prj_Inflation, 1, 1+CHOOSE(Prj_CurReport, Параметры!AU$43,Параметры!AU$56,Параметры!AU$62))) ^ (Параметры!AU$31/12) -1</f>
        <v>1.5309470499731193E-2</v>
      </c>
      <c r="AV369" s="98">
        <f>((1+$B368) / IF(Prj_Inflation, 1, 1+CHOOSE(Prj_CurReport, Параметры!AV$43,Параметры!AV$56,Параметры!AV$62))) ^ (Параметры!AV$31/12) -1</f>
        <v>1.5309470499731193E-2</v>
      </c>
      <c r="AW369" s="98">
        <f>((1+$B368) / IF(Prj_Inflation, 1, 1+CHOOSE(Prj_CurReport, Параметры!AW$43,Параметры!AW$56,Параметры!AW$62))) ^ (Параметры!AW$31/12) -1</f>
        <v>1.5309470499731193E-2</v>
      </c>
      <c r="AX369" s="98">
        <f>((1+$B368) / IF(Prj_Inflation, 1, 1+CHOOSE(Prj_CurReport, Параметры!AX$43,Параметры!AX$56,Параметры!AX$62))) ^ (Параметры!AX$31/12) -1</f>
        <v>1.5309470499731193E-2</v>
      </c>
      <c r="AY369" s="98">
        <f>((1+$B368) / IF(Prj_Inflation, 1, 1+CHOOSE(Prj_CurReport, Параметры!AY$43,Параметры!AY$56,Параметры!AY$62))) ^ (Параметры!AY$31/12) -1</f>
        <v>1.5309470499731193E-2</v>
      </c>
      <c r="AZ369" s="98">
        <f>((1+$B368) / IF(Prj_Inflation, 1, 1+CHOOSE(Prj_CurReport, Параметры!AZ$43,Параметры!AZ$56,Параметры!AZ$62))) ^ (Параметры!AZ$31/12) -1</f>
        <v>1.5309470499731193E-2</v>
      </c>
      <c r="BA369" s="98">
        <f>((1+$B368) / IF(Prj_Inflation, 1, 1+CHOOSE(Prj_CurReport, Параметры!BA$43,Параметры!BA$56,Параметры!BA$62))) ^ (Параметры!BA$31/12) -1</f>
        <v>1.5309470499731193E-2</v>
      </c>
      <c r="BB369" s="98">
        <f>((1+$B368) / IF(Prj_Inflation, 1, 1+CHOOSE(Prj_CurReport, Параметры!BB$43,Параметры!BB$56,Параметры!BB$62))) ^ (Параметры!BB$31/12) -1</f>
        <v>1.5309470499731193E-2</v>
      </c>
    </row>
    <row r="370" spans="1:56" hidden="1" outlineLevel="1" x14ac:dyDescent="0.3">
      <c r="A370" s="35" t="str">
        <f ca="1">Language!A1399</f>
        <v>коэффициент дисконта на начало периода</v>
      </c>
      <c r="C370" s="48" t="str">
        <f ca="1">Language!$A$1477</f>
        <v>раз</v>
      </c>
      <c r="F370" s="6" t="s">
        <v>745</v>
      </c>
      <c r="G370" s="31">
        <f>IF(G$2=1,1,F370*(1+G369))</f>
        <v>1</v>
      </c>
      <c r="H370" s="31">
        <f t="shared" ref="H370:BB370" si="1579">IF(H$2=1,1,G370*(1+H369))</f>
        <v>1.0153094704997312</v>
      </c>
      <c r="I370" s="31">
        <f t="shared" si="1579"/>
        <v>1.0308533208864445</v>
      </c>
      <c r="J370" s="31">
        <f t="shared" si="1579"/>
        <v>1.0466351393921054</v>
      </c>
      <c r="K370" s="31">
        <f t="shared" si="1579"/>
        <v>1.0626585691826109</v>
      </c>
      <c r="L370" s="31">
        <f t="shared" si="1579"/>
        <v>1.0789273091987988</v>
      </c>
      <c r="M370" s="31">
        <f t="shared" si="1579"/>
        <v>1.0954451150103321</v>
      </c>
      <c r="N370" s="31">
        <f t="shared" si="1579"/>
        <v>1.1122157996826574</v>
      </c>
      <c r="O370" s="31">
        <f t="shared" si="1579"/>
        <v>1.1292432346572339</v>
      </c>
      <c r="P370" s="31">
        <f t="shared" si="1579"/>
        <v>1.1465313506452399</v>
      </c>
      <c r="Q370" s="31">
        <f t="shared" si="1579"/>
        <v>1.1640841385349603</v>
      </c>
      <c r="R370" s="31">
        <f t="shared" si="1579"/>
        <v>1.1819056503130663</v>
      </c>
      <c r="S370" s="31">
        <f t="shared" si="1579"/>
        <v>1.1999999999999997</v>
      </c>
      <c r="T370" s="31">
        <f t="shared" si="1579"/>
        <v>1.2183713645996772</v>
      </c>
      <c r="U370" s="31">
        <f t="shared" si="1579"/>
        <v>1.2370239850637332</v>
      </c>
      <c r="V370" s="31">
        <f t="shared" si="1579"/>
        <v>1.2559621672705263</v>
      </c>
      <c r="W370" s="31">
        <f t="shared" si="1579"/>
        <v>1.2751902830191328</v>
      </c>
      <c r="X370" s="31">
        <f t="shared" si="1579"/>
        <v>1.2947127710385582</v>
      </c>
      <c r="Y370" s="31">
        <f t="shared" si="1579"/>
        <v>1.3145341380123983</v>
      </c>
      <c r="Z370" s="31">
        <f t="shared" si="1579"/>
        <v>1.3346589596191887</v>
      </c>
      <c r="AA370" s="31">
        <f t="shared" si="1579"/>
        <v>1.3550918815886805</v>
      </c>
      <c r="AB370" s="31">
        <f t="shared" si="1579"/>
        <v>1.3758376207742877</v>
      </c>
      <c r="AC370" s="31">
        <f t="shared" si="1579"/>
        <v>1.396900966241952</v>
      </c>
      <c r="AD370" s="31">
        <f t="shared" si="1579"/>
        <v>1.4182867803756791</v>
      </c>
      <c r="AE370" s="31">
        <f t="shared" si="1579"/>
        <v>1.4399999999999993</v>
      </c>
      <c r="AF370" s="31">
        <f t="shared" si="1579"/>
        <v>1.4620456375196123</v>
      </c>
      <c r="AG370" s="31">
        <f t="shared" si="1579"/>
        <v>1.4844287820764794</v>
      </c>
      <c r="AH370" s="31">
        <f t="shared" si="1579"/>
        <v>1.5071546007246313</v>
      </c>
      <c r="AI370" s="31">
        <f t="shared" si="1579"/>
        <v>1.5302283396229592</v>
      </c>
      <c r="AJ370" s="31">
        <f t="shared" si="1579"/>
        <v>1.5536553252462695</v>
      </c>
      <c r="AK370" s="31">
        <f t="shared" si="1579"/>
        <v>1.5774409656148776</v>
      </c>
      <c r="AL370" s="31">
        <f t="shared" si="1579"/>
        <v>1.6015907515430261</v>
      </c>
      <c r="AM370" s="31">
        <f t="shared" si="1579"/>
        <v>1.6261102579064164</v>
      </c>
      <c r="AN370" s="31">
        <f t="shared" si="1579"/>
        <v>1.651005144929145</v>
      </c>
      <c r="AO370" s="31">
        <f t="shared" si="1579"/>
        <v>1.6762811594903422</v>
      </c>
      <c r="AP370" s="31">
        <f t="shared" si="1579"/>
        <v>1.7019441364508148</v>
      </c>
      <c r="AQ370" s="31">
        <f t="shared" si="1579"/>
        <v>1.7279999999999991</v>
      </c>
      <c r="AR370" s="31">
        <f t="shared" si="1579"/>
        <v>1.7544547650235345</v>
      </c>
      <c r="AS370" s="31">
        <f t="shared" si="1579"/>
        <v>1.781314538491775</v>
      </c>
      <c r="AT370" s="31">
        <f t="shared" si="1579"/>
        <v>1.8085855208695572</v>
      </c>
      <c r="AU370" s="31">
        <f t="shared" si="1579"/>
        <v>1.8362740075475505</v>
      </c>
      <c r="AV370" s="31">
        <f t="shared" si="1579"/>
        <v>1.8643863902955229</v>
      </c>
      <c r="AW370" s="31">
        <f t="shared" si="1579"/>
        <v>1.8929291587378525</v>
      </c>
      <c r="AX370" s="31">
        <f t="shared" si="1579"/>
        <v>1.9219089018516307</v>
      </c>
      <c r="AY370" s="31">
        <f t="shared" si="1579"/>
        <v>1.9513323094876989</v>
      </c>
      <c r="AZ370" s="31">
        <f t="shared" si="1579"/>
        <v>1.9812061739149731</v>
      </c>
      <c r="BA370" s="31">
        <f t="shared" si="1579"/>
        <v>2.0115373913884098</v>
      </c>
      <c r="BB370" s="31">
        <f t="shared" si="1579"/>
        <v>2.0423329637409768</v>
      </c>
    </row>
    <row r="371" spans="1:56" hidden="1" x14ac:dyDescent="0.3">
      <c r="A371" s="10" t="str">
        <f ca="1">Language!A$1400</f>
        <v>Денежный поток, доступный для погашения долга (CFADS)</v>
      </c>
      <c r="C371" s="48" t="str">
        <f ca="1">Параметры!$C$64</f>
        <v>руб.</v>
      </c>
      <c r="F371" s="6" t="s">
        <v>740</v>
      </c>
      <c r="G371" s="55">
        <f ca="1">SUM(G372:G376)</f>
        <v>-291667</v>
      </c>
      <c r="H371" s="55">
        <f t="shared" ref="H371:M371" ca="1" si="1580">SUM(H372:H376)</f>
        <v>-1658333.6666666667</v>
      </c>
      <c r="I371" s="55">
        <f t="shared" ca="1" si="1580"/>
        <v>-136658332.66666666</v>
      </c>
      <c r="J371" s="55">
        <f t="shared" ca="1" si="1580"/>
        <v>-18391666.666666668</v>
      </c>
      <c r="K371" s="55">
        <f t="shared" ca="1" si="1580"/>
        <v>-17025000</v>
      </c>
      <c r="L371" s="55">
        <f t="shared" ca="1" si="1580"/>
        <v>-18902925.060418263</v>
      </c>
      <c r="M371" s="55">
        <f t="shared" ca="1" si="1580"/>
        <v>-7886918.2840950666</v>
      </c>
      <c r="N371" s="55">
        <f t="shared" ref="N371:O371" ca="1" si="1581">SUM(N372:N376)</f>
        <v>-6232039.9085776005</v>
      </c>
      <c r="O371" s="55">
        <f t="shared" ca="1" si="1581"/>
        <v>5621274.1251944918</v>
      </c>
      <c r="P371" s="55">
        <f t="shared" ref="P371:Q371" ca="1" si="1582">SUM(P372:P376)</f>
        <v>7660948.0157057578</v>
      </c>
      <c r="Q371" s="55">
        <f t="shared" ca="1" si="1582"/>
        <v>8271780.2482123412</v>
      </c>
      <c r="R371" s="55">
        <f t="shared" ref="R371:S371" ca="1" si="1583">SUM(R372:R376)</f>
        <v>7659601.2717252243</v>
      </c>
      <c r="S371" s="55">
        <f t="shared" ca="1" si="1583"/>
        <v>10934450.009093545</v>
      </c>
      <c r="T371" s="55">
        <f t="shared" ref="T371:U371" ca="1" si="1584">SUM(T372:T376)</f>
        <v>10907857.537697751</v>
      </c>
      <c r="U371" s="55">
        <f t="shared" ca="1" si="1584"/>
        <v>9142084.1888643112</v>
      </c>
      <c r="V371" s="55">
        <f t="shared" ref="V371:W371" ca="1" si="1585">SUM(V372:V376)</f>
        <v>8933019.3270192426</v>
      </c>
      <c r="W371" s="55">
        <f t="shared" ca="1" si="1585"/>
        <v>6302682.3345128149</v>
      </c>
      <c r="X371" s="55">
        <f t="shared" ref="X371:Y371" ca="1" si="1586">SUM(X372:X376)</f>
        <v>9531143.2605401427</v>
      </c>
      <c r="Y371" s="55">
        <f t="shared" ca="1" si="1586"/>
        <v>14054646.549902095</v>
      </c>
      <c r="Z371" s="55">
        <f t="shared" ref="Z371:AA371" ca="1" si="1587">SUM(Z372:Z376)</f>
        <v>16571335.234077554</v>
      </c>
      <c r="AA371" s="55">
        <f t="shared" ca="1" si="1587"/>
        <v>13039208.632376103</v>
      </c>
      <c r="AB371" s="55">
        <f t="shared" ref="AB371:AC371" ca="1" si="1588">SUM(AB372:AB376)</f>
        <v>8435184.3236111198</v>
      </c>
      <c r="AC371" s="55">
        <f t="shared" ca="1" si="1588"/>
        <v>6697207.9380209679</v>
      </c>
      <c r="AD371" s="55">
        <f t="shared" ref="AD371:AE371" ca="1" si="1589">SUM(AD372:AD376)</f>
        <v>7244398.4125958197</v>
      </c>
      <c r="AE371" s="55">
        <f t="shared" ca="1" si="1589"/>
        <v>11240196.241873104</v>
      </c>
      <c r="AF371" s="55">
        <f t="shared" ref="AF371:AG371" ca="1" si="1590">SUM(AF372:AF376)</f>
        <v>11315284.721229495</v>
      </c>
      <c r="AG371" s="55">
        <f t="shared" ca="1" si="1590"/>
        <v>9477609.3995322883</v>
      </c>
      <c r="AH371" s="55">
        <f t="shared" ref="AH371:AI371" ca="1" si="1591">SUM(AH372:AH376)</f>
        <v>9276373.7954233903</v>
      </c>
      <c r="AI371" s="55">
        <f t="shared" ca="1" si="1591"/>
        <v>6443949.6621978907</v>
      </c>
      <c r="AJ371" s="55">
        <f t="shared" ref="AJ371:AK371" ca="1" si="1592">SUM(AJ372:AJ376)</f>
        <v>9801235.2522034701</v>
      </c>
      <c r="AK371" s="55">
        <f t="shared" ca="1" si="1592"/>
        <v>14523290.786738934</v>
      </c>
      <c r="AL371" s="55">
        <f t="shared" ref="AL371:AM371" ca="1" si="1593">SUM(AL372:AL376)</f>
        <v>17232511.227023654</v>
      </c>
      <c r="AM371" s="55">
        <f t="shared" ca="1" si="1593"/>
        <v>13574228.733756416</v>
      </c>
      <c r="AN371" s="55">
        <f t="shared" ref="AN371:AO371" ca="1" si="1594">SUM(AN372:AN376)</f>
        <v>8757348.8981603831</v>
      </c>
      <c r="AO371" s="55">
        <f t="shared" ca="1" si="1594"/>
        <v>6902114.1647834787</v>
      </c>
      <c r="AP371" s="55">
        <f t="shared" ref="AP371:AQ371" ca="1" si="1595">SUM(AP372:AP376)</f>
        <v>7417472.712871192</v>
      </c>
      <c r="AQ371" s="55">
        <f t="shared" ca="1" si="1595"/>
        <v>11626436.181462388</v>
      </c>
      <c r="AR371" s="55">
        <f t="shared" ref="AR371:AS371" ca="1" si="1596">SUM(AR372:AR376)</f>
        <v>11716622.864158114</v>
      </c>
      <c r="AS371" s="55">
        <f t="shared" ca="1" si="1596"/>
        <v>9806939.3425342925</v>
      </c>
      <c r="AT371" s="55">
        <f t="shared" ref="AT371:AU371" ca="1" si="1597">SUM(AT372:AT376)</f>
        <v>9616520.8728973772</v>
      </c>
      <c r="AU371" s="55">
        <f t="shared" ca="1" si="1597"/>
        <v>6564412.9790532039</v>
      </c>
      <c r="AV371" s="55">
        <f t="shared" ref="AV371:AW371" ca="1" si="1598">SUM(AV372:AV376)</f>
        <v>10050233.175116023</v>
      </c>
      <c r="AW371" s="55">
        <f t="shared" ca="1" si="1598"/>
        <v>14973748.846644955</v>
      </c>
      <c r="AX371" s="55">
        <f t="shared" ref="AX371:AY371" ca="1" si="1599">SUM(AX372:AX376)</f>
        <v>17892186.110178754</v>
      </c>
      <c r="AY371" s="55">
        <f t="shared" ca="1" si="1599"/>
        <v>14110779.75453246</v>
      </c>
      <c r="AZ371" s="55">
        <f t="shared" ref="AZ371:BA371" ca="1" si="1600">SUM(AZ372:AZ376)</f>
        <v>9076107.5616529956</v>
      </c>
      <c r="BA371" s="55">
        <f t="shared" ca="1" si="1600"/>
        <v>7094974.6807112303</v>
      </c>
      <c r="BB371" s="55">
        <f t="shared" ref="BB371" ca="1" si="1601">SUM(BB372:BB376)</f>
        <v>8348418.0810810896</v>
      </c>
      <c r="BD371" s="57">
        <f t="shared" ref="BD371:BD377" ca="1" si="1602">SUM(G371:BC371)</f>
        <v>200798934.20187497</v>
      </c>
    </row>
    <row r="372" spans="1:56" hidden="1" x14ac:dyDescent="0.3">
      <c r="A372" s="35" t="str">
        <f ca="1">Language!A1401</f>
        <v>Денежные потоки от операционной деятельности</v>
      </c>
      <c r="C372" s="48" t="str">
        <f ca="1">Параметры!$C$64</f>
        <v>руб.</v>
      </c>
      <c r="F372" s="6" t="s">
        <v>740</v>
      </c>
      <c r="G372" s="55">
        <f ca="1">G$135</f>
        <v>0</v>
      </c>
      <c r="H372" s="55">
        <f t="shared" ref="H372:BB372" ca="1" si="1603">H$135</f>
        <v>0</v>
      </c>
      <c r="I372" s="55">
        <f t="shared" ca="1" si="1603"/>
        <v>0</v>
      </c>
      <c r="J372" s="55">
        <f t="shared" ca="1" si="1603"/>
        <v>0</v>
      </c>
      <c r="K372" s="55">
        <f t="shared" ca="1" si="1603"/>
        <v>0</v>
      </c>
      <c r="L372" s="55">
        <f t="shared" ca="1" si="1603"/>
        <v>-1077925.0604182645</v>
      </c>
      <c r="M372" s="55">
        <f t="shared" ca="1" si="1603"/>
        <v>2113081.7159049334</v>
      </c>
      <c r="N372" s="55">
        <f t="shared" ca="1" si="1603"/>
        <v>3767960.091422399</v>
      </c>
      <c r="O372" s="55">
        <f t="shared" ca="1" si="1603"/>
        <v>1332732.4376944918</v>
      </c>
      <c r="P372" s="55">
        <f t="shared" ca="1" si="1603"/>
        <v>3434906.3282057578</v>
      </c>
      <c r="Q372" s="55">
        <f t="shared" ca="1" si="1603"/>
        <v>4108238.5607123412</v>
      </c>
      <c r="R372" s="55">
        <f t="shared" ca="1" si="1603"/>
        <v>3579392.9175585578</v>
      </c>
      <c r="S372" s="55">
        <f t="shared" ca="1" si="1603"/>
        <v>6937574.9882602114</v>
      </c>
      <c r="T372" s="55">
        <f t="shared" ca="1" si="1603"/>
        <v>6994315.8501977511</v>
      </c>
      <c r="U372" s="55">
        <f t="shared" ca="1" si="1603"/>
        <v>5311875.8346976452</v>
      </c>
      <c r="V372" s="55">
        <f t="shared" ca="1" si="1603"/>
        <v>5206977.6395192426</v>
      </c>
      <c r="W372" s="55">
        <f t="shared" ca="1" si="1603"/>
        <v>2680807.3136794814</v>
      </c>
      <c r="X372" s="55">
        <f t="shared" ca="1" si="1603"/>
        <v>6013434.9063734766</v>
      </c>
      <c r="Y372" s="55">
        <f t="shared" ca="1" si="1603"/>
        <v>10703604.862402095</v>
      </c>
      <c r="Z372" s="55">
        <f t="shared" ca="1" si="1603"/>
        <v>13386960.21324422</v>
      </c>
      <c r="AA372" s="55">
        <f t="shared" ca="1" si="1603"/>
        <v>10021500.278209437</v>
      </c>
      <c r="AB372" s="55">
        <f t="shared" ca="1" si="1603"/>
        <v>5584142.6361111198</v>
      </c>
      <c r="AC372" s="55">
        <f t="shared" ca="1" si="1603"/>
        <v>4012832.9171876344</v>
      </c>
      <c r="AD372" s="55">
        <f t="shared" ca="1" si="1603"/>
        <v>4726690.0584291536</v>
      </c>
      <c r="AE372" s="55">
        <f t="shared" ca="1" si="1603"/>
        <v>8889154.5543731041</v>
      </c>
      <c r="AF372" s="55">
        <f t="shared" ca="1" si="1603"/>
        <v>9130909.7003961615</v>
      </c>
      <c r="AG372" s="55">
        <f t="shared" ca="1" si="1603"/>
        <v>7459901.0453656213</v>
      </c>
      <c r="AH372" s="55">
        <f t="shared" ca="1" si="1603"/>
        <v>7425332.1079233903</v>
      </c>
      <c r="AI372" s="55">
        <f t="shared" ca="1" si="1603"/>
        <v>4759574.6413645577</v>
      </c>
      <c r="AJ372" s="55">
        <f t="shared" ca="1" si="1603"/>
        <v>8283526.8980368031</v>
      </c>
      <c r="AK372" s="55">
        <f t="shared" ca="1" si="1603"/>
        <v>13172249.099238934</v>
      </c>
      <c r="AL372" s="55">
        <f t="shared" ca="1" si="1603"/>
        <v>16048136.20619032</v>
      </c>
      <c r="AM372" s="55">
        <f t="shared" ca="1" si="1603"/>
        <v>12556520.37958975</v>
      </c>
      <c r="AN372" s="55">
        <f t="shared" ca="1" si="1603"/>
        <v>7906307.2106603831</v>
      </c>
      <c r="AO372" s="55">
        <f t="shared" ca="1" si="1603"/>
        <v>6217739.1439501457</v>
      </c>
      <c r="AP372" s="55">
        <f t="shared" ca="1" si="1603"/>
        <v>6899764.358704525</v>
      </c>
      <c r="AQ372" s="55">
        <f t="shared" ca="1" si="1603"/>
        <v>11275394.493962388</v>
      </c>
      <c r="AR372" s="55">
        <f t="shared" ca="1" si="1603"/>
        <v>11532247.84332478</v>
      </c>
      <c r="AS372" s="55">
        <f t="shared" ca="1" si="1603"/>
        <v>9789230.9883676264</v>
      </c>
      <c r="AT372" s="55">
        <f t="shared" ca="1" si="1603"/>
        <v>9616520.8728973772</v>
      </c>
      <c r="AU372" s="55">
        <f t="shared" ca="1" si="1603"/>
        <v>6564412.9790532039</v>
      </c>
      <c r="AV372" s="55">
        <f t="shared" ca="1" si="1603"/>
        <v>10050233.175116023</v>
      </c>
      <c r="AW372" s="55">
        <f t="shared" ca="1" si="1603"/>
        <v>14973748.846644955</v>
      </c>
      <c r="AX372" s="55">
        <f t="shared" ca="1" si="1603"/>
        <v>17892186.110178754</v>
      </c>
      <c r="AY372" s="55">
        <f t="shared" ca="1" si="1603"/>
        <v>14110779.75453246</v>
      </c>
      <c r="AZ372" s="55">
        <f t="shared" ca="1" si="1603"/>
        <v>9076107.5616529956</v>
      </c>
      <c r="BA372" s="55">
        <f t="shared" ca="1" si="1603"/>
        <v>7094974.6807112303</v>
      </c>
      <c r="BB372" s="55">
        <f t="shared" ca="1" si="1603"/>
        <v>8348418.0810810896</v>
      </c>
      <c r="BD372" s="57">
        <f t="shared" ca="1" si="1602"/>
        <v>337912475.22270823</v>
      </c>
    </row>
    <row r="373" spans="1:56" hidden="1" x14ac:dyDescent="0.3">
      <c r="A373" s="35" t="str">
        <f ca="1">Language!A1402</f>
        <v>Проценты по кредитам</v>
      </c>
      <c r="C373" s="48" t="str">
        <f ca="1">Параметры!$C$64</f>
        <v>руб.</v>
      </c>
      <c r="F373" s="6" t="s">
        <v>740</v>
      </c>
      <c r="G373" s="55">
        <f>-G$130</f>
        <v>0</v>
      </c>
      <c r="H373" s="55">
        <f t="shared" ref="H373:BB373" si="1604">-H$130</f>
        <v>0</v>
      </c>
      <c r="I373" s="55">
        <f t="shared" si="1604"/>
        <v>0</v>
      </c>
      <c r="J373" s="55">
        <f t="shared" si="1604"/>
        <v>0</v>
      </c>
      <c r="K373" s="55">
        <f t="shared" si="1604"/>
        <v>0</v>
      </c>
      <c r="L373" s="55">
        <f t="shared" si="1604"/>
        <v>0</v>
      </c>
      <c r="M373" s="55">
        <f t="shared" si="1604"/>
        <v>0</v>
      </c>
      <c r="N373" s="55">
        <f t="shared" si="1604"/>
        <v>0</v>
      </c>
      <c r="O373" s="55">
        <f t="shared" si="1604"/>
        <v>4288541.6875</v>
      </c>
      <c r="P373" s="55">
        <f t="shared" si="1604"/>
        <v>4226041.6875</v>
      </c>
      <c r="Q373" s="55">
        <f t="shared" si="1604"/>
        <v>4163541.6875</v>
      </c>
      <c r="R373" s="55">
        <f t="shared" si="1604"/>
        <v>4080208.3541666665</v>
      </c>
      <c r="S373" s="55">
        <f t="shared" si="1604"/>
        <v>3996875.0208333335</v>
      </c>
      <c r="T373" s="55">
        <f t="shared" si="1604"/>
        <v>3913541.6875</v>
      </c>
      <c r="U373" s="55">
        <f t="shared" si="1604"/>
        <v>3830208.3541666665</v>
      </c>
      <c r="V373" s="55">
        <f t="shared" si="1604"/>
        <v>3726041.6875</v>
      </c>
      <c r="W373" s="55">
        <f t="shared" si="1604"/>
        <v>3621875.0208333335</v>
      </c>
      <c r="X373" s="55">
        <f t="shared" si="1604"/>
        <v>3517708.3541666665</v>
      </c>
      <c r="Y373" s="55">
        <f t="shared" si="1604"/>
        <v>3351041.6875</v>
      </c>
      <c r="Z373" s="55">
        <f t="shared" si="1604"/>
        <v>3184375.0208333335</v>
      </c>
      <c r="AA373" s="55">
        <f t="shared" si="1604"/>
        <v>3017708.3541666665</v>
      </c>
      <c r="AB373" s="55">
        <f t="shared" si="1604"/>
        <v>2851041.6875</v>
      </c>
      <c r="AC373" s="55">
        <f t="shared" si="1604"/>
        <v>2684375.0208333335</v>
      </c>
      <c r="AD373" s="55">
        <f t="shared" si="1604"/>
        <v>2517708.3541666665</v>
      </c>
      <c r="AE373" s="55">
        <f t="shared" si="1604"/>
        <v>2351041.6875</v>
      </c>
      <c r="AF373" s="55">
        <f t="shared" si="1604"/>
        <v>2184375.0208333335</v>
      </c>
      <c r="AG373" s="55">
        <f t="shared" si="1604"/>
        <v>2017708.3541666667</v>
      </c>
      <c r="AH373" s="55">
        <f t="shared" si="1604"/>
        <v>1851041.6875</v>
      </c>
      <c r="AI373" s="55">
        <f t="shared" si="1604"/>
        <v>1684375.0208333333</v>
      </c>
      <c r="AJ373" s="55">
        <f t="shared" si="1604"/>
        <v>1517708.3541666667</v>
      </c>
      <c r="AK373" s="55">
        <f t="shared" si="1604"/>
        <v>1351041.6875</v>
      </c>
      <c r="AL373" s="55">
        <f t="shared" si="1604"/>
        <v>1184375.0208333333</v>
      </c>
      <c r="AM373" s="55">
        <f t="shared" si="1604"/>
        <v>1017708.3541666666</v>
      </c>
      <c r="AN373" s="55">
        <f t="shared" si="1604"/>
        <v>851041.6875</v>
      </c>
      <c r="AO373" s="55">
        <f t="shared" si="1604"/>
        <v>684375.02083333337</v>
      </c>
      <c r="AP373" s="55">
        <f t="shared" si="1604"/>
        <v>517708.35416666669</v>
      </c>
      <c r="AQ373" s="55">
        <f t="shared" si="1604"/>
        <v>351041.6875</v>
      </c>
      <c r="AR373" s="55">
        <f t="shared" si="1604"/>
        <v>184375.02083333334</v>
      </c>
      <c r="AS373" s="55">
        <f t="shared" si="1604"/>
        <v>17708.354166666668</v>
      </c>
      <c r="AT373" s="55">
        <f t="shared" si="1604"/>
        <v>0</v>
      </c>
      <c r="AU373" s="55">
        <f t="shared" si="1604"/>
        <v>0</v>
      </c>
      <c r="AV373" s="55">
        <f t="shared" si="1604"/>
        <v>0</v>
      </c>
      <c r="AW373" s="55">
        <f t="shared" si="1604"/>
        <v>0</v>
      </c>
      <c r="AX373" s="55">
        <f t="shared" si="1604"/>
        <v>0</v>
      </c>
      <c r="AY373" s="55">
        <f t="shared" si="1604"/>
        <v>0</v>
      </c>
      <c r="AZ373" s="55">
        <f t="shared" si="1604"/>
        <v>0</v>
      </c>
      <c r="BA373" s="55">
        <f t="shared" si="1604"/>
        <v>0</v>
      </c>
      <c r="BB373" s="55">
        <f t="shared" si="1604"/>
        <v>0</v>
      </c>
      <c r="BD373" s="57">
        <f t="shared" si="1602"/>
        <v>74736458.979166672</v>
      </c>
    </row>
    <row r="374" spans="1:56" hidden="1" x14ac:dyDescent="0.3">
      <c r="A374" s="35" t="str">
        <f ca="1">Language!A1403</f>
        <v>Денежные потоки от инвестиционной деятельности</v>
      </c>
      <c r="C374" s="48" t="str">
        <f ca="1">Параметры!$C$64</f>
        <v>руб.</v>
      </c>
      <c r="F374" s="6" t="s">
        <v>740</v>
      </c>
      <c r="G374" s="55">
        <f>G$144</f>
        <v>-291667</v>
      </c>
      <c r="H374" s="55">
        <f t="shared" ref="H374:BB374" si="1605">H$144</f>
        <v>-1658333.6666666667</v>
      </c>
      <c r="I374" s="55">
        <f t="shared" si="1605"/>
        <v>-136658332.66666666</v>
      </c>
      <c r="J374" s="55">
        <f t="shared" si="1605"/>
        <v>-18391666.666666668</v>
      </c>
      <c r="K374" s="55">
        <f t="shared" si="1605"/>
        <v>-17025000</v>
      </c>
      <c r="L374" s="55">
        <f t="shared" si="1605"/>
        <v>-17825000</v>
      </c>
      <c r="M374" s="55">
        <f t="shared" si="1605"/>
        <v>-10000000</v>
      </c>
      <c r="N374" s="55">
        <f t="shared" si="1605"/>
        <v>-10000000</v>
      </c>
      <c r="O374" s="55">
        <f t="shared" si="1605"/>
        <v>0</v>
      </c>
      <c r="P374" s="55">
        <f t="shared" si="1605"/>
        <v>0</v>
      </c>
      <c r="Q374" s="55">
        <f t="shared" si="1605"/>
        <v>0</v>
      </c>
      <c r="R374" s="55">
        <f t="shared" si="1605"/>
        <v>0</v>
      </c>
      <c r="S374" s="55">
        <f t="shared" si="1605"/>
        <v>0</v>
      </c>
      <c r="T374" s="55">
        <f t="shared" si="1605"/>
        <v>0</v>
      </c>
      <c r="U374" s="55">
        <f t="shared" si="1605"/>
        <v>0</v>
      </c>
      <c r="V374" s="55">
        <f t="shared" si="1605"/>
        <v>0</v>
      </c>
      <c r="W374" s="55">
        <f t="shared" si="1605"/>
        <v>0</v>
      </c>
      <c r="X374" s="55">
        <f t="shared" si="1605"/>
        <v>0</v>
      </c>
      <c r="Y374" s="55">
        <f t="shared" si="1605"/>
        <v>0</v>
      </c>
      <c r="Z374" s="55">
        <f t="shared" si="1605"/>
        <v>0</v>
      </c>
      <c r="AA374" s="55">
        <f t="shared" si="1605"/>
        <v>0</v>
      </c>
      <c r="AB374" s="55">
        <f t="shared" si="1605"/>
        <v>0</v>
      </c>
      <c r="AC374" s="55">
        <f t="shared" si="1605"/>
        <v>0</v>
      </c>
      <c r="AD374" s="55">
        <f t="shared" si="1605"/>
        <v>0</v>
      </c>
      <c r="AE374" s="55">
        <f t="shared" si="1605"/>
        <v>0</v>
      </c>
      <c r="AF374" s="55">
        <f t="shared" si="1605"/>
        <v>0</v>
      </c>
      <c r="AG374" s="55">
        <f t="shared" si="1605"/>
        <v>0</v>
      </c>
      <c r="AH374" s="55">
        <f t="shared" si="1605"/>
        <v>0</v>
      </c>
      <c r="AI374" s="55">
        <f t="shared" si="1605"/>
        <v>0</v>
      </c>
      <c r="AJ374" s="55">
        <f t="shared" si="1605"/>
        <v>0</v>
      </c>
      <c r="AK374" s="55">
        <f t="shared" si="1605"/>
        <v>0</v>
      </c>
      <c r="AL374" s="55">
        <f t="shared" si="1605"/>
        <v>0</v>
      </c>
      <c r="AM374" s="55">
        <f t="shared" si="1605"/>
        <v>0</v>
      </c>
      <c r="AN374" s="55">
        <f t="shared" si="1605"/>
        <v>0</v>
      </c>
      <c r="AO374" s="55">
        <f t="shared" si="1605"/>
        <v>0</v>
      </c>
      <c r="AP374" s="55">
        <f t="shared" si="1605"/>
        <v>0</v>
      </c>
      <c r="AQ374" s="55">
        <f t="shared" si="1605"/>
        <v>0</v>
      </c>
      <c r="AR374" s="55">
        <f t="shared" si="1605"/>
        <v>0</v>
      </c>
      <c r="AS374" s="55">
        <f t="shared" si="1605"/>
        <v>0</v>
      </c>
      <c r="AT374" s="55">
        <f t="shared" si="1605"/>
        <v>0</v>
      </c>
      <c r="AU374" s="55">
        <f t="shared" si="1605"/>
        <v>0</v>
      </c>
      <c r="AV374" s="55">
        <f t="shared" si="1605"/>
        <v>0</v>
      </c>
      <c r="AW374" s="55">
        <f t="shared" si="1605"/>
        <v>0</v>
      </c>
      <c r="AX374" s="55">
        <f t="shared" si="1605"/>
        <v>0</v>
      </c>
      <c r="AY374" s="55">
        <f t="shared" si="1605"/>
        <v>0</v>
      </c>
      <c r="AZ374" s="55">
        <f t="shared" si="1605"/>
        <v>0</v>
      </c>
      <c r="BA374" s="55">
        <f t="shared" si="1605"/>
        <v>0</v>
      </c>
      <c r="BB374" s="55">
        <f t="shared" si="1605"/>
        <v>0</v>
      </c>
      <c r="BD374" s="57">
        <f t="shared" si="1602"/>
        <v>-211849999.99999997</v>
      </c>
    </row>
    <row r="375" spans="1:56" hidden="1" x14ac:dyDescent="0.3">
      <c r="A375" s="35" t="str">
        <f ca="1">Language!A1404</f>
        <v>Поступления собственного капитала</v>
      </c>
      <c r="C375" s="48" t="str">
        <f ca="1">Параметры!$C$64</f>
        <v>руб.</v>
      </c>
      <c r="F375" s="6" t="s">
        <v>740</v>
      </c>
      <c r="G375" s="55">
        <f>G146</f>
        <v>0</v>
      </c>
      <c r="H375" s="55">
        <f t="shared" ref="H375:M375" si="1606">H146</f>
        <v>0</v>
      </c>
      <c r="I375" s="55">
        <f t="shared" si="1606"/>
        <v>0</v>
      </c>
      <c r="J375" s="55">
        <f t="shared" si="1606"/>
        <v>0</v>
      </c>
      <c r="K375" s="55">
        <f t="shared" si="1606"/>
        <v>0</v>
      </c>
      <c r="L375" s="55">
        <f t="shared" si="1606"/>
        <v>0</v>
      </c>
      <c r="M375" s="55">
        <f t="shared" si="1606"/>
        <v>0</v>
      </c>
      <c r="N375" s="55">
        <f t="shared" ref="N375:O375" si="1607">N146</f>
        <v>0</v>
      </c>
      <c r="O375" s="55">
        <f t="shared" si="1607"/>
        <v>0</v>
      </c>
      <c r="P375" s="55">
        <f t="shared" ref="P375:Q375" si="1608">P146</f>
        <v>0</v>
      </c>
      <c r="Q375" s="55">
        <f t="shared" si="1608"/>
        <v>0</v>
      </c>
      <c r="R375" s="55">
        <f t="shared" ref="R375:S375" si="1609">R146</f>
        <v>0</v>
      </c>
      <c r="S375" s="55">
        <f t="shared" si="1609"/>
        <v>0</v>
      </c>
      <c r="T375" s="55">
        <f t="shared" ref="T375:U375" si="1610">T146</f>
        <v>0</v>
      </c>
      <c r="U375" s="55">
        <f t="shared" si="1610"/>
        <v>0</v>
      </c>
      <c r="V375" s="55">
        <f t="shared" ref="V375:W375" si="1611">V146</f>
        <v>0</v>
      </c>
      <c r="W375" s="55">
        <f t="shared" si="1611"/>
        <v>0</v>
      </c>
      <c r="X375" s="55">
        <f t="shared" ref="X375:Y375" si="1612">X146</f>
        <v>0</v>
      </c>
      <c r="Y375" s="55">
        <f t="shared" si="1612"/>
        <v>0</v>
      </c>
      <c r="Z375" s="55">
        <f t="shared" ref="Z375:AA375" si="1613">Z146</f>
        <v>0</v>
      </c>
      <c r="AA375" s="55">
        <f t="shared" si="1613"/>
        <v>0</v>
      </c>
      <c r="AB375" s="55">
        <f t="shared" ref="AB375:AC375" si="1614">AB146</f>
        <v>0</v>
      </c>
      <c r="AC375" s="55">
        <f t="shared" si="1614"/>
        <v>0</v>
      </c>
      <c r="AD375" s="55">
        <f t="shared" ref="AD375:AE375" si="1615">AD146</f>
        <v>0</v>
      </c>
      <c r="AE375" s="55">
        <f t="shared" si="1615"/>
        <v>0</v>
      </c>
      <c r="AF375" s="55">
        <f t="shared" ref="AF375:AG375" si="1616">AF146</f>
        <v>0</v>
      </c>
      <c r="AG375" s="55">
        <f t="shared" si="1616"/>
        <v>0</v>
      </c>
      <c r="AH375" s="55">
        <f t="shared" ref="AH375:AI375" si="1617">AH146</f>
        <v>0</v>
      </c>
      <c r="AI375" s="55">
        <f t="shared" si="1617"/>
        <v>0</v>
      </c>
      <c r="AJ375" s="55">
        <f t="shared" ref="AJ375:AK375" si="1618">AJ146</f>
        <v>0</v>
      </c>
      <c r="AK375" s="55">
        <f t="shared" si="1618"/>
        <v>0</v>
      </c>
      <c r="AL375" s="55">
        <f t="shared" ref="AL375:AM375" si="1619">AL146</f>
        <v>0</v>
      </c>
      <c r="AM375" s="55">
        <f t="shared" si="1619"/>
        <v>0</v>
      </c>
      <c r="AN375" s="55">
        <f t="shared" ref="AN375:AO375" si="1620">AN146</f>
        <v>0</v>
      </c>
      <c r="AO375" s="55">
        <f t="shared" si="1620"/>
        <v>0</v>
      </c>
      <c r="AP375" s="55">
        <f t="shared" ref="AP375:AQ375" si="1621">AP146</f>
        <v>0</v>
      </c>
      <c r="AQ375" s="55">
        <f t="shared" si="1621"/>
        <v>0</v>
      </c>
      <c r="AR375" s="55">
        <f t="shared" ref="AR375:AS375" si="1622">AR146</f>
        <v>0</v>
      </c>
      <c r="AS375" s="55">
        <f t="shared" si="1622"/>
        <v>0</v>
      </c>
      <c r="AT375" s="55">
        <f t="shared" ref="AT375:AU375" si="1623">AT146</f>
        <v>0</v>
      </c>
      <c r="AU375" s="55">
        <f t="shared" si="1623"/>
        <v>0</v>
      </c>
      <c r="AV375" s="55">
        <f t="shared" ref="AV375:AW375" si="1624">AV146</f>
        <v>0</v>
      </c>
      <c r="AW375" s="55">
        <f t="shared" si="1624"/>
        <v>0</v>
      </c>
      <c r="AX375" s="55">
        <f t="shared" ref="AX375:AY375" si="1625">AX146</f>
        <v>0</v>
      </c>
      <c r="AY375" s="55">
        <f t="shared" si="1625"/>
        <v>0</v>
      </c>
      <c r="AZ375" s="55">
        <f t="shared" ref="AZ375:BA375" si="1626">AZ146</f>
        <v>0</v>
      </c>
      <c r="BA375" s="55">
        <f t="shared" si="1626"/>
        <v>0</v>
      </c>
      <c r="BB375" s="55">
        <f t="shared" ref="BB375" si="1627">BB146</f>
        <v>0</v>
      </c>
      <c r="BD375" s="57">
        <f t="shared" si="1602"/>
        <v>0</v>
      </c>
    </row>
    <row r="376" spans="1:56" hidden="1" x14ac:dyDescent="0.3">
      <c r="A376" s="35" t="str">
        <f ca="1">Language!A1261</f>
        <v>Выплата дивидендов</v>
      </c>
      <c r="C376" s="48" t="str">
        <f ca="1">Параметры!$C$64</f>
        <v>руб.</v>
      </c>
      <c r="F376" s="6" t="s">
        <v>740</v>
      </c>
      <c r="G376" s="55">
        <f>G149</f>
        <v>0</v>
      </c>
      <c r="H376" s="55">
        <f t="shared" ref="H376:M376" si="1628">H149</f>
        <v>0</v>
      </c>
      <c r="I376" s="55">
        <f t="shared" si="1628"/>
        <v>0</v>
      </c>
      <c r="J376" s="55">
        <f t="shared" si="1628"/>
        <v>0</v>
      </c>
      <c r="K376" s="55">
        <f t="shared" si="1628"/>
        <v>0</v>
      </c>
      <c r="L376" s="55">
        <f t="shared" si="1628"/>
        <v>0</v>
      </c>
      <c r="M376" s="55">
        <f t="shared" si="1628"/>
        <v>0</v>
      </c>
      <c r="N376" s="55">
        <f t="shared" ref="N376:O376" si="1629">N149</f>
        <v>0</v>
      </c>
      <c r="O376" s="55">
        <f t="shared" si="1629"/>
        <v>0</v>
      </c>
      <c r="P376" s="55">
        <f t="shared" ref="P376:Q376" si="1630">P149</f>
        <v>0</v>
      </c>
      <c r="Q376" s="55">
        <f t="shared" si="1630"/>
        <v>0</v>
      </c>
      <c r="R376" s="55">
        <f t="shared" ref="R376:S376" si="1631">R149</f>
        <v>0</v>
      </c>
      <c r="S376" s="55">
        <f t="shared" si="1631"/>
        <v>0</v>
      </c>
      <c r="T376" s="55">
        <f t="shared" ref="T376:U376" si="1632">T149</f>
        <v>0</v>
      </c>
      <c r="U376" s="55">
        <f t="shared" si="1632"/>
        <v>0</v>
      </c>
      <c r="V376" s="55">
        <f t="shared" ref="V376:W376" si="1633">V149</f>
        <v>0</v>
      </c>
      <c r="W376" s="55">
        <f t="shared" si="1633"/>
        <v>0</v>
      </c>
      <c r="X376" s="55">
        <f t="shared" ref="X376:Y376" si="1634">X149</f>
        <v>0</v>
      </c>
      <c r="Y376" s="55">
        <f t="shared" si="1634"/>
        <v>0</v>
      </c>
      <c r="Z376" s="55">
        <f t="shared" ref="Z376:AA376" si="1635">Z149</f>
        <v>0</v>
      </c>
      <c r="AA376" s="55">
        <f t="shared" si="1635"/>
        <v>0</v>
      </c>
      <c r="AB376" s="55">
        <f t="shared" ref="AB376:AC376" si="1636">AB149</f>
        <v>0</v>
      </c>
      <c r="AC376" s="55">
        <f t="shared" si="1636"/>
        <v>0</v>
      </c>
      <c r="AD376" s="55">
        <f t="shared" ref="AD376:AE376" si="1637">AD149</f>
        <v>0</v>
      </c>
      <c r="AE376" s="55">
        <f t="shared" si="1637"/>
        <v>0</v>
      </c>
      <c r="AF376" s="55">
        <f t="shared" ref="AF376:AG376" si="1638">AF149</f>
        <v>0</v>
      </c>
      <c r="AG376" s="55">
        <f t="shared" si="1638"/>
        <v>0</v>
      </c>
      <c r="AH376" s="55">
        <f t="shared" ref="AH376:AI376" si="1639">AH149</f>
        <v>0</v>
      </c>
      <c r="AI376" s="55">
        <f t="shared" si="1639"/>
        <v>0</v>
      </c>
      <c r="AJ376" s="55">
        <f t="shared" ref="AJ376:AK376" si="1640">AJ149</f>
        <v>0</v>
      </c>
      <c r="AK376" s="55">
        <f t="shared" si="1640"/>
        <v>0</v>
      </c>
      <c r="AL376" s="55">
        <f t="shared" ref="AL376:AM376" si="1641">AL149</f>
        <v>0</v>
      </c>
      <c r="AM376" s="55">
        <f t="shared" si="1641"/>
        <v>0</v>
      </c>
      <c r="AN376" s="55">
        <f t="shared" ref="AN376:AO376" si="1642">AN149</f>
        <v>0</v>
      </c>
      <c r="AO376" s="55">
        <f t="shared" si="1642"/>
        <v>0</v>
      </c>
      <c r="AP376" s="55">
        <f t="shared" ref="AP376:AQ376" si="1643">AP149</f>
        <v>0</v>
      </c>
      <c r="AQ376" s="55">
        <f t="shared" si="1643"/>
        <v>0</v>
      </c>
      <c r="AR376" s="55">
        <f t="shared" ref="AR376:AS376" si="1644">AR149</f>
        <v>0</v>
      </c>
      <c r="AS376" s="55">
        <f t="shared" si="1644"/>
        <v>0</v>
      </c>
      <c r="AT376" s="55">
        <f t="shared" ref="AT376:AU376" si="1645">AT149</f>
        <v>0</v>
      </c>
      <c r="AU376" s="55">
        <f t="shared" si="1645"/>
        <v>0</v>
      </c>
      <c r="AV376" s="55">
        <f t="shared" ref="AV376:AW376" si="1646">AV149</f>
        <v>0</v>
      </c>
      <c r="AW376" s="55">
        <f t="shared" si="1646"/>
        <v>0</v>
      </c>
      <c r="AX376" s="55">
        <f t="shared" ref="AX376:AY376" si="1647">AX149</f>
        <v>0</v>
      </c>
      <c r="AY376" s="55">
        <f t="shared" si="1647"/>
        <v>0</v>
      </c>
      <c r="AZ376" s="55">
        <f t="shared" ref="AZ376:BA376" si="1648">AZ149</f>
        <v>0</v>
      </c>
      <c r="BA376" s="55">
        <f t="shared" si="1648"/>
        <v>0</v>
      </c>
      <c r="BB376" s="55">
        <f t="shared" ref="BB376" si="1649">BB149</f>
        <v>0</v>
      </c>
      <c r="BD376" s="57">
        <f t="shared" si="1602"/>
        <v>0</v>
      </c>
    </row>
    <row r="377" spans="1:56" hidden="1" x14ac:dyDescent="0.3">
      <c r="A377" s="10" t="str">
        <f ca="1">Language!A1405</f>
        <v>Дисконтированный денежный поток</v>
      </c>
      <c r="C377" s="48" t="str">
        <f ca="1">Параметры!$C$64</f>
        <v>руб.</v>
      </c>
      <c r="F377" s="6" t="s">
        <v>740</v>
      </c>
      <c r="G377" s="55">
        <f ca="1">G371/G370</f>
        <v>-291667</v>
      </c>
      <c r="H377" s="55">
        <f t="shared" ref="H377:M377" ca="1" si="1650">H371/H370</f>
        <v>-1633328.2756147657</v>
      </c>
      <c r="I377" s="55">
        <f t="shared" ca="1" si="1650"/>
        <v>-132568164.54658392</v>
      </c>
      <c r="J377" s="55">
        <f t="shared" ca="1" si="1650"/>
        <v>-17572185.353291985</v>
      </c>
      <c r="K377" s="55">
        <f t="shared" ca="1" si="1650"/>
        <v>-16021138.391699512</v>
      </c>
      <c r="L377" s="55">
        <f t="shared" ca="1" si="1650"/>
        <v>-17520109.927012041</v>
      </c>
      <c r="M377" s="55">
        <f t="shared" ca="1" si="1650"/>
        <v>-7199738.4223313443</v>
      </c>
      <c r="N377" s="55">
        <f t="shared" ref="N377:O377" ca="1" si="1651">N371/N370</f>
        <v>-5603265.0411509667</v>
      </c>
      <c r="O377" s="55">
        <f t="shared" ca="1" si="1651"/>
        <v>4977912.599052012</v>
      </c>
      <c r="P377" s="55">
        <f t="shared" ref="P377:Q377" ca="1" si="1652">P371/P370</f>
        <v>6681847.8285782263</v>
      </c>
      <c r="Q377" s="55">
        <f t="shared" ca="1" si="1652"/>
        <v>7105826.7820938267</v>
      </c>
      <c r="R377" s="55">
        <f t="shared" ref="R377:S377" ca="1" si="1653">R371/R370</f>
        <v>6480721.4261953393</v>
      </c>
      <c r="S377" s="55">
        <f t="shared" ca="1" si="1653"/>
        <v>9112041.6742446236</v>
      </c>
      <c r="T377" s="55">
        <f t="shared" ref="T377:U377" ca="1" si="1654">T371/T370</f>
        <v>8952818.3726492692</v>
      </c>
      <c r="U377" s="55">
        <f t="shared" ca="1" si="1654"/>
        <v>7390385.5537556922</v>
      </c>
      <c r="V377" s="55">
        <f t="shared" ref="V377:W377" ca="1" si="1655">V371/V370</f>
        <v>7112490.7738523679</v>
      </c>
      <c r="W377" s="55">
        <f t="shared" ca="1" si="1655"/>
        <v>4942542.6294737924</v>
      </c>
      <c r="X377" s="55">
        <f t="shared" ref="X377:Y377" ca="1" si="1656">X371/X370</f>
        <v>7361588.9745914098</v>
      </c>
      <c r="Y377" s="55">
        <f t="shared" ca="1" si="1656"/>
        <v>10691731.879366023</v>
      </c>
      <c r="Z377" s="55">
        <f t="shared" ref="Z377:AA377" ca="1" si="1657">Z371/Z370</f>
        <v>12416157.037454547</v>
      </c>
      <c r="AA377" s="55">
        <f t="shared" ca="1" si="1657"/>
        <v>9622379.7142738514</v>
      </c>
      <c r="AB377" s="55">
        <f t="shared" ref="AB377:AC377" ca="1" si="1658">AB371/AB370</f>
        <v>6130944.6669033552</v>
      </c>
      <c r="AC377" s="55">
        <f t="shared" ca="1" si="1658"/>
        <v>4794332.6691499827</v>
      </c>
      <c r="AD377" s="55">
        <f t="shared" ref="AD377:AE377" ca="1" si="1659">AD371/AD370</f>
        <v>5107851.6085984437</v>
      </c>
      <c r="AE377" s="55">
        <f t="shared" ca="1" si="1659"/>
        <v>7805691.8346341038</v>
      </c>
      <c r="AF377" s="55">
        <f t="shared" ref="AF377:AG377" ca="1" si="1660">AF371/AF370</f>
        <v>7739351.2424318623</v>
      </c>
      <c r="AG377" s="55">
        <f t="shared" ca="1" si="1660"/>
        <v>6384684.4752461771</v>
      </c>
      <c r="AH377" s="55">
        <f t="shared" ref="AH377:AI377" ca="1" si="1661">AH371/AH370</f>
        <v>6154892.0004380196</v>
      </c>
      <c r="AI377" s="55">
        <f t="shared" ca="1" si="1661"/>
        <v>4211103.3336277436</v>
      </c>
      <c r="AJ377" s="55">
        <f t="shared" ref="AJ377:AK377" ca="1" si="1662">AJ371/AJ370</f>
        <v>6308500.4073537858</v>
      </c>
      <c r="AK377" s="55">
        <f t="shared" ca="1" si="1662"/>
        <v>9206868.0244257748</v>
      </c>
      <c r="AL377" s="55">
        <f t="shared" ref="AL377:AM377" ca="1" si="1663">AL371/AL370</f>
        <v>10759622.088490007</v>
      </c>
      <c r="AM377" s="55">
        <f t="shared" ca="1" si="1663"/>
        <v>8347668.1041499339</v>
      </c>
      <c r="AN377" s="55">
        <f t="shared" ref="AN377:AO377" ca="1" si="1664">AN371/AN370</f>
        <v>5304252.9425528934</v>
      </c>
      <c r="AO377" s="55">
        <f t="shared" ca="1" si="1664"/>
        <v>4117515.803185429</v>
      </c>
      <c r="AP377" s="55">
        <f t="shared" ref="AP377:AQ377" ca="1" si="1665">AP371/AP370</f>
        <v>4358235.1230043164</v>
      </c>
      <c r="AQ377" s="55">
        <f t="shared" ca="1" si="1665"/>
        <v>6728261.6790870335</v>
      </c>
      <c r="AR377" s="55">
        <f t="shared" ref="AR377:AS377" ca="1" si="1666">AR371/AR370</f>
        <v>6678213.1393401567</v>
      </c>
      <c r="AS377" s="55">
        <f t="shared" ca="1" si="1666"/>
        <v>5505450.6829758156</v>
      </c>
      <c r="AT377" s="55">
        <f t="shared" ref="AT377:AU377" ca="1" si="1667">AT371/AT370</f>
        <v>5317150.2049147291</v>
      </c>
      <c r="AU377" s="55">
        <f t="shared" ca="1" si="1667"/>
        <v>3574854.815823677</v>
      </c>
      <c r="AV377" s="55">
        <f t="shared" ref="AV377:AW377" ca="1" si="1668">AV371/AV370</f>
        <v>5390638.5647467459</v>
      </c>
      <c r="AW377" s="55">
        <f t="shared" ca="1" si="1668"/>
        <v>7910358.8095335774</v>
      </c>
      <c r="AX377" s="55">
        <f t="shared" ref="AX377:AY377" ca="1" si="1669">AX371/AX370</f>
        <v>9309591.1533272099</v>
      </c>
      <c r="AY377" s="55">
        <f t="shared" ca="1" si="1669"/>
        <v>7231356.589507347</v>
      </c>
      <c r="AZ377" s="55">
        <f t="shared" ref="AZ377:BA377" ca="1" si="1670">AZ371/AZ370</f>
        <v>4581101.9979400253</v>
      </c>
      <c r="BA377" s="55">
        <f t="shared" ca="1" si="1670"/>
        <v>3527140.3410573015</v>
      </c>
      <c r="BB377" s="55">
        <f t="shared" ref="BB377" ca="1" si="1671">BB371/BB370</f>
        <v>4087687.0859436882</v>
      </c>
      <c r="BD377" s="57">
        <f t="shared" ca="1" si="1602"/>
        <v>71012167.676285639</v>
      </c>
    </row>
    <row r="378" spans="1:56" hidden="1" x14ac:dyDescent="0.3">
      <c r="A378" s="10" t="str">
        <f ca="1">Language!A1406</f>
        <v>Дисконтированный поток нарастающим итогом</v>
      </c>
      <c r="C378" s="48" t="str">
        <f ca="1">Параметры!$C$64</f>
        <v>руб.</v>
      </c>
      <c r="F378" s="6" t="s">
        <v>741</v>
      </c>
      <c r="G378" s="55">
        <f ca="1">IF(G$2=1,G377,F378+G377)</f>
        <v>-291667</v>
      </c>
      <c r="H378" s="55">
        <f t="shared" ref="H378:BB378" ca="1" si="1672">IF(H$2=1,H377,G378+H377)</f>
        <v>-1924995.2756147657</v>
      </c>
      <c r="I378" s="55">
        <f t="shared" ca="1" si="1672"/>
        <v>-134493159.82219869</v>
      </c>
      <c r="J378" s="55">
        <f t="shared" ca="1" si="1672"/>
        <v>-152065345.17549068</v>
      </c>
      <c r="K378" s="55">
        <f t="shared" ca="1" si="1672"/>
        <v>-168086483.5671902</v>
      </c>
      <c r="L378" s="55">
        <f t="shared" ca="1" si="1672"/>
        <v>-185606593.49420226</v>
      </c>
      <c r="M378" s="55">
        <f t="shared" ca="1" si="1672"/>
        <v>-192806331.91653359</v>
      </c>
      <c r="N378" s="55">
        <f t="shared" ca="1" si="1672"/>
        <v>-198409596.95768455</v>
      </c>
      <c r="O378" s="55">
        <f t="shared" ca="1" si="1672"/>
        <v>-193431684.35863253</v>
      </c>
      <c r="P378" s="55">
        <f t="shared" ca="1" si="1672"/>
        <v>-186749836.5300543</v>
      </c>
      <c r="Q378" s="55">
        <f t="shared" ca="1" si="1672"/>
        <v>-179644009.74796048</v>
      </c>
      <c r="R378" s="55">
        <f t="shared" ca="1" si="1672"/>
        <v>-173163288.32176512</v>
      </c>
      <c r="S378" s="55">
        <f t="shared" ca="1" si="1672"/>
        <v>-164051246.64752051</v>
      </c>
      <c r="T378" s="55">
        <f t="shared" ca="1" si="1672"/>
        <v>-155098428.27487123</v>
      </c>
      <c r="U378" s="55">
        <f t="shared" ca="1" si="1672"/>
        <v>-147708042.72111553</v>
      </c>
      <c r="V378" s="55">
        <f t="shared" ca="1" si="1672"/>
        <v>-140595551.94726315</v>
      </c>
      <c r="W378" s="55">
        <f t="shared" ca="1" si="1672"/>
        <v>-135653009.31778935</v>
      </c>
      <c r="X378" s="55">
        <f t="shared" ca="1" si="1672"/>
        <v>-128291420.34319794</v>
      </c>
      <c r="Y378" s="55">
        <f t="shared" ca="1" si="1672"/>
        <v>-117599688.46383192</v>
      </c>
      <c r="Z378" s="55">
        <f t="shared" ca="1" si="1672"/>
        <v>-105183531.42637737</v>
      </c>
      <c r="AA378" s="55">
        <f t="shared" ca="1" si="1672"/>
        <v>-95561151.712103516</v>
      </c>
      <c r="AB378" s="55">
        <f t="shared" ca="1" si="1672"/>
        <v>-89430207.045200154</v>
      </c>
      <c r="AC378" s="55">
        <f t="shared" ca="1" si="1672"/>
        <v>-84635874.376050174</v>
      </c>
      <c r="AD378" s="55">
        <f t="shared" ca="1" si="1672"/>
        <v>-79528022.767451733</v>
      </c>
      <c r="AE378" s="55">
        <f t="shared" ca="1" si="1672"/>
        <v>-71722330.932817623</v>
      </c>
      <c r="AF378" s="55">
        <f t="shared" ca="1" si="1672"/>
        <v>-63982979.690385759</v>
      </c>
      <c r="AG378" s="55">
        <f t="shared" ca="1" si="1672"/>
        <v>-57598295.215139583</v>
      </c>
      <c r="AH378" s="55">
        <f t="shared" ca="1" si="1672"/>
        <v>-51443403.214701563</v>
      </c>
      <c r="AI378" s="55">
        <f t="shared" ca="1" si="1672"/>
        <v>-47232299.881073818</v>
      </c>
      <c r="AJ378" s="55">
        <f t="shared" ca="1" si="1672"/>
        <v>-40923799.473720029</v>
      </c>
      <c r="AK378" s="55">
        <f t="shared" ca="1" si="1672"/>
        <v>-31716931.449294254</v>
      </c>
      <c r="AL378" s="55">
        <f t="shared" ca="1" si="1672"/>
        <v>-20957309.360804245</v>
      </c>
      <c r="AM378" s="55">
        <f t="shared" ca="1" si="1672"/>
        <v>-12609641.256654311</v>
      </c>
      <c r="AN378" s="55">
        <f t="shared" ca="1" si="1672"/>
        <v>-7305388.3141014175</v>
      </c>
      <c r="AO378" s="55">
        <f t="shared" ca="1" si="1672"/>
        <v>-3187872.5109159886</v>
      </c>
      <c r="AP378" s="55">
        <f t="shared" ca="1" si="1672"/>
        <v>1170362.6120883278</v>
      </c>
      <c r="AQ378" s="55">
        <f t="shared" ca="1" si="1672"/>
        <v>7898624.2911753617</v>
      </c>
      <c r="AR378" s="55">
        <f t="shared" ca="1" si="1672"/>
        <v>14576837.430515518</v>
      </c>
      <c r="AS378" s="55">
        <f t="shared" ca="1" si="1672"/>
        <v>20082288.113491334</v>
      </c>
      <c r="AT378" s="55">
        <f t="shared" ca="1" si="1672"/>
        <v>25399438.318406064</v>
      </c>
      <c r="AU378" s="55">
        <f t="shared" ca="1" si="1672"/>
        <v>28974293.134229742</v>
      </c>
      <c r="AV378" s="55">
        <f t="shared" ca="1" si="1672"/>
        <v>34364931.698976487</v>
      </c>
      <c r="AW378" s="55">
        <f t="shared" ca="1" si="1672"/>
        <v>42275290.508510068</v>
      </c>
      <c r="AX378" s="55">
        <f t="shared" ca="1" si="1672"/>
        <v>51584881.66183728</v>
      </c>
      <c r="AY378" s="55">
        <f t="shared" ca="1" si="1672"/>
        <v>58816238.251344629</v>
      </c>
      <c r="AZ378" s="55">
        <f t="shared" ca="1" si="1672"/>
        <v>63397340.249284655</v>
      </c>
      <c r="BA378" s="55">
        <f t="shared" ca="1" si="1672"/>
        <v>66924480.590341955</v>
      </c>
      <c r="BB378" s="55">
        <f t="shared" ca="1" si="1672"/>
        <v>71012167.676285639</v>
      </c>
      <c r="BD378" s="57"/>
    </row>
    <row r="379" spans="1:56" hidden="1" x14ac:dyDescent="0.3">
      <c r="A379" s="10"/>
      <c r="G379" s="55"/>
      <c r="H379" s="55"/>
      <c r="I379" s="55"/>
      <c r="J379" s="55"/>
      <c r="K379" s="55"/>
      <c r="L379" s="55"/>
      <c r="M379" s="55"/>
      <c r="N379" s="55"/>
      <c r="O379" s="55"/>
      <c r="P379" s="55"/>
      <c r="Q379" s="55"/>
      <c r="R379" s="55"/>
      <c r="S379" s="55"/>
      <c r="T379" s="55"/>
      <c r="U379" s="55"/>
      <c r="V379" s="55"/>
      <c r="W379" s="55"/>
      <c r="X379" s="55"/>
      <c r="Y379" s="55"/>
      <c r="Z379" s="55"/>
      <c r="AA379" s="55"/>
      <c r="AB379" s="55"/>
      <c r="AC379" s="55"/>
      <c r="AD379" s="55"/>
      <c r="AE379" s="55"/>
      <c r="AF379" s="55"/>
      <c r="AG379" s="55"/>
      <c r="AH379" s="55"/>
      <c r="AI379" s="55"/>
      <c r="AJ379" s="55"/>
      <c r="AK379" s="55"/>
      <c r="AL379" s="55"/>
      <c r="AM379" s="55"/>
      <c r="AN379" s="55"/>
      <c r="AO379" s="55"/>
      <c r="AP379" s="55"/>
      <c r="AQ379" s="55"/>
      <c r="AR379" s="55"/>
      <c r="AS379" s="55"/>
      <c r="AT379" s="55"/>
      <c r="AU379" s="55"/>
      <c r="AV379" s="55"/>
      <c r="AW379" s="55"/>
      <c r="AX379" s="55"/>
      <c r="AY379" s="55"/>
      <c r="AZ379" s="55"/>
      <c r="BA379" s="55"/>
      <c r="BB379" s="55"/>
    </row>
    <row r="380" spans="1:56" hidden="1" x14ac:dyDescent="0.3">
      <c r="A380" s="22" t="str">
        <f ca="1">Language!A1407</f>
        <v>Чистая приведенная стоимость, NPV</v>
      </c>
      <c r="B380" s="99">
        <f ca="1">BD377</f>
        <v>71012167.676285639</v>
      </c>
      <c r="C380" s="48" t="str">
        <f ca="1">Параметры!$C$64</f>
        <v>руб.</v>
      </c>
      <c r="G380" s="55"/>
      <c r="H380" s="55"/>
      <c r="I380" s="55"/>
      <c r="J380" s="55"/>
      <c r="K380" s="55"/>
      <c r="L380" s="55"/>
      <c r="M380" s="55"/>
      <c r="N380" s="55"/>
      <c r="O380" s="55"/>
      <c r="P380" s="55"/>
      <c r="Q380" s="55"/>
      <c r="R380" s="55"/>
      <c r="S380" s="55"/>
      <c r="T380" s="55"/>
      <c r="U380" s="55"/>
      <c r="V380" s="55"/>
      <c r="W380" s="55"/>
      <c r="X380" s="55"/>
      <c r="Y380" s="55"/>
      <c r="Z380" s="55"/>
      <c r="AA380" s="55"/>
      <c r="AB380" s="55"/>
      <c r="AC380" s="55"/>
      <c r="AD380" s="55"/>
      <c r="AE380" s="55"/>
      <c r="AF380" s="55"/>
      <c r="AG380" s="55"/>
      <c r="AH380" s="55"/>
      <c r="AI380" s="55"/>
      <c r="AJ380" s="55"/>
      <c r="AK380" s="55"/>
      <c r="AL380" s="55"/>
      <c r="AM380" s="55"/>
      <c r="AN380" s="55"/>
      <c r="AO380" s="55"/>
      <c r="AP380" s="55"/>
      <c r="AQ380" s="55"/>
      <c r="AR380" s="55"/>
      <c r="AS380" s="55"/>
      <c r="AT380" s="55"/>
      <c r="AU380" s="55"/>
      <c r="AV380" s="55"/>
      <c r="AW380" s="55"/>
      <c r="AX380" s="55"/>
      <c r="AY380" s="55"/>
      <c r="AZ380" s="55"/>
      <c r="BA380" s="55"/>
      <c r="BB380" s="55"/>
    </row>
    <row r="381" spans="1:56" hidden="1" x14ac:dyDescent="0.3">
      <c r="A381" s="10"/>
      <c r="G381" s="55"/>
      <c r="H381" s="55"/>
      <c r="I381" s="55"/>
      <c r="J381" s="55"/>
      <c r="K381" s="55"/>
      <c r="L381" s="55"/>
      <c r="M381" s="55"/>
      <c r="N381" s="55"/>
      <c r="O381" s="55"/>
      <c r="P381" s="55"/>
      <c r="Q381" s="55"/>
      <c r="R381" s="55"/>
      <c r="S381" s="55"/>
      <c r="T381" s="55"/>
      <c r="U381" s="55"/>
      <c r="V381" s="55"/>
      <c r="W381" s="55"/>
      <c r="X381" s="55"/>
      <c r="Y381" s="55"/>
      <c r="Z381" s="55"/>
      <c r="AA381" s="55"/>
      <c r="AB381" s="55"/>
      <c r="AC381" s="55"/>
      <c r="AD381" s="55"/>
      <c r="AE381" s="55"/>
      <c r="AF381" s="55"/>
      <c r="AG381" s="55"/>
      <c r="AH381" s="55"/>
      <c r="AI381" s="55"/>
      <c r="AJ381" s="55"/>
      <c r="AK381" s="55"/>
      <c r="AL381" s="55"/>
      <c r="AM381" s="55"/>
      <c r="AN381" s="55"/>
      <c r="AO381" s="55"/>
      <c r="AP381" s="55"/>
      <c r="AQ381" s="55"/>
      <c r="AR381" s="55"/>
      <c r="AS381" s="55"/>
      <c r="AT381" s="55"/>
      <c r="AU381" s="55"/>
      <c r="AV381" s="55"/>
      <c r="AW381" s="55"/>
      <c r="AX381" s="55"/>
      <c r="AY381" s="55"/>
      <c r="AZ381" s="55"/>
      <c r="BA381" s="55"/>
      <c r="BB381" s="55"/>
    </row>
    <row r="382" spans="1:56" hidden="1" collapsed="1" x14ac:dyDescent="0.3">
      <c r="A382" s="22" t="str">
        <f ca="1">Language!A1408</f>
        <v>Внутренняя норма рентабельности, IRR</v>
      </c>
      <c r="B382" s="97">
        <f ca="1">IFERROR(IF(POWER(1+IRR(G385:BC385,G369),360/Параметры!B$21)-1&gt;999%,"-",POWER(1+IRR(G385:BC385,G369),360/Параметры!B$21)-1),"-")</f>
        <v>0.4104625675023057</v>
      </c>
      <c r="C382" s="48" t="s">
        <v>1</v>
      </c>
      <c r="G382" s="41" t="str">
        <f ca="1">Language!A$1361</f>
        <v>(с учетом инфляции, номинальная)</v>
      </c>
    </row>
    <row r="383" spans="1:56" hidden="1" outlineLevel="1" x14ac:dyDescent="0.3">
      <c r="A383" s="10" t="str">
        <f ca="1">Language!A$412</f>
        <v>Темпы роста цен, базовые</v>
      </c>
      <c r="B383" s="5"/>
      <c r="C383" s="48" t="str">
        <f ca="1">Language!A$480</f>
        <v>% в год</v>
      </c>
      <c r="F383" s="6" t="s">
        <v>745</v>
      </c>
      <c r="G383" s="29">
        <f>(CHOOSE(Prj_CurReport,Параметры!G$43,Параметры!G$54,Параметры!G$60))</f>
        <v>0.06</v>
      </c>
      <c r="H383" s="29">
        <f>(CHOOSE(Prj_CurReport,Параметры!H$43,Параметры!H$54,Параметры!H$60))</f>
        <v>0.06</v>
      </c>
      <c r="I383" s="29">
        <f>(CHOOSE(Prj_CurReport,Параметры!I$43,Параметры!I$54,Параметры!I$60))</f>
        <v>0.06</v>
      </c>
      <c r="J383" s="29">
        <f>(CHOOSE(Prj_CurReport,Параметры!J$43,Параметры!J$54,Параметры!J$60))</f>
        <v>0.06</v>
      </c>
      <c r="K383" s="29">
        <f>(CHOOSE(Prj_CurReport,Параметры!K$43,Параметры!K$54,Параметры!K$60))</f>
        <v>0.06</v>
      </c>
      <c r="L383" s="29">
        <f>(CHOOSE(Prj_CurReport,Параметры!L$43,Параметры!L$54,Параметры!L$60))</f>
        <v>0.06</v>
      </c>
      <c r="M383" s="29">
        <f>(CHOOSE(Prj_CurReport,Параметры!M$43,Параметры!M$54,Параметры!M$60))</f>
        <v>0.06</v>
      </c>
      <c r="N383" s="29">
        <f>(CHOOSE(Prj_CurReport,Параметры!N$43,Параметры!N$54,Параметры!N$60))</f>
        <v>0.06</v>
      </c>
      <c r="O383" s="29">
        <f>(CHOOSE(Prj_CurReport,Параметры!O$43,Параметры!O$54,Параметры!O$60))</f>
        <v>0.06</v>
      </c>
      <c r="P383" s="29">
        <f>(CHOOSE(Prj_CurReport,Параметры!P$43,Параметры!P$54,Параметры!P$60))</f>
        <v>0.06</v>
      </c>
      <c r="Q383" s="29">
        <f>(CHOOSE(Prj_CurReport,Параметры!Q$43,Параметры!Q$54,Параметры!Q$60))</f>
        <v>0.06</v>
      </c>
      <c r="R383" s="29">
        <f>(CHOOSE(Prj_CurReport,Параметры!R$43,Параметры!R$54,Параметры!R$60))</f>
        <v>0.06</v>
      </c>
      <c r="S383" s="29">
        <f>(CHOOSE(Prj_CurReport,Параметры!S$43,Параметры!S$54,Параметры!S$60))</f>
        <v>0.06</v>
      </c>
      <c r="T383" s="29">
        <f>(CHOOSE(Prj_CurReport,Параметры!T$43,Параметры!T$54,Параметры!T$60))</f>
        <v>0.06</v>
      </c>
      <c r="U383" s="29">
        <f>(CHOOSE(Prj_CurReport,Параметры!U$43,Параметры!U$54,Параметры!U$60))</f>
        <v>0.06</v>
      </c>
      <c r="V383" s="29">
        <f>(CHOOSE(Prj_CurReport,Параметры!V$43,Параметры!V$54,Параметры!V$60))</f>
        <v>0.06</v>
      </c>
      <c r="W383" s="29">
        <f>(CHOOSE(Prj_CurReport,Параметры!W$43,Параметры!W$54,Параметры!W$60))</f>
        <v>0.06</v>
      </c>
      <c r="X383" s="29">
        <f>(CHOOSE(Prj_CurReport,Параметры!X$43,Параметры!X$54,Параметры!X$60))</f>
        <v>0.06</v>
      </c>
      <c r="Y383" s="29">
        <f>(CHOOSE(Prj_CurReport,Параметры!Y$43,Параметры!Y$54,Параметры!Y$60))</f>
        <v>0.06</v>
      </c>
      <c r="Z383" s="29">
        <f>(CHOOSE(Prj_CurReport,Параметры!Z$43,Параметры!Z$54,Параметры!Z$60))</f>
        <v>0.06</v>
      </c>
      <c r="AA383" s="29">
        <f>(CHOOSE(Prj_CurReport,Параметры!AA$43,Параметры!AA$54,Параметры!AA$60))</f>
        <v>0.06</v>
      </c>
      <c r="AB383" s="29">
        <f>(CHOOSE(Prj_CurReport,Параметры!AB$43,Параметры!AB$54,Параметры!AB$60))</f>
        <v>0.06</v>
      </c>
      <c r="AC383" s="29">
        <f>(CHOOSE(Prj_CurReport,Параметры!AC$43,Параметры!AC$54,Параметры!AC$60))</f>
        <v>0.06</v>
      </c>
      <c r="AD383" s="29">
        <f>(CHOOSE(Prj_CurReport,Параметры!AD$43,Параметры!AD$54,Параметры!AD$60))</f>
        <v>0.06</v>
      </c>
      <c r="AE383" s="29">
        <f>(CHOOSE(Prj_CurReport,Параметры!AE$43,Параметры!AE$54,Параметры!AE$60))</f>
        <v>0.06</v>
      </c>
      <c r="AF383" s="29">
        <f>(CHOOSE(Prj_CurReport,Параметры!AF$43,Параметры!AF$54,Параметры!AF$60))</f>
        <v>0.06</v>
      </c>
      <c r="AG383" s="29">
        <f>(CHOOSE(Prj_CurReport,Параметры!AG$43,Параметры!AG$54,Параметры!AG$60))</f>
        <v>0.06</v>
      </c>
      <c r="AH383" s="29">
        <f>(CHOOSE(Prj_CurReport,Параметры!AH$43,Параметры!AH$54,Параметры!AH$60))</f>
        <v>0.06</v>
      </c>
      <c r="AI383" s="29">
        <f>(CHOOSE(Prj_CurReport,Параметры!AI$43,Параметры!AI$54,Параметры!AI$60))</f>
        <v>0.06</v>
      </c>
      <c r="AJ383" s="29">
        <f>(CHOOSE(Prj_CurReport,Параметры!AJ$43,Параметры!AJ$54,Параметры!AJ$60))</f>
        <v>0.06</v>
      </c>
      <c r="AK383" s="29">
        <f>(CHOOSE(Prj_CurReport,Параметры!AK$43,Параметры!AK$54,Параметры!AK$60))</f>
        <v>0.06</v>
      </c>
      <c r="AL383" s="29">
        <f>(CHOOSE(Prj_CurReport,Параметры!AL$43,Параметры!AL$54,Параметры!AL$60))</f>
        <v>0.06</v>
      </c>
      <c r="AM383" s="29">
        <f>(CHOOSE(Prj_CurReport,Параметры!AM$43,Параметры!AM$54,Параметры!AM$60))</f>
        <v>0.06</v>
      </c>
      <c r="AN383" s="29">
        <f>(CHOOSE(Prj_CurReport,Параметры!AN$43,Параметры!AN$54,Параметры!AN$60))</f>
        <v>0.06</v>
      </c>
      <c r="AO383" s="29">
        <f>(CHOOSE(Prj_CurReport,Параметры!AO$43,Параметры!AO$54,Параметры!AO$60))</f>
        <v>0.06</v>
      </c>
      <c r="AP383" s="29">
        <f>(CHOOSE(Prj_CurReport,Параметры!AP$43,Параметры!AP$54,Параметры!AP$60))</f>
        <v>0.06</v>
      </c>
      <c r="AQ383" s="29">
        <f>(CHOOSE(Prj_CurReport,Параметры!AQ$43,Параметры!AQ$54,Параметры!AQ$60))</f>
        <v>0.06</v>
      </c>
      <c r="AR383" s="29">
        <f>(CHOOSE(Prj_CurReport,Параметры!AR$43,Параметры!AR$54,Параметры!AR$60))</f>
        <v>0.06</v>
      </c>
      <c r="AS383" s="29">
        <f>(CHOOSE(Prj_CurReport,Параметры!AS$43,Параметры!AS$54,Параметры!AS$60))</f>
        <v>0.06</v>
      </c>
      <c r="AT383" s="29">
        <f>(CHOOSE(Prj_CurReport,Параметры!AT$43,Параметры!AT$54,Параметры!AT$60))</f>
        <v>0.06</v>
      </c>
      <c r="AU383" s="29">
        <f>(CHOOSE(Prj_CurReport,Параметры!AU$43,Параметры!AU$54,Параметры!AU$60))</f>
        <v>0.06</v>
      </c>
      <c r="AV383" s="29">
        <f>(CHOOSE(Prj_CurReport,Параметры!AV$43,Параметры!AV$54,Параметры!AV$60))</f>
        <v>0.06</v>
      </c>
      <c r="AW383" s="29">
        <f>(CHOOSE(Prj_CurReport,Параметры!AW$43,Параметры!AW$54,Параметры!AW$60))</f>
        <v>0.06</v>
      </c>
      <c r="AX383" s="29">
        <f>(CHOOSE(Prj_CurReport,Параметры!AX$43,Параметры!AX$54,Параметры!AX$60))</f>
        <v>0.06</v>
      </c>
      <c r="AY383" s="29">
        <f>(CHOOSE(Prj_CurReport,Параметры!AY$43,Параметры!AY$54,Параметры!AY$60))</f>
        <v>0.06</v>
      </c>
      <c r="AZ383" s="29">
        <f>(CHOOSE(Prj_CurReport,Параметры!AZ$43,Параметры!AZ$54,Параметры!AZ$60))</f>
        <v>0.06</v>
      </c>
      <c r="BA383" s="29">
        <f>(CHOOSE(Prj_CurReport,Параметры!BA$43,Параметры!BA$54,Параметры!BA$60))</f>
        <v>0.06</v>
      </c>
      <c r="BB383" s="29">
        <f>(CHOOSE(Prj_CurReport,Параметры!BB$43,Параметры!BB$54,Параметры!BB$60))</f>
        <v>0.06</v>
      </c>
    </row>
    <row r="384" spans="1:56" hidden="1" outlineLevel="1" x14ac:dyDescent="0.3">
      <c r="A384" s="35" t="str">
        <f ca="1">Language!A$600</f>
        <v>коэффициент изменения цен к началу проекта</v>
      </c>
      <c r="B384" s="25"/>
      <c r="C384" s="48" t="str">
        <f ca="1">Language!$A$1477</f>
        <v>раз</v>
      </c>
      <c r="F384" s="6" t="s">
        <v>745</v>
      </c>
      <c r="G384" s="19">
        <f ca="1">IF(G$2=1,1,IF(Prj_Inflation=1,POWER(1+OFFSET(G383,0,-1),Параметры!G$30/360),1) * IF(G$2&gt;1, F384, 1))</f>
        <v>1</v>
      </c>
      <c r="H384" s="19">
        <f ca="1">IF(H$2=1,1,IF(Prj_Inflation=1,POWER(1+OFFSET(H383,0,-1),Параметры!H$30/360),1) * IF(H$2&gt;1, G384, 1))</f>
        <v>1.004867550565343</v>
      </c>
      <c r="I384" s="19">
        <f ca="1">IF(I$2=1,1,IF(Prj_Inflation=1,POWER(1+OFFSET(I383,0,-1),Параметры!I$30/360),1) * IF(I$2&gt;1, H384, 1))</f>
        <v>1.0097587941791923</v>
      </c>
      <c r="J384" s="19">
        <f ca="1">IF(J$2=1,1,IF(Prj_Inflation=1,POWER(1+OFFSET(J383,0,-1),Параметры!J$30/360),1) * IF(J$2&gt;1, I384, 1))</f>
        <v>1.0146738461686593</v>
      </c>
      <c r="K384" s="19">
        <f ca="1">IF(K$2=1,1,IF(Prj_Inflation=1,POWER(1+OFFSET(K383,0,-1),Параметры!K$30/360),1) * IF(K$2&gt;1, J384, 1))</f>
        <v>1.0196128224222163</v>
      </c>
      <c r="L384" s="19">
        <f ca="1">IF(L$2=1,1,IF(Prj_Inflation=1,POWER(1+OFFSET(L383,0,-1),Параметры!L$30/360),1) * IF(L$2&gt;1, K384, 1))</f>
        <v>1.0245758393924285</v>
      </c>
      <c r="M384" s="19">
        <f ca="1">IF(M$2=1,1,IF(Prj_Inflation=1,POWER(1+OFFSET(M383,0,-1),Параметры!M$30/360),1) * IF(M$2&gt;1, L384, 1))</f>
        <v>1.0295630140987</v>
      </c>
      <c r="N384" s="19">
        <f ca="1">IF(N$2=1,1,IF(Prj_Inflation=1,POWER(1+OFFSET(N383,0,-1),Параметры!N$30/360),1) * IF(N$2&gt;1, M384, 1))</f>
        <v>1.0345744641300325</v>
      </c>
      <c r="O384" s="19">
        <f ca="1">IF(O$2=1,1,IF(Prj_Inflation=1,POWER(1+OFFSET(O383,0,-1),Параметры!O$30/360),1) * IF(O$2&gt;1, N384, 1))</f>
        <v>1.039610307647798</v>
      </c>
      <c r="P384" s="19">
        <f ca="1">IF(P$2=1,1,IF(Prj_Inflation=1,POWER(1+OFFSET(P383,0,-1),Параметры!P$30/360),1) * IF(P$2&gt;1, O384, 1))</f>
        <v>1.0446706633885257</v>
      </c>
      <c r="Q384" s="19">
        <f ca="1">IF(Q$2=1,1,IF(Prj_Inflation=1,POWER(1+OFFSET(Q383,0,-1),Параметры!Q$30/360),1) * IF(Q$2&gt;1, P384, 1))</f>
        <v>1.0497556506666998</v>
      </c>
      <c r="R384" s="19">
        <f ca="1">IF(R$2=1,1,IF(Prj_Inflation=1,POWER(1+OFFSET(R383,0,-1),Параметры!R$30/360),1) * IF(R$2&gt;1, Q384, 1))</f>
        <v>1.0548653893775746</v>
      </c>
      <c r="S384" s="19">
        <f ca="1">IF(S$2=1,1,IF(Prj_Inflation=1,POWER(1+OFFSET(S383,0,-1),Параметры!S$30/360),1) * IF(S$2&gt;1, R384, 1))</f>
        <v>1.0600000000000003</v>
      </c>
      <c r="T384" s="19">
        <f ca="1">IF(T$2=1,1,IF(Prj_Inflation=1,POWER(1+OFFSET(T383,0,-1),Параметры!T$30/360),1) * IF(T$2&gt;1, S384, 1))</f>
        <v>1.0651596035992639</v>
      </c>
      <c r="U384" s="19">
        <f ca="1">IF(U$2=1,1,IF(Prj_Inflation=1,POWER(1+OFFSET(U383,0,-1),Параметры!U$30/360),1) * IF(U$2&gt;1, T384, 1))</f>
        <v>1.070344321829944</v>
      </c>
      <c r="V384" s="19">
        <f ca="1">IF(V$2=1,1,IF(Prj_Inflation=1,POWER(1+OFFSET(V383,0,-1),Параметры!V$30/360),1) * IF(V$2&gt;1, U384, 1))</f>
        <v>1.0755542769387791</v>
      </c>
      <c r="W384" s="19">
        <f ca="1">IF(W$2=1,1,IF(Prj_Inflation=1,POWER(1+OFFSET(W383,0,-1),Параметры!W$30/360),1) * IF(W$2&gt;1, V384, 1))</f>
        <v>1.0807895917675496</v>
      </c>
      <c r="X384" s="19">
        <f ca="1">IF(X$2=1,1,IF(Prj_Inflation=1,POWER(1+OFFSET(X383,0,-1),Параметры!X$30/360),1) * IF(X$2&gt;1, W384, 1))</f>
        <v>1.0860503897559746</v>
      </c>
      <c r="Y384" s="19">
        <f ca="1">IF(Y$2=1,1,IF(Prj_Inflation=1,POWER(1+OFFSET(Y383,0,-1),Параметры!Y$30/360),1) * IF(Y$2&gt;1, X384, 1))</f>
        <v>1.0913367949446222</v>
      </c>
      <c r="Z384" s="19">
        <f ca="1">IF(Z$2=1,1,IF(Prj_Inflation=1,POWER(1+OFFSET(Z383,0,-1),Параметры!Z$30/360),1) * IF(Z$2&gt;1, Y384, 1))</f>
        <v>1.0966489319778345</v>
      </c>
      <c r="AA384" s="19">
        <f ca="1">IF(AA$2=1,1,IF(Prj_Inflation=1,POWER(1+OFFSET(AA383,0,-1),Параметры!AA$30/360),1) * IF(AA$2&gt;1, Z384, 1))</f>
        <v>1.1019869261066662</v>
      </c>
      <c r="AB384" s="19">
        <f ca="1">IF(AB$2=1,1,IF(Prj_Inflation=1,POWER(1+OFFSET(AB383,0,-1),Параметры!AB$30/360),1) * IF(AB$2&gt;1, AA384, 1))</f>
        <v>1.1073509031918374</v>
      </c>
      <c r="AC384" s="19">
        <f ca="1">IF(AC$2=1,1,IF(Prj_Inflation=1,POWER(1+OFFSET(AC383,0,-1),Параметры!AC$30/360),1) * IF(AC$2&gt;1, AB384, 1))</f>
        <v>1.112740989706702</v>
      </c>
      <c r="AD384" s="19">
        <f ca="1">IF(AD$2=1,1,IF(Prj_Inflation=1,POWER(1+OFFSET(AD383,0,-1),Параметры!AD$30/360),1) * IF(AD$2&gt;1, AC384, 1))</f>
        <v>1.1181573127402293</v>
      </c>
      <c r="AE384" s="19">
        <f ca="1">IF(AE$2=1,1,IF(Prj_Inflation=1,POWER(1+OFFSET(AE383,0,-1),Параметры!AE$30/360),1) * IF(AE$2&gt;1, AD384, 1))</f>
        <v>1.1236000000000006</v>
      </c>
      <c r="AF384" s="19">
        <f ca="1">IF(AF$2=1,1,IF(Prj_Inflation=1,POWER(1+OFFSET(AF383,0,-1),Параметры!AF$30/360),1) * IF(AF$2&gt;1, AE384, 1))</f>
        <v>1.1290691798152201</v>
      </c>
      <c r="AG384" s="19">
        <f ca="1">IF(AG$2=1,1,IF(Prj_Inflation=1,POWER(1+OFFSET(AG383,0,-1),Параметры!AG$30/360),1) * IF(AG$2&gt;1, AF384, 1))</f>
        <v>1.1345649811397411</v>
      </c>
      <c r="AH384" s="19">
        <f ca="1">IF(AH$2=1,1,IF(Prj_Inflation=1,POWER(1+OFFSET(AH383,0,-1),Параметры!AH$30/360),1) * IF(AH$2&gt;1, AG384, 1))</f>
        <v>1.1400875335551064</v>
      </c>
      <c r="AI384" s="19">
        <f ca="1">IF(AI$2=1,1,IF(Prj_Inflation=1,POWER(1+OFFSET(AI383,0,-1),Параметры!AI$30/360),1) * IF(AI$2&gt;1, AH384, 1))</f>
        <v>1.1456369672736031</v>
      </c>
      <c r="AJ384" s="19">
        <f ca="1">IF(AJ$2=1,1,IF(Prj_Inflation=1,POWER(1+OFFSET(AJ383,0,-1),Параметры!AJ$30/360),1) * IF(AJ$2&gt;1, AI384, 1))</f>
        <v>1.1512134131413336</v>
      </c>
      <c r="AK384" s="19">
        <f ca="1">IF(AK$2=1,1,IF(Prj_Inflation=1,POWER(1+OFFSET(AK383,0,-1),Параметры!AK$30/360),1) * IF(AK$2&gt;1, AJ384, 1))</f>
        <v>1.1568170026413003</v>
      </c>
      <c r="AL384" s="19">
        <f ca="1">IF(AL$2=1,1,IF(Prj_Inflation=1,POWER(1+OFFSET(AL383,0,-1),Параметры!AL$30/360),1) * IF(AL$2&gt;1, AK384, 1))</f>
        <v>1.1624478678965053</v>
      </c>
      <c r="AM384" s="19">
        <f ca="1">IF(AM$2=1,1,IF(Prj_Inflation=1,POWER(1+OFFSET(AM383,0,-1),Параметры!AM$30/360),1) * IF(AM$2&gt;1, AL384, 1))</f>
        <v>1.1681061416730667</v>
      </c>
      <c r="AN384" s="19">
        <f ca="1">IF(AN$2=1,1,IF(Prj_Inflation=1,POWER(1+OFFSET(AN383,0,-1),Параметры!AN$30/360),1) * IF(AN$2&gt;1, AM384, 1))</f>
        <v>1.1737919573833482</v>
      </c>
      <c r="AO384" s="19">
        <f ca="1">IF(AO$2=1,1,IF(Prj_Inflation=1,POWER(1+OFFSET(AO383,0,-1),Параметры!AO$30/360),1) * IF(AO$2&gt;1, AN384, 1))</f>
        <v>1.1795054490891046</v>
      </c>
      <c r="AP384" s="19">
        <f ca="1">IF(AP$2=1,1,IF(Prj_Inflation=1,POWER(1+OFFSET(AP383,0,-1),Параметры!AP$30/360),1) * IF(AP$2&gt;1, AO384, 1))</f>
        <v>1.1852467515046434</v>
      </c>
      <c r="AQ384" s="19">
        <f ca="1">IF(AQ$2=1,1,IF(Prj_Inflation=1,POWER(1+OFFSET(AQ383,0,-1),Параметры!AQ$30/360),1) * IF(AQ$2&gt;1, AP384, 1))</f>
        <v>1.191016000000001</v>
      </c>
      <c r="AR384" s="19">
        <f ca="1">IF(AR$2=1,1,IF(Prj_Inflation=1,POWER(1+OFFSET(AR383,0,-1),Параметры!AR$30/360),1) * IF(AR$2&gt;1, AQ384, 1))</f>
        <v>1.1968133306041335</v>
      </c>
      <c r="AS384" s="19">
        <f ca="1">IF(AS$2=1,1,IF(Prj_Inflation=1,POWER(1+OFFSET(AS383,0,-1),Параметры!AS$30/360),1) * IF(AS$2&gt;1, AR384, 1))</f>
        <v>1.2026388800081258</v>
      </c>
      <c r="AT384" s="19">
        <f ca="1">IF(AT$2=1,1,IF(Prj_Inflation=1,POWER(1+OFFSET(AT383,0,-1),Параметры!AT$30/360),1) * IF(AT$2&gt;1, AS384, 1))</f>
        <v>1.2084927855684129</v>
      </c>
      <c r="AU384" s="19">
        <f ca="1">IF(AU$2=1,1,IF(Prj_Inflation=1,POWER(1+OFFSET(AU383,0,-1),Параметры!AU$30/360),1) * IF(AU$2&gt;1, AT384, 1))</f>
        <v>1.2143751853100193</v>
      </c>
      <c r="AV384" s="19">
        <f ca="1">IF(AV$2=1,1,IF(Prj_Inflation=1,POWER(1+OFFSET(AV383,0,-1),Параметры!AV$30/360),1) * IF(AV$2&gt;1, AU384, 1))</f>
        <v>1.2202862179298137</v>
      </c>
      <c r="AW384" s="19">
        <f ca="1">IF(AW$2=1,1,IF(Prj_Inflation=1,POWER(1+OFFSET(AW383,0,-1),Параметры!AW$30/360),1) * IF(AW$2&gt;1, AV384, 1))</f>
        <v>1.2262260227997783</v>
      </c>
      <c r="AX384" s="19">
        <f ca="1">IF(AX$2=1,1,IF(Prj_Inflation=1,POWER(1+OFFSET(AX383,0,-1),Параметры!AX$30/360),1) * IF(AX$2&gt;1, AW384, 1))</f>
        <v>1.2321947399702957</v>
      </c>
      <c r="AY384" s="19">
        <f ca="1">IF(AY$2=1,1,IF(Prj_Inflation=1,POWER(1+OFFSET(AY383,0,-1),Параметры!AY$30/360),1) * IF(AY$2&gt;1, AX384, 1))</f>
        <v>1.2381925101734508</v>
      </c>
      <c r="AZ384" s="19">
        <f ca="1">IF(AZ$2=1,1,IF(Prj_Inflation=1,POWER(1+OFFSET(AZ383,0,-1),Параметры!AZ$30/360),1) * IF(AZ$2&gt;1, AY384, 1))</f>
        <v>1.2442194748263491</v>
      </c>
      <c r="BA384" s="19">
        <f ca="1">IF(BA$2=1,1,IF(Prj_Inflation=1,POWER(1+OFFSET(BA383,0,-1),Параметры!BA$30/360),1) * IF(BA$2&gt;1, AZ384, 1))</f>
        <v>1.2502757760344509</v>
      </c>
      <c r="BB384" s="19">
        <f ca="1">IF(BB$2=1,1,IF(Prj_Inflation=1,POWER(1+OFFSET(BB383,0,-1),Параметры!BB$30/360),1) * IF(BB$2&gt;1, BA384, 1))</f>
        <v>1.2563615565949222</v>
      </c>
    </row>
    <row r="385" spans="1:56" hidden="1" outlineLevel="1" x14ac:dyDescent="0.3">
      <c r="A385" s="10" t="str">
        <f ca="1">Language!A$1351</f>
        <v>Денежный поток для расчета эффективности</v>
      </c>
      <c r="B385" s="97"/>
      <c r="C385" s="48" t="str">
        <f ca="1">Параметры!$C$64</f>
        <v>руб.</v>
      </c>
      <c r="F385" s="6" t="s">
        <v>740</v>
      </c>
      <c r="G385" s="55">
        <f ca="1">G371</f>
        <v>-291667</v>
      </c>
      <c r="H385" s="55">
        <f t="shared" ref="H385:M385" ca="1" si="1673">H371</f>
        <v>-1658333.6666666667</v>
      </c>
      <c r="I385" s="55">
        <f t="shared" ca="1" si="1673"/>
        <v>-136658332.66666666</v>
      </c>
      <c r="J385" s="55">
        <f t="shared" ca="1" si="1673"/>
        <v>-18391666.666666668</v>
      </c>
      <c r="K385" s="55">
        <f t="shared" ca="1" si="1673"/>
        <v>-17025000</v>
      </c>
      <c r="L385" s="55">
        <f t="shared" ca="1" si="1673"/>
        <v>-18902925.060418263</v>
      </c>
      <c r="M385" s="55">
        <f t="shared" ca="1" si="1673"/>
        <v>-7886918.2840950666</v>
      </c>
      <c r="N385" s="55">
        <f t="shared" ref="N385:O385" ca="1" si="1674">N371</f>
        <v>-6232039.9085776005</v>
      </c>
      <c r="O385" s="55">
        <f t="shared" ca="1" si="1674"/>
        <v>5621274.1251944918</v>
      </c>
      <c r="P385" s="55">
        <f t="shared" ref="P385:Q385" ca="1" si="1675">P371</f>
        <v>7660948.0157057578</v>
      </c>
      <c r="Q385" s="55">
        <f t="shared" ca="1" si="1675"/>
        <v>8271780.2482123412</v>
      </c>
      <c r="R385" s="55">
        <f t="shared" ref="R385:S385" ca="1" si="1676">R371</f>
        <v>7659601.2717252243</v>
      </c>
      <c r="S385" s="55">
        <f t="shared" ca="1" si="1676"/>
        <v>10934450.009093545</v>
      </c>
      <c r="T385" s="55">
        <f t="shared" ref="T385:U385" ca="1" si="1677">T371</f>
        <v>10907857.537697751</v>
      </c>
      <c r="U385" s="55">
        <f t="shared" ca="1" si="1677"/>
        <v>9142084.1888643112</v>
      </c>
      <c r="V385" s="55">
        <f t="shared" ref="V385:W385" ca="1" si="1678">V371</f>
        <v>8933019.3270192426</v>
      </c>
      <c r="W385" s="55">
        <f t="shared" ca="1" si="1678"/>
        <v>6302682.3345128149</v>
      </c>
      <c r="X385" s="55">
        <f t="shared" ref="X385:Y385" ca="1" si="1679">X371</f>
        <v>9531143.2605401427</v>
      </c>
      <c r="Y385" s="55">
        <f t="shared" ca="1" si="1679"/>
        <v>14054646.549902095</v>
      </c>
      <c r="Z385" s="55">
        <f t="shared" ref="Z385:AA385" ca="1" si="1680">Z371</f>
        <v>16571335.234077554</v>
      </c>
      <c r="AA385" s="55">
        <f t="shared" ca="1" si="1680"/>
        <v>13039208.632376103</v>
      </c>
      <c r="AB385" s="55">
        <f t="shared" ref="AB385:AC385" ca="1" si="1681">AB371</f>
        <v>8435184.3236111198</v>
      </c>
      <c r="AC385" s="55">
        <f t="shared" ca="1" si="1681"/>
        <v>6697207.9380209679</v>
      </c>
      <c r="AD385" s="55">
        <f t="shared" ref="AD385:AE385" ca="1" si="1682">AD371</f>
        <v>7244398.4125958197</v>
      </c>
      <c r="AE385" s="55">
        <f t="shared" ca="1" si="1682"/>
        <v>11240196.241873104</v>
      </c>
      <c r="AF385" s="55">
        <f t="shared" ref="AF385:AG385" ca="1" si="1683">AF371</f>
        <v>11315284.721229495</v>
      </c>
      <c r="AG385" s="55">
        <f t="shared" ca="1" si="1683"/>
        <v>9477609.3995322883</v>
      </c>
      <c r="AH385" s="55">
        <f t="shared" ref="AH385:AI385" ca="1" si="1684">AH371</f>
        <v>9276373.7954233903</v>
      </c>
      <c r="AI385" s="55">
        <f t="shared" ca="1" si="1684"/>
        <v>6443949.6621978907</v>
      </c>
      <c r="AJ385" s="55">
        <f t="shared" ref="AJ385:AK385" ca="1" si="1685">AJ371</f>
        <v>9801235.2522034701</v>
      </c>
      <c r="AK385" s="55">
        <f t="shared" ca="1" si="1685"/>
        <v>14523290.786738934</v>
      </c>
      <c r="AL385" s="55">
        <f t="shared" ref="AL385:AM385" ca="1" si="1686">AL371</f>
        <v>17232511.227023654</v>
      </c>
      <c r="AM385" s="55">
        <f t="shared" ca="1" si="1686"/>
        <v>13574228.733756416</v>
      </c>
      <c r="AN385" s="55">
        <f t="shared" ref="AN385:AO385" ca="1" si="1687">AN371</f>
        <v>8757348.8981603831</v>
      </c>
      <c r="AO385" s="55">
        <f t="shared" ca="1" si="1687"/>
        <v>6902114.1647834787</v>
      </c>
      <c r="AP385" s="55">
        <f t="shared" ref="AP385:AQ385" ca="1" si="1688">AP371</f>
        <v>7417472.712871192</v>
      </c>
      <c r="AQ385" s="55">
        <f t="shared" ca="1" si="1688"/>
        <v>11626436.181462388</v>
      </c>
      <c r="AR385" s="55">
        <f t="shared" ref="AR385:AS385" ca="1" si="1689">AR371</f>
        <v>11716622.864158114</v>
      </c>
      <c r="AS385" s="55">
        <f t="shared" ca="1" si="1689"/>
        <v>9806939.3425342925</v>
      </c>
      <c r="AT385" s="55">
        <f t="shared" ref="AT385:AU385" ca="1" si="1690">AT371</f>
        <v>9616520.8728973772</v>
      </c>
      <c r="AU385" s="55">
        <f t="shared" ca="1" si="1690"/>
        <v>6564412.9790532039</v>
      </c>
      <c r="AV385" s="55">
        <f t="shared" ref="AV385:AW385" ca="1" si="1691">AV371</f>
        <v>10050233.175116023</v>
      </c>
      <c r="AW385" s="55">
        <f t="shared" ca="1" si="1691"/>
        <v>14973748.846644955</v>
      </c>
      <c r="AX385" s="55">
        <f t="shared" ref="AX385:AY385" ca="1" si="1692">AX371</f>
        <v>17892186.110178754</v>
      </c>
      <c r="AY385" s="55">
        <f t="shared" ca="1" si="1692"/>
        <v>14110779.75453246</v>
      </c>
      <c r="AZ385" s="55">
        <f t="shared" ref="AZ385:BA385" ca="1" si="1693">AZ371</f>
        <v>9076107.5616529956</v>
      </c>
      <c r="BA385" s="55">
        <f t="shared" ca="1" si="1693"/>
        <v>7094974.6807112303</v>
      </c>
      <c r="BB385" s="55">
        <f t="shared" ref="BB385" ca="1" si="1694">BB371</f>
        <v>8348418.0810810896</v>
      </c>
      <c r="BD385" s="57">
        <f ca="1">SUM(G385:BC385)</f>
        <v>200798934.20187497</v>
      </c>
    </row>
    <row r="386" spans="1:56" hidden="1" x14ac:dyDescent="0.3">
      <c r="A386" s="22"/>
      <c r="B386" s="97"/>
      <c r="G386" s="41"/>
    </row>
    <row r="387" spans="1:56" hidden="1" collapsed="1" x14ac:dyDescent="0.3">
      <c r="A387" s="10" t="str">
        <f ca="1">Language!A1409</f>
        <v>Модифицированная IRR, MIRR</v>
      </c>
      <c r="B387" s="102">
        <f ca="1">IFERROR(IF(POWER(1+IRR(G389:BC389,G369),360/Параметры!B$21)-1&gt;999%,"-",POWER(1+IRR(G389:BC389,G369),360/Параметры!B$21)-1),"-")</f>
        <v>0.27407231733186288</v>
      </c>
      <c r="C387" s="48" t="s">
        <v>1</v>
      </c>
      <c r="G387" s="41" t="str">
        <f ca="1">Language!A$1361</f>
        <v>(с учетом инфляции, номинальная)</v>
      </c>
    </row>
    <row r="388" spans="1:56" hidden="1" outlineLevel="1" x14ac:dyDescent="0.3">
      <c r="A388" s="10" t="str">
        <f ca="1">Language!A1351</f>
        <v>Денежный поток для расчета эффективности</v>
      </c>
      <c r="B388" s="102"/>
      <c r="C388" s="48" t="str">
        <f ca="1">Параметры!$C$64</f>
        <v>руб.</v>
      </c>
      <c r="F388" s="6" t="s">
        <v>740</v>
      </c>
      <c r="G388" s="55">
        <f ca="1">IF(G371&lt;0,G371*Параметры!G$131,G371*Параметры!G$141)</f>
        <v>-291667</v>
      </c>
      <c r="H388" s="55">
        <f ca="1">IF(H371&lt;0,H371*Параметры!H$131,H371*Параметры!H$141)</f>
        <v>-1683721.8770152112</v>
      </c>
      <c r="I388" s="55">
        <f ca="1">IF(I371&lt;0,I371*Параметры!I$131,I371*Параметры!I$141)</f>
        <v>-140874696.05623782</v>
      </c>
      <c r="J388" s="55">
        <f ca="1">IF(J371&lt;0,J371*Параметры!J$131,J371*Параметры!J$141)</f>
        <v>-19249364.605319805</v>
      </c>
      <c r="K388" s="55">
        <f ca="1">IF(K371&lt;0,K371*Параметры!K$131,K371*Параметры!K$141)</f>
        <v>-18091762.140333951</v>
      </c>
      <c r="L388" s="55">
        <f ca="1">IF(L371&lt;0,L371*Параметры!L$131,L371*Параметры!L$141)</f>
        <v>-20394882.071423616</v>
      </c>
      <c r="M388" s="55">
        <f ca="1">IF(M371&lt;0,M371*Параметры!M$131,M371*Параметры!M$141)</f>
        <v>-8639686.1067976113</v>
      </c>
      <c r="N388" s="55">
        <f ca="1">IF(N371&lt;0,N371*Параметры!N$131,N371*Параметры!N$141)</f>
        <v>-6931373.2505728705</v>
      </c>
      <c r="O388" s="55">
        <f ca="1">IF(O371&lt;0,O371*Параметры!O$131,O371*Параметры!O$141)</f>
        <v>10444489.508899441</v>
      </c>
      <c r="P388" s="55">
        <f ca="1">IF(P371&lt;0,P371*Параметры!P$131,P371*Параметры!P$141)</f>
        <v>14009937.184175279</v>
      </c>
      <c r="Q388" s="55">
        <f ca="1">IF(Q371&lt;0,Q371*Параметры!Q$131,Q371*Параметры!Q$141)</f>
        <v>14888600.610831697</v>
      </c>
      <c r="R388" s="55">
        <f ca="1">IF(R371&lt;0,R371*Параметры!R$131,R371*Параметры!R$141)</f>
        <v>13569450.888538819</v>
      </c>
      <c r="S388" s="55">
        <f ca="1">IF(S371&lt;0,S371*Параметры!S$131,S371*Параметры!S$141)</f>
        <v>19065766.657836251</v>
      </c>
      <c r="T388" s="55">
        <f ca="1">IF(T371&lt;0,T371*Параметры!T$131,T371*Параметры!T$141)</f>
        <v>18719662.151777804</v>
      </c>
      <c r="U388" s="55">
        <f ca="1">IF(U371&lt;0,U371*Параметры!U$131,U371*Параметры!U$141)</f>
        <v>15442051.081057595</v>
      </c>
      <c r="V388" s="55">
        <f ca="1">IF(V371&lt;0,V371*Параметры!V$131,V371*Параметры!V$141)</f>
        <v>14851121.840747075</v>
      </c>
      <c r="W388" s="55">
        <f ca="1">IF(W371&lt;0,W371*Параметры!W$131,W371*Параметры!W$141)</f>
        <v>10313061.917605674</v>
      </c>
      <c r="X388" s="55">
        <f ca="1">IF(X371&lt;0,X371*Параметры!X$131,X371*Параметры!X$141)</f>
        <v>15350001.532532517</v>
      </c>
      <c r="Y388" s="55">
        <f ca="1">IF(Y371&lt;0,Y371*Параметры!Y$131,Y371*Параметры!Y$141)</f>
        <v>22278429.546977904</v>
      </c>
      <c r="Z388" s="55">
        <f ca="1">IF(Z371&lt;0,Z371*Параметры!Z$131,Z371*Параметры!Z$141)</f>
        <v>25853739.414553639</v>
      </c>
      <c r="AA388" s="55">
        <f ca="1">IF(AA371&lt;0,AA371*Параметры!AA$131,AA371*Параметры!AA$141)</f>
        <v>20022500.697973888</v>
      </c>
      <c r="AB388" s="55">
        <f ca="1">IF(AB371&lt;0,AB371*Параметры!AB$131,AB371*Параметры!AB$141)</f>
        <v>12748611.288805263</v>
      </c>
      <c r="AC388" s="55">
        <f ca="1">IF(AC371&lt;0,AC371*Параметры!AC$131,AC371*Параметры!AC$141)</f>
        <v>9962384.6243826468</v>
      </c>
      <c r="AD388" s="55">
        <f ca="1">IF(AD371&lt;0,AD371*Параметры!AD$131,AD371*Параметры!AD$141)</f>
        <v>10606523.715881545</v>
      </c>
      <c r="AE388" s="55">
        <f ca="1">IF(AE371&lt;0,AE371*Параметры!AE$131,AE371*Параметры!AE$141)</f>
        <v>16197420.364578813</v>
      </c>
      <c r="AF388" s="55">
        <f ca="1">IF(AF371&lt;0,AF371*Параметры!AF$131,AF371*Параметры!AF$141)</f>
        <v>16048655.895137563</v>
      </c>
      <c r="AG388" s="55">
        <f ca="1">IF(AG371&lt;0,AG371*Параметры!AG$131,AG371*Параметры!AG$141)</f>
        <v>13230406.995578717</v>
      </c>
      <c r="AH388" s="55">
        <f ca="1">IF(AH371&lt;0,AH371*Параметры!AH$131,AH371*Параметры!AH$141)</f>
        <v>12745411.378912143</v>
      </c>
      <c r="AI388" s="55">
        <f ca="1">IF(AI371&lt;0,AI371*Параметры!AI$131,AI371*Параметры!AI$141)</f>
        <v>8714229.1410615295</v>
      </c>
      <c r="AJ388" s="55">
        <f ca="1">IF(AJ371&lt;0,AJ371*Параметры!AJ$131,AJ371*Параметры!AJ$141)</f>
        <v>13045444.120682823</v>
      </c>
      <c r="AK388" s="55">
        <f ca="1">IF(AK371&lt;0,AK371*Параметры!AK$131,AK371*Параметры!AK$141)</f>
        <v>19025860.474949714</v>
      </c>
      <c r="AL388" s="55">
        <f ca="1">IF(AL371&lt;0,AL371*Параметры!AL$131,AL371*Параметры!AL$141)</f>
        <v>22219233.035432793</v>
      </c>
      <c r="AM388" s="55">
        <f ca="1">IF(AM371&lt;0,AM371*Параметры!AM$131,AM371*Параметры!AM$141)</f>
        <v>17226493.155689586</v>
      </c>
      <c r="AN388" s="55">
        <f ca="1">IF(AN371&lt;0,AN371*Параметры!AN$131,AN371*Параметры!AN$141)</f>
        <v>10938444.929338479</v>
      </c>
      <c r="AO388" s="55">
        <f ca="1">IF(AO371&lt;0,AO371*Параметры!AO$131,AO371*Параметры!AO$141)</f>
        <v>8485282.1840176508</v>
      </c>
      <c r="AP388" s="55">
        <f ca="1">IF(AP371&lt;0,AP371*Параметры!AP$131,AP371*Параметры!AP$141)</f>
        <v>8975141.9825741462</v>
      </c>
      <c r="AQ388" s="55">
        <f ca="1">IF(AQ371&lt;0,AQ371*Параметры!AQ$131,AQ371*Параметры!AQ$141)</f>
        <v>13846282.928170715</v>
      </c>
      <c r="AR388" s="55">
        <f ca="1">IF(AR371&lt;0,AR371*Параметры!AR$131,AR371*Параметры!AR$141)</f>
        <v>13733785.484537473</v>
      </c>
      <c r="AS388" s="55">
        <f ca="1">IF(AS371&lt;0,AS371*Параметры!AS$131,AS371*Параметры!AS$141)</f>
        <v>11314165.23150973</v>
      </c>
      <c r="AT388" s="55">
        <f ca="1">IF(AT371&lt;0,AT371*Параметры!AT$131,AT371*Параметры!AT$141)</f>
        <v>10919637.604659377</v>
      </c>
      <c r="AU388" s="55">
        <f ca="1">IF(AU371&lt;0,AU371*Параметры!AU$131,AU371*Параметры!AU$141)</f>
        <v>7336473.6408520835</v>
      </c>
      <c r="AV388" s="55">
        <f ca="1">IF(AV371&lt;0,AV371*Параметры!AV$131,AV371*Параметры!AV$141)</f>
        <v>11055256.492627626</v>
      </c>
      <c r="AW388" s="55">
        <f ca="1">IF(AW371&lt;0,AW371*Параметры!AW$131,AW371*Параметры!AW$141)</f>
        <v>16211546.590893948</v>
      </c>
      <c r="AX388" s="55">
        <f ca="1">IF(AX371&lt;0,AX371*Параметры!AX$131,AX371*Параметры!AX$141)</f>
        <v>19065953.539650965</v>
      </c>
      <c r="AY388" s="55">
        <f ca="1">IF(AY371&lt;0,AY371*Параметры!AY$131,AY371*Параметры!AY$141)</f>
        <v>14799510.661133885</v>
      </c>
      <c r="AZ388" s="55">
        <f ca="1">IF(AZ371&lt;0,AZ371*Параметры!AZ$131,AZ371*Параметры!AZ$141)</f>
        <v>9369085.3616375625</v>
      </c>
      <c r="BA388" s="55">
        <f ca="1">IF(BA371&lt;0,BA371*Параметры!BA$131,BA371*Параметры!BA$141)</f>
        <v>7208578.4771543099</v>
      </c>
      <c r="BB388" s="55">
        <f ca="1">IF(BB371&lt;0,BB371*Параметры!BB$131,BB371*Параметры!BB$141)</f>
        <v>8348418.0810810896</v>
      </c>
      <c r="BC388" s="55"/>
      <c r="BD388" s="57">
        <f ca="1">SUM(G388:BC388)</f>
        <v>342029897.30673897</v>
      </c>
    </row>
    <row r="389" spans="1:56" hidden="1" outlineLevel="1" x14ac:dyDescent="0.3">
      <c r="A389" s="10" t="str">
        <f ca="1">Language!A476</f>
        <v>Модифицированный денежный поток</v>
      </c>
      <c r="B389" s="102"/>
      <c r="C389" s="48" t="str">
        <f ca="1">Параметры!$C$64</f>
        <v>руб.</v>
      </c>
      <c r="F389" s="6" t="s">
        <v>740</v>
      </c>
      <c r="G389" s="55">
        <f ca="1">IF(G$2=1,SUMIF($G388:OFFSET($G388,0,Prj_Len-G$2),"&lt;0",$G388:OFFSET($G388,0,Prj_Len-G$2)),IF(G$2=Prj_Len,SUMIF($G388:OFFSET(G388,0,Prj_Len-G$2),"&gt;=0",$G388:OFFSET($G388,0,Prj_Len-G$2)),0))</f>
        <v>-216157153.10770085</v>
      </c>
      <c r="H389" s="55">
        <f ca="1">IF(H$2=1,SUMIF($G388:OFFSET($G388,0,Prj_Len-H$2),"&lt;0",$G388:OFFSET($G388,0,Prj_Len-H$2)),IF(H$2=Prj_Len,SUMIF($G388:OFFSET(H388,0,Prj_Len-H$2),"&gt;=0",$G388:OFFSET($G388,0,Prj_Len-H$2)),0))</f>
        <v>0</v>
      </c>
      <c r="I389" s="55">
        <f ca="1">IF(I$2=1,SUMIF($G388:OFFSET($G388,0,Prj_Len-I$2),"&lt;0",$G388:OFFSET($G388,0,Prj_Len-I$2)),IF(I$2=Prj_Len,SUMIF($G388:OFFSET(I388,0,Prj_Len-I$2),"&gt;=0",$G388:OFFSET($G388,0,Prj_Len-I$2)),0))</f>
        <v>0</v>
      </c>
      <c r="J389" s="55">
        <f ca="1">IF(J$2=1,SUMIF($G388:OFFSET($G388,0,Prj_Len-J$2),"&lt;0",$G388:OFFSET($G388,0,Prj_Len-J$2)),IF(J$2=Prj_Len,SUMIF($G388:OFFSET(J388,0,Prj_Len-J$2),"&gt;=0",$G388:OFFSET($G388,0,Prj_Len-J$2)),0))</f>
        <v>0</v>
      </c>
      <c r="K389" s="55">
        <f ca="1">IF(K$2=1,SUMIF($G388:OFFSET($G388,0,Prj_Len-K$2),"&lt;0",$G388:OFFSET($G388,0,Prj_Len-K$2)),IF(K$2=Prj_Len,SUMIF($G388:OFFSET(K388,0,Prj_Len-K$2),"&gt;=0",$G388:OFFSET($G388,0,Prj_Len-K$2)),0))</f>
        <v>0</v>
      </c>
      <c r="L389" s="55">
        <f ca="1">IF(L$2=1,SUMIF($G388:OFFSET($G388,0,Prj_Len-L$2),"&lt;0",$G388:OFFSET($G388,0,Prj_Len-L$2)),IF(L$2=Prj_Len,SUMIF($G388:OFFSET(L388,0,Prj_Len-L$2),"&gt;=0",$G388:OFFSET($G388,0,Prj_Len-L$2)),0))</f>
        <v>0</v>
      </c>
      <c r="M389" s="55">
        <f ca="1">IF(M$2=1,SUMIF($G388:OFFSET($G388,0,Prj_Len-M$2),"&lt;0",$G388:OFFSET($G388,0,Prj_Len-M$2)),IF(M$2=Prj_Len,SUMIF($G388:OFFSET(M388,0,Prj_Len-M$2),"&gt;=0",$G388:OFFSET($G388,0,Prj_Len-M$2)),0))</f>
        <v>0</v>
      </c>
      <c r="N389" s="55">
        <f ca="1">IF(N$2=1,SUMIF($G388:OFFSET($G388,0,Prj_Len-N$2),"&lt;0",$G388:OFFSET($G388,0,Prj_Len-N$2)),IF(N$2=Prj_Len,SUMIF($G388:OFFSET(N388,0,Prj_Len-N$2),"&gt;=0",$G388:OFFSET($G388,0,Prj_Len-N$2)),0))</f>
        <v>0</v>
      </c>
      <c r="O389" s="55">
        <f ca="1">IF(O$2=1,SUMIF($G388:OFFSET($G388,0,Prj_Len-O$2),"&lt;0",$G388:OFFSET($G388,0,Prj_Len-O$2)),IF(O$2=Prj_Len,SUMIF($G388:OFFSET(O388,0,Prj_Len-O$2),"&gt;=0",$G388:OFFSET($G388,0,Prj_Len-O$2)),0))</f>
        <v>0</v>
      </c>
      <c r="P389" s="55">
        <f ca="1">IF(P$2=1,SUMIF($G388:OFFSET($G388,0,Prj_Len-P$2),"&lt;0",$G388:OFFSET($G388,0,Prj_Len-P$2)),IF(P$2=Prj_Len,SUMIF($G388:OFFSET(P388,0,Prj_Len-P$2),"&gt;=0",$G388:OFFSET($G388,0,Prj_Len-P$2)),0))</f>
        <v>0</v>
      </c>
      <c r="Q389" s="55">
        <f ca="1">IF(Q$2=1,SUMIF($G388:OFFSET($G388,0,Prj_Len-Q$2),"&lt;0",$G388:OFFSET($G388,0,Prj_Len-Q$2)),IF(Q$2=Prj_Len,SUMIF($G388:OFFSET(Q388,0,Prj_Len-Q$2),"&gt;=0",$G388:OFFSET($G388,0,Prj_Len-Q$2)),0))</f>
        <v>0</v>
      </c>
      <c r="R389" s="55">
        <f ca="1">IF(R$2=1,SUMIF($G388:OFFSET($G388,0,Prj_Len-R$2),"&lt;0",$G388:OFFSET($G388,0,Prj_Len-R$2)),IF(R$2=Prj_Len,SUMIF($G388:OFFSET(R388,0,Prj_Len-R$2),"&gt;=0",$G388:OFFSET($G388,0,Prj_Len-R$2)),0))</f>
        <v>0</v>
      </c>
      <c r="S389" s="55">
        <f ca="1">IF(S$2=1,SUMIF($G388:OFFSET($G388,0,Prj_Len-S$2),"&lt;0",$G388:OFFSET($G388,0,Prj_Len-S$2)),IF(S$2=Prj_Len,SUMIF($G388:OFFSET(S388,0,Prj_Len-S$2),"&gt;=0",$G388:OFFSET($G388,0,Prj_Len-S$2)),0))</f>
        <v>0</v>
      </c>
      <c r="T389" s="55">
        <f ca="1">IF(T$2=1,SUMIF($G388:OFFSET($G388,0,Prj_Len-T$2),"&lt;0",$G388:OFFSET($G388,0,Prj_Len-T$2)),IF(T$2=Prj_Len,SUMIF($G388:OFFSET(T388,0,Prj_Len-T$2),"&gt;=0",$G388:OFFSET($G388,0,Prj_Len-T$2)),0))</f>
        <v>0</v>
      </c>
      <c r="U389" s="55">
        <f ca="1">IF(U$2=1,SUMIF($G388:OFFSET($G388,0,Prj_Len-U$2),"&lt;0",$G388:OFFSET($G388,0,Prj_Len-U$2)),IF(U$2=Prj_Len,SUMIF($G388:OFFSET(U388,0,Prj_Len-U$2),"&gt;=0",$G388:OFFSET($G388,0,Prj_Len-U$2)),0))</f>
        <v>0</v>
      </c>
      <c r="V389" s="55">
        <f ca="1">IF(V$2=1,SUMIF($G388:OFFSET($G388,0,Prj_Len-V$2),"&lt;0",$G388:OFFSET($G388,0,Prj_Len-V$2)),IF(V$2=Prj_Len,SUMIF($G388:OFFSET(V388,0,Prj_Len-V$2),"&gt;=0",$G388:OFFSET($G388,0,Prj_Len-V$2)),0))</f>
        <v>0</v>
      </c>
      <c r="W389" s="55">
        <f ca="1">IF(W$2=1,SUMIF($G388:OFFSET($G388,0,Prj_Len-W$2),"&lt;0",$G388:OFFSET($G388,0,Prj_Len-W$2)),IF(W$2=Prj_Len,SUMIF($G388:OFFSET(W388,0,Prj_Len-W$2),"&gt;=0",$G388:OFFSET($G388,0,Prj_Len-W$2)),0))</f>
        <v>0</v>
      </c>
      <c r="X389" s="55">
        <f ca="1">IF(X$2=1,SUMIF($G388:OFFSET($G388,0,Prj_Len-X$2),"&lt;0",$G388:OFFSET($G388,0,Prj_Len-X$2)),IF(X$2=Prj_Len,SUMIF($G388:OFFSET(X388,0,Prj_Len-X$2),"&gt;=0",$G388:OFFSET($G388,0,Prj_Len-X$2)),0))</f>
        <v>0</v>
      </c>
      <c r="Y389" s="55">
        <f ca="1">IF(Y$2=1,SUMIF($G388:OFFSET($G388,0,Prj_Len-Y$2),"&lt;0",$G388:OFFSET($G388,0,Prj_Len-Y$2)),IF(Y$2=Prj_Len,SUMIF($G388:OFFSET(Y388,0,Prj_Len-Y$2),"&gt;=0",$G388:OFFSET($G388,0,Prj_Len-Y$2)),0))</f>
        <v>0</v>
      </c>
      <c r="Z389" s="55">
        <f ca="1">IF(Z$2=1,SUMIF($G388:OFFSET($G388,0,Prj_Len-Z$2),"&lt;0",$G388:OFFSET($G388,0,Prj_Len-Z$2)),IF(Z$2=Prj_Len,SUMIF($G388:OFFSET(Z388,0,Prj_Len-Z$2),"&gt;=0",$G388:OFFSET($G388,0,Prj_Len-Z$2)),0))</f>
        <v>0</v>
      </c>
      <c r="AA389" s="55">
        <f ca="1">IF(AA$2=1,SUMIF($G388:OFFSET($G388,0,Prj_Len-AA$2),"&lt;0",$G388:OFFSET($G388,0,Prj_Len-AA$2)),IF(AA$2=Prj_Len,SUMIF($G388:OFFSET(AA388,0,Prj_Len-AA$2),"&gt;=0",$G388:OFFSET($G388,0,Prj_Len-AA$2)),0))</f>
        <v>0</v>
      </c>
      <c r="AB389" s="55">
        <f ca="1">IF(AB$2=1,SUMIF($G388:OFFSET($G388,0,Prj_Len-AB$2),"&lt;0",$G388:OFFSET($G388,0,Prj_Len-AB$2)),IF(AB$2=Prj_Len,SUMIF($G388:OFFSET(AB388,0,Prj_Len-AB$2),"&gt;=0",$G388:OFFSET($G388,0,Prj_Len-AB$2)),0))</f>
        <v>0</v>
      </c>
      <c r="AC389" s="55">
        <f ca="1">IF(AC$2=1,SUMIF($G388:OFFSET($G388,0,Prj_Len-AC$2),"&lt;0",$G388:OFFSET($G388,0,Prj_Len-AC$2)),IF(AC$2=Prj_Len,SUMIF($G388:OFFSET(AC388,0,Prj_Len-AC$2),"&gt;=0",$G388:OFFSET($G388,0,Prj_Len-AC$2)),0))</f>
        <v>0</v>
      </c>
      <c r="AD389" s="55">
        <f ca="1">IF(AD$2=1,SUMIF($G388:OFFSET($G388,0,Prj_Len-AD$2),"&lt;0",$G388:OFFSET($G388,0,Prj_Len-AD$2)),IF(AD$2=Prj_Len,SUMIF($G388:OFFSET(AD388,0,Prj_Len-AD$2),"&gt;=0",$G388:OFFSET($G388,0,Prj_Len-AD$2)),0))</f>
        <v>0</v>
      </c>
      <c r="AE389" s="55">
        <f ca="1">IF(AE$2=1,SUMIF($G388:OFFSET($G388,0,Prj_Len-AE$2),"&lt;0",$G388:OFFSET($G388,0,Prj_Len-AE$2)),IF(AE$2=Prj_Len,SUMIF($G388:OFFSET(AE388,0,Prj_Len-AE$2),"&gt;=0",$G388:OFFSET($G388,0,Prj_Len-AE$2)),0))</f>
        <v>0</v>
      </c>
      <c r="AF389" s="55">
        <f ca="1">IF(AF$2=1,SUMIF($G388:OFFSET($G388,0,Prj_Len-AF$2),"&lt;0",$G388:OFFSET($G388,0,Prj_Len-AF$2)),IF(AF$2=Prj_Len,SUMIF($G388:OFFSET(AF388,0,Prj_Len-AF$2),"&gt;=0",$G388:OFFSET($G388,0,Prj_Len-AF$2)),0))</f>
        <v>0</v>
      </c>
      <c r="AG389" s="55">
        <f ca="1">IF(AG$2=1,SUMIF($G388:OFFSET($G388,0,Prj_Len-AG$2),"&lt;0",$G388:OFFSET($G388,0,Prj_Len-AG$2)),IF(AG$2=Prj_Len,SUMIF($G388:OFFSET(AG388,0,Prj_Len-AG$2),"&gt;=0",$G388:OFFSET($G388,0,Prj_Len-AG$2)),0))</f>
        <v>0</v>
      </c>
      <c r="AH389" s="55">
        <f ca="1">IF(AH$2=1,SUMIF($G388:OFFSET($G388,0,Prj_Len-AH$2),"&lt;0",$G388:OFFSET($G388,0,Prj_Len-AH$2)),IF(AH$2=Prj_Len,SUMIF($G388:OFFSET(AH388,0,Prj_Len-AH$2),"&gt;=0",$G388:OFFSET($G388,0,Prj_Len-AH$2)),0))</f>
        <v>0</v>
      </c>
      <c r="AI389" s="55">
        <f ca="1">IF(AI$2=1,SUMIF($G388:OFFSET($G388,0,Prj_Len-AI$2),"&lt;0",$G388:OFFSET($G388,0,Prj_Len-AI$2)),IF(AI$2=Prj_Len,SUMIF($G388:OFFSET(AI388,0,Prj_Len-AI$2),"&gt;=0",$G388:OFFSET($G388,0,Prj_Len-AI$2)),0))</f>
        <v>0</v>
      </c>
      <c r="AJ389" s="55">
        <f ca="1">IF(AJ$2=1,SUMIF($G388:OFFSET($G388,0,Prj_Len-AJ$2),"&lt;0",$G388:OFFSET($G388,0,Prj_Len-AJ$2)),IF(AJ$2=Prj_Len,SUMIF($G388:OFFSET(AJ388,0,Prj_Len-AJ$2),"&gt;=0",$G388:OFFSET($G388,0,Prj_Len-AJ$2)),0))</f>
        <v>0</v>
      </c>
      <c r="AK389" s="55">
        <f ca="1">IF(AK$2=1,SUMIF($G388:OFFSET($G388,0,Prj_Len-AK$2),"&lt;0",$G388:OFFSET($G388,0,Prj_Len-AK$2)),IF(AK$2=Prj_Len,SUMIF($G388:OFFSET(AK388,0,Prj_Len-AK$2),"&gt;=0",$G388:OFFSET($G388,0,Prj_Len-AK$2)),0))</f>
        <v>0</v>
      </c>
      <c r="AL389" s="55">
        <f ca="1">IF(AL$2=1,SUMIF($G388:OFFSET($G388,0,Prj_Len-AL$2),"&lt;0",$G388:OFFSET($G388,0,Prj_Len-AL$2)),IF(AL$2=Prj_Len,SUMIF($G388:OFFSET(AL388,0,Prj_Len-AL$2),"&gt;=0",$G388:OFFSET($G388,0,Prj_Len-AL$2)),0))</f>
        <v>0</v>
      </c>
      <c r="AM389" s="55">
        <f ca="1">IF(AM$2=1,SUMIF($G388:OFFSET($G388,0,Prj_Len-AM$2),"&lt;0",$G388:OFFSET($G388,0,Prj_Len-AM$2)),IF(AM$2=Prj_Len,SUMIF($G388:OFFSET(AM388,0,Prj_Len-AM$2),"&gt;=0",$G388:OFFSET($G388,0,Prj_Len-AM$2)),0))</f>
        <v>0</v>
      </c>
      <c r="AN389" s="55">
        <f ca="1">IF(AN$2=1,SUMIF($G388:OFFSET($G388,0,Prj_Len-AN$2),"&lt;0",$G388:OFFSET($G388,0,Prj_Len-AN$2)),IF(AN$2=Prj_Len,SUMIF($G388:OFFSET(AN388,0,Prj_Len-AN$2),"&gt;=0",$G388:OFFSET($G388,0,Prj_Len-AN$2)),0))</f>
        <v>0</v>
      </c>
      <c r="AO389" s="55">
        <f ca="1">IF(AO$2=1,SUMIF($G388:OFFSET($G388,0,Prj_Len-AO$2),"&lt;0",$G388:OFFSET($G388,0,Prj_Len-AO$2)),IF(AO$2=Prj_Len,SUMIF($G388:OFFSET(AO388,0,Prj_Len-AO$2),"&gt;=0",$G388:OFFSET($G388,0,Prj_Len-AO$2)),0))</f>
        <v>0</v>
      </c>
      <c r="AP389" s="55">
        <f ca="1">IF(AP$2=1,SUMIF($G388:OFFSET($G388,0,Prj_Len-AP$2),"&lt;0",$G388:OFFSET($G388,0,Prj_Len-AP$2)),IF(AP$2=Prj_Len,SUMIF($G388:OFFSET(AP388,0,Prj_Len-AP$2),"&gt;=0",$G388:OFFSET($G388,0,Prj_Len-AP$2)),0))</f>
        <v>0</v>
      </c>
      <c r="AQ389" s="55">
        <f ca="1">IF(AQ$2=1,SUMIF($G388:OFFSET($G388,0,Prj_Len-AQ$2),"&lt;0",$G388:OFFSET($G388,0,Prj_Len-AQ$2)),IF(AQ$2=Prj_Len,SUMIF($G388:OFFSET(AQ388,0,Prj_Len-AQ$2),"&gt;=0",$G388:OFFSET($G388,0,Prj_Len-AQ$2)),0))</f>
        <v>0</v>
      </c>
      <c r="AR389" s="55">
        <f ca="1">IF(AR$2=1,SUMIF($G388:OFFSET($G388,0,Prj_Len-AR$2),"&lt;0",$G388:OFFSET($G388,0,Prj_Len-AR$2)),IF(AR$2=Prj_Len,SUMIF($G388:OFFSET(AR388,0,Prj_Len-AR$2),"&gt;=0",$G388:OFFSET($G388,0,Prj_Len-AR$2)),0))</f>
        <v>0</v>
      </c>
      <c r="AS389" s="55">
        <f ca="1">IF(AS$2=1,SUMIF($G388:OFFSET($G388,0,Prj_Len-AS$2),"&lt;0",$G388:OFFSET($G388,0,Prj_Len-AS$2)),IF(AS$2=Prj_Len,SUMIF($G388:OFFSET(AS388,0,Prj_Len-AS$2),"&gt;=0",$G388:OFFSET($G388,0,Prj_Len-AS$2)),0))</f>
        <v>0</v>
      </c>
      <c r="AT389" s="55">
        <f ca="1">IF(AT$2=1,SUMIF($G388:OFFSET($G388,0,Prj_Len-AT$2),"&lt;0",$G388:OFFSET($G388,0,Prj_Len-AT$2)),IF(AT$2=Prj_Len,SUMIF($G388:OFFSET(AT388,0,Prj_Len-AT$2),"&gt;=0",$G388:OFFSET($G388,0,Prj_Len-AT$2)),0))</f>
        <v>0</v>
      </c>
      <c r="AU389" s="55">
        <f ca="1">IF(AU$2=1,SUMIF($G388:OFFSET($G388,0,Prj_Len-AU$2),"&lt;0",$G388:OFFSET($G388,0,Prj_Len-AU$2)),IF(AU$2=Prj_Len,SUMIF($G388:OFFSET(AU388,0,Prj_Len-AU$2),"&gt;=0",$G388:OFFSET($G388,0,Prj_Len-AU$2)),0))</f>
        <v>0</v>
      </c>
      <c r="AV389" s="55">
        <f ca="1">IF(AV$2=1,SUMIF($G388:OFFSET($G388,0,Prj_Len-AV$2),"&lt;0",$G388:OFFSET($G388,0,Prj_Len-AV$2)),IF(AV$2=Prj_Len,SUMIF($G388:OFFSET(AV388,0,Prj_Len-AV$2),"&gt;=0",$G388:OFFSET($G388,0,Prj_Len-AV$2)),0))</f>
        <v>0</v>
      </c>
      <c r="AW389" s="55">
        <f ca="1">IF(AW$2=1,SUMIF($G388:OFFSET($G388,0,Prj_Len-AW$2),"&lt;0",$G388:OFFSET($G388,0,Prj_Len-AW$2)),IF(AW$2=Prj_Len,SUMIF($G388:OFFSET(AW388,0,Prj_Len-AW$2),"&gt;=0",$G388:OFFSET($G388,0,Prj_Len-AW$2)),0))</f>
        <v>0</v>
      </c>
      <c r="AX389" s="55">
        <f ca="1">IF(AX$2=1,SUMIF($G388:OFFSET($G388,0,Prj_Len-AX$2),"&lt;0",$G388:OFFSET($G388,0,Prj_Len-AX$2)),IF(AX$2=Prj_Len,SUMIF($G388:OFFSET(AX388,0,Prj_Len-AX$2),"&gt;=0",$G388:OFFSET($G388,0,Prj_Len-AX$2)),0))</f>
        <v>0</v>
      </c>
      <c r="AY389" s="55">
        <f ca="1">IF(AY$2=1,SUMIF($G388:OFFSET($G388,0,Prj_Len-AY$2),"&lt;0",$G388:OFFSET($G388,0,Prj_Len-AY$2)),IF(AY$2=Prj_Len,SUMIF($G388:OFFSET(AY388,0,Prj_Len-AY$2),"&gt;=0",$G388:OFFSET($G388,0,Prj_Len-AY$2)),0))</f>
        <v>0</v>
      </c>
      <c r="AZ389" s="55">
        <f ca="1">IF(AZ$2=1,SUMIF($G388:OFFSET($G388,0,Prj_Len-AZ$2),"&lt;0",$G388:OFFSET($G388,0,Prj_Len-AZ$2)),IF(AZ$2=Prj_Len,SUMIF($G388:OFFSET(AZ388,0,Prj_Len-AZ$2),"&gt;=0",$G388:OFFSET($G388,0,Prj_Len-AZ$2)),0))</f>
        <v>0</v>
      </c>
      <c r="BA389" s="55">
        <f ca="1">IF(BA$2=1,SUMIF($G388:OFFSET($G388,0,Prj_Len-BA$2),"&lt;0",$G388:OFFSET($G388,0,Prj_Len-BA$2)),IF(BA$2=Prj_Len,SUMIF($G388:OFFSET(BA388,0,Prj_Len-BA$2),"&gt;=0",$G388:OFFSET($G388,0,Prj_Len-BA$2)),0))</f>
        <v>0</v>
      </c>
      <c r="BB389" s="55">
        <f ca="1">IF(BB$2=1,SUMIF($G388:OFFSET($G388,0,Prj_Len-BB$2),"&lt;0",$G388:OFFSET($G388,0,Prj_Len-BB$2)),IF(BB$2=Prj_Len,SUMIF($G388:OFFSET(BB388,0,Prj_Len-BB$2),"&gt;=0",$G388:OFFSET($G388,0,Prj_Len-BB$2)),0))</f>
        <v>558187050.4144398</v>
      </c>
      <c r="BC389" s="55"/>
      <c r="BD389" s="57">
        <f ca="1">SUM(G389:BC389)</f>
        <v>342029897.30673897</v>
      </c>
    </row>
    <row r="390" spans="1:56" hidden="1" x14ac:dyDescent="0.3">
      <c r="A390" s="10"/>
    </row>
    <row r="391" spans="1:56" hidden="1" collapsed="1" x14ac:dyDescent="0.3">
      <c r="A391" s="22" t="str">
        <f ca="1">Language!A1410</f>
        <v>Дисконтированный срок окупаемости, PBP</v>
      </c>
      <c r="B391" s="103">
        <f ca="1">IF(B392&gt;0, BD393/12, "-")</f>
        <v>2.9776216255155146</v>
      </c>
      <c r="C391" s="48" t="str">
        <f ca="1">Language!A48</f>
        <v>лет</v>
      </c>
    </row>
    <row r="392" spans="1:56" hidden="1" outlineLevel="1" x14ac:dyDescent="0.3">
      <c r="A392" s="10" t="str">
        <f ca="1">Language!A$1365</f>
        <v>Флаг периода окупаемости</v>
      </c>
      <c r="B392" s="104">
        <f ca="1">MAX(G392:BC392)</f>
        <v>36</v>
      </c>
      <c r="C392" s="48" t="str">
        <f ca="1">Параметры!$C$17</f>
        <v>мес.</v>
      </c>
      <c r="F392" s="6" t="s">
        <v>1541</v>
      </c>
      <c r="G392" s="105">
        <f ca="1">IF(G378&lt;0,0,IF(F378&gt;=0,0,G$2))</f>
        <v>0</v>
      </c>
      <c r="H392" s="105">
        <f t="shared" ref="H392:BB392" ca="1" si="1695">IF(H378&lt;0,0,IF(G378&gt;=0,0,H$2))</f>
        <v>0</v>
      </c>
      <c r="I392" s="105">
        <f t="shared" ca="1" si="1695"/>
        <v>0</v>
      </c>
      <c r="J392" s="105">
        <f t="shared" ca="1" si="1695"/>
        <v>0</v>
      </c>
      <c r="K392" s="105">
        <f t="shared" ca="1" si="1695"/>
        <v>0</v>
      </c>
      <c r="L392" s="105">
        <f t="shared" ca="1" si="1695"/>
        <v>0</v>
      </c>
      <c r="M392" s="105">
        <f t="shared" ca="1" si="1695"/>
        <v>0</v>
      </c>
      <c r="N392" s="105">
        <f t="shared" ca="1" si="1695"/>
        <v>0</v>
      </c>
      <c r="O392" s="105">
        <f t="shared" ca="1" si="1695"/>
        <v>0</v>
      </c>
      <c r="P392" s="105">
        <f t="shared" ca="1" si="1695"/>
        <v>0</v>
      </c>
      <c r="Q392" s="105">
        <f t="shared" ca="1" si="1695"/>
        <v>0</v>
      </c>
      <c r="R392" s="105">
        <f t="shared" ca="1" si="1695"/>
        <v>0</v>
      </c>
      <c r="S392" s="105">
        <f t="shared" ca="1" si="1695"/>
        <v>0</v>
      </c>
      <c r="T392" s="105">
        <f t="shared" ca="1" si="1695"/>
        <v>0</v>
      </c>
      <c r="U392" s="105">
        <f t="shared" ca="1" si="1695"/>
        <v>0</v>
      </c>
      <c r="V392" s="105">
        <f t="shared" ca="1" si="1695"/>
        <v>0</v>
      </c>
      <c r="W392" s="105">
        <f t="shared" ca="1" si="1695"/>
        <v>0</v>
      </c>
      <c r="X392" s="105">
        <f t="shared" ca="1" si="1695"/>
        <v>0</v>
      </c>
      <c r="Y392" s="105">
        <f t="shared" ca="1" si="1695"/>
        <v>0</v>
      </c>
      <c r="Z392" s="105">
        <f t="shared" ca="1" si="1695"/>
        <v>0</v>
      </c>
      <c r="AA392" s="105">
        <f t="shared" ca="1" si="1695"/>
        <v>0</v>
      </c>
      <c r="AB392" s="105">
        <f t="shared" ca="1" si="1695"/>
        <v>0</v>
      </c>
      <c r="AC392" s="105">
        <f t="shared" ca="1" si="1695"/>
        <v>0</v>
      </c>
      <c r="AD392" s="105">
        <f t="shared" ca="1" si="1695"/>
        <v>0</v>
      </c>
      <c r="AE392" s="105">
        <f t="shared" ca="1" si="1695"/>
        <v>0</v>
      </c>
      <c r="AF392" s="105">
        <f t="shared" ca="1" si="1695"/>
        <v>0</v>
      </c>
      <c r="AG392" s="105">
        <f t="shared" ca="1" si="1695"/>
        <v>0</v>
      </c>
      <c r="AH392" s="105">
        <f t="shared" ca="1" si="1695"/>
        <v>0</v>
      </c>
      <c r="AI392" s="105">
        <f t="shared" ca="1" si="1695"/>
        <v>0</v>
      </c>
      <c r="AJ392" s="105">
        <f t="shared" ca="1" si="1695"/>
        <v>0</v>
      </c>
      <c r="AK392" s="105">
        <f t="shared" ca="1" si="1695"/>
        <v>0</v>
      </c>
      <c r="AL392" s="105">
        <f t="shared" ca="1" si="1695"/>
        <v>0</v>
      </c>
      <c r="AM392" s="105">
        <f t="shared" ca="1" si="1695"/>
        <v>0</v>
      </c>
      <c r="AN392" s="105">
        <f t="shared" ca="1" si="1695"/>
        <v>0</v>
      </c>
      <c r="AO392" s="105">
        <f t="shared" ca="1" si="1695"/>
        <v>0</v>
      </c>
      <c r="AP392" s="105">
        <f t="shared" ca="1" si="1695"/>
        <v>36</v>
      </c>
      <c r="AQ392" s="105">
        <f t="shared" ca="1" si="1695"/>
        <v>0</v>
      </c>
      <c r="AR392" s="105">
        <f t="shared" ca="1" si="1695"/>
        <v>0</v>
      </c>
      <c r="AS392" s="105">
        <f t="shared" ca="1" si="1695"/>
        <v>0</v>
      </c>
      <c r="AT392" s="105">
        <f t="shared" ca="1" si="1695"/>
        <v>0</v>
      </c>
      <c r="AU392" s="105">
        <f t="shared" ca="1" si="1695"/>
        <v>0</v>
      </c>
      <c r="AV392" s="105">
        <f t="shared" ca="1" si="1695"/>
        <v>0</v>
      </c>
      <c r="AW392" s="105">
        <f t="shared" ca="1" si="1695"/>
        <v>0</v>
      </c>
      <c r="AX392" s="105">
        <f t="shared" ca="1" si="1695"/>
        <v>0</v>
      </c>
      <c r="AY392" s="105">
        <f t="shared" ca="1" si="1695"/>
        <v>0</v>
      </c>
      <c r="AZ392" s="105">
        <f t="shared" ca="1" si="1695"/>
        <v>0</v>
      </c>
      <c r="BA392" s="105">
        <f t="shared" ca="1" si="1695"/>
        <v>0</v>
      </c>
      <c r="BB392" s="105">
        <f t="shared" ca="1" si="1695"/>
        <v>0</v>
      </c>
    </row>
    <row r="393" spans="1:56" hidden="1" outlineLevel="1" x14ac:dyDescent="0.3">
      <c r="A393" s="10" t="str">
        <f ca="1">Language!A1412</f>
        <v>Расчет окупаемости в месяцах</v>
      </c>
      <c r="B393" s="107">
        <f ca="1">BD393</f>
        <v>35.731459506186177</v>
      </c>
      <c r="C393" s="48" t="str">
        <f ca="1">Language!A46</f>
        <v>мес.</v>
      </c>
      <c r="F393" s="6" t="s">
        <v>1541</v>
      </c>
      <c r="G393" s="106">
        <f t="shared" ref="G393:BB393" ca="1" si="1696">IF(G$2&lt;$B$392,Prj_Period,IF(G$2=$B$392,-F378/G377*Prj_Period,0))</f>
        <v>1</v>
      </c>
      <c r="H393" s="106">
        <f t="shared" ca="1" si="1696"/>
        <v>1</v>
      </c>
      <c r="I393" s="106">
        <f t="shared" ca="1" si="1696"/>
        <v>1</v>
      </c>
      <c r="J393" s="106">
        <f t="shared" ca="1" si="1696"/>
        <v>1</v>
      </c>
      <c r="K393" s="106">
        <f t="shared" ca="1" si="1696"/>
        <v>1</v>
      </c>
      <c r="L393" s="106">
        <f t="shared" ca="1" si="1696"/>
        <v>1</v>
      </c>
      <c r="M393" s="106">
        <f t="shared" ca="1" si="1696"/>
        <v>1</v>
      </c>
      <c r="N393" s="106">
        <f t="shared" ca="1" si="1696"/>
        <v>1</v>
      </c>
      <c r="O393" s="106">
        <f t="shared" ca="1" si="1696"/>
        <v>1</v>
      </c>
      <c r="P393" s="106">
        <f t="shared" ca="1" si="1696"/>
        <v>1</v>
      </c>
      <c r="Q393" s="106">
        <f t="shared" ca="1" si="1696"/>
        <v>1</v>
      </c>
      <c r="R393" s="106">
        <f t="shared" ca="1" si="1696"/>
        <v>1</v>
      </c>
      <c r="S393" s="106">
        <f t="shared" ca="1" si="1696"/>
        <v>1</v>
      </c>
      <c r="T393" s="106">
        <f t="shared" ca="1" si="1696"/>
        <v>1</v>
      </c>
      <c r="U393" s="106">
        <f t="shared" ca="1" si="1696"/>
        <v>1</v>
      </c>
      <c r="V393" s="106">
        <f t="shared" ca="1" si="1696"/>
        <v>1</v>
      </c>
      <c r="W393" s="106">
        <f t="shared" ca="1" si="1696"/>
        <v>1</v>
      </c>
      <c r="X393" s="106">
        <f t="shared" ca="1" si="1696"/>
        <v>1</v>
      </c>
      <c r="Y393" s="106">
        <f t="shared" ca="1" si="1696"/>
        <v>1</v>
      </c>
      <c r="Z393" s="106">
        <f t="shared" ca="1" si="1696"/>
        <v>1</v>
      </c>
      <c r="AA393" s="106">
        <f t="shared" ca="1" si="1696"/>
        <v>1</v>
      </c>
      <c r="AB393" s="106">
        <f t="shared" ca="1" si="1696"/>
        <v>1</v>
      </c>
      <c r="AC393" s="106">
        <f t="shared" ca="1" si="1696"/>
        <v>1</v>
      </c>
      <c r="AD393" s="106">
        <f t="shared" ca="1" si="1696"/>
        <v>1</v>
      </c>
      <c r="AE393" s="106">
        <f t="shared" ca="1" si="1696"/>
        <v>1</v>
      </c>
      <c r="AF393" s="106">
        <f t="shared" ca="1" si="1696"/>
        <v>1</v>
      </c>
      <c r="AG393" s="106">
        <f t="shared" ca="1" si="1696"/>
        <v>1</v>
      </c>
      <c r="AH393" s="106">
        <f t="shared" ca="1" si="1696"/>
        <v>1</v>
      </c>
      <c r="AI393" s="106">
        <f t="shared" ca="1" si="1696"/>
        <v>1</v>
      </c>
      <c r="AJ393" s="106">
        <f t="shared" ca="1" si="1696"/>
        <v>1</v>
      </c>
      <c r="AK393" s="106">
        <f t="shared" ca="1" si="1696"/>
        <v>1</v>
      </c>
      <c r="AL393" s="106">
        <f t="shared" ca="1" si="1696"/>
        <v>1</v>
      </c>
      <c r="AM393" s="106">
        <f t="shared" ca="1" si="1696"/>
        <v>1</v>
      </c>
      <c r="AN393" s="106">
        <f t="shared" ca="1" si="1696"/>
        <v>1</v>
      </c>
      <c r="AO393" s="106">
        <f t="shared" ca="1" si="1696"/>
        <v>1</v>
      </c>
      <c r="AP393" s="106">
        <f t="shared" ca="1" si="1696"/>
        <v>0.73145950618617672</v>
      </c>
      <c r="AQ393" s="106">
        <f t="shared" ca="1" si="1696"/>
        <v>0</v>
      </c>
      <c r="AR393" s="106">
        <f t="shared" ca="1" si="1696"/>
        <v>0</v>
      </c>
      <c r="AS393" s="106">
        <f t="shared" ca="1" si="1696"/>
        <v>0</v>
      </c>
      <c r="AT393" s="106">
        <f t="shared" ca="1" si="1696"/>
        <v>0</v>
      </c>
      <c r="AU393" s="106">
        <f t="shared" ca="1" si="1696"/>
        <v>0</v>
      </c>
      <c r="AV393" s="106">
        <f t="shared" ca="1" si="1696"/>
        <v>0</v>
      </c>
      <c r="AW393" s="106">
        <f t="shared" ca="1" si="1696"/>
        <v>0</v>
      </c>
      <c r="AX393" s="106">
        <f t="shared" ca="1" si="1696"/>
        <v>0</v>
      </c>
      <c r="AY393" s="106">
        <f t="shared" ca="1" si="1696"/>
        <v>0</v>
      </c>
      <c r="AZ393" s="106">
        <f t="shared" ca="1" si="1696"/>
        <v>0</v>
      </c>
      <c r="BA393" s="106">
        <f t="shared" ca="1" si="1696"/>
        <v>0</v>
      </c>
      <c r="BB393" s="106">
        <f t="shared" ca="1" si="1696"/>
        <v>0</v>
      </c>
      <c r="BC393" s="106"/>
      <c r="BD393" s="108">
        <f ca="1">SUM(G393:BC393)</f>
        <v>35.731459506186177</v>
      </c>
    </row>
    <row r="394" spans="1:56" hidden="1" x14ac:dyDescent="0.3">
      <c r="A394" s="10"/>
      <c r="B394" s="107"/>
      <c r="G394" s="106"/>
      <c r="H394" s="106"/>
      <c r="I394" s="106"/>
      <c r="J394" s="106"/>
      <c r="K394" s="106"/>
      <c r="L394" s="106"/>
      <c r="M394" s="106"/>
      <c r="N394" s="106"/>
      <c r="O394" s="106"/>
      <c r="P394" s="106"/>
      <c r="Q394" s="106"/>
      <c r="R394" s="106"/>
      <c r="S394" s="106"/>
      <c r="T394" s="106"/>
      <c r="U394" s="106"/>
      <c r="V394" s="106"/>
      <c r="W394" s="106"/>
      <c r="X394" s="106"/>
      <c r="Y394" s="106"/>
      <c r="Z394" s="106"/>
      <c r="AA394" s="106"/>
      <c r="AB394" s="106"/>
      <c r="AC394" s="106"/>
      <c r="AD394" s="106"/>
      <c r="AE394" s="106"/>
      <c r="AF394" s="106"/>
      <c r="AG394" s="106"/>
      <c r="AH394" s="106"/>
      <c r="AI394" s="106"/>
      <c r="AJ394" s="106"/>
      <c r="AK394" s="106"/>
      <c r="AL394" s="106"/>
      <c r="AM394" s="106"/>
      <c r="AN394" s="106"/>
      <c r="AO394" s="106"/>
      <c r="AP394" s="106"/>
      <c r="AQ394" s="106"/>
      <c r="AR394" s="106"/>
      <c r="AS394" s="106"/>
      <c r="AT394" s="106"/>
      <c r="AU394" s="106"/>
      <c r="AV394" s="106"/>
      <c r="AW394" s="106"/>
      <c r="AX394" s="106"/>
      <c r="AY394" s="106"/>
      <c r="AZ394" s="106"/>
      <c r="BA394" s="106"/>
      <c r="BB394" s="106"/>
      <c r="BC394" s="106"/>
      <c r="BD394" s="108"/>
    </row>
    <row r="395" spans="1:56" hidden="1" collapsed="1" x14ac:dyDescent="0.3">
      <c r="A395" s="10" t="str">
        <f ca="1">Language!A$1367</f>
        <v>Простой срок окупаемости</v>
      </c>
      <c r="B395" s="103">
        <f ca="1">IF(B397&gt;0, BD398/12, "-")</f>
        <v>2.4871224800620788</v>
      </c>
      <c r="C395" s="48" t="str">
        <f ca="1">Language!A$48</f>
        <v>лет</v>
      </c>
    </row>
    <row r="396" spans="1:56" hidden="1" outlineLevel="1" x14ac:dyDescent="0.3">
      <c r="A396" s="10" t="str">
        <f ca="1">Language!A$1368</f>
        <v>Недисконтированный поток нарастающим итогом</v>
      </c>
      <c r="B396" s="77"/>
      <c r="C396" s="48" t="str">
        <f ca="1">Параметры!$C$64</f>
        <v>руб.</v>
      </c>
      <c r="F396" s="6" t="s">
        <v>741</v>
      </c>
      <c r="G396" s="55">
        <f ca="1">IF(G$2=1,G371,F396+G371)</f>
        <v>-291667</v>
      </c>
      <c r="H396" s="55">
        <f t="shared" ref="H396:BB396" ca="1" si="1697">IF(H$2=1,H371,G396+H371)</f>
        <v>-1950000.6666666667</v>
      </c>
      <c r="I396" s="55">
        <f t="shared" ca="1" si="1697"/>
        <v>-138608333.33333331</v>
      </c>
      <c r="J396" s="55">
        <f t="shared" ca="1" si="1697"/>
        <v>-156999999.99999997</v>
      </c>
      <c r="K396" s="55">
        <f t="shared" ca="1" si="1697"/>
        <v>-174024999.99999997</v>
      </c>
      <c r="L396" s="55">
        <f t="shared" ca="1" si="1697"/>
        <v>-192927925.06041825</v>
      </c>
      <c r="M396" s="55">
        <f t="shared" ca="1" si="1697"/>
        <v>-200814843.34451333</v>
      </c>
      <c r="N396" s="55">
        <f t="shared" ca="1" si="1697"/>
        <v>-207046883.25309092</v>
      </c>
      <c r="O396" s="55">
        <f t="shared" ca="1" si="1697"/>
        <v>-201425609.12789643</v>
      </c>
      <c r="P396" s="55">
        <f t="shared" ca="1" si="1697"/>
        <v>-193764661.11219066</v>
      </c>
      <c r="Q396" s="55">
        <f t="shared" ca="1" si="1697"/>
        <v>-185492880.86397833</v>
      </c>
      <c r="R396" s="55">
        <f t="shared" ca="1" si="1697"/>
        <v>-177833279.59225309</v>
      </c>
      <c r="S396" s="55">
        <f t="shared" ca="1" si="1697"/>
        <v>-166898829.58315954</v>
      </c>
      <c r="T396" s="55">
        <f t="shared" ca="1" si="1697"/>
        <v>-155990972.04546177</v>
      </c>
      <c r="U396" s="55">
        <f t="shared" ca="1" si="1697"/>
        <v>-146848887.85659745</v>
      </c>
      <c r="V396" s="55">
        <f t="shared" ca="1" si="1697"/>
        <v>-137915868.52957821</v>
      </c>
      <c r="W396" s="55">
        <f t="shared" ca="1" si="1697"/>
        <v>-131613186.19506539</v>
      </c>
      <c r="X396" s="55">
        <f t="shared" ca="1" si="1697"/>
        <v>-122082042.93452525</v>
      </c>
      <c r="Y396" s="55">
        <f t="shared" ca="1" si="1697"/>
        <v>-108027396.38462315</v>
      </c>
      <c r="Z396" s="55">
        <f t="shared" ca="1" si="1697"/>
        <v>-91456061.150545597</v>
      </c>
      <c r="AA396" s="55">
        <f t="shared" ca="1" si="1697"/>
        <v>-78416852.518169492</v>
      </c>
      <c r="AB396" s="55">
        <f t="shared" ca="1" si="1697"/>
        <v>-69981668.194558367</v>
      </c>
      <c r="AC396" s="55">
        <f t="shared" ca="1" si="1697"/>
        <v>-63284460.2565374</v>
      </c>
      <c r="AD396" s="55">
        <f t="shared" ca="1" si="1697"/>
        <v>-56040061.843941584</v>
      </c>
      <c r="AE396" s="55">
        <f t="shared" ca="1" si="1697"/>
        <v>-44799865.602068484</v>
      </c>
      <c r="AF396" s="55">
        <f t="shared" ca="1" si="1697"/>
        <v>-33484580.88083899</v>
      </c>
      <c r="AG396" s="55">
        <f t="shared" ca="1" si="1697"/>
        <v>-24006971.481306702</v>
      </c>
      <c r="AH396" s="55">
        <f t="shared" ca="1" si="1697"/>
        <v>-14730597.685883312</v>
      </c>
      <c r="AI396" s="55">
        <f t="shared" ca="1" si="1697"/>
        <v>-8286648.0236854209</v>
      </c>
      <c r="AJ396" s="55">
        <f t="shared" ca="1" si="1697"/>
        <v>1514587.2285180492</v>
      </c>
      <c r="AK396" s="55">
        <f t="shared" ca="1" si="1697"/>
        <v>16037878.015256982</v>
      </c>
      <c r="AL396" s="55">
        <f t="shared" ca="1" si="1697"/>
        <v>33270389.242280636</v>
      </c>
      <c r="AM396" s="55">
        <f t="shared" ca="1" si="1697"/>
        <v>46844617.976037055</v>
      </c>
      <c r="AN396" s="55">
        <f t="shared" ca="1" si="1697"/>
        <v>55601966.874197438</v>
      </c>
      <c r="AO396" s="55">
        <f t="shared" ca="1" si="1697"/>
        <v>62504081.038980916</v>
      </c>
      <c r="AP396" s="55">
        <f t="shared" ca="1" si="1697"/>
        <v>69921553.75185211</v>
      </c>
      <c r="AQ396" s="55">
        <f t="shared" ca="1" si="1697"/>
        <v>81547989.933314502</v>
      </c>
      <c r="AR396" s="55">
        <f t="shared" ca="1" si="1697"/>
        <v>93264612.797472611</v>
      </c>
      <c r="AS396" s="55">
        <f t="shared" ca="1" si="1697"/>
        <v>103071552.1400069</v>
      </c>
      <c r="AT396" s="55">
        <f t="shared" ca="1" si="1697"/>
        <v>112688073.01290427</v>
      </c>
      <c r="AU396" s="55">
        <f t="shared" ca="1" si="1697"/>
        <v>119252485.99195747</v>
      </c>
      <c r="AV396" s="55">
        <f t="shared" ca="1" si="1697"/>
        <v>129302719.16707349</v>
      </c>
      <c r="AW396" s="55">
        <f t="shared" ca="1" si="1697"/>
        <v>144276468.01371846</v>
      </c>
      <c r="AX396" s="55">
        <f t="shared" ca="1" si="1697"/>
        <v>162168654.12389719</v>
      </c>
      <c r="AY396" s="55">
        <f t="shared" ca="1" si="1697"/>
        <v>176279433.87842965</v>
      </c>
      <c r="AZ396" s="55">
        <f t="shared" ca="1" si="1697"/>
        <v>185355541.44008264</v>
      </c>
      <c r="BA396" s="55">
        <f t="shared" ca="1" si="1697"/>
        <v>192450516.12079388</v>
      </c>
      <c r="BB396" s="55">
        <f t="shared" ca="1" si="1697"/>
        <v>200798934.20187497</v>
      </c>
    </row>
    <row r="397" spans="1:56" hidden="1" outlineLevel="1" x14ac:dyDescent="0.3">
      <c r="A397" s="10" t="str">
        <f ca="1">Language!A$1365</f>
        <v>Флаг периода окупаемости</v>
      </c>
      <c r="B397" s="104">
        <f ca="1">MAX(G397:BC397)</f>
        <v>30</v>
      </c>
      <c r="C397" s="48" t="str">
        <f ca="1">Параметры!$C$17</f>
        <v>мес.</v>
      </c>
      <c r="F397" s="6" t="s">
        <v>1541</v>
      </c>
      <c r="G397" s="105">
        <f ca="1">IF(G396&lt;0,0,IF(F396&gt;=0,0,G$2))</f>
        <v>0</v>
      </c>
      <c r="H397" s="105">
        <f t="shared" ref="H397:BB397" ca="1" si="1698">IF(H396&lt;0,0,IF(G396&gt;=0,0,H$2))</f>
        <v>0</v>
      </c>
      <c r="I397" s="105">
        <f t="shared" ca="1" si="1698"/>
        <v>0</v>
      </c>
      <c r="J397" s="105">
        <f t="shared" ca="1" si="1698"/>
        <v>0</v>
      </c>
      <c r="K397" s="105">
        <f t="shared" ca="1" si="1698"/>
        <v>0</v>
      </c>
      <c r="L397" s="105">
        <f t="shared" ca="1" si="1698"/>
        <v>0</v>
      </c>
      <c r="M397" s="105">
        <f t="shared" ca="1" si="1698"/>
        <v>0</v>
      </c>
      <c r="N397" s="105">
        <f t="shared" ca="1" si="1698"/>
        <v>0</v>
      </c>
      <c r="O397" s="105">
        <f t="shared" ca="1" si="1698"/>
        <v>0</v>
      </c>
      <c r="P397" s="105">
        <f t="shared" ca="1" si="1698"/>
        <v>0</v>
      </c>
      <c r="Q397" s="105">
        <f t="shared" ca="1" si="1698"/>
        <v>0</v>
      </c>
      <c r="R397" s="105">
        <f t="shared" ca="1" si="1698"/>
        <v>0</v>
      </c>
      <c r="S397" s="105">
        <f t="shared" ca="1" si="1698"/>
        <v>0</v>
      </c>
      <c r="T397" s="105">
        <f t="shared" ca="1" si="1698"/>
        <v>0</v>
      </c>
      <c r="U397" s="105">
        <f t="shared" ca="1" si="1698"/>
        <v>0</v>
      </c>
      <c r="V397" s="105">
        <f t="shared" ca="1" si="1698"/>
        <v>0</v>
      </c>
      <c r="W397" s="105">
        <f t="shared" ca="1" si="1698"/>
        <v>0</v>
      </c>
      <c r="X397" s="105">
        <f t="shared" ca="1" si="1698"/>
        <v>0</v>
      </c>
      <c r="Y397" s="105">
        <f t="shared" ca="1" si="1698"/>
        <v>0</v>
      </c>
      <c r="Z397" s="105">
        <f t="shared" ca="1" si="1698"/>
        <v>0</v>
      </c>
      <c r="AA397" s="105">
        <f t="shared" ca="1" si="1698"/>
        <v>0</v>
      </c>
      <c r="AB397" s="105">
        <f t="shared" ca="1" si="1698"/>
        <v>0</v>
      </c>
      <c r="AC397" s="105">
        <f t="shared" ca="1" si="1698"/>
        <v>0</v>
      </c>
      <c r="AD397" s="105">
        <f t="shared" ca="1" si="1698"/>
        <v>0</v>
      </c>
      <c r="AE397" s="105">
        <f t="shared" ca="1" si="1698"/>
        <v>0</v>
      </c>
      <c r="AF397" s="105">
        <f t="shared" ca="1" si="1698"/>
        <v>0</v>
      </c>
      <c r="AG397" s="105">
        <f t="shared" ca="1" si="1698"/>
        <v>0</v>
      </c>
      <c r="AH397" s="105">
        <f t="shared" ca="1" si="1698"/>
        <v>0</v>
      </c>
      <c r="AI397" s="105">
        <f t="shared" ca="1" si="1698"/>
        <v>0</v>
      </c>
      <c r="AJ397" s="105">
        <f t="shared" ca="1" si="1698"/>
        <v>30</v>
      </c>
      <c r="AK397" s="105">
        <f t="shared" ca="1" si="1698"/>
        <v>0</v>
      </c>
      <c r="AL397" s="105">
        <f t="shared" ca="1" si="1698"/>
        <v>0</v>
      </c>
      <c r="AM397" s="105">
        <f t="shared" ca="1" si="1698"/>
        <v>0</v>
      </c>
      <c r="AN397" s="105">
        <f t="shared" ca="1" si="1698"/>
        <v>0</v>
      </c>
      <c r="AO397" s="105">
        <f t="shared" ca="1" si="1698"/>
        <v>0</v>
      </c>
      <c r="AP397" s="105">
        <f t="shared" ca="1" si="1698"/>
        <v>0</v>
      </c>
      <c r="AQ397" s="105">
        <f t="shared" ca="1" si="1698"/>
        <v>0</v>
      </c>
      <c r="AR397" s="105">
        <f t="shared" ca="1" si="1698"/>
        <v>0</v>
      </c>
      <c r="AS397" s="105">
        <f t="shared" ca="1" si="1698"/>
        <v>0</v>
      </c>
      <c r="AT397" s="105">
        <f t="shared" ca="1" si="1698"/>
        <v>0</v>
      </c>
      <c r="AU397" s="105">
        <f t="shared" ca="1" si="1698"/>
        <v>0</v>
      </c>
      <c r="AV397" s="105">
        <f t="shared" ca="1" si="1698"/>
        <v>0</v>
      </c>
      <c r="AW397" s="105">
        <f t="shared" ca="1" si="1698"/>
        <v>0</v>
      </c>
      <c r="AX397" s="105">
        <f t="shared" ca="1" si="1698"/>
        <v>0</v>
      </c>
      <c r="AY397" s="105">
        <f t="shared" ca="1" si="1698"/>
        <v>0</v>
      </c>
      <c r="AZ397" s="105">
        <f t="shared" ca="1" si="1698"/>
        <v>0</v>
      </c>
      <c r="BA397" s="105">
        <f t="shared" ca="1" si="1698"/>
        <v>0</v>
      </c>
      <c r="BB397" s="105">
        <f t="shared" ca="1" si="1698"/>
        <v>0</v>
      </c>
      <c r="BC397" s="106"/>
      <c r="BD397" s="106"/>
    </row>
    <row r="398" spans="1:56" hidden="1" outlineLevel="1" x14ac:dyDescent="0.3">
      <c r="A398" s="10" t="str">
        <f ca="1">Language!A$1366</f>
        <v>Расчет окупаемости в месяцах</v>
      </c>
      <c r="B398" s="107">
        <f ca="1">BD398</f>
        <v>29.845469760744948</v>
      </c>
      <c r="C398" s="48" t="str">
        <f ca="1">Language!A$46</f>
        <v>мес.</v>
      </c>
      <c r="F398" s="6" t="s">
        <v>1541</v>
      </c>
      <c r="G398" s="106">
        <f t="shared" ref="G398:BB398" ca="1" si="1699">IF(G$2&lt;$B$397,Prj_Period,IF(G$2=$B$397,-F396/G371*Prj_Period,0))</f>
        <v>1</v>
      </c>
      <c r="H398" s="106">
        <f t="shared" ca="1" si="1699"/>
        <v>1</v>
      </c>
      <c r="I398" s="106">
        <f t="shared" ca="1" si="1699"/>
        <v>1</v>
      </c>
      <c r="J398" s="106">
        <f t="shared" ca="1" si="1699"/>
        <v>1</v>
      </c>
      <c r="K398" s="106">
        <f t="shared" ca="1" si="1699"/>
        <v>1</v>
      </c>
      <c r="L398" s="106">
        <f t="shared" ca="1" si="1699"/>
        <v>1</v>
      </c>
      <c r="M398" s="106">
        <f t="shared" ca="1" si="1699"/>
        <v>1</v>
      </c>
      <c r="N398" s="106">
        <f t="shared" ca="1" si="1699"/>
        <v>1</v>
      </c>
      <c r="O398" s="106">
        <f t="shared" ca="1" si="1699"/>
        <v>1</v>
      </c>
      <c r="P398" s="106">
        <f t="shared" ca="1" si="1699"/>
        <v>1</v>
      </c>
      <c r="Q398" s="106">
        <f t="shared" ca="1" si="1699"/>
        <v>1</v>
      </c>
      <c r="R398" s="106">
        <f t="shared" ca="1" si="1699"/>
        <v>1</v>
      </c>
      <c r="S398" s="106">
        <f t="shared" ca="1" si="1699"/>
        <v>1</v>
      </c>
      <c r="T398" s="106">
        <f t="shared" ca="1" si="1699"/>
        <v>1</v>
      </c>
      <c r="U398" s="106">
        <f t="shared" ca="1" si="1699"/>
        <v>1</v>
      </c>
      <c r="V398" s="106">
        <f t="shared" ca="1" si="1699"/>
        <v>1</v>
      </c>
      <c r="W398" s="106">
        <f t="shared" ca="1" si="1699"/>
        <v>1</v>
      </c>
      <c r="X398" s="106">
        <f t="shared" ca="1" si="1699"/>
        <v>1</v>
      </c>
      <c r="Y398" s="106">
        <f t="shared" ca="1" si="1699"/>
        <v>1</v>
      </c>
      <c r="Z398" s="106">
        <f t="shared" ca="1" si="1699"/>
        <v>1</v>
      </c>
      <c r="AA398" s="106">
        <f t="shared" ca="1" si="1699"/>
        <v>1</v>
      </c>
      <c r="AB398" s="106">
        <f t="shared" ca="1" si="1699"/>
        <v>1</v>
      </c>
      <c r="AC398" s="106">
        <f t="shared" ca="1" si="1699"/>
        <v>1</v>
      </c>
      <c r="AD398" s="106">
        <f t="shared" ca="1" si="1699"/>
        <v>1</v>
      </c>
      <c r="AE398" s="106">
        <f t="shared" ca="1" si="1699"/>
        <v>1</v>
      </c>
      <c r="AF398" s="106">
        <f t="shared" ca="1" si="1699"/>
        <v>1</v>
      </c>
      <c r="AG398" s="106">
        <f t="shared" ca="1" si="1699"/>
        <v>1</v>
      </c>
      <c r="AH398" s="106">
        <f t="shared" ca="1" si="1699"/>
        <v>1</v>
      </c>
      <c r="AI398" s="106">
        <f t="shared" ca="1" si="1699"/>
        <v>1</v>
      </c>
      <c r="AJ398" s="106">
        <f t="shared" ca="1" si="1699"/>
        <v>0.84546976074494828</v>
      </c>
      <c r="AK398" s="106">
        <f t="shared" ca="1" si="1699"/>
        <v>0</v>
      </c>
      <c r="AL398" s="106">
        <f t="shared" ca="1" si="1699"/>
        <v>0</v>
      </c>
      <c r="AM398" s="106">
        <f t="shared" ca="1" si="1699"/>
        <v>0</v>
      </c>
      <c r="AN398" s="106">
        <f t="shared" ca="1" si="1699"/>
        <v>0</v>
      </c>
      <c r="AO398" s="106">
        <f t="shared" ca="1" si="1699"/>
        <v>0</v>
      </c>
      <c r="AP398" s="106">
        <f t="shared" ca="1" si="1699"/>
        <v>0</v>
      </c>
      <c r="AQ398" s="106">
        <f t="shared" ca="1" si="1699"/>
        <v>0</v>
      </c>
      <c r="AR398" s="106">
        <f t="shared" ca="1" si="1699"/>
        <v>0</v>
      </c>
      <c r="AS398" s="106">
        <f t="shared" ca="1" si="1699"/>
        <v>0</v>
      </c>
      <c r="AT398" s="106">
        <f t="shared" ca="1" si="1699"/>
        <v>0</v>
      </c>
      <c r="AU398" s="106">
        <f t="shared" ca="1" si="1699"/>
        <v>0</v>
      </c>
      <c r="AV398" s="106">
        <f t="shared" ca="1" si="1699"/>
        <v>0</v>
      </c>
      <c r="AW398" s="106">
        <f t="shared" ca="1" si="1699"/>
        <v>0</v>
      </c>
      <c r="AX398" s="106">
        <f t="shared" ca="1" si="1699"/>
        <v>0</v>
      </c>
      <c r="AY398" s="106">
        <f t="shared" ca="1" si="1699"/>
        <v>0</v>
      </c>
      <c r="AZ398" s="106">
        <f t="shared" ca="1" si="1699"/>
        <v>0</v>
      </c>
      <c r="BA398" s="106">
        <f t="shared" ca="1" si="1699"/>
        <v>0</v>
      </c>
      <c r="BB398" s="106">
        <f t="shared" ca="1" si="1699"/>
        <v>0</v>
      </c>
      <c r="BC398" s="106"/>
      <c r="BD398" s="108">
        <f ca="1">SUM(G398:BC398)</f>
        <v>29.845469760744948</v>
      </c>
    </row>
    <row r="399" spans="1:56" hidden="1" x14ac:dyDescent="0.3">
      <c r="A399" s="10"/>
      <c r="B399" s="107"/>
      <c r="G399" s="106"/>
      <c r="H399" s="106"/>
      <c r="I399" s="106"/>
      <c r="J399" s="106"/>
      <c r="K399" s="106"/>
      <c r="L399" s="106"/>
      <c r="M399" s="106"/>
      <c r="N399" s="106"/>
      <c r="O399" s="106"/>
      <c r="P399" s="106"/>
      <c r="Q399" s="106"/>
      <c r="R399" s="106"/>
      <c r="S399" s="106"/>
      <c r="T399" s="106"/>
      <c r="U399" s="106"/>
      <c r="V399" s="106"/>
      <c r="W399" s="106"/>
      <c r="X399" s="106"/>
      <c r="Y399" s="106"/>
      <c r="Z399" s="106"/>
      <c r="AA399" s="106"/>
      <c r="AB399" s="106"/>
      <c r="AC399" s="106"/>
      <c r="AD399" s="106"/>
      <c r="AE399" s="106"/>
      <c r="AF399" s="106"/>
      <c r="AG399" s="106"/>
      <c r="AH399" s="106"/>
      <c r="AI399" s="106"/>
      <c r="AJ399" s="106"/>
      <c r="AK399" s="106"/>
      <c r="AL399" s="106"/>
      <c r="AM399" s="106"/>
      <c r="AN399" s="106"/>
      <c r="AO399" s="106"/>
      <c r="AP399" s="106"/>
      <c r="AQ399" s="106"/>
      <c r="AR399" s="106"/>
      <c r="AS399" s="106"/>
      <c r="AT399" s="106"/>
      <c r="AU399" s="106"/>
      <c r="AV399" s="106"/>
      <c r="AW399" s="106"/>
      <c r="AX399" s="106"/>
      <c r="AY399" s="106"/>
      <c r="AZ399" s="106"/>
      <c r="BA399" s="106"/>
      <c r="BB399" s="106"/>
      <c r="BC399" s="106"/>
      <c r="BD399" s="108"/>
    </row>
    <row r="400" spans="1:56" hidden="1" collapsed="1" x14ac:dyDescent="0.3">
      <c r="A400" s="10" t="str">
        <f ca="1">Language!A$1369</f>
        <v>Норма доходности дисконтированных затрат (PI)</v>
      </c>
      <c r="B400" s="107">
        <f ca="1">IF(BD404=0,"-",BD402/-BD404)</f>
        <v>1.3579069196508198</v>
      </c>
      <c r="C400" s="48" t="str">
        <f ca="1">Language!$A$1477</f>
        <v>раз</v>
      </c>
      <c r="G400" s="55"/>
      <c r="H400" s="55"/>
      <c r="I400" s="55"/>
      <c r="J400" s="55"/>
      <c r="K400" s="55"/>
      <c r="L400" s="55"/>
      <c r="M400" s="55"/>
      <c r="N400" s="55"/>
      <c r="O400" s="55"/>
      <c r="P400" s="55"/>
      <c r="Q400" s="55"/>
      <c r="R400" s="55"/>
      <c r="S400" s="55"/>
      <c r="T400" s="55"/>
      <c r="U400" s="55"/>
      <c r="V400" s="55"/>
      <c r="W400" s="55"/>
      <c r="X400" s="55"/>
      <c r="Y400" s="55"/>
      <c r="Z400" s="55"/>
      <c r="AA400" s="55"/>
      <c r="AB400" s="55"/>
      <c r="AC400" s="55"/>
      <c r="AD400" s="55"/>
      <c r="AE400" s="55"/>
      <c r="AF400" s="55"/>
      <c r="AG400" s="55"/>
      <c r="AH400" s="55"/>
      <c r="AI400" s="55"/>
      <c r="AJ400" s="55"/>
      <c r="AK400" s="55"/>
      <c r="AL400" s="55"/>
      <c r="AM400" s="55"/>
      <c r="AN400" s="55"/>
      <c r="AO400" s="55"/>
      <c r="AP400" s="55"/>
      <c r="AQ400" s="55"/>
      <c r="AR400" s="55"/>
      <c r="AS400" s="55"/>
      <c r="AT400" s="55"/>
      <c r="AU400" s="55"/>
      <c r="AV400" s="55"/>
      <c r="AW400" s="55"/>
      <c r="AX400" s="55"/>
      <c r="AY400" s="55"/>
      <c r="AZ400" s="55"/>
      <c r="BA400" s="55"/>
      <c r="BB400" s="55"/>
      <c r="BC400" s="106"/>
      <c r="BD400" s="108"/>
    </row>
    <row r="401" spans="1:56" hidden="1" outlineLevel="1" x14ac:dyDescent="0.3">
      <c r="A401" s="35" t="str">
        <f ca="1">Language!A$1370</f>
        <v>притоки</v>
      </c>
      <c r="B401" s="107"/>
      <c r="C401" s="48" t="str">
        <f ca="1">Параметры!$C$64</f>
        <v>руб.</v>
      </c>
      <c r="F401" s="6" t="s">
        <v>740</v>
      </c>
      <c r="G401" s="55">
        <f t="shared" ref="G401:M401" ca="1" si="1700">IF(G371&lt;0,0,G371)</f>
        <v>0</v>
      </c>
      <c r="H401" s="55">
        <f t="shared" ca="1" si="1700"/>
        <v>0</v>
      </c>
      <c r="I401" s="55">
        <f t="shared" ca="1" si="1700"/>
        <v>0</v>
      </c>
      <c r="J401" s="55">
        <f t="shared" ca="1" si="1700"/>
        <v>0</v>
      </c>
      <c r="K401" s="55">
        <f t="shared" ca="1" si="1700"/>
        <v>0</v>
      </c>
      <c r="L401" s="55">
        <f t="shared" ca="1" si="1700"/>
        <v>0</v>
      </c>
      <c r="M401" s="55">
        <f t="shared" ca="1" si="1700"/>
        <v>0</v>
      </c>
      <c r="N401" s="55">
        <f t="shared" ref="N401:O401" ca="1" si="1701">IF(N371&lt;0,0,N371)</f>
        <v>0</v>
      </c>
      <c r="O401" s="55">
        <f t="shared" ca="1" si="1701"/>
        <v>5621274.1251944918</v>
      </c>
      <c r="P401" s="55">
        <f t="shared" ref="P401:Q401" ca="1" si="1702">IF(P371&lt;0,0,P371)</f>
        <v>7660948.0157057578</v>
      </c>
      <c r="Q401" s="55">
        <f t="shared" ca="1" si="1702"/>
        <v>8271780.2482123412</v>
      </c>
      <c r="R401" s="55">
        <f t="shared" ref="R401:S401" ca="1" si="1703">IF(R371&lt;0,0,R371)</f>
        <v>7659601.2717252243</v>
      </c>
      <c r="S401" s="55">
        <f t="shared" ca="1" si="1703"/>
        <v>10934450.009093545</v>
      </c>
      <c r="T401" s="55">
        <f t="shared" ref="T401:U401" ca="1" si="1704">IF(T371&lt;0,0,T371)</f>
        <v>10907857.537697751</v>
      </c>
      <c r="U401" s="55">
        <f t="shared" ca="1" si="1704"/>
        <v>9142084.1888643112</v>
      </c>
      <c r="V401" s="55">
        <f t="shared" ref="V401:W401" ca="1" si="1705">IF(V371&lt;0,0,V371)</f>
        <v>8933019.3270192426</v>
      </c>
      <c r="W401" s="55">
        <f t="shared" ca="1" si="1705"/>
        <v>6302682.3345128149</v>
      </c>
      <c r="X401" s="55">
        <f t="shared" ref="X401:Y401" ca="1" si="1706">IF(X371&lt;0,0,X371)</f>
        <v>9531143.2605401427</v>
      </c>
      <c r="Y401" s="55">
        <f t="shared" ca="1" si="1706"/>
        <v>14054646.549902095</v>
      </c>
      <c r="Z401" s="55">
        <f t="shared" ref="Z401:AA401" ca="1" si="1707">IF(Z371&lt;0,0,Z371)</f>
        <v>16571335.234077554</v>
      </c>
      <c r="AA401" s="55">
        <f t="shared" ca="1" si="1707"/>
        <v>13039208.632376103</v>
      </c>
      <c r="AB401" s="55">
        <f t="shared" ref="AB401:AC401" ca="1" si="1708">IF(AB371&lt;0,0,AB371)</f>
        <v>8435184.3236111198</v>
      </c>
      <c r="AC401" s="55">
        <f t="shared" ca="1" si="1708"/>
        <v>6697207.9380209679</v>
      </c>
      <c r="AD401" s="55">
        <f t="shared" ref="AD401:AE401" ca="1" si="1709">IF(AD371&lt;0,0,AD371)</f>
        <v>7244398.4125958197</v>
      </c>
      <c r="AE401" s="55">
        <f t="shared" ca="1" si="1709"/>
        <v>11240196.241873104</v>
      </c>
      <c r="AF401" s="55">
        <f t="shared" ref="AF401:AG401" ca="1" si="1710">IF(AF371&lt;0,0,AF371)</f>
        <v>11315284.721229495</v>
      </c>
      <c r="AG401" s="55">
        <f t="shared" ca="1" si="1710"/>
        <v>9477609.3995322883</v>
      </c>
      <c r="AH401" s="55">
        <f t="shared" ref="AH401:AI401" ca="1" si="1711">IF(AH371&lt;0,0,AH371)</f>
        <v>9276373.7954233903</v>
      </c>
      <c r="AI401" s="55">
        <f t="shared" ca="1" si="1711"/>
        <v>6443949.6621978907</v>
      </c>
      <c r="AJ401" s="55">
        <f t="shared" ref="AJ401:AK401" ca="1" si="1712">IF(AJ371&lt;0,0,AJ371)</f>
        <v>9801235.2522034701</v>
      </c>
      <c r="AK401" s="55">
        <f t="shared" ca="1" si="1712"/>
        <v>14523290.786738934</v>
      </c>
      <c r="AL401" s="55">
        <f t="shared" ref="AL401:AM401" ca="1" si="1713">IF(AL371&lt;0,0,AL371)</f>
        <v>17232511.227023654</v>
      </c>
      <c r="AM401" s="55">
        <f t="shared" ca="1" si="1713"/>
        <v>13574228.733756416</v>
      </c>
      <c r="AN401" s="55">
        <f t="shared" ref="AN401:AO401" ca="1" si="1714">IF(AN371&lt;0,0,AN371)</f>
        <v>8757348.8981603831</v>
      </c>
      <c r="AO401" s="55">
        <f t="shared" ca="1" si="1714"/>
        <v>6902114.1647834787</v>
      </c>
      <c r="AP401" s="55">
        <f t="shared" ref="AP401:AQ401" ca="1" si="1715">IF(AP371&lt;0,0,AP371)</f>
        <v>7417472.712871192</v>
      </c>
      <c r="AQ401" s="55">
        <f t="shared" ca="1" si="1715"/>
        <v>11626436.181462388</v>
      </c>
      <c r="AR401" s="55">
        <f t="shared" ref="AR401:AS401" ca="1" si="1716">IF(AR371&lt;0,0,AR371)</f>
        <v>11716622.864158114</v>
      </c>
      <c r="AS401" s="55">
        <f t="shared" ca="1" si="1716"/>
        <v>9806939.3425342925</v>
      </c>
      <c r="AT401" s="55">
        <f t="shared" ref="AT401:AU401" ca="1" si="1717">IF(AT371&lt;0,0,AT371)</f>
        <v>9616520.8728973772</v>
      </c>
      <c r="AU401" s="55">
        <f t="shared" ca="1" si="1717"/>
        <v>6564412.9790532039</v>
      </c>
      <c r="AV401" s="55">
        <f t="shared" ref="AV401:AW401" ca="1" si="1718">IF(AV371&lt;0,0,AV371)</f>
        <v>10050233.175116023</v>
      </c>
      <c r="AW401" s="55">
        <f t="shared" ca="1" si="1718"/>
        <v>14973748.846644955</v>
      </c>
      <c r="AX401" s="55">
        <f t="shared" ref="AX401:AY401" ca="1" si="1719">IF(AX371&lt;0,0,AX371)</f>
        <v>17892186.110178754</v>
      </c>
      <c r="AY401" s="55">
        <f t="shared" ca="1" si="1719"/>
        <v>14110779.75453246</v>
      </c>
      <c r="AZ401" s="55">
        <f t="shared" ref="AZ401:BA401" ca="1" si="1720">IF(AZ371&lt;0,0,AZ371)</f>
        <v>9076107.5616529956</v>
      </c>
      <c r="BA401" s="55">
        <f t="shared" ca="1" si="1720"/>
        <v>7094974.6807112303</v>
      </c>
      <c r="BB401" s="55">
        <f t="shared" ref="BB401" ca="1" si="1721">IF(BB371&lt;0,0,BB371)</f>
        <v>8348418.0810810896</v>
      </c>
      <c r="BC401" s="106"/>
      <c r="BD401" s="57">
        <f ca="1">SUM(G401:BC401)</f>
        <v>407845817.45496589</v>
      </c>
    </row>
    <row r="402" spans="1:56" hidden="1" outlineLevel="1" x14ac:dyDescent="0.3">
      <c r="A402" s="35" t="str">
        <f ca="1">Language!A$1371</f>
        <v>дисконтированные притоки</v>
      </c>
      <c r="B402" s="107"/>
      <c r="C402" s="48" t="str">
        <f ca="1">Параметры!$C$64</f>
        <v>руб.</v>
      </c>
      <c r="F402" s="6" t="s">
        <v>740</v>
      </c>
      <c r="G402" s="55">
        <f t="shared" ref="G402:M402" ca="1" si="1722">G401/G370</f>
        <v>0</v>
      </c>
      <c r="H402" s="55">
        <f t="shared" ca="1" si="1722"/>
        <v>0</v>
      </c>
      <c r="I402" s="55">
        <f t="shared" ca="1" si="1722"/>
        <v>0</v>
      </c>
      <c r="J402" s="55">
        <f t="shared" ca="1" si="1722"/>
        <v>0</v>
      </c>
      <c r="K402" s="55">
        <f t="shared" ca="1" si="1722"/>
        <v>0</v>
      </c>
      <c r="L402" s="55">
        <f t="shared" ca="1" si="1722"/>
        <v>0</v>
      </c>
      <c r="M402" s="55">
        <f t="shared" ca="1" si="1722"/>
        <v>0</v>
      </c>
      <c r="N402" s="55">
        <f t="shared" ref="N402:O402" ca="1" si="1723">N401/N370</f>
        <v>0</v>
      </c>
      <c r="O402" s="55">
        <f t="shared" ca="1" si="1723"/>
        <v>4977912.599052012</v>
      </c>
      <c r="P402" s="55">
        <f t="shared" ref="P402:Q402" ca="1" si="1724">P401/P370</f>
        <v>6681847.8285782263</v>
      </c>
      <c r="Q402" s="55">
        <f t="shared" ca="1" si="1724"/>
        <v>7105826.7820938267</v>
      </c>
      <c r="R402" s="55">
        <f t="shared" ref="R402:S402" ca="1" si="1725">R401/R370</f>
        <v>6480721.4261953393</v>
      </c>
      <c r="S402" s="55">
        <f t="shared" ca="1" si="1725"/>
        <v>9112041.6742446236</v>
      </c>
      <c r="T402" s="55">
        <f t="shared" ref="T402:U402" ca="1" si="1726">T401/T370</f>
        <v>8952818.3726492692</v>
      </c>
      <c r="U402" s="55">
        <f t="shared" ca="1" si="1726"/>
        <v>7390385.5537556922</v>
      </c>
      <c r="V402" s="55">
        <f t="shared" ref="V402:W402" ca="1" si="1727">V401/V370</f>
        <v>7112490.7738523679</v>
      </c>
      <c r="W402" s="55">
        <f t="shared" ca="1" si="1727"/>
        <v>4942542.6294737924</v>
      </c>
      <c r="X402" s="55">
        <f t="shared" ref="X402:Y402" ca="1" si="1728">X401/X370</f>
        <v>7361588.9745914098</v>
      </c>
      <c r="Y402" s="55">
        <f t="shared" ca="1" si="1728"/>
        <v>10691731.879366023</v>
      </c>
      <c r="Z402" s="55">
        <f t="shared" ref="Z402:AA402" ca="1" si="1729">Z401/Z370</f>
        <v>12416157.037454547</v>
      </c>
      <c r="AA402" s="55">
        <f t="shared" ca="1" si="1729"/>
        <v>9622379.7142738514</v>
      </c>
      <c r="AB402" s="55">
        <f t="shared" ref="AB402:AC402" ca="1" si="1730">AB401/AB370</f>
        <v>6130944.6669033552</v>
      </c>
      <c r="AC402" s="55">
        <f t="shared" ca="1" si="1730"/>
        <v>4794332.6691499827</v>
      </c>
      <c r="AD402" s="55">
        <f t="shared" ref="AD402:AE402" ca="1" si="1731">AD401/AD370</f>
        <v>5107851.6085984437</v>
      </c>
      <c r="AE402" s="55">
        <f t="shared" ca="1" si="1731"/>
        <v>7805691.8346341038</v>
      </c>
      <c r="AF402" s="55">
        <f t="shared" ref="AF402:AG402" ca="1" si="1732">AF401/AF370</f>
        <v>7739351.2424318623</v>
      </c>
      <c r="AG402" s="55">
        <f t="shared" ca="1" si="1732"/>
        <v>6384684.4752461771</v>
      </c>
      <c r="AH402" s="55">
        <f t="shared" ref="AH402:AI402" ca="1" si="1733">AH401/AH370</f>
        <v>6154892.0004380196</v>
      </c>
      <c r="AI402" s="55">
        <f t="shared" ca="1" si="1733"/>
        <v>4211103.3336277436</v>
      </c>
      <c r="AJ402" s="55">
        <f t="shared" ref="AJ402:AK402" ca="1" si="1734">AJ401/AJ370</f>
        <v>6308500.4073537858</v>
      </c>
      <c r="AK402" s="55">
        <f t="shared" ca="1" si="1734"/>
        <v>9206868.0244257748</v>
      </c>
      <c r="AL402" s="55">
        <f t="shared" ref="AL402:AM402" ca="1" si="1735">AL401/AL370</f>
        <v>10759622.088490007</v>
      </c>
      <c r="AM402" s="55">
        <f t="shared" ca="1" si="1735"/>
        <v>8347668.1041499339</v>
      </c>
      <c r="AN402" s="55">
        <f t="shared" ref="AN402:AO402" ca="1" si="1736">AN401/AN370</f>
        <v>5304252.9425528934</v>
      </c>
      <c r="AO402" s="55">
        <f t="shared" ca="1" si="1736"/>
        <v>4117515.803185429</v>
      </c>
      <c r="AP402" s="55">
        <f t="shared" ref="AP402:AQ402" ca="1" si="1737">AP401/AP370</f>
        <v>4358235.1230043164</v>
      </c>
      <c r="AQ402" s="55">
        <f t="shared" ca="1" si="1737"/>
        <v>6728261.6790870335</v>
      </c>
      <c r="AR402" s="55">
        <f t="shared" ref="AR402:AS402" ca="1" si="1738">AR401/AR370</f>
        <v>6678213.1393401567</v>
      </c>
      <c r="AS402" s="55">
        <f t="shared" ca="1" si="1738"/>
        <v>5505450.6829758156</v>
      </c>
      <c r="AT402" s="55">
        <f t="shared" ref="AT402:AU402" ca="1" si="1739">AT401/AT370</f>
        <v>5317150.2049147291</v>
      </c>
      <c r="AU402" s="55">
        <f t="shared" ca="1" si="1739"/>
        <v>3574854.815823677</v>
      </c>
      <c r="AV402" s="55">
        <f t="shared" ref="AV402:AW402" ca="1" si="1740">AV401/AV370</f>
        <v>5390638.5647467459</v>
      </c>
      <c r="AW402" s="55">
        <f t="shared" ca="1" si="1740"/>
        <v>7910358.8095335774</v>
      </c>
      <c r="AX402" s="55">
        <f t="shared" ref="AX402:AY402" ca="1" si="1741">AX401/AX370</f>
        <v>9309591.1533272099</v>
      </c>
      <c r="AY402" s="55">
        <f t="shared" ca="1" si="1741"/>
        <v>7231356.589507347</v>
      </c>
      <c r="AZ402" s="55">
        <f t="shared" ref="AZ402:BA402" ca="1" si="1742">AZ401/AZ370</f>
        <v>4581101.9979400253</v>
      </c>
      <c r="BA402" s="55">
        <f t="shared" ca="1" si="1742"/>
        <v>3527140.3410573015</v>
      </c>
      <c r="BB402" s="55">
        <f t="shared" ref="BB402" ca="1" si="1743">BB401/BB370</f>
        <v>4087687.0859436882</v>
      </c>
      <c r="BC402" s="106"/>
      <c r="BD402" s="57">
        <f ca="1">SUM(G402:BC402)</f>
        <v>269421764.63397008</v>
      </c>
    </row>
    <row r="403" spans="1:56" hidden="1" outlineLevel="1" x14ac:dyDescent="0.3">
      <c r="A403" s="35" t="str">
        <f ca="1">Language!A$1372</f>
        <v>оттоки</v>
      </c>
      <c r="B403" s="107"/>
      <c r="C403" s="48" t="str">
        <f ca="1">Параметры!$C$64</f>
        <v>руб.</v>
      </c>
      <c r="F403" s="6" t="s">
        <v>740</v>
      </c>
      <c r="G403" s="55">
        <f t="shared" ref="G403:M403" ca="1" si="1744">IF(G371&lt;0,G371,0)</f>
        <v>-291667</v>
      </c>
      <c r="H403" s="55">
        <f t="shared" ca="1" si="1744"/>
        <v>-1658333.6666666667</v>
      </c>
      <c r="I403" s="55">
        <f t="shared" ca="1" si="1744"/>
        <v>-136658332.66666666</v>
      </c>
      <c r="J403" s="55">
        <f t="shared" ca="1" si="1744"/>
        <v>-18391666.666666668</v>
      </c>
      <c r="K403" s="55">
        <f t="shared" ca="1" si="1744"/>
        <v>-17025000</v>
      </c>
      <c r="L403" s="55">
        <f t="shared" ca="1" si="1744"/>
        <v>-18902925.060418263</v>
      </c>
      <c r="M403" s="55">
        <f t="shared" ca="1" si="1744"/>
        <v>-7886918.2840950666</v>
      </c>
      <c r="N403" s="55">
        <f t="shared" ref="N403:O403" ca="1" si="1745">IF(N371&lt;0,N371,0)</f>
        <v>-6232039.9085776005</v>
      </c>
      <c r="O403" s="55">
        <f t="shared" ca="1" si="1745"/>
        <v>0</v>
      </c>
      <c r="P403" s="55">
        <f t="shared" ref="P403:Q403" ca="1" si="1746">IF(P371&lt;0,P371,0)</f>
        <v>0</v>
      </c>
      <c r="Q403" s="55">
        <f t="shared" ca="1" si="1746"/>
        <v>0</v>
      </c>
      <c r="R403" s="55">
        <f t="shared" ref="R403:S403" ca="1" si="1747">IF(R371&lt;0,R371,0)</f>
        <v>0</v>
      </c>
      <c r="S403" s="55">
        <f t="shared" ca="1" si="1747"/>
        <v>0</v>
      </c>
      <c r="T403" s="55">
        <f t="shared" ref="T403:U403" ca="1" si="1748">IF(T371&lt;0,T371,0)</f>
        <v>0</v>
      </c>
      <c r="U403" s="55">
        <f t="shared" ca="1" si="1748"/>
        <v>0</v>
      </c>
      <c r="V403" s="55">
        <f t="shared" ref="V403:W403" ca="1" si="1749">IF(V371&lt;0,V371,0)</f>
        <v>0</v>
      </c>
      <c r="W403" s="55">
        <f t="shared" ca="1" si="1749"/>
        <v>0</v>
      </c>
      <c r="X403" s="55">
        <f t="shared" ref="X403:Y403" ca="1" si="1750">IF(X371&lt;0,X371,0)</f>
        <v>0</v>
      </c>
      <c r="Y403" s="55">
        <f t="shared" ca="1" si="1750"/>
        <v>0</v>
      </c>
      <c r="Z403" s="55">
        <f t="shared" ref="Z403:AA403" ca="1" si="1751">IF(Z371&lt;0,Z371,0)</f>
        <v>0</v>
      </c>
      <c r="AA403" s="55">
        <f t="shared" ca="1" si="1751"/>
        <v>0</v>
      </c>
      <c r="AB403" s="55">
        <f t="shared" ref="AB403:AC403" ca="1" si="1752">IF(AB371&lt;0,AB371,0)</f>
        <v>0</v>
      </c>
      <c r="AC403" s="55">
        <f t="shared" ca="1" si="1752"/>
        <v>0</v>
      </c>
      <c r="AD403" s="55">
        <f t="shared" ref="AD403:AE403" ca="1" si="1753">IF(AD371&lt;0,AD371,0)</f>
        <v>0</v>
      </c>
      <c r="AE403" s="55">
        <f t="shared" ca="1" si="1753"/>
        <v>0</v>
      </c>
      <c r="AF403" s="55">
        <f t="shared" ref="AF403:AG403" ca="1" si="1754">IF(AF371&lt;0,AF371,0)</f>
        <v>0</v>
      </c>
      <c r="AG403" s="55">
        <f t="shared" ca="1" si="1754"/>
        <v>0</v>
      </c>
      <c r="AH403" s="55">
        <f t="shared" ref="AH403:AI403" ca="1" si="1755">IF(AH371&lt;0,AH371,0)</f>
        <v>0</v>
      </c>
      <c r="AI403" s="55">
        <f t="shared" ca="1" si="1755"/>
        <v>0</v>
      </c>
      <c r="AJ403" s="55">
        <f t="shared" ref="AJ403:AK403" ca="1" si="1756">IF(AJ371&lt;0,AJ371,0)</f>
        <v>0</v>
      </c>
      <c r="AK403" s="55">
        <f t="shared" ca="1" si="1756"/>
        <v>0</v>
      </c>
      <c r="AL403" s="55">
        <f t="shared" ref="AL403:AM403" ca="1" si="1757">IF(AL371&lt;0,AL371,0)</f>
        <v>0</v>
      </c>
      <c r="AM403" s="55">
        <f t="shared" ca="1" si="1757"/>
        <v>0</v>
      </c>
      <c r="AN403" s="55">
        <f t="shared" ref="AN403:AO403" ca="1" si="1758">IF(AN371&lt;0,AN371,0)</f>
        <v>0</v>
      </c>
      <c r="AO403" s="55">
        <f t="shared" ca="1" si="1758"/>
        <v>0</v>
      </c>
      <c r="AP403" s="55">
        <f t="shared" ref="AP403:AQ403" ca="1" si="1759">IF(AP371&lt;0,AP371,0)</f>
        <v>0</v>
      </c>
      <c r="AQ403" s="55">
        <f t="shared" ca="1" si="1759"/>
        <v>0</v>
      </c>
      <c r="AR403" s="55">
        <f t="shared" ref="AR403:AS403" ca="1" si="1760">IF(AR371&lt;0,AR371,0)</f>
        <v>0</v>
      </c>
      <c r="AS403" s="55">
        <f t="shared" ca="1" si="1760"/>
        <v>0</v>
      </c>
      <c r="AT403" s="55">
        <f t="shared" ref="AT403:AU403" ca="1" si="1761">IF(AT371&lt;0,AT371,0)</f>
        <v>0</v>
      </c>
      <c r="AU403" s="55">
        <f t="shared" ca="1" si="1761"/>
        <v>0</v>
      </c>
      <c r="AV403" s="55">
        <f t="shared" ref="AV403:AW403" ca="1" si="1762">IF(AV371&lt;0,AV371,0)</f>
        <v>0</v>
      </c>
      <c r="AW403" s="55">
        <f t="shared" ca="1" si="1762"/>
        <v>0</v>
      </c>
      <c r="AX403" s="55">
        <f t="shared" ref="AX403:AY403" ca="1" si="1763">IF(AX371&lt;0,AX371,0)</f>
        <v>0</v>
      </c>
      <c r="AY403" s="55">
        <f t="shared" ca="1" si="1763"/>
        <v>0</v>
      </c>
      <c r="AZ403" s="55">
        <f t="shared" ref="AZ403:BA403" ca="1" si="1764">IF(AZ371&lt;0,AZ371,0)</f>
        <v>0</v>
      </c>
      <c r="BA403" s="55">
        <f t="shared" ca="1" si="1764"/>
        <v>0</v>
      </c>
      <c r="BB403" s="55">
        <f t="shared" ref="BB403" ca="1" si="1765">IF(BB371&lt;0,BB371,0)</f>
        <v>0</v>
      </c>
      <c r="BC403" s="106"/>
      <c r="BD403" s="57">
        <f ca="1">SUM(G403:BC403)</f>
        <v>-207046883.25309092</v>
      </c>
    </row>
    <row r="404" spans="1:56" hidden="1" outlineLevel="1" x14ac:dyDescent="0.3">
      <c r="A404" s="35" t="str">
        <f ca="1">Language!A$1373</f>
        <v>дисконтированные оттоки</v>
      </c>
      <c r="B404" s="107"/>
      <c r="C404" s="48" t="str">
        <f ca="1">Параметры!$C$64</f>
        <v>руб.</v>
      </c>
      <c r="F404" s="6" t="s">
        <v>740</v>
      </c>
      <c r="G404" s="55">
        <f t="shared" ref="G404:M404" ca="1" si="1766">G403/G370</f>
        <v>-291667</v>
      </c>
      <c r="H404" s="55">
        <f t="shared" ca="1" si="1766"/>
        <v>-1633328.2756147657</v>
      </c>
      <c r="I404" s="55">
        <f t="shared" ca="1" si="1766"/>
        <v>-132568164.54658392</v>
      </c>
      <c r="J404" s="55">
        <f t="shared" ca="1" si="1766"/>
        <v>-17572185.353291985</v>
      </c>
      <c r="K404" s="55">
        <f t="shared" ca="1" si="1766"/>
        <v>-16021138.391699512</v>
      </c>
      <c r="L404" s="55">
        <f t="shared" ca="1" si="1766"/>
        <v>-17520109.927012041</v>
      </c>
      <c r="M404" s="55">
        <f t="shared" ca="1" si="1766"/>
        <v>-7199738.4223313443</v>
      </c>
      <c r="N404" s="55">
        <f t="shared" ref="N404:O404" ca="1" si="1767">N403/N370</f>
        <v>-5603265.0411509667</v>
      </c>
      <c r="O404" s="55">
        <f t="shared" ca="1" si="1767"/>
        <v>0</v>
      </c>
      <c r="P404" s="55">
        <f t="shared" ref="P404:Q404" ca="1" si="1768">P403/P370</f>
        <v>0</v>
      </c>
      <c r="Q404" s="55">
        <f t="shared" ca="1" si="1768"/>
        <v>0</v>
      </c>
      <c r="R404" s="55">
        <f t="shared" ref="R404:S404" ca="1" si="1769">R403/R370</f>
        <v>0</v>
      </c>
      <c r="S404" s="55">
        <f t="shared" ca="1" si="1769"/>
        <v>0</v>
      </c>
      <c r="T404" s="55">
        <f t="shared" ref="T404:U404" ca="1" si="1770">T403/T370</f>
        <v>0</v>
      </c>
      <c r="U404" s="55">
        <f t="shared" ca="1" si="1770"/>
        <v>0</v>
      </c>
      <c r="V404" s="55">
        <f t="shared" ref="V404:W404" ca="1" si="1771">V403/V370</f>
        <v>0</v>
      </c>
      <c r="W404" s="55">
        <f t="shared" ca="1" si="1771"/>
        <v>0</v>
      </c>
      <c r="X404" s="55">
        <f t="shared" ref="X404:Y404" ca="1" si="1772">X403/X370</f>
        <v>0</v>
      </c>
      <c r="Y404" s="55">
        <f t="shared" ca="1" si="1772"/>
        <v>0</v>
      </c>
      <c r="Z404" s="55">
        <f t="shared" ref="Z404:AA404" ca="1" si="1773">Z403/Z370</f>
        <v>0</v>
      </c>
      <c r="AA404" s="55">
        <f t="shared" ca="1" si="1773"/>
        <v>0</v>
      </c>
      <c r="AB404" s="55">
        <f t="shared" ref="AB404:AC404" ca="1" si="1774">AB403/AB370</f>
        <v>0</v>
      </c>
      <c r="AC404" s="55">
        <f t="shared" ca="1" si="1774"/>
        <v>0</v>
      </c>
      <c r="AD404" s="55">
        <f t="shared" ref="AD404:AE404" ca="1" si="1775">AD403/AD370</f>
        <v>0</v>
      </c>
      <c r="AE404" s="55">
        <f t="shared" ca="1" si="1775"/>
        <v>0</v>
      </c>
      <c r="AF404" s="55">
        <f t="shared" ref="AF404:AG404" ca="1" si="1776">AF403/AF370</f>
        <v>0</v>
      </c>
      <c r="AG404" s="55">
        <f t="shared" ca="1" si="1776"/>
        <v>0</v>
      </c>
      <c r="AH404" s="55">
        <f t="shared" ref="AH404:AI404" ca="1" si="1777">AH403/AH370</f>
        <v>0</v>
      </c>
      <c r="AI404" s="55">
        <f t="shared" ca="1" si="1777"/>
        <v>0</v>
      </c>
      <c r="AJ404" s="55">
        <f t="shared" ref="AJ404:AK404" ca="1" si="1778">AJ403/AJ370</f>
        <v>0</v>
      </c>
      <c r="AK404" s="55">
        <f t="shared" ca="1" si="1778"/>
        <v>0</v>
      </c>
      <c r="AL404" s="55">
        <f t="shared" ref="AL404:AM404" ca="1" si="1779">AL403/AL370</f>
        <v>0</v>
      </c>
      <c r="AM404" s="55">
        <f t="shared" ca="1" si="1779"/>
        <v>0</v>
      </c>
      <c r="AN404" s="55">
        <f t="shared" ref="AN404:AO404" ca="1" si="1780">AN403/AN370</f>
        <v>0</v>
      </c>
      <c r="AO404" s="55">
        <f t="shared" ca="1" si="1780"/>
        <v>0</v>
      </c>
      <c r="AP404" s="55">
        <f t="shared" ref="AP404:AQ404" ca="1" si="1781">AP403/AP370</f>
        <v>0</v>
      </c>
      <c r="AQ404" s="55">
        <f t="shared" ca="1" si="1781"/>
        <v>0</v>
      </c>
      <c r="AR404" s="55">
        <f t="shared" ref="AR404:AS404" ca="1" si="1782">AR403/AR370</f>
        <v>0</v>
      </c>
      <c r="AS404" s="55">
        <f t="shared" ca="1" si="1782"/>
        <v>0</v>
      </c>
      <c r="AT404" s="55">
        <f t="shared" ref="AT404:AU404" ca="1" si="1783">AT403/AT370</f>
        <v>0</v>
      </c>
      <c r="AU404" s="55">
        <f t="shared" ca="1" si="1783"/>
        <v>0</v>
      </c>
      <c r="AV404" s="55">
        <f t="shared" ref="AV404:AW404" ca="1" si="1784">AV403/AV370</f>
        <v>0</v>
      </c>
      <c r="AW404" s="55">
        <f t="shared" ca="1" si="1784"/>
        <v>0</v>
      </c>
      <c r="AX404" s="55">
        <f t="shared" ref="AX404:AY404" ca="1" si="1785">AX403/AX370</f>
        <v>0</v>
      </c>
      <c r="AY404" s="55">
        <f t="shared" ca="1" si="1785"/>
        <v>0</v>
      </c>
      <c r="AZ404" s="55">
        <f t="shared" ref="AZ404:BA404" ca="1" si="1786">AZ403/AZ370</f>
        <v>0</v>
      </c>
      <c r="BA404" s="55">
        <f t="shared" ca="1" si="1786"/>
        <v>0</v>
      </c>
      <c r="BB404" s="55">
        <f t="shared" ref="BB404" ca="1" si="1787">BB403/BB370</f>
        <v>0</v>
      </c>
      <c r="BC404" s="106"/>
      <c r="BD404" s="57">
        <f ca="1">SUM(G404:BC404)</f>
        <v>-198409596.95768455</v>
      </c>
    </row>
    <row r="405" spans="1:56" hidden="1" x14ac:dyDescent="0.3">
      <c r="A405" s="12"/>
      <c r="B405" s="83"/>
      <c r="C405" s="51"/>
      <c r="D405" s="14"/>
      <c r="E405" s="14" t="s">
        <v>737</v>
      </c>
      <c r="F405" s="14"/>
      <c r="G405" s="13"/>
      <c r="H405" s="13"/>
      <c r="I405" s="13"/>
      <c r="J405" s="13"/>
      <c r="K405" s="13"/>
      <c r="L405" s="13"/>
      <c r="M405" s="13"/>
      <c r="N405" s="13"/>
      <c r="O405" s="13"/>
      <c r="P405" s="13"/>
      <c r="Q405" s="13"/>
      <c r="R405" s="13"/>
      <c r="S405" s="13"/>
      <c r="T405" s="13"/>
      <c r="U405" s="13"/>
      <c r="V405" s="13"/>
      <c r="W405" s="13"/>
      <c r="X405" s="13"/>
      <c r="Y405" s="13"/>
      <c r="Z405" s="13"/>
      <c r="AA405" s="13"/>
      <c r="AB405" s="13"/>
      <c r="AC405" s="13"/>
      <c r="AD405" s="13"/>
      <c r="AE405" s="13"/>
      <c r="AF405" s="13"/>
      <c r="AG405" s="13"/>
      <c r="AH405" s="13"/>
      <c r="AI405" s="13"/>
      <c r="AJ405" s="13"/>
      <c r="AK405" s="13"/>
      <c r="AL405" s="13"/>
      <c r="AM405" s="13"/>
      <c r="AN405" s="13"/>
      <c r="AO405" s="13"/>
      <c r="AP405" s="13"/>
      <c r="AQ405" s="13"/>
      <c r="AR405" s="13"/>
      <c r="AS405" s="13"/>
      <c r="AT405" s="13"/>
      <c r="AU405" s="13"/>
      <c r="AV405" s="13"/>
      <c r="AW405" s="13"/>
      <c r="AX405" s="13"/>
      <c r="AY405" s="13"/>
      <c r="AZ405" s="13"/>
      <c r="BA405" s="13"/>
      <c r="BB405" s="13"/>
      <c r="BC405" s="13"/>
      <c r="BD405" s="13"/>
    </row>
    <row r="406" spans="1:56" hidden="1" x14ac:dyDescent="0.3"/>
    <row r="407" spans="1:56" hidden="1" x14ac:dyDescent="0.3"/>
    <row r="408" spans="1:56" s="9" customFormat="1" ht="25.5" hidden="1" customHeight="1" thickBot="1" x14ac:dyDescent="0.35">
      <c r="A408" s="323" t="str">
        <f ca="1">Language!A1413</f>
        <v>БЮДЖЕТНАЯ ЭФФЕКТИВНОСТЬ</v>
      </c>
      <c r="B408" s="337"/>
      <c r="C408" s="338"/>
      <c r="D408" s="326"/>
      <c r="E408" s="326" t="s">
        <v>902</v>
      </c>
      <c r="F408" s="326"/>
      <c r="G408" s="327" t="str">
        <f ca="1">Параметры!G$34</f>
        <v>янв.25</v>
      </c>
      <c r="H408" s="327" t="str">
        <f ca="1">Параметры!H$34</f>
        <v>фев.25</v>
      </c>
      <c r="I408" s="327" t="str">
        <f ca="1">Параметры!I$34</f>
        <v>мар.25</v>
      </c>
      <c r="J408" s="327" t="str">
        <f ca="1">Параметры!J$34</f>
        <v>апр.25</v>
      </c>
      <c r="K408" s="327" t="str">
        <f ca="1">Параметры!K$34</f>
        <v>май.25</v>
      </c>
      <c r="L408" s="327" t="str">
        <f ca="1">Параметры!L$34</f>
        <v>июн.25</v>
      </c>
      <c r="M408" s="328" t="str">
        <f ca="1">Параметры!M$34</f>
        <v>июл.25</v>
      </c>
      <c r="N408" s="328" t="str">
        <f ca="1">Параметры!N$34</f>
        <v>авг.25</v>
      </c>
      <c r="O408" s="328" t="str">
        <f ca="1">Параметры!O$34</f>
        <v>сен.25</v>
      </c>
      <c r="P408" s="328" t="str">
        <f ca="1">Параметры!P$34</f>
        <v>окт.25</v>
      </c>
      <c r="Q408" s="328" t="str">
        <f ca="1">Параметры!Q$34</f>
        <v>ноя.25</v>
      </c>
      <c r="R408" s="328" t="str">
        <f ca="1">Параметры!R$34</f>
        <v>дек.25</v>
      </c>
      <c r="S408" s="328" t="str">
        <f ca="1">Параметры!S$34</f>
        <v>янв.26</v>
      </c>
      <c r="T408" s="328" t="str">
        <f ca="1">Параметры!T$34</f>
        <v>фев.26</v>
      </c>
      <c r="U408" s="328" t="str">
        <f ca="1">Параметры!U$34</f>
        <v>мар.26</v>
      </c>
      <c r="V408" s="328" t="str">
        <f ca="1">Параметры!V$34</f>
        <v>апр.26</v>
      </c>
      <c r="W408" s="328" t="str">
        <f ca="1">Параметры!W$34</f>
        <v>май.26</v>
      </c>
      <c r="X408" s="328" t="str">
        <f ca="1">Параметры!X$34</f>
        <v>июн.26</v>
      </c>
      <c r="Y408" s="328" t="str">
        <f ca="1">Параметры!Y$34</f>
        <v>июл.26</v>
      </c>
      <c r="Z408" s="328" t="str">
        <f ca="1">Параметры!Z$34</f>
        <v>авг.26</v>
      </c>
      <c r="AA408" s="328" t="str">
        <f ca="1">Параметры!AA$34</f>
        <v>сен.26</v>
      </c>
      <c r="AB408" s="328" t="str">
        <f ca="1">Параметры!AB$34</f>
        <v>окт.26</v>
      </c>
      <c r="AC408" s="328" t="str">
        <f ca="1">Параметры!AC$34</f>
        <v>ноя.26</v>
      </c>
      <c r="AD408" s="328" t="str">
        <f ca="1">Параметры!AD$34</f>
        <v>дек.26</v>
      </c>
      <c r="AE408" s="328" t="str">
        <f ca="1">Параметры!AE$34</f>
        <v>янв.27</v>
      </c>
      <c r="AF408" s="328" t="str">
        <f ca="1">Параметры!AF$34</f>
        <v>фев.27</v>
      </c>
      <c r="AG408" s="328" t="str">
        <f ca="1">Параметры!AG$34</f>
        <v>мар.27</v>
      </c>
      <c r="AH408" s="328" t="str">
        <f ca="1">Параметры!AH$34</f>
        <v>апр.27</v>
      </c>
      <c r="AI408" s="328" t="str">
        <f ca="1">Параметры!AI$34</f>
        <v>май.27</v>
      </c>
      <c r="AJ408" s="328" t="str">
        <f ca="1">Параметры!AJ$34</f>
        <v>июн.27</v>
      </c>
      <c r="AK408" s="328" t="str">
        <f ca="1">Параметры!AK$34</f>
        <v>июл.27</v>
      </c>
      <c r="AL408" s="328" t="str">
        <f ca="1">Параметры!AL$34</f>
        <v>авг.27</v>
      </c>
      <c r="AM408" s="328" t="str">
        <f ca="1">Параметры!AM$34</f>
        <v>сен.27</v>
      </c>
      <c r="AN408" s="328" t="str">
        <f ca="1">Параметры!AN$34</f>
        <v>окт.27</v>
      </c>
      <c r="AO408" s="328" t="str">
        <f ca="1">Параметры!AO$34</f>
        <v>ноя.27</v>
      </c>
      <c r="AP408" s="328" t="str">
        <f ca="1">Параметры!AP$34</f>
        <v>дек.27</v>
      </c>
      <c r="AQ408" s="328" t="str">
        <f ca="1">Параметры!AQ$34</f>
        <v>янв.28</v>
      </c>
      <c r="AR408" s="328" t="str">
        <f ca="1">Параметры!AR$34</f>
        <v>фев.28</v>
      </c>
      <c r="AS408" s="328" t="str">
        <f ca="1">Параметры!AS$34</f>
        <v>мар.28</v>
      </c>
      <c r="AT408" s="328" t="str">
        <f ca="1">Параметры!AT$34</f>
        <v>апр.28</v>
      </c>
      <c r="AU408" s="328" t="str">
        <f ca="1">Параметры!AU$34</f>
        <v>май.28</v>
      </c>
      <c r="AV408" s="328" t="str">
        <f ca="1">Параметры!AV$34</f>
        <v>июн.28</v>
      </c>
      <c r="AW408" s="328" t="str">
        <f ca="1">Параметры!AW$34</f>
        <v>июл.28</v>
      </c>
      <c r="AX408" s="328" t="str">
        <f ca="1">Параметры!AX$34</f>
        <v>авг.28</v>
      </c>
      <c r="AY408" s="328" t="str">
        <f ca="1">Параметры!AY$34</f>
        <v>сен.28</v>
      </c>
      <c r="AZ408" s="328" t="str">
        <f ca="1">Параметры!AZ$34</f>
        <v>окт.28</v>
      </c>
      <c r="BA408" s="328" t="str">
        <f ca="1">Параметры!BA$34</f>
        <v>ноя.28</v>
      </c>
      <c r="BB408" s="328" t="str">
        <f ca="1">Параметры!BB$34</f>
        <v>дек.28</v>
      </c>
      <c r="BC408" s="328"/>
      <c r="BD408" s="329" t="str">
        <f ca="1">Language!$A$1473</f>
        <v>ИТОГО</v>
      </c>
    </row>
    <row r="409" spans="1:56" hidden="1" x14ac:dyDescent="0.3">
      <c r="A409" s="247"/>
    </row>
    <row r="410" spans="1:56" hidden="1" collapsed="1" x14ac:dyDescent="0.3">
      <c r="A410" s="10" t="str">
        <f ca="1">Language!A1397</f>
        <v>Ставка дисконтирования</v>
      </c>
      <c r="B410" s="97">
        <f>Параметры!B144</f>
        <v>0.1</v>
      </c>
      <c r="C410" s="48" t="s">
        <v>1</v>
      </c>
    </row>
    <row r="411" spans="1:56" hidden="1" outlineLevel="1" x14ac:dyDescent="0.3">
      <c r="A411" s="35" t="str">
        <f ca="1">Language!A1398</f>
        <v>ставка на расчетный период</v>
      </c>
      <c r="C411" s="48" t="s">
        <v>1</v>
      </c>
      <c r="F411" s="6" t="s">
        <v>745</v>
      </c>
      <c r="G411" s="98">
        <f>((1+$B410) / IF(Prj_Inflation, 1, 1+CHOOSE(Prj_CurReport, Параметры!G$43,Параметры!G$56,Параметры!G$62))) ^ (Параметры!G$31/12) -1</f>
        <v>7.9741404289037643E-3</v>
      </c>
      <c r="H411" s="98">
        <f>((1+$B410) / IF(Prj_Inflation, 1, 1+CHOOSE(Prj_CurReport, Параметры!H$43,Параметры!H$56,Параметры!H$62))) ^ (Параметры!H$31/12) -1</f>
        <v>7.9741404289037643E-3</v>
      </c>
      <c r="I411" s="98">
        <f>((1+$B410) / IF(Prj_Inflation, 1, 1+CHOOSE(Prj_CurReport, Параметры!I$43,Параметры!I$56,Параметры!I$62))) ^ (Параметры!I$31/12) -1</f>
        <v>7.9741404289037643E-3</v>
      </c>
      <c r="J411" s="98">
        <f>((1+$B410) / IF(Prj_Inflation, 1, 1+CHOOSE(Prj_CurReport, Параметры!J$43,Параметры!J$56,Параметры!J$62))) ^ (Параметры!J$31/12) -1</f>
        <v>7.9741404289037643E-3</v>
      </c>
      <c r="K411" s="98">
        <f>((1+$B410) / IF(Prj_Inflation, 1, 1+CHOOSE(Prj_CurReport, Параметры!K$43,Параметры!K$56,Параметры!K$62))) ^ (Параметры!K$31/12) -1</f>
        <v>7.9741404289037643E-3</v>
      </c>
      <c r="L411" s="98">
        <f>((1+$B410) / IF(Prj_Inflation, 1, 1+CHOOSE(Prj_CurReport, Параметры!L$43,Параметры!L$56,Параметры!L$62))) ^ (Параметры!L$31/12) -1</f>
        <v>7.9741404289037643E-3</v>
      </c>
      <c r="M411" s="98">
        <f>((1+$B410) / IF(Prj_Inflation, 1, 1+CHOOSE(Prj_CurReport, Параметры!M$43,Параметры!M$56,Параметры!M$62))) ^ (Параметры!M$31/12) -1</f>
        <v>7.9741404289037643E-3</v>
      </c>
      <c r="N411" s="98">
        <f>((1+$B410) / IF(Prj_Inflation, 1, 1+CHOOSE(Prj_CurReport, Параметры!N$43,Параметры!N$56,Параметры!N$62))) ^ (Параметры!N$31/12) -1</f>
        <v>7.9741404289037643E-3</v>
      </c>
      <c r="O411" s="98">
        <f>((1+$B410) / IF(Prj_Inflation, 1, 1+CHOOSE(Prj_CurReport, Параметры!O$43,Параметры!O$56,Параметры!O$62))) ^ (Параметры!O$31/12) -1</f>
        <v>7.9741404289037643E-3</v>
      </c>
      <c r="P411" s="98">
        <f>((1+$B410) / IF(Prj_Inflation, 1, 1+CHOOSE(Prj_CurReport, Параметры!P$43,Параметры!P$56,Параметры!P$62))) ^ (Параметры!P$31/12) -1</f>
        <v>7.9741404289037643E-3</v>
      </c>
      <c r="Q411" s="98">
        <f>((1+$B410) / IF(Prj_Inflation, 1, 1+CHOOSE(Prj_CurReport, Параметры!Q$43,Параметры!Q$56,Параметры!Q$62))) ^ (Параметры!Q$31/12) -1</f>
        <v>7.9741404289037643E-3</v>
      </c>
      <c r="R411" s="98">
        <f>((1+$B410) / IF(Prj_Inflation, 1, 1+CHOOSE(Prj_CurReport, Параметры!R$43,Параметры!R$56,Параметры!R$62))) ^ (Параметры!R$31/12) -1</f>
        <v>7.9741404289037643E-3</v>
      </c>
      <c r="S411" s="98">
        <f>((1+$B410) / IF(Prj_Inflation, 1, 1+CHOOSE(Prj_CurReport, Параметры!S$43,Параметры!S$56,Параметры!S$62))) ^ (Параметры!S$31/12) -1</f>
        <v>7.9741404289037643E-3</v>
      </c>
      <c r="T411" s="98">
        <f>((1+$B410) / IF(Prj_Inflation, 1, 1+CHOOSE(Prj_CurReport, Параметры!T$43,Параметры!T$56,Параметры!T$62))) ^ (Параметры!T$31/12) -1</f>
        <v>7.9741404289037643E-3</v>
      </c>
      <c r="U411" s="98">
        <f>((1+$B410) / IF(Prj_Inflation, 1, 1+CHOOSE(Prj_CurReport, Параметры!U$43,Параметры!U$56,Параметры!U$62))) ^ (Параметры!U$31/12) -1</f>
        <v>7.9741404289037643E-3</v>
      </c>
      <c r="V411" s="98">
        <f>((1+$B410) / IF(Prj_Inflation, 1, 1+CHOOSE(Prj_CurReport, Параметры!V$43,Параметры!V$56,Параметры!V$62))) ^ (Параметры!V$31/12) -1</f>
        <v>7.9741404289037643E-3</v>
      </c>
      <c r="W411" s="98">
        <f>((1+$B410) / IF(Prj_Inflation, 1, 1+CHOOSE(Prj_CurReport, Параметры!W$43,Параметры!W$56,Параметры!W$62))) ^ (Параметры!W$31/12) -1</f>
        <v>7.9741404289037643E-3</v>
      </c>
      <c r="X411" s="98">
        <f>((1+$B410) / IF(Prj_Inflation, 1, 1+CHOOSE(Prj_CurReport, Параметры!X$43,Параметры!X$56,Параметры!X$62))) ^ (Параметры!X$31/12) -1</f>
        <v>7.9741404289037643E-3</v>
      </c>
      <c r="Y411" s="98">
        <f>((1+$B410) / IF(Prj_Inflation, 1, 1+CHOOSE(Prj_CurReport, Параметры!Y$43,Параметры!Y$56,Параметры!Y$62))) ^ (Параметры!Y$31/12) -1</f>
        <v>7.9741404289037643E-3</v>
      </c>
      <c r="Z411" s="98">
        <f>((1+$B410) / IF(Prj_Inflation, 1, 1+CHOOSE(Prj_CurReport, Параметры!Z$43,Параметры!Z$56,Параметры!Z$62))) ^ (Параметры!Z$31/12) -1</f>
        <v>7.9741404289037643E-3</v>
      </c>
      <c r="AA411" s="98">
        <f>((1+$B410) / IF(Prj_Inflation, 1, 1+CHOOSE(Prj_CurReport, Параметры!AA$43,Параметры!AA$56,Параметры!AA$62))) ^ (Параметры!AA$31/12) -1</f>
        <v>7.9741404289037643E-3</v>
      </c>
      <c r="AB411" s="98">
        <f>((1+$B410) / IF(Prj_Inflation, 1, 1+CHOOSE(Prj_CurReport, Параметры!AB$43,Параметры!AB$56,Параметры!AB$62))) ^ (Параметры!AB$31/12) -1</f>
        <v>7.9741404289037643E-3</v>
      </c>
      <c r="AC411" s="98">
        <f>((1+$B410) / IF(Prj_Inflation, 1, 1+CHOOSE(Prj_CurReport, Параметры!AC$43,Параметры!AC$56,Параметры!AC$62))) ^ (Параметры!AC$31/12) -1</f>
        <v>7.9741404289037643E-3</v>
      </c>
      <c r="AD411" s="98">
        <f>((1+$B410) / IF(Prj_Inflation, 1, 1+CHOOSE(Prj_CurReport, Параметры!AD$43,Параметры!AD$56,Параметры!AD$62))) ^ (Параметры!AD$31/12) -1</f>
        <v>7.9741404289037643E-3</v>
      </c>
      <c r="AE411" s="98">
        <f>((1+$B410) / IF(Prj_Inflation, 1, 1+CHOOSE(Prj_CurReport, Параметры!AE$43,Параметры!AE$56,Параметры!AE$62))) ^ (Параметры!AE$31/12) -1</f>
        <v>7.9741404289037643E-3</v>
      </c>
      <c r="AF411" s="98">
        <f>((1+$B410) / IF(Prj_Inflation, 1, 1+CHOOSE(Prj_CurReport, Параметры!AF$43,Параметры!AF$56,Параметры!AF$62))) ^ (Параметры!AF$31/12) -1</f>
        <v>7.9741404289037643E-3</v>
      </c>
      <c r="AG411" s="98">
        <f>((1+$B410) / IF(Prj_Inflation, 1, 1+CHOOSE(Prj_CurReport, Параметры!AG$43,Параметры!AG$56,Параметры!AG$62))) ^ (Параметры!AG$31/12) -1</f>
        <v>7.9741404289037643E-3</v>
      </c>
      <c r="AH411" s="98">
        <f>((1+$B410) / IF(Prj_Inflation, 1, 1+CHOOSE(Prj_CurReport, Параметры!AH$43,Параметры!AH$56,Параметры!AH$62))) ^ (Параметры!AH$31/12) -1</f>
        <v>7.9741404289037643E-3</v>
      </c>
      <c r="AI411" s="98">
        <f>((1+$B410) / IF(Prj_Inflation, 1, 1+CHOOSE(Prj_CurReport, Параметры!AI$43,Параметры!AI$56,Параметры!AI$62))) ^ (Параметры!AI$31/12) -1</f>
        <v>7.9741404289037643E-3</v>
      </c>
      <c r="AJ411" s="98">
        <f>((1+$B410) / IF(Prj_Inflation, 1, 1+CHOOSE(Prj_CurReport, Параметры!AJ$43,Параметры!AJ$56,Параметры!AJ$62))) ^ (Параметры!AJ$31/12) -1</f>
        <v>7.9741404289037643E-3</v>
      </c>
      <c r="AK411" s="98">
        <f>((1+$B410) / IF(Prj_Inflation, 1, 1+CHOOSE(Prj_CurReport, Параметры!AK$43,Параметры!AK$56,Параметры!AK$62))) ^ (Параметры!AK$31/12) -1</f>
        <v>7.9741404289037643E-3</v>
      </c>
      <c r="AL411" s="98">
        <f>((1+$B410) / IF(Prj_Inflation, 1, 1+CHOOSE(Prj_CurReport, Параметры!AL$43,Параметры!AL$56,Параметры!AL$62))) ^ (Параметры!AL$31/12) -1</f>
        <v>7.9741404289037643E-3</v>
      </c>
      <c r="AM411" s="98">
        <f>((1+$B410) / IF(Prj_Inflation, 1, 1+CHOOSE(Prj_CurReport, Параметры!AM$43,Параметры!AM$56,Параметры!AM$62))) ^ (Параметры!AM$31/12) -1</f>
        <v>7.9741404289037643E-3</v>
      </c>
      <c r="AN411" s="98">
        <f>((1+$B410) / IF(Prj_Inflation, 1, 1+CHOOSE(Prj_CurReport, Параметры!AN$43,Параметры!AN$56,Параметры!AN$62))) ^ (Параметры!AN$31/12) -1</f>
        <v>7.9741404289037643E-3</v>
      </c>
      <c r="AO411" s="98">
        <f>((1+$B410) / IF(Prj_Inflation, 1, 1+CHOOSE(Prj_CurReport, Параметры!AO$43,Параметры!AO$56,Параметры!AO$62))) ^ (Параметры!AO$31/12) -1</f>
        <v>7.9741404289037643E-3</v>
      </c>
      <c r="AP411" s="98">
        <f>((1+$B410) / IF(Prj_Inflation, 1, 1+CHOOSE(Prj_CurReport, Параметры!AP$43,Параметры!AP$56,Параметры!AP$62))) ^ (Параметры!AP$31/12) -1</f>
        <v>7.9741404289037643E-3</v>
      </c>
      <c r="AQ411" s="98">
        <f>((1+$B410) / IF(Prj_Inflation, 1, 1+CHOOSE(Prj_CurReport, Параметры!AQ$43,Параметры!AQ$56,Параметры!AQ$62))) ^ (Параметры!AQ$31/12) -1</f>
        <v>7.9741404289037643E-3</v>
      </c>
      <c r="AR411" s="98">
        <f>((1+$B410) / IF(Prj_Inflation, 1, 1+CHOOSE(Prj_CurReport, Параметры!AR$43,Параметры!AR$56,Параметры!AR$62))) ^ (Параметры!AR$31/12) -1</f>
        <v>7.9741404289037643E-3</v>
      </c>
      <c r="AS411" s="98">
        <f>((1+$B410) / IF(Prj_Inflation, 1, 1+CHOOSE(Prj_CurReport, Параметры!AS$43,Параметры!AS$56,Параметры!AS$62))) ^ (Параметры!AS$31/12) -1</f>
        <v>7.9741404289037643E-3</v>
      </c>
      <c r="AT411" s="98">
        <f>((1+$B410) / IF(Prj_Inflation, 1, 1+CHOOSE(Prj_CurReport, Параметры!AT$43,Параметры!AT$56,Параметры!AT$62))) ^ (Параметры!AT$31/12) -1</f>
        <v>7.9741404289037643E-3</v>
      </c>
      <c r="AU411" s="98">
        <f>((1+$B410) / IF(Prj_Inflation, 1, 1+CHOOSE(Prj_CurReport, Параметры!AU$43,Параметры!AU$56,Параметры!AU$62))) ^ (Параметры!AU$31/12) -1</f>
        <v>7.9741404289037643E-3</v>
      </c>
      <c r="AV411" s="98">
        <f>((1+$B410) / IF(Prj_Inflation, 1, 1+CHOOSE(Prj_CurReport, Параметры!AV$43,Параметры!AV$56,Параметры!AV$62))) ^ (Параметры!AV$31/12) -1</f>
        <v>7.9741404289037643E-3</v>
      </c>
      <c r="AW411" s="98">
        <f>((1+$B410) / IF(Prj_Inflation, 1, 1+CHOOSE(Prj_CurReport, Параметры!AW$43,Параметры!AW$56,Параметры!AW$62))) ^ (Параметры!AW$31/12) -1</f>
        <v>7.9741404289037643E-3</v>
      </c>
      <c r="AX411" s="98">
        <f>((1+$B410) / IF(Prj_Inflation, 1, 1+CHOOSE(Prj_CurReport, Параметры!AX$43,Параметры!AX$56,Параметры!AX$62))) ^ (Параметры!AX$31/12) -1</f>
        <v>7.9741404289037643E-3</v>
      </c>
      <c r="AY411" s="98">
        <f>((1+$B410) / IF(Prj_Inflation, 1, 1+CHOOSE(Prj_CurReport, Параметры!AY$43,Параметры!AY$56,Параметры!AY$62))) ^ (Параметры!AY$31/12) -1</f>
        <v>7.9741404289037643E-3</v>
      </c>
      <c r="AZ411" s="98">
        <f>((1+$B410) / IF(Prj_Inflation, 1, 1+CHOOSE(Prj_CurReport, Параметры!AZ$43,Параметры!AZ$56,Параметры!AZ$62))) ^ (Параметры!AZ$31/12) -1</f>
        <v>7.9741404289037643E-3</v>
      </c>
      <c r="BA411" s="98">
        <f>((1+$B410) / IF(Prj_Inflation, 1, 1+CHOOSE(Prj_CurReport, Параметры!BA$43,Параметры!BA$56,Параметры!BA$62))) ^ (Параметры!BA$31/12) -1</f>
        <v>7.9741404289037643E-3</v>
      </c>
      <c r="BB411" s="98">
        <f>((1+$B410) / IF(Prj_Inflation, 1, 1+CHOOSE(Prj_CurReport, Параметры!BB$43,Параметры!BB$56,Параметры!BB$62))) ^ (Параметры!BB$31/12) -1</f>
        <v>7.9741404289037643E-3</v>
      </c>
    </row>
    <row r="412" spans="1:56" hidden="1" outlineLevel="1" x14ac:dyDescent="0.3">
      <c r="A412" s="35" t="str">
        <f ca="1">Language!A1399</f>
        <v>коэффициент дисконта на начало периода</v>
      </c>
      <c r="C412" s="48" t="str">
        <f ca="1">Language!$A$1477</f>
        <v>раз</v>
      </c>
      <c r="F412" s="6" t="s">
        <v>745</v>
      </c>
      <c r="G412" s="31">
        <f>IF(G$2=1,1,F412*(1+G411))</f>
        <v>1</v>
      </c>
      <c r="H412" s="31">
        <f t="shared" ref="H412:BB412" si="1788">IF(H$2=1,1,G412*(1+H411))</f>
        <v>1.0079741404289038</v>
      </c>
      <c r="I412" s="31">
        <f t="shared" si="1788"/>
        <v>1.0160118677733874</v>
      </c>
      <c r="J412" s="31">
        <f t="shared" si="1788"/>
        <v>1.0241136890844451</v>
      </c>
      <c r="K412" s="31">
        <f t="shared" si="1788"/>
        <v>1.0322801154563672</v>
      </c>
      <c r="L412" s="31">
        <f t="shared" si="1788"/>
        <v>1.0405116620589814</v>
      </c>
      <c r="M412" s="31">
        <f t="shared" si="1788"/>
        <v>1.0488088481701519</v>
      </c>
      <c r="N412" s="31">
        <f t="shared" si="1788"/>
        <v>1.0571721972085375</v>
      </c>
      <c r="O412" s="31">
        <f t="shared" si="1788"/>
        <v>1.0656022367666111</v>
      </c>
      <c r="P412" s="31">
        <f t="shared" si="1788"/>
        <v>1.0740994986439421</v>
      </c>
      <c r="Q412" s="31">
        <f t="shared" si="1788"/>
        <v>1.082664518880744</v>
      </c>
      <c r="R412" s="31">
        <f t="shared" si="1788"/>
        <v>1.0912978377916907</v>
      </c>
      <c r="S412" s="31">
        <f t="shared" si="1788"/>
        <v>1.1000000000000005</v>
      </c>
      <c r="T412" s="31">
        <f t="shared" si="1788"/>
        <v>1.1087715544717947</v>
      </c>
      <c r="U412" s="31">
        <f t="shared" si="1788"/>
        <v>1.1176130545507266</v>
      </c>
      <c r="V412" s="31">
        <f t="shared" si="1788"/>
        <v>1.12652505799289</v>
      </c>
      <c r="W412" s="31">
        <f t="shared" si="1788"/>
        <v>1.1355081270020042</v>
      </c>
      <c r="X412" s="31">
        <f t="shared" si="1788"/>
        <v>1.1445628282648797</v>
      </c>
      <c r="Y412" s="31">
        <f t="shared" si="1788"/>
        <v>1.1536897329871671</v>
      </c>
      <c r="Z412" s="31">
        <f t="shared" si="1788"/>
        <v>1.1628894169293913</v>
      </c>
      <c r="AA412" s="31">
        <f t="shared" si="1788"/>
        <v>1.1721624604432723</v>
      </c>
      <c r="AB412" s="31">
        <f t="shared" si="1788"/>
        <v>1.1815094485083364</v>
      </c>
      <c r="AC412" s="31">
        <f t="shared" si="1788"/>
        <v>1.1909309707688185</v>
      </c>
      <c r="AD412" s="31">
        <f t="shared" si="1788"/>
        <v>1.2004276215708598</v>
      </c>
      <c r="AE412" s="31">
        <f t="shared" si="1788"/>
        <v>1.2100000000000009</v>
      </c>
      <c r="AF412" s="31">
        <f t="shared" si="1788"/>
        <v>1.2196487099189743</v>
      </c>
      <c r="AG412" s="31">
        <f t="shared" si="1788"/>
        <v>1.2293743600057996</v>
      </c>
      <c r="AH412" s="31">
        <f t="shared" si="1788"/>
        <v>1.2391775637921796</v>
      </c>
      <c r="AI412" s="31">
        <f t="shared" si="1788"/>
        <v>1.2490589397022054</v>
      </c>
      <c r="AJ412" s="31">
        <f t="shared" si="1788"/>
        <v>1.2590191110913684</v>
      </c>
      <c r="AK412" s="31">
        <f t="shared" si="1788"/>
        <v>1.2690587062858847</v>
      </c>
      <c r="AL412" s="31">
        <f t="shared" si="1788"/>
        <v>1.2791783586223313</v>
      </c>
      <c r="AM412" s="31">
        <f t="shared" si="1788"/>
        <v>1.2893787064876003</v>
      </c>
      <c r="AN412" s="31">
        <f t="shared" si="1788"/>
        <v>1.2996603933591708</v>
      </c>
      <c r="AO412" s="31">
        <f t="shared" si="1788"/>
        <v>1.3100240678457011</v>
      </c>
      <c r="AP412" s="31">
        <f t="shared" si="1788"/>
        <v>1.3204703837279466</v>
      </c>
      <c r="AQ412" s="31">
        <f t="shared" si="1788"/>
        <v>1.3310000000000017</v>
      </c>
      <c r="AR412" s="31">
        <f t="shared" si="1788"/>
        <v>1.3416135809108727</v>
      </c>
      <c r="AS412" s="31">
        <f t="shared" si="1788"/>
        <v>1.3523117960063804</v>
      </c>
      <c r="AT412" s="31">
        <f t="shared" si="1788"/>
        <v>1.3630953201713985</v>
      </c>
      <c r="AU412" s="31">
        <f t="shared" si="1788"/>
        <v>1.3739648336724266</v>
      </c>
      <c r="AV412" s="31">
        <f t="shared" si="1788"/>
        <v>1.3849210222005059</v>
      </c>
      <c r="AW412" s="31">
        <f t="shared" si="1788"/>
        <v>1.3959645769144737</v>
      </c>
      <c r="AX412" s="31">
        <f t="shared" si="1788"/>
        <v>1.407096194484565</v>
      </c>
      <c r="AY412" s="31">
        <f t="shared" si="1788"/>
        <v>1.4183165771363611</v>
      </c>
      <c r="AZ412" s="31">
        <f t="shared" si="1788"/>
        <v>1.4296264326950885</v>
      </c>
      <c r="BA412" s="31">
        <f t="shared" si="1788"/>
        <v>1.4410264746302719</v>
      </c>
      <c r="BB412" s="31">
        <f t="shared" si="1788"/>
        <v>1.4525174221007418</v>
      </c>
    </row>
    <row r="413" spans="1:56" hidden="1" x14ac:dyDescent="0.3">
      <c r="A413" s="10"/>
    </row>
    <row r="414" spans="1:56" hidden="1" x14ac:dyDescent="0.3">
      <c r="A414" s="22" t="str">
        <f ca="1">Language!A1515</f>
        <v>Доли налоговых поступлений в бюджеты разных уровней</v>
      </c>
      <c r="B414" s="30" t="str">
        <f ca="1">Language!A1516</f>
        <v>федеральный</v>
      </c>
      <c r="C414" s="30" t="str">
        <f ca="1">Language!A1517</f>
        <v>территории</v>
      </c>
    </row>
    <row r="415" spans="1:56" hidden="1" x14ac:dyDescent="0.3">
      <c r="A415" s="10" t="str">
        <f ca="1">Language!A$1514</f>
        <v>Налог на доходы физических лиц</v>
      </c>
      <c r="B415" s="273">
        <v>0.15</v>
      </c>
      <c r="C415" s="33">
        <f>100%-B415</f>
        <v>0.85</v>
      </c>
      <c r="G415" s="55"/>
      <c r="H415" s="55"/>
      <c r="I415" s="55"/>
      <c r="J415" s="55"/>
      <c r="K415" s="55"/>
      <c r="L415" s="55"/>
      <c r="M415" s="55"/>
      <c r="N415" s="55"/>
      <c r="O415" s="55"/>
      <c r="P415" s="55"/>
      <c r="Q415" s="55"/>
      <c r="R415" s="55"/>
      <c r="S415" s="55"/>
      <c r="T415" s="55"/>
      <c r="U415" s="55"/>
      <c r="V415" s="55"/>
      <c r="W415" s="55"/>
      <c r="X415" s="55"/>
      <c r="Y415" s="55"/>
      <c r="Z415" s="55"/>
      <c r="AA415" s="55"/>
      <c r="AB415" s="55"/>
      <c r="AC415" s="55"/>
      <c r="AD415" s="55"/>
      <c r="AE415" s="55"/>
      <c r="AF415" s="55"/>
      <c r="AG415" s="55"/>
      <c r="AH415" s="55"/>
      <c r="AI415" s="55"/>
      <c r="AJ415" s="55"/>
      <c r="AK415" s="55"/>
      <c r="AL415" s="55"/>
      <c r="AM415" s="55"/>
      <c r="AN415" s="55"/>
      <c r="AO415" s="55"/>
      <c r="AP415" s="55"/>
      <c r="AQ415" s="55"/>
      <c r="AR415" s="55"/>
      <c r="AS415" s="55"/>
      <c r="AT415" s="55"/>
      <c r="AU415" s="55"/>
      <c r="AV415" s="55"/>
      <c r="AW415" s="55"/>
      <c r="AX415" s="55"/>
      <c r="AY415" s="55"/>
      <c r="AZ415" s="55"/>
      <c r="BA415" s="55"/>
      <c r="BB415" s="55"/>
      <c r="BC415" s="55"/>
      <c r="BD415" s="57"/>
    </row>
    <row r="416" spans="1:56" hidden="1" x14ac:dyDescent="0.3">
      <c r="A416" s="5" t="str">
        <f ca="1">Language!A$1155</f>
        <v>Акцизы на проданные товары</v>
      </c>
      <c r="B416" s="273">
        <v>0.5</v>
      </c>
      <c r="C416" s="33">
        <f t="shared" ref="C416:C425" si="1789">100%-B416</f>
        <v>0.5</v>
      </c>
      <c r="G416" s="55"/>
      <c r="H416" s="55"/>
      <c r="I416" s="55"/>
      <c r="J416" s="55"/>
      <c r="K416" s="55"/>
      <c r="L416" s="55"/>
      <c r="M416" s="55"/>
      <c r="N416" s="55"/>
      <c r="O416" s="55"/>
      <c r="P416" s="55"/>
      <c r="Q416" s="55"/>
      <c r="R416" s="55"/>
      <c r="S416" s="55"/>
      <c r="T416" s="55"/>
      <c r="U416" s="55"/>
      <c r="V416" s="55"/>
      <c r="W416" s="55"/>
      <c r="X416" s="55"/>
      <c r="Y416" s="55"/>
      <c r="Z416" s="55"/>
      <c r="AA416" s="55"/>
      <c r="AB416" s="55"/>
      <c r="AC416" s="55"/>
      <c r="AD416" s="55"/>
      <c r="AE416" s="55"/>
      <c r="AF416" s="55"/>
      <c r="AG416" s="55"/>
      <c r="AH416" s="55"/>
      <c r="AI416" s="55"/>
      <c r="AJ416" s="55"/>
      <c r="AK416" s="55"/>
      <c r="AL416" s="55"/>
      <c r="AM416" s="55"/>
      <c r="AN416" s="55"/>
      <c r="AO416" s="55"/>
      <c r="AP416" s="55"/>
      <c r="AQ416" s="55"/>
      <c r="AR416" s="55"/>
      <c r="AS416" s="55"/>
      <c r="AT416" s="55"/>
      <c r="AU416" s="55"/>
      <c r="AV416" s="55"/>
      <c r="AW416" s="55"/>
      <c r="AX416" s="55"/>
      <c r="AY416" s="55"/>
      <c r="AZ416" s="55"/>
      <c r="BA416" s="55"/>
      <c r="BB416" s="55"/>
      <c r="BC416" s="55"/>
      <c r="BD416" s="57"/>
    </row>
    <row r="417" spans="1:56" hidden="1" x14ac:dyDescent="0.3">
      <c r="A417" s="5" t="str">
        <f ca="1">Language!A$1156</f>
        <v>Импортная пошлина на сырье и материалы</v>
      </c>
      <c r="B417" s="273">
        <v>1</v>
      </c>
      <c r="C417" s="33">
        <f t="shared" si="1789"/>
        <v>0</v>
      </c>
      <c r="G417" s="55"/>
      <c r="H417" s="55"/>
      <c r="I417" s="55"/>
      <c r="J417" s="55"/>
      <c r="K417" s="55"/>
      <c r="L417" s="55"/>
      <c r="M417" s="55"/>
      <c r="N417" s="55"/>
      <c r="O417" s="55"/>
      <c r="P417" s="55"/>
      <c r="Q417" s="55"/>
      <c r="R417" s="55"/>
      <c r="S417" s="55"/>
      <c r="T417" s="55"/>
      <c r="U417" s="55"/>
      <c r="V417" s="55"/>
      <c r="W417" s="55"/>
      <c r="X417" s="55"/>
      <c r="Y417" s="55"/>
      <c r="Z417" s="55"/>
      <c r="AA417" s="55"/>
      <c r="AB417" s="55"/>
      <c r="AC417" s="55"/>
      <c r="AD417" s="55"/>
      <c r="AE417" s="55"/>
      <c r="AF417" s="55"/>
      <c r="AG417" s="55"/>
      <c r="AH417" s="55"/>
      <c r="AI417" s="55"/>
      <c r="AJ417" s="55"/>
      <c r="AK417" s="55"/>
      <c r="AL417" s="55"/>
      <c r="AM417" s="55"/>
      <c r="AN417" s="55"/>
      <c r="AO417" s="55"/>
      <c r="AP417" s="55"/>
      <c r="AQ417" s="55"/>
      <c r="AR417" s="55"/>
      <c r="AS417" s="55"/>
      <c r="AT417" s="55"/>
      <c r="AU417" s="55"/>
      <c r="AV417" s="55"/>
      <c r="AW417" s="55"/>
      <c r="AX417" s="55"/>
      <c r="AY417" s="55"/>
      <c r="AZ417" s="55"/>
      <c r="BA417" s="55"/>
      <c r="BB417" s="55"/>
      <c r="BC417" s="55"/>
      <c r="BD417" s="57"/>
    </row>
    <row r="418" spans="1:56" hidden="1" x14ac:dyDescent="0.3">
      <c r="A418" s="5" t="str">
        <f ca="1">Language!A$1157</f>
        <v>Импортная пошлина на оборудование</v>
      </c>
      <c r="B418" s="273">
        <v>1</v>
      </c>
      <c r="C418" s="33">
        <f t="shared" si="1789"/>
        <v>0</v>
      </c>
      <c r="G418" s="55"/>
      <c r="H418" s="55"/>
      <c r="I418" s="55"/>
      <c r="J418" s="55"/>
      <c r="K418" s="55"/>
      <c r="L418" s="55"/>
      <c r="M418" s="55"/>
      <c r="N418" s="55"/>
      <c r="O418" s="55"/>
      <c r="P418" s="55"/>
      <c r="Q418" s="55"/>
      <c r="R418" s="55"/>
      <c r="S418" s="55"/>
      <c r="T418" s="55"/>
      <c r="U418" s="55"/>
      <c r="V418" s="55"/>
      <c r="W418" s="55"/>
      <c r="X418" s="55"/>
      <c r="Y418" s="55"/>
      <c r="Z418" s="55"/>
      <c r="AA418" s="55"/>
      <c r="AB418" s="55"/>
      <c r="AC418" s="55"/>
      <c r="AD418" s="55"/>
      <c r="AE418" s="55"/>
      <c r="AF418" s="55"/>
      <c r="AG418" s="55"/>
      <c r="AH418" s="55"/>
      <c r="AI418" s="55"/>
      <c r="AJ418" s="55"/>
      <c r="AK418" s="55"/>
      <c r="AL418" s="55"/>
      <c r="AM418" s="55"/>
      <c r="AN418" s="55"/>
      <c r="AO418" s="55"/>
      <c r="AP418" s="55"/>
      <c r="AQ418" s="55"/>
      <c r="AR418" s="55"/>
      <c r="AS418" s="55"/>
      <c r="AT418" s="55"/>
      <c r="AU418" s="55"/>
      <c r="AV418" s="55"/>
      <c r="AW418" s="55"/>
      <c r="AX418" s="55"/>
      <c r="AY418" s="55"/>
      <c r="AZ418" s="55"/>
      <c r="BA418" s="55"/>
      <c r="BB418" s="55"/>
      <c r="BC418" s="55"/>
      <c r="BD418" s="57"/>
    </row>
    <row r="419" spans="1:56" hidden="1" x14ac:dyDescent="0.3">
      <c r="A419" s="10" t="str">
        <f ca="1">Language!A$1415</f>
        <v>Налог на добавленную стоимость</v>
      </c>
      <c r="B419" s="273">
        <v>1</v>
      </c>
      <c r="C419" s="33">
        <f t="shared" si="1789"/>
        <v>0</v>
      </c>
      <c r="G419" s="55"/>
      <c r="H419" s="55"/>
      <c r="I419" s="55"/>
      <c r="J419" s="55"/>
      <c r="K419" s="55"/>
      <c r="L419" s="55"/>
      <c r="M419" s="55"/>
      <c r="N419" s="55"/>
      <c r="O419" s="55"/>
      <c r="P419" s="55"/>
      <c r="Q419" s="55"/>
      <c r="R419" s="55"/>
      <c r="S419" s="55"/>
      <c r="T419" s="55"/>
      <c r="U419" s="55"/>
      <c r="V419" s="55"/>
      <c r="W419" s="55"/>
      <c r="X419" s="55"/>
      <c r="Y419" s="55"/>
      <c r="Z419" s="55"/>
      <c r="AA419" s="55"/>
      <c r="AB419" s="55"/>
      <c r="AC419" s="55"/>
      <c r="AD419" s="55"/>
      <c r="AE419" s="55"/>
      <c r="AF419" s="55"/>
      <c r="AG419" s="55"/>
      <c r="AH419" s="55"/>
      <c r="AI419" s="55"/>
      <c r="AJ419" s="55"/>
      <c r="AK419" s="55"/>
      <c r="AL419" s="55"/>
      <c r="AM419" s="55"/>
      <c r="AN419" s="55"/>
      <c r="AO419" s="55"/>
      <c r="AP419" s="55"/>
      <c r="AQ419" s="55"/>
      <c r="AR419" s="55"/>
      <c r="AS419" s="55"/>
      <c r="AT419" s="55"/>
      <c r="AU419" s="55"/>
      <c r="AV419" s="55"/>
      <c r="AW419" s="55"/>
      <c r="AX419" s="55"/>
      <c r="AY419" s="55"/>
      <c r="AZ419" s="55"/>
      <c r="BA419" s="55"/>
      <c r="BB419" s="55"/>
      <c r="BC419" s="55"/>
      <c r="BD419" s="57"/>
    </row>
    <row r="420" spans="1:56" hidden="1" x14ac:dyDescent="0.3">
      <c r="A420" s="10" t="str">
        <f ca="1">Language!A$1416</f>
        <v>Налог на прибыль</v>
      </c>
      <c r="B420" s="273">
        <v>0</v>
      </c>
      <c r="C420" s="33">
        <f t="shared" si="1789"/>
        <v>1</v>
      </c>
      <c r="G420" s="55"/>
      <c r="H420" s="55"/>
      <c r="I420" s="55"/>
      <c r="J420" s="55"/>
      <c r="K420" s="55"/>
      <c r="L420" s="55"/>
      <c r="M420" s="55"/>
      <c r="N420" s="55"/>
      <c r="O420" s="55"/>
      <c r="P420" s="55"/>
      <c r="Q420" s="55"/>
      <c r="R420" s="55"/>
      <c r="S420" s="55"/>
      <c r="T420" s="55"/>
      <c r="U420" s="55"/>
      <c r="V420" s="55"/>
      <c r="W420" s="55"/>
      <c r="X420" s="55"/>
      <c r="Y420" s="55"/>
      <c r="Z420" s="55"/>
      <c r="AA420" s="55"/>
      <c r="AB420" s="55"/>
      <c r="AC420" s="55"/>
      <c r="AD420" s="55"/>
      <c r="AE420" s="55"/>
      <c r="AF420" s="55"/>
      <c r="AG420" s="55"/>
      <c r="AH420" s="55"/>
      <c r="AI420" s="55"/>
      <c r="AJ420" s="55"/>
      <c r="AK420" s="55"/>
      <c r="AL420" s="55"/>
      <c r="AM420" s="55"/>
      <c r="AN420" s="55"/>
      <c r="AO420" s="55"/>
      <c r="AP420" s="55"/>
      <c r="AQ420" s="55"/>
      <c r="AR420" s="55"/>
      <c r="AS420" s="55"/>
      <c r="AT420" s="55"/>
      <c r="AU420" s="55"/>
      <c r="AV420" s="55"/>
      <c r="AW420" s="55"/>
      <c r="AX420" s="55"/>
      <c r="AY420" s="55"/>
      <c r="AZ420" s="55"/>
      <c r="BA420" s="55"/>
      <c r="BB420" s="55"/>
      <c r="BC420" s="55"/>
      <c r="BD420" s="57"/>
    </row>
    <row r="421" spans="1:56" hidden="1" x14ac:dyDescent="0.3">
      <c r="A421" s="10" t="str">
        <f ca="1">Language!A$1417</f>
        <v>Налог на имущество</v>
      </c>
      <c r="B421" s="273">
        <v>0</v>
      </c>
      <c r="C421" s="33">
        <f t="shared" si="1789"/>
        <v>1</v>
      </c>
      <c r="G421" s="55"/>
      <c r="H421" s="55"/>
      <c r="I421" s="55"/>
      <c r="J421" s="55"/>
      <c r="K421" s="55"/>
      <c r="L421" s="55"/>
      <c r="M421" s="55"/>
      <c r="N421" s="55"/>
      <c r="O421" s="55"/>
      <c r="P421" s="55"/>
      <c r="Q421" s="55"/>
      <c r="R421" s="55"/>
      <c r="S421" s="55"/>
      <c r="T421" s="55"/>
      <c r="U421" s="55"/>
      <c r="V421" s="55"/>
      <c r="W421" s="55"/>
      <c r="X421" s="55"/>
      <c r="Y421" s="55"/>
      <c r="Z421" s="55"/>
      <c r="AA421" s="55"/>
      <c r="AB421" s="55"/>
      <c r="AC421" s="55"/>
      <c r="AD421" s="55"/>
      <c r="AE421" s="55"/>
      <c r="AF421" s="55"/>
      <c r="AG421" s="55"/>
      <c r="AH421" s="55"/>
      <c r="AI421" s="55"/>
      <c r="AJ421" s="55"/>
      <c r="AK421" s="55"/>
      <c r="AL421" s="55"/>
      <c r="AM421" s="55"/>
      <c r="AN421" s="55"/>
      <c r="AO421" s="55"/>
      <c r="AP421" s="55"/>
      <c r="AQ421" s="55"/>
      <c r="AR421" s="55"/>
      <c r="AS421" s="55"/>
      <c r="AT421" s="55"/>
      <c r="AU421" s="55"/>
      <c r="AV421" s="55"/>
      <c r="AW421" s="55"/>
      <c r="AX421" s="55"/>
      <c r="AY421" s="55"/>
      <c r="AZ421" s="55"/>
      <c r="BA421" s="55"/>
      <c r="BB421" s="55"/>
      <c r="BC421" s="55"/>
      <c r="BD421" s="57"/>
    </row>
    <row r="422" spans="1:56" hidden="1" x14ac:dyDescent="0.3">
      <c r="A422" s="10" t="str">
        <f ca="1">Language!A$1418</f>
        <v>Социальные взносы</v>
      </c>
      <c r="B422" s="273">
        <v>1</v>
      </c>
      <c r="C422" s="33">
        <f t="shared" si="1789"/>
        <v>0</v>
      </c>
      <c r="G422" s="55"/>
      <c r="H422" s="55"/>
      <c r="I422" s="55"/>
      <c r="J422" s="55"/>
      <c r="K422" s="55"/>
      <c r="L422" s="55"/>
      <c r="M422" s="55"/>
      <c r="N422" s="55"/>
      <c r="O422" s="55"/>
      <c r="P422" s="55"/>
      <c r="Q422" s="55"/>
      <c r="R422" s="55"/>
      <c r="S422" s="55"/>
      <c r="T422" s="55"/>
      <c r="U422" s="55"/>
      <c r="V422" s="55"/>
      <c r="W422" s="55"/>
      <c r="X422" s="55"/>
      <c r="Y422" s="55"/>
      <c r="Z422" s="55"/>
      <c r="AA422" s="55"/>
      <c r="AB422" s="55"/>
      <c r="AC422" s="55"/>
      <c r="AD422" s="55"/>
      <c r="AE422" s="55"/>
      <c r="AF422" s="55"/>
      <c r="AG422" s="55"/>
      <c r="AH422" s="55"/>
      <c r="AI422" s="55"/>
      <c r="AJ422" s="55"/>
      <c r="AK422" s="55"/>
      <c r="AL422" s="55"/>
      <c r="AM422" s="55"/>
      <c r="AN422" s="55"/>
      <c r="AO422" s="55"/>
      <c r="AP422" s="55"/>
      <c r="AQ422" s="55"/>
      <c r="AR422" s="55"/>
      <c r="AS422" s="55"/>
      <c r="AT422" s="55"/>
      <c r="AU422" s="55"/>
      <c r="AV422" s="55"/>
      <c r="AW422" s="55"/>
      <c r="AX422" s="55"/>
      <c r="AY422" s="55"/>
      <c r="AZ422" s="55"/>
      <c r="BA422" s="55"/>
      <c r="BB422" s="55"/>
      <c r="BC422" s="55"/>
      <c r="BD422" s="57"/>
    </row>
    <row r="423" spans="1:56" hidden="1" x14ac:dyDescent="0.3">
      <c r="A423" s="10" t="str">
        <f ca="1">Language!A$1419</f>
        <v>Налог с оборота</v>
      </c>
      <c r="B423" s="273">
        <v>0</v>
      </c>
      <c r="C423" s="33">
        <f t="shared" si="1789"/>
        <v>1</v>
      </c>
      <c r="G423" s="55"/>
      <c r="H423" s="55"/>
      <c r="I423" s="55"/>
      <c r="J423" s="55"/>
      <c r="K423" s="55"/>
      <c r="L423" s="55"/>
      <c r="M423" s="55"/>
      <c r="N423" s="55"/>
      <c r="O423" s="55"/>
      <c r="P423" s="55"/>
      <c r="Q423" s="55"/>
      <c r="R423" s="55"/>
      <c r="S423" s="55"/>
      <c r="T423" s="55"/>
      <c r="U423" s="55"/>
      <c r="V423" s="55"/>
      <c r="W423" s="55"/>
      <c r="X423" s="55"/>
      <c r="Y423" s="55"/>
      <c r="Z423" s="55"/>
      <c r="AA423" s="55"/>
      <c r="AB423" s="55"/>
      <c r="AC423" s="55"/>
      <c r="AD423" s="55"/>
      <c r="AE423" s="55"/>
      <c r="AF423" s="55"/>
      <c r="AG423" s="55"/>
      <c r="AH423" s="55"/>
      <c r="AI423" s="55"/>
      <c r="AJ423" s="55"/>
      <c r="AK423" s="55"/>
      <c r="AL423" s="55"/>
      <c r="AM423" s="55"/>
      <c r="AN423" s="55"/>
      <c r="AO423" s="55"/>
      <c r="AP423" s="55"/>
      <c r="AQ423" s="55"/>
      <c r="AR423" s="55"/>
      <c r="AS423" s="55"/>
      <c r="AT423" s="55"/>
      <c r="AU423" s="55"/>
      <c r="AV423" s="55"/>
      <c r="AW423" s="55"/>
      <c r="AX423" s="55"/>
      <c r="AY423" s="55"/>
      <c r="AZ423" s="55"/>
      <c r="BA423" s="55"/>
      <c r="BB423" s="55"/>
      <c r="BC423" s="55"/>
      <c r="BD423" s="57"/>
    </row>
    <row r="424" spans="1:56" hidden="1" x14ac:dyDescent="0.3">
      <c r="A424" s="10" t="str">
        <f ca="1">Language!A$1420</f>
        <v>Налог с дохода, уменьшенного на расходы</v>
      </c>
      <c r="B424" s="273">
        <v>0</v>
      </c>
      <c r="C424" s="33">
        <f t="shared" si="1789"/>
        <v>1</v>
      </c>
      <c r="G424" s="55"/>
      <c r="H424" s="55"/>
      <c r="I424" s="55"/>
      <c r="J424" s="55"/>
      <c r="K424" s="55"/>
      <c r="L424" s="55"/>
      <c r="M424" s="55"/>
      <c r="N424" s="55"/>
      <c r="O424" s="55"/>
      <c r="P424" s="55"/>
      <c r="Q424" s="55"/>
      <c r="R424" s="55"/>
      <c r="S424" s="55"/>
      <c r="T424" s="55"/>
      <c r="U424" s="55"/>
      <c r="V424" s="55"/>
      <c r="W424" s="55"/>
      <c r="X424" s="55"/>
      <c r="Y424" s="55"/>
      <c r="Z424" s="55"/>
      <c r="AA424" s="55"/>
      <c r="AB424" s="55"/>
      <c r="AC424" s="55"/>
      <c r="AD424" s="55"/>
      <c r="AE424" s="55"/>
      <c r="AF424" s="55"/>
      <c r="AG424" s="55"/>
      <c r="AH424" s="55"/>
      <c r="AI424" s="55"/>
      <c r="AJ424" s="55"/>
      <c r="AK424" s="55"/>
      <c r="AL424" s="55"/>
      <c r="AM424" s="55"/>
      <c r="AN424" s="55"/>
      <c r="AO424" s="55"/>
      <c r="AP424" s="55"/>
      <c r="AQ424" s="55"/>
      <c r="AR424" s="55"/>
      <c r="AS424" s="55"/>
      <c r="AT424" s="55"/>
      <c r="AU424" s="55"/>
      <c r="AV424" s="55"/>
      <c r="AW424" s="55"/>
      <c r="AX424" s="55"/>
      <c r="AY424" s="55"/>
      <c r="AZ424" s="55"/>
      <c r="BA424" s="55"/>
      <c r="BB424" s="55"/>
      <c r="BC424" s="55"/>
      <c r="BD424" s="57"/>
    </row>
    <row r="425" spans="1:56" ht="12" hidden="1" customHeight="1" x14ac:dyDescent="0.3">
      <c r="A425" s="5" t="str">
        <f ca="1">Language!A$1488</f>
        <v>Прочие налоги</v>
      </c>
      <c r="B425" s="273">
        <v>0</v>
      </c>
      <c r="C425" s="33">
        <f t="shared" si="1789"/>
        <v>1</v>
      </c>
      <c r="G425" s="55"/>
      <c r="H425" s="55"/>
      <c r="I425" s="55"/>
      <c r="J425" s="55"/>
      <c r="K425" s="55"/>
      <c r="L425" s="55"/>
      <c r="M425" s="55"/>
      <c r="N425" s="55"/>
      <c r="O425" s="55"/>
      <c r="P425" s="55"/>
      <c r="Q425" s="55"/>
      <c r="R425" s="55"/>
      <c r="S425" s="55"/>
      <c r="T425" s="55"/>
      <c r="U425" s="55"/>
      <c r="V425" s="55"/>
      <c r="W425" s="55"/>
      <c r="X425" s="55"/>
      <c r="Y425" s="55"/>
      <c r="Z425" s="55"/>
      <c r="AA425" s="55"/>
      <c r="AB425" s="55"/>
      <c r="AC425" s="55"/>
      <c r="AD425" s="55"/>
      <c r="AE425" s="55"/>
      <c r="AF425" s="55"/>
      <c r="AG425" s="55"/>
      <c r="AH425" s="55"/>
      <c r="AI425" s="55"/>
      <c r="AJ425" s="55"/>
      <c r="AK425" s="55"/>
      <c r="AL425" s="55"/>
      <c r="AM425" s="55"/>
      <c r="AN425" s="55"/>
      <c r="AO425" s="55"/>
      <c r="AP425" s="55"/>
      <c r="AQ425" s="55"/>
      <c r="AR425" s="55"/>
      <c r="AS425" s="55"/>
      <c r="AT425" s="55"/>
      <c r="AU425" s="55"/>
      <c r="AV425" s="55"/>
      <c r="AW425" s="55"/>
      <c r="AX425" s="55"/>
      <c r="AY425" s="55"/>
      <c r="AZ425" s="55"/>
      <c r="BA425" s="55"/>
      <c r="BB425" s="55"/>
      <c r="BC425" s="55"/>
      <c r="BD425" s="57"/>
    </row>
    <row r="426" spans="1:56" hidden="1" x14ac:dyDescent="0.3">
      <c r="A426" s="149"/>
      <c r="B426" s="150"/>
      <c r="C426" s="151"/>
      <c r="D426" s="63"/>
      <c r="E426" s="63"/>
      <c r="F426" s="63"/>
      <c r="G426" s="62"/>
      <c r="H426" s="62"/>
      <c r="I426" s="62"/>
      <c r="J426" s="62"/>
      <c r="K426" s="62"/>
      <c r="L426" s="62"/>
      <c r="M426" s="62"/>
      <c r="N426" s="62"/>
      <c r="O426" s="62"/>
      <c r="P426" s="62"/>
      <c r="Q426" s="62"/>
      <c r="R426" s="62"/>
      <c r="S426" s="62"/>
      <c r="T426" s="62"/>
      <c r="U426" s="62"/>
      <c r="V426" s="62"/>
      <c r="W426" s="62"/>
      <c r="X426" s="62"/>
      <c r="Y426" s="62"/>
      <c r="Z426" s="62"/>
      <c r="AA426" s="62"/>
      <c r="AB426" s="62"/>
      <c r="AC426" s="62"/>
      <c r="AD426" s="62"/>
      <c r="AE426" s="62"/>
      <c r="AF426" s="62"/>
      <c r="AG426" s="62"/>
      <c r="AH426" s="62"/>
      <c r="AI426" s="62"/>
      <c r="AJ426" s="62"/>
      <c r="AK426" s="62"/>
      <c r="AL426" s="62"/>
      <c r="AM426" s="62"/>
      <c r="AN426" s="62"/>
      <c r="AO426" s="62"/>
      <c r="AP426" s="62"/>
      <c r="AQ426" s="62"/>
      <c r="AR426" s="62"/>
      <c r="AS426" s="62"/>
      <c r="AT426" s="62"/>
      <c r="AU426" s="62"/>
      <c r="AV426" s="62"/>
      <c r="AW426" s="62"/>
      <c r="AX426" s="62"/>
      <c r="AY426" s="62"/>
      <c r="AZ426" s="62"/>
      <c r="BA426" s="62"/>
      <c r="BB426" s="62"/>
      <c r="BC426" s="62"/>
      <c r="BD426" s="62"/>
    </row>
    <row r="427" spans="1:56" hidden="1" x14ac:dyDescent="0.3">
      <c r="A427" s="22" t="str">
        <f ca="1">Language!A1518</f>
        <v>Федеральный бюджет</v>
      </c>
    </row>
    <row r="428" spans="1:56" hidden="1" x14ac:dyDescent="0.3">
      <c r="A428" s="22"/>
    </row>
    <row r="429" spans="1:56" hidden="1" x14ac:dyDescent="0.3">
      <c r="A429" s="22" t="str">
        <f ca="1">Language!A$1414</f>
        <v>Поступление налогов в бюджет</v>
      </c>
      <c r="B429" s="109"/>
      <c r="C429" s="110"/>
      <c r="G429" s="55"/>
      <c r="H429" s="55"/>
      <c r="I429" s="55"/>
      <c r="J429" s="55"/>
      <c r="K429" s="55"/>
      <c r="L429" s="55"/>
      <c r="M429" s="55"/>
      <c r="N429" s="55"/>
      <c r="O429" s="55"/>
      <c r="P429" s="55"/>
      <c r="Q429" s="55"/>
      <c r="R429" s="55"/>
      <c r="S429" s="55"/>
      <c r="T429" s="55"/>
      <c r="U429" s="55"/>
      <c r="V429" s="55"/>
      <c r="W429" s="55"/>
      <c r="X429" s="55"/>
      <c r="Y429" s="55"/>
      <c r="Z429" s="55"/>
      <c r="AA429" s="55"/>
      <c r="AB429" s="55"/>
      <c r="AC429" s="55"/>
      <c r="AD429" s="55"/>
      <c r="AE429" s="55"/>
      <c r="AF429" s="55"/>
      <c r="AG429" s="55"/>
      <c r="AH429" s="55"/>
      <c r="AI429" s="55"/>
      <c r="AJ429" s="55"/>
      <c r="AK429" s="55"/>
      <c r="AL429" s="55"/>
      <c r="AM429" s="55"/>
      <c r="AN429" s="55"/>
      <c r="AO429" s="55"/>
      <c r="AP429" s="55"/>
      <c r="AQ429" s="55"/>
      <c r="AR429" s="55"/>
      <c r="AS429" s="55"/>
      <c r="AT429" s="55"/>
      <c r="AU429" s="55"/>
      <c r="AV429" s="55"/>
      <c r="AW429" s="55"/>
      <c r="AX429" s="55"/>
      <c r="AY429" s="55"/>
      <c r="AZ429" s="55"/>
      <c r="BA429" s="55"/>
      <c r="BB429" s="55"/>
      <c r="BC429" s="55"/>
      <c r="BD429" s="55"/>
    </row>
    <row r="430" spans="1:56" hidden="1" x14ac:dyDescent="0.3">
      <c r="A430" s="10" t="str">
        <f ca="1">Language!A$1514</f>
        <v>Налог на доходы физических лиц</v>
      </c>
      <c r="B430" s="273">
        <v>0.13</v>
      </c>
      <c r="C430" s="48" t="str">
        <f ca="1">Параметры!$C$64</f>
        <v>руб.</v>
      </c>
      <c r="E430" s="6" t="s">
        <v>2371</v>
      </c>
      <c r="F430" s="6" t="s">
        <v>740</v>
      </c>
      <c r="G430" s="55">
        <f ca="1">Проект!G$412*$B$430*$B415</f>
        <v>0</v>
      </c>
      <c r="H430" s="55">
        <f ca="1">Проект!H$412*$B$430*$B415</f>
        <v>0</v>
      </c>
      <c r="I430" s="55">
        <f ca="1">Проект!I$412*$B$430*$B415</f>
        <v>0</v>
      </c>
      <c r="J430" s="55">
        <f ca="1">Проект!J$412*$B$430*$B415</f>
        <v>0</v>
      </c>
      <c r="K430" s="55">
        <f ca="1">Проект!K$412*$B$430*$B415</f>
        <v>0</v>
      </c>
      <c r="L430" s="55">
        <f ca="1">Проект!L$412*$B$430*$B415</f>
        <v>0</v>
      </c>
      <c r="M430" s="55">
        <f ca="1">Проект!M$412*$B$430*$B415</f>
        <v>19574.566805551531</v>
      </c>
      <c r="N430" s="55">
        <f ca="1">Проект!N$412*$B$430*$B415</f>
        <v>19669.846999272242</v>
      </c>
      <c r="O430" s="55">
        <f ca="1">Проект!O$412*$B$430*$B415</f>
        <v>19765.590974153762</v>
      </c>
      <c r="P430" s="55">
        <f ca="1">Проект!P$412*$B$430*$B415</f>
        <v>19861.800987674349</v>
      </c>
      <c r="Q430" s="55">
        <f ca="1">Проект!Q$412*$B$430*$B415</f>
        <v>19958.47930830063</v>
      </c>
      <c r="R430" s="55">
        <f ca="1">Проект!R$412*$B$430*$B415</f>
        <v>20055.628215541139</v>
      </c>
      <c r="S430" s="55">
        <f ca="1">Проект!S$412*$B$430*$B415</f>
        <v>20153.250000000004</v>
      </c>
      <c r="T430" s="55">
        <f ca="1">Проект!T$412*$B$430*$B415</f>
        <v>20251.346963431006</v>
      </c>
      <c r="U430" s="55">
        <f ca="1">Проект!U$412*$B$430*$B415</f>
        <v>20349.921418791815</v>
      </c>
      <c r="V430" s="55">
        <f ca="1">Проект!V$412*$B$430*$B415</f>
        <v>20448.975690298543</v>
      </c>
      <c r="W430" s="55">
        <f ca="1">Проект!W$412*$B$430*$B415</f>
        <v>20548.512113480541</v>
      </c>
      <c r="X430" s="55">
        <f ca="1">Проект!X$412*$B$430*$B415</f>
        <v>20648.533035235472</v>
      </c>
      <c r="Y430" s="55">
        <f ca="1">Проект!Y$412*$B$430*$B415</f>
        <v>20749.040813884632</v>
      </c>
      <c r="Z430" s="55">
        <f ca="1">Проект!Z$412*$B$430*$B415</f>
        <v>20850.037819228583</v>
      </c>
      <c r="AA430" s="55">
        <f ca="1">Проект!AA$412*$B$430*$B415</f>
        <v>20951.526432603001</v>
      </c>
      <c r="AB430" s="55">
        <f ca="1">Проект!AB$412*$B$430*$B415</f>
        <v>21053.509046934811</v>
      </c>
      <c r="AC430" s="55">
        <f ca="1">Проект!AC$412*$B$430*$B415</f>
        <v>21155.98806679868</v>
      </c>
      <c r="AD430" s="55">
        <f ca="1">Проект!AD$412*$B$430*$B415</f>
        <v>21258.965908473612</v>
      </c>
      <c r="AE430" s="55">
        <f ca="1">Проект!AE$412*$B$430*$B415</f>
        <v>21362.445000000011</v>
      </c>
      <c r="AF430" s="55">
        <f ca="1">Проект!AF$412*$B$430*$B415</f>
        <v>21466.427781236871</v>
      </c>
      <c r="AG430" s="55">
        <f ca="1">Проект!AG$412*$B$430*$B415</f>
        <v>21570.916703919331</v>
      </c>
      <c r="AH430" s="55">
        <f ca="1">Проект!AH$412*$B$430*$B415</f>
        <v>21675.914231716459</v>
      </c>
      <c r="AI430" s="55">
        <f ca="1">Проект!AI$412*$B$430*$B415</f>
        <v>21781.422840289375</v>
      </c>
      <c r="AJ430" s="55">
        <f ca="1">Проект!AJ$412*$B$430*$B415</f>
        <v>21887.445017349604</v>
      </c>
      <c r="AK430" s="55">
        <f ca="1">Проект!AK$412*$B$430*$B415</f>
        <v>21993.983262717717</v>
      </c>
      <c r="AL430" s="55">
        <f ca="1">Проект!AL$412*$B$430*$B415</f>
        <v>22101.040088382299</v>
      </c>
      <c r="AM430" s="55">
        <f ca="1">Проект!AM$412*$B$430*$B415</f>
        <v>22208.61801855918</v>
      </c>
      <c r="AN430" s="55">
        <f ca="1">Проект!AN$412*$B$430*$B415</f>
        <v>22316.719589750901</v>
      </c>
      <c r="AO430" s="55">
        <f ca="1">Проект!AO$412*$B$430*$B415</f>
        <v>22425.347350806598</v>
      </c>
      <c r="AP430" s="55">
        <f ca="1">Проект!AP$412*$B$430*$B415</f>
        <v>22534.503862982034</v>
      </c>
      <c r="AQ430" s="55">
        <f ca="1">Проект!AQ$412*$B$430*$B415</f>
        <v>22644.19170000001</v>
      </c>
      <c r="AR430" s="55">
        <f ca="1">Проект!AR$412*$B$430*$B415</f>
        <v>22754.413448111085</v>
      </c>
      <c r="AS430" s="55">
        <f ca="1">Проект!AS$412*$B$430*$B415</f>
        <v>22865.171706154488</v>
      </c>
      <c r="AT430" s="55">
        <f ca="1">Проект!AT$412*$B$430*$B415</f>
        <v>22976.469085619447</v>
      </c>
      <c r="AU430" s="55">
        <f ca="1">Проект!AU$412*$B$430*$B415</f>
        <v>23088.308210706742</v>
      </c>
      <c r="AV430" s="55">
        <f ca="1">Проект!AV$412*$B$430*$B415</f>
        <v>23200.691718390579</v>
      </c>
      <c r="AW430" s="55">
        <f ca="1">Проект!AW$412*$B$430*$B415</f>
        <v>23313.622258480784</v>
      </c>
      <c r="AX430" s="55">
        <f ca="1">Проект!AX$412*$B$430*$B415</f>
        <v>23427.102493685241</v>
      </c>
      <c r="AY430" s="55">
        <f ca="1">Проект!AY$412*$B$430*$B415</f>
        <v>23541.135099672731</v>
      </c>
      <c r="AZ430" s="55">
        <f ca="1">Проект!AZ$412*$B$430*$B415</f>
        <v>23655.722765135961</v>
      </c>
      <c r="BA430" s="55">
        <f ca="1">Проект!BA$412*$B$430*$B415</f>
        <v>23770.868191855003</v>
      </c>
      <c r="BB430" s="55">
        <f ca="1">Проект!BB$412*$B$430*$B415</f>
        <v>23886.574094760956</v>
      </c>
      <c r="BC430" s="55"/>
      <c r="BD430" s="57">
        <f t="shared" ref="BD430:BD441" ca="1" si="1790">SUM(G430:BC430)</f>
        <v>909754.57511993742</v>
      </c>
    </row>
    <row r="431" spans="1:56" hidden="1" x14ac:dyDescent="0.3">
      <c r="A431" s="5" t="str">
        <f ca="1">Language!A$1155</f>
        <v>Акцизы на проданные товары</v>
      </c>
      <c r="B431" s="109"/>
      <c r="C431" s="48" t="str">
        <f ca="1">Параметры!$C$64</f>
        <v>руб.</v>
      </c>
      <c r="E431" s="6" t="s">
        <v>2372</v>
      </c>
      <c r="F431" s="6" t="s">
        <v>740</v>
      </c>
      <c r="G431" s="55">
        <f ca="1">Проект!G$1291*$B$416</f>
        <v>0</v>
      </c>
      <c r="H431" s="55">
        <f ca="1">Проект!H$1291*$B$416</f>
        <v>0</v>
      </c>
      <c r="I431" s="55">
        <f ca="1">Проект!I$1291*$B$416</f>
        <v>0</v>
      </c>
      <c r="J431" s="55">
        <f ca="1">Проект!J$1291*$B$416</f>
        <v>0</v>
      </c>
      <c r="K431" s="55">
        <f ca="1">Проект!K$1291*$B$416</f>
        <v>0</v>
      </c>
      <c r="L431" s="55">
        <f ca="1">Проект!L$1291*$B$416</f>
        <v>0</v>
      </c>
      <c r="M431" s="55">
        <f ca="1">Проект!M$1291*$B$416</f>
        <v>0</v>
      </c>
      <c r="N431" s="55">
        <f ca="1">Проект!N$1291*$B$416</f>
        <v>0</v>
      </c>
      <c r="O431" s="55">
        <f ca="1">Проект!O$1291*$B$416</f>
        <v>0</v>
      </c>
      <c r="P431" s="55">
        <f ca="1">Проект!P$1291*$B$416</f>
        <v>0</v>
      </c>
      <c r="Q431" s="55">
        <f ca="1">Проект!Q$1291*$B$416</f>
        <v>0</v>
      </c>
      <c r="R431" s="55">
        <f ca="1">Проект!R$1291*$B$416</f>
        <v>0</v>
      </c>
      <c r="S431" s="55">
        <f ca="1">Проект!S$1291*$B$416</f>
        <v>0</v>
      </c>
      <c r="T431" s="55">
        <f ca="1">Проект!T$1291*$B$416</f>
        <v>0</v>
      </c>
      <c r="U431" s="55">
        <f ca="1">Проект!U$1291*$B$416</f>
        <v>0</v>
      </c>
      <c r="V431" s="55">
        <f ca="1">Проект!V$1291*$B$416</f>
        <v>0</v>
      </c>
      <c r="W431" s="55">
        <f ca="1">Проект!W$1291*$B$416</f>
        <v>0</v>
      </c>
      <c r="X431" s="55">
        <f ca="1">Проект!X$1291*$B$416</f>
        <v>0</v>
      </c>
      <c r="Y431" s="55">
        <f ca="1">Проект!Y$1291*$B$416</f>
        <v>0</v>
      </c>
      <c r="Z431" s="55">
        <f ca="1">Проект!Z$1291*$B$416</f>
        <v>0</v>
      </c>
      <c r="AA431" s="55">
        <f ca="1">Проект!AA$1291*$B$416</f>
        <v>0</v>
      </c>
      <c r="AB431" s="55">
        <f ca="1">Проект!AB$1291*$B$416</f>
        <v>0</v>
      </c>
      <c r="AC431" s="55">
        <f ca="1">Проект!AC$1291*$B$416</f>
        <v>0</v>
      </c>
      <c r="AD431" s="55">
        <f ca="1">Проект!AD$1291*$B$416</f>
        <v>0</v>
      </c>
      <c r="AE431" s="55">
        <f ca="1">Проект!AE$1291*$B$416</f>
        <v>0</v>
      </c>
      <c r="AF431" s="55">
        <f ca="1">Проект!AF$1291*$B$416</f>
        <v>0</v>
      </c>
      <c r="AG431" s="55">
        <f ca="1">Проект!AG$1291*$B$416</f>
        <v>0</v>
      </c>
      <c r="AH431" s="55">
        <f ca="1">Проект!AH$1291*$B$416</f>
        <v>0</v>
      </c>
      <c r="AI431" s="55">
        <f ca="1">Проект!AI$1291*$B$416</f>
        <v>0</v>
      </c>
      <c r="AJ431" s="55">
        <f ca="1">Проект!AJ$1291*$B$416</f>
        <v>0</v>
      </c>
      <c r="AK431" s="55">
        <f ca="1">Проект!AK$1291*$B$416</f>
        <v>0</v>
      </c>
      <c r="AL431" s="55">
        <f ca="1">Проект!AL$1291*$B$416</f>
        <v>0</v>
      </c>
      <c r="AM431" s="55">
        <f ca="1">Проект!AM$1291*$B$416</f>
        <v>0</v>
      </c>
      <c r="AN431" s="55">
        <f ca="1">Проект!AN$1291*$B$416</f>
        <v>0</v>
      </c>
      <c r="AO431" s="55">
        <f ca="1">Проект!AO$1291*$B$416</f>
        <v>0</v>
      </c>
      <c r="AP431" s="55">
        <f ca="1">Проект!AP$1291*$B$416</f>
        <v>0</v>
      </c>
      <c r="AQ431" s="55">
        <f ca="1">Проект!AQ$1291*$B$416</f>
        <v>0</v>
      </c>
      <c r="AR431" s="55">
        <f ca="1">Проект!AR$1291*$B$416</f>
        <v>0</v>
      </c>
      <c r="AS431" s="55">
        <f ca="1">Проект!AS$1291*$B$416</f>
        <v>0</v>
      </c>
      <c r="AT431" s="55">
        <f ca="1">Проект!AT$1291*$B$416</f>
        <v>0</v>
      </c>
      <c r="AU431" s="55">
        <f ca="1">Проект!AU$1291*$B$416</f>
        <v>0</v>
      </c>
      <c r="AV431" s="55">
        <f ca="1">Проект!AV$1291*$B$416</f>
        <v>0</v>
      </c>
      <c r="AW431" s="55">
        <f ca="1">Проект!AW$1291*$B$416</f>
        <v>0</v>
      </c>
      <c r="AX431" s="55">
        <f ca="1">Проект!AX$1291*$B$416</f>
        <v>0</v>
      </c>
      <c r="AY431" s="55">
        <f ca="1">Проект!AY$1291*$B$416</f>
        <v>0</v>
      </c>
      <c r="AZ431" s="55">
        <f ca="1">Проект!AZ$1291*$B$416</f>
        <v>0</v>
      </c>
      <c r="BA431" s="55">
        <f ca="1">Проект!BA$1291*$B$416</f>
        <v>0</v>
      </c>
      <c r="BB431" s="55">
        <f ca="1">Проект!BB$1291*$B$416</f>
        <v>0</v>
      </c>
      <c r="BC431" s="55"/>
      <c r="BD431" s="57">
        <f t="shared" ca="1" si="1790"/>
        <v>0</v>
      </c>
    </row>
    <row r="432" spans="1:56" hidden="1" x14ac:dyDescent="0.3">
      <c r="A432" s="5" t="str">
        <f ca="1">Language!A$1156</f>
        <v>Импортная пошлина на сырье и материалы</v>
      </c>
      <c r="B432" s="109"/>
      <c r="C432" s="48" t="str">
        <f ca="1">Параметры!$C$64</f>
        <v>руб.</v>
      </c>
      <c r="E432" s="6" t="s">
        <v>2373</v>
      </c>
      <c r="F432" s="6" t="s">
        <v>740</v>
      </c>
      <c r="G432" s="55">
        <f ca="1">Проект!G$1292*$B$417</f>
        <v>0</v>
      </c>
      <c r="H432" s="55">
        <f ca="1">Проект!H$1292*$B$417</f>
        <v>0</v>
      </c>
      <c r="I432" s="55">
        <f ca="1">Проект!I$1292*$B$417</f>
        <v>0</v>
      </c>
      <c r="J432" s="55">
        <f ca="1">Проект!J$1292*$B$417</f>
        <v>0</v>
      </c>
      <c r="K432" s="55">
        <f ca="1">Проект!K$1292*$B$417</f>
        <v>0</v>
      </c>
      <c r="L432" s="55">
        <f ca="1">Проект!L$1292*$B$417</f>
        <v>0</v>
      </c>
      <c r="M432" s="55">
        <f ca="1">Проект!M$1292*$B$417</f>
        <v>0</v>
      </c>
      <c r="N432" s="55">
        <f ca="1">Проект!N$1292*$B$417</f>
        <v>0</v>
      </c>
      <c r="O432" s="55">
        <f ca="1">Проект!O$1292*$B$417</f>
        <v>0</v>
      </c>
      <c r="P432" s="55">
        <f ca="1">Проект!P$1292*$B$417</f>
        <v>0</v>
      </c>
      <c r="Q432" s="55">
        <f ca="1">Проект!Q$1292*$B$417</f>
        <v>0</v>
      </c>
      <c r="R432" s="55">
        <f ca="1">Проект!R$1292*$B$417</f>
        <v>0</v>
      </c>
      <c r="S432" s="55">
        <f ca="1">Проект!S$1292*$B$417</f>
        <v>0</v>
      </c>
      <c r="T432" s="55">
        <f ca="1">Проект!T$1292*$B$417</f>
        <v>0</v>
      </c>
      <c r="U432" s="55">
        <f ca="1">Проект!U$1292*$B$417</f>
        <v>0</v>
      </c>
      <c r="V432" s="55">
        <f ca="1">Проект!V$1292*$B$417</f>
        <v>0</v>
      </c>
      <c r="W432" s="55">
        <f ca="1">Проект!W$1292*$B$417</f>
        <v>0</v>
      </c>
      <c r="X432" s="55">
        <f ca="1">Проект!X$1292*$B$417</f>
        <v>0</v>
      </c>
      <c r="Y432" s="55">
        <f ca="1">Проект!Y$1292*$B$417</f>
        <v>0</v>
      </c>
      <c r="Z432" s="55">
        <f ca="1">Проект!Z$1292*$B$417</f>
        <v>0</v>
      </c>
      <c r="AA432" s="55">
        <f ca="1">Проект!AA$1292*$B$417</f>
        <v>0</v>
      </c>
      <c r="AB432" s="55">
        <f ca="1">Проект!AB$1292*$B$417</f>
        <v>0</v>
      </c>
      <c r="AC432" s="55">
        <f ca="1">Проект!AC$1292*$B$417</f>
        <v>0</v>
      </c>
      <c r="AD432" s="55">
        <f ca="1">Проект!AD$1292*$B$417</f>
        <v>0</v>
      </c>
      <c r="AE432" s="55">
        <f ca="1">Проект!AE$1292*$B$417</f>
        <v>0</v>
      </c>
      <c r="AF432" s="55">
        <f ca="1">Проект!AF$1292*$B$417</f>
        <v>0</v>
      </c>
      <c r="AG432" s="55">
        <f ca="1">Проект!AG$1292*$B$417</f>
        <v>0</v>
      </c>
      <c r="AH432" s="55">
        <f ca="1">Проект!AH$1292*$B$417</f>
        <v>0</v>
      </c>
      <c r="AI432" s="55">
        <f ca="1">Проект!AI$1292*$B$417</f>
        <v>0</v>
      </c>
      <c r="AJ432" s="55">
        <f ca="1">Проект!AJ$1292*$B$417</f>
        <v>0</v>
      </c>
      <c r="AK432" s="55">
        <f ca="1">Проект!AK$1292*$B$417</f>
        <v>0</v>
      </c>
      <c r="AL432" s="55">
        <f ca="1">Проект!AL$1292*$B$417</f>
        <v>0</v>
      </c>
      <c r="AM432" s="55">
        <f ca="1">Проект!AM$1292*$B$417</f>
        <v>0</v>
      </c>
      <c r="AN432" s="55">
        <f ca="1">Проект!AN$1292*$B$417</f>
        <v>0</v>
      </c>
      <c r="AO432" s="55">
        <f ca="1">Проект!AO$1292*$B$417</f>
        <v>0</v>
      </c>
      <c r="AP432" s="55">
        <f ca="1">Проект!AP$1292*$B$417</f>
        <v>0</v>
      </c>
      <c r="AQ432" s="55">
        <f ca="1">Проект!AQ$1292*$B$417</f>
        <v>0</v>
      </c>
      <c r="AR432" s="55">
        <f ca="1">Проект!AR$1292*$B$417</f>
        <v>0</v>
      </c>
      <c r="AS432" s="55">
        <f ca="1">Проект!AS$1292*$B$417</f>
        <v>0</v>
      </c>
      <c r="AT432" s="55">
        <f ca="1">Проект!AT$1292*$B$417</f>
        <v>0</v>
      </c>
      <c r="AU432" s="55">
        <f ca="1">Проект!AU$1292*$B$417</f>
        <v>0</v>
      </c>
      <c r="AV432" s="55">
        <f ca="1">Проект!AV$1292*$B$417</f>
        <v>0</v>
      </c>
      <c r="AW432" s="55">
        <f ca="1">Проект!AW$1292*$B$417</f>
        <v>0</v>
      </c>
      <c r="AX432" s="55">
        <f ca="1">Проект!AX$1292*$B$417</f>
        <v>0</v>
      </c>
      <c r="AY432" s="55">
        <f ca="1">Проект!AY$1292*$B$417</f>
        <v>0</v>
      </c>
      <c r="AZ432" s="55">
        <f ca="1">Проект!AZ$1292*$B$417</f>
        <v>0</v>
      </c>
      <c r="BA432" s="55">
        <f ca="1">Проект!BA$1292*$B$417</f>
        <v>0</v>
      </c>
      <c r="BB432" s="55">
        <f ca="1">Проект!BB$1292*$B$417</f>
        <v>0</v>
      </c>
      <c r="BC432" s="55"/>
      <c r="BD432" s="57">
        <f t="shared" ca="1" si="1790"/>
        <v>0</v>
      </c>
    </row>
    <row r="433" spans="1:56" hidden="1" x14ac:dyDescent="0.3">
      <c r="A433" s="5" t="str">
        <f ca="1">Language!A$1157</f>
        <v>Импортная пошлина на оборудование</v>
      </c>
      <c r="B433" s="109"/>
      <c r="C433" s="48" t="str">
        <f ca="1">Параметры!$C$64</f>
        <v>руб.</v>
      </c>
      <c r="E433" s="6" t="s">
        <v>2374</v>
      </c>
      <c r="F433" s="6" t="s">
        <v>740</v>
      </c>
      <c r="G433" s="55">
        <f>Проект!G$1293*$B$418</f>
        <v>0</v>
      </c>
      <c r="H433" s="55">
        <f>Проект!H$1293*$B$418</f>
        <v>0</v>
      </c>
      <c r="I433" s="55">
        <f>Проект!I$1293*$B$418</f>
        <v>0</v>
      </c>
      <c r="J433" s="55">
        <f>Проект!J$1293*$B$418</f>
        <v>0</v>
      </c>
      <c r="K433" s="55">
        <f>Проект!K$1293*$B$418</f>
        <v>0</v>
      </c>
      <c r="L433" s="55">
        <f>Проект!L$1293*$B$418</f>
        <v>0</v>
      </c>
      <c r="M433" s="55">
        <f>Проект!M$1293*$B$418</f>
        <v>0</v>
      </c>
      <c r="N433" s="55">
        <f>Проект!N$1293*$B$418</f>
        <v>0</v>
      </c>
      <c r="O433" s="55">
        <f>Проект!O$1293*$B$418</f>
        <v>0</v>
      </c>
      <c r="P433" s="55">
        <f>Проект!P$1293*$B$418</f>
        <v>0</v>
      </c>
      <c r="Q433" s="55">
        <f>Проект!Q$1293*$B$418</f>
        <v>0</v>
      </c>
      <c r="R433" s="55">
        <f>Проект!R$1293*$B$418</f>
        <v>0</v>
      </c>
      <c r="S433" s="55">
        <f>Проект!S$1293*$B$418</f>
        <v>0</v>
      </c>
      <c r="T433" s="55">
        <f>Проект!T$1293*$B$418</f>
        <v>0</v>
      </c>
      <c r="U433" s="55">
        <f>Проект!U$1293*$B$418</f>
        <v>0</v>
      </c>
      <c r="V433" s="55">
        <f>Проект!V$1293*$B$418</f>
        <v>0</v>
      </c>
      <c r="W433" s="55">
        <f>Проект!W$1293*$B$418</f>
        <v>0</v>
      </c>
      <c r="X433" s="55">
        <f>Проект!X$1293*$B$418</f>
        <v>0</v>
      </c>
      <c r="Y433" s="55">
        <f>Проект!Y$1293*$B$418</f>
        <v>0</v>
      </c>
      <c r="Z433" s="55">
        <f>Проект!Z$1293*$B$418</f>
        <v>0</v>
      </c>
      <c r="AA433" s="55">
        <f>Проект!AA$1293*$B$418</f>
        <v>0</v>
      </c>
      <c r="AB433" s="55">
        <f>Проект!AB$1293*$B$418</f>
        <v>0</v>
      </c>
      <c r="AC433" s="55">
        <f>Проект!AC$1293*$B$418</f>
        <v>0</v>
      </c>
      <c r="AD433" s="55">
        <f>Проект!AD$1293*$B$418</f>
        <v>0</v>
      </c>
      <c r="AE433" s="55">
        <f>Проект!AE$1293*$B$418</f>
        <v>0</v>
      </c>
      <c r="AF433" s="55">
        <f>Проект!AF$1293*$B$418</f>
        <v>0</v>
      </c>
      <c r="AG433" s="55">
        <f>Проект!AG$1293*$B$418</f>
        <v>0</v>
      </c>
      <c r="AH433" s="55">
        <f>Проект!AH$1293*$B$418</f>
        <v>0</v>
      </c>
      <c r="AI433" s="55">
        <f>Проект!AI$1293*$B$418</f>
        <v>0</v>
      </c>
      <c r="AJ433" s="55">
        <f>Проект!AJ$1293*$B$418</f>
        <v>0</v>
      </c>
      <c r="AK433" s="55">
        <f>Проект!AK$1293*$B$418</f>
        <v>0</v>
      </c>
      <c r="AL433" s="55">
        <f>Проект!AL$1293*$B$418</f>
        <v>0</v>
      </c>
      <c r="AM433" s="55">
        <f>Проект!AM$1293*$B$418</f>
        <v>0</v>
      </c>
      <c r="AN433" s="55">
        <f>Проект!AN$1293*$B$418</f>
        <v>0</v>
      </c>
      <c r="AO433" s="55">
        <f>Проект!AO$1293*$B$418</f>
        <v>0</v>
      </c>
      <c r="AP433" s="55">
        <f>Проект!AP$1293*$B$418</f>
        <v>0</v>
      </c>
      <c r="AQ433" s="55">
        <f>Проект!AQ$1293*$B$418</f>
        <v>0</v>
      </c>
      <c r="AR433" s="55">
        <f>Проект!AR$1293*$B$418</f>
        <v>0</v>
      </c>
      <c r="AS433" s="55">
        <f>Проект!AS$1293*$B$418</f>
        <v>0</v>
      </c>
      <c r="AT433" s="55">
        <f>Проект!AT$1293*$B$418</f>
        <v>0</v>
      </c>
      <c r="AU433" s="55">
        <f>Проект!AU$1293*$B$418</f>
        <v>0</v>
      </c>
      <c r="AV433" s="55">
        <f>Проект!AV$1293*$B$418</f>
        <v>0</v>
      </c>
      <c r="AW433" s="55">
        <f>Проект!AW$1293*$B$418</f>
        <v>0</v>
      </c>
      <c r="AX433" s="55">
        <f>Проект!AX$1293*$B$418</f>
        <v>0</v>
      </c>
      <c r="AY433" s="55">
        <f>Проект!AY$1293*$B$418</f>
        <v>0</v>
      </c>
      <c r="AZ433" s="55">
        <f>Проект!AZ$1293*$B$418</f>
        <v>0</v>
      </c>
      <c r="BA433" s="55">
        <f>Проект!BA$1293*$B$418</f>
        <v>0</v>
      </c>
      <c r="BB433" s="55">
        <f>Проект!BB$1293*$B$418</f>
        <v>0</v>
      </c>
      <c r="BC433" s="55"/>
      <c r="BD433" s="57">
        <f t="shared" si="1790"/>
        <v>0</v>
      </c>
    </row>
    <row r="434" spans="1:56" hidden="1" x14ac:dyDescent="0.3">
      <c r="A434" s="10" t="str">
        <f ca="1">Language!A$1415</f>
        <v>Налог на добавленную стоимость</v>
      </c>
      <c r="B434" s="78"/>
      <c r="C434" s="48" t="str">
        <f ca="1">Параметры!$C$64</f>
        <v>руб.</v>
      </c>
      <c r="E434" s="6" t="s">
        <v>2375</v>
      </c>
      <c r="F434" s="6" t="s">
        <v>740</v>
      </c>
      <c r="G434" s="55">
        <f ca="1">Проект!G$1297*$B$419</f>
        <v>0</v>
      </c>
      <c r="H434" s="55">
        <f ca="1">Проект!H$1297*$B$419</f>
        <v>0</v>
      </c>
      <c r="I434" s="55">
        <f ca="1">Проект!I$1297*$B$419</f>
        <v>0</v>
      </c>
      <c r="J434" s="55">
        <f ca="1">Проект!J$1297*$B$419</f>
        <v>0</v>
      </c>
      <c r="K434" s="55">
        <f ca="1">Проект!K$1297*$B$419</f>
        <v>0</v>
      </c>
      <c r="L434" s="55">
        <f ca="1">Проект!L$1297*$B$419</f>
        <v>0</v>
      </c>
      <c r="M434" s="55">
        <f ca="1">Проект!M$1297*$B$419</f>
        <v>0</v>
      </c>
      <c r="N434" s="55">
        <f ca="1">Проект!N$1297*$B$419</f>
        <v>0</v>
      </c>
      <c r="O434" s="55">
        <f ca="1">Проект!O$1297*$B$419</f>
        <v>0</v>
      </c>
      <c r="P434" s="55">
        <f ca="1">Проект!P$1297*$B$419</f>
        <v>0</v>
      </c>
      <c r="Q434" s="55">
        <f ca="1">Проект!Q$1297*$B$419</f>
        <v>0</v>
      </c>
      <c r="R434" s="55">
        <f ca="1">Проект!R$1297*$B$419</f>
        <v>0</v>
      </c>
      <c r="S434" s="55">
        <f ca="1">Проект!S$1297*$B$419</f>
        <v>0</v>
      </c>
      <c r="T434" s="55">
        <f ca="1">Проект!T$1297*$B$419</f>
        <v>0</v>
      </c>
      <c r="U434" s="55">
        <f ca="1">Проект!U$1297*$B$419</f>
        <v>0</v>
      </c>
      <c r="V434" s="55">
        <f ca="1">Проект!V$1297*$B$419</f>
        <v>0</v>
      </c>
      <c r="W434" s="55">
        <f ca="1">Проект!W$1297*$B$419</f>
        <v>0</v>
      </c>
      <c r="X434" s="55">
        <f ca="1">Проект!X$1297*$B$419</f>
        <v>0</v>
      </c>
      <c r="Y434" s="55">
        <f ca="1">Проект!Y$1297*$B$419</f>
        <v>0</v>
      </c>
      <c r="Z434" s="55">
        <f ca="1">Проект!Z$1297*$B$419</f>
        <v>0</v>
      </c>
      <c r="AA434" s="55">
        <f ca="1">Проект!AA$1297*$B$419</f>
        <v>0</v>
      </c>
      <c r="AB434" s="55">
        <f ca="1">Проект!AB$1297*$B$419</f>
        <v>0</v>
      </c>
      <c r="AC434" s="55">
        <f ca="1">Проект!AC$1297*$B$419</f>
        <v>0</v>
      </c>
      <c r="AD434" s="55">
        <f ca="1">Проект!AD$1297*$B$419</f>
        <v>0</v>
      </c>
      <c r="AE434" s="55">
        <f ca="1">Проект!AE$1297*$B$419</f>
        <v>0</v>
      </c>
      <c r="AF434" s="55">
        <f ca="1">Проект!AF$1297*$B$419</f>
        <v>0</v>
      </c>
      <c r="AG434" s="55">
        <f ca="1">Проект!AG$1297*$B$419</f>
        <v>0</v>
      </c>
      <c r="AH434" s="55">
        <f ca="1">Проект!AH$1297*$B$419</f>
        <v>0</v>
      </c>
      <c r="AI434" s="55">
        <f ca="1">Проект!AI$1297*$B$419</f>
        <v>0</v>
      </c>
      <c r="AJ434" s="55">
        <f ca="1">Проект!AJ$1297*$B$419</f>
        <v>0</v>
      </c>
      <c r="AK434" s="55">
        <f ca="1">Проект!AK$1297*$B$419</f>
        <v>0</v>
      </c>
      <c r="AL434" s="55">
        <f ca="1">Проект!AL$1297*$B$419</f>
        <v>0</v>
      </c>
      <c r="AM434" s="55">
        <f ca="1">Проект!AM$1297*$B$419</f>
        <v>0</v>
      </c>
      <c r="AN434" s="55">
        <f ca="1">Проект!AN$1297*$B$419</f>
        <v>0</v>
      </c>
      <c r="AO434" s="55">
        <f ca="1">Проект!AO$1297*$B$419</f>
        <v>0</v>
      </c>
      <c r="AP434" s="55">
        <f ca="1">Проект!AP$1297*$B$419</f>
        <v>0</v>
      </c>
      <c r="AQ434" s="55">
        <f ca="1">Проект!AQ$1297*$B$419</f>
        <v>0</v>
      </c>
      <c r="AR434" s="55">
        <f ca="1">Проект!AR$1297*$B$419</f>
        <v>0</v>
      </c>
      <c r="AS434" s="55">
        <f ca="1">Проект!AS$1297*$B$419</f>
        <v>0</v>
      </c>
      <c r="AT434" s="55">
        <f ca="1">Проект!AT$1297*$B$419</f>
        <v>0</v>
      </c>
      <c r="AU434" s="55">
        <f ca="1">Проект!AU$1297*$B$419</f>
        <v>0</v>
      </c>
      <c r="AV434" s="55">
        <f ca="1">Проект!AV$1297*$B$419</f>
        <v>0</v>
      </c>
      <c r="AW434" s="55">
        <f ca="1">Проект!AW$1297*$B$419</f>
        <v>0</v>
      </c>
      <c r="AX434" s="55">
        <f ca="1">Проект!AX$1297*$B$419</f>
        <v>0</v>
      </c>
      <c r="AY434" s="55">
        <f ca="1">Проект!AY$1297*$B$419</f>
        <v>0</v>
      </c>
      <c r="AZ434" s="55">
        <f ca="1">Проект!AZ$1297*$B$419</f>
        <v>0</v>
      </c>
      <c r="BA434" s="55">
        <f ca="1">Проект!BA$1297*$B$419</f>
        <v>0</v>
      </c>
      <c r="BB434" s="55">
        <f ca="1">Проект!BB$1297*$B$419</f>
        <v>0</v>
      </c>
      <c r="BC434" s="55"/>
      <c r="BD434" s="57">
        <f t="shared" ca="1" si="1790"/>
        <v>0</v>
      </c>
    </row>
    <row r="435" spans="1:56" hidden="1" x14ac:dyDescent="0.3">
      <c r="A435" s="10" t="str">
        <f ca="1">Language!A$1416</f>
        <v>Налог на прибыль</v>
      </c>
      <c r="B435" s="78"/>
      <c r="C435" s="48" t="str">
        <f ca="1">Параметры!$C$64</f>
        <v>руб.</v>
      </c>
      <c r="E435" s="6" t="s">
        <v>2376</v>
      </c>
      <c r="F435" s="6" t="s">
        <v>740</v>
      </c>
      <c r="G435" s="55">
        <f ca="1">Проект!G$1327*$B$420</f>
        <v>0</v>
      </c>
      <c r="H435" s="55">
        <f ca="1">Проект!H$1327*$B$420</f>
        <v>0</v>
      </c>
      <c r="I435" s="55">
        <f ca="1">Проект!I$1327*$B$420</f>
        <v>0</v>
      </c>
      <c r="J435" s="55">
        <f ca="1">Проект!J$1327*$B$420</f>
        <v>0</v>
      </c>
      <c r="K435" s="55">
        <f ca="1">Проект!K$1327*$B$420</f>
        <v>0</v>
      </c>
      <c r="L435" s="55">
        <f ca="1">Проект!L$1327*$B$420</f>
        <v>0</v>
      </c>
      <c r="M435" s="55">
        <f ca="1">Проект!M$1327*$B$420</f>
        <v>0</v>
      </c>
      <c r="N435" s="55">
        <f ca="1">Проект!N$1327*$B$420</f>
        <v>0</v>
      </c>
      <c r="O435" s="55">
        <f ca="1">Проект!O$1327*$B$420</f>
        <v>0</v>
      </c>
      <c r="P435" s="55">
        <f ca="1">Проект!P$1327*$B$420</f>
        <v>0</v>
      </c>
      <c r="Q435" s="55">
        <f ca="1">Проект!Q$1327*$B$420</f>
        <v>0</v>
      </c>
      <c r="R435" s="55">
        <f ca="1">Проект!R$1327*$B$420</f>
        <v>0</v>
      </c>
      <c r="S435" s="55">
        <f ca="1">Проект!S$1327*$B$420</f>
        <v>0</v>
      </c>
      <c r="T435" s="55">
        <f ca="1">Проект!T$1327*$B$420</f>
        <v>0</v>
      </c>
      <c r="U435" s="55">
        <f ca="1">Проект!U$1327*$B$420</f>
        <v>0</v>
      </c>
      <c r="V435" s="55">
        <f ca="1">Проект!V$1327*$B$420</f>
        <v>0</v>
      </c>
      <c r="W435" s="55">
        <f ca="1">Проект!W$1327*$B$420</f>
        <v>0</v>
      </c>
      <c r="X435" s="55">
        <f ca="1">Проект!X$1327*$B$420</f>
        <v>0</v>
      </c>
      <c r="Y435" s="55">
        <f ca="1">Проект!Y$1327*$B$420</f>
        <v>0</v>
      </c>
      <c r="Z435" s="55">
        <f ca="1">Проект!Z$1327*$B$420</f>
        <v>0</v>
      </c>
      <c r="AA435" s="55">
        <f ca="1">Проект!AA$1327*$B$420</f>
        <v>0</v>
      </c>
      <c r="AB435" s="55">
        <f ca="1">Проект!AB$1327*$B$420</f>
        <v>0</v>
      </c>
      <c r="AC435" s="55">
        <f ca="1">Проект!AC$1327*$B$420</f>
        <v>0</v>
      </c>
      <c r="AD435" s="55">
        <f ca="1">Проект!AD$1327*$B$420</f>
        <v>0</v>
      </c>
      <c r="AE435" s="55">
        <f ca="1">Проект!AE$1327*$B$420</f>
        <v>0</v>
      </c>
      <c r="AF435" s="55">
        <f ca="1">Проект!AF$1327*$B$420</f>
        <v>0</v>
      </c>
      <c r="AG435" s="55">
        <f ca="1">Проект!AG$1327*$B$420</f>
        <v>0</v>
      </c>
      <c r="AH435" s="55">
        <f ca="1">Проект!AH$1327*$B$420</f>
        <v>0</v>
      </c>
      <c r="AI435" s="55">
        <f ca="1">Проект!AI$1327*$B$420</f>
        <v>0</v>
      </c>
      <c r="AJ435" s="55">
        <f ca="1">Проект!AJ$1327*$B$420</f>
        <v>0</v>
      </c>
      <c r="AK435" s="55">
        <f ca="1">Проект!AK$1327*$B$420</f>
        <v>0</v>
      </c>
      <c r="AL435" s="55">
        <f ca="1">Проект!AL$1327*$B$420</f>
        <v>0</v>
      </c>
      <c r="AM435" s="55">
        <f ca="1">Проект!AM$1327*$B$420</f>
        <v>0</v>
      </c>
      <c r="AN435" s="55">
        <f ca="1">Проект!AN$1327*$B$420</f>
        <v>0</v>
      </c>
      <c r="AO435" s="55">
        <f ca="1">Проект!AO$1327*$B$420</f>
        <v>0</v>
      </c>
      <c r="AP435" s="55">
        <f ca="1">Проект!AP$1327*$B$420</f>
        <v>0</v>
      </c>
      <c r="AQ435" s="55">
        <f ca="1">Проект!AQ$1327*$B$420</f>
        <v>0</v>
      </c>
      <c r="AR435" s="55">
        <f ca="1">Проект!AR$1327*$B$420</f>
        <v>0</v>
      </c>
      <c r="AS435" s="55">
        <f ca="1">Проект!AS$1327*$B$420</f>
        <v>0</v>
      </c>
      <c r="AT435" s="55">
        <f ca="1">Проект!AT$1327*$B$420</f>
        <v>0</v>
      </c>
      <c r="AU435" s="55">
        <f ca="1">Проект!AU$1327*$B$420</f>
        <v>0</v>
      </c>
      <c r="AV435" s="55">
        <f ca="1">Проект!AV$1327*$B$420</f>
        <v>0</v>
      </c>
      <c r="AW435" s="55">
        <f ca="1">Проект!AW$1327*$B$420</f>
        <v>0</v>
      </c>
      <c r="AX435" s="55">
        <f ca="1">Проект!AX$1327*$B$420</f>
        <v>0</v>
      </c>
      <c r="AY435" s="55">
        <f ca="1">Проект!AY$1327*$B$420</f>
        <v>0</v>
      </c>
      <c r="AZ435" s="55">
        <f ca="1">Проект!AZ$1327*$B$420</f>
        <v>0</v>
      </c>
      <c r="BA435" s="55">
        <f ca="1">Проект!BA$1327*$B$420</f>
        <v>0</v>
      </c>
      <c r="BB435" s="55">
        <f ca="1">Проект!BB$1327*$B$420</f>
        <v>0</v>
      </c>
      <c r="BC435" s="55"/>
      <c r="BD435" s="57">
        <f t="shared" ca="1" si="1790"/>
        <v>0</v>
      </c>
    </row>
    <row r="436" spans="1:56" hidden="1" x14ac:dyDescent="0.3">
      <c r="A436" s="10" t="str">
        <f ca="1">Language!A$1417</f>
        <v>Налог на имущество</v>
      </c>
      <c r="B436" s="78"/>
      <c r="C436" s="48" t="str">
        <f ca="1">Параметры!$C$64</f>
        <v>руб.</v>
      </c>
      <c r="E436" s="6" t="s">
        <v>2377</v>
      </c>
      <c r="F436" s="6" t="s">
        <v>740</v>
      </c>
      <c r="G436" s="55">
        <f ca="1">Проект!G$1315*$B$421</f>
        <v>0</v>
      </c>
      <c r="H436" s="55">
        <f ca="1">Проект!H$1315*$B$421</f>
        <v>0</v>
      </c>
      <c r="I436" s="55">
        <f ca="1">Проект!I$1315*$B$421</f>
        <v>0</v>
      </c>
      <c r="J436" s="55">
        <f ca="1">Проект!J$1315*$B$421</f>
        <v>0</v>
      </c>
      <c r="K436" s="55">
        <f ca="1">Проект!K$1315*$B$421</f>
        <v>0</v>
      </c>
      <c r="L436" s="55">
        <f ca="1">Проект!L$1315*$B$421</f>
        <v>0</v>
      </c>
      <c r="M436" s="55">
        <f ca="1">Проект!M$1315*$B$421</f>
        <v>0</v>
      </c>
      <c r="N436" s="55">
        <f ca="1">Проект!N$1315*$B$421</f>
        <v>0</v>
      </c>
      <c r="O436" s="55">
        <f ca="1">Проект!O$1315*$B$421</f>
        <v>0</v>
      </c>
      <c r="P436" s="55">
        <f ca="1">Проект!P$1315*$B$421</f>
        <v>0</v>
      </c>
      <c r="Q436" s="55">
        <f ca="1">Проект!Q$1315*$B$421</f>
        <v>0</v>
      </c>
      <c r="R436" s="55">
        <f ca="1">Проект!R$1315*$B$421</f>
        <v>0</v>
      </c>
      <c r="S436" s="55">
        <f ca="1">Проект!S$1315*$B$421</f>
        <v>0</v>
      </c>
      <c r="T436" s="55">
        <f ca="1">Проект!T$1315*$B$421</f>
        <v>0</v>
      </c>
      <c r="U436" s="55">
        <f ca="1">Проект!U$1315*$B$421</f>
        <v>0</v>
      </c>
      <c r="V436" s="55">
        <f ca="1">Проект!V$1315*$B$421</f>
        <v>0</v>
      </c>
      <c r="W436" s="55">
        <f ca="1">Проект!W$1315*$B$421</f>
        <v>0</v>
      </c>
      <c r="X436" s="55">
        <f ca="1">Проект!X$1315*$B$421</f>
        <v>0</v>
      </c>
      <c r="Y436" s="55">
        <f ca="1">Проект!Y$1315*$B$421</f>
        <v>0</v>
      </c>
      <c r="Z436" s="55">
        <f ca="1">Проект!Z$1315*$B$421</f>
        <v>0</v>
      </c>
      <c r="AA436" s="55">
        <f ca="1">Проект!AA$1315*$B$421</f>
        <v>0</v>
      </c>
      <c r="AB436" s="55">
        <f ca="1">Проект!AB$1315*$B$421</f>
        <v>0</v>
      </c>
      <c r="AC436" s="55">
        <f ca="1">Проект!AC$1315*$B$421</f>
        <v>0</v>
      </c>
      <c r="AD436" s="55">
        <f ca="1">Проект!AD$1315*$B$421</f>
        <v>0</v>
      </c>
      <c r="AE436" s="55">
        <f ca="1">Проект!AE$1315*$B$421</f>
        <v>0</v>
      </c>
      <c r="AF436" s="55">
        <f ca="1">Проект!AF$1315*$B$421</f>
        <v>0</v>
      </c>
      <c r="AG436" s="55">
        <f ca="1">Проект!AG$1315*$B$421</f>
        <v>0</v>
      </c>
      <c r="AH436" s="55">
        <f ca="1">Проект!AH$1315*$B$421</f>
        <v>0</v>
      </c>
      <c r="AI436" s="55">
        <f ca="1">Проект!AI$1315*$B$421</f>
        <v>0</v>
      </c>
      <c r="AJ436" s="55">
        <f ca="1">Проект!AJ$1315*$B$421</f>
        <v>0</v>
      </c>
      <c r="AK436" s="55">
        <f ca="1">Проект!AK$1315*$B$421</f>
        <v>0</v>
      </c>
      <c r="AL436" s="55">
        <f ca="1">Проект!AL$1315*$B$421</f>
        <v>0</v>
      </c>
      <c r="AM436" s="55">
        <f ca="1">Проект!AM$1315*$B$421</f>
        <v>0</v>
      </c>
      <c r="AN436" s="55">
        <f ca="1">Проект!AN$1315*$B$421</f>
        <v>0</v>
      </c>
      <c r="AO436" s="55">
        <f ca="1">Проект!AO$1315*$B$421</f>
        <v>0</v>
      </c>
      <c r="AP436" s="55">
        <f ca="1">Проект!AP$1315*$B$421</f>
        <v>0</v>
      </c>
      <c r="AQ436" s="55">
        <f ca="1">Проект!AQ$1315*$B$421</f>
        <v>0</v>
      </c>
      <c r="AR436" s="55">
        <f ca="1">Проект!AR$1315*$B$421</f>
        <v>0</v>
      </c>
      <c r="AS436" s="55">
        <f ca="1">Проект!AS$1315*$B$421</f>
        <v>0</v>
      </c>
      <c r="AT436" s="55">
        <f ca="1">Проект!AT$1315*$B$421</f>
        <v>0</v>
      </c>
      <c r="AU436" s="55">
        <f ca="1">Проект!AU$1315*$B$421</f>
        <v>0</v>
      </c>
      <c r="AV436" s="55">
        <f ca="1">Проект!AV$1315*$B$421</f>
        <v>0</v>
      </c>
      <c r="AW436" s="55">
        <f ca="1">Проект!AW$1315*$B$421</f>
        <v>0</v>
      </c>
      <c r="AX436" s="55">
        <f ca="1">Проект!AX$1315*$B$421</f>
        <v>0</v>
      </c>
      <c r="AY436" s="55">
        <f ca="1">Проект!AY$1315*$B$421</f>
        <v>0</v>
      </c>
      <c r="AZ436" s="55">
        <f ca="1">Проект!AZ$1315*$B$421</f>
        <v>0</v>
      </c>
      <c r="BA436" s="55">
        <f ca="1">Проект!BA$1315*$B$421</f>
        <v>0</v>
      </c>
      <c r="BB436" s="55">
        <f ca="1">Проект!BB$1315*$B$421</f>
        <v>0</v>
      </c>
      <c r="BC436" s="55"/>
      <c r="BD436" s="57">
        <f t="shared" ca="1" si="1790"/>
        <v>0</v>
      </c>
    </row>
    <row r="437" spans="1:56" hidden="1" x14ac:dyDescent="0.3">
      <c r="A437" s="10" t="str">
        <f ca="1">Language!A$1418</f>
        <v>Социальные взносы</v>
      </c>
      <c r="B437" s="78"/>
      <c r="C437" s="48" t="str">
        <f ca="1">Параметры!$C$64</f>
        <v>руб.</v>
      </c>
      <c r="E437" s="6" t="s">
        <v>2378</v>
      </c>
      <c r="F437" s="6" t="s">
        <v>740</v>
      </c>
      <c r="G437" s="55">
        <f ca="1">Проект!G$1323*$B$422</f>
        <v>0</v>
      </c>
      <c r="H437" s="55">
        <f ca="1">Проект!H$1323*$B$422</f>
        <v>0</v>
      </c>
      <c r="I437" s="55">
        <f ca="1">Проект!I$1323*$B$422</f>
        <v>0</v>
      </c>
      <c r="J437" s="55">
        <f ca="1">Проект!J$1323*$B$422</f>
        <v>0</v>
      </c>
      <c r="K437" s="55">
        <f ca="1">Проект!K$1323*$B$422</f>
        <v>0</v>
      </c>
      <c r="L437" s="55">
        <f ca="1">Проект!L$1323*$B$422</f>
        <v>0</v>
      </c>
      <c r="M437" s="55">
        <f ca="1">Проект!M$1323*$B$422</f>
        <v>0</v>
      </c>
      <c r="N437" s="55">
        <f ca="1">Проект!N$1323*$B$422</f>
        <v>311185.42101133225</v>
      </c>
      <c r="O437" s="55">
        <f ca="1">Проект!O$1323*$B$422</f>
        <v>312700.13178330235</v>
      </c>
      <c r="P437" s="55">
        <f ca="1">Проект!P$1323*$B$422</f>
        <v>314222.21548654704</v>
      </c>
      <c r="Q437" s="55">
        <f ca="1">Проект!Q$1323*$B$422</f>
        <v>315751.70800918189</v>
      </c>
      <c r="R437" s="55">
        <f ca="1">Проект!R$1323*$B$422</f>
        <v>317288.6454140101</v>
      </c>
      <c r="S437" s="55">
        <f ca="1">Проект!S$1323*$B$422</f>
        <v>318833.06393937202</v>
      </c>
      <c r="T437" s="55">
        <f ca="1">Проект!T$1323*$B$422</f>
        <v>320385.00000000017</v>
      </c>
      <c r="U437" s="55">
        <f ca="1">Проект!U$1323*$B$422</f>
        <v>321944.49018787761</v>
      </c>
      <c r="V437" s="55">
        <f ca="1">Проект!V$1323*$B$422</f>
        <v>323511.57127310062</v>
      </c>
      <c r="W437" s="55">
        <f ca="1">Проект!W$1323*$B$422</f>
        <v>325086.28020474606</v>
      </c>
      <c r="X437" s="55">
        <f ca="1">Проект!X$1323*$B$422</f>
        <v>326668.65411174198</v>
      </c>
      <c r="Y437" s="55">
        <f ca="1">Проект!Y$1323*$B$422</f>
        <v>328258.73030374345</v>
      </c>
      <c r="Z437" s="55">
        <f ca="1">Проект!Z$1323*$B$422</f>
        <v>329856.54627201223</v>
      </c>
      <c r="AA437" s="55">
        <f ca="1">Проект!AA$1323*$B$422</f>
        <v>331462.13969030068</v>
      </c>
      <c r="AB437" s="55">
        <f ca="1">Проект!AB$1323*$B$422</f>
        <v>333075.54841573996</v>
      </c>
      <c r="AC437" s="55">
        <f ca="1">Проект!AC$1323*$B$422</f>
        <v>334696.81048973295</v>
      </c>
      <c r="AD437" s="55">
        <f ca="1">Проект!AD$1323*$B$422</f>
        <v>336325.9641388508</v>
      </c>
      <c r="AE437" s="55">
        <f ca="1">Проект!AE$1323*$B$422</f>
        <v>337963.04777573439</v>
      </c>
      <c r="AF437" s="55">
        <f ca="1">Проект!AF$1323*$B$422</f>
        <v>339608.10000000021</v>
      </c>
      <c r="AG437" s="55">
        <f ca="1">Проект!AG$1323*$B$422</f>
        <v>341261.15959915024</v>
      </c>
      <c r="AH437" s="55">
        <f ca="1">Проект!AH$1323*$B$422</f>
        <v>342922.26554948679</v>
      </c>
      <c r="AI437" s="55">
        <f ca="1">Проект!AI$1323*$B$422</f>
        <v>344591.45701703092</v>
      </c>
      <c r="AJ437" s="55">
        <f ca="1">Проект!AJ$1323*$B$422</f>
        <v>346268.77335844649</v>
      </c>
      <c r="AK437" s="55">
        <f ca="1">Проект!AK$1323*$B$422</f>
        <v>347954.25412196812</v>
      </c>
      <c r="AL437" s="55">
        <f ca="1">Проект!AL$1323*$B$422</f>
        <v>349647.93904833298</v>
      </c>
      <c r="AM437" s="55">
        <f ca="1">Проект!AM$1323*$B$422</f>
        <v>351349.86807171867</v>
      </c>
      <c r="AN437" s="55">
        <f ca="1">Проект!AN$1323*$B$422</f>
        <v>353060.0813206844</v>
      </c>
      <c r="AO437" s="55">
        <f ca="1">Проект!AO$1323*$B$422</f>
        <v>354778.61911911698</v>
      </c>
      <c r="AP437" s="55">
        <f ca="1">Проект!AP$1323*$B$422</f>
        <v>356505.52198718186</v>
      </c>
      <c r="AQ437" s="55">
        <f ca="1">Проект!AQ$1323*$B$422</f>
        <v>358240.83064227842</v>
      </c>
      <c r="AR437" s="55">
        <f ca="1">Проект!AR$1323*$B$422</f>
        <v>359984.5860000003</v>
      </c>
      <c r="AS437" s="55">
        <f ca="1">Проект!AS$1323*$B$422</f>
        <v>361736.82917509932</v>
      </c>
      <c r="AT437" s="55">
        <f ca="1">Проект!AT$1323*$B$422</f>
        <v>363497.60148245603</v>
      </c>
      <c r="AU437" s="55">
        <f ca="1">Проект!AU$1323*$B$422</f>
        <v>365266.94443805271</v>
      </c>
      <c r="AV437" s="55">
        <f ca="1">Проект!AV$1323*$B$422</f>
        <v>367044.89975995326</v>
      </c>
      <c r="AW437" s="55">
        <f ca="1">Проект!AW$1323*$B$422</f>
        <v>368831.50936928618</v>
      </c>
      <c r="AX437" s="55">
        <f ca="1">Проект!AX$1323*$B$422</f>
        <v>370626.81539123296</v>
      </c>
      <c r="AY437" s="55">
        <f ca="1">Проект!AY$1323*$B$422</f>
        <v>372430.8601560219</v>
      </c>
      <c r="AZ437" s="55">
        <f ca="1">Проект!AZ$1323*$B$422</f>
        <v>374243.68619992555</v>
      </c>
      <c r="BA437" s="55">
        <f ca="1">Проект!BA$1323*$B$422</f>
        <v>376065.33626626403</v>
      </c>
      <c r="BB437" s="55">
        <f ca="1">Проект!BB$1323*$B$422</f>
        <v>377895.85330641281</v>
      </c>
      <c r="BC437" s="55"/>
      <c r="BD437" s="57">
        <f t="shared" ca="1" si="1790"/>
        <v>14083029.759887431</v>
      </c>
    </row>
    <row r="438" spans="1:56" hidden="1" x14ac:dyDescent="0.3">
      <c r="A438" s="10" t="str">
        <f ca="1">Language!A$1419</f>
        <v>Налог с оборота</v>
      </c>
      <c r="B438" s="78"/>
      <c r="C438" s="48" t="str">
        <f ca="1">Параметры!$C$64</f>
        <v>руб.</v>
      </c>
      <c r="E438" s="6" t="s">
        <v>2379</v>
      </c>
      <c r="F438" s="6" t="s">
        <v>740</v>
      </c>
      <c r="G438" s="55">
        <f ca="1">Проект!G$1341*$B$423</f>
        <v>0</v>
      </c>
      <c r="H438" s="55">
        <f ca="1">Проект!H$1341*$B$423</f>
        <v>0</v>
      </c>
      <c r="I438" s="55">
        <f ca="1">Проект!I$1341*$B$423</f>
        <v>0</v>
      </c>
      <c r="J438" s="55">
        <f ca="1">Проект!J$1341*$B$423</f>
        <v>0</v>
      </c>
      <c r="K438" s="55">
        <f ca="1">Проект!K$1341*$B$423</f>
        <v>0</v>
      </c>
      <c r="L438" s="55">
        <f ca="1">Проект!L$1341*$B$423</f>
        <v>0</v>
      </c>
      <c r="M438" s="55">
        <f ca="1">Проект!M$1341*$B$423</f>
        <v>0</v>
      </c>
      <c r="N438" s="55">
        <f ca="1">Проект!N$1341*$B$423</f>
        <v>0</v>
      </c>
      <c r="O438" s="55">
        <f ca="1">Проект!O$1341*$B$423</f>
        <v>0</v>
      </c>
      <c r="P438" s="55">
        <f ca="1">Проект!P$1341*$B$423</f>
        <v>0</v>
      </c>
      <c r="Q438" s="55">
        <f ca="1">Проект!Q$1341*$B$423</f>
        <v>0</v>
      </c>
      <c r="R438" s="55">
        <f ca="1">Проект!R$1341*$B$423</f>
        <v>0</v>
      </c>
      <c r="S438" s="55">
        <f ca="1">Проект!S$1341*$B$423</f>
        <v>0</v>
      </c>
      <c r="T438" s="55">
        <f ca="1">Проект!T$1341*$B$423</f>
        <v>0</v>
      </c>
      <c r="U438" s="55">
        <f ca="1">Проект!U$1341*$B$423</f>
        <v>0</v>
      </c>
      <c r="V438" s="55">
        <f ca="1">Проект!V$1341*$B$423</f>
        <v>0</v>
      </c>
      <c r="W438" s="55">
        <f ca="1">Проект!W$1341*$B$423</f>
        <v>0</v>
      </c>
      <c r="X438" s="55">
        <f ca="1">Проект!X$1341*$B$423</f>
        <v>0</v>
      </c>
      <c r="Y438" s="55">
        <f ca="1">Проект!Y$1341*$B$423</f>
        <v>0</v>
      </c>
      <c r="Z438" s="55">
        <f ca="1">Проект!Z$1341*$B$423</f>
        <v>0</v>
      </c>
      <c r="AA438" s="55">
        <f ca="1">Проект!AA$1341*$B$423</f>
        <v>0</v>
      </c>
      <c r="AB438" s="55">
        <f ca="1">Проект!AB$1341*$B$423</f>
        <v>0</v>
      </c>
      <c r="AC438" s="55">
        <f ca="1">Проект!AC$1341*$B$423</f>
        <v>0</v>
      </c>
      <c r="AD438" s="55">
        <f ca="1">Проект!AD$1341*$B$423</f>
        <v>0</v>
      </c>
      <c r="AE438" s="55">
        <f ca="1">Проект!AE$1341*$B$423</f>
        <v>0</v>
      </c>
      <c r="AF438" s="55">
        <f ca="1">Проект!AF$1341*$B$423</f>
        <v>0</v>
      </c>
      <c r="AG438" s="55">
        <f ca="1">Проект!AG$1341*$B$423</f>
        <v>0</v>
      </c>
      <c r="AH438" s="55">
        <f ca="1">Проект!AH$1341*$B$423</f>
        <v>0</v>
      </c>
      <c r="AI438" s="55">
        <f ca="1">Проект!AI$1341*$B$423</f>
        <v>0</v>
      </c>
      <c r="AJ438" s="55">
        <f ca="1">Проект!AJ$1341*$B$423</f>
        <v>0</v>
      </c>
      <c r="AK438" s="55">
        <f ca="1">Проект!AK$1341*$B$423</f>
        <v>0</v>
      </c>
      <c r="AL438" s="55">
        <f ca="1">Проект!AL$1341*$B$423</f>
        <v>0</v>
      </c>
      <c r="AM438" s="55">
        <f ca="1">Проект!AM$1341*$B$423</f>
        <v>0</v>
      </c>
      <c r="AN438" s="55">
        <f ca="1">Проект!AN$1341*$B$423</f>
        <v>0</v>
      </c>
      <c r="AO438" s="55">
        <f ca="1">Проект!AO$1341*$B$423</f>
        <v>0</v>
      </c>
      <c r="AP438" s="55">
        <f ca="1">Проект!AP$1341*$B$423</f>
        <v>0</v>
      </c>
      <c r="AQ438" s="55">
        <f ca="1">Проект!AQ$1341*$B$423</f>
        <v>0</v>
      </c>
      <c r="AR438" s="55">
        <f ca="1">Проект!AR$1341*$B$423</f>
        <v>0</v>
      </c>
      <c r="AS438" s="55">
        <f ca="1">Проект!AS$1341*$B$423</f>
        <v>0</v>
      </c>
      <c r="AT438" s="55">
        <f ca="1">Проект!AT$1341*$B$423</f>
        <v>0</v>
      </c>
      <c r="AU438" s="55">
        <f ca="1">Проект!AU$1341*$B$423</f>
        <v>0</v>
      </c>
      <c r="AV438" s="55">
        <f ca="1">Проект!AV$1341*$B$423</f>
        <v>0</v>
      </c>
      <c r="AW438" s="55">
        <f ca="1">Проект!AW$1341*$B$423</f>
        <v>0</v>
      </c>
      <c r="AX438" s="55">
        <f ca="1">Проект!AX$1341*$B$423</f>
        <v>0</v>
      </c>
      <c r="AY438" s="55">
        <f ca="1">Проект!AY$1341*$B$423</f>
        <v>0</v>
      </c>
      <c r="AZ438" s="55">
        <f ca="1">Проект!AZ$1341*$B$423</f>
        <v>0</v>
      </c>
      <c r="BA438" s="55">
        <f ca="1">Проект!BA$1341*$B$423</f>
        <v>0</v>
      </c>
      <c r="BB438" s="55">
        <f ca="1">Проект!BB$1341*$B$423</f>
        <v>0</v>
      </c>
      <c r="BC438" s="55"/>
      <c r="BD438" s="57">
        <f t="shared" ca="1" si="1790"/>
        <v>0</v>
      </c>
    </row>
    <row r="439" spans="1:56" hidden="1" x14ac:dyDescent="0.3">
      <c r="A439" s="10" t="str">
        <f ca="1">Language!A$1420</f>
        <v>Налог с дохода, уменьшенного на расходы</v>
      </c>
      <c r="B439" s="78"/>
      <c r="C439" s="48" t="str">
        <f ca="1">Параметры!$C$64</f>
        <v>руб.</v>
      </c>
      <c r="E439" s="6" t="s">
        <v>2380</v>
      </c>
      <c r="F439" s="6" t="s">
        <v>740</v>
      </c>
      <c r="G439" s="55">
        <f ca="1">Проект!G$1346*$B$424</f>
        <v>0</v>
      </c>
      <c r="H439" s="55">
        <f ca="1">Проект!H$1346*$B$424</f>
        <v>0</v>
      </c>
      <c r="I439" s="55">
        <f ca="1">Проект!I$1346*$B$424</f>
        <v>0</v>
      </c>
      <c r="J439" s="55">
        <f ca="1">Проект!J$1346*$B$424</f>
        <v>0</v>
      </c>
      <c r="K439" s="55">
        <f ca="1">Проект!K$1346*$B$424</f>
        <v>0</v>
      </c>
      <c r="L439" s="55">
        <f ca="1">Проект!L$1346*$B$424</f>
        <v>0</v>
      </c>
      <c r="M439" s="55">
        <f ca="1">Проект!M$1346*$B$424</f>
        <v>0</v>
      </c>
      <c r="N439" s="55">
        <f ca="1">Проект!N$1346*$B$424</f>
        <v>0</v>
      </c>
      <c r="O439" s="55">
        <f ca="1">Проект!O$1346*$B$424</f>
        <v>0</v>
      </c>
      <c r="P439" s="55">
        <f ca="1">Проект!P$1346*$B$424</f>
        <v>0</v>
      </c>
      <c r="Q439" s="55">
        <f ca="1">Проект!Q$1346*$B$424</f>
        <v>0</v>
      </c>
      <c r="R439" s="55">
        <f ca="1">Проект!R$1346*$B$424</f>
        <v>0</v>
      </c>
      <c r="S439" s="55">
        <f ca="1">Проект!S$1346*$B$424</f>
        <v>0</v>
      </c>
      <c r="T439" s="55">
        <f ca="1">Проект!T$1346*$B$424</f>
        <v>0</v>
      </c>
      <c r="U439" s="55">
        <f ca="1">Проект!U$1346*$B$424</f>
        <v>0</v>
      </c>
      <c r="V439" s="55">
        <f ca="1">Проект!V$1346*$B$424</f>
        <v>0</v>
      </c>
      <c r="W439" s="55">
        <f ca="1">Проект!W$1346*$B$424</f>
        <v>0</v>
      </c>
      <c r="X439" s="55">
        <f ca="1">Проект!X$1346*$B$424</f>
        <v>0</v>
      </c>
      <c r="Y439" s="55">
        <f ca="1">Проект!Y$1346*$B$424</f>
        <v>0</v>
      </c>
      <c r="Z439" s="55">
        <f ca="1">Проект!Z$1346*$B$424</f>
        <v>0</v>
      </c>
      <c r="AA439" s="55">
        <f ca="1">Проект!AA$1346*$B$424</f>
        <v>0</v>
      </c>
      <c r="AB439" s="55">
        <f ca="1">Проект!AB$1346*$B$424</f>
        <v>0</v>
      </c>
      <c r="AC439" s="55">
        <f ca="1">Проект!AC$1346*$B$424</f>
        <v>0</v>
      </c>
      <c r="AD439" s="55">
        <f ca="1">Проект!AD$1346*$B$424</f>
        <v>0</v>
      </c>
      <c r="AE439" s="55">
        <f ca="1">Проект!AE$1346*$B$424</f>
        <v>0</v>
      </c>
      <c r="AF439" s="55">
        <f ca="1">Проект!AF$1346*$B$424</f>
        <v>0</v>
      </c>
      <c r="AG439" s="55">
        <f ca="1">Проект!AG$1346*$B$424</f>
        <v>0</v>
      </c>
      <c r="AH439" s="55">
        <f ca="1">Проект!AH$1346*$B$424</f>
        <v>0</v>
      </c>
      <c r="AI439" s="55">
        <f ca="1">Проект!AI$1346*$B$424</f>
        <v>0</v>
      </c>
      <c r="AJ439" s="55">
        <f ca="1">Проект!AJ$1346*$B$424</f>
        <v>0</v>
      </c>
      <c r="AK439" s="55">
        <f ca="1">Проект!AK$1346*$B$424</f>
        <v>0</v>
      </c>
      <c r="AL439" s="55">
        <f ca="1">Проект!AL$1346*$B$424</f>
        <v>0</v>
      </c>
      <c r="AM439" s="55">
        <f ca="1">Проект!AM$1346*$B$424</f>
        <v>0</v>
      </c>
      <c r="AN439" s="55">
        <f ca="1">Проект!AN$1346*$B$424</f>
        <v>0</v>
      </c>
      <c r="AO439" s="55">
        <f ca="1">Проект!AO$1346*$B$424</f>
        <v>0</v>
      </c>
      <c r="AP439" s="55">
        <f ca="1">Проект!AP$1346*$B$424</f>
        <v>0</v>
      </c>
      <c r="AQ439" s="55">
        <f ca="1">Проект!AQ$1346*$B$424</f>
        <v>0</v>
      </c>
      <c r="AR439" s="55">
        <f ca="1">Проект!AR$1346*$B$424</f>
        <v>0</v>
      </c>
      <c r="AS439" s="55">
        <f ca="1">Проект!AS$1346*$B$424</f>
        <v>0</v>
      </c>
      <c r="AT439" s="55">
        <f ca="1">Проект!AT$1346*$B$424</f>
        <v>0</v>
      </c>
      <c r="AU439" s="55">
        <f ca="1">Проект!AU$1346*$B$424</f>
        <v>0</v>
      </c>
      <c r="AV439" s="55">
        <f ca="1">Проект!AV$1346*$B$424</f>
        <v>0</v>
      </c>
      <c r="AW439" s="55">
        <f ca="1">Проект!AW$1346*$B$424</f>
        <v>0</v>
      </c>
      <c r="AX439" s="55">
        <f ca="1">Проект!AX$1346*$B$424</f>
        <v>0</v>
      </c>
      <c r="AY439" s="55">
        <f ca="1">Проект!AY$1346*$B$424</f>
        <v>0</v>
      </c>
      <c r="AZ439" s="55">
        <f ca="1">Проект!AZ$1346*$B$424</f>
        <v>0</v>
      </c>
      <c r="BA439" s="55">
        <f ca="1">Проект!BA$1346*$B$424</f>
        <v>0</v>
      </c>
      <c r="BB439" s="55">
        <f ca="1">Проект!BB$1346*$B$424</f>
        <v>0</v>
      </c>
      <c r="BC439" s="55"/>
      <c r="BD439" s="57">
        <f t="shared" ca="1" si="1790"/>
        <v>0</v>
      </c>
    </row>
    <row r="440" spans="1:56" ht="12" hidden="1" customHeight="1" x14ac:dyDescent="0.3">
      <c r="A440" s="5" t="str">
        <f ca="1">Language!A$1488</f>
        <v>Прочие налоги</v>
      </c>
      <c r="B440" s="109"/>
      <c r="C440" s="48" t="str">
        <f ca="1">Параметры!$C$64</f>
        <v>руб.</v>
      </c>
      <c r="E440" s="6" t="s">
        <v>2381</v>
      </c>
      <c r="F440" s="6" t="s">
        <v>740</v>
      </c>
      <c r="G440" s="55" t="e">
        <f>Проект!#REF!*$B$425</f>
        <v>#REF!</v>
      </c>
      <c r="H440" s="55" t="e">
        <f>Проект!#REF!*$B$425</f>
        <v>#REF!</v>
      </c>
      <c r="I440" s="55" t="e">
        <f>Проект!#REF!*$B$425</f>
        <v>#REF!</v>
      </c>
      <c r="J440" s="55" t="e">
        <f>Проект!#REF!*$B$425</f>
        <v>#REF!</v>
      </c>
      <c r="K440" s="55" t="e">
        <f>Проект!#REF!*$B$425</f>
        <v>#REF!</v>
      </c>
      <c r="L440" s="55" t="e">
        <f>Проект!#REF!*$B$425</f>
        <v>#REF!</v>
      </c>
      <c r="M440" s="55" t="e">
        <f>Проект!#REF!*$B$425</f>
        <v>#REF!</v>
      </c>
      <c r="N440" s="55" t="e">
        <f>Проект!#REF!*$B$425</f>
        <v>#REF!</v>
      </c>
      <c r="O440" s="55" t="e">
        <f>Проект!#REF!*$B$425</f>
        <v>#REF!</v>
      </c>
      <c r="P440" s="55" t="e">
        <f>Проект!#REF!*$B$425</f>
        <v>#REF!</v>
      </c>
      <c r="Q440" s="55" t="e">
        <f>Проект!#REF!*$B$425</f>
        <v>#REF!</v>
      </c>
      <c r="R440" s="55" t="e">
        <f>Проект!#REF!*$B$425</f>
        <v>#REF!</v>
      </c>
      <c r="S440" s="55" t="e">
        <f>Проект!#REF!*$B$425</f>
        <v>#REF!</v>
      </c>
      <c r="T440" s="55" t="e">
        <f>Проект!#REF!*$B$425</f>
        <v>#REF!</v>
      </c>
      <c r="U440" s="55" t="e">
        <f>Проект!#REF!*$B$425</f>
        <v>#REF!</v>
      </c>
      <c r="V440" s="55" t="e">
        <f>Проект!#REF!*$B$425</f>
        <v>#REF!</v>
      </c>
      <c r="W440" s="55" t="e">
        <f>Проект!#REF!*$B$425</f>
        <v>#REF!</v>
      </c>
      <c r="X440" s="55" t="e">
        <f>Проект!#REF!*$B$425</f>
        <v>#REF!</v>
      </c>
      <c r="Y440" s="55" t="e">
        <f>Проект!#REF!*$B$425</f>
        <v>#REF!</v>
      </c>
      <c r="Z440" s="55" t="e">
        <f>Проект!#REF!*$B$425</f>
        <v>#REF!</v>
      </c>
      <c r="AA440" s="55" t="e">
        <f>Проект!#REF!*$B$425</f>
        <v>#REF!</v>
      </c>
      <c r="AB440" s="55" t="e">
        <f>Проект!#REF!*$B$425</f>
        <v>#REF!</v>
      </c>
      <c r="AC440" s="55" t="e">
        <f>Проект!#REF!*$B$425</f>
        <v>#REF!</v>
      </c>
      <c r="AD440" s="55" t="e">
        <f>Проект!#REF!*$B$425</f>
        <v>#REF!</v>
      </c>
      <c r="AE440" s="55" t="e">
        <f>Проект!#REF!*$B$425</f>
        <v>#REF!</v>
      </c>
      <c r="AF440" s="55" t="e">
        <f>Проект!#REF!*$B$425</f>
        <v>#REF!</v>
      </c>
      <c r="AG440" s="55" t="e">
        <f>Проект!#REF!*$B$425</f>
        <v>#REF!</v>
      </c>
      <c r="AH440" s="55" t="e">
        <f>Проект!#REF!*$B$425</f>
        <v>#REF!</v>
      </c>
      <c r="AI440" s="55" t="e">
        <f>Проект!#REF!*$B$425</f>
        <v>#REF!</v>
      </c>
      <c r="AJ440" s="55" t="e">
        <f>Проект!#REF!*$B$425</f>
        <v>#REF!</v>
      </c>
      <c r="AK440" s="55" t="e">
        <f>Проект!#REF!*$B$425</f>
        <v>#REF!</v>
      </c>
      <c r="AL440" s="55" t="e">
        <f>Проект!#REF!*$B$425</f>
        <v>#REF!</v>
      </c>
      <c r="AM440" s="55" t="e">
        <f>Проект!#REF!*$B$425</f>
        <v>#REF!</v>
      </c>
      <c r="AN440" s="55" t="e">
        <f>Проект!#REF!*$B$425</f>
        <v>#REF!</v>
      </c>
      <c r="AO440" s="55" t="e">
        <f>Проект!#REF!*$B$425</f>
        <v>#REF!</v>
      </c>
      <c r="AP440" s="55" t="e">
        <f>Проект!#REF!*$B$425</f>
        <v>#REF!</v>
      </c>
      <c r="AQ440" s="55" t="e">
        <f>Проект!#REF!*$B$425</f>
        <v>#REF!</v>
      </c>
      <c r="AR440" s="55" t="e">
        <f>Проект!#REF!*$B$425</f>
        <v>#REF!</v>
      </c>
      <c r="AS440" s="55" t="e">
        <f>Проект!#REF!*$B$425</f>
        <v>#REF!</v>
      </c>
      <c r="AT440" s="55" t="e">
        <f>Проект!#REF!*$B$425</f>
        <v>#REF!</v>
      </c>
      <c r="AU440" s="55" t="e">
        <f>Проект!#REF!*$B$425</f>
        <v>#REF!</v>
      </c>
      <c r="AV440" s="55" t="e">
        <f>Проект!#REF!*$B$425</f>
        <v>#REF!</v>
      </c>
      <c r="AW440" s="55" t="e">
        <f>Проект!#REF!*$B$425</f>
        <v>#REF!</v>
      </c>
      <c r="AX440" s="55" t="e">
        <f>Проект!#REF!*$B$425</f>
        <v>#REF!</v>
      </c>
      <c r="AY440" s="55" t="e">
        <f>Проект!#REF!*$B$425</f>
        <v>#REF!</v>
      </c>
      <c r="AZ440" s="55" t="e">
        <f>Проект!#REF!*$B$425</f>
        <v>#REF!</v>
      </c>
      <c r="BA440" s="55" t="e">
        <f>Проект!#REF!*$B$425</f>
        <v>#REF!</v>
      </c>
      <c r="BB440" s="55" t="e">
        <f>Проект!#REF!*$B$425</f>
        <v>#REF!</v>
      </c>
      <c r="BC440" s="55"/>
      <c r="BD440" s="57" t="e">
        <f t="shared" si="1790"/>
        <v>#REF!</v>
      </c>
    </row>
    <row r="441" spans="1:56" hidden="1" x14ac:dyDescent="0.3">
      <c r="A441" s="10" t="str">
        <f ca="1">Language!A$1421</f>
        <v>Суммарные налоговые и социальные выплаты</v>
      </c>
      <c r="C441" s="48" t="str">
        <f ca="1">Параметры!$C$64</f>
        <v>руб.</v>
      </c>
      <c r="E441" s="6" t="s">
        <v>2382</v>
      </c>
      <c r="F441" s="6" t="s">
        <v>740</v>
      </c>
      <c r="G441" s="55" t="e">
        <f ca="1">SUM(G430:G440)</f>
        <v>#REF!</v>
      </c>
      <c r="H441" s="55" t="e">
        <f t="shared" ref="H441:M441" ca="1" si="1791">SUM(H430:H440)</f>
        <v>#REF!</v>
      </c>
      <c r="I441" s="55" t="e">
        <f t="shared" ca="1" si="1791"/>
        <v>#REF!</v>
      </c>
      <c r="J441" s="55" t="e">
        <f t="shared" ca="1" si="1791"/>
        <v>#REF!</v>
      </c>
      <c r="K441" s="55" t="e">
        <f t="shared" ca="1" si="1791"/>
        <v>#REF!</v>
      </c>
      <c r="L441" s="55" t="e">
        <f t="shared" ca="1" si="1791"/>
        <v>#REF!</v>
      </c>
      <c r="M441" s="55" t="e">
        <f t="shared" ca="1" si="1791"/>
        <v>#REF!</v>
      </c>
      <c r="N441" s="55" t="e">
        <f t="shared" ref="N441:O441" ca="1" si="1792">SUM(N430:N440)</f>
        <v>#REF!</v>
      </c>
      <c r="O441" s="55" t="e">
        <f t="shared" ca="1" si="1792"/>
        <v>#REF!</v>
      </c>
      <c r="P441" s="55" t="e">
        <f t="shared" ref="P441:Q441" ca="1" si="1793">SUM(P430:P440)</f>
        <v>#REF!</v>
      </c>
      <c r="Q441" s="55" t="e">
        <f t="shared" ca="1" si="1793"/>
        <v>#REF!</v>
      </c>
      <c r="R441" s="55" t="e">
        <f t="shared" ref="R441:S441" ca="1" si="1794">SUM(R430:R440)</f>
        <v>#REF!</v>
      </c>
      <c r="S441" s="55" t="e">
        <f t="shared" ca="1" si="1794"/>
        <v>#REF!</v>
      </c>
      <c r="T441" s="55" t="e">
        <f t="shared" ref="T441:U441" ca="1" si="1795">SUM(T430:T440)</f>
        <v>#REF!</v>
      </c>
      <c r="U441" s="55" t="e">
        <f t="shared" ca="1" si="1795"/>
        <v>#REF!</v>
      </c>
      <c r="V441" s="55" t="e">
        <f t="shared" ref="V441:W441" ca="1" si="1796">SUM(V430:V440)</f>
        <v>#REF!</v>
      </c>
      <c r="W441" s="55" t="e">
        <f t="shared" ca="1" si="1796"/>
        <v>#REF!</v>
      </c>
      <c r="X441" s="55" t="e">
        <f t="shared" ref="X441:Y441" ca="1" si="1797">SUM(X430:X440)</f>
        <v>#REF!</v>
      </c>
      <c r="Y441" s="55" t="e">
        <f t="shared" ca="1" si="1797"/>
        <v>#REF!</v>
      </c>
      <c r="Z441" s="55" t="e">
        <f t="shared" ref="Z441:AA441" ca="1" si="1798">SUM(Z430:Z440)</f>
        <v>#REF!</v>
      </c>
      <c r="AA441" s="55" t="e">
        <f t="shared" ca="1" si="1798"/>
        <v>#REF!</v>
      </c>
      <c r="AB441" s="55" t="e">
        <f t="shared" ref="AB441:AC441" ca="1" si="1799">SUM(AB430:AB440)</f>
        <v>#REF!</v>
      </c>
      <c r="AC441" s="55" t="e">
        <f t="shared" ca="1" si="1799"/>
        <v>#REF!</v>
      </c>
      <c r="AD441" s="55" t="e">
        <f t="shared" ref="AD441:AE441" ca="1" si="1800">SUM(AD430:AD440)</f>
        <v>#REF!</v>
      </c>
      <c r="AE441" s="55" t="e">
        <f t="shared" ca="1" si="1800"/>
        <v>#REF!</v>
      </c>
      <c r="AF441" s="55" t="e">
        <f t="shared" ref="AF441:AG441" ca="1" si="1801">SUM(AF430:AF440)</f>
        <v>#REF!</v>
      </c>
      <c r="AG441" s="55" t="e">
        <f t="shared" ca="1" si="1801"/>
        <v>#REF!</v>
      </c>
      <c r="AH441" s="55" t="e">
        <f t="shared" ref="AH441:AI441" ca="1" si="1802">SUM(AH430:AH440)</f>
        <v>#REF!</v>
      </c>
      <c r="AI441" s="55" t="e">
        <f t="shared" ca="1" si="1802"/>
        <v>#REF!</v>
      </c>
      <c r="AJ441" s="55" t="e">
        <f t="shared" ref="AJ441:AK441" ca="1" si="1803">SUM(AJ430:AJ440)</f>
        <v>#REF!</v>
      </c>
      <c r="AK441" s="55" t="e">
        <f t="shared" ca="1" si="1803"/>
        <v>#REF!</v>
      </c>
      <c r="AL441" s="55" t="e">
        <f t="shared" ref="AL441:AM441" ca="1" si="1804">SUM(AL430:AL440)</f>
        <v>#REF!</v>
      </c>
      <c r="AM441" s="55" t="e">
        <f t="shared" ca="1" si="1804"/>
        <v>#REF!</v>
      </c>
      <c r="AN441" s="55" t="e">
        <f t="shared" ref="AN441:AO441" ca="1" si="1805">SUM(AN430:AN440)</f>
        <v>#REF!</v>
      </c>
      <c r="AO441" s="55" t="e">
        <f t="shared" ca="1" si="1805"/>
        <v>#REF!</v>
      </c>
      <c r="AP441" s="55" t="e">
        <f t="shared" ref="AP441:AQ441" ca="1" si="1806">SUM(AP430:AP440)</f>
        <v>#REF!</v>
      </c>
      <c r="AQ441" s="55" t="e">
        <f t="shared" ca="1" si="1806"/>
        <v>#REF!</v>
      </c>
      <c r="AR441" s="55" t="e">
        <f t="shared" ref="AR441:AS441" ca="1" si="1807">SUM(AR430:AR440)</f>
        <v>#REF!</v>
      </c>
      <c r="AS441" s="55" t="e">
        <f t="shared" ca="1" si="1807"/>
        <v>#REF!</v>
      </c>
      <c r="AT441" s="55" t="e">
        <f t="shared" ref="AT441:AU441" ca="1" si="1808">SUM(AT430:AT440)</f>
        <v>#REF!</v>
      </c>
      <c r="AU441" s="55" t="e">
        <f t="shared" ca="1" si="1808"/>
        <v>#REF!</v>
      </c>
      <c r="AV441" s="55" t="e">
        <f t="shared" ref="AV441:AW441" ca="1" si="1809">SUM(AV430:AV440)</f>
        <v>#REF!</v>
      </c>
      <c r="AW441" s="55" t="e">
        <f t="shared" ca="1" si="1809"/>
        <v>#REF!</v>
      </c>
      <c r="AX441" s="55" t="e">
        <f t="shared" ref="AX441:AY441" ca="1" si="1810">SUM(AX430:AX440)</f>
        <v>#REF!</v>
      </c>
      <c r="AY441" s="55" t="e">
        <f t="shared" ca="1" si="1810"/>
        <v>#REF!</v>
      </c>
      <c r="AZ441" s="55" t="e">
        <f t="shared" ref="AZ441:BA441" ca="1" si="1811">SUM(AZ430:AZ440)</f>
        <v>#REF!</v>
      </c>
      <c r="BA441" s="55" t="e">
        <f t="shared" ca="1" si="1811"/>
        <v>#REF!</v>
      </c>
      <c r="BB441" s="55" t="e">
        <f t="shared" ref="BB441" ca="1" si="1812">SUM(BB430:BB440)</f>
        <v>#REF!</v>
      </c>
      <c r="BC441" s="55"/>
      <c r="BD441" s="57" t="e">
        <f t="shared" ca="1" si="1790"/>
        <v>#REF!</v>
      </c>
    </row>
    <row r="442" spans="1:56" hidden="1" x14ac:dyDescent="0.3">
      <c r="A442" s="10"/>
      <c r="G442" s="55"/>
      <c r="H442" s="55"/>
      <c r="I442" s="55"/>
      <c r="J442" s="55"/>
      <c r="K442" s="55"/>
      <c r="L442" s="55"/>
      <c r="M442" s="55"/>
      <c r="N442" s="55"/>
      <c r="O442" s="55"/>
      <c r="P442" s="55"/>
      <c r="Q442" s="55"/>
      <c r="R442" s="55"/>
      <c r="S442" s="55"/>
      <c r="T442" s="55"/>
      <c r="U442" s="55"/>
      <c r="V442" s="55"/>
      <c r="W442" s="55"/>
      <c r="X442" s="55"/>
      <c r="Y442" s="55"/>
      <c r="Z442" s="55"/>
      <c r="AA442" s="55"/>
      <c r="AB442" s="55"/>
      <c r="AC442" s="55"/>
      <c r="AD442" s="55"/>
      <c r="AE442" s="55"/>
      <c r="AF442" s="55"/>
      <c r="AG442" s="55"/>
      <c r="AH442" s="55"/>
      <c r="AI442" s="55"/>
      <c r="AJ442" s="55"/>
      <c r="AK442" s="55"/>
      <c r="AL442" s="55"/>
      <c r="AM442" s="55"/>
      <c r="AN442" s="55"/>
      <c r="AO442" s="55"/>
      <c r="AP442" s="55"/>
      <c r="AQ442" s="55"/>
      <c r="AR442" s="55"/>
      <c r="AS442" s="55"/>
      <c r="AT442" s="55"/>
      <c r="AU442" s="55"/>
      <c r="AV442" s="55"/>
      <c r="AW442" s="55"/>
      <c r="AX442" s="55"/>
      <c r="AY442" s="55"/>
      <c r="AZ442" s="55"/>
      <c r="BA442" s="55"/>
      <c r="BB442" s="55"/>
      <c r="BC442" s="55"/>
      <c r="BD442" s="55"/>
    </row>
    <row r="443" spans="1:56" hidden="1" x14ac:dyDescent="0.3">
      <c r="A443" s="22" t="str">
        <f ca="1">Language!A$1422</f>
        <v>Бюджетное финансирование</v>
      </c>
      <c r="G443" s="55"/>
      <c r="H443" s="55"/>
      <c r="I443" s="55"/>
      <c r="J443" s="55"/>
      <c r="K443" s="55"/>
      <c r="L443" s="55"/>
      <c r="M443" s="55"/>
      <c r="N443" s="55"/>
      <c r="O443" s="55"/>
      <c r="P443" s="55"/>
      <c r="Q443" s="55"/>
      <c r="R443" s="55"/>
      <c r="S443" s="55"/>
      <c r="T443" s="55"/>
      <c r="U443" s="55"/>
      <c r="V443" s="55"/>
      <c r="W443" s="55"/>
      <c r="X443" s="55"/>
      <c r="Y443" s="55"/>
      <c r="Z443" s="55"/>
      <c r="AA443" s="55"/>
      <c r="AB443" s="55"/>
      <c r="AC443" s="55"/>
      <c r="AD443" s="55"/>
      <c r="AE443" s="55"/>
      <c r="AF443" s="55"/>
      <c r="AG443" s="55"/>
      <c r="AH443" s="55"/>
      <c r="AI443" s="55"/>
      <c r="AJ443" s="55"/>
      <c r="AK443" s="55"/>
      <c r="AL443" s="55"/>
      <c r="AM443" s="55"/>
      <c r="AN443" s="55"/>
      <c r="AO443" s="55"/>
      <c r="AP443" s="55"/>
      <c r="AQ443" s="55"/>
      <c r="AR443" s="55"/>
      <c r="AS443" s="55"/>
      <c r="AT443" s="55"/>
      <c r="AU443" s="55"/>
      <c r="AV443" s="55"/>
      <c r="AW443" s="55"/>
      <c r="AX443" s="55"/>
      <c r="AY443" s="55"/>
      <c r="AZ443" s="55"/>
      <c r="BA443" s="55"/>
      <c r="BB443" s="55"/>
      <c r="BC443" s="55"/>
      <c r="BD443" s="55"/>
    </row>
    <row r="444" spans="1:56" hidden="1" x14ac:dyDescent="0.3">
      <c r="A444" s="10" t="str">
        <f ca="1">Language!A$1423</f>
        <v>Поступление бюджетного финансирования в проект</v>
      </c>
      <c r="C444" s="48" t="str">
        <f ca="1">Параметры!$C$64</f>
        <v>руб.</v>
      </c>
      <c r="E444" s="6" t="s">
        <v>2383</v>
      </c>
      <c r="F444" s="6" t="s">
        <v>740</v>
      </c>
      <c r="G444" s="276">
        <v>0</v>
      </c>
      <c r="H444" s="276">
        <v>0</v>
      </c>
      <c r="I444" s="276">
        <v>0</v>
      </c>
      <c r="J444" s="276">
        <v>0</v>
      </c>
      <c r="K444" s="276">
        <v>0</v>
      </c>
      <c r="L444" s="276">
        <v>0</v>
      </c>
      <c r="M444" s="276">
        <v>0</v>
      </c>
      <c r="N444" s="276">
        <v>0</v>
      </c>
      <c r="O444" s="276">
        <v>0</v>
      </c>
      <c r="P444" s="276">
        <v>0</v>
      </c>
      <c r="Q444" s="276">
        <v>0</v>
      </c>
      <c r="R444" s="276">
        <v>0</v>
      </c>
      <c r="S444" s="276">
        <v>0</v>
      </c>
      <c r="T444" s="276">
        <v>0</v>
      </c>
      <c r="U444" s="276">
        <v>0</v>
      </c>
      <c r="V444" s="276">
        <v>0</v>
      </c>
      <c r="W444" s="276">
        <v>0</v>
      </c>
      <c r="X444" s="276">
        <v>0</v>
      </c>
      <c r="Y444" s="276">
        <v>0</v>
      </c>
      <c r="Z444" s="276">
        <v>0</v>
      </c>
      <c r="AA444" s="276">
        <v>0</v>
      </c>
      <c r="AB444" s="276">
        <v>0</v>
      </c>
      <c r="AC444" s="276">
        <v>0</v>
      </c>
      <c r="AD444" s="276">
        <v>0</v>
      </c>
      <c r="AE444" s="276">
        <v>0</v>
      </c>
      <c r="AF444" s="276">
        <v>0</v>
      </c>
      <c r="AG444" s="276">
        <v>0</v>
      </c>
      <c r="AH444" s="276">
        <v>0</v>
      </c>
      <c r="AI444" s="276">
        <v>0</v>
      </c>
      <c r="AJ444" s="276">
        <v>0</v>
      </c>
      <c r="AK444" s="276">
        <v>0</v>
      </c>
      <c r="AL444" s="276">
        <v>0</v>
      </c>
      <c r="AM444" s="276">
        <v>0</v>
      </c>
      <c r="AN444" s="276">
        <v>0</v>
      </c>
      <c r="AO444" s="276">
        <v>0</v>
      </c>
      <c r="AP444" s="276">
        <v>0</v>
      </c>
      <c r="AQ444" s="276">
        <v>0</v>
      </c>
      <c r="AR444" s="276">
        <v>0</v>
      </c>
      <c r="AS444" s="276">
        <v>0</v>
      </c>
      <c r="AT444" s="276">
        <v>0</v>
      </c>
      <c r="AU444" s="276">
        <v>0</v>
      </c>
      <c r="AV444" s="276">
        <v>0</v>
      </c>
      <c r="AW444" s="276">
        <v>0</v>
      </c>
      <c r="AX444" s="276">
        <v>0</v>
      </c>
      <c r="AY444" s="276">
        <v>0</v>
      </c>
      <c r="AZ444" s="276">
        <v>0</v>
      </c>
      <c r="BA444" s="276">
        <v>0</v>
      </c>
      <c r="BB444" s="276">
        <v>0</v>
      </c>
      <c r="BC444" s="55"/>
      <c r="BD444" s="57">
        <f>SUM(G444:BC444)</f>
        <v>0</v>
      </c>
    </row>
    <row r="445" spans="1:56" hidden="1" x14ac:dyDescent="0.3">
      <c r="A445" s="10" t="str">
        <f ca="1">Language!A$1424</f>
        <v>Возврат бюджетного финансирования</v>
      </c>
      <c r="C445" s="48" t="str">
        <f ca="1">Параметры!$C$64</f>
        <v>руб.</v>
      </c>
      <c r="E445" s="6" t="s">
        <v>2384</v>
      </c>
      <c r="F445" s="6" t="s">
        <v>740</v>
      </c>
      <c r="G445" s="276">
        <v>0</v>
      </c>
      <c r="H445" s="276">
        <v>0</v>
      </c>
      <c r="I445" s="276">
        <v>0</v>
      </c>
      <c r="J445" s="276">
        <v>0</v>
      </c>
      <c r="K445" s="276">
        <v>0</v>
      </c>
      <c r="L445" s="276">
        <v>0</v>
      </c>
      <c r="M445" s="276">
        <v>0</v>
      </c>
      <c r="N445" s="276">
        <v>0</v>
      </c>
      <c r="O445" s="276">
        <v>0</v>
      </c>
      <c r="P445" s="276">
        <v>0</v>
      </c>
      <c r="Q445" s="276">
        <v>0</v>
      </c>
      <c r="R445" s="276">
        <v>0</v>
      </c>
      <c r="S445" s="276">
        <v>0</v>
      </c>
      <c r="T445" s="276">
        <v>0</v>
      </c>
      <c r="U445" s="276">
        <v>0</v>
      </c>
      <c r="V445" s="276">
        <v>0</v>
      </c>
      <c r="W445" s="276">
        <v>0</v>
      </c>
      <c r="X445" s="276">
        <v>0</v>
      </c>
      <c r="Y445" s="276">
        <v>0</v>
      </c>
      <c r="Z445" s="276">
        <v>0</v>
      </c>
      <c r="AA445" s="276">
        <v>0</v>
      </c>
      <c r="AB445" s="276">
        <v>0</v>
      </c>
      <c r="AC445" s="276">
        <v>0</v>
      </c>
      <c r="AD445" s="276">
        <v>0</v>
      </c>
      <c r="AE445" s="276">
        <v>0</v>
      </c>
      <c r="AF445" s="276">
        <v>0</v>
      </c>
      <c r="AG445" s="276">
        <v>0</v>
      </c>
      <c r="AH445" s="276">
        <v>0</v>
      </c>
      <c r="AI445" s="276">
        <v>0</v>
      </c>
      <c r="AJ445" s="276">
        <v>0</v>
      </c>
      <c r="AK445" s="276">
        <v>0</v>
      </c>
      <c r="AL445" s="276">
        <v>0</v>
      </c>
      <c r="AM445" s="276">
        <v>0</v>
      </c>
      <c r="AN445" s="276">
        <v>0</v>
      </c>
      <c r="AO445" s="276">
        <v>0</v>
      </c>
      <c r="AP445" s="276">
        <v>0</v>
      </c>
      <c r="AQ445" s="276">
        <v>0</v>
      </c>
      <c r="AR445" s="276">
        <v>0</v>
      </c>
      <c r="AS445" s="276">
        <v>0</v>
      </c>
      <c r="AT445" s="276">
        <v>0</v>
      </c>
      <c r="AU445" s="276">
        <v>0</v>
      </c>
      <c r="AV445" s="276">
        <v>0</v>
      </c>
      <c r="AW445" s="276">
        <v>0</v>
      </c>
      <c r="AX445" s="276">
        <v>0</v>
      </c>
      <c r="AY445" s="276">
        <v>0</v>
      </c>
      <c r="AZ445" s="276">
        <v>0</v>
      </c>
      <c r="BA445" s="276">
        <v>0</v>
      </c>
      <c r="BB445" s="276">
        <v>0</v>
      </c>
      <c r="BC445" s="55"/>
      <c r="BD445" s="57">
        <f>SUM(G445:BC445)</f>
        <v>0</v>
      </c>
    </row>
    <row r="446" spans="1:56" hidden="1" x14ac:dyDescent="0.3">
      <c r="A446" s="10" t="str">
        <f ca="1">Language!A$1425</f>
        <v>Платежи за использование бюджетного финансирования</v>
      </c>
      <c r="C446" s="48" t="str">
        <f ca="1">Параметры!$C$64</f>
        <v>руб.</v>
      </c>
      <c r="E446" s="6" t="s">
        <v>2385</v>
      </c>
      <c r="F446" s="6" t="s">
        <v>740</v>
      </c>
      <c r="G446" s="276">
        <v>0</v>
      </c>
      <c r="H446" s="276">
        <v>0</v>
      </c>
      <c r="I446" s="276">
        <v>0</v>
      </c>
      <c r="J446" s="276">
        <v>0</v>
      </c>
      <c r="K446" s="276">
        <v>0</v>
      </c>
      <c r="L446" s="276">
        <v>0</v>
      </c>
      <c r="M446" s="276">
        <v>0</v>
      </c>
      <c r="N446" s="276">
        <v>0</v>
      </c>
      <c r="O446" s="276">
        <v>0</v>
      </c>
      <c r="P446" s="276">
        <v>0</v>
      </c>
      <c r="Q446" s="276">
        <v>0</v>
      </c>
      <c r="R446" s="276">
        <v>0</v>
      </c>
      <c r="S446" s="276">
        <v>0</v>
      </c>
      <c r="T446" s="276">
        <v>0</v>
      </c>
      <c r="U446" s="276">
        <v>0</v>
      </c>
      <c r="V446" s="276">
        <v>0</v>
      </c>
      <c r="W446" s="276">
        <v>0</v>
      </c>
      <c r="X446" s="276">
        <v>0</v>
      </c>
      <c r="Y446" s="276">
        <v>0</v>
      </c>
      <c r="Z446" s="276">
        <v>0</v>
      </c>
      <c r="AA446" s="276">
        <v>0</v>
      </c>
      <c r="AB446" s="276">
        <v>0</v>
      </c>
      <c r="AC446" s="276">
        <v>0</v>
      </c>
      <c r="AD446" s="276">
        <v>0</v>
      </c>
      <c r="AE446" s="276">
        <v>0</v>
      </c>
      <c r="AF446" s="276">
        <v>0</v>
      </c>
      <c r="AG446" s="276">
        <v>0</v>
      </c>
      <c r="AH446" s="276">
        <v>0</v>
      </c>
      <c r="AI446" s="276">
        <v>0</v>
      </c>
      <c r="AJ446" s="276">
        <v>0</v>
      </c>
      <c r="AK446" s="276">
        <v>0</v>
      </c>
      <c r="AL446" s="276">
        <v>0</v>
      </c>
      <c r="AM446" s="276">
        <v>0</v>
      </c>
      <c r="AN446" s="276">
        <v>0</v>
      </c>
      <c r="AO446" s="276">
        <v>0</v>
      </c>
      <c r="AP446" s="276">
        <v>0</v>
      </c>
      <c r="AQ446" s="276">
        <v>0</v>
      </c>
      <c r="AR446" s="276">
        <v>0</v>
      </c>
      <c r="AS446" s="276">
        <v>0</v>
      </c>
      <c r="AT446" s="276">
        <v>0</v>
      </c>
      <c r="AU446" s="276">
        <v>0</v>
      </c>
      <c r="AV446" s="276">
        <v>0</v>
      </c>
      <c r="AW446" s="276">
        <v>0</v>
      </c>
      <c r="AX446" s="276">
        <v>0</v>
      </c>
      <c r="AY446" s="276">
        <v>0</v>
      </c>
      <c r="AZ446" s="276">
        <v>0</v>
      </c>
      <c r="BA446" s="276">
        <v>0</v>
      </c>
      <c r="BB446" s="276">
        <v>0</v>
      </c>
      <c r="BC446" s="55"/>
      <c r="BD446" s="57">
        <f>SUM(G446:BC446)</f>
        <v>0</v>
      </c>
    </row>
    <row r="447" spans="1:56" hidden="1" x14ac:dyDescent="0.3">
      <c r="A447" s="10"/>
      <c r="G447" s="47"/>
      <c r="H447" s="47"/>
      <c r="I447" s="47"/>
      <c r="J447" s="47"/>
      <c r="K447" s="47"/>
      <c r="L447" s="47"/>
      <c r="M447" s="47"/>
      <c r="N447" s="47"/>
      <c r="O447" s="47"/>
      <c r="P447" s="47"/>
      <c r="Q447" s="47"/>
      <c r="R447" s="47"/>
      <c r="S447" s="47"/>
      <c r="T447" s="47"/>
      <c r="U447" s="47"/>
      <c r="V447" s="47"/>
      <c r="W447" s="47"/>
      <c r="X447" s="47"/>
      <c r="Y447" s="47"/>
      <c r="Z447" s="47"/>
      <c r="AA447" s="47"/>
      <c r="AB447" s="47"/>
      <c r="AC447" s="47"/>
      <c r="AD447" s="47"/>
      <c r="AE447" s="47"/>
      <c r="AF447" s="47"/>
      <c r="AG447" s="47"/>
      <c r="AH447" s="47"/>
      <c r="AI447" s="47"/>
      <c r="AJ447" s="47"/>
      <c r="AK447" s="47"/>
      <c r="AL447" s="47"/>
      <c r="AM447" s="47"/>
      <c r="AN447" s="47"/>
      <c r="AO447" s="47"/>
      <c r="AP447" s="47"/>
      <c r="AQ447" s="47"/>
      <c r="AR447" s="47"/>
      <c r="AS447" s="47"/>
      <c r="AT447" s="47"/>
      <c r="AU447" s="47"/>
      <c r="AV447" s="47"/>
      <c r="AW447" s="47"/>
      <c r="AX447" s="47"/>
      <c r="AY447" s="47"/>
      <c r="AZ447" s="47"/>
      <c r="BA447" s="47"/>
      <c r="BB447" s="47"/>
      <c r="BC447" s="55"/>
      <c r="BD447" s="57"/>
    </row>
    <row r="448" spans="1:56" s="34" customFormat="1" hidden="1" x14ac:dyDescent="0.3">
      <c r="A448" s="22" t="str">
        <f ca="1">Language!A$1351</f>
        <v>Денежный поток для расчета эффективности</v>
      </c>
      <c r="B448" s="99"/>
      <c r="C448" s="100" t="str">
        <f ca="1">Параметры!$C$64</f>
        <v>руб.</v>
      </c>
      <c r="D448" s="101"/>
      <c r="E448" s="101"/>
      <c r="F448" s="101" t="s">
        <v>740</v>
      </c>
      <c r="G448" s="58" t="e">
        <f ca="1">G441-G444+G445+G446</f>
        <v>#REF!</v>
      </c>
      <c r="H448" s="58" t="e">
        <f t="shared" ref="H448:M448" ca="1" si="1813">H441-H444+H445+H446</f>
        <v>#REF!</v>
      </c>
      <c r="I448" s="58" t="e">
        <f t="shared" ca="1" si="1813"/>
        <v>#REF!</v>
      </c>
      <c r="J448" s="58" t="e">
        <f t="shared" ca="1" si="1813"/>
        <v>#REF!</v>
      </c>
      <c r="K448" s="58" t="e">
        <f t="shared" ca="1" si="1813"/>
        <v>#REF!</v>
      </c>
      <c r="L448" s="58" t="e">
        <f t="shared" ca="1" si="1813"/>
        <v>#REF!</v>
      </c>
      <c r="M448" s="58" t="e">
        <f t="shared" ca="1" si="1813"/>
        <v>#REF!</v>
      </c>
      <c r="N448" s="58" t="e">
        <f t="shared" ref="N448:O448" ca="1" si="1814">N441-N444+N445+N446</f>
        <v>#REF!</v>
      </c>
      <c r="O448" s="58" t="e">
        <f t="shared" ca="1" si="1814"/>
        <v>#REF!</v>
      </c>
      <c r="P448" s="58" t="e">
        <f t="shared" ref="P448:Q448" ca="1" si="1815">P441-P444+P445+P446</f>
        <v>#REF!</v>
      </c>
      <c r="Q448" s="58" t="e">
        <f t="shared" ca="1" si="1815"/>
        <v>#REF!</v>
      </c>
      <c r="R448" s="58" t="e">
        <f t="shared" ref="R448:S448" ca="1" si="1816">R441-R444+R445+R446</f>
        <v>#REF!</v>
      </c>
      <c r="S448" s="58" t="e">
        <f t="shared" ca="1" si="1816"/>
        <v>#REF!</v>
      </c>
      <c r="T448" s="58" t="e">
        <f t="shared" ref="T448:U448" ca="1" si="1817">T441-T444+T445+T446</f>
        <v>#REF!</v>
      </c>
      <c r="U448" s="58" t="e">
        <f t="shared" ca="1" si="1817"/>
        <v>#REF!</v>
      </c>
      <c r="V448" s="58" t="e">
        <f t="shared" ref="V448:W448" ca="1" si="1818">V441-V444+V445+V446</f>
        <v>#REF!</v>
      </c>
      <c r="W448" s="58" t="e">
        <f t="shared" ca="1" si="1818"/>
        <v>#REF!</v>
      </c>
      <c r="X448" s="58" t="e">
        <f t="shared" ref="X448:Y448" ca="1" si="1819">X441-X444+X445+X446</f>
        <v>#REF!</v>
      </c>
      <c r="Y448" s="58" t="e">
        <f t="shared" ca="1" si="1819"/>
        <v>#REF!</v>
      </c>
      <c r="Z448" s="58" t="e">
        <f t="shared" ref="Z448:AA448" ca="1" si="1820">Z441-Z444+Z445+Z446</f>
        <v>#REF!</v>
      </c>
      <c r="AA448" s="58" t="e">
        <f t="shared" ca="1" si="1820"/>
        <v>#REF!</v>
      </c>
      <c r="AB448" s="58" t="e">
        <f t="shared" ref="AB448:AC448" ca="1" si="1821">AB441-AB444+AB445+AB446</f>
        <v>#REF!</v>
      </c>
      <c r="AC448" s="58" t="e">
        <f t="shared" ca="1" si="1821"/>
        <v>#REF!</v>
      </c>
      <c r="AD448" s="58" t="e">
        <f t="shared" ref="AD448:AE448" ca="1" si="1822">AD441-AD444+AD445+AD446</f>
        <v>#REF!</v>
      </c>
      <c r="AE448" s="58" t="e">
        <f t="shared" ca="1" si="1822"/>
        <v>#REF!</v>
      </c>
      <c r="AF448" s="58" t="e">
        <f t="shared" ref="AF448:AG448" ca="1" si="1823">AF441-AF444+AF445+AF446</f>
        <v>#REF!</v>
      </c>
      <c r="AG448" s="58" t="e">
        <f t="shared" ca="1" si="1823"/>
        <v>#REF!</v>
      </c>
      <c r="AH448" s="58" t="e">
        <f t="shared" ref="AH448:AI448" ca="1" si="1824">AH441-AH444+AH445+AH446</f>
        <v>#REF!</v>
      </c>
      <c r="AI448" s="58" t="e">
        <f t="shared" ca="1" si="1824"/>
        <v>#REF!</v>
      </c>
      <c r="AJ448" s="58" t="e">
        <f t="shared" ref="AJ448:AK448" ca="1" si="1825">AJ441-AJ444+AJ445+AJ446</f>
        <v>#REF!</v>
      </c>
      <c r="AK448" s="58" t="e">
        <f t="shared" ca="1" si="1825"/>
        <v>#REF!</v>
      </c>
      <c r="AL448" s="58" t="e">
        <f t="shared" ref="AL448:AM448" ca="1" si="1826">AL441-AL444+AL445+AL446</f>
        <v>#REF!</v>
      </c>
      <c r="AM448" s="58" t="e">
        <f t="shared" ca="1" si="1826"/>
        <v>#REF!</v>
      </c>
      <c r="AN448" s="58" t="e">
        <f t="shared" ref="AN448:AO448" ca="1" si="1827">AN441-AN444+AN445+AN446</f>
        <v>#REF!</v>
      </c>
      <c r="AO448" s="58" t="e">
        <f t="shared" ca="1" si="1827"/>
        <v>#REF!</v>
      </c>
      <c r="AP448" s="58" t="e">
        <f t="shared" ref="AP448:AQ448" ca="1" si="1828">AP441-AP444+AP445+AP446</f>
        <v>#REF!</v>
      </c>
      <c r="AQ448" s="58" t="e">
        <f t="shared" ca="1" si="1828"/>
        <v>#REF!</v>
      </c>
      <c r="AR448" s="58" t="e">
        <f t="shared" ref="AR448:AS448" ca="1" si="1829">AR441-AR444+AR445+AR446</f>
        <v>#REF!</v>
      </c>
      <c r="AS448" s="58" t="e">
        <f t="shared" ca="1" si="1829"/>
        <v>#REF!</v>
      </c>
      <c r="AT448" s="58" t="e">
        <f t="shared" ref="AT448:AU448" ca="1" si="1830">AT441-AT444+AT445+AT446</f>
        <v>#REF!</v>
      </c>
      <c r="AU448" s="58" t="e">
        <f t="shared" ca="1" si="1830"/>
        <v>#REF!</v>
      </c>
      <c r="AV448" s="58" t="e">
        <f t="shared" ref="AV448:AW448" ca="1" si="1831">AV441-AV444+AV445+AV446</f>
        <v>#REF!</v>
      </c>
      <c r="AW448" s="58" t="e">
        <f t="shared" ca="1" si="1831"/>
        <v>#REF!</v>
      </c>
      <c r="AX448" s="58" t="e">
        <f t="shared" ref="AX448:AY448" ca="1" si="1832">AX441-AX444+AX445+AX446</f>
        <v>#REF!</v>
      </c>
      <c r="AY448" s="58" t="e">
        <f t="shared" ca="1" si="1832"/>
        <v>#REF!</v>
      </c>
      <c r="AZ448" s="58" t="e">
        <f t="shared" ref="AZ448:BA448" ca="1" si="1833">AZ441-AZ444+AZ445+AZ446</f>
        <v>#REF!</v>
      </c>
      <c r="BA448" s="58" t="e">
        <f t="shared" ca="1" si="1833"/>
        <v>#REF!</v>
      </c>
      <c r="BB448" s="58" t="e">
        <f t="shared" ref="BB448" ca="1" si="1834">BB441-BB444+BB445+BB446</f>
        <v>#REF!</v>
      </c>
      <c r="BD448" s="58" t="e">
        <f ca="1">SUM(G448:BC448)</f>
        <v>#REF!</v>
      </c>
    </row>
    <row r="449" spans="1:56" hidden="1" x14ac:dyDescent="0.3">
      <c r="A449" s="10" t="str">
        <f ca="1">Language!A$1352</f>
        <v>Дисконтированный денежный поток</v>
      </c>
      <c r="B449" s="77"/>
      <c r="C449" s="48" t="str">
        <f ca="1">Параметры!$C$64</f>
        <v>руб.</v>
      </c>
      <c r="F449" s="6" t="s">
        <v>740</v>
      </c>
      <c r="G449" s="55" t="e">
        <f ca="1">G448/G412</f>
        <v>#REF!</v>
      </c>
      <c r="H449" s="55" t="e">
        <f t="shared" ref="H449:M449" ca="1" si="1835">H448/H412</f>
        <v>#REF!</v>
      </c>
      <c r="I449" s="55" t="e">
        <f t="shared" ca="1" si="1835"/>
        <v>#REF!</v>
      </c>
      <c r="J449" s="55" t="e">
        <f t="shared" ca="1" si="1835"/>
        <v>#REF!</v>
      </c>
      <c r="K449" s="55" t="e">
        <f t="shared" ca="1" si="1835"/>
        <v>#REF!</v>
      </c>
      <c r="L449" s="55" t="e">
        <f t="shared" ca="1" si="1835"/>
        <v>#REF!</v>
      </c>
      <c r="M449" s="55" t="e">
        <f t="shared" ca="1" si="1835"/>
        <v>#REF!</v>
      </c>
      <c r="N449" s="55" t="e">
        <f t="shared" ref="N449:O449" ca="1" si="1836">N448/N412</f>
        <v>#REF!</v>
      </c>
      <c r="O449" s="55" t="e">
        <f t="shared" ca="1" si="1836"/>
        <v>#REF!</v>
      </c>
      <c r="P449" s="55" t="e">
        <f t="shared" ref="P449:Q449" ca="1" si="1837">P448/P412</f>
        <v>#REF!</v>
      </c>
      <c r="Q449" s="55" t="e">
        <f t="shared" ca="1" si="1837"/>
        <v>#REF!</v>
      </c>
      <c r="R449" s="55" t="e">
        <f t="shared" ref="R449:S449" ca="1" si="1838">R448/R412</f>
        <v>#REF!</v>
      </c>
      <c r="S449" s="55" t="e">
        <f t="shared" ca="1" si="1838"/>
        <v>#REF!</v>
      </c>
      <c r="T449" s="55" t="e">
        <f t="shared" ref="T449:U449" ca="1" si="1839">T448/T412</f>
        <v>#REF!</v>
      </c>
      <c r="U449" s="55" t="e">
        <f t="shared" ca="1" si="1839"/>
        <v>#REF!</v>
      </c>
      <c r="V449" s="55" t="e">
        <f t="shared" ref="V449:W449" ca="1" si="1840">V448/V412</f>
        <v>#REF!</v>
      </c>
      <c r="W449" s="55" t="e">
        <f t="shared" ca="1" si="1840"/>
        <v>#REF!</v>
      </c>
      <c r="X449" s="55" t="e">
        <f t="shared" ref="X449:Y449" ca="1" si="1841">X448/X412</f>
        <v>#REF!</v>
      </c>
      <c r="Y449" s="55" t="e">
        <f t="shared" ca="1" si="1841"/>
        <v>#REF!</v>
      </c>
      <c r="Z449" s="55" t="e">
        <f t="shared" ref="Z449:AA449" ca="1" si="1842">Z448/Z412</f>
        <v>#REF!</v>
      </c>
      <c r="AA449" s="55" t="e">
        <f t="shared" ca="1" si="1842"/>
        <v>#REF!</v>
      </c>
      <c r="AB449" s="55" t="e">
        <f t="shared" ref="AB449:AC449" ca="1" si="1843">AB448/AB412</f>
        <v>#REF!</v>
      </c>
      <c r="AC449" s="55" t="e">
        <f t="shared" ca="1" si="1843"/>
        <v>#REF!</v>
      </c>
      <c r="AD449" s="55" t="e">
        <f t="shared" ref="AD449:AE449" ca="1" si="1844">AD448/AD412</f>
        <v>#REF!</v>
      </c>
      <c r="AE449" s="55" t="e">
        <f t="shared" ca="1" si="1844"/>
        <v>#REF!</v>
      </c>
      <c r="AF449" s="55" t="e">
        <f t="shared" ref="AF449:AG449" ca="1" si="1845">AF448/AF412</f>
        <v>#REF!</v>
      </c>
      <c r="AG449" s="55" t="e">
        <f t="shared" ca="1" si="1845"/>
        <v>#REF!</v>
      </c>
      <c r="AH449" s="55" t="e">
        <f t="shared" ref="AH449:AI449" ca="1" si="1846">AH448/AH412</f>
        <v>#REF!</v>
      </c>
      <c r="AI449" s="55" t="e">
        <f t="shared" ca="1" si="1846"/>
        <v>#REF!</v>
      </c>
      <c r="AJ449" s="55" t="e">
        <f t="shared" ref="AJ449:AK449" ca="1" si="1847">AJ448/AJ412</f>
        <v>#REF!</v>
      </c>
      <c r="AK449" s="55" t="e">
        <f t="shared" ca="1" si="1847"/>
        <v>#REF!</v>
      </c>
      <c r="AL449" s="55" t="e">
        <f t="shared" ref="AL449:AM449" ca="1" si="1848">AL448/AL412</f>
        <v>#REF!</v>
      </c>
      <c r="AM449" s="55" t="e">
        <f t="shared" ca="1" si="1848"/>
        <v>#REF!</v>
      </c>
      <c r="AN449" s="55" t="e">
        <f t="shared" ref="AN449:AO449" ca="1" si="1849">AN448/AN412</f>
        <v>#REF!</v>
      </c>
      <c r="AO449" s="55" t="e">
        <f t="shared" ca="1" si="1849"/>
        <v>#REF!</v>
      </c>
      <c r="AP449" s="55" t="e">
        <f t="shared" ref="AP449:AQ449" ca="1" si="1850">AP448/AP412</f>
        <v>#REF!</v>
      </c>
      <c r="AQ449" s="55" t="e">
        <f t="shared" ca="1" si="1850"/>
        <v>#REF!</v>
      </c>
      <c r="AR449" s="55" t="e">
        <f t="shared" ref="AR449:AS449" ca="1" si="1851">AR448/AR412</f>
        <v>#REF!</v>
      </c>
      <c r="AS449" s="55" t="e">
        <f t="shared" ca="1" si="1851"/>
        <v>#REF!</v>
      </c>
      <c r="AT449" s="55" t="e">
        <f t="shared" ref="AT449:AU449" ca="1" si="1852">AT448/AT412</f>
        <v>#REF!</v>
      </c>
      <c r="AU449" s="55" t="e">
        <f t="shared" ca="1" si="1852"/>
        <v>#REF!</v>
      </c>
      <c r="AV449" s="55" t="e">
        <f t="shared" ref="AV449:AW449" ca="1" si="1853">AV448/AV412</f>
        <v>#REF!</v>
      </c>
      <c r="AW449" s="55" t="e">
        <f t="shared" ca="1" si="1853"/>
        <v>#REF!</v>
      </c>
      <c r="AX449" s="55" t="e">
        <f t="shared" ref="AX449:AY449" ca="1" si="1854">AX448/AX412</f>
        <v>#REF!</v>
      </c>
      <c r="AY449" s="55" t="e">
        <f t="shared" ca="1" si="1854"/>
        <v>#REF!</v>
      </c>
      <c r="AZ449" s="55" t="e">
        <f t="shared" ref="AZ449:BA449" ca="1" si="1855">AZ448/AZ412</f>
        <v>#REF!</v>
      </c>
      <c r="BA449" s="55" t="e">
        <f t="shared" ca="1" si="1855"/>
        <v>#REF!</v>
      </c>
      <c r="BB449" s="55" t="e">
        <f t="shared" ref="BB449" ca="1" si="1856">BB448/BB412</f>
        <v>#REF!</v>
      </c>
      <c r="BD449" s="57" t="e">
        <f ca="1">SUM(G449:BC449)</f>
        <v>#REF!</v>
      </c>
    </row>
    <row r="450" spans="1:56" hidden="1" x14ac:dyDescent="0.3">
      <c r="A450" s="10" t="str">
        <f ca="1">Language!A$1353</f>
        <v>Дисконтированный поток нарастающим итогом</v>
      </c>
      <c r="B450" s="77"/>
      <c r="C450" s="48" t="str">
        <f ca="1">Параметры!$C$64</f>
        <v>руб.</v>
      </c>
      <c r="F450" s="6" t="s">
        <v>741</v>
      </c>
      <c r="G450" s="55" t="e">
        <f ca="1">IF(G$2=1,G449,F450+G449)</f>
        <v>#REF!</v>
      </c>
      <c r="H450" s="55" t="e">
        <f t="shared" ref="H450:BB450" ca="1" si="1857">IF(H$2=1,H449,G450+H449)</f>
        <v>#REF!</v>
      </c>
      <c r="I450" s="55" t="e">
        <f t="shared" ca="1" si="1857"/>
        <v>#REF!</v>
      </c>
      <c r="J450" s="55" t="e">
        <f t="shared" ca="1" si="1857"/>
        <v>#REF!</v>
      </c>
      <c r="K450" s="55" t="e">
        <f t="shared" ca="1" si="1857"/>
        <v>#REF!</v>
      </c>
      <c r="L450" s="55" t="e">
        <f t="shared" ca="1" si="1857"/>
        <v>#REF!</v>
      </c>
      <c r="M450" s="55" t="e">
        <f t="shared" ca="1" si="1857"/>
        <v>#REF!</v>
      </c>
      <c r="N450" s="55" t="e">
        <f t="shared" ca="1" si="1857"/>
        <v>#REF!</v>
      </c>
      <c r="O450" s="55" t="e">
        <f t="shared" ca="1" si="1857"/>
        <v>#REF!</v>
      </c>
      <c r="P450" s="55" t="e">
        <f t="shared" ca="1" si="1857"/>
        <v>#REF!</v>
      </c>
      <c r="Q450" s="55" t="e">
        <f t="shared" ca="1" si="1857"/>
        <v>#REF!</v>
      </c>
      <c r="R450" s="55" t="e">
        <f t="shared" ca="1" si="1857"/>
        <v>#REF!</v>
      </c>
      <c r="S450" s="55" t="e">
        <f t="shared" ca="1" si="1857"/>
        <v>#REF!</v>
      </c>
      <c r="T450" s="55" t="e">
        <f t="shared" ca="1" si="1857"/>
        <v>#REF!</v>
      </c>
      <c r="U450" s="55" t="e">
        <f t="shared" ca="1" si="1857"/>
        <v>#REF!</v>
      </c>
      <c r="V450" s="55" t="e">
        <f t="shared" ca="1" si="1857"/>
        <v>#REF!</v>
      </c>
      <c r="W450" s="55" t="e">
        <f t="shared" ca="1" si="1857"/>
        <v>#REF!</v>
      </c>
      <c r="X450" s="55" t="e">
        <f t="shared" ca="1" si="1857"/>
        <v>#REF!</v>
      </c>
      <c r="Y450" s="55" t="e">
        <f t="shared" ca="1" si="1857"/>
        <v>#REF!</v>
      </c>
      <c r="Z450" s="55" t="e">
        <f t="shared" ca="1" si="1857"/>
        <v>#REF!</v>
      </c>
      <c r="AA450" s="55" t="e">
        <f t="shared" ca="1" si="1857"/>
        <v>#REF!</v>
      </c>
      <c r="AB450" s="55" t="e">
        <f t="shared" ca="1" si="1857"/>
        <v>#REF!</v>
      </c>
      <c r="AC450" s="55" t="e">
        <f t="shared" ca="1" si="1857"/>
        <v>#REF!</v>
      </c>
      <c r="AD450" s="55" t="e">
        <f t="shared" ca="1" si="1857"/>
        <v>#REF!</v>
      </c>
      <c r="AE450" s="55" t="e">
        <f t="shared" ca="1" si="1857"/>
        <v>#REF!</v>
      </c>
      <c r="AF450" s="55" t="e">
        <f t="shared" ca="1" si="1857"/>
        <v>#REF!</v>
      </c>
      <c r="AG450" s="55" t="e">
        <f t="shared" ca="1" si="1857"/>
        <v>#REF!</v>
      </c>
      <c r="AH450" s="55" t="e">
        <f t="shared" ca="1" si="1857"/>
        <v>#REF!</v>
      </c>
      <c r="AI450" s="55" t="e">
        <f t="shared" ca="1" si="1857"/>
        <v>#REF!</v>
      </c>
      <c r="AJ450" s="55" t="e">
        <f t="shared" ca="1" si="1857"/>
        <v>#REF!</v>
      </c>
      <c r="AK450" s="55" t="e">
        <f t="shared" ca="1" si="1857"/>
        <v>#REF!</v>
      </c>
      <c r="AL450" s="55" t="e">
        <f t="shared" ca="1" si="1857"/>
        <v>#REF!</v>
      </c>
      <c r="AM450" s="55" t="e">
        <f t="shared" ca="1" si="1857"/>
        <v>#REF!</v>
      </c>
      <c r="AN450" s="55" t="e">
        <f t="shared" ca="1" si="1857"/>
        <v>#REF!</v>
      </c>
      <c r="AO450" s="55" t="e">
        <f t="shared" ca="1" si="1857"/>
        <v>#REF!</v>
      </c>
      <c r="AP450" s="55" t="e">
        <f t="shared" ca="1" si="1857"/>
        <v>#REF!</v>
      </c>
      <c r="AQ450" s="55" t="e">
        <f t="shared" ca="1" si="1857"/>
        <v>#REF!</v>
      </c>
      <c r="AR450" s="55" t="e">
        <f t="shared" ca="1" si="1857"/>
        <v>#REF!</v>
      </c>
      <c r="AS450" s="55" t="e">
        <f t="shared" ca="1" si="1857"/>
        <v>#REF!</v>
      </c>
      <c r="AT450" s="55" t="e">
        <f t="shared" ca="1" si="1857"/>
        <v>#REF!</v>
      </c>
      <c r="AU450" s="55" t="e">
        <f t="shared" ca="1" si="1857"/>
        <v>#REF!</v>
      </c>
      <c r="AV450" s="55" t="e">
        <f t="shared" ca="1" si="1857"/>
        <v>#REF!</v>
      </c>
      <c r="AW450" s="55" t="e">
        <f t="shared" ca="1" si="1857"/>
        <v>#REF!</v>
      </c>
      <c r="AX450" s="55" t="e">
        <f t="shared" ca="1" si="1857"/>
        <v>#REF!</v>
      </c>
      <c r="AY450" s="55" t="e">
        <f t="shared" ca="1" si="1857"/>
        <v>#REF!</v>
      </c>
      <c r="AZ450" s="55" t="e">
        <f t="shared" ca="1" si="1857"/>
        <v>#REF!</v>
      </c>
      <c r="BA450" s="55" t="e">
        <f t="shared" ca="1" si="1857"/>
        <v>#REF!</v>
      </c>
      <c r="BB450" s="55" t="e">
        <f t="shared" ca="1" si="1857"/>
        <v>#REF!</v>
      </c>
    </row>
    <row r="451" spans="1:56" hidden="1" x14ac:dyDescent="0.3">
      <c r="A451" s="35"/>
      <c r="B451" s="77"/>
      <c r="G451" s="55"/>
      <c r="H451" s="55"/>
      <c r="I451" s="55"/>
      <c r="J451" s="55"/>
      <c r="K451" s="55"/>
      <c r="L451" s="55"/>
      <c r="M451" s="55"/>
      <c r="N451" s="55"/>
      <c r="O451" s="55"/>
      <c r="P451" s="55"/>
      <c r="Q451" s="55"/>
      <c r="R451" s="55"/>
      <c r="S451" s="55"/>
      <c r="T451" s="55"/>
      <c r="U451" s="55"/>
      <c r="V451" s="55"/>
      <c r="W451" s="55"/>
      <c r="X451" s="55"/>
      <c r="Y451" s="55"/>
      <c r="Z451" s="55"/>
      <c r="AA451" s="55"/>
      <c r="AB451" s="55"/>
      <c r="AC451" s="55"/>
      <c r="AD451" s="55"/>
      <c r="AE451" s="55"/>
      <c r="AF451" s="55"/>
      <c r="AG451" s="55"/>
      <c r="AH451" s="55"/>
      <c r="AI451" s="55"/>
      <c r="AJ451" s="55"/>
      <c r="AK451" s="55"/>
      <c r="AL451" s="55"/>
      <c r="AM451" s="55"/>
      <c r="AN451" s="55"/>
      <c r="AO451" s="55"/>
      <c r="AP451" s="55"/>
      <c r="AQ451" s="55"/>
      <c r="AR451" s="55"/>
      <c r="AS451" s="55"/>
      <c r="AT451" s="55"/>
      <c r="AU451" s="55"/>
      <c r="AV451" s="55"/>
      <c r="AW451" s="55"/>
      <c r="AX451" s="55"/>
      <c r="AY451" s="55"/>
      <c r="AZ451" s="55"/>
      <c r="BA451" s="55"/>
      <c r="BB451" s="55"/>
    </row>
    <row r="452" spans="1:56" hidden="1" x14ac:dyDescent="0.3">
      <c r="A452" s="22" t="str">
        <f ca="1">Language!A$1407</f>
        <v>Чистая приведенная стоимость, NPV</v>
      </c>
      <c r="B452" s="99" t="e">
        <f ca="1">BD449</f>
        <v>#REF!</v>
      </c>
      <c r="C452" s="48" t="str">
        <f ca="1">Параметры!$C$64</f>
        <v>руб.</v>
      </c>
      <c r="G452" s="55"/>
      <c r="H452" s="55"/>
      <c r="I452" s="55"/>
      <c r="J452" s="55"/>
      <c r="K452" s="55"/>
      <c r="L452" s="55"/>
      <c r="M452" s="55"/>
      <c r="N452" s="55"/>
      <c r="O452" s="55"/>
      <c r="P452" s="55"/>
      <c r="Q452" s="55"/>
      <c r="R452" s="55"/>
      <c r="S452" s="55"/>
      <c r="T452" s="55"/>
      <c r="U452" s="55"/>
      <c r="V452" s="55"/>
      <c r="W452" s="55"/>
      <c r="X452" s="55"/>
      <c r="Y452" s="55"/>
      <c r="Z452" s="55"/>
      <c r="AA452" s="55"/>
      <c r="AB452" s="55"/>
      <c r="AC452" s="55"/>
      <c r="AD452" s="55"/>
      <c r="AE452" s="55"/>
      <c r="AF452" s="55"/>
      <c r="AG452" s="55"/>
      <c r="AH452" s="55"/>
      <c r="AI452" s="55"/>
      <c r="AJ452" s="55"/>
      <c r="AK452" s="55"/>
      <c r="AL452" s="55"/>
      <c r="AM452" s="55"/>
      <c r="AN452" s="55"/>
      <c r="AO452" s="55"/>
      <c r="AP452" s="55"/>
      <c r="AQ452" s="55"/>
      <c r="AR452" s="55"/>
      <c r="AS452" s="55"/>
      <c r="AT452" s="55"/>
      <c r="AU452" s="55"/>
      <c r="AV452" s="55"/>
      <c r="AW452" s="55"/>
      <c r="AX452" s="55"/>
      <c r="AY452" s="55"/>
      <c r="AZ452" s="55"/>
      <c r="BA452" s="55"/>
      <c r="BB452" s="55"/>
    </row>
    <row r="453" spans="1:56" hidden="1" x14ac:dyDescent="0.3">
      <c r="A453" s="152"/>
      <c r="B453" s="150"/>
      <c r="C453" s="151"/>
      <c r="D453" s="63"/>
      <c r="E453" s="63"/>
      <c r="F453" s="63"/>
      <c r="G453" s="62"/>
      <c r="H453" s="62"/>
      <c r="I453" s="62"/>
      <c r="J453" s="62"/>
      <c r="K453" s="62"/>
      <c r="L453" s="62"/>
      <c r="M453" s="62"/>
      <c r="N453" s="62"/>
      <c r="O453" s="62"/>
      <c r="P453" s="62"/>
      <c r="Q453" s="62"/>
      <c r="R453" s="62"/>
      <c r="S453" s="62"/>
      <c r="T453" s="62"/>
      <c r="U453" s="62"/>
      <c r="V453" s="62"/>
      <c r="W453" s="62"/>
      <c r="X453" s="62"/>
      <c r="Y453" s="62"/>
      <c r="Z453" s="62"/>
      <c r="AA453" s="62"/>
      <c r="AB453" s="62"/>
      <c r="AC453" s="62"/>
      <c r="AD453" s="62"/>
      <c r="AE453" s="62"/>
      <c r="AF453" s="62"/>
      <c r="AG453" s="62"/>
      <c r="AH453" s="62"/>
      <c r="AI453" s="62"/>
      <c r="AJ453" s="62"/>
      <c r="AK453" s="62"/>
      <c r="AL453" s="62"/>
      <c r="AM453" s="62"/>
      <c r="AN453" s="62"/>
      <c r="AO453" s="62"/>
      <c r="AP453" s="62"/>
      <c r="AQ453" s="62"/>
      <c r="AR453" s="62"/>
      <c r="AS453" s="62"/>
      <c r="AT453" s="62"/>
      <c r="AU453" s="62"/>
      <c r="AV453" s="62"/>
      <c r="AW453" s="62"/>
      <c r="AX453" s="62"/>
      <c r="AY453" s="62"/>
      <c r="AZ453" s="62"/>
      <c r="BA453" s="62"/>
      <c r="BB453" s="62"/>
      <c r="BC453" s="62"/>
      <c r="BD453" s="62"/>
    </row>
    <row r="454" spans="1:56" hidden="1" x14ac:dyDescent="0.3">
      <c r="A454" s="22" t="str">
        <f ca="1">Language!A1519</f>
        <v>Территориальный бюджет</v>
      </c>
    </row>
    <row r="455" spans="1:56" hidden="1" x14ac:dyDescent="0.3">
      <c r="A455" s="22"/>
    </row>
    <row r="456" spans="1:56" hidden="1" x14ac:dyDescent="0.3">
      <c r="A456" s="22" t="str">
        <f ca="1">Language!A$1414</f>
        <v>Поступление налогов в бюджет</v>
      </c>
      <c r="B456" s="109"/>
      <c r="C456" s="110"/>
      <c r="G456" s="55"/>
      <c r="H456" s="55"/>
      <c r="I456" s="55"/>
      <c r="J456" s="55"/>
      <c r="K456" s="55"/>
      <c r="L456" s="55"/>
      <c r="M456" s="55"/>
      <c r="N456" s="55"/>
      <c r="O456" s="55"/>
      <c r="P456" s="55"/>
      <c r="Q456" s="55"/>
      <c r="R456" s="55"/>
      <c r="S456" s="55"/>
      <c r="T456" s="55"/>
      <c r="U456" s="55"/>
      <c r="V456" s="55"/>
      <c r="W456" s="55"/>
      <c r="X456" s="55"/>
      <c r="Y456" s="55"/>
      <c r="Z456" s="55"/>
      <c r="AA456" s="55"/>
      <c r="AB456" s="55"/>
      <c r="AC456" s="55"/>
      <c r="AD456" s="55"/>
      <c r="AE456" s="55"/>
      <c r="AF456" s="55"/>
      <c r="AG456" s="55"/>
      <c r="AH456" s="55"/>
      <c r="AI456" s="55"/>
      <c r="AJ456" s="55"/>
      <c r="AK456" s="55"/>
      <c r="AL456" s="55"/>
      <c r="AM456" s="55"/>
      <c r="AN456" s="55"/>
      <c r="AO456" s="55"/>
      <c r="AP456" s="55"/>
      <c r="AQ456" s="55"/>
      <c r="AR456" s="55"/>
      <c r="AS456" s="55"/>
      <c r="AT456" s="55"/>
      <c r="AU456" s="55"/>
      <c r="AV456" s="55"/>
      <c r="AW456" s="55"/>
      <c r="AX456" s="55"/>
      <c r="AY456" s="55"/>
      <c r="AZ456" s="55"/>
      <c r="BA456" s="55"/>
      <c r="BB456" s="55"/>
      <c r="BC456" s="55"/>
      <c r="BD456" s="55"/>
    </row>
    <row r="457" spans="1:56" hidden="1" x14ac:dyDescent="0.3">
      <c r="A457" s="10" t="str">
        <f ca="1">Language!A$1514</f>
        <v>Налог на доходы физических лиц</v>
      </c>
      <c r="B457" s="33"/>
      <c r="C457" s="48" t="str">
        <f ca="1">Параметры!$C$64</f>
        <v>руб.</v>
      </c>
      <c r="E457" s="6" t="s">
        <v>2386</v>
      </c>
      <c r="F457" s="6" t="s">
        <v>740</v>
      </c>
      <c r="G457" s="55">
        <f ca="1">Проект!G$412*$B$430*$C415</f>
        <v>0</v>
      </c>
      <c r="H457" s="55">
        <f ca="1">Проект!H$412*$B$430*$C415</f>
        <v>0</v>
      </c>
      <c r="I457" s="55">
        <f ca="1">Проект!I$412*$B$430*$C415</f>
        <v>0</v>
      </c>
      <c r="J457" s="55">
        <f ca="1">Проект!J$412*$B$430*$C415</f>
        <v>0</v>
      </c>
      <c r="K457" s="55">
        <f ca="1">Проект!K$412*$B$430*$C415</f>
        <v>0</v>
      </c>
      <c r="L457" s="55">
        <f ca="1">Проект!L$412*$B$430*$C415</f>
        <v>0</v>
      </c>
      <c r="M457" s="55">
        <f ca="1">Проект!M$412*$B$430*$C415</f>
        <v>110922.54523145867</v>
      </c>
      <c r="N457" s="55">
        <f ca="1">Проект!N$412*$B$430*$C415</f>
        <v>111462.46632920938</v>
      </c>
      <c r="O457" s="55">
        <f ca="1">Проект!O$412*$B$430*$C415</f>
        <v>112005.01552020466</v>
      </c>
      <c r="P457" s="55">
        <f ca="1">Проект!P$412*$B$430*$C415</f>
        <v>112550.20559682131</v>
      </c>
      <c r="Q457" s="55">
        <f ca="1">Проект!Q$412*$B$430*$C415</f>
        <v>113098.04941370357</v>
      </c>
      <c r="R457" s="55">
        <f ca="1">Проект!R$412*$B$430*$C415</f>
        <v>113648.55988806645</v>
      </c>
      <c r="S457" s="55">
        <f ca="1">Проект!S$412*$B$430*$C415</f>
        <v>114201.75000000001</v>
      </c>
      <c r="T457" s="55">
        <f ca="1">Проект!T$412*$B$430*$C415</f>
        <v>114757.63279277569</v>
      </c>
      <c r="U457" s="55">
        <f ca="1">Проект!U$412*$B$430*$C415</f>
        <v>115316.22137315362</v>
      </c>
      <c r="V457" s="55">
        <f ca="1">Проект!V$412*$B$430*$C415</f>
        <v>115877.52891169174</v>
      </c>
      <c r="W457" s="55">
        <f ca="1">Проект!W$412*$B$430*$C415</f>
        <v>116441.56864305639</v>
      </c>
      <c r="X457" s="55">
        <f ca="1">Проект!X$412*$B$430*$C415</f>
        <v>117008.35386633434</v>
      </c>
      <c r="Y457" s="55">
        <f ca="1">Проект!Y$412*$B$430*$C415</f>
        <v>117577.89794534625</v>
      </c>
      <c r="Z457" s="55">
        <f ca="1">Проект!Z$412*$B$430*$C415</f>
        <v>118150.21430896198</v>
      </c>
      <c r="AA457" s="55">
        <f ca="1">Проект!AA$412*$B$430*$C415</f>
        <v>118725.31645141701</v>
      </c>
      <c r="AB457" s="55">
        <f ca="1">Проект!AB$412*$B$430*$C415</f>
        <v>119303.21793263059</v>
      </c>
      <c r="AC457" s="55">
        <f ca="1">Проект!AC$412*$B$430*$C415</f>
        <v>119883.93237852585</v>
      </c>
      <c r="AD457" s="55">
        <f ca="1">Проект!AD$412*$B$430*$C415</f>
        <v>120467.47348135046</v>
      </c>
      <c r="AE457" s="55">
        <f ca="1">Проект!AE$412*$B$430*$C415</f>
        <v>121053.85500000005</v>
      </c>
      <c r="AF457" s="55">
        <f ca="1">Проект!AF$412*$B$430*$C415</f>
        <v>121643.09076034227</v>
      </c>
      <c r="AG457" s="55">
        <f ca="1">Проект!AG$412*$B$430*$C415</f>
        <v>122235.19465554287</v>
      </c>
      <c r="AH457" s="55">
        <f ca="1">Проект!AH$412*$B$430*$C415</f>
        <v>122830.18064639326</v>
      </c>
      <c r="AI457" s="55">
        <f ca="1">Проект!AI$412*$B$430*$C415</f>
        <v>123428.06276163978</v>
      </c>
      <c r="AJ457" s="55">
        <f ca="1">Проект!AJ$412*$B$430*$C415</f>
        <v>124028.85509831442</v>
      </c>
      <c r="AK457" s="55">
        <f ca="1">Проект!AK$412*$B$430*$C415</f>
        <v>124632.57182206705</v>
      </c>
      <c r="AL457" s="55">
        <f ca="1">Проект!AL$412*$B$430*$C415</f>
        <v>125239.2271674997</v>
      </c>
      <c r="AM457" s="55">
        <f ca="1">Проект!AM$412*$B$430*$C415</f>
        <v>125848.83543850202</v>
      </c>
      <c r="AN457" s="55">
        <f ca="1">Проект!AN$412*$B$430*$C415</f>
        <v>126461.41100858843</v>
      </c>
      <c r="AO457" s="55">
        <f ca="1">Проект!AO$412*$B$430*$C415</f>
        <v>127076.96832123739</v>
      </c>
      <c r="AP457" s="55">
        <f ca="1">Проект!AP$412*$B$430*$C415</f>
        <v>127695.52189023152</v>
      </c>
      <c r="AQ457" s="55">
        <f ca="1">Проект!AQ$412*$B$430*$C415</f>
        <v>128317.08630000007</v>
      </c>
      <c r="AR457" s="55">
        <f ca="1">Проект!AR$412*$B$430*$C415</f>
        <v>128941.67620596281</v>
      </c>
      <c r="AS457" s="55">
        <f ca="1">Проект!AS$412*$B$430*$C415</f>
        <v>129569.30633487542</v>
      </c>
      <c r="AT457" s="55">
        <f ca="1">Проект!AT$412*$B$430*$C415</f>
        <v>130199.99148517686</v>
      </c>
      <c r="AU457" s="55">
        <f ca="1">Проект!AU$412*$B$430*$C415</f>
        <v>130833.7465273382</v>
      </c>
      <c r="AV457" s="55">
        <f ca="1">Проект!AV$412*$B$430*$C415</f>
        <v>131470.58640421327</v>
      </c>
      <c r="AW457" s="55">
        <f ca="1">Проект!AW$412*$B$430*$C415</f>
        <v>132110.52613139112</v>
      </c>
      <c r="AX457" s="55">
        <f ca="1">Проект!AX$412*$B$430*$C415</f>
        <v>132753.58079754972</v>
      </c>
      <c r="AY457" s="55">
        <f ca="1">Проект!AY$412*$B$430*$C415</f>
        <v>133399.76556481214</v>
      </c>
      <c r="AZ457" s="55">
        <f ca="1">Проект!AZ$412*$B$430*$C415</f>
        <v>134049.09566910379</v>
      </c>
      <c r="BA457" s="55">
        <f ca="1">Проект!BA$412*$B$430*$C415</f>
        <v>134701.58642051168</v>
      </c>
      <c r="BB457" s="55">
        <f ca="1">Проект!BB$412*$B$430*$C415</f>
        <v>135357.25320364541</v>
      </c>
      <c r="BC457" s="55"/>
      <c r="BD457" s="57">
        <f t="shared" ref="BD457:BD468" ca="1" si="1858">SUM(G457:BC457)</f>
        <v>5155275.9256796483</v>
      </c>
    </row>
    <row r="458" spans="1:56" hidden="1" x14ac:dyDescent="0.3">
      <c r="A458" s="5" t="str">
        <f ca="1">Language!A$1155</f>
        <v>Акцизы на проданные товары</v>
      </c>
      <c r="B458" s="109"/>
      <c r="C458" s="48" t="str">
        <f ca="1">Параметры!$C$64</f>
        <v>руб.</v>
      </c>
      <c r="E458" s="6" t="s">
        <v>2387</v>
      </c>
      <c r="F458" s="6" t="s">
        <v>740</v>
      </c>
      <c r="G458" s="55">
        <f ca="1">Проект!G$1291*$C$416</f>
        <v>0</v>
      </c>
      <c r="H458" s="55">
        <f ca="1">Проект!H$1291*$C$416</f>
        <v>0</v>
      </c>
      <c r="I458" s="55">
        <f ca="1">Проект!I$1291*$C$416</f>
        <v>0</v>
      </c>
      <c r="J458" s="55">
        <f ca="1">Проект!J$1291*$C$416</f>
        <v>0</v>
      </c>
      <c r="K458" s="55">
        <f ca="1">Проект!K$1291*$C$416</f>
        <v>0</v>
      </c>
      <c r="L458" s="55">
        <f ca="1">Проект!L$1291*$C$416</f>
        <v>0</v>
      </c>
      <c r="M458" s="55">
        <f ca="1">Проект!M$1291*$C$416</f>
        <v>0</v>
      </c>
      <c r="N458" s="55">
        <f ca="1">Проект!N$1291*$C$416</f>
        <v>0</v>
      </c>
      <c r="O458" s="55">
        <f ca="1">Проект!O$1291*$C$416</f>
        <v>0</v>
      </c>
      <c r="P458" s="55">
        <f ca="1">Проект!P$1291*$C$416</f>
        <v>0</v>
      </c>
      <c r="Q458" s="55">
        <f ca="1">Проект!Q$1291*$C$416</f>
        <v>0</v>
      </c>
      <c r="R458" s="55">
        <f ca="1">Проект!R$1291*$C$416</f>
        <v>0</v>
      </c>
      <c r="S458" s="55">
        <f ca="1">Проект!S$1291*$C$416</f>
        <v>0</v>
      </c>
      <c r="T458" s="55">
        <f ca="1">Проект!T$1291*$C$416</f>
        <v>0</v>
      </c>
      <c r="U458" s="55">
        <f ca="1">Проект!U$1291*$C$416</f>
        <v>0</v>
      </c>
      <c r="V458" s="55">
        <f ca="1">Проект!V$1291*$C$416</f>
        <v>0</v>
      </c>
      <c r="W458" s="55">
        <f ca="1">Проект!W$1291*$C$416</f>
        <v>0</v>
      </c>
      <c r="X458" s="55">
        <f ca="1">Проект!X$1291*$C$416</f>
        <v>0</v>
      </c>
      <c r="Y458" s="55">
        <f ca="1">Проект!Y$1291*$C$416</f>
        <v>0</v>
      </c>
      <c r="Z458" s="55">
        <f ca="1">Проект!Z$1291*$C$416</f>
        <v>0</v>
      </c>
      <c r="AA458" s="55">
        <f ca="1">Проект!AA$1291*$C$416</f>
        <v>0</v>
      </c>
      <c r="AB458" s="55">
        <f ca="1">Проект!AB$1291*$C$416</f>
        <v>0</v>
      </c>
      <c r="AC458" s="55">
        <f ca="1">Проект!AC$1291*$C$416</f>
        <v>0</v>
      </c>
      <c r="AD458" s="55">
        <f ca="1">Проект!AD$1291*$C$416</f>
        <v>0</v>
      </c>
      <c r="AE458" s="55">
        <f ca="1">Проект!AE$1291*$C$416</f>
        <v>0</v>
      </c>
      <c r="AF458" s="55">
        <f ca="1">Проект!AF$1291*$C$416</f>
        <v>0</v>
      </c>
      <c r="AG458" s="55">
        <f ca="1">Проект!AG$1291*$C$416</f>
        <v>0</v>
      </c>
      <c r="AH458" s="55">
        <f ca="1">Проект!AH$1291*$C$416</f>
        <v>0</v>
      </c>
      <c r="AI458" s="55">
        <f ca="1">Проект!AI$1291*$C$416</f>
        <v>0</v>
      </c>
      <c r="AJ458" s="55">
        <f ca="1">Проект!AJ$1291*$C$416</f>
        <v>0</v>
      </c>
      <c r="AK458" s="55">
        <f ca="1">Проект!AK$1291*$C$416</f>
        <v>0</v>
      </c>
      <c r="AL458" s="55">
        <f ca="1">Проект!AL$1291*$C$416</f>
        <v>0</v>
      </c>
      <c r="AM458" s="55">
        <f ca="1">Проект!AM$1291*$C$416</f>
        <v>0</v>
      </c>
      <c r="AN458" s="55">
        <f ca="1">Проект!AN$1291*$C$416</f>
        <v>0</v>
      </c>
      <c r="AO458" s="55">
        <f ca="1">Проект!AO$1291*$C$416</f>
        <v>0</v>
      </c>
      <c r="AP458" s="55">
        <f ca="1">Проект!AP$1291*$C$416</f>
        <v>0</v>
      </c>
      <c r="AQ458" s="55">
        <f ca="1">Проект!AQ$1291*$C$416</f>
        <v>0</v>
      </c>
      <c r="AR458" s="55">
        <f ca="1">Проект!AR$1291*$C$416</f>
        <v>0</v>
      </c>
      <c r="AS458" s="55">
        <f ca="1">Проект!AS$1291*$C$416</f>
        <v>0</v>
      </c>
      <c r="AT458" s="55">
        <f ca="1">Проект!AT$1291*$C$416</f>
        <v>0</v>
      </c>
      <c r="AU458" s="55">
        <f ca="1">Проект!AU$1291*$C$416</f>
        <v>0</v>
      </c>
      <c r="AV458" s="55">
        <f ca="1">Проект!AV$1291*$C$416</f>
        <v>0</v>
      </c>
      <c r="AW458" s="55">
        <f ca="1">Проект!AW$1291*$C$416</f>
        <v>0</v>
      </c>
      <c r="AX458" s="55">
        <f ca="1">Проект!AX$1291*$C$416</f>
        <v>0</v>
      </c>
      <c r="AY458" s="55">
        <f ca="1">Проект!AY$1291*$C$416</f>
        <v>0</v>
      </c>
      <c r="AZ458" s="55">
        <f ca="1">Проект!AZ$1291*$C$416</f>
        <v>0</v>
      </c>
      <c r="BA458" s="55">
        <f ca="1">Проект!BA$1291*$C$416</f>
        <v>0</v>
      </c>
      <c r="BB458" s="55">
        <f ca="1">Проект!BB$1291*$C$416</f>
        <v>0</v>
      </c>
      <c r="BC458" s="55"/>
      <c r="BD458" s="57">
        <f t="shared" ca="1" si="1858"/>
        <v>0</v>
      </c>
    </row>
    <row r="459" spans="1:56" hidden="1" x14ac:dyDescent="0.3">
      <c r="A459" s="5" t="str">
        <f ca="1">Language!A$1156</f>
        <v>Импортная пошлина на сырье и материалы</v>
      </c>
      <c r="B459" s="109"/>
      <c r="C459" s="48" t="str">
        <f ca="1">Параметры!$C$64</f>
        <v>руб.</v>
      </c>
      <c r="E459" s="6" t="s">
        <v>2388</v>
      </c>
      <c r="F459" s="6" t="s">
        <v>740</v>
      </c>
      <c r="G459" s="55">
        <f ca="1">Проект!G$1292*$C$417</f>
        <v>0</v>
      </c>
      <c r="H459" s="55">
        <f ca="1">Проект!H$1292*$C$417</f>
        <v>0</v>
      </c>
      <c r="I459" s="55">
        <f ca="1">Проект!I$1292*$C$417</f>
        <v>0</v>
      </c>
      <c r="J459" s="55">
        <f ca="1">Проект!J$1292*$C$417</f>
        <v>0</v>
      </c>
      <c r="K459" s="55">
        <f ca="1">Проект!K$1292*$C$417</f>
        <v>0</v>
      </c>
      <c r="L459" s="55">
        <f ca="1">Проект!L$1292*$C$417</f>
        <v>0</v>
      </c>
      <c r="M459" s="55">
        <f ca="1">Проект!M$1292*$C$417</f>
        <v>0</v>
      </c>
      <c r="N459" s="55">
        <f ca="1">Проект!N$1292*$C$417</f>
        <v>0</v>
      </c>
      <c r="O459" s="55">
        <f ca="1">Проект!O$1292*$C$417</f>
        <v>0</v>
      </c>
      <c r="P459" s="55">
        <f ca="1">Проект!P$1292*$C$417</f>
        <v>0</v>
      </c>
      <c r="Q459" s="55">
        <f ca="1">Проект!Q$1292*$C$417</f>
        <v>0</v>
      </c>
      <c r="R459" s="55">
        <f ca="1">Проект!R$1292*$C$417</f>
        <v>0</v>
      </c>
      <c r="S459" s="55">
        <f ca="1">Проект!S$1292*$C$417</f>
        <v>0</v>
      </c>
      <c r="T459" s="55">
        <f ca="1">Проект!T$1292*$C$417</f>
        <v>0</v>
      </c>
      <c r="U459" s="55">
        <f ca="1">Проект!U$1292*$C$417</f>
        <v>0</v>
      </c>
      <c r="V459" s="55">
        <f ca="1">Проект!V$1292*$C$417</f>
        <v>0</v>
      </c>
      <c r="W459" s="55">
        <f ca="1">Проект!W$1292*$C$417</f>
        <v>0</v>
      </c>
      <c r="X459" s="55">
        <f ca="1">Проект!X$1292*$C$417</f>
        <v>0</v>
      </c>
      <c r="Y459" s="55">
        <f ca="1">Проект!Y$1292*$C$417</f>
        <v>0</v>
      </c>
      <c r="Z459" s="55">
        <f ca="1">Проект!Z$1292*$C$417</f>
        <v>0</v>
      </c>
      <c r="AA459" s="55">
        <f ca="1">Проект!AA$1292*$C$417</f>
        <v>0</v>
      </c>
      <c r="AB459" s="55">
        <f ca="1">Проект!AB$1292*$C$417</f>
        <v>0</v>
      </c>
      <c r="AC459" s="55">
        <f ca="1">Проект!AC$1292*$C$417</f>
        <v>0</v>
      </c>
      <c r="AD459" s="55">
        <f ca="1">Проект!AD$1292*$C$417</f>
        <v>0</v>
      </c>
      <c r="AE459" s="55">
        <f ca="1">Проект!AE$1292*$C$417</f>
        <v>0</v>
      </c>
      <c r="AF459" s="55">
        <f ca="1">Проект!AF$1292*$C$417</f>
        <v>0</v>
      </c>
      <c r="AG459" s="55">
        <f ca="1">Проект!AG$1292*$C$417</f>
        <v>0</v>
      </c>
      <c r="AH459" s="55">
        <f ca="1">Проект!AH$1292*$C$417</f>
        <v>0</v>
      </c>
      <c r="AI459" s="55">
        <f ca="1">Проект!AI$1292*$C$417</f>
        <v>0</v>
      </c>
      <c r="AJ459" s="55">
        <f ca="1">Проект!AJ$1292*$C$417</f>
        <v>0</v>
      </c>
      <c r="AK459" s="55">
        <f ca="1">Проект!AK$1292*$C$417</f>
        <v>0</v>
      </c>
      <c r="AL459" s="55">
        <f ca="1">Проект!AL$1292*$C$417</f>
        <v>0</v>
      </c>
      <c r="AM459" s="55">
        <f ca="1">Проект!AM$1292*$C$417</f>
        <v>0</v>
      </c>
      <c r="AN459" s="55">
        <f ca="1">Проект!AN$1292*$C$417</f>
        <v>0</v>
      </c>
      <c r="AO459" s="55">
        <f ca="1">Проект!AO$1292*$C$417</f>
        <v>0</v>
      </c>
      <c r="AP459" s="55">
        <f ca="1">Проект!AP$1292*$C$417</f>
        <v>0</v>
      </c>
      <c r="AQ459" s="55">
        <f ca="1">Проект!AQ$1292*$C$417</f>
        <v>0</v>
      </c>
      <c r="AR459" s="55">
        <f ca="1">Проект!AR$1292*$C$417</f>
        <v>0</v>
      </c>
      <c r="AS459" s="55">
        <f ca="1">Проект!AS$1292*$C$417</f>
        <v>0</v>
      </c>
      <c r="AT459" s="55">
        <f ca="1">Проект!AT$1292*$C$417</f>
        <v>0</v>
      </c>
      <c r="AU459" s="55">
        <f ca="1">Проект!AU$1292*$C$417</f>
        <v>0</v>
      </c>
      <c r="AV459" s="55">
        <f ca="1">Проект!AV$1292*$C$417</f>
        <v>0</v>
      </c>
      <c r="AW459" s="55">
        <f ca="1">Проект!AW$1292*$C$417</f>
        <v>0</v>
      </c>
      <c r="AX459" s="55">
        <f ca="1">Проект!AX$1292*$C$417</f>
        <v>0</v>
      </c>
      <c r="AY459" s="55">
        <f ca="1">Проект!AY$1292*$C$417</f>
        <v>0</v>
      </c>
      <c r="AZ459" s="55">
        <f ca="1">Проект!AZ$1292*$C$417</f>
        <v>0</v>
      </c>
      <c r="BA459" s="55">
        <f ca="1">Проект!BA$1292*$C$417</f>
        <v>0</v>
      </c>
      <c r="BB459" s="55">
        <f ca="1">Проект!BB$1292*$C$417</f>
        <v>0</v>
      </c>
      <c r="BC459" s="55"/>
      <c r="BD459" s="57">
        <f t="shared" ca="1" si="1858"/>
        <v>0</v>
      </c>
    </row>
    <row r="460" spans="1:56" hidden="1" x14ac:dyDescent="0.3">
      <c r="A460" s="5" t="str">
        <f ca="1">Language!A$1157</f>
        <v>Импортная пошлина на оборудование</v>
      </c>
      <c r="B460" s="109"/>
      <c r="C460" s="48" t="str">
        <f ca="1">Параметры!$C$64</f>
        <v>руб.</v>
      </c>
      <c r="E460" s="6" t="s">
        <v>2389</v>
      </c>
      <c r="F460" s="6" t="s">
        <v>740</v>
      </c>
      <c r="G460" s="55">
        <f>Проект!G$1293*$C$418</f>
        <v>0</v>
      </c>
      <c r="H460" s="55">
        <f>Проект!H$1293*$C$418</f>
        <v>0</v>
      </c>
      <c r="I460" s="55">
        <f>Проект!I$1293*$C$418</f>
        <v>0</v>
      </c>
      <c r="J460" s="55">
        <f>Проект!J$1293*$C$418</f>
        <v>0</v>
      </c>
      <c r="K460" s="55">
        <f>Проект!K$1293*$C$418</f>
        <v>0</v>
      </c>
      <c r="L460" s="55">
        <f>Проект!L$1293*$C$418</f>
        <v>0</v>
      </c>
      <c r="M460" s="55">
        <f>Проект!M$1293*$C$418</f>
        <v>0</v>
      </c>
      <c r="N460" s="55">
        <f>Проект!N$1293*$C$418</f>
        <v>0</v>
      </c>
      <c r="O460" s="55">
        <f>Проект!O$1293*$C$418</f>
        <v>0</v>
      </c>
      <c r="P460" s="55">
        <f>Проект!P$1293*$C$418</f>
        <v>0</v>
      </c>
      <c r="Q460" s="55">
        <f>Проект!Q$1293*$C$418</f>
        <v>0</v>
      </c>
      <c r="R460" s="55">
        <f>Проект!R$1293*$C$418</f>
        <v>0</v>
      </c>
      <c r="S460" s="55">
        <f>Проект!S$1293*$C$418</f>
        <v>0</v>
      </c>
      <c r="T460" s="55">
        <f>Проект!T$1293*$C$418</f>
        <v>0</v>
      </c>
      <c r="U460" s="55">
        <f>Проект!U$1293*$C$418</f>
        <v>0</v>
      </c>
      <c r="V460" s="55">
        <f>Проект!V$1293*$C$418</f>
        <v>0</v>
      </c>
      <c r="W460" s="55">
        <f>Проект!W$1293*$C$418</f>
        <v>0</v>
      </c>
      <c r="X460" s="55">
        <f>Проект!X$1293*$C$418</f>
        <v>0</v>
      </c>
      <c r="Y460" s="55">
        <f>Проект!Y$1293*$C$418</f>
        <v>0</v>
      </c>
      <c r="Z460" s="55">
        <f>Проект!Z$1293*$C$418</f>
        <v>0</v>
      </c>
      <c r="AA460" s="55">
        <f>Проект!AA$1293*$C$418</f>
        <v>0</v>
      </c>
      <c r="AB460" s="55">
        <f>Проект!AB$1293*$C$418</f>
        <v>0</v>
      </c>
      <c r="AC460" s="55">
        <f>Проект!AC$1293*$C$418</f>
        <v>0</v>
      </c>
      <c r="AD460" s="55">
        <f>Проект!AD$1293*$C$418</f>
        <v>0</v>
      </c>
      <c r="AE460" s="55">
        <f>Проект!AE$1293*$C$418</f>
        <v>0</v>
      </c>
      <c r="AF460" s="55">
        <f>Проект!AF$1293*$C$418</f>
        <v>0</v>
      </c>
      <c r="AG460" s="55">
        <f>Проект!AG$1293*$C$418</f>
        <v>0</v>
      </c>
      <c r="AH460" s="55">
        <f>Проект!AH$1293*$C$418</f>
        <v>0</v>
      </c>
      <c r="AI460" s="55">
        <f>Проект!AI$1293*$C$418</f>
        <v>0</v>
      </c>
      <c r="AJ460" s="55">
        <f>Проект!AJ$1293*$C$418</f>
        <v>0</v>
      </c>
      <c r="AK460" s="55">
        <f>Проект!AK$1293*$C$418</f>
        <v>0</v>
      </c>
      <c r="AL460" s="55">
        <f>Проект!AL$1293*$C$418</f>
        <v>0</v>
      </c>
      <c r="AM460" s="55">
        <f>Проект!AM$1293*$C$418</f>
        <v>0</v>
      </c>
      <c r="AN460" s="55">
        <f>Проект!AN$1293*$C$418</f>
        <v>0</v>
      </c>
      <c r="AO460" s="55">
        <f>Проект!AO$1293*$C$418</f>
        <v>0</v>
      </c>
      <c r="AP460" s="55">
        <f>Проект!AP$1293*$C$418</f>
        <v>0</v>
      </c>
      <c r="AQ460" s="55">
        <f>Проект!AQ$1293*$C$418</f>
        <v>0</v>
      </c>
      <c r="AR460" s="55">
        <f>Проект!AR$1293*$C$418</f>
        <v>0</v>
      </c>
      <c r="AS460" s="55">
        <f>Проект!AS$1293*$C$418</f>
        <v>0</v>
      </c>
      <c r="AT460" s="55">
        <f>Проект!AT$1293*$C$418</f>
        <v>0</v>
      </c>
      <c r="AU460" s="55">
        <f>Проект!AU$1293*$C$418</f>
        <v>0</v>
      </c>
      <c r="AV460" s="55">
        <f>Проект!AV$1293*$C$418</f>
        <v>0</v>
      </c>
      <c r="AW460" s="55">
        <f>Проект!AW$1293*$C$418</f>
        <v>0</v>
      </c>
      <c r="AX460" s="55">
        <f>Проект!AX$1293*$C$418</f>
        <v>0</v>
      </c>
      <c r="AY460" s="55">
        <f>Проект!AY$1293*$C$418</f>
        <v>0</v>
      </c>
      <c r="AZ460" s="55">
        <f>Проект!AZ$1293*$C$418</f>
        <v>0</v>
      </c>
      <c r="BA460" s="55">
        <f>Проект!BA$1293*$C$418</f>
        <v>0</v>
      </c>
      <c r="BB460" s="55">
        <f>Проект!BB$1293*$C$418</f>
        <v>0</v>
      </c>
      <c r="BC460" s="55"/>
      <c r="BD460" s="57">
        <f t="shared" si="1858"/>
        <v>0</v>
      </c>
    </row>
    <row r="461" spans="1:56" hidden="1" x14ac:dyDescent="0.3">
      <c r="A461" s="10" t="str">
        <f ca="1">Language!A$1415</f>
        <v>Налог на добавленную стоимость</v>
      </c>
      <c r="B461" s="78"/>
      <c r="C461" s="48" t="str">
        <f ca="1">Параметры!$C$64</f>
        <v>руб.</v>
      </c>
      <c r="E461" s="6" t="s">
        <v>2390</v>
      </c>
      <c r="F461" s="6" t="s">
        <v>740</v>
      </c>
      <c r="G461" s="55">
        <f ca="1">Проект!G$1297*$C$419</f>
        <v>0</v>
      </c>
      <c r="H461" s="55">
        <f ca="1">Проект!H$1297*$C$419</f>
        <v>0</v>
      </c>
      <c r="I461" s="55">
        <f ca="1">Проект!I$1297*$C$419</f>
        <v>0</v>
      </c>
      <c r="J461" s="55">
        <f ca="1">Проект!J$1297*$C$419</f>
        <v>0</v>
      </c>
      <c r="K461" s="55">
        <f ca="1">Проект!K$1297*$C$419</f>
        <v>0</v>
      </c>
      <c r="L461" s="55">
        <f ca="1">Проект!L$1297*$C$419</f>
        <v>0</v>
      </c>
      <c r="M461" s="55">
        <f ca="1">Проект!M$1297*$C$419</f>
        <v>0</v>
      </c>
      <c r="N461" s="55">
        <f ca="1">Проект!N$1297*$C$419</f>
        <v>0</v>
      </c>
      <c r="O461" s="55">
        <f ca="1">Проект!O$1297*$C$419</f>
        <v>0</v>
      </c>
      <c r="P461" s="55">
        <f ca="1">Проект!P$1297*$C$419</f>
        <v>0</v>
      </c>
      <c r="Q461" s="55">
        <f ca="1">Проект!Q$1297*$C$419</f>
        <v>0</v>
      </c>
      <c r="R461" s="55">
        <f ca="1">Проект!R$1297*$C$419</f>
        <v>0</v>
      </c>
      <c r="S461" s="55">
        <f ca="1">Проект!S$1297*$C$419</f>
        <v>0</v>
      </c>
      <c r="T461" s="55">
        <f ca="1">Проект!T$1297*$C$419</f>
        <v>0</v>
      </c>
      <c r="U461" s="55">
        <f ca="1">Проект!U$1297*$C$419</f>
        <v>0</v>
      </c>
      <c r="V461" s="55">
        <f ca="1">Проект!V$1297*$C$419</f>
        <v>0</v>
      </c>
      <c r="W461" s="55">
        <f ca="1">Проект!W$1297*$C$419</f>
        <v>0</v>
      </c>
      <c r="X461" s="55">
        <f ca="1">Проект!X$1297*$C$419</f>
        <v>0</v>
      </c>
      <c r="Y461" s="55">
        <f ca="1">Проект!Y$1297*$C$419</f>
        <v>0</v>
      </c>
      <c r="Z461" s="55">
        <f ca="1">Проект!Z$1297*$C$419</f>
        <v>0</v>
      </c>
      <c r="AA461" s="55">
        <f ca="1">Проект!AA$1297*$C$419</f>
        <v>0</v>
      </c>
      <c r="AB461" s="55">
        <f ca="1">Проект!AB$1297*$C$419</f>
        <v>0</v>
      </c>
      <c r="AC461" s="55">
        <f ca="1">Проект!AC$1297*$C$419</f>
        <v>0</v>
      </c>
      <c r="AD461" s="55">
        <f ca="1">Проект!AD$1297*$C$419</f>
        <v>0</v>
      </c>
      <c r="AE461" s="55">
        <f ca="1">Проект!AE$1297*$C$419</f>
        <v>0</v>
      </c>
      <c r="AF461" s="55">
        <f ca="1">Проект!AF$1297*$C$419</f>
        <v>0</v>
      </c>
      <c r="AG461" s="55">
        <f ca="1">Проект!AG$1297*$C$419</f>
        <v>0</v>
      </c>
      <c r="AH461" s="55">
        <f ca="1">Проект!AH$1297*$C$419</f>
        <v>0</v>
      </c>
      <c r="AI461" s="55">
        <f ca="1">Проект!AI$1297*$C$419</f>
        <v>0</v>
      </c>
      <c r="AJ461" s="55">
        <f ca="1">Проект!AJ$1297*$C$419</f>
        <v>0</v>
      </c>
      <c r="AK461" s="55">
        <f ca="1">Проект!AK$1297*$C$419</f>
        <v>0</v>
      </c>
      <c r="AL461" s="55">
        <f ca="1">Проект!AL$1297*$C$419</f>
        <v>0</v>
      </c>
      <c r="AM461" s="55">
        <f ca="1">Проект!AM$1297*$C$419</f>
        <v>0</v>
      </c>
      <c r="AN461" s="55">
        <f ca="1">Проект!AN$1297*$C$419</f>
        <v>0</v>
      </c>
      <c r="AO461" s="55">
        <f ca="1">Проект!AO$1297*$C$419</f>
        <v>0</v>
      </c>
      <c r="AP461" s="55">
        <f ca="1">Проект!AP$1297*$C$419</f>
        <v>0</v>
      </c>
      <c r="AQ461" s="55">
        <f ca="1">Проект!AQ$1297*$C$419</f>
        <v>0</v>
      </c>
      <c r="AR461" s="55">
        <f ca="1">Проект!AR$1297*$C$419</f>
        <v>0</v>
      </c>
      <c r="AS461" s="55">
        <f ca="1">Проект!AS$1297*$C$419</f>
        <v>0</v>
      </c>
      <c r="AT461" s="55">
        <f ca="1">Проект!AT$1297*$C$419</f>
        <v>0</v>
      </c>
      <c r="AU461" s="55">
        <f ca="1">Проект!AU$1297*$C$419</f>
        <v>0</v>
      </c>
      <c r="AV461" s="55">
        <f ca="1">Проект!AV$1297*$C$419</f>
        <v>0</v>
      </c>
      <c r="AW461" s="55">
        <f ca="1">Проект!AW$1297*$C$419</f>
        <v>0</v>
      </c>
      <c r="AX461" s="55">
        <f ca="1">Проект!AX$1297*$C$419</f>
        <v>0</v>
      </c>
      <c r="AY461" s="55">
        <f ca="1">Проект!AY$1297*$C$419</f>
        <v>0</v>
      </c>
      <c r="AZ461" s="55">
        <f ca="1">Проект!AZ$1297*$C$419</f>
        <v>0</v>
      </c>
      <c r="BA461" s="55">
        <f ca="1">Проект!BA$1297*$C$419</f>
        <v>0</v>
      </c>
      <c r="BB461" s="55">
        <f ca="1">Проект!BB$1297*$C$419</f>
        <v>0</v>
      </c>
      <c r="BC461" s="55"/>
      <c r="BD461" s="57">
        <f t="shared" ca="1" si="1858"/>
        <v>0</v>
      </c>
    </row>
    <row r="462" spans="1:56" hidden="1" x14ac:dyDescent="0.3">
      <c r="A462" s="10" t="str">
        <f ca="1">Language!A$1416</f>
        <v>Налог на прибыль</v>
      </c>
      <c r="B462" s="78"/>
      <c r="C462" s="48" t="str">
        <f ca="1">Параметры!$C$64</f>
        <v>руб.</v>
      </c>
      <c r="E462" s="6" t="s">
        <v>2391</v>
      </c>
      <c r="F462" s="6" t="s">
        <v>740</v>
      </c>
      <c r="G462" s="55">
        <f ca="1">Проект!G$1327*$C$420</f>
        <v>0</v>
      </c>
      <c r="H462" s="55">
        <f ca="1">Проект!H$1327*$C$420</f>
        <v>0</v>
      </c>
      <c r="I462" s="55">
        <f ca="1">Проект!I$1327*$C$420</f>
        <v>0</v>
      </c>
      <c r="J462" s="55">
        <f ca="1">Проект!J$1327*$C$420</f>
        <v>0</v>
      </c>
      <c r="K462" s="55">
        <f ca="1">Проект!K$1327*$C$420</f>
        <v>0</v>
      </c>
      <c r="L462" s="55">
        <f ca="1">Проект!L$1327*$C$420</f>
        <v>0</v>
      </c>
      <c r="M462" s="55">
        <f ca="1">Проект!M$1327*$C$420</f>
        <v>0</v>
      </c>
      <c r="N462" s="55">
        <f ca="1">Проект!N$1327*$C$420</f>
        <v>0</v>
      </c>
      <c r="O462" s="55">
        <f ca="1">Проект!O$1327*$C$420</f>
        <v>0</v>
      </c>
      <c r="P462" s="55">
        <f ca="1">Проект!P$1327*$C$420</f>
        <v>0</v>
      </c>
      <c r="Q462" s="55">
        <f ca="1">Проект!Q$1327*$C$420</f>
        <v>0</v>
      </c>
      <c r="R462" s="55">
        <f ca="1">Проект!R$1327*$C$420</f>
        <v>0</v>
      </c>
      <c r="S462" s="55">
        <f ca="1">Проект!S$1327*$C$420</f>
        <v>0</v>
      </c>
      <c r="T462" s="55">
        <f ca="1">Проект!T$1327*$C$420</f>
        <v>0</v>
      </c>
      <c r="U462" s="55">
        <f ca="1">Проект!U$1327*$C$420</f>
        <v>0</v>
      </c>
      <c r="V462" s="55">
        <f ca="1">Проект!V$1327*$C$420</f>
        <v>0</v>
      </c>
      <c r="W462" s="55">
        <f ca="1">Проект!W$1327*$C$420</f>
        <v>0</v>
      </c>
      <c r="X462" s="55">
        <f ca="1">Проект!X$1327*$C$420</f>
        <v>0</v>
      </c>
      <c r="Y462" s="55">
        <f ca="1">Проект!Y$1327*$C$420</f>
        <v>0</v>
      </c>
      <c r="Z462" s="55">
        <f ca="1">Проект!Z$1327*$C$420</f>
        <v>0</v>
      </c>
      <c r="AA462" s="55">
        <f ca="1">Проект!AA$1327*$C$420</f>
        <v>0</v>
      </c>
      <c r="AB462" s="55">
        <f ca="1">Проект!AB$1327*$C$420</f>
        <v>0</v>
      </c>
      <c r="AC462" s="55">
        <f ca="1">Проект!AC$1327*$C$420</f>
        <v>0</v>
      </c>
      <c r="AD462" s="55">
        <f ca="1">Проект!AD$1327*$C$420</f>
        <v>0</v>
      </c>
      <c r="AE462" s="55">
        <f ca="1">Проект!AE$1327*$C$420</f>
        <v>0</v>
      </c>
      <c r="AF462" s="55">
        <f ca="1">Проект!AF$1327*$C$420</f>
        <v>0</v>
      </c>
      <c r="AG462" s="55">
        <f ca="1">Проект!AG$1327*$C$420</f>
        <v>0</v>
      </c>
      <c r="AH462" s="55">
        <f ca="1">Проект!AH$1327*$C$420</f>
        <v>0</v>
      </c>
      <c r="AI462" s="55">
        <f ca="1">Проект!AI$1327*$C$420</f>
        <v>0</v>
      </c>
      <c r="AJ462" s="55">
        <f ca="1">Проект!AJ$1327*$C$420</f>
        <v>0</v>
      </c>
      <c r="AK462" s="55">
        <f ca="1">Проект!AK$1327*$C$420</f>
        <v>0</v>
      </c>
      <c r="AL462" s="55">
        <f ca="1">Проект!AL$1327*$C$420</f>
        <v>0</v>
      </c>
      <c r="AM462" s="55">
        <f ca="1">Проект!AM$1327*$C$420</f>
        <v>0</v>
      </c>
      <c r="AN462" s="55">
        <f ca="1">Проект!AN$1327*$C$420</f>
        <v>0</v>
      </c>
      <c r="AO462" s="55">
        <f ca="1">Проект!AO$1327*$C$420</f>
        <v>0</v>
      </c>
      <c r="AP462" s="55">
        <f ca="1">Проект!AP$1327*$C$420</f>
        <v>0</v>
      </c>
      <c r="AQ462" s="55">
        <f ca="1">Проект!AQ$1327*$C$420</f>
        <v>0</v>
      </c>
      <c r="AR462" s="55">
        <f ca="1">Проект!AR$1327*$C$420</f>
        <v>0</v>
      </c>
      <c r="AS462" s="55">
        <f ca="1">Проект!AS$1327*$C$420</f>
        <v>0</v>
      </c>
      <c r="AT462" s="55">
        <f ca="1">Проект!AT$1327*$C$420</f>
        <v>0</v>
      </c>
      <c r="AU462" s="55">
        <f ca="1">Проект!AU$1327*$C$420</f>
        <v>0</v>
      </c>
      <c r="AV462" s="55">
        <f ca="1">Проект!AV$1327*$C$420</f>
        <v>0</v>
      </c>
      <c r="AW462" s="55">
        <f ca="1">Проект!AW$1327*$C$420</f>
        <v>0</v>
      </c>
      <c r="AX462" s="55">
        <f ca="1">Проект!AX$1327*$C$420</f>
        <v>0</v>
      </c>
      <c r="AY462" s="55">
        <f ca="1">Проект!AY$1327*$C$420</f>
        <v>0</v>
      </c>
      <c r="AZ462" s="55">
        <f ca="1">Проект!AZ$1327*$C$420</f>
        <v>0</v>
      </c>
      <c r="BA462" s="55">
        <f ca="1">Проект!BA$1327*$C$420</f>
        <v>0</v>
      </c>
      <c r="BB462" s="55">
        <f ca="1">Проект!BB$1327*$C$420</f>
        <v>0</v>
      </c>
      <c r="BC462" s="55"/>
      <c r="BD462" s="57">
        <f t="shared" ca="1" si="1858"/>
        <v>0</v>
      </c>
    </row>
    <row r="463" spans="1:56" hidden="1" x14ac:dyDescent="0.3">
      <c r="A463" s="10" t="str">
        <f ca="1">Language!A$1417</f>
        <v>Налог на имущество</v>
      </c>
      <c r="B463" s="78"/>
      <c r="C463" s="48" t="str">
        <f ca="1">Параметры!$C$64</f>
        <v>руб.</v>
      </c>
      <c r="E463" s="6" t="s">
        <v>2392</v>
      </c>
      <c r="F463" s="6" t="s">
        <v>740</v>
      </c>
      <c r="G463" s="55">
        <f ca="1">Проект!G$1315*$C$421</f>
        <v>0</v>
      </c>
      <c r="H463" s="55">
        <f ca="1">Проект!H$1315*$C$421</f>
        <v>0</v>
      </c>
      <c r="I463" s="55">
        <f ca="1">Проект!I$1315*$C$421</f>
        <v>0</v>
      </c>
      <c r="J463" s="55">
        <f ca="1">Проект!J$1315*$C$421</f>
        <v>0</v>
      </c>
      <c r="K463" s="55">
        <f ca="1">Проект!K$1315*$C$421</f>
        <v>0</v>
      </c>
      <c r="L463" s="55">
        <f ca="1">Проект!L$1315*$C$421</f>
        <v>0</v>
      </c>
      <c r="M463" s="55">
        <f ca="1">Проект!M$1315*$C$421</f>
        <v>0</v>
      </c>
      <c r="N463" s="55">
        <f ca="1">Проект!N$1315*$C$421</f>
        <v>0</v>
      </c>
      <c r="O463" s="55">
        <f ca="1">Проект!O$1315*$C$421</f>
        <v>0</v>
      </c>
      <c r="P463" s="55">
        <f ca="1">Проект!P$1315*$C$421</f>
        <v>0</v>
      </c>
      <c r="Q463" s="55">
        <f ca="1">Проект!Q$1315*$C$421</f>
        <v>0</v>
      </c>
      <c r="R463" s="55">
        <f ca="1">Проект!R$1315*$C$421</f>
        <v>0</v>
      </c>
      <c r="S463" s="55">
        <f ca="1">Проект!S$1315*$C$421</f>
        <v>0</v>
      </c>
      <c r="T463" s="55">
        <f ca="1">Проект!T$1315*$C$421</f>
        <v>0</v>
      </c>
      <c r="U463" s="55">
        <f ca="1">Проект!U$1315*$C$421</f>
        <v>0</v>
      </c>
      <c r="V463" s="55">
        <f ca="1">Проект!V$1315*$C$421</f>
        <v>0</v>
      </c>
      <c r="W463" s="55">
        <f ca="1">Проект!W$1315*$C$421</f>
        <v>0</v>
      </c>
      <c r="X463" s="55">
        <f ca="1">Проект!X$1315*$C$421</f>
        <v>0</v>
      </c>
      <c r="Y463" s="55">
        <f ca="1">Проект!Y$1315*$C$421</f>
        <v>0</v>
      </c>
      <c r="Z463" s="55">
        <f ca="1">Проект!Z$1315*$C$421</f>
        <v>0</v>
      </c>
      <c r="AA463" s="55">
        <f ca="1">Проект!AA$1315*$C$421</f>
        <v>0</v>
      </c>
      <c r="AB463" s="55">
        <f ca="1">Проект!AB$1315*$C$421</f>
        <v>0</v>
      </c>
      <c r="AC463" s="55">
        <f ca="1">Проект!AC$1315*$C$421</f>
        <v>0</v>
      </c>
      <c r="AD463" s="55">
        <f ca="1">Проект!AD$1315*$C$421</f>
        <v>0</v>
      </c>
      <c r="AE463" s="55">
        <f ca="1">Проект!AE$1315*$C$421</f>
        <v>0</v>
      </c>
      <c r="AF463" s="55">
        <f ca="1">Проект!AF$1315*$C$421</f>
        <v>0</v>
      </c>
      <c r="AG463" s="55">
        <f ca="1">Проект!AG$1315*$C$421</f>
        <v>0</v>
      </c>
      <c r="AH463" s="55">
        <f ca="1">Проект!AH$1315*$C$421</f>
        <v>0</v>
      </c>
      <c r="AI463" s="55">
        <f ca="1">Проект!AI$1315*$C$421</f>
        <v>0</v>
      </c>
      <c r="AJ463" s="55">
        <f ca="1">Проект!AJ$1315*$C$421</f>
        <v>0</v>
      </c>
      <c r="AK463" s="55">
        <f ca="1">Проект!AK$1315*$C$421</f>
        <v>0</v>
      </c>
      <c r="AL463" s="55">
        <f ca="1">Проект!AL$1315*$C$421</f>
        <v>0</v>
      </c>
      <c r="AM463" s="55">
        <f ca="1">Проект!AM$1315*$C$421</f>
        <v>0</v>
      </c>
      <c r="AN463" s="55">
        <f ca="1">Проект!AN$1315*$C$421</f>
        <v>0</v>
      </c>
      <c r="AO463" s="55">
        <f ca="1">Проект!AO$1315*$C$421</f>
        <v>0</v>
      </c>
      <c r="AP463" s="55">
        <f ca="1">Проект!AP$1315*$C$421</f>
        <v>0</v>
      </c>
      <c r="AQ463" s="55">
        <f ca="1">Проект!AQ$1315*$C$421</f>
        <v>0</v>
      </c>
      <c r="AR463" s="55">
        <f ca="1">Проект!AR$1315*$C$421</f>
        <v>0</v>
      </c>
      <c r="AS463" s="55">
        <f ca="1">Проект!AS$1315*$C$421</f>
        <v>0</v>
      </c>
      <c r="AT463" s="55">
        <f ca="1">Проект!AT$1315*$C$421</f>
        <v>0</v>
      </c>
      <c r="AU463" s="55">
        <f ca="1">Проект!AU$1315*$C$421</f>
        <v>0</v>
      </c>
      <c r="AV463" s="55">
        <f ca="1">Проект!AV$1315*$C$421</f>
        <v>0</v>
      </c>
      <c r="AW463" s="55">
        <f ca="1">Проект!AW$1315*$C$421</f>
        <v>0</v>
      </c>
      <c r="AX463" s="55">
        <f ca="1">Проект!AX$1315*$C$421</f>
        <v>0</v>
      </c>
      <c r="AY463" s="55">
        <f ca="1">Проект!AY$1315*$C$421</f>
        <v>0</v>
      </c>
      <c r="AZ463" s="55">
        <f ca="1">Проект!AZ$1315*$C$421</f>
        <v>0</v>
      </c>
      <c r="BA463" s="55">
        <f ca="1">Проект!BA$1315*$C$421</f>
        <v>0</v>
      </c>
      <c r="BB463" s="55">
        <f ca="1">Проект!BB$1315*$C$421</f>
        <v>0</v>
      </c>
      <c r="BC463" s="55"/>
      <c r="BD463" s="57">
        <f t="shared" ca="1" si="1858"/>
        <v>0</v>
      </c>
    </row>
    <row r="464" spans="1:56" hidden="1" x14ac:dyDescent="0.3">
      <c r="A464" s="10" t="str">
        <f ca="1">Language!A$1418</f>
        <v>Социальные взносы</v>
      </c>
      <c r="B464" s="78"/>
      <c r="C464" s="48" t="str">
        <f ca="1">Параметры!$C$64</f>
        <v>руб.</v>
      </c>
      <c r="E464" s="6" t="s">
        <v>2393</v>
      </c>
      <c r="F464" s="6" t="s">
        <v>740</v>
      </c>
      <c r="G464" s="55">
        <f ca="1">Проект!G$1323*$C$422</f>
        <v>0</v>
      </c>
      <c r="H464" s="55">
        <f ca="1">Проект!H$1323*$C$422</f>
        <v>0</v>
      </c>
      <c r="I464" s="55">
        <f ca="1">Проект!I$1323*$C$422</f>
        <v>0</v>
      </c>
      <c r="J464" s="55">
        <f ca="1">Проект!J$1323*$C$422</f>
        <v>0</v>
      </c>
      <c r="K464" s="55">
        <f ca="1">Проект!K$1323*$C$422</f>
        <v>0</v>
      </c>
      <c r="L464" s="55">
        <f ca="1">Проект!L$1323*$C$422</f>
        <v>0</v>
      </c>
      <c r="M464" s="55">
        <f ca="1">Проект!M$1323*$C$422</f>
        <v>0</v>
      </c>
      <c r="N464" s="55">
        <f ca="1">Проект!N$1323*$C$422</f>
        <v>0</v>
      </c>
      <c r="O464" s="55">
        <f ca="1">Проект!O$1323*$C$422</f>
        <v>0</v>
      </c>
      <c r="P464" s="55">
        <f ca="1">Проект!P$1323*$C$422</f>
        <v>0</v>
      </c>
      <c r="Q464" s="55">
        <f ca="1">Проект!Q$1323*$C$422</f>
        <v>0</v>
      </c>
      <c r="R464" s="55">
        <f ca="1">Проект!R$1323*$C$422</f>
        <v>0</v>
      </c>
      <c r="S464" s="55">
        <f ca="1">Проект!S$1323*$C$422</f>
        <v>0</v>
      </c>
      <c r="T464" s="55">
        <f ca="1">Проект!T$1323*$C$422</f>
        <v>0</v>
      </c>
      <c r="U464" s="55">
        <f ca="1">Проект!U$1323*$C$422</f>
        <v>0</v>
      </c>
      <c r="V464" s="55">
        <f ca="1">Проект!V$1323*$C$422</f>
        <v>0</v>
      </c>
      <c r="W464" s="55">
        <f ca="1">Проект!W$1323*$C$422</f>
        <v>0</v>
      </c>
      <c r="X464" s="55">
        <f ca="1">Проект!X$1323*$C$422</f>
        <v>0</v>
      </c>
      <c r="Y464" s="55">
        <f ca="1">Проект!Y$1323*$C$422</f>
        <v>0</v>
      </c>
      <c r="Z464" s="55">
        <f ca="1">Проект!Z$1323*$C$422</f>
        <v>0</v>
      </c>
      <c r="AA464" s="55">
        <f ca="1">Проект!AA$1323*$C$422</f>
        <v>0</v>
      </c>
      <c r="AB464" s="55">
        <f ca="1">Проект!AB$1323*$C$422</f>
        <v>0</v>
      </c>
      <c r="AC464" s="55">
        <f ca="1">Проект!AC$1323*$C$422</f>
        <v>0</v>
      </c>
      <c r="AD464" s="55">
        <f ca="1">Проект!AD$1323*$C$422</f>
        <v>0</v>
      </c>
      <c r="AE464" s="55">
        <f ca="1">Проект!AE$1323*$C$422</f>
        <v>0</v>
      </c>
      <c r="AF464" s="55">
        <f ca="1">Проект!AF$1323*$C$422</f>
        <v>0</v>
      </c>
      <c r="AG464" s="55">
        <f ca="1">Проект!AG$1323*$C$422</f>
        <v>0</v>
      </c>
      <c r="AH464" s="55">
        <f ca="1">Проект!AH$1323*$C$422</f>
        <v>0</v>
      </c>
      <c r="AI464" s="55">
        <f ca="1">Проект!AI$1323*$C$422</f>
        <v>0</v>
      </c>
      <c r="AJ464" s="55">
        <f ca="1">Проект!AJ$1323*$C$422</f>
        <v>0</v>
      </c>
      <c r="AK464" s="55">
        <f ca="1">Проект!AK$1323*$C$422</f>
        <v>0</v>
      </c>
      <c r="AL464" s="55">
        <f ca="1">Проект!AL$1323*$C$422</f>
        <v>0</v>
      </c>
      <c r="AM464" s="55">
        <f ca="1">Проект!AM$1323*$C$422</f>
        <v>0</v>
      </c>
      <c r="AN464" s="55">
        <f ca="1">Проект!AN$1323*$C$422</f>
        <v>0</v>
      </c>
      <c r="AO464" s="55">
        <f ca="1">Проект!AO$1323*$C$422</f>
        <v>0</v>
      </c>
      <c r="AP464" s="55">
        <f ca="1">Проект!AP$1323*$C$422</f>
        <v>0</v>
      </c>
      <c r="AQ464" s="55">
        <f ca="1">Проект!AQ$1323*$C$422</f>
        <v>0</v>
      </c>
      <c r="AR464" s="55">
        <f ca="1">Проект!AR$1323*$C$422</f>
        <v>0</v>
      </c>
      <c r="AS464" s="55">
        <f ca="1">Проект!AS$1323*$C$422</f>
        <v>0</v>
      </c>
      <c r="AT464" s="55">
        <f ca="1">Проект!AT$1323*$C$422</f>
        <v>0</v>
      </c>
      <c r="AU464" s="55">
        <f ca="1">Проект!AU$1323*$C$422</f>
        <v>0</v>
      </c>
      <c r="AV464" s="55">
        <f ca="1">Проект!AV$1323*$C$422</f>
        <v>0</v>
      </c>
      <c r="AW464" s="55">
        <f ca="1">Проект!AW$1323*$C$422</f>
        <v>0</v>
      </c>
      <c r="AX464" s="55">
        <f ca="1">Проект!AX$1323*$C$422</f>
        <v>0</v>
      </c>
      <c r="AY464" s="55">
        <f ca="1">Проект!AY$1323*$C$422</f>
        <v>0</v>
      </c>
      <c r="AZ464" s="55">
        <f ca="1">Проект!AZ$1323*$C$422</f>
        <v>0</v>
      </c>
      <c r="BA464" s="55">
        <f ca="1">Проект!BA$1323*$C$422</f>
        <v>0</v>
      </c>
      <c r="BB464" s="55">
        <f ca="1">Проект!BB$1323*$C$422</f>
        <v>0</v>
      </c>
      <c r="BC464" s="55"/>
      <c r="BD464" s="57">
        <f t="shared" ca="1" si="1858"/>
        <v>0</v>
      </c>
    </row>
    <row r="465" spans="1:56" hidden="1" x14ac:dyDescent="0.3">
      <c r="A465" s="10" t="str">
        <f ca="1">Language!A$1419</f>
        <v>Налог с оборота</v>
      </c>
      <c r="B465" s="78"/>
      <c r="C465" s="48" t="str">
        <f ca="1">Параметры!$C$64</f>
        <v>руб.</v>
      </c>
      <c r="E465" s="6" t="s">
        <v>2394</v>
      </c>
      <c r="F465" s="6" t="s">
        <v>740</v>
      </c>
      <c r="G465" s="55">
        <f ca="1">Проект!G$1341*$C$423</f>
        <v>0</v>
      </c>
      <c r="H465" s="55">
        <f ca="1">Проект!H$1341*$C$423</f>
        <v>0</v>
      </c>
      <c r="I465" s="55">
        <f ca="1">Проект!I$1341*$C$423</f>
        <v>0</v>
      </c>
      <c r="J465" s="55">
        <f ca="1">Проект!J$1341*$C$423</f>
        <v>0</v>
      </c>
      <c r="K465" s="55">
        <f ca="1">Проект!K$1341*$C$423</f>
        <v>0</v>
      </c>
      <c r="L465" s="55">
        <f ca="1">Проект!L$1341*$C$423</f>
        <v>0</v>
      </c>
      <c r="M465" s="55">
        <f ca="1">Проект!M$1341*$C$423</f>
        <v>0</v>
      </c>
      <c r="N465" s="55">
        <f ca="1">Проект!N$1341*$C$423</f>
        <v>299479.28954102995</v>
      </c>
      <c r="O465" s="55">
        <f ca="1">Проект!O$1341*$C$423</f>
        <v>550989.00493870687</v>
      </c>
      <c r="P465" s="55">
        <f ca="1">Проект!P$1341*$C$423</f>
        <v>704627.75723174855</v>
      </c>
      <c r="Q465" s="55">
        <f ca="1">Проект!Q$1341*$C$423</f>
        <v>859749.14370673499</v>
      </c>
      <c r="R465" s="55">
        <f ca="1">Проект!R$1341*$C$423</f>
        <v>914579.64989831403</v>
      </c>
      <c r="S465" s="55">
        <f ca="1">Проект!S$1341*$C$423</f>
        <v>919031.41259022767</v>
      </c>
      <c r="T465" s="55">
        <f ca="1">Проект!T$1341*$C$423</f>
        <v>1129060.0444621495</v>
      </c>
      <c r="U465" s="55">
        <f ca="1">Проект!U$1341*$C$423</f>
        <v>1134055.5261548928</v>
      </c>
      <c r="V465" s="55">
        <f ca="1">Проект!V$1341*$C$423</f>
        <v>984156.07574523462</v>
      </c>
      <c r="W465" s="55">
        <f ca="1">Проект!W$1341*$C$423</f>
        <v>937056.21248579852</v>
      </c>
      <c r="X465" s="55">
        <f ca="1">Проект!X$1341*$C$423</f>
        <v>836824.02216486039</v>
      </c>
      <c r="Y465" s="55">
        <f ca="1">Проект!Y$1341*$C$423</f>
        <v>1104410.9633703688</v>
      </c>
      <c r="Z465" s="55">
        <f ca="1">Проект!Z$1341*$C$423</f>
        <v>1479373.9395412637</v>
      </c>
      <c r="AA465" s="55">
        <f ca="1">Проект!AA$1341*$C$423</f>
        <v>1592390.8826348619</v>
      </c>
      <c r="AB465" s="55">
        <f ca="1">Проект!AB$1341*$C$423</f>
        <v>1279595.9687099715</v>
      </c>
      <c r="AC465" s="55">
        <f ca="1">Проект!AC$1341*$C$423</f>
        <v>910814.00111096131</v>
      </c>
      <c r="AD465" s="55">
        <f ca="1">Проект!AD$1341*$C$423</f>
        <v>807878.69074351096</v>
      </c>
      <c r="AE465" s="55">
        <f ca="1">Проект!AE$1341*$C$423</f>
        <v>920227.61416466057</v>
      </c>
      <c r="AF465" s="55">
        <f ca="1">Проект!AF$1341*$C$423</f>
        <v>1196803.6471298784</v>
      </c>
      <c r="AG465" s="55">
        <f ca="1">Проект!AG$1341*$C$423</f>
        <v>1202098.8577241863</v>
      </c>
      <c r="AH465" s="55">
        <f ca="1">Проект!AH$1341*$C$423</f>
        <v>1043205.440289949</v>
      </c>
      <c r="AI465" s="55">
        <f ca="1">Проект!AI$1341*$C$423</f>
        <v>993279.58523494645</v>
      </c>
      <c r="AJ465" s="55">
        <f ca="1">Проект!AJ$1341*$C$423</f>
        <v>887033.46349475218</v>
      </c>
      <c r="AK465" s="55">
        <f ca="1">Проект!AK$1341*$C$423</f>
        <v>1170675.6211725911</v>
      </c>
      <c r="AL465" s="55">
        <f ca="1">Проект!AL$1341*$C$423</f>
        <v>1568136.3759137397</v>
      </c>
      <c r="AM465" s="55">
        <f ca="1">Проект!AM$1341*$C$423</f>
        <v>1687934.3355929537</v>
      </c>
      <c r="AN465" s="55">
        <f ca="1">Проект!AN$1341*$C$423</f>
        <v>1356371.7268325696</v>
      </c>
      <c r="AO465" s="55">
        <f ca="1">Проект!AO$1341*$C$423</f>
        <v>965462.84117761918</v>
      </c>
      <c r="AP465" s="55">
        <f ca="1">Проект!AP$1341*$C$423</f>
        <v>856351.41218812147</v>
      </c>
      <c r="AQ465" s="55">
        <f ca="1">Проект!AQ$1341*$C$423</f>
        <v>975441.27101454057</v>
      </c>
      <c r="AR465" s="55">
        <f ca="1">Проект!AR$1341*$C$423</f>
        <v>1268611.8659576718</v>
      </c>
      <c r="AS465" s="55">
        <f ca="1">Проект!AS$1341*$C$423</f>
        <v>1274224.7891876379</v>
      </c>
      <c r="AT465" s="55">
        <f ca="1">Проект!AT$1341*$C$423</f>
        <v>1105797.7667073463</v>
      </c>
      <c r="AU465" s="55">
        <f ca="1">Проект!AU$1341*$C$423</f>
        <v>1052876.3603490437</v>
      </c>
      <c r="AV465" s="55">
        <f ca="1">Проект!AV$1341*$C$423</f>
        <v>940255.47130443773</v>
      </c>
      <c r="AW465" s="55">
        <f ca="1">Проект!AW$1341*$C$423</f>
        <v>1240916.1584429471</v>
      </c>
      <c r="AX465" s="55">
        <f ca="1">Проект!AX$1341*$C$423</f>
        <v>1662224.5584685644</v>
      </c>
      <c r="AY465" s="55">
        <f ca="1">Проект!AY$1341*$C$423</f>
        <v>1789210.3957285318</v>
      </c>
      <c r="AZ465" s="55">
        <f ca="1">Проект!AZ$1341*$C$423</f>
        <v>1437754.0304425242</v>
      </c>
      <c r="BA465" s="55">
        <f ca="1">Проект!BA$1341*$C$423</f>
        <v>1023390.6116482767</v>
      </c>
      <c r="BB465" s="55">
        <f ca="1">Проект!BB$1341*$C$423</f>
        <v>907732.49691940914</v>
      </c>
      <c r="BC465" s="55"/>
      <c r="BD465" s="57">
        <f t="shared" ca="1" si="1858"/>
        <v>44970089.282117531</v>
      </c>
    </row>
    <row r="466" spans="1:56" hidden="1" x14ac:dyDescent="0.3">
      <c r="A466" s="10" t="str">
        <f ca="1">Language!A$1420</f>
        <v>Налог с дохода, уменьшенного на расходы</v>
      </c>
      <c r="B466" s="78"/>
      <c r="C466" s="48" t="str">
        <f ca="1">Параметры!$C$64</f>
        <v>руб.</v>
      </c>
      <c r="E466" s="6" t="s">
        <v>2395</v>
      </c>
      <c r="F466" s="6" t="s">
        <v>740</v>
      </c>
      <c r="G466" s="55">
        <f ca="1">Проект!G$1346*$C$424</f>
        <v>0</v>
      </c>
      <c r="H466" s="55">
        <f ca="1">Проект!H$1346*$C$424</f>
        <v>0</v>
      </c>
      <c r="I466" s="55">
        <f ca="1">Проект!I$1346*$C$424</f>
        <v>0</v>
      </c>
      <c r="J466" s="55">
        <f ca="1">Проект!J$1346*$C$424</f>
        <v>0</v>
      </c>
      <c r="K466" s="55">
        <f ca="1">Проект!K$1346*$C$424</f>
        <v>0</v>
      </c>
      <c r="L466" s="55">
        <f ca="1">Проект!L$1346*$C$424</f>
        <v>0</v>
      </c>
      <c r="M466" s="55">
        <f ca="1">Проект!M$1346*$C$424</f>
        <v>0</v>
      </c>
      <c r="N466" s="55">
        <f ca="1">Проект!N$1346*$C$424</f>
        <v>0</v>
      </c>
      <c r="O466" s="55">
        <f ca="1">Проект!O$1346*$C$424</f>
        <v>0</v>
      </c>
      <c r="P466" s="55">
        <f ca="1">Проект!P$1346*$C$424</f>
        <v>0</v>
      </c>
      <c r="Q466" s="55">
        <f ca="1">Проект!Q$1346*$C$424</f>
        <v>0</v>
      </c>
      <c r="R466" s="55">
        <f ca="1">Проект!R$1346*$C$424</f>
        <v>0</v>
      </c>
      <c r="S466" s="55">
        <f ca="1">Проект!S$1346*$C$424</f>
        <v>0</v>
      </c>
      <c r="T466" s="55">
        <f ca="1">Проект!T$1346*$C$424</f>
        <v>0</v>
      </c>
      <c r="U466" s="55">
        <f ca="1">Проект!U$1346*$C$424</f>
        <v>0</v>
      </c>
      <c r="V466" s="55">
        <f ca="1">Проект!V$1346*$C$424</f>
        <v>0</v>
      </c>
      <c r="W466" s="55">
        <f ca="1">Проект!W$1346*$C$424</f>
        <v>0</v>
      </c>
      <c r="X466" s="55">
        <f ca="1">Проект!X$1346*$C$424</f>
        <v>0</v>
      </c>
      <c r="Y466" s="55">
        <f ca="1">Проект!Y$1346*$C$424</f>
        <v>0</v>
      </c>
      <c r="Z466" s="55">
        <f ca="1">Проект!Z$1346*$C$424</f>
        <v>0</v>
      </c>
      <c r="AA466" s="55">
        <f ca="1">Проект!AA$1346*$C$424</f>
        <v>0</v>
      </c>
      <c r="AB466" s="55">
        <f ca="1">Проект!AB$1346*$C$424</f>
        <v>0</v>
      </c>
      <c r="AC466" s="55">
        <f ca="1">Проект!AC$1346*$C$424</f>
        <v>0</v>
      </c>
      <c r="AD466" s="55">
        <f ca="1">Проект!AD$1346*$C$424</f>
        <v>0</v>
      </c>
      <c r="AE466" s="55">
        <f ca="1">Проект!AE$1346*$C$424</f>
        <v>0</v>
      </c>
      <c r="AF466" s="55">
        <f ca="1">Проект!AF$1346*$C$424</f>
        <v>0</v>
      </c>
      <c r="AG466" s="55">
        <f ca="1">Проект!AG$1346*$C$424</f>
        <v>0</v>
      </c>
      <c r="AH466" s="55">
        <f ca="1">Проект!AH$1346*$C$424</f>
        <v>0</v>
      </c>
      <c r="AI466" s="55">
        <f ca="1">Проект!AI$1346*$C$424</f>
        <v>0</v>
      </c>
      <c r="AJ466" s="55">
        <f ca="1">Проект!AJ$1346*$C$424</f>
        <v>0</v>
      </c>
      <c r="AK466" s="55">
        <f ca="1">Проект!AK$1346*$C$424</f>
        <v>0</v>
      </c>
      <c r="AL466" s="55">
        <f ca="1">Проект!AL$1346*$C$424</f>
        <v>0</v>
      </c>
      <c r="AM466" s="55">
        <f ca="1">Проект!AM$1346*$C$424</f>
        <v>0</v>
      </c>
      <c r="AN466" s="55">
        <f ca="1">Проект!AN$1346*$C$424</f>
        <v>0</v>
      </c>
      <c r="AO466" s="55">
        <f ca="1">Проект!AO$1346*$C$424</f>
        <v>0</v>
      </c>
      <c r="AP466" s="55">
        <f ca="1">Проект!AP$1346*$C$424</f>
        <v>0</v>
      </c>
      <c r="AQ466" s="55">
        <f ca="1">Проект!AQ$1346*$C$424</f>
        <v>0</v>
      </c>
      <c r="AR466" s="55">
        <f ca="1">Проект!AR$1346*$C$424</f>
        <v>0</v>
      </c>
      <c r="AS466" s="55">
        <f ca="1">Проект!AS$1346*$C$424</f>
        <v>0</v>
      </c>
      <c r="AT466" s="55">
        <f ca="1">Проект!AT$1346*$C$424</f>
        <v>0</v>
      </c>
      <c r="AU466" s="55">
        <f ca="1">Проект!AU$1346*$C$424</f>
        <v>0</v>
      </c>
      <c r="AV466" s="55">
        <f ca="1">Проект!AV$1346*$C$424</f>
        <v>0</v>
      </c>
      <c r="AW466" s="55">
        <f ca="1">Проект!AW$1346*$C$424</f>
        <v>0</v>
      </c>
      <c r="AX466" s="55">
        <f ca="1">Проект!AX$1346*$C$424</f>
        <v>0</v>
      </c>
      <c r="AY466" s="55">
        <f ca="1">Проект!AY$1346*$C$424</f>
        <v>0</v>
      </c>
      <c r="AZ466" s="55">
        <f ca="1">Проект!AZ$1346*$C$424</f>
        <v>0</v>
      </c>
      <c r="BA466" s="55">
        <f ca="1">Проект!BA$1346*$C$424</f>
        <v>0</v>
      </c>
      <c r="BB466" s="55">
        <f ca="1">Проект!BB$1346*$C$424</f>
        <v>0</v>
      </c>
      <c r="BC466" s="55"/>
      <c r="BD466" s="57">
        <f t="shared" ca="1" si="1858"/>
        <v>0</v>
      </c>
    </row>
    <row r="467" spans="1:56" ht="12" hidden="1" customHeight="1" x14ac:dyDescent="0.3">
      <c r="A467" s="5" t="str">
        <f ca="1">Language!A$1488</f>
        <v>Прочие налоги</v>
      </c>
      <c r="B467" s="109"/>
      <c r="C467" s="48" t="str">
        <f ca="1">Параметры!$C$64</f>
        <v>руб.</v>
      </c>
      <c r="E467" s="6" t="s">
        <v>2396</v>
      </c>
      <c r="F467" s="6" t="s">
        <v>740</v>
      </c>
      <c r="G467" s="55" t="e">
        <f>Проект!#REF!*$C$425</f>
        <v>#REF!</v>
      </c>
      <c r="H467" s="55" t="e">
        <f>Проект!#REF!*$C$425</f>
        <v>#REF!</v>
      </c>
      <c r="I467" s="55" t="e">
        <f>Проект!#REF!*$C$425</f>
        <v>#REF!</v>
      </c>
      <c r="J467" s="55" t="e">
        <f>Проект!#REF!*$C$425</f>
        <v>#REF!</v>
      </c>
      <c r="K467" s="55" t="e">
        <f>Проект!#REF!*$C$425</f>
        <v>#REF!</v>
      </c>
      <c r="L467" s="55" t="e">
        <f>Проект!#REF!*$C$425</f>
        <v>#REF!</v>
      </c>
      <c r="M467" s="55" t="e">
        <f>Проект!#REF!*$C$425</f>
        <v>#REF!</v>
      </c>
      <c r="N467" s="55" t="e">
        <f>Проект!#REF!*$C$425</f>
        <v>#REF!</v>
      </c>
      <c r="O467" s="55" t="e">
        <f>Проект!#REF!*$C$425</f>
        <v>#REF!</v>
      </c>
      <c r="P467" s="55" t="e">
        <f>Проект!#REF!*$C$425</f>
        <v>#REF!</v>
      </c>
      <c r="Q467" s="55" t="e">
        <f>Проект!#REF!*$C$425</f>
        <v>#REF!</v>
      </c>
      <c r="R467" s="55" t="e">
        <f>Проект!#REF!*$C$425</f>
        <v>#REF!</v>
      </c>
      <c r="S467" s="55" t="e">
        <f>Проект!#REF!*$C$425</f>
        <v>#REF!</v>
      </c>
      <c r="T467" s="55" t="e">
        <f>Проект!#REF!*$C$425</f>
        <v>#REF!</v>
      </c>
      <c r="U467" s="55" t="e">
        <f>Проект!#REF!*$C$425</f>
        <v>#REF!</v>
      </c>
      <c r="V467" s="55" t="e">
        <f>Проект!#REF!*$C$425</f>
        <v>#REF!</v>
      </c>
      <c r="W467" s="55" t="e">
        <f>Проект!#REF!*$C$425</f>
        <v>#REF!</v>
      </c>
      <c r="X467" s="55" t="e">
        <f>Проект!#REF!*$C$425</f>
        <v>#REF!</v>
      </c>
      <c r="Y467" s="55" t="e">
        <f>Проект!#REF!*$C$425</f>
        <v>#REF!</v>
      </c>
      <c r="Z467" s="55" t="e">
        <f>Проект!#REF!*$C$425</f>
        <v>#REF!</v>
      </c>
      <c r="AA467" s="55" t="e">
        <f>Проект!#REF!*$C$425</f>
        <v>#REF!</v>
      </c>
      <c r="AB467" s="55" t="e">
        <f>Проект!#REF!*$C$425</f>
        <v>#REF!</v>
      </c>
      <c r="AC467" s="55" t="e">
        <f>Проект!#REF!*$C$425</f>
        <v>#REF!</v>
      </c>
      <c r="AD467" s="55" t="e">
        <f>Проект!#REF!*$C$425</f>
        <v>#REF!</v>
      </c>
      <c r="AE467" s="55" t="e">
        <f>Проект!#REF!*$C$425</f>
        <v>#REF!</v>
      </c>
      <c r="AF467" s="55" t="e">
        <f>Проект!#REF!*$C$425</f>
        <v>#REF!</v>
      </c>
      <c r="AG467" s="55" t="e">
        <f>Проект!#REF!*$C$425</f>
        <v>#REF!</v>
      </c>
      <c r="AH467" s="55" t="e">
        <f>Проект!#REF!*$C$425</f>
        <v>#REF!</v>
      </c>
      <c r="AI467" s="55" t="e">
        <f>Проект!#REF!*$C$425</f>
        <v>#REF!</v>
      </c>
      <c r="AJ467" s="55" t="e">
        <f>Проект!#REF!*$C$425</f>
        <v>#REF!</v>
      </c>
      <c r="AK467" s="55" t="e">
        <f>Проект!#REF!*$C$425</f>
        <v>#REF!</v>
      </c>
      <c r="AL467" s="55" t="e">
        <f>Проект!#REF!*$C$425</f>
        <v>#REF!</v>
      </c>
      <c r="AM467" s="55" t="e">
        <f>Проект!#REF!*$C$425</f>
        <v>#REF!</v>
      </c>
      <c r="AN467" s="55" t="e">
        <f>Проект!#REF!*$C$425</f>
        <v>#REF!</v>
      </c>
      <c r="AO467" s="55" t="e">
        <f>Проект!#REF!*$C$425</f>
        <v>#REF!</v>
      </c>
      <c r="AP467" s="55" t="e">
        <f>Проект!#REF!*$C$425</f>
        <v>#REF!</v>
      </c>
      <c r="AQ467" s="55" t="e">
        <f>Проект!#REF!*$C$425</f>
        <v>#REF!</v>
      </c>
      <c r="AR467" s="55" t="e">
        <f>Проект!#REF!*$C$425</f>
        <v>#REF!</v>
      </c>
      <c r="AS467" s="55" t="e">
        <f>Проект!#REF!*$C$425</f>
        <v>#REF!</v>
      </c>
      <c r="AT467" s="55" t="e">
        <f>Проект!#REF!*$C$425</f>
        <v>#REF!</v>
      </c>
      <c r="AU467" s="55" t="e">
        <f>Проект!#REF!*$C$425</f>
        <v>#REF!</v>
      </c>
      <c r="AV467" s="55" t="e">
        <f>Проект!#REF!*$C$425</f>
        <v>#REF!</v>
      </c>
      <c r="AW467" s="55" t="e">
        <f>Проект!#REF!*$C$425</f>
        <v>#REF!</v>
      </c>
      <c r="AX467" s="55" t="e">
        <f>Проект!#REF!*$C$425</f>
        <v>#REF!</v>
      </c>
      <c r="AY467" s="55" t="e">
        <f>Проект!#REF!*$C$425</f>
        <v>#REF!</v>
      </c>
      <c r="AZ467" s="55" t="e">
        <f>Проект!#REF!*$C$425</f>
        <v>#REF!</v>
      </c>
      <c r="BA467" s="55" t="e">
        <f>Проект!#REF!*$C$425</f>
        <v>#REF!</v>
      </c>
      <c r="BB467" s="55" t="e">
        <f>Проект!#REF!*$C$425</f>
        <v>#REF!</v>
      </c>
      <c r="BC467" s="55"/>
      <c r="BD467" s="57" t="e">
        <f t="shared" si="1858"/>
        <v>#REF!</v>
      </c>
    </row>
    <row r="468" spans="1:56" hidden="1" x14ac:dyDescent="0.3">
      <c r="A468" s="10" t="str">
        <f ca="1">Language!A$1421</f>
        <v>Суммарные налоговые и социальные выплаты</v>
      </c>
      <c r="C468" s="48" t="str">
        <f ca="1">Параметры!$C$64</f>
        <v>руб.</v>
      </c>
      <c r="E468" s="6" t="s">
        <v>2397</v>
      </c>
      <c r="F468" s="6" t="s">
        <v>740</v>
      </c>
      <c r="G468" s="55" t="e">
        <f ca="1">SUM(G457:G467)</f>
        <v>#REF!</v>
      </c>
      <c r="H468" s="55" t="e">
        <f t="shared" ref="H468:M468" ca="1" si="1859">SUM(H457:H467)</f>
        <v>#REF!</v>
      </c>
      <c r="I468" s="55" t="e">
        <f t="shared" ca="1" si="1859"/>
        <v>#REF!</v>
      </c>
      <c r="J468" s="55" t="e">
        <f t="shared" ca="1" si="1859"/>
        <v>#REF!</v>
      </c>
      <c r="K468" s="55" t="e">
        <f t="shared" ca="1" si="1859"/>
        <v>#REF!</v>
      </c>
      <c r="L468" s="55" t="e">
        <f t="shared" ca="1" si="1859"/>
        <v>#REF!</v>
      </c>
      <c r="M468" s="55" t="e">
        <f t="shared" ca="1" si="1859"/>
        <v>#REF!</v>
      </c>
      <c r="N468" s="55" t="e">
        <f t="shared" ref="N468:O468" ca="1" si="1860">SUM(N457:N467)</f>
        <v>#REF!</v>
      </c>
      <c r="O468" s="55" t="e">
        <f t="shared" ca="1" si="1860"/>
        <v>#REF!</v>
      </c>
      <c r="P468" s="55" t="e">
        <f t="shared" ref="P468:Q468" ca="1" si="1861">SUM(P457:P467)</f>
        <v>#REF!</v>
      </c>
      <c r="Q468" s="55" t="e">
        <f t="shared" ca="1" si="1861"/>
        <v>#REF!</v>
      </c>
      <c r="R468" s="55" t="e">
        <f t="shared" ref="R468:S468" ca="1" si="1862">SUM(R457:R467)</f>
        <v>#REF!</v>
      </c>
      <c r="S468" s="55" t="e">
        <f t="shared" ca="1" si="1862"/>
        <v>#REF!</v>
      </c>
      <c r="T468" s="55" t="e">
        <f t="shared" ref="T468:U468" ca="1" si="1863">SUM(T457:T467)</f>
        <v>#REF!</v>
      </c>
      <c r="U468" s="55" t="e">
        <f t="shared" ca="1" si="1863"/>
        <v>#REF!</v>
      </c>
      <c r="V468" s="55" t="e">
        <f t="shared" ref="V468:W468" ca="1" si="1864">SUM(V457:V467)</f>
        <v>#REF!</v>
      </c>
      <c r="W468" s="55" t="e">
        <f t="shared" ca="1" si="1864"/>
        <v>#REF!</v>
      </c>
      <c r="X468" s="55" t="e">
        <f t="shared" ref="X468:Y468" ca="1" si="1865">SUM(X457:X467)</f>
        <v>#REF!</v>
      </c>
      <c r="Y468" s="55" t="e">
        <f t="shared" ca="1" si="1865"/>
        <v>#REF!</v>
      </c>
      <c r="Z468" s="55" t="e">
        <f t="shared" ref="Z468:AA468" ca="1" si="1866">SUM(Z457:Z467)</f>
        <v>#REF!</v>
      </c>
      <c r="AA468" s="55" t="e">
        <f t="shared" ca="1" si="1866"/>
        <v>#REF!</v>
      </c>
      <c r="AB468" s="55" t="e">
        <f t="shared" ref="AB468:AC468" ca="1" si="1867">SUM(AB457:AB467)</f>
        <v>#REF!</v>
      </c>
      <c r="AC468" s="55" t="e">
        <f t="shared" ca="1" si="1867"/>
        <v>#REF!</v>
      </c>
      <c r="AD468" s="55" t="e">
        <f t="shared" ref="AD468:AE468" ca="1" si="1868">SUM(AD457:AD467)</f>
        <v>#REF!</v>
      </c>
      <c r="AE468" s="55" t="e">
        <f t="shared" ca="1" si="1868"/>
        <v>#REF!</v>
      </c>
      <c r="AF468" s="55" t="e">
        <f t="shared" ref="AF468:AG468" ca="1" si="1869">SUM(AF457:AF467)</f>
        <v>#REF!</v>
      </c>
      <c r="AG468" s="55" t="e">
        <f t="shared" ca="1" si="1869"/>
        <v>#REF!</v>
      </c>
      <c r="AH468" s="55" t="e">
        <f t="shared" ref="AH468:AI468" ca="1" si="1870">SUM(AH457:AH467)</f>
        <v>#REF!</v>
      </c>
      <c r="AI468" s="55" t="e">
        <f t="shared" ca="1" si="1870"/>
        <v>#REF!</v>
      </c>
      <c r="AJ468" s="55" t="e">
        <f t="shared" ref="AJ468:AK468" ca="1" si="1871">SUM(AJ457:AJ467)</f>
        <v>#REF!</v>
      </c>
      <c r="AK468" s="55" t="e">
        <f t="shared" ca="1" si="1871"/>
        <v>#REF!</v>
      </c>
      <c r="AL468" s="55" t="e">
        <f t="shared" ref="AL468:AM468" ca="1" si="1872">SUM(AL457:AL467)</f>
        <v>#REF!</v>
      </c>
      <c r="AM468" s="55" t="e">
        <f t="shared" ca="1" si="1872"/>
        <v>#REF!</v>
      </c>
      <c r="AN468" s="55" t="e">
        <f t="shared" ref="AN468:AO468" ca="1" si="1873">SUM(AN457:AN467)</f>
        <v>#REF!</v>
      </c>
      <c r="AO468" s="55" t="e">
        <f t="shared" ca="1" si="1873"/>
        <v>#REF!</v>
      </c>
      <c r="AP468" s="55" t="e">
        <f t="shared" ref="AP468:AQ468" ca="1" si="1874">SUM(AP457:AP467)</f>
        <v>#REF!</v>
      </c>
      <c r="AQ468" s="55" t="e">
        <f t="shared" ca="1" si="1874"/>
        <v>#REF!</v>
      </c>
      <c r="AR468" s="55" t="e">
        <f t="shared" ref="AR468:AS468" ca="1" si="1875">SUM(AR457:AR467)</f>
        <v>#REF!</v>
      </c>
      <c r="AS468" s="55" t="e">
        <f t="shared" ca="1" si="1875"/>
        <v>#REF!</v>
      </c>
      <c r="AT468" s="55" t="e">
        <f t="shared" ref="AT468:AU468" ca="1" si="1876">SUM(AT457:AT467)</f>
        <v>#REF!</v>
      </c>
      <c r="AU468" s="55" t="e">
        <f t="shared" ca="1" si="1876"/>
        <v>#REF!</v>
      </c>
      <c r="AV468" s="55" t="e">
        <f t="shared" ref="AV468:AW468" ca="1" si="1877">SUM(AV457:AV467)</f>
        <v>#REF!</v>
      </c>
      <c r="AW468" s="55" t="e">
        <f t="shared" ca="1" si="1877"/>
        <v>#REF!</v>
      </c>
      <c r="AX468" s="55" t="e">
        <f t="shared" ref="AX468:AY468" ca="1" si="1878">SUM(AX457:AX467)</f>
        <v>#REF!</v>
      </c>
      <c r="AY468" s="55" t="e">
        <f t="shared" ca="1" si="1878"/>
        <v>#REF!</v>
      </c>
      <c r="AZ468" s="55" t="e">
        <f t="shared" ref="AZ468:BA468" ca="1" si="1879">SUM(AZ457:AZ467)</f>
        <v>#REF!</v>
      </c>
      <c r="BA468" s="55" t="e">
        <f t="shared" ca="1" si="1879"/>
        <v>#REF!</v>
      </c>
      <c r="BB468" s="55" t="e">
        <f t="shared" ref="BB468" ca="1" si="1880">SUM(BB457:BB467)</f>
        <v>#REF!</v>
      </c>
      <c r="BC468" s="55"/>
      <c r="BD468" s="57" t="e">
        <f t="shared" ca="1" si="1858"/>
        <v>#REF!</v>
      </c>
    </row>
    <row r="469" spans="1:56" hidden="1" x14ac:dyDescent="0.3">
      <c r="A469" s="10"/>
      <c r="G469" s="55"/>
      <c r="H469" s="55"/>
      <c r="I469" s="55"/>
      <c r="J469" s="55"/>
      <c r="K469" s="55"/>
      <c r="L469" s="55"/>
      <c r="M469" s="55"/>
      <c r="N469" s="55"/>
      <c r="O469" s="55"/>
      <c r="P469" s="55"/>
      <c r="Q469" s="55"/>
      <c r="R469" s="55"/>
      <c r="S469" s="55"/>
      <c r="T469" s="55"/>
      <c r="U469" s="55"/>
      <c r="V469" s="55"/>
      <c r="W469" s="55"/>
      <c r="X469" s="55"/>
      <c r="Y469" s="55"/>
      <c r="Z469" s="55"/>
      <c r="AA469" s="55"/>
      <c r="AB469" s="55"/>
      <c r="AC469" s="55"/>
      <c r="AD469" s="55"/>
      <c r="AE469" s="55"/>
      <c r="AF469" s="55"/>
      <c r="AG469" s="55"/>
      <c r="AH469" s="55"/>
      <c r="AI469" s="55"/>
      <c r="AJ469" s="55"/>
      <c r="AK469" s="55"/>
      <c r="AL469" s="55"/>
      <c r="AM469" s="55"/>
      <c r="AN469" s="55"/>
      <c r="AO469" s="55"/>
      <c r="AP469" s="55"/>
      <c r="AQ469" s="55"/>
      <c r="AR469" s="55"/>
      <c r="AS469" s="55"/>
      <c r="AT469" s="55"/>
      <c r="AU469" s="55"/>
      <c r="AV469" s="55"/>
      <c r="AW469" s="55"/>
      <c r="AX469" s="55"/>
      <c r="AY469" s="55"/>
      <c r="AZ469" s="55"/>
      <c r="BA469" s="55"/>
      <c r="BB469" s="55"/>
      <c r="BC469" s="55"/>
      <c r="BD469" s="55"/>
    </row>
    <row r="470" spans="1:56" hidden="1" x14ac:dyDescent="0.3">
      <c r="A470" s="22" t="str">
        <f ca="1">Language!A$1422</f>
        <v>Бюджетное финансирование</v>
      </c>
      <c r="G470" s="55"/>
      <c r="H470" s="55"/>
      <c r="I470" s="55"/>
      <c r="J470" s="55"/>
      <c r="K470" s="55"/>
      <c r="L470" s="55"/>
      <c r="M470" s="55"/>
      <c r="N470" s="55"/>
      <c r="O470" s="55"/>
      <c r="P470" s="55"/>
      <c r="Q470" s="55"/>
      <c r="R470" s="55"/>
      <c r="S470" s="55"/>
      <c r="T470" s="55"/>
      <c r="U470" s="55"/>
      <c r="V470" s="55"/>
      <c r="W470" s="55"/>
      <c r="X470" s="55"/>
      <c r="Y470" s="55"/>
      <c r="Z470" s="55"/>
      <c r="AA470" s="55"/>
      <c r="AB470" s="55"/>
      <c r="AC470" s="55"/>
      <c r="AD470" s="55"/>
      <c r="AE470" s="55"/>
      <c r="AF470" s="55"/>
      <c r="AG470" s="55"/>
      <c r="AH470" s="55"/>
      <c r="AI470" s="55"/>
      <c r="AJ470" s="55"/>
      <c r="AK470" s="55"/>
      <c r="AL470" s="55"/>
      <c r="AM470" s="55"/>
      <c r="AN470" s="55"/>
      <c r="AO470" s="55"/>
      <c r="AP470" s="55"/>
      <c r="AQ470" s="55"/>
      <c r="AR470" s="55"/>
      <c r="AS470" s="55"/>
      <c r="AT470" s="55"/>
      <c r="AU470" s="55"/>
      <c r="AV470" s="55"/>
      <c r="AW470" s="55"/>
      <c r="AX470" s="55"/>
      <c r="AY470" s="55"/>
      <c r="AZ470" s="55"/>
      <c r="BA470" s="55"/>
      <c r="BB470" s="55"/>
      <c r="BC470" s="55"/>
      <c r="BD470" s="55"/>
    </row>
    <row r="471" spans="1:56" hidden="1" x14ac:dyDescent="0.3">
      <c r="A471" s="10" t="str">
        <f ca="1">Language!A$1423</f>
        <v>Поступление бюджетного финансирования в проект</v>
      </c>
      <c r="C471" s="48" t="str">
        <f ca="1">Параметры!$C$64</f>
        <v>руб.</v>
      </c>
      <c r="E471" s="6" t="s">
        <v>2398</v>
      </c>
      <c r="F471" s="6" t="s">
        <v>740</v>
      </c>
      <c r="G471" s="276">
        <v>0</v>
      </c>
      <c r="H471" s="276">
        <v>0</v>
      </c>
      <c r="I471" s="276">
        <v>0</v>
      </c>
      <c r="J471" s="276">
        <v>0</v>
      </c>
      <c r="K471" s="276">
        <v>0</v>
      </c>
      <c r="L471" s="276">
        <v>0</v>
      </c>
      <c r="M471" s="276">
        <v>0</v>
      </c>
      <c r="N471" s="276">
        <v>0</v>
      </c>
      <c r="O471" s="276">
        <v>0</v>
      </c>
      <c r="P471" s="276">
        <v>0</v>
      </c>
      <c r="Q471" s="276">
        <v>0</v>
      </c>
      <c r="R471" s="276">
        <v>0</v>
      </c>
      <c r="S471" s="276">
        <v>0</v>
      </c>
      <c r="T471" s="276">
        <v>0</v>
      </c>
      <c r="U471" s="276">
        <v>0</v>
      </c>
      <c r="V471" s="276">
        <v>0</v>
      </c>
      <c r="W471" s="276">
        <v>0</v>
      </c>
      <c r="X471" s="276">
        <v>0</v>
      </c>
      <c r="Y471" s="276">
        <v>0</v>
      </c>
      <c r="Z471" s="276">
        <v>0</v>
      </c>
      <c r="AA471" s="276">
        <v>0</v>
      </c>
      <c r="AB471" s="276">
        <v>0</v>
      </c>
      <c r="AC471" s="276">
        <v>0</v>
      </c>
      <c r="AD471" s="276">
        <v>0</v>
      </c>
      <c r="AE471" s="276">
        <v>0</v>
      </c>
      <c r="AF471" s="276">
        <v>0</v>
      </c>
      <c r="AG471" s="276">
        <v>0</v>
      </c>
      <c r="AH471" s="276">
        <v>0</v>
      </c>
      <c r="AI471" s="276">
        <v>0</v>
      </c>
      <c r="AJ471" s="276">
        <v>0</v>
      </c>
      <c r="AK471" s="276">
        <v>0</v>
      </c>
      <c r="AL471" s="276">
        <v>0</v>
      </c>
      <c r="AM471" s="276">
        <v>0</v>
      </c>
      <c r="AN471" s="276">
        <v>0</v>
      </c>
      <c r="AO471" s="276">
        <v>0</v>
      </c>
      <c r="AP471" s="276">
        <v>0</v>
      </c>
      <c r="AQ471" s="276">
        <v>0</v>
      </c>
      <c r="AR471" s="276">
        <v>0</v>
      </c>
      <c r="AS471" s="276">
        <v>0</v>
      </c>
      <c r="AT471" s="276">
        <v>0</v>
      </c>
      <c r="AU471" s="276">
        <v>0</v>
      </c>
      <c r="AV471" s="276">
        <v>0</v>
      </c>
      <c r="AW471" s="276">
        <v>0</v>
      </c>
      <c r="AX471" s="276">
        <v>0</v>
      </c>
      <c r="AY471" s="276">
        <v>0</v>
      </c>
      <c r="AZ471" s="276">
        <v>0</v>
      </c>
      <c r="BA471" s="276">
        <v>0</v>
      </c>
      <c r="BB471" s="276">
        <v>0</v>
      </c>
      <c r="BC471" s="55"/>
      <c r="BD471" s="57">
        <f>SUM(G471:BC471)</f>
        <v>0</v>
      </c>
    </row>
    <row r="472" spans="1:56" hidden="1" x14ac:dyDescent="0.3">
      <c r="A472" s="10" t="str">
        <f ca="1">Language!A$1424</f>
        <v>Возврат бюджетного финансирования</v>
      </c>
      <c r="C472" s="48" t="str">
        <f ca="1">Параметры!$C$64</f>
        <v>руб.</v>
      </c>
      <c r="E472" s="6" t="s">
        <v>2399</v>
      </c>
      <c r="F472" s="6" t="s">
        <v>740</v>
      </c>
      <c r="G472" s="276">
        <v>0</v>
      </c>
      <c r="H472" s="276">
        <v>0</v>
      </c>
      <c r="I472" s="276">
        <v>0</v>
      </c>
      <c r="J472" s="276">
        <v>0</v>
      </c>
      <c r="K472" s="276">
        <v>0</v>
      </c>
      <c r="L472" s="276">
        <v>0</v>
      </c>
      <c r="M472" s="276">
        <v>0</v>
      </c>
      <c r="N472" s="276">
        <v>0</v>
      </c>
      <c r="O472" s="276">
        <v>0</v>
      </c>
      <c r="P472" s="276">
        <v>0</v>
      </c>
      <c r="Q472" s="276">
        <v>0</v>
      </c>
      <c r="R472" s="276">
        <v>0</v>
      </c>
      <c r="S472" s="276">
        <v>0</v>
      </c>
      <c r="T472" s="276">
        <v>0</v>
      </c>
      <c r="U472" s="276">
        <v>0</v>
      </c>
      <c r="V472" s="276">
        <v>0</v>
      </c>
      <c r="W472" s="276">
        <v>0</v>
      </c>
      <c r="X472" s="276">
        <v>0</v>
      </c>
      <c r="Y472" s="276">
        <v>0</v>
      </c>
      <c r="Z472" s="276">
        <v>0</v>
      </c>
      <c r="AA472" s="276">
        <v>0</v>
      </c>
      <c r="AB472" s="276">
        <v>0</v>
      </c>
      <c r="AC472" s="276">
        <v>0</v>
      </c>
      <c r="AD472" s="276">
        <v>0</v>
      </c>
      <c r="AE472" s="276">
        <v>0</v>
      </c>
      <c r="AF472" s="276">
        <v>0</v>
      </c>
      <c r="AG472" s="276">
        <v>0</v>
      </c>
      <c r="AH472" s="276">
        <v>0</v>
      </c>
      <c r="AI472" s="276">
        <v>0</v>
      </c>
      <c r="AJ472" s="276">
        <v>0</v>
      </c>
      <c r="AK472" s="276">
        <v>0</v>
      </c>
      <c r="AL472" s="276">
        <v>0</v>
      </c>
      <c r="AM472" s="276">
        <v>0</v>
      </c>
      <c r="AN472" s="276">
        <v>0</v>
      </c>
      <c r="AO472" s="276">
        <v>0</v>
      </c>
      <c r="AP472" s="276">
        <v>0</v>
      </c>
      <c r="AQ472" s="276">
        <v>0</v>
      </c>
      <c r="AR472" s="276">
        <v>0</v>
      </c>
      <c r="AS472" s="276">
        <v>0</v>
      </c>
      <c r="AT472" s="276">
        <v>0</v>
      </c>
      <c r="AU472" s="276">
        <v>0</v>
      </c>
      <c r="AV472" s="276">
        <v>0</v>
      </c>
      <c r="AW472" s="276">
        <v>0</v>
      </c>
      <c r="AX472" s="276">
        <v>0</v>
      </c>
      <c r="AY472" s="276">
        <v>0</v>
      </c>
      <c r="AZ472" s="276">
        <v>0</v>
      </c>
      <c r="BA472" s="276">
        <v>0</v>
      </c>
      <c r="BB472" s="276">
        <v>0</v>
      </c>
      <c r="BC472" s="55"/>
      <c r="BD472" s="57">
        <f>SUM(G472:BC472)</f>
        <v>0</v>
      </c>
    </row>
    <row r="473" spans="1:56" hidden="1" x14ac:dyDescent="0.3">
      <c r="A473" s="10" t="str">
        <f ca="1">Language!A$1425</f>
        <v>Платежи за использование бюджетного финансирования</v>
      </c>
      <c r="C473" s="48" t="str">
        <f ca="1">Параметры!$C$64</f>
        <v>руб.</v>
      </c>
      <c r="E473" s="6" t="s">
        <v>2400</v>
      </c>
      <c r="F473" s="6" t="s">
        <v>740</v>
      </c>
      <c r="G473" s="276">
        <v>0</v>
      </c>
      <c r="H473" s="276">
        <v>0</v>
      </c>
      <c r="I473" s="276">
        <v>0</v>
      </c>
      <c r="J473" s="276">
        <v>0</v>
      </c>
      <c r="K473" s="276">
        <v>0</v>
      </c>
      <c r="L473" s="276">
        <v>0</v>
      </c>
      <c r="M473" s="276">
        <v>0</v>
      </c>
      <c r="N473" s="276">
        <v>0</v>
      </c>
      <c r="O473" s="276">
        <v>0</v>
      </c>
      <c r="P473" s="276">
        <v>0</v>
      </c>
      <c r="Q473" s="276">
        <v>0</v>
      </c>
      <c r="R473" s="276">
        <v>0</v>
      </c>
      <c r="S473" s="276">
        <v>0</v>
      </c>
      <c r="T473" s="276">
        <v>0</v>
      </c>
      <c r="U473" s="276">
        <v>0</v>
      </c>
      <c r="V473" s="276">
        <v>0</v>
      </c>
      <c r="W473" s="276">
        <v>0</v>
      </c>
      <c r="X473" s="276">
        <v>0</v>
      </c>
      <c r="Y473" s="276">
        <v>0</v>
      </c>
      <c r="Z473" s="276">
        <v>0</v>
      </c>
      <c r="AA473" s="276">
        <v>0</v>
      </c>
      <c r="AB473" s="276">
        <v>0</v>
      </c>
      <c r="AC473" s="276">
        <v>0</v>
      </c>
      <c r="AD473" s="276">
        <v>0</v>
      </c>
      <c r="AE473" s="276">
        <v>0</v>
      </c>
      <c r="AF473" s="276">
        <v>0</v>
      </c>
      <c r="AG473" s="276">
        <v>0</v>
      </c>
      <c r="AH473" s="276">
        <v>0</v>
      </c>
      <c r="AI473" s="276">
        <v>0</v>
      </c>
      <c r="AJ473" s="276">
        <v>0</v>
      </c>
      <c r="AK473" s="276">
        <v>0</v>
      </c>
      <c r="AL473" s="276">
        <v>0</v>
      </c>
      <c r="AM473" s="276">
        <v>0</v>
      </c>
      <c r="AN473" s="276">
        <v>0</v>
      </c>
      <c r="AO473" s="276">
        <v>0</v>
      </c>
      <c r="AP473" s="276">
        <v>0</v>
      </c>
      <c r="AQ473" s="276">
        <v>0</v>
      </c>
      <c r="AR473" s="276">
        <v>0</v>
      </c>
      <c r="AS473" s="276">
        <v>0</v>
      </c>
      <c r="AT473" s="276">
        <v>0</v>
      </c>
      <c r="AU473" s="276">
        <v>0</v>
      </c>
      <c r="AV473" s="276">
        <v>0</v>
      </c>
      <c r="AW473" s="276">
        <v>0</v>
      </c>
      <c r="AX473" s="276">
        <v>0</v>
      </c>
      <c r="AY473" s="276">
        <v>0</v>
      </c>
      <c r="AZ473" s="276">
        <v>0</v>
      </c>
      <c r="BA473" s="276">
        <v>0</v>
      </c>
      <c r="BB473" s="276">
        <v>0</v>
      </c>
      <c r="BC473" s="55"/>
      <c r="BD473" s="57">
        <f>SUM(G473:BC473)</f>
        <v>0</v>
      </c>
    </row>
    <row r="474" spans="1:56" hidden="1" x14ac:dyDescent="0.3">
      <c r="A474" s="10"/>
      <c r="G474" s="47"/>
      <c r="H474" s="47"/>
      <c r="I474" s="47"/>
      <c r="J474" s="47"/>
      <c r="K474" s="47"/>
      <c r="L474" s="47"/>
      <c r="M474" s="47"/>
      <c r="N474" s="47"/>
      <c r="O474" s="47"/>
      <c r="P474" s="47"/>
      <c r="Q474" s="47"/>
      <c r="R474" s="47"/>
      <c r="S474" s="47"/>
      <c r="T474" s="47"/>
      <c r="U474" s="47"/>
      <c r="V474" s="47"/>
      <c r="W474" s="47"/>
      <c r="X474" s="47"/>
      <c r="Y474" s="47"/>
      <c r="Z474" s="47"/>
      <c r="AA474" s="47"/>
      <c r="AB474" s="47"/>
      <c r="AC474" s="47"/>
      <c r="AD474" s="47"/>
      <c r="AE474" s="47"/>
      <c r="AF474" s="47"/>
      <c r="AG474" s="47"/>
      <c r="AH474" s="47"/>
      <c r="AI474" s="47"/>
      <c r="AJ474" s="47"/>
      <c r="AK474" s="47"/>
      <c r="AL474" s="47"/>
      <c r="AM474" s="47"/>
      <c r="AN474" s="47"/>
      <c r="AO474" s="47"/>
      <c r="AP474" s="47"/>
      <c r="AQ474" s="47"/>
      <c r="AR474" s="47"/>
      <c r="AS474" s="47"/>
      <c r="AT474" s="47"/>
      <c r="AU474" s="47"/>
      <c r="AV474" s="47"/>
      <c r="AW474" s="47"/>
      <c r="AX474" s="47"/>
      <c r="AY474" s="47"/>
      <c r="AZ474" s="47"/>
      <c r="BA474" s="47"/>
      <c r="BB474" s="47"/>
      <c r="BC474" s="55"/>
      <c r="BD474" s="57"/>
    </row>
    <row r="475" spans="1:56" s="34" customFormat="1" hidden="1" x14ac:dyDescent="0.3">
      <c r="A475" s="22" t="str">
        <f ca="1">Language!A$1351</f>
        <v>Денежный поток для расчета эффективности</v>
      </c>
      <c r="B475" s="99"/>
      <c r="C475" s="100" t="str">
        <f ca="1">Параметры!$C$64</f>
        <v>руб.</v>
      </c>
      <c r="D475" s="101"/>
      <c r="E475" s="101"/>
      <c r="F475" s="101" t="s">
        <v>740</v>
      </c>
      <c r="G475" s="58" t="e">
        <f ca="1">G468-G471+G472+G473</f>
        <v>#REF!</v>
      </c>
      <c r="H475" s="58" t="e">
        <f t="shared" ref="H475:M475" ca="1" si="1881">H468-H471+H472+H473</f>
        <v>#REF!</v>
      </c>
      <c r="I475" s="58" t="e">
        <f t="shared" ca="1" si="1881"/>
        <v>#REF!</v>
      </c>
      <c r="J475" s="58" t="e">
        <f t="shared" ca="1" si="1881"/>
        <v>#REF!</v>
      </c>
      <c r="K475" s="58" t="e">
        <f t="shared" ca="1" si="1881"/>
        <v>#REF!</v>
      </c>
      <c r="L475" s="58" t="e">
        <f t="shared" ca="1" si="1881"/>
        <v>#REF!</v>
      </c>
      <c r="M475" s="58" t="e">
        <f t="shared" ca="1" si="1881"/>
        <v>#REF!</v>
      </c>
      <c r="N475" s="58" t="e">
        <f t="shared" ref="N475:O475" ca="1" si="1882">N468-N471+N472+N473</f>
        <v>#REF!</v>
      </c>
      <c r="O475" s="58" t="e">
        <f t="shared" ca="1" si="1882"/>
        <v>#REF!</v>
      </c>
      <c r="P475" s="58" t="e">
        <f t="shared" ref="P475:Q475" ca="1" si="1883">P468-P471+P472+P473</f>
        <v>#REF!</v>
      </c>
      <c r="Q475" s="58" t="e">
        <f t="shared" ca="1" si="1883"/>
        <v>#REF!</v>
      </c>
      <c r="R475" s="58" t="e">
        <f t="shared" ref="R475:S475" ca="1" si="1884">R468-R471+R472+R473</f>
        <v>#REF!</v>
      </c>
      <c r="S475" s="58" t="e">
        <f t="shared" ca="1" si="1884"/>
        <v>#REF!</v>
      </c>
      <c r="T475" s="58" t="e">
        <f t="shared" ref="T475:U475" ca="1" si="1885">T468-T471+T472+T473</f>
        <v>#REF!</v>
      </c>
      <c r="U475" s="58" t="e">
        <f t="shared" ca="1" si="1885"/>
        <v>#REF!</v>
      </c>
      <c r="V475" s="58" t="e">
        <f t="shared" ref="V475:W475" ca="1" si="1886">V468-V471+V472+V473</f>
        <v>#REF!</v>
      </c>
      <c r="W475" s="58" t="e">
        <f t="shared" ca="1" si="1886"/>
        <v>#REF!</v>
      </c>
      <c r="X475" s="58" t="e">
        <f t="shared" ref="X475:Y475" ca="1" si="1887">X468-X471+X472+X473</f>
        <v>#REF!</v>
      </c>
      <c r="Y475" s="58" t="e">
        <f t="shared" ca="1" si="1887"/>
        <v>#REF!</v>
      </c>
      <c r="Z475" s="58" t="e">
        <f t="shared" ref="Z475:AA475" ca="1" si="1888">Z468-Z471+Z472+Z473</f>
        <v>#REF!</v>
      </c>
      <c r="AA475" s="58" t="e">
        <f t="shared" ca="1" si="1888"/>
        <v>#REF!</v>
      </c>
      <c r="AB475" s="58" t="e">
        <f t="shared" ref="AB475:AC475" ca="1" si="1889">AB468-AB471+AB472+AB473</f>
        <v>#REF!</v>
      </c>
      <c r="AC475" s="58" t="e">
        <f t="shared" ca="1" si="1889"/>
        <v>#REF!</v>
      </c>
      <c r="AD475" s="58" t="e">
        <f t="shared" ref="AD475:AE475" ca="1" si="1890">AD468-AD471+AD472+AD473</f>
        <v>#REF!</v>
      </c>
      <c r="AE475" s="58" t="e">
        <f t="shared" ca="1" si="1890"/>
        <v>#REF!</v>
      </c>
      <c r="AF475" s="58" t="e">
        <f t="shared" ref="AF475:AG475" ca="1" si="1891">AF468-AF471+AF472+AF473</f>
        <v>#REF!</v>
      </c>
      <c r="AG475" s="58" t="e">
        <f t="shared" ca="1" si="1891"/>
        <v>#REF!</v>
      </c>
      <c r="AH475" s="58" t="e">
        <f t="shared" ref="AH475:AI475" ca="1" si="1892">AH468-AH471+AH472+AH473</f>
        <v>#REF!</v>
      </c>
      <c r="AI475" s="58" t="e">
        <f t="shared" ca="1" si="1892"/>
        <v>#REF!</v>
      </c>
      <c r="AJ475" s="58" t="e">
        <f t="shared" ref="AJ475:AK475" ca="1" si="1893">AJ468-AJ471+AJ472+AJ473</f>
        <v>#REF!</v>
      </c>
      <c r="AK475" s="58" t="e">
        <f t="shared" ca="1" si="1893"/>
        <v>#REF!</v>
      </c>
      <c r="AL475" s="58" t="e">
        <f t="shared" ref="AL475:AM475" ca="1" si="1894">AL468-AL471+AL472+AL473</f>
        <v>#REF!</v>
      </c>
      <c r="AM475" s="58" t="e">
        <f t="shared" ca="1" si="1894"/>
        <v>#REF!</v>
      </c>
      <c r="AN475" s="58" t="e">
        <f t="shared" ref="AN475:AO475" ca="1" si="1895">AN468-AN471+AN472+AN473</f>
        <v>#REF!</v>
      </c>
      <c r="AO475" s="58" t="e">
        <f t="shared" ca="1" si="1895"/>
        <v>#REF!</v>
      </c>
      <c r="AP475" s="58" t="e">
        <f t="shared" ref="AP475:AQ475" ca="1" si="1896">AP468-AP471+AP472+AP473</f>
        <v>#REF!</v>
      </c>
      <c r="AQ475" s="58" t="e">
        <f t="shared" ca="1" si="1896"/>
        <v>#REF!</v>
      </c>
      <c r="AR475" s="58" t="e">
        <f t="shared" ref="AR475:AS475" ca="1" si="1897">AR468-AR471+AR472+AR473</f>
        <v>#REF!</v>
      </c>
      <c r="AS475" s="58" t="e">
        <f t="shared" ca="1" si="1897"/>
        <v>#REF!</v>
      </c>
      <c r="AT475" s="58" t="e">
        <f t="shared" ref="AT475:AU475" ca="1" si="1898">AT468-AT471+AT472+AT473</f>
        <v>#REF!</v>
      </c>
      <c r="AU475" s="58" t="e">
        <f t="shared" ca="1" si="1898"/>
        <v>#REF!</v>
      </c>
      <c r="AV475" s="58" t="e">
        <f t="shared" ref="AV475:AW475" ca="1" si="1899">AV468-AV471+AV472+AV473</f>
        <v>#REF!</v>
      </c>
      <c r="AW475" s="58" t="e">
        <f t="shared" ca="1" si="1899"/>
        <v>#REF!</v>
      </c>
      <c r="AX475" s="58" t="e">
        <f t="shared" ref="AX475:AY475" ca="1" si="1900">AX468-AX471+AX472+AX473</f>
        <v>#REF!</v>
      </c>
      <c r="AY475" s="58" t="e">
        <f t="shared" ca="1" si="1900"/>
        <v>#REF!</v>
      </c>
      <c r="AZ475" s="58" t="e">
        <f t="shared" ref="AZ475:BA475" ca="1" si="1901">AZ468-AZ471+AZ472+AZ473</f>
        <v>#REF!</v>
      </c>
      <c r="BA475" s="58" t="e">
        <f t="shared" ca="1" si="1901"/>
        <v>#REF!</v>
      </c>
      <c r="BB475" s="58" t="e">
        <f t="shared" ref="BB475" ca="1" si="1902">BB468-BB471+BB472+BB473</f>
        <v>#REF!</v>
      </c>
      <c r="BD475" s="58" t="e">
        <f ca="1">SUM(G475:BC475)</f>
        <v>#REF!</v>
      </c>
    </row>
    <row r="476" spans="1:56" hidden="1" x14ac:dyDescent="0.3">
      <c r="A476" s="10" t="str">
        <f ca="1">Language!A$1352</f>
        <v>Дисконтированный денежный поток</v>
      </c>
      <c r="B476" s="77"/>
      <c r="C476" s="48" t="str">
        <f ca="1">Параметры!$C$64</f>
        <v>руб.</v>
      </c>
      <c r="F476" s="6" t="s">
        <v>740</v>
      </c>
      <c r="G476" s="55" t="e">
        <f ca="1">G475/G412</f>
        <v>#REF!</v>
      </c>
      <c r="H476" s="55" t="e">
        <f t="shared" ref="H476:M476" ca="1" si="1903">H475/H412</f>
        <v>#REF!</v>
      </c>
      <c r="I476" s="55" t="e">
        <f t="shared" ca="1" si="1903"/>
        <v>#REF!</v>
      </c>
      <c r="J476" s="55" t="e">
        <f t="shared" ca="1" si="1903"/>
        <v>#REF!</v>
      </c>
      <c r="K476" s="55" t="e">
        <f t="shared" ca="1" si="1903"/>
        <v>#REF!</v>
      </c>
      <c r="L476" s="55" t="e">
        <f t="shared" ca="1" si="1903"/>
        <v>#REF!</v>
      </c>
      <c r="M476" s="55" t="e">
        <f t="shared" ca="1" si="1903"/>
        <v>#REF!</v>
      </c>
      <c r="N476" s="55" t="e">
        <f t="shared" ref="N476:O476" ca="1" si="1904">N475/N412</f>
        <v>#REF!</v>
      </c>
      <c r="O476" s="55" t="e">
        <f t="shared" ca="1" si="1904"/>
        <v>#REF!</v>
      </c>
      <c r="P476" s="55" t="e">
        <f t="shared" ref="P476:Q476" ca="1" si="1905">P475/P412</f>
        <v>#REF!</v>
      </c>
      <c r="Q476" s="55" t="e">
        <f t="shared" ca="1" si="1905"/>
        <v>#REF!</v>
      </c>
      <c r="R476" s="55" t="e">
        <f t="shared" ref="R476:S476" ca="1" si="1906">R475/R412</f>
        <v>#REF!</v>
      </c>
      <c r="S476" s="55" t="e">
        <f t="shared" ca="1" si="1906"/>
        <v>#REF!</v>
      </c>
      <c r="T476" s="55" t="e">
        <f t="shared" ref="T476:U476" ca="1" si="1907">T475/T412</f>
        <v>#REF!</v>
      </c>
      <c r="U476" s="55" t="e">
        <f t="shared" ca="1" si="1907"/>
        <v>#REF!</v>
      </c>
      <c r="V476" s="55" t="e">
        <f t="shared" ref="V476:W476" ca="1" si="1908">V475/V412</f>
        <v>#REF!</v>
      </c>
      <c r="W476" s="55" t="e">
        <f t="shared" ca="1" si="1908"/>
        <v>#REF!</v>
      </c>
      <c r="X476" s="55" t="e">
        <f t="shared" ref="X476:Y476" ca="1" si="1909">X475/X412</f>
        <v>#REF!</v>
      </c>
      <c r="Y476" s="55" t="e">
        <f t="shared" ca="1" si="1909"/>
        <v>#REF!</v>
      </c>
      <c r="Z476" s="55" t="e">
        <f t="shared" ref="Z476:AA476" ca="1" si="1910">Z475/Z412</f>
        <v>#REF!</v>
      </c>
      <c r="AA476" s="55" t="e">
        <f t="shared" ca="1" si="1910"/>
        <v>#REF!</v>
      </c>
      <c r="AB476" s="55" t="e">
        <f t="shared" ref="AB476:AC476" ca="1" si="1911">AB475/AB412</f>
        <v>#REF!</v>
      </c>
      <c r="AC476" s="55" t="e">
        <f t="shared" ca="1" si="1911"/>
        <v>#REF!</v>
      </c>
      <c r="AD476" s="55" t="e">
        <f t="shared" ref="AD476:AE476" ca="1" si="1912">AD475/AD412</f>
        <v>#REF!</v>
      </c>
      <c r="AE476" s="55" t="e">
        <f t="shared" ca="1" si="1912"/>
        <v>#REF!</v>
      </c>
      <c r="AF476" s="55" t="e">
        <f t="shared" ref="AF476:AG476" ca="1" si="1913">AF475/AF412</f>
        <v>#REF!</v>
      </c>
      <c r="AG476" s="55" t="e">
        <f t="shared" ca="1" si="1913"/>
        <v>#REF!</v>
      </c>
      <c r="AH476" s="55" t="e">
        <f t="shared" ref="AH476:AI476" ca="1" si="1914">AH475/AH412</f>
        <v>#REF!</v>
      </c>
      <c r="AI476" s="55" t="e">
        <f t="shared" ca="1" si="1914"/>
        <v>#REF!</v>
      </c>
      <c r="AJ476" s="55" t="e">
        <f t="shared" ref="AJ476:AK476" ca="1" si="1915">AJ475/AJ412</f>
        <v>#REF!</v>
      </c>
      <c r="AK476" s="55" t="e">
        <f t="shared" ca="1" si="1915"/>
        <v>#REF!</v>
      </c>
      <c r="AL476" s="55" t="e">
        <f t="shared" ref="AL476:AM476" ca="1" si="1916">AL475/AL412</f>
        <v>#REF!</v>
      </c>
      <c r="AM476" s="55" t="e">
        <f t="shared" ca="1" si="1916"/>
        <v>#REF!</v>
      </c>
      <c r="AN476" s="55" t="e">
        <f t="shared" ref="AN476:AO476" ca="1" si="1917">AN475/AN412</f>
        <v>#REF!</v>
      </c>
      <c r="AO476" s="55" t="e">
        <f t="shared" ca="1" si="1917"/>
        <v>#REF!</v>
      </c>
      <c r="AP476" s="55" t="e">
        <f t="shared" ref="AP476:AQ476" ca="1" si="1918">AP475/AP412</f>
        <v>#REF!</v>
      </c>
      <c r="AQ476" s="55" t="e">
        <f t="shared" ca="1" si="1918"/>
        <v>#REF!</v>
      </c>
      <c r="AR476" s="55" t="e">
        <f t="shared" ref="AR476:AS476" ca="1" si="1919">AR475/AR412</f>
        <v>#REF!</v>
      </c>
      <c r="AS476" s="55" t="e">
        <f t="shared" ca="1" si="1919"/>
        <v>#REF!</v>
      </c>
      <c r="AT476" s="55" t="e">
        <f t="shared" ref="AT476:AU476" ca="1" si="1920">AT475/AT412</f>
        <v>#REF!</v>
      </c>
      <c r="AU476" s="55" t="e">
        <f t="shared" ca="1" si="1920"/>
        <v>#REF!</v>
      </c>
      <c r="AV476" s="55" t="e">
        <f t="shared" ref="AV476:AW476" ca="1" si="1921">AV475/AV412</f>
        <v>#REF!</v>
      </c>
      <c r="AW476" s="55" t="e">
        <f t="shared" ca="1" si="1921"/>
        <v>#REF!</v>
      </c>
      <c r="AX476" s="55" t="e">
        <f t="shared" ref="AX476:AY476" ca="1" si="1922">AX475/AX412</f>
        <v>#REF!</v>
      </c>
      <c r="AY476" s="55" t="e">
        <f t="shared" ca="1" si="1922"/>
        <v>#REF!</v>
      </c>
      <c r="AZ476" s="55" t="e">
        <f t="shared" ref="AZ476:BA476" ca="1" si="1923">AZ475/AZ412</f>
        <v>#REF!</v>
      </c>
      <c r="BA476" s="55" t="e">
        <f t="shared" ca="1" si="1923"/>
        <v>#REF!</v>
      </c>
      <c r="BB476" s="55" t="e">
        <f t="shared" ref="BB476" ca="1" si="1924">BB475/BB412</f>
        <v>#REF!</v>
      </c>
      <c r="BD476" s="57" t="e">
        <f ca="1">SUM(G476:BC476)</f>
        <v>#REF!</v>
      </c>
    </row>
    <row r="477" spans="1:56" hidden="1" x14ac:dyDescent="0.3">
      <c r="A477" s="10" t="str">
        <f ca="1">Language!A$1353</f>
        <v>Дисконтированный поток нарастающим итогом</v>
      </c>
      <c r="B477" s="77"/>
      <c r="C477" s="48" t="str">
        <f ca="1">Параметры!$C$64</f>
        <v>руб.</v>
      </c>
      <c r="F477" s="6" t="s">
        <v>741</v>
      </c>
      <c r="G477" s="55" t="e">
        <f ca="1">IF(G$2=1,G476,F477+G476)</f>
        <v>#REF!</v>
      </c>
      <c r="H477" s="55" t="e">
        <f t="shared" ref="H477:BB477" ca="1" si="1925">IF(H$2=1,H476,G477+H476)</f>
        <v>#REF!</v>
      </c>
      <c r="I477" s="55" t="e">
        <f t="shared" ca="1" si="1925"/>
        <v>#REF!</v>
      </c>
      <c r="J477" s="55" t="e">
        <f t="shared" ca="1" si="1925"/>
        <v>#REF!</v>
      </c>
      <c r="K477" s="55" t="e">
        <f t="shared" ca="1" si="1925"/>
        <v>#REF!</v>
      </c>
      <c r="L477" s="55" t="e">
        <f t="shared" ca="1" si="1925"/>
        <v>#REF!</v>
      </c>
      <c r="M477" s="55" t="e">
        <f t="shared" ca="1" si="1925"/>
        <v>#REF!</v>
      </c>
      <c r="N477" s="55" t="e">
        <f t="shared" ca="1" si="1925"/>
        <v>#REF!</v>
      </c>
      <c r="O477" s="55" t="e">
        <f t="shared" ca="1" si="1925"/>
        <v>#REF!</v>
      </c>
      <c r="P477" s="55" t="e">
        <f t="shared" ca="1" si="1925"/>
        <v>#REF!</v>
      </c>
      <c r="Q477" s="55" t="e">
        <f t="shared" ca="1" si="1925"/>
        <v>#REF!</v>
      </c>
      <c r="R477" s="55" t="e">
        <f t="shared" ca="1" si="1925"/>
        <v>#REF!</v>
      </c>
      <c r="S477" s="55" t="e">
        <f t="shared" ca="1" si="1925"/>
        <v>#REF!</v>
      </c>
      <c r="T477" s="55" t="e">
        <f t="shared" ca="1" si="1925"/>
        <v>#REF!</v>
      </c>
      <c r="U477" s="55" t="e">
        <f t="shared" ca="1" si="1925"/>
        <v>#REF!</v>
      </c>
      <c r="V477" s="55" t="e">
        <f t="shared" ca="1" si="1925"/>
        <v>#REF!</v>
      </c>
      <c r="W477" s="55" t="e">
        <f t="shared" ca="1" si="1925"/>
        <v>#REF!</v>
      </c>
      <c r="X477" s="55" t="e">
        <f t="shared" ca="1" si="1925"/>
        <v>#REF!</v>
      </c>
      <c r="Y477" s="55" t="e">
        <f t="shared" ca="1" si="1925"/>
        <v>#REF!</v>
      </c>
      <c r="Z477" s="55" t="e">
        <f t="shared" ca="1" si="1925"/>
        <v>#REF!</v>
      </c>
      <c r="AA477" s="55" t="e">
        <f t="shared" ca="1" si="1925"/>
        <v>#REF!</v>
      </c>
      <c r="AB477" s="55" t="e">
        <f t="shared" ca="1" si="1925"/>
        <v>#REF!</v>
      </c>
      <c r="AC477" s="55" t="e">
        <f t="shared" ca="1" si="1925"/>
        <v>#REF!</v>
      </c>
      <c r="AD477" s="55" t="e">
        <f t="shared" ca="1" si="1925"/>
        <v>#REF!</v>
      </c>
      <c r="AE477" s="55" t="e">
        <f t="shared" ca="1" si="1925"/>
        <v>#REF!</v>
      </c>
      <c r="AF477" s="55" t="e">
        <f t="shared" ca="1" si="1925"/>
        <v>#REF!</v>
      </c>
      <c r="AG477" s="55" t="e">
        <f t="shared" ca="1" si="1925"/>
        <v>#REF!</v>
      </c>
      <c r="AH477" s="55" t="e">
        <f t="shared" ca="1" si="1925"/>
        <v>#REF!</v>
      </c>
      <c r="AI477" s="55" t="e">
        <f t="shared" ca="1" si="1925"/>
        <v>#REF!</v>
      </c>
      <c r="AJ477" s="55" t="e">
        <f t="shared" ca="1" si="1925"/>
        <v>#REF!</v>
      </c>
      <c r="AK477" s="55" t="e">
        <f t="shared" ca="1" si="1925"/>
        <v>#REF!</v>
      </c>
      <c r="AL477" s="55" t="e">
        <f t="shared" ca="1" si="1925"/>
        <v>#REF!</v>
      </c>
      <c r="AM477" s="55" t="e">
        <f t="shared" ca="1" si="1925"/>
        <v>#REF!</v>
      </c>
      <c r="AN477" s="55" t="e">
        <f t="shared" ca="1" si="1925"/>
        <v>#REF!</v>
      </c>
      <c r="AO477" s="55" t="e">
        <f t="shared" ca="1" si="1925"/>
        <v>#REF!</v>
      </c>
      <c r="AP477" s="55" t="e">
        <f t="shared" ca="1" si="1925"/>
        <v>#REF!</v>
      </c>
      <c r="AQ477" s="55" t="e">
        <f t="shared" ca="1" si="1925"/>
        <v>#REF!</v>
      </c>
      <c r="AR477" s="55" t="e">
        <f t="shared" ca="1" si="1925"/>
        <v>#REF!</v>
      </c>
      <c r="AS477" s="55" t="e">
        <f t="shared" ca="1" si="1925"/>
        <v>#REF!</v>
      </c>
      <c r="AT477" s="55" t="e">
        <f t="shared" ca="1" si="1925"/>
        <v>#REF!</v>
      </c>
      <c r="AU477" s="55" t="e">
        <f t="shared" ca="1" si="1925"/>
        <v>#REF!</v>
      </c>
      <c r="AV477" s="55" t="e">
        <f t="shared" ca="1" si="1925"/>
        <v>#REF!</v>
      </c>
      <c r="AW477" s="55" t="e">
        <f t="shared" ca="1" si="1925"/>
        <v>#REF!</v>
      </c>
      <c r="AX477" s="55" t="e">
        <f t="shared" ca="1" si="1925"/>
        <v>#REF!</v>
      </c>
      <c r="AY477" s="55" t="e">
        <f t="shared" ca="1" si="1925"/>
        <v>#REF!</v>
      </c>
      <c r="AZ477" s="55" t="e">
        <f t="shared" ca="1" si="1925"/>
        <v>#REF!</v>
      </c>
      <c r="BA477" s="55" t="e">
        <f t="shared" ca="1" si="1925"/>
        <v>#REF!</v>
      </c>
      <c r="BB477" s="55" t="e">
        <f t="shared" ca="1" si="1925"/>
        <v>#REF!</v>
      </c>
    </row>
    <row r="478" spans="1:56" hidden="1" x14ac:dyDescent="0.3">
      <c r="A478" s="35"/>
      <c r="B478" s="77"/>
      <c r="G478" s="55"/>
      <c r="H478" s="55"/>
      <c r="I478" s="55"/>
      <c r="J478" s="55"/>
      <c r="K478" s="55"/>
      <c r="L478" s="55"/>
      <c r="M478" s="55"/>
      <c r="N478" s="55"/>
      <c r="O478" s="55"/>
      <c r="P478" s="55"/>
      <c r="Q478" s="55"/>
      <c r="R478" s="55"/>
      <c r="S478" s="55"/>
      <c r="T478" s="55"/>
      <c r="U478" s="55"/>
      <c r="V478" s="55"/>
      <c r="W478" s="55"/>
      <c r="X478" s="55"/>
      <c r="Y478" s="55"/>
      <c r="Z478" s="55"/>
      <c r="AA478" s="55"/>
      <c r="AB478" s="55"/>
      <c r="AC478" s="55"/>
      <c r="AD478" s="55"/>
      <c r="AE478" s="55"/>
      <c r="AF478" s="55"/>
      <c r="AG478" s="55"/>
      <c r="AH478" s="55"/>
      <c r="AI478" s="55"/>
      <c r="AJ478" s="55"/>
      <c r="AK478" s="55"/>
      <c r="AL478" s="55"/>
      <c r="AM478" s="55"/>
      <c r="AN478" s="55"/>
      <c r="AO478" s="55"/>
      <c r="AP478" s="55"/>
      <c r="AQ478" s="55"/>
      <c r="AR478" s="55"/>
      <c r="AS478" s="55"/>
      <c r="AT478" s="55"/>
      <c r="AU478" s="55"/>
      <c r="AV478" s="55"/>
      <c r="AW478" s="55"/>
      <c r="AX478" s="55"/>
      <c r="AY478" s="55"/>
      <c r="AZ478" s="55"/>
      <c r="BA478" s="55"/>
      <c r="BB478" s="55"/>
    </row>
    <row r="479" spans="1:56" hidden="1" x14ac:dyDescent="0.3">
      <c r="A479" s="22" t="str">
        <f ca="1">Language!A$1407</f>
        <v>Чистая приведенная стоимость, NPV</v>
      </c>
      <c r="B479" s="99" t="e">
        <f ca="1">BD476</f>
        <v>#REF!</v>
      </c>
      <c r="C479" s="48" t="str">
        <f ca="1">Параметры!$C$64</f>
        <v>руб.</v>
      </c>
      <c r="G479" s="55"/>
      <c r="H479" s="55"/>
      <c r="I479" s="55"/>
      <c r="J479" s="55"/>
      <c r="K479" s="55"/>
      <c r="L479" s="55"/>
      <c r="M479" s="55"/>
      <c r="N479" s="55"/>
      <c r="O479" s="55"/>
      <c r="P479" s="55"/>
      <c r="Q479" s="55"/>
      <c r="R479" s="55"/>
      <c r="S479" s="55"/>
      <c r="T479" s="55"/>
      <c r="U479" s="55"/>
      <c r="V479" s="55"/>
      <c r="W479" s="55"/>
      <c r="X479" s="55"/>
      <c r="Y479" s="55"/>
      <c r="Z479" s="55"/>
      <c r="AA479" s="55"/>
      <c r="AB479" s="55"/>
      <c r="AC479" s="55"/>
      <c r="AD479" s="55"/>
      <c r="AE479" s="55"/>
      <c r="AF479" s="55"/>
      <c r="AG479" s="55"/>
      <c r="AH479" s="55"/>
      <c r="AI479" s="55"/>
      <c r="AJ479" s="55"/>
      <c r="AK479" s="55"/>
      <c r="AL479" s="55"/>
      <c r="AM479" s="55"/>
      <c r="AN479" s="55"/>
      <c r="AO479" s="55"/>
      <c r="AP479" s="55"/>
      <c r="AQ479" s="55"/>
      <c r="AR479" s="55"/>
      <c r="AS479" s="55"/>
      <c r="AT479" s="55"/>
      <c r="AU479" s="55"/>
      <c r="AV479" s="55"/>
      <c r="AW479" s="55"/>
      <c r="AX479" s="55"/>
      <c r="AY479" s="55"/>
      <c r="AZ479" s="55"/>
      <c r="BA479" s="55"/>
      <c r="BB479" s="55"/>
    </row>
    <row r="480" spans="1:56" hidden="1" x14ac:dyDescent="0.3">
      <c r="A480" s="152"/>
      <c r="B480" s="150"/>
      <c r="C480" s="151"/>
      <c r="D480" s="63"/>
      <c r="E480" s="63"/>
      <c r="F480" s="63"/>
      <c r="G480" s="62"/>
      <c r="H480" s="62"/>
      <c r="I480" s="62"/>
      <c r="J480" s="62"/>
      <c r="K480" s="62"/>
      <c r="L480" s="62"/>
      <c r="M480" s="62"/>
      <c r="N480" s="62"/>
      <c r="O480" s="62"/>
      <c r="P480" s="62"/>
      <c r="Q480" s="62"/>
      <c r="R480" s="62"/>
      <c r="S480" s="62"/>
      <c r="T480" s="62"/>
      <c r="U480" s="62"/>
      <c r="V480" s="62"/>
      <c r="W480" s="62"/>
      <c r="X480" s="62"/>
      <c r="Y480" s="62"/>
      <c r="Z480" s="62"/>
      <c r="AA480" s="62"/>
      <c r="AB480" s="62"/>
      <c r="AC480" s="62"/>
      <c r="AD480" s="62"/>
      <c r="AE480" s="62"/>
      <c r="AF480" s="62"/>
      <c r="AG480" s="62"/>
      <c r="AH480" s="62"/>
      <c r="AI480" s="62"/>
      <c r="AJ480" s="62"/>
      <c r="AK480" s="62"/>
      <c r="AL480" s="62"/>
      <c r="AM480" s="62"/>
      <c r="AN480" s="62"/>
      <c r="AO480" s="62"/>
      <c r="AP480" s="62"/>
      <c r="AQ480" s="62"/>
      <c r="AR480" s="62"/>
      <c r="AS480" s="62"/>
      <c r="AT480" s="62"/>
      <c r="AU480" s="62"/>
      <c r="AV480" s="62"/>
      <c r="AW480" s="62"/>
      <c r="AX480" s="62"/>
      <c r="AY480" s="62"/>
      <c r="AZ480" s="62"/>
      <c r="BA480" s="62"/>
      <c r="BB480" s="62"/>
      <c r="BC480" s="62"/>
      <c r="BD480" s="62"/>
    </row>
    <row r="481" spans="1:56" hidden="1" x14ac:dyDescent="0.3">
      <c r="A481" s="22" t="str">
        <f ca="1">Language!A1520</f>
        <v>Общая бюджетная эффективность</v>
      </c>
    </row>
    <row r="482" spans="1:56" hidden="1" x14ac:dyDescent="0.3">
      <c r="A482" s="10"/>
    </row>
    <row r="483" spans="1:56" hidden="1" x14ac:dyDescent="0.3">
      <c r="A483" s="22" t="str">
        <f ca="1">Language!A$1414</f>
        <v>Поступление налогов в бюджет</v>
      </c>
      <c r="B483" s="109"/>
      <c r="C483" s="110"/>
      <c r="G483" s="55"/>
      <c r="H483" s="55"/>
      <c r="I483" s="55"/>
      <c r="J483" s="55"/>
      <c r="K483" s="55"/>
      <c r="L483" s="55"/>
      <c r="M483" s="55"/>
      <c r="N483" s="55"/>
      <c r="O483" s="55"/>
      <c r="P483" s="55"/>
      <c r="Q483" s="55"/>
      <c r="R483" s="55"/>
      <c r="S483" s="55"/>
      <c r="T483" s="55"/>
      <c r="U483" s="55"/>
      <c r="V483" s="55"/>
      <c r="W483" s="55"/>
      <c r="X483" s="55"/>
      <c r="Y483" s="55"/>
      <c r="Z483" s="55"/>
      <c r="AA483" s="55"/>
      <c r="AB483" s="55"/>
      <c r="AC483" s="55"/>
      <c r="AD483" s="55"/>
      <c r="AE483" s="55"/>
      <c r="AF483" s="55"/>
      <c r="AG483" s="55"/>
      <c r="AH483" s="55"/>
      <c r="AI483" s="55"/>
      <c r="AJ483" s="55"/>
      <c r="AK483" s="55"/>
      <c r="AL483" s="55"/>
      <c r="AM483" s="55"/>
      <c r="AN483" s="55"/>
      <c r="AO483" s="55"/>
      <c r="AP483" s="55"/>
      <c r="AQ483" s="55"/>
      <c r="AR483" s="55"/>
      <c r="AS483" s="55"/>
      <c r="AT483" s="55"/>
      <c r="AU483" s="55"/>
      <c r="AV483" s="55"/>
      <c r="AW483" s="55"/>
      <c r="AX483" s="55"/>
      <c r="AY483" s="55"/>
      <c r="AZ483" s="55"/>
      <c r="BA483" s="55"/>
      <c r="BB483" s="55"/>
      <c r="BC483" s="55"/>
      <c r="BD483" s="55"/>
    </row>
    <row r="484" spans="1:56" hidden="1" x14ac:dyDescent="0.3">
      <c r="A484" s="10" t="str">
        <f ca="1">Language!A$1514</f>
        <v>Налог на доходы физических лиц</v>
      </c>
      <c r="B484" s="33"/>
      <c r="C484" s="48" t="str">
        <f ca="1">Параметры!$C$64</f>
        <v>руб.</v>
      </c>
      <c r="E484" s="6" t="s">
        <v>2358</v>
      </c>
      <c r="F484" s="6" t="s">
        <v>740</v>
      </c>
      <c r="G484" s="55">
        <f ca="1">Проект!G$412*$B$430</f>
        <v>0</v>
      </c>
      <c r="H484" s="55">
        <f ca="1">Проект!H$412*$B$430</f>
        <v>0</v>
      </c>
      <c r="I484" s="55">
        <f ca="1">Проект!I$412*$B$430</f>
        <v>0</v>
      </c>
      <c r="J484" s="55">
        <f ca="1">Проект!J$412*$B$430</f>
        <v>0</v>
      </c>
      <c r="K484" s="55">
        <f ca="1">Проект!K$412*$B$430</f>
        <v>0</v>
      </c>
      <c r="L484" s="55">
        <f ca="1">Проект!L$412*$B$430</f>
        <v>0</v>
      </c>
      <c r="M484" s="55">
        <f ca="1">Проект!M$412*$B$430</f>
        <v>130497.11203701021</v>
      </c>
      <c r="N484" s="55">
        <f ca="1">Проект!N$412*$B$430</f>
        <v>131132.31332848163</v>
      </c>
      <c r="O484" s="55">
        <f ca="1">Проект!O$412*$B$430</f>
        <v>131770.60649435842</v>
      </c>
      <c r="P484" s="55">
        <f ca="1">Проект!P$412*$B$430</f>
        <v>132412.00658449566</v>
      </c>
      <c r="Q484" s="55">
        <f ca="1">Проект!Q$412*$B$430</f>
        <v>133056.52872200421</v>
      </c>
      <c r="R484" s="55">
        <f ca="1">Проект!R$412*$B$430</f>
        <v>133704.18810360759</v>
      </c>
      <c r="S484" s="55">
        <f ca="1">Проект!S$412*$B$430</f>
        <v>134355.00000000003</v>
      </c>
      <c r="T484" s="55">
        <f ca="1">Проект!T$412*$B$430</f>
        <v>135008.97975620671</v>
      </c>
      <c r="U484" s="55">
        <f ca="1">Проект!U$412*$B$430</f>
        <v>135666.14279194543</v>
      </c>
      <c r="V484" s="55">
        <f ca="1">Проект!V$412*$B$430</f>
        <v>136326.50460199028</v>
      </c>
      <c r="W484" s="55">
        <f ca="1">Проект!W$412*$B$430</f>
        <v>136990.08075653695</v>
      </c>
      <c r="X484" s="55">
        <f ca="1">Проект!X$412*$B$430</f>
        <v>137656.88690156981</v>
      </c>
      <c r="Y484" s="55">
        <f ca="1">Проект!Y$412*$B$430</f>
        <v>138326.93875923089</v>
      </c>
      <c r="Z484" s="55">
        <f ca="1">Проект!Z$412*$B$430</f>
        <v>139000.25212819056</v>
      </c>
      <c r="AA484" s="55">
        <f ca="1">Проект!AA$412*$B$430</f>
        <v>139676.84288402001</v>
      </c>
      <c r="AB484" s="55">
        <f ca="1">Проект!AB$412*$B$430</f>
        <v>140356.7269795654</v>
      </c>
      <c r="AC484" s="55">
        <f ca="1">Проект!AC$412*$B$430</f>
        <v>141039.92044532453</v>
      </c>
      <c r="AD484" s="55">
        <f ca="1">Проект!AD$412*$B$430</f>
        <v>141726.43938982408</v>
      </c>
      <c r="AE484" s="55">
        <f ca="1">Проект!AE$412*$B$430</f>
        <v>142416.30000000008</v>
      </c>
      <c r="AF484" s="55">
        <f ca="1">Проект!AF$412*$B$430</f>
        <v>143109.51854157913</v>
      </c>
      <c r="AG484" s="55">
        <f ca="1">Проект!AG$412*$B$430</f>
        <v>143806.1113594622</v>
      </c>
      <c r="AH484" s="55">
        <f ca="1">Проект!AH$412*$B$430</f>
        <v>144506.09487810972</v>
      </c>
      <c r="AI484" s="55">
        <f ca="1">Проект!AI$412*$B$430</f>
        <v>145209.48560192916</v>
      </c>
      <c r="AJ484" s="55">
        <f ca="1">Проект!AJ$412*$B$430</f>
        <v>145916.30011566402</v>
      </c>
      <c r="AK484" s="55">
        <f ca="1">Проект!AK$412*$B$430</f>
        <v>146626.55508478478</v>
      </c>
      <c r="AL484" s="55">
        <f ca="1">Проект!AL$412*$B$430</f>
        <v>147340.267255882</v>
      </c>
      <c r="AM484" s="55">
        <f ca="1">Проект!AM$412*$B$430</f>
        <v>148057.4534570612</v>
      </c>
      <c r="AN484" s="55">
        <f ca="1">Проект!AN$412*$B$430</f>
        <v>148778.13059833934</v>
      </c>
      <c r="AO484" s="55">
        <f ca="1">Проект!AO$412*$B$430</f>
        <v>149502.315672044</v>
      </c>
      <c r="AP484" s="55">
        <f ca="1">Проект!AP$412*$B$430</f>
        <v>150230.02575321356</v>
      </c>
      <c r="AQ484" s="55">
        <f ca="1">Проект!AQ$412*$B$430</f>
        <v>150961.27800000008</v>
      </c>
      <c r="AR484" s="55">
        <f ca="1">Проект!AR$412*$B$430</f>
        <v>151696.0896540739</v>
      </c>
      <c r="AS484" s="55">
        <f ca="1">Проект!AS$412*$B$430</f>
        <v>152434.47804102991</v>
      </c>
      <c r="AT484" s="55">
        <f ca="1">Проект!AT$412*$B$430</f>
        <v>153176.46057079631</v>
      </c>
      <c r="AU484" s="55">
        <f ca="1">Проект!AU$412*$B$430</f>
        <v>153922.05473804494</v>
      </c>
      <c r="AV484" s="55">
        <f ca="1">Проект!AV$412*$B$430</f>
        <v>154671.27812260386</v>
      </c>
      <c r="AW484" s="55">
        <f ca="1">Проект!AW$412*$B$430</f>
        <v>155424.1483898719</v>
      </c>
      <c r="AX484" s="55">
        <f ca="1">Проект!AX$412*$B$430</f>
        <v>156180.68329123495</v>
      </c>
      <c r="AY484" s="55">
        <f ca="1">Проект!AY$412*$B$430</f>
        <v>156940.90066448489</v>
      </c>
      <c r="AZ484" s="55">
        <f ca="1">Проект!AZ$412*$B$430</f>
        <v>157704.81843423974</v>
      </c>
      <c r="BA484" s="55">
        <f ca="1">Проект!BA$412*$B$430</f>
        <v>158472.45461236668</v>
      </c>
      <c r="BB484" s="55">
        <f ca="1">Проект!BB$412*$B$430</f>
        <v>159243.82729840637</v>
      </c>
      <c r="BC484" s="55"/>
      <c r="BD484" s="57">
        <f t="shared" ref="BD484:BD492" ca="1" si="1926">SUM(G484:BC484)</f>
        <v>6065030.5007995851</v>
      </c>
    </row>
    <row r="485" spans="1:56" hidden="1" x14ac:dyDescent="0.3">
      <c r="A485" s="5" t="str">
        <f ca="1">Language!A$1155</f>
        <v>Акцизы на проданные товары</v>
      </c>
      <c r="B485" s="109"/>
      <c r="C485" s="48" t="str">
        <f ca="1">Параметры!$C$64</f>
        <v>руб.</v>
      </c>
      <c r="E485" s="6" t="s">
        <v>1608</v>
      </c>
      <c r="F485" s="6" t="s">
        <v>740</v>
      </c>
      <c r="G485" s="55">
        <f ca="1">Проект!G$1291</f>
        <v>0</v>
      </c>
      <c r="H485" s="55">
        <f ca="1">Проект!H$1291</f>
        <v>0</v>
      </c>
      <c r="I485" s="55">
        <f ca="1">Проект!I$1291</f>
        <v>0</v>
      </c>
      <c r="J485" s="55">
        <f ca="1">Проект!J$1291</f>
        <v>0</v>
      </c>
      <c r="K485" s="55">
        <f ca="1">Проект!K$1291</f>
        <v>0</v>
      </c>
      <c r="L485" s="55">
        <f ca="1">Проект!L$1291</f>
        <v>0</v>
      </c>
      <c r="M485" s="55">
        <f ca="1">Проект!M$1291</f>
        <v>0</v>
      </c>
      <c r="N485" s="55">
        <f ca="1">Проект!N$1291</f>
        <v>0</v>
      </c>
      <c r="O485" s="55">
        <f ca="1">Проект!O$1291</f>
        <v>0</v>
      </c>
      <c r="P485" s="55">
        <f ca="1">Проект!P$1291</f>
        <v>0</v>
      </c>
      <c r="Q485" s="55">
        <f ca="1">Проект!Q$1291</f>
        <v>0</v>
      </c>
      <c r="R485" s="55">
        <f ca="1">Проект!R$1291</f>
        <v>0</v>
      </c>
      <c r="S485" s="55">
        <f ca="1">Проект!S$1291</f>
        <v>0</v>
      </c>
      <c r="T485" s="55">
        <f ca="1">Проект!T$1291</f>
        <v>0</v>
      </c>
      <c r="U485" s="55">
        <f ca="1">Проект!U$1291</f>
        <v>0</v>
      </c>
      <c r="V485" s="55">
        <f ca="1">Проект!V$1291</f>
        <v>0</v>
      </c>
      <c r="W485" s="55">
        <f ca="1">Проект!W$1291</f>
        <v>0</v>
      </c>
      <c r="X485" s="55">
        <f ca="1">Проект!X$1291</f>
        <v>0</v>
      </c>
      <c r="Y485" s="55">
        <f ca="1">Проект!Y$1291</f>
        <v>0</v>
      </c>
      <c r="Z485" s="55">
        <f ca="1">Проект!Z$1291</f>
        <v>0</v>
      </c>
      <c r="AA485" s="55">
        <f ca="1">Проект!AA$1291</f>
        <v>0</v>
      </c>
      <c r="AB485" s="55">
        <f ca="1">Проект!AB$1291</f>
        <v>0</v>
      </c>
      <c r="AC485" s="55">
        <f ca="1">Проект!AC$1291</f>
        <v>0</v>
      </c>
      <c r="AD485" s="55">
        <f ca="1">Проект!AD$1291</f>
        <v>0</v>
      </c>
      <c r="AE485" s="55">
        <f ca="1">Проект!AE$1291</f>
        <v>0</v>
      </c>
      <c r="AF485" s="55">
        <f ca="1">Проект!AF$1291</f>
        <v>0</v>
      </c>
      <c r="AG485" s="55">
        <f ca="1">Проект!AG$1291</f>
        <v>0</v>
      </c>
      <c r="AH485" s="55">
        <f ca="1">Проект!AH$1291</f>
        <v>0</v>
      </c>
      <c r="AI485" s="55">
        <f ca="1">Проект!AI$1291</f>
        <v>0</v>
      </c>
      <c r="AJ485" s="55">
        <f ca="1">Проект!AJ$1291</f>
        <v>0</v>
      </c>
      <c r="AK485" s="55">
        <f ca="1">Проект!AK$1291</f>
        <v>0</v>
      </c>
      <c r="AL485" s="55">
        <f ca="1">Проект!AL$1291</f>
        <v>0</v>
      </c>
      <c r="AM485" s="55">
        <f ca="1">Проект!AM$1291</f>
        <v>0</v>
      </c>
      <c r="AN485" s="55">
        <f ca="1">Проект!AN$1291</f>
        <v>0</v>
      </c>
      <c r="AO485" s="55">
        <f ca="1">Проект!AO$1291</f>
        <v>0</v>
      </c>
      <c r="AP485" s="55">
        <f ca="1">Проект!AP$1291</f>
        <v>0</v>
      </c>
      <c r="AQ485" s="55">
        <f ca="1">Проект!AQ$1291</f>
        <v>0</v>
      </c>
      <c r="AR485" s="55">
        <f ca="1">Проект!AR$1291</f>
        <v>0</v>
      </c>
      <c r="AS485" s="55">
        <f ca="1">Проект!AS$1291</f>
        <v>0</v>
      </c>
      <c r="AT485" s="55">
        <f ca="1">Проект!AT$1291</f>
        <v>0</v>
      </c>
      <c r="AU485" s="55">
        <f ca="1">Проект!AU$1291</f>
        <v>0</v>
      </c>
      <c r="AV485" s="55">
        <f ca="1">Проект!AV$1291</f>
        <v>0</v>
      </c>
      <c r="AW485" s="55">
        <f ca="1">Проект!AW$1291</f>
        <v>0</v>
      </c>
      <c r="AX485" s="55">
        <f ca="1">Проект!AX$1291</f>
        <v>0</v>
      </c>
      <c r="AY485" s="55">
        <f ca="1">Проект!AY$1291</f>
        <v>0</v>
      </c>
      <c r="AZ485" s="55">
        <f ca="1">Проект!AZ$1291</f>
        <v>0</v>
      </c>
      <c r="BA485" s="55">
        <f ca="1">Проект!BA$1291</f>
        <v>0</v>
      </c>
      <c r="BB485" s="55">
        <f ca="1">Проект!BB$1291</f>
        <v>0</v>
      </c>
      <c r="BC485" s="55"/>
      <c r="BD485" s="57">
        <f t="shared" ca="1" si="1926"/>
        <v>0</v>
      </c>
    </row>
    <row r="486" spans="1:56" hidden="1" x14ac:dyDescent="0.3">
      <c r="A486" s="5" t="str">
        <f ca="1">Language!A$1156</f>
        <v>Импортная пошлина на сырье и материалы</v>
      </c>
      <c r="B486" s="109"/>
      <c r="C486" s="48" t="str">
        <f ca="1">Параметры!$C$64</f>
        <v>руб.</v>
      </c>
      <c r="E486" s="6" t="s">
        <v>1609</v>
      </c>
      <c r="F486" s="6" t="s">
        <v>740</v>
      </c>
      <c r="G486" s="55">
        <f ca="1">Проект!G$1292</f>
        <v>0</v>
      </c>
      <c r="H486" s="55">
        <f ca="1">Проект!H$1292</f>
        <v>0</v>
      </c>
      <c r="I486" s="55">
        <f ca="1">Проект!I$1292</f>
        <v>0</v>
      </c>
      <c r="J486" s="55">
        <f ca="1">Проект!J$1292</f>
        <v>0</v>
      </c>
      <c r="K486" s="55">
        <f ca="1">Проект!K$1292</f>
        <v>0</v>
      </c>
      <c r="L486" s="55">
        <f ca="1">Проект!L$1292</f>
        <v>0</v>
      </c>
      <c r="M486" s="55">
        <f ca="1">Проект!M$1292</f>
        <v>0</v>
      </c>
      <c r="N486" s="55">
        <f ca="1">Проект!N$1292</f>
        <v>0</v>
      </c>
      <c r="O486" s="55">
        <f ca="1">Проект!O$1292</f>
        <v>0</v>
      </c>
      <c r="P486" s="55">
        <f ca="1">Проект!P$1292</f>
        <v>0</v>
      </c>
      <c r="Q486" s="55">
        <f ca="1">Проект!Q$1292</f>
        <v>0</v>
      </c>
      <c r="R486" s="55">
        <f ca="1">Проект!R$1292</f>
        <v>0</v>
      </c>
      <c r="S486" s="55">
        <f ca="1">Проект!S$1292</f>
        <v>0</v>
      </c>
      <c r="T486" s="55">
        <f ca="1">Проект!T$1292</f>
        <v>0</v>
      </c>
      <c r="U486" s="55">
        <f ca="1">Проект!U$1292</f>
        <v>0</v>
      </c>
      <c r="V486" s="55">
        <f ca="1">Проект!V$1292</f>
        <v>0</v>
      </c>
      <c r="W486" s="55">
        <f ca="1">Проект!W$1292</f>
        <v>0</v>
      </c>
      <c r="X486" s="55">
        <f ca="1">Проект!X$1292</f>
        <v>0</v>
      </c>
      <c r="Y486" s="55">
        <f ca="1">Проект!Y$1292</f>
        <v>0</v>
      </c>
      <c r="Z486" s="55">
        <f ca="1">Проект!Z$1292</f>
        <v>0</v>
      </c>
      <c r="AA486" s="55">
        <f ca="1">Проект!AA$1292</f>
        <v>0</v>
      </c>
      <c r="AB486" s="55">
        <f ca="1">Проект!AB$1292</f>
        <v>0</v>
      </c>
      <c r="AC486" s="55">
        <f ca="1">Проект!AC$1292</f>
        <v>0</v>
      </c>
      <c r="AD486" s="55">
        <f ca="1">Проект!AD$1292</f>
        <v>0</v>
      </c>
      <c r="AE486" s="55">
        <f ca="1">Проект!AE$1292</f>
        <v>0</v>
      </c>
      <c r="AF486" s="55">
        <f ca="1">Проект!AF$1292</f>
        <v>0</v>
      </c>
      <c r="AG486" s="55">
        <f ca="1">Проект!AG$1292</f>
        <v>0</v>
      </c>
      <c r="AH486" s="55">
        <f ca="1">Проект!AH$1292</f>
        <v>0</v>
      </c>
      <c r="AI486" s="55">
        <f ca="1">Проект!AI$1292</f>
        <v>0</v>
      </c>
      <c r="AJ486" s="55">
        <f ca="1">Проект!AJ$1292</f>
        <v>0</v>
      </c>
      <c r="AK486" s="55">
        <f ca="1">Проект!AK$1292</f>
        <v>0</v>
      </c>
      <c r="AL486" s="55">
        <f ca="1">Проект!AL$1292</f>
        <v>0</v>
      </c>
      <c r="AM486" s="55">
        <f ca="1">Проект!AM$1292</f>
        <v>0</v>
      </c>
      <c r="AN486" s="55">
        <f ca="1">Проект!AN$1292</f>
        <v>0</v>
      </c>
      <c r="AO486" s="55">
        <f ca="1">Проект!AO$1292</f>
        <v>0</v>
      </c>
      <c r="AP486" s="55">
        <f ca="1">Проект!AP$1292</f>
        <v>0</v>
      </c>
      <c r="AQ486" s="55">
        <f ca="1">Проект!AQ$1292</f>
        <v>0</v>
      </c>
      <c r="AR486" s="55">
        <f ca="1">Проект!AR$1292</f>
        <v>0</v>
      </c>
      <c r="AS486" s="55">
        <f ca="1">Проект!AS$1292</f>
        <v>0</v>
      </c>
      <c r="AT486" s="55">
        <f ca="1">Проект!AT$1292</f>
        <v>0</v>
      </c>
      <c r="AU486" s="55">
        <f ca="1">Проект!AU$1292</f>
        <v>0</v>
      </c>
      <c r="AV486" s="55">
        <f ca="1">Проект!AV$1292</f>
        <v>0</v>
      </c>
      <c r="AW486" s="55">
        <f ca="1">Проект!AW$1292</f>
        <v>0</v>
      </c>
      <c r="AX486" s="55">
        <f ca="1">Проект!AX$1292</f>
        <v>0</v>
      </c>
      <c r="AY486" s="55">
        <f ca="1">Проект!AY$1292</f>
        <v>0</v>
      </c>
      <c r="AZ486" s="55">
        <f ca="1">Проект!AZ$1292</f>
        <v>0</v>
      </c>
      <c r="BA486" s="55">
        <f ca="1">Проект!BA$1292</f>
        <v>0</v>
      </c>
      <c r="BB486" s="55">
        <f ca="1">Проект!BB$1292</f>
        <v>0</v>
      </c>
      <c r="BC486" s="55"/>
      <c r="BD486" s="57">
        <f t="shared" ca="1" si="1926"/>
        <v>0</v>
      </c>
    </row>
    <row r="487" spans="1:56" hidden="1" x14ac:dyDescent="0.3">
      <c r="A487" s="5" t="str">
        <f ca="1">Language!A$1157</f>
        <v>Импортная пошлина на оборудование</v>
      </c>
      <c r="B487" s="109"/>
      <c r="C487" s="48" t="str">
        <f ca="1">Параметры!$C$64</f>
        <v>руб.</v>
      </c>
      <c r="E487" s="6" t="s">
        <v>1610</v>
      </c>
      <c r="F487" s="6" t="s">
        <v>740</v>
      </c>
      <c r="G487" s="55">
        <f>Проект!G$1293</f>
        <v>0</v>
      </c>
      <c r="H487" s="55">
        <f>Проект!H$1293</f>
        <v>0</v>
      </c>
      <c r="I487" s="55">
        <f>Проект!I$1293</f>
        <v>0</v>
      </c>
      <c r="J487" s="55">
        <f>Проект!J$1293</f>
        <v>0</v>
      </c>
      <c r="K487" s="55">
        <f>Проект!K$1293</f>
        <v>0</v>
      </c>
      <c r="L487" s="55">
        <f>Проект!L$1293</f>
        <v>0</v>
      </c>
      <c r="M487" s="55">
        <f>Проект!M$1293</f>
        <v>0</v>
      </c>
      <c r="N487" s="55">
        <f>Проект!N$1293</f>
        <v>0</v>
      </c>
      <c r="O487" s="55">
        <f>Проект!O$1293</f>
        <v>0</v>
      </c>
      <c r="P487" s="55">
        <f>Проект!P$1293</f>
        <v>0</v>
      </c>
      <c r="Q487" s="55">
        <f>Проект!Q$1293</f>
        <v>0</v>
      </c>
      <c r="R487" s="55">
        <f>Проект!R$1293</f>
        <v>0</v>
      </c>
      <c r="S487" s="55">
        <f>Проект!S$1293</f>
        <v>0</v>
      </c>
      <c r="T487" s="55">
        <f>Проект!T$1293</f>
        <v>0</v>
      </c>
      <c r="U487" s="55">
        <f>Проект!U$1293</f>
        <v>0</v>
      </c>
      <c r="V487" s="55">
        <f>Проект!V$1293</f>
        <v>0</v>
      </c>
      <c r="W487" s="55">
        <f>Проект!W$1293</f>
        <v>0</v>
      </c>
      <c r="X487" s="55">
        <f>Проект!X$1293</f>
        <v>0</v>
      </c>
      <c r="Y487" s="55">
        <f>Проект!Y$1293</f>
        <v>0</v>
      </c>
      <c r="Z487" s="55">
        <f>Проект!Z$1293</f>
        <v>0</v>
      </c>
      <c r="AA487" s="55">
        <f>Проект!AA$1293</f>
        <v>0</v>
      </c>
      <c r="AB487" s="55">
        <f>Проект!AB$1293</f>
        <v>0</v>
      </c>
      <c r="AC487" s="55">
        <f>Проект!AC$1293</f>
        <v>0</v>
      </c>
      <c r="AD487" s="55">
        <f>Проект!AD$1293</f>
        <v>0</v>
      </c>
      <c r="AE487" s="55">
        <f>Проект!AE$1293</f>
        <v>0</v>
      </c>
      <c r="AF487" s="55">
        <f>Проект!AF$1293</f>
        <v>0</v>
      </c>
      <c r="AG487" s="55">
        <f>Проект!AG$1293</f>
        <v>0</v>
      </c>
      <c r="AH487" s="55">
        <f>Проект!AH$1293</f>
        <v>0</v>
      </c>
      <c r="AI487" s="55">
        <f>Проект!AI$1293</f>
        <v>0</v>
      </c>
      <c r="AJ487" s="55">
        <f>Проект!AJ$1293</f>
        <v>0</v>
      </c>
      <c r="AK487" s="55">
        <f>Проект!AK$1293</f>
        <v>0</v>
      </c>
      <c r="AL487" s="55">
        <f>Проект!AL$1293</f>
        <v>0</v>
      </c>
      <c r="AM487" s="55">
        <f>Проект!AM$1293</f>
        <v>0</v>
      </c>
      <c r="AN487" s="55">
        <f>Проект!AN$1293</f>
        <v>0</v>
      </c>
      <c r="AO487" s="55">
        <f>Проект!AO$1293</f>
        <v>0</v>
      </c>
      <c r="AP487" s="55">
        <f>Проект!AP$1293</f>
        <v>0</v>
      </c>
      <c r="AQ487" s="55">
        <f>Проект!AQ$1293</f>
        <v>0</v>
      </c>
      <c r="AR487" s="55">
        <f>Проект!AR$1293</f>
        <v>0</v>
      </c>
      <c r="AS487" s="55">
        <f>Проект!AS$1293</f>
        <v>0</v>
      </c>
      <c r="AT487" s="55">
        <f>Проект!AT$1293</f>
        <v>0</v>
      </c>
      <c r="AU487" s="55">
        <f>Проект!AU$1293</f>
        <v>0</v>
      </c>
      <c r="AV487" s="55">
        <f>Проект!AV$1293</f>
        <v>0</v>
      </c>
      <c r="AW487" s="55">
        <f>Проект!AW$1293</f>
        <v>0</v>
      </c>
      <c r="AX487" s="55">
        <f>Проект!AX$1293</f>
        <v>0</v>
      </c>
      <c r="AY487" s="55">
        <f>Проект!AY$1293</f>
        <v>0</v>
      </c>
      <c r="AZ487" s="55">
        <f>Проект!AZ$1293</f>
        <v>0</v>
      </c>
      <c r="BA487" s="55">
        <f>Проект!BA$1293</f>
        <v>0</v>
      </c>
      <c r="BB487" s="55">
        <f>Проект!BB$1293</f>
        <v>0</v>
      </c>
      <c r="BC487" s="55"/>
      <c r="BD487" s="57">
        <f t="shared" si="1926"/>
        <v>0</v>
      </c>
    </row>
    <row r="488" spans="1:56" hidden="1" collapsed="1" x14ac:dyDescent="0.3">
      <c r="A488" s="10" t="str">
        <f ca="1">Language!A$1415</f>
        <v>Налог на добавленную стоимость</v>
      </c>
      <c r="B488" s="78"/>
      <c r="C488" s="48" t="str">
        <f ca="1">Параметры!$C$64</f>
        <v>руб.</v>
      </c>
      <c r="E488" s="6" t="s">
        <v>1611</v>
      </c>
      <c r="F488" s="6" t="s">
        <v>740</v>
      </c>
      <c r="G488" s="55">
        <f ca="1">Проект!G$1297</f>
        <v>0</v>
      </c>
      <c r="H488" s="55">
        <f ca="1">Проект!H$1297</f>
        <v>0</v>
      </c>
      <c r="I488" s="55">
        <f ca="1">Проект!I$1297</f>
        <v>0</v>
      </c>
      <c r="J488" s="55">
        <f ca="1">Проект!J$1297</f>
        <v>0</v>
      </c>
      <c r="K488" s="55">
        <f ca="1">Проект!K$1297</f>
        <v>0</v>
      </c>
      <c r="L488" s="55">
        <f ca="1">Проект!L$1297</f>
        <v>0</v>
      </c>
      <c r="M488" s="55">
        <f ca="1">Проект!M$1297</f>
        <v>0</v>
      </c>
      <c r="N488" s="55">
        <f ca="1">Проект!N$1297</f>
        <v>0</v>
      </c>
      <c r="O488" s="55">
        <f ca="1">Проект!O$1297</f>
        <v>0</v>
      </c>
      <c r="P488" s="55">
        <f ca="1">Проект!P$1297</f>
        <v>0</v>
      </c>
      <c r="Q488" s="55">
        <f ca="1">Проект!Q$1297</f>
        <v>0</v>
      </c>
      <c r="R488" s="55">
        <f ca="1">Проект!R$1297</f>
        <v>0</v>
      </c>
      <c r="S488" s="55">
        <f ca="1">Проект!S$1297</f>
        <v>0</v>
      </c>
      <c r="T488" s="55">
        <f ca="1">Проект!T$1297</f>
        <v>0</v>
      </c>
      <c r="U488" s="55">
        <f ca="1">Проект!U$1297</f>
        <v>0</v>
      </c>
      <c r="V488" s="55">
        <f ca="1">Проект!V$1297</f>
        <v>0</v>
      </c>
      <c r="W488" s="55">
        <f ca="1">Проект!W$1297</f>
        <v>0</v>
      </c>
      <c r="X488" s="55">
        <f ca="1">Проект!X$1297</f>
        <v>0</v>
      </c>
      <c r="Y488" s="55">
        <f ca="1">Проект!Y$1297</f>
        <v>0</v>
      </c>
      <c r="Z488" s="55">
        <f ca="1">Проект!Z$1297</f>
        <v>0</v>
      </c>
      <c r="AA488" s="55">
        <f ca="1">Проект!AA$1297</f>
        <v>0</v>
      </c>
      <c r="AB488" s="55">
        <f ca="1">Проект!AB$1297</f>
        <v>0</v>
      </c>
      <c r="AC488" s="55">
        <f ca="1">Проект!AC$1297</f>
        <v>0</v>
      </c>
      <c r="AD488" s="55">
        <f ca="1">Проект!AD$1297</f>
        <v>0</v>
      </c>
      <c r="AE488" s="55">
        <f ca="1">Проект!AE$1297</f>
        <v>0</v>
      </c>
      <c r="AF488" s="55">
        <f ca="1">Проект!AF$1297</f>
        <v>0</v>
      </c>
      <c r="AG488" s="55">
        <f ca="1">Проект!AG$1297</f>
        <v>0</v>
      </c>
      <c r="AH488" s="55">
        <f ca="1">Проект!AH$1297</f>
        <v>0</v>
      </c>
      <c r="AI488" s="55">
        <f ca="1">Проект!AI$1297</f>
        <v>0</v>
      </c>
      <c r="AJ488" s="55">
        <f ca="1">Проект!AJ$1297</f>
        <v>0</v>
      </c>
      <c r="AK488" s="55">
        <f ca="1">Проект!AK$1297</f>
        <v>0</v>
      </c>
      <c r="AL488" s="55">
        <f ca="1">Проект!AL$1297</f>
        <v>0</v>
      </c>
      <c r="AM488" s="55">
        <f ca="1">Проект!AM$1297</f>
        <v>0</v>
      </c>
      <c r="AN488" s="55">
        <f ca="1">Проект!AN$1297</f>
        <v>0</v>
      </c>
      <c r="AO488" s="55">
        <f ca="1">Проект!AO$1297</f>
        <v>0</v>
      </c>
      <c r="AP488" s="55">
        <f ca="1">Проект!AP$1297</f>
        <v>0</v>
      </c>
      <c r="AQ488" s="55">
        <f ca="1">Проект!AQ$1297</f>
        <v>0</v>
      </c>
      <c r="AR488" s="55">
        <f ca="1">Проект!AR$1297</f>
        <v>0</v>
      </c>
      <c r="AS488" s="55">
        <f ca="1">Проект!AS$1297</f>
        <v>0</v>
      </c>
      <c r="AT488" s="55">
        <f ca="1">Проект!AT$1297</f>
        <v>0</v>
      </c>
      <c r="AU488" s="55">
        <f ca="1">Проект!AU$1297</f>
        <v>0</v>
      </c>
      <c r="AV488" s="55">
        <f ca="1">Проект!AV$1297</f>
        <v>0</v>
      </c>
      <c r="AW488" s="55">
        <f ca="1">Проект!AW$1297</f>
        <v>0</v>
      </c>
      <c r="AX488" s="55">
        <f ca="1">Проект!AX$1297</f>
        <v>0</v>
      </c>
      <c r="AY488" s="55">
        <f ca="1">Проект!AY$1297</f>
        <v>0</v>
      </c>
      <c r="AZ488" s="55">
        <f ca="1">Проект!AZ$1297</f>
        <v>0</v>
      </c>
      <c r="BA488" s="55">
        <f ca="1">Проект!BA$1297</f>
        <v>0</v>
      </c>
      <c r="BB488" s="55">
        <f ca="1">Проект!BB$1297</f>
        <v>0</v>
      </c>
      <c r="BC488" s="55"/>
      <c r="BD488" s="57">
        <f t="shared" ca="1" si="1926"/>
        <v>0</v>
      </c>
    </row>
    <row r="489" spans="1:56" hidden="1" outlineLevel="1" x14ac:dyDescent="0.3">
      <c r="A489" s="71" t="str">
        <f ca="1">Language!A$1472</f>
        <v>начисленный налог</v>
      </c>
      <c r="B489" s="78"/>
      <c r="C489" s="1" t="str">
        <f ca="1">Параметры!$C$64</f>
        <v>руб.</v>
      </c>
      <c r="F489" s="6" t="s">
        <v>740</v>
      </c>
      <c r="G489" s="74">
        <f ca="1">Проект!G1295</f>
        <v>0</v>
      </c>
      <c r="H489" s="74">
        <f ca="1">Проект!H1295</f>
        <v>0</v>
      </c>
      <c r="I489" s="74">
        <f ca="1">Проект!I1295</f>
        <v>0</v>
      </c>
      <c r="J489" s="74">
        <f ca="1">Проект!J1295</f>
        <v>0</v>
      </c>
      <c r="K489" s="74">
        <f ca="1">Проект!K1295</f>
        <v>0</v>
      </c>
      <c r="L489" s="74">
        <f ca="1">Проект!L1295</f>
        <v>0</v>
      </c>
      <c r="M489" s="74">
        <f ca="1">Проект!M1295</f>
        <v>0</v>
      </c>
      <c r="N489" s="74">
        <f ca="1">Проект!N1295</f>
        <v>0</v>
      </c>
      <c r="O489" s="74">
        <f ca="1">Проект!O1295</f>
        <v>0</v>
      </c>
      <c r="P489" s="74">
        <f ca="1">Проект!P1295</f>
        <v>0</v>
      </c>
      <c r="Q489" s="74">
        <f ca="1">Проект!Q1295</f>
        <v>0</v>
      </c>
      <c r="R489" s="74">
        <f ca="1">Проект!R1295</f>
        <v>0</v>
      </c>
      <c r="S489" s="74">
        <f ca="1">Проект!S1295</f>
        <v>0</v>
      </c>
      <c r="T489" s="74">
        <f ca="1">Проект!T1295</f>
        <v>0</v>
      </c>
      <c r="U489" s="74">
        <f ca="1">Проект!U1295</f>
        <v>0</v>
      </c>
      <c r="V489" s="74">
        <f ca="1">Проект!V1295</f>
        <v>0</v>
      </c>
      <c r="W489" s="74">
        <f ca="1">Проект!W1295</f>
        <v>0</v>
      </c>
      <c r="X489" s="74">
        <f ca="1">Проект!X1295</f>
        <v>0</v>
      </c>
      <c r="Y489" s="74">
        <f ca="1">Проект!Y1295</f>
        <v>0</v>
      </c>
      <c r="Z489" s="74">
        <f ca="1">Проект!Z1295</f>
        <v>0</v>
      </c>
      <c r="AA489" s="74">
        <f ca="1">Проект!AA1295</f>
        <v>0</v>
      </c>
      <c r="AB489" s="74">
        <f ca="1">Проект!AB1295</f>
        <v>0</v>
      </c>
      <c r="AC489" s="74">
        <f ca="1">Проект!AC1295</f>
        <v>0</v>
      </c>
      <c r="AD489" s="74">
        <f ca="1">Проект!AD1295</f>
        <v>0</v>
      </c>
      <c r="AE489" s="74">
        <f ca="1">Проект!AE1295</f>
        <v>0</v>
      </c>
      <c r="AF489" s="74">
        <f ca="1">Проект!AF1295</f>
        <v>0</v>
      </c>
      <c r="AG489" s="74">
        <f ca="1">Проект!AG1295</f>
        <v>0</v>
      </c>
      <c r="AH489" s="74">
        <f ca="1">Проект!AH1295</f>
        <v>0</v>
      </c>
      <c r="AI489" s="74">
        <f ca="1">Проект!AI1295</f>
        <v>0</v>
      </c>
      <c r="AJ489" s="74">
        <f ca="1">Проект!AJ1295</f>
        <v>0</v>
      </c>
      <c r="AK489" s="74">
        <f ca="1">Проект!AK1295</f>
        <v>0</v>
      </c>
      <c r="AL489" s="74">
        <f ca="1">Проект!AL1295</f>
        <v>0</v>
      </c>
      <c r="AM489" s="74">
        <f ca="1">Проект!AM1295</f>
        <v>0</v>
      </c>
      <c r="AN489" s="74">
        <f ca="1">Проект!AN1295</f>
        <v>0</v>
      </c>
      <c r="AO489" s="74">
        <f ca="1">Проект!AO1295</f>
        <v>0</v>
      </c>
      <c r="AP489" s="74">
        <f ca="1">Проект!AP1295</f>
        <v>0</v>
      </c>
      <c r="AQ489" s="74">
        <f ca="1">Проект!AQ1295</f>
        <v>0</v>
      </c>
      <c r="AR489" s="74">
        <f ca="1">Проект!AR1295</f>
        <v>0</v>
      </c>
      <c r="AS489" s="74">
        <f ca="1">Проект!AS1295</f>
        <v>0</v>
      </c>
      <c r="AT489" s="74">
        <f ca="1">Проект!AT1295</f>
        <v>0</v>
      </c>
      <c r="AU489" s="74">
        <f ca="1">Проект!AU1295</f>
        <v>0</v>
      </c>
      <c r="AV489" s="74">
        <f ca="1">Проект!AV1295</f>
        <v>0</v>
      </c>
      <c r="AW489" s="74">
        <f ca="1">Проект!AW1295</f>
        <v>0</v>
      </c>
      <c r="AX489" s="74">
        <f ca="1">Проект!AX1295</f>
        <v>0</v>
      </c>
      <c r="AY489" s="74">
        <f ca="1">Проект!AY1295</f>
        <v>0</v>
      </c>
      <c r="AZ489" s="74">
        <f ca="1">Проект!AZ1295</f>
        <v>0</v>
      </c>
      <c r="BA489" s="74">
        <f ca="1">Проект!BA1295</f>
        <v>0</v>
      </c>
      <c r="BB489" s="74">
        <f ca="1">Проект!BB1295</f>
        <v>0</v>
      </c>
      <c r="BC489" s="55"/>
      <c r="BD489" s="73">
        <f t="shared" ca="1" si="1926"/>
        <v>0</v>
      </c>
    </row>
    <row r="490" spans="1:56" hidden="1" x14ac:dyDescent="0.3">
      <c r="A490" s="10" t="str">
        <f ca="1">Language!A$1416</f>
        <v>Налог на прибыль</v>
      </c>
      <c r="B490" s="78"/>
      <c r="C490" s="48" t="str">
        <f ca="1">Параметры!$C$64</f>
        <v>руб.</v>
      </c>
      <c r="E490" s="6" t="s">
        <v>1607</v>
      </c>
      <c r="F490" s="6" t="s">
        <v>740</v>
      </c>
      <c r="G490" s="55">
        <f ca="1">Проект!G$1327</f>
        <v>0</v>
      </c>
      <c r="H490" s="55">
        <f ca="1">Проект!H$1327</f>
        <v>0</v>
      </c>
      <c r="I490" s="55">
        <f ca="1">Проект!I$1327</f>
        <v>0</v>
      </c>
      <c r="J490" s="55">
        <f ca="1">Проект!J$1327</f>
        <v>0</v>
      </c>
      <c r="K490" s="55">
        <f ca="1">Проект!K$1327</f>
        <v>0</v>
      </c>
      <c r="L490" s="55">
        <f ca="1">Проект!L$1327</f>
        <v>0</v>
      </c>
      <c r="M490" s="55">
        <f ca="1">Проект!M$1327</f>
        <v>0</v>
      </c>
      <c r="N490" s="55">
        <f ca="1">Проект!N$1327</f>
        <v>0</v>
      </c>
      <c r="O490" s="55">
        <f ca="1">Проект!O$1327</f>
        <v>0</v>
      </c>
      <c r="P490" s="55">
        <f ca="1">Проект!P$1327</f>
        <v>0</v>
      </c>
      <c r="Q490" s="55">
        <f ca="1">Проект!Q$1327</f>
        <v>0</v>
      </c>
      <c r="R490" s="55">
        <f ca="1">Проект!R$1327</f>
        <v>0</v>
      </c>
      <c r="S490" s="55">
        <f ca="1">Проект!S$1327</f>
        <v>0</v>
      </c>
      <c r="T490" s="55">
        <f ca="1">Проект!T$1327</f>
        <v>0</v>
      </c>
      <c r="U490" s="55">
        <f ca="1">Проект!U$1327</f>
        <v>0</v>
      </c>
      <c r="V490" s="55">
        <f ca="1">Проект!V$1327</f>
        <v>0</v>
      </c>
      <c r="W490" s="55">
        <f ca="1">Проект!W$1327</f>
        <v>0</v>
      </c>
      <c r="X490" s="55">
        <f ca="1">Проект!X$1327</f>
        <v>0</v>
      </c>
      <c r="Y490" s="55">
        <f ca="1">Проект!Y$1327</f>
        <v>0</v>
      </c>
      <c r="Z490" s="55">
        <f ca="1">Проект!Z$1327</f>
        <v>0</v>
      </c>
      <c r="AA490" s="55">
        <f ca="1">Проект!AA$1327</f>
        <v>0</v>
      </c>
      <c r="AB490" s="55">
        <f ca="1">Проект!AB$1327</f>
        <v>0</v>
      </c>
      <c r="AC490" s="55">
        <f ca="1">Проект!AC$1327</f>
        <v>0</v>
      </c>
      <c r="AD490" s="55">
        <f ca="1">Проект!AD$1327</f>
        <v>0</v>
      </c>
      <c r="AE490" s="55">
        <f ca="1">Проект!AE$1327</f>
        <v>0</v>
      </c>
      <c r="AF490" s="55">
        <f ca="1">Проект!AF$1327</f>
        <v>0</v>
      </c>
      <c r="AG490" s="55">
        <f ca="1">Проект!AG$1327</f>
        <v>0</v>
      </c>
      <c r="AH490" s="55">
        <f ca="1">Проект!AH$1327</f>
        <v>0</v>
      </c>
      <c r="AI490" s="55">
        <f ca="1">Проект!AI$1327</f>
        <v>0</v>
      </c>
      <c r="AJ490" s="55">
        <f ca="1">Проект!AJ$1327</f>
        <v>0</v>
      </c>
      <c r="AK490" s="55">
        <f ca="1">Проект!AK$1327</f>
        <v>0</v>
      </c>
      <c r="AL490" s="55">
        <f ca="1">Проект!AL$1327</f>
        <v>0</v>
      </c>
      <c r="AM490" s="55">
        <f ca="1">Проект!AM$1327</f>
        <v>0</v>
      </c>
      <c r="AN490" s="55">
        <f ca="1">Проект!AN$1327</f>
        <v>0</v>
      </c>
      <c r="AO490" s="55">
        <f ca="1">Проект!AO$1327</f>
        <v>0</v>
      </c>
      <c r="AP490" s="55">
        <f ca="1">Проект!AP$1327</f>
        <v>0</v>
      </c>
      <c r="AQ490" s="55">
        <f ca="1">Проект!AQ$1327</f>
        <v>0</v>
      </c>
      <c r="AR490" s="55">
        <f ca="1">Проект!AR$1327</f>
        <v>0</v>
      </c>
      <c r="AS490" s="55">
        <f ca="1">Проект!AS$1327</f>
        <v>0</v>
      </c>
      <c r="AT490" s="55">
        <f ca="1">Проект!AT$1327</f>
        <v>0</v>
      </c>
      <c r="AU490" s="55">
        <f ca="1">Проект!AU$1327</f>
        <v>0</v>
      </c>
      <c r="AV490" s="55">
        <f ca="1">Проект!AV$1327</f>
        <v>0</v>
      </c>
      <c r="AW490" s="55">
        <f ca="1">Проект!AW$1327</f>
        <v>0</v>
      </c>
      <c r="AX490" s="55">
        <f ca="1">Проект!AX$1327</f>
        <v>0</v>
      </c>
      <c r="AY490" s="55">
        <f ca="1">Проект!AY$1327</f>
        <v>0</v>
      </c>
      <c r="AZ490" s="55">
        <f ca="1">Проект!AZ$1327</f>
        <v>0</v>
      </c>
      <c r="BA490" s="55">
        <f ca="1">Проект!BA$1327</f>
        <v>0</v>
      </c>
      <c r="BB490" s="55">
        <f ca="1">Проект!BB$1327</f>
        <v>0</v>
      </c>
      <c r="BC490" s="55"/>
      <c r="BD490" s="57">
        <f t="shared" ca="1" si="1926"/>
        <v>0</v>
      </c>
    </row>
    <row r="491" spans="1:56" hidden="1" collapsed="1" x14ac:dyDescent="0.3">
      <c r="A491" s="71" t="str">
        <f ca="1">Language!A$1472</f>
        <v>начисленный налог</v>
      </c>
      <c r="B491" s="78"/>
      <c r="C491" s="1" t="str">
        <f ca="1">Параметры!$C$64</f>
        <v>руб.</v>
      </c>
      <c r="E491" s="6" t="s">
        <v>1605</v>
      </c>
      <c r="F491" s="6" t="s">
        <v>740</v>
      </c>
      <c r="G491" s="74">
        <f ca="1">Проект!G1325</f>
        <v>0</v>
      </c>
      <c r="H491" s="74">
        <f ca="1">Проект!H1325</f>
        <v>0</v>
      </c>
      <c r="I491" s="74">
        <f ca="1">Проект!I1325</f>
        <v>0</v>
      </c>
      <c r="J491" s="74">
        <f ca="1">Проект!J1325</f>
        <v>0</v>
      </c>
      <c r="K491" s="74">
        <f ca="1">Проект!K1325</f>
        <v>0</v>
      </c>
      <c r="L491" s="74">
        <f ca="1">Проект!L1325</f>
        <v>0</v>
      </c>
      <c r="M491" s="74">
        <f ca="1">Проект!M1325</f>
        <v>0</v>
      </c>
      <c r="N491" s="74">
        <f ca="1">Проект!N1325</f>
        <v>0</v>
      </c>
      <c r="O491" s="74">
        <f ca="1">Проект!O1325</f>
        <v>0</v>
      </c>
      <c r="P491" s="74">
        <f ca="1">Проект!P1325</f>
        <v>0</v>
      </c>
      <c r="Q491" s="74">
        <f ca="1">Проект!Q1325</f>
        <v>0</v>
      </c>
      <c r="R491" s="74">
        <f ca="1">Проект!R1325</f>
        <v>0</v>
      </c>
      <c r="S491" s="74">
        <f ca="1">Проект!S1325</f>
        <v>0</v>
      </c>
      <c r="T491" s="74">
        <f ca="1">Проект!T1325</f>
        <v>0</v>
      </c>
      <c r="U491" s="74">
        <f ca="1">Проект!U1325</f>
        <v>0</v>
      </c>
      <c r="V491" s="74">
        <f ca="1">Проект!V1325</f>
        <v>0</v>
      </c>
      <c r="W491" s="74">
        <f ca="1">Проект!W1325</f>
        <v>0</v>
      </c>
      <c r="X491" s="74">
        <f ca="1">Проект!X1325</f>
        <v>0</v>
      </c>
      <c r="Y491" s="74">
        <f ca="1">Проект!Y1325</f>
        <v>0</v>
      </c>
      <c r="Z491" s="74">
        <f ca="1">Проект!Z1325</f>
        <v>0</v>
      </c>
      <c r="AA491" s="74">
        <f ca="1">Проект!AA1325</f>
        <v>0</v>
      </c>
      <c r="AB491" s="74">
        <f ca="1">Проект!AB1325</f>
        <v>0</v>
      </c>
      <c r="AC491" s="74">
        <f ca="1">Проект!AC1325</f>
        <v>0</v>
      </c>
      <c r="AD491" s="74">
        <f ca="1">Проект!AD1325</f>
        <v>0</v>
      </c>
      <c r="AE491" s="74">
        <f ca="1">Проект!AE1325</f>
        <v>0</v>
      </c>
      <c r="AF491" s="74">
        <f ca="1">Проект!AF1325</f>
        <v>0</v>
      </c>
      <c r="AG491" s="74">
        <f ca="1">Проект!AG1325</f>
        <v>0</v>
      </c>
      <c r="AH491" s="74">
        <f ca="1">Проект!AH1325</f>
        <v>0</v>
      </c>
      <c r="AI491" s="74">
        <f ca="1">Проект!AI1325</f>
        <v>0</v>
      </c>
      <c r="AJ491" s="74">
        <f ca="1">Проект!AJ1325</f>
        <v>0</v>
      </c>
      <c r="AK491" s="74">
        <f ca="1">Проект!AK1325</f>
        <v>0</v>
      </c>
      <c r="AL491" s="74">
        <f ca="1">Проект!AL1325</f>
        <v>0</v>
      </c>
      <c r="AM491" s="74">
        <f ca="1">Проект!AM1325</f>
        <v>0</v>
      </c>
      <c r="AN491" s="74">
        <f ca="1">Проект!AN1325</f>
        <v>0</v>
      </c>
      <c r="AO491" s="74">
        <f ca="1">Проект!AO1325</f>
        <v>0</v>
      </c>
      <c r="AP491" s="74">
        <f ca="1">Проект!AP1325</f>
        <v>0</v>
      </c>
      <c r="AQ491" s="74">
        <f ca="1">Проект!AQ1325</f>
        <v>0</v>
      </c>
      <c r="AR491" s="74">
        <f ca="1">Проект!AR1325</f>
        <v>0</v>
      </c>
      <c r="AS491" s="74">
        <f ca="1">Проект!AS1325</f>
        <v>0</v>
      </c>
      <c r="AT491" s="74">
        <f ca="1">Проект!AT1325</f>
        <v>0</v>
      </c>
      <c r="AU491" s="74">
        <f ca="1">Проект!AU1325</f>
        <v>0</v>
      </c>
      <c r="AV491" s="74">
        <f ca="1">Проект!AV1325</f>
        <v>0</v>
      </c>
      <c r="AW491" s="74">
        <f ca="1">Проект!AW1325</f>
        <v>0</v>
      </c>
      <c r="AX491" s="74">
        <f ca="1">Проект!AX1325</f>
        <v>0</v>
      </c>
      <c r="AY491" s="74">
        <f ca="1">Проект!AY1325</f>
        <v>0</v>
      </c>
      <c r="AZ491" s="74">
        <f ca="1">Проект!AZ1325</f>
        <v>0</v>
      </c>
      <c r="BA491" s="74">
        <f ca="1">Проект!BA1325</f>
        <v>0</v>
      </c>
      <c r="BB491" s="74">
        <f ca="1">Проект!BB1325</f>
        <v>0</v>
      </c>
      <c r="BC491" s="55"/>
      <c r="BD491" s="73">
        <f t="shared" ca="1" si="1926"/>
        <v>0</v>
      </c>
    </row>
    <row r="492" spans="1:56" hidden="1" outlineLevel="1" x14ac:dyDescent="0.3">
      <c r="A492" s="71" t="str">
        <f ca="1">Language!A$1186</f>
        <v>Прибыль до налогообложения</v>
      </c>
      <c r="B492" s="78"/>
      <c r="C492" s="1" t="str">
        <f ca="1">Параметры!$C$64</f>
        <v>руб.</v>
      </c>
      <c r="E492" s="6" t="s">
        <v>1602</v>
      </c>
      <c r="F492" s="6" t="s">
        <v>740</v>
      </c>
      <c r="G492" s="74">
        <f t="shared" ref="G492:M492" ca="1" si="1927">G115</f>
        <v>-4413541.6875</v>
      </c>
      <c r="H492" s="74">
        <f t="shared" ca="1" si="1927"/>
        <v>-4413541.6875</v>
      </c>
      <c r="I492" s="74">
        <f t="shared" ca="1" si="1927"/>
        <v>-4413541.6875</v>
      </c>
      <c r="J492" s="74">
        <f t="shared" ca="1" si="1927"/>
        <v>-4413541.6875</v>
      </c>
      <c r="K492" s="74">
        <f t="shared" ca="1" si="1927"/>
        <v>-4413541.6875</v>
      </c>
      <c r="L492" s="74">
        <f t="shared" ca="1" si="1927"/>
        <v>-4413541.6875</v>
      </c>
      <c r="M492" s="74">
        <f t="shared" ca="1" si="1927"/>
        <v>-1275921.2827472552</v>
      </c>
      <c r="N492" s="74">
        <f t="shared" ref="N492:O492" ca="1" si="1928">N115</f>
        <v>605974.16005005408</v>
      </c>
      <c r="O492" s="74">
        <f t="shared" ca="1" si="1928"/>
        <v>2521416.172398705</v>
      </c>
      <c r="P492" s="74">
        <f t="shared" ref="P492:Q492" ca="1" si="1929">P115</f>
        <v>4439142.5668230727</v>
      </c>
      <c r="Q492" s="74">
        <f t="shared" ca="1" si="1929"/>
        <v>4531310.8373188861</v>
      </c>
      <c r="R492" s="74">
        <f t="shared" ref="R492:S492" ca="1" si="1930">R115</f>
        <v>4602110.7110472545</v>
      </c>
      <c r="S492" s="74">
        <f t="shared" ca="1" si="1930"/>
        <v>8459048.6280555651</v>
      </c>
      <c r="T492" s="74">
        <f t="shared" ref="T492:U492" ca="1" si="1931">T115</f>
        <v>6706187.2956829444</v>
      </c>
      <c r="U492" s="74">
        <f t="shared" ca="1" si="1931"/>
        <v>4961823.978265455</v>
      </c>
      <c r="V492" s="74">
        <f t="shared" ref="V492:W492" ca="1" si="1932">V115</f>
        <v>5106259.3338160813</v>
      </c>
      <c r="W492" s="74">
        <f t="shared" ca="1" si="1932"/>
        <v>3358285.5229824889</v>
      </c>
      <c r="X492" s="74">
        <f t="shared" ref="X492:Y492" ca="1" si="1933">X115</f>
        <v>9214998.872079486</v>
      </c>
      <c r="Y492" s="74">
        <f t="shared" ca="1" si="1933"/>
        <v>13267797.794187408</v>
      </c>
      <c r="Z492" s="74">
        <f t="shared" ref="Z492:AA492" ca="1" si="1934">Z115</f>
        <v>13490132.44415977</v>
      </c>
      <c r="AA492" s="74">
        <f t="shared" ca="1" si="1934"/>
        <v>7919019.406842174</v>
      </c>
      <c r="AB492" s="74">
        <f t="shared" ref="AB492:AC492" ca="1" si="1935">AB115</f>
        <v>4239062.6474880883</v>
      </c>
      <c r="AC492" s="74">
        <f t="shared" ca="1" si="1935"/>
        <v>4428719.3658482339</v>
      </c>
      <c r="AD492" s="74">
        <f t="shared" ref="AD492:AE492" ca="1" si="1936">AD115</f>
        <v>6516884.7946081441</v>
      </c>
      <c r="AE492" s="74">
        <f t="shared" ca="1" si="1936"/>
        <v>10612274.859724898</v>
      </c>
      <c r="AF492" s="74">
        <f t="shared" ref="AF492:AG492" ca="1" si="1937">AF115</f>
        <v>8864852.8498155009</v>
      </c>
      <c r="AG492" s="74">
        <f t="shared" ca="1" si="1937"/>
        <v>7127095.1125362674</v>
      </c>
      <c r="AH492" s="74">
        <f t="shared" ref="AH492:AI492" ca="1" si="1938">AH115</f>
        <v>7334378.2864545062</v>
      </c>
      <c r="AI492" s="74">
        <f t="shared" ca="1" si="1938"/>
        <v>5571704.1035984755</v>
      </c>
      <c r="AJ492" s="74">
        <f t="shared" ref="AJ492:AK492" ca="1" si="1939">AJ115</f>
        <v>11725208.798134593</v>
      </c>
      <c r="AK492" s="74">
        <f t="shared" ca="1" si="1939"/>
        <v>15934890.531630516</v>
      </c>
      <c r="AL492" s="74">
        <f t="shared" ref="AL492:AM492" ca="1" si="1940">AL115</f>
        <v>16156981.545464261</v>
      </c>
      <c r="AM492" s="74">
        <f t="shared" ca="1" si="1940"/>
        <v>10350312.548373347</v>
      </c>
      <c r="AN492" s="74">
        <f t="shared" ref="AN492:AO492" ca="1" si="1941">AN115</f>
        <v>6512617.7227326808</v>
      </c>
      <c r="AO492" s="74">
        <f t="shared" ca="1" si="1941"/>
        <v>6701809.0139154</v>
      </c>
      <c r="AP492" s="74">
        <f t="shared" ref="AP492:AQ492" ca="1" si="1942">AP115</f>
        <v>8864851.4317231681</v>
      </c>
      <c r="AQ492" s="74">
        <f t="shared" ca="1" si="1942"/>
        <v>13115855.074415233</v>
      </c>
      <c r="AR492" s="74">
        <f t="shared" ref="AR492:AS492" ca="1" si="1943">AR115</f>
        <v>11289854.932880884</v>
      </c>
      <c r="AS492" s="74">
        <f t="shared" ca="1" si="1943"/>
        <v>9474836.4252818767</v>
      </c>
      <c r="AT492" s="74">
        <f t="shared" ref="AT492:AU492" ca="1" si="1944">AT115</f>
        <v>9533274.3319232762</v>
      </c>
      <c r="AU492" s="74">
        <f t="shared" ca="1" si="1944"/>
        <v>7526294.5958559671</v>
      </c>
      <c r="AV492" s="74">
        <f t="shared" ref="AV492:AW492" ca="1" si="1945">AV115</f>
        <v>13747778.973990262</v>
      </c>
      <c r="AW492" s="74">
        <f t="shared" ca="1" si="1945"/>
        <v>17947660.979571991</v>
      </c>
      <c r="AX492" s="74">
        <f t="shared" ref="AX492:AY492" ca="1" si="1946">AX115</f>
        <v>18002384.125241201</v>
      </c>
      <c r="AY492" s="74">
        <f t="shared" ca="1" si="1946"/>
        <v>11792795.801780686</v>
      </c>
      <c r="AZ492" s="74">
        <f t="shared" ref="AZ492:BA492" ca="1" si="1947">AZ115</f>
        <v>7630262.0935439104</v>
      </c>
      <c r="BA492" s="74">
        <f t="shared" ca="1" si="1947"/>
        <v>7652065.3442293936</v>
      </c>
      <c r="BB492" s="74">
        <f t="shared" ref="BB492" ca="1" si="1948">BB115</f>
        <v>9722815.6647878699</v>
      </c>
      <c r="BC492" s="55"/>
      <c r="BD492" s="73">
        <f t="shared" ca="1" si="1926"/>
        <v>329803858.27151275</v>
      </c>
    </row>
    <row r="493" spans="1:56" hidden="1" outlineLevel="1" x14ac:dyDescent="0.3">
      <c r="A493" s="71" t="str">
        <f ca="1">Language!A$1174</f>
        <v>задолженность по налогу</v>
      </c>
      <c r="B493" s="78"/>
      <c r="C493" s="1" t="str">
        <f ca="1">Параметры!$C$64</f>
        <v>руб.</v>
      </c>
      <c r="E493" s="6" t="s">
        <v>1620</v>
      </c>
      <c r="F493" s="6" t="s">
        <v>741</v>
      </c>
      <c r="G493" s="74">
        <f ca="1">Проект!G1326</f>
        <v>0</v>
      </c>
      <c r="H493" s="74">
        <f ca="1">Проект!H1326</f>
        <v>0</v>
      </c>
      <c r="I493" s="74">
        <f ca="1">Проект!I1326</f>
        <v>0</v>
      </c>
      <c r="J493" s="74">
        <f ca="1">Проект!J1326</f>
        <v>0</v>
      </c>
      <c r="K493" s="74">
        <f ca="1">Проект!K1326</f>
        <v>0</v>
      </c>
      <c r="L493" s="74">
        <f ca="1">Проект!L1326</f>
        <v>0</v>
      </c>
      <c r="M493" s="74">
        <f ca="1">Проект!M1326</f>
        <v>0</v>
      </c>
      <c r="N493" s="74">
        <f ca="1">Проект!N1326</f>
        <v>0</v>
      </c>
      <c r="O493" s="74">
        <f ca="1">Проект!O1326</f>
        <v>0</v>
      </c>
      <c r="P493" s="74">
        <f ca="1">Проект!P1326</f>
        <v>0</v>
      </c>
      <c r="Q493" s="74">
        <f ca="1">Проект!Q1326</f>
        <v>0</v>
      </c>
      <c r="R493" s="74">
        <f ca="1">Проект!R1326</f>
        <v>0</v>
      </c>
      <c r="S493" s="74">
        <f ca="1">Проект!S1326</f>
        <v>0</v>
      </c>
      <c r="T493" s="74">
        <f ca="1">Проект!T1326</f>
        <v>0</v>
      </c>
      <c r="U493" s="74">
        <f ca="1">Проект!U1326</f>
        <v>0</v>
      </c>
      <c r="V493" s="74">
        <f ca="1">Проект!V1326</f>
        <v>0</v>
      </c>
      <c r="W493" s="74">
        <f ca="1">Проект!W1326</f>
        <v>0</v>
      </c>
      <c r="X493" s="74">
        <f ca="1">Проект!X1326</f>
        <v>0</v>
      </c>
      <c r="Y493" s="74">
        <f ca="1">Проект!Y1326</f>
        <v>0</v>
      </c>
      <c r="Z493" s="74">
        <f ca="1">Проект!Z1326</f>
        <v>0</v>
      </c>
      <c r="AA493" s="74">
        <f ca="1">Проект!AA1326</f>
        <v>0</v>
      </c>
      <c r="AB493" s="74">
        <f ca="1">Проект!AB1326</f>
        <v>0</v>
      </c>
      <c r="AC493" s="74">
        <f ca="1">Проект!AC1326</f>
        <v>0</v>
      </c>
      <c r="AD493" s="74">
        <f ca="1">Проект!AD1326</f>
        <v>0</v>
      </c>
      <c r="AE493" s="74">
        <f ca="1">Проект!AE1326</f>
        <v>0</v>
      </c>
      <c r="AF493" s="74">
        <f ca="1">Проект!AF1326</f>
        <v>0</v>
      </c>
      <c r="AG493" s="74">
        <f ca="1">Проект!AG1326</f>
        <v>0</v>
      </c>
      <c r="AH493" s="74">
        <f ca="1">Проект!AH1326</f>
        <v>0</v>
      </c>
      <c r="AI493" s="74">
        <f ca="1">Проект!AI1326</f>
        <v>0</v>
      </c>
      <c r="AJ493" s="74">
        <f ca="1">Проект!AJ1326</f>
        <v>0</v>
      </c>
      <c r="AK493" s="74">
        <f ca="1">Проект!AK1326</f>
        <v>0</v>
      </c>
      <c r="AL493" s="74">
        <f ca="1">Проект!AL1326</f>
        <v>0</v>
      </c>
      <c r="AM493" s="74">
        <f ca="1">Проект!AM1326</f>
        <v>0</v>
      </c>
      <c r="AN493" s="74">
        <f ca="1">Проект!AN1326</f>
        <v>0</v>
      </c>
      <c r="AO493" s="74">
        <f ca="1">Проект!AO1326</f>
        <v>0</v>
      </c>
      <c r="AP493" s="74">
        <f ca="1">Проект!AP1326</f>
        <v>0</v>
      </c>
      <c r="AQ493" s="74">
        <f ca="1">Проект!AQ1326</f>
        <v>0</v>
      </c>
      <c r="AR493" s="74">
        <f ca="1">Проект!AR1326</f>
        <v>0</v>
      </c>
      <c r="AS493" s="74">
        <f ca="1">Проект!AS1326</f>
        <v>0</v>
      </c>
      <c r="AT493" s="74">
        <f ca="1">Проект!AT1326</f>
        <v>0</v>
      </c>
      <c r="AU493" s="74">
        <f ca="1">Проект!AU1326</f>
        <v>0</v>
      </c>
      <c r="AV493" s="74">
        <f ca="1">Проект!AV1326</f>
        <v>0</v>
      </c>
      <c r="AW493" s="74">
        <f ca="1">Проект!AW1326</f>
        <v>0</v>
      </c>
      <c r="AX493" s="74">
        <f ca="1">Проект!AX1326</f>
        <v>0</v>
      </c>
      <c r="AY493" s="74">
        <f ca="1">Проект!AY1326</f>
        <v>0</v>
      </c>
      <c r="AZ493" s="74">
        <f ca="1">Проект!AZ1326</f>
        <v>0</v>
      </c>
      <c r="BA493" s="74">
        <f ca="1">Проект!BA1326</f>
        <v>0</v>
      </c>
      <c r="BB493" s="74">
        <f ca="1">Проект!BB1326</f>
        <v>0</v>
      </c>
      <c r="BC493" s="55"/>
      <c r="BD493" s="73"/>
    </row>
    <row r="494" spans="1:56" hidden="1" collapsed="1" x14ac:dyDescent="0.3">
      <c r="A494" s="10" t="str">
        <f ca="1">Language!A$1417</f>
        <v>Налог на имущество</v>
      </c>
      <c r="B494" s="78"/>
      <c r="C494" s="48" t="str">
        <f ca="1">Параметры!$C$64</f>
        <v>руб.</v>
      </c>
      <c r="E494" s="6" t="s">
        <v>1612</v>
      </c>
      <c r="F494" s="6" t="s">
        <v>740</v>
      </c>
      <c r="G494" s="55">
        <f ca="1">Проект!G$1315</f>
        <v>0</v>
      </c>
      <c r="H494" s="55">
        <f ca="1">Проект!H$1315</f>
        <v>0</v>
      </c>
      <c r="I494" s="55">
        <f ca="1">Проект!I$1315</f>
        <v>0</v>
      </c>
      <c r="J494" s="55">
        <f ca="1">Проект!J$1315</f>
        <v>0</v>
      </c>
      <c r="K494" s="55">
        <f ca="1">Проект!K$1315</f>
        <v>0</v>
      </c>
      <c r="L494" s="55">
        <f ca="1">Проект!L$1315</f>
        <v>0</v>
      </c>
      <c r="M494" s="55">
        <f ca="1">Проект!M$1315</f>
        <v>0</v>
      </c>
      <c r="N494" s="55">
        <f ca="1">Проект!N$1315</f>
        <v>0</v>
      </c>
      <c r="O494" s="55">
        <f ca="1">Проект!O$1315</f>
        <v>0</v>
      </c>
      <c r="P494" s="55">
        <f ca="1">Проект!P$1315</f>
        <v>0</v>
      </c>
      <c r="Q494" s="55">
        <f ca="1">Проект!Q$1315</f>
        <v>0</v>
      </c>
      <c r="R494" s="55">
        <f ca="1">Проект!R$1315</f>
        <v>0</v>
      </c>
      <c r="S494" s="55">
        <f ca="1">Проект!S$1315</f>
        <v>0</v>
      </c>
      <c r="T494" s="55">
        <f ca="1">Проект!T$1315</f>
        <v>0</v>
      </c>
      <c r="U494" s="55">
        <f ca="1">Проект!U$1315</f>
        <v>0</v>
      </c>
      <c r="V494" s="55">
        <f ca="1">Проект!V$1315</f>
        <v>0</v>
      </c>
      <c r="W494" s="55">
        <f ca="1">Проект!W$1315</f>
        <v>0</v>
      </c>
      <c r="X494" s="55">
        <f ca="1">Проект!X$1315</f>
        <v>0</v>
      </c>
      <c r="Y494" s="55">
        <f ca="1">Проект!Y$1315</f>
        <v>0</v>
      </c>
      <c r="Z494" s="55">
        <f ca="1">Проект!Z$1315</f>
        <v>0</v>
      </c>
      <c r="AA494" s="55">
        <f ca="1">Проект!AA$1315</f>
        <v>0</v>
      </c>
      <c r="AB494" s="55">
        <f ca="1">Проект!AB$1315</f>
        <v>0</v>
      </c>
      <c r="AC494" s="55">
        <f ca="1">Проект!AC$1315</f>
        <v>0</v>
      </c>
      <c r="AD494" s="55">
        <f ca="1">Проект!AD$1315</f>
        <v>0</v>
      </c>
      <c r="AE494" s="55">
        <f ca="1">Проект!AE$1315</f>
        <v>0</v>
      </c>
      <c r="AF494" s="55">
        <f ca="1">Проект!AF$1315</f>
        <v>0</v>
      </c>
      <c r="AG494" s="55">
        <f ca="1">Проект!AG$1315</f>
        <v>0</v>
      </c>
      <c r="AH494" s="55">
        <f ca="1">Проект!AH$1315</f>
        <v>0</v>
      </c>
      <c r="AI494" s="55">
        <f ca="1">Проект!AI$1315</f>
        <v>0</v>
      </c>
      <c r="AJ494" s="55">
        <f ca="1">Проект!AJ$1315</f>
        <v>0</v>
      </c>
      <c r="AK494" s="55">
        <f ca="1">Проект!AK$1315</f>
        <v>0</v>
      </c>
      <c r="AL494" s="55">
        <f ca="1">Проект!AL$1315</f>
        <v>0</v>
      </c>
      <c r="AM494" s="55">
        <f ca="1">Проект!AM$1315</f>
        <v>0</v>
      </c>
      <c r="AN494" s="55">
        <f ca="1">Проект!AN$1315</f>
        <v>0</v>
      </c>
      <c r="AO494" s="55">
        <f ca="1">Проект!AO$1315</f>
        <v>0</v>
      </c>
      <c r="AP494" s="55">
        <f ca="1">Проект!AP$1315</f>
        <v>0</v>
      </c>
      <c r="AQ494" s="55">
        <f ca="1">Проект!AQ$1315</f>
        <v>0</v>
      </c>
      <c r="AR494" s="55">
        <f ca="1">Проект!AR$1315</f>
        <v>0</v>
      </c>
      <c r="AS494" s="55">
        <f ca="1">Проект!AS$1315</f>
        <v>0</v>
      </c>
      <c r="AT494" s="55">
        <f ca="1">Проект!AT$1315</f>
        <v>0</v>
      </c>
      <c r="AU494" s="55">
        <f ca="1">Проект!AU$1315</f>
        <v>0</v>
      </c>
      <c r="AV494" s="55">
        <f ca="1">Проект!AV$1315</f>
        <v>0</v>
      </c>
      <c r="AW494" s="55">
        <f ca="1">Проект!AW$1315</f>
        <v>0</v>
      </c>
      <c r="AX494" s="55">
        <f ca="1">Проект!AX$1315</f>
        <v>0</v>
      </c>
      <c r="AY494" s="55">
        <f ca="1">Проект!AY$1315</f>
        <v>0</v>
      </c>
      <c r="AZ494" s="55">
        <f ca="1">Проект!AZ$1315</f>
        <v>0</v>
      </c>
      <c r="BA494" s="55">
        <f ca="1">Проект!BA$1315</f>
        <v>0</v>
      </c>
      <c r="BB494" s="55">
        <f ca="1">Проект!BB$1315</f>
        <v>0</v>
      </c>
      <c r="BC494" s="55"/>
      <c r="BD494" s="57">
        <f t="shared" ref="BD494:BD504" ca="1" si="1949">SUM(G494:BC494)</f>
        <v>0</v>
      </c>
    </row>
    <row r="495" spans="1:56" hidden="1" outlineLevel="1" x14ac:dyDescent="0.3">
      <c r="A495" s="71" t="str">
        <f ca="1">Language!A$1472</f>
        <v>начисленный налог</v>
      </c>
      <c r="B495" s="78"/>
      <c r="C495" s="1" t="str">
        <f ca="1">Параметры!$C$64</f>
        <v>руб.</v>
      </c>
      <c r="F495" s="6" t="s">
        <v>740</v>
      </c>
      <c r="G495" s="74">
        <f ca="1">Проект!G1313</f>
        <v>0</v>
      </c>
      <c r="H495" s="74">
        <f ca="1">Проект!H1313</f>
        <v>0</v>
      </c>
      <c r="I495" s="74">
        <f ca="1">Проект!I1313</f>
        <v>0</v>
      </c>
      <c r="J495" s="74">
        <f ca="1">Проект!J1313</f>
        <v>0</v>
      </c>
      <c r="K495" s="74">
        <f ca="1">Проект!K1313</f>
        <v>0</v>
      </c>
      <c r="L495" s="74">
        <f ca="1">Проект!L1313</f>
        <v>0</v>
      </c>
      <c r="M495" s="74">
        <f ca="1">Проект!M1313</f>
        <v>0</v>
      </c>
      <c r="N495" s="74">
        <f ca="1">Проект!N1313</f>
        <v>0</v>
      </c>
      <c r="O495" s="74">
        <f ca="1">Проект!O1313</f>
        <v>0</v>
      </c>
      <c r="P495" s="74">
        <f ca="1">Проект!P1313</f>
        <v>0</v>
      </c>
      <c r="Q495" s="74">
        <f ca="1">Проект!Q1313</f>
        <v>0</v>
      </c>
      <c r="R495" s="74">
        <f ca="1">Проект!R1313</f>
        <v>0</v>
      </c>
      <c r="S495" s="74">
        <f ca="1">Проект!S1313</f>
        <v>0</v>
      </c>
      <c r="T495" s="74">
        <f ca="1">Проект!T1313</f>
        <v>0</v>
      </c>
      <c r="U495" s="74">
        <f ca="1">Проект!U1313</f>
        <v>0</v>
      </c>
      <c r="V495" s="74">
        <f ca="1">Проект!V1313</f>
        <v>0</v>
      </c>
      <c r="W495" s="74">
        <f ca="1">Проект!W1313</f>
        <v>0</v>
      </c>
      <c r="X495" s="74">
        <f ca="1">Проект!X1313</f>
        <v>0</v>
      </c>
      <c r="Y495" s="74">
        <f ca="1">Проект!Y1313</f>
        <v>0</v>
      </c>
      <c r="Z495" s="74">
        <f ca="1">Проект!Z1313</f>
        <v>0</v>
      </c>
      <c r="AA495" s="74">
        <f ca="1">Проект!AA1313</f>
        <v>0</v>
      </c>
      <c r="AB495" s="74">
        <f ca="1">Проект!AB1313</f>
        <v>0</v>
      </c>
      <c r="AC495" s="74">
        <f ca="1">Проект!AC1313</f>
        <v>0</v>
      </c>
      <c r="AD495" s="74">
        <f ca="1">Проект!AD1313</f>
        <v>0</v>
      </c>
      <c r="AE495" s="74">
        <f ca="1">Проект!AE1313</f>
        <v>0</v>
      </c>
      <c r="AF495" s="74">
        <f ca="1">Проект!AF1313</f>
        <v>0</v>
      </c>
      <c r="AG495" s="74">
        <f ca="1">Проект!AG1313</f>
        <v>0</v>
      </c>
      <c r="AH495" s="74">
        <f ca="1">Проект!AH1313</f>
        <v>0</v>
      </c>
      <c r="AI495" s="74">
        <f ca="1">Проект!AI1313</f>
        <v>0</v>
      </c>
      <c r="AJ495" s="74">
        <f ca="1">Проект!AJ1313</f>
        <v>0</v>
      </c>
      <c r="AK495" s="74">
        <f ca="1">Проект!AK1313</f>
        <v>0</v>
      </c>
      <c r="AL495" s="74">
        <f ca="1">Проект!AL1313</f>
        <v>0</v>
      </c>
      <c r="AM495" s="74">
        <f ca="1">Проект!AM1313</f>
        <v>0</v>
      </c>
      <c r="AN495" s="74">
        <f ca="1">Проект!AN1313</f>
        <v>0</v>
      </c>
      <c r="AO495" s="74">
        <f ca="1">Проект!AO1313</f>
        <v>0</v>
      </c>
      <c r="AP495" s="74">
        <f ca="1">Проект!AP1313</f>
        <v>0</v>
      </c>
      <c r="AQ495" s="74">
        <f ca="1">Проект!AQ1313</f>
        <v>0</v>
      </c>
      <c r="AR495" s="74">
        <f ca="1">Проект!AR1313</f>
        <v>0</v>
      </c>
      <c r="AS495" s="74">
        <f ca="1">Проект!AS1313</f>
        <v>0</v>
      </c>
      <c r="AT495" s="74">
        <f ca="1">Проект!AT1313</f>
        <v>0</v>
      </c>
      <c r="AU495" s="74">
        <f ca="1">Проект!AU1313</f>
        <v>0</v>
      </c>
      <c r="AV495" s="74">
        <f ca="1">Проект!AV1313</f>
        <v>0</v>
      </c>
      <c r="AW495" s="74">
        <f ca="1">Проект!AW1313</f>
        <v>0</v>
      </c>
      <c r="AX495" s="74">
        <f ca="1">Проект!AX1313</f>
        <v>0</v>
      </c>
      <c r="AY495" s="74">
        <f ca="1">Проект!AY1313</f>
        <v>0</v>
      </c>
      <c r="AZ495" s="74">
        <f ca="1">Проект!AZ1313</f>
        <v>0</v>
      </c>
      <c r="BA495" s="74">
        <f ca="1">Проект!BA1313</f>
        <v>0</v>
      </c>
      <c r="BB495" s="74">
        <f ca="1">Проект!BB1313</f>
        <v>0</v>
      </c>
      <c r="BC495" s="55"/>
      <c r="BD495" s="73">
        <f t="shared" ca="1" si="1949"/>
        <v>0</v>
      </c>
    </row>
    <row r="496" spans="1:56" hidden="1" collapsed="1" x14ac:dyDescent="0.3">
      <c r="A496" s="10" t="str">
        <f ca="1">Language!A$1418</f>
        <v>Социальные взносы</v>
      </c>
      <c r="B496" s="78"/>
      <c r="C496" s="48" t="str">
        <f ca="1">Параметры!$C$64</f>
        <v>руб.</v>
      </c>
      <c r="E496" s="6" t="s">
        <v>1613</v>
      </c>
      <c r="F496" s="6" t="s">
        <v>740</v>
      </c>
      <c r="G496" s="55">
        <f ca="1">Проект!G$1323</f>
        <v>0</v>
      </c>
      <c r="H496" s="55">
        <f ca="1">Проект!H$1323</f>
        <v>0</v>
      </c>
      <c r="I496" s="55">
        <f ca="1">Проект!I$1323</f>
        <v>0</v>
      </c>
      <c r="J496" s="55">
        <f ca="1">Проект!J$1323</f>
        <v>0</v>
      </c>
      <c r="K496" s="55">
        <f ca="1">Проект!K$1323</f>
        <v>0</v>
      </c>
      <c r="L496" s="55">
        <f ca="1">Проект!L$1323</f>
        <v>0</v>
      </c>
      <c r="M496" s="55">
        <f ca="1">Проект!M$1323</f>
        <v>0</v>
      </c>
      <c r="N496" s="55">
        <f ca="1">Проект!N$1323</f>
        <v>311185.42101133225</v>
      </c>
      <c r="O496" s="55">
        <f ca="1">Проект!O$1323</f>
        <v>312700.13178330235</v>
      </c>
      <c r="P496" s="55">
        <f ca="1">Проект!P$1323</f>
        <v>314222.21548654704</v>
      </c>
      <c r="Q496" s="55">
        <f ca="1">Проект!Q$1323</f>
        <v>315751.70800918189</v>
      </c>
      <c r="R496" s="55">
        <f ca="1">Проект!R$1323</f>
        <v>317288.6454140101</v>
      </c>
      <c r="S496" s="55">
        <f ca="1">Проект!S$1323</f>
        <v>318833.06393937202</v>
      </c>
      <c r="T496" s="55">
        <f ca="1">Проект!T$1323</f>
        <v>320385.00000000017</v>
      </c>
      <c r="U496" s="55">
        <f ca="1">Проект!U$1323</f>
        <v>321944.49018787761</v>
      </c>
      <c r="V496" s="55">
        <f ca="1">Проект!V$1323</f>
        <v>323511.57127310062</v>
      </c>
      <c r="W496" s="55">
        <f ca="1">Проект!W$1323</f>
        <v>325086.28020474606</v>
      </c>
      <c r="X496" s="55">
        <f ca="1">Проект!X$1323</f>
        <v>326668.65411174198</v>
      </c>
      <c r="Y496" s="55">
        <f ca="1">Проект!Y$1323</f>
        <v>328258.73030374345</v>
      </c>
      <c r="Z496" s="55">
        <f ca="1">Проект!Z$1323</f>
        <v>329856.54627201223</v>
      </c>
      <c r="AA496" s="55">
        <f ca="1">Проект!AA$1323</f>
        <v>331462.13969030068</v>
      </c>
      <c r="AB496" s="55">
        <f ca="1">Проект!AB$1323</f>
        <v>333075.54841573996</v>
      </c>
      <c r="AC496" s="55">
        <f ca="1">Проект!AC$1323</f>
        <v>334696.81048973295</v>
      </c>
      <c r="AD496" s="55">
        <f ca="1">Проект!AD$1323</f>
        <v>336325.9641388508</v>
      </c>
      <c r="AE496" s="55">
        <f ca="1">Проект!AE$1323</f>
        <v>337963.04777573439</v>
      </c>
      <c r="AF496" s="55">
        <f ca="1">Проект!AF$1323</f>
        <v>339608.10000000021</v>
      </c>
      <c r="AG496" s="55">
        <f ca="1">Проект!AG$1323</f>
        <v>341261.15959915024</v>
      </c>
      <c r="AH496" s="55">
        <f ca="1">Проект!AH$1323</f>
        <v>342922.26554948679</v>
      </c>
      <c r="AI496" s="55">
        <f ca="1">Проект!AI$1323</f>
        <v>344591.45701703092</v>
      </c>
      <c r="AJ496" s="55">
        <f ca="1">Проект!AJ$1323</f>
        <v>346268.77335844649</v>
      </c>
      <c r="AK496" s="55">
        <f ca="1">Проект!AK$1323</f>
        <v>347954.25412196812</v>
      </c>
      <c r="AL496" s="55">
        <f ca="1">Проект!AL$1323</f>
        <v>349647.93904833298</v>
      </c>
      <c r="AM496" s="55">
        <f ca="1">Проект!AM$1323</f>
        <v>351349.86807171867</v>
      </c>
      <c r="AN496" s="55">
        <f ca="1">Проект!AN$1323</f>
        <v>353060.0813206844</v>
      </c>
      <c r="AO496" s="55">
        <f ca="1">Проект!AO$1323</f>
        <v>354778.61911911698</v>
      </c>
      <c r="AP496" s="55">
        <f ca="1">Проект!AP$1323</f>
        <v>356505.52198718186</v>
      </c>
      <c r="AQ496" s="55">
        <f ca="1">Проект!AQ$1323</f>
        <v>358240.83064227842</v>
      </c>
      <c r="AR496" s="55">
        <f ca="1">Проект!AR$1323</f>
        <v>359984.5860000003</v>
      </c>
      <c r="AS496" s="55">
        <f ca="1">Проект!AS$1323</f>
        <v>361736.82917509932</v>
      </c>
      <c r="AT496" s="55">
        <f ca="1">Проект!AT$1323</f>
        <v>363497.60148245603</v>
      </c>
      <c r="AU496" s="55">
        <f ca="1">Проект!AU$1323</f>
        <v>365266.94443805271</v>
      </c>
      <c r="AV496" s="55">
        <f ca="1">Проект!AV$1323</f>
        <v>367044.89975995326</v>
      </c>
      <c r="AW496" s="55">
        <f ca="1">Проект!AW$1323</f>
        <v>368831.50936928618</v>
      </c>
      <c r="AX496" s="55">
        <f ca="1">Проект!AX$1323</f>
        <v>370626.81539123296</v>
      </c>
      <c r="AY496" s="55">
        <f ca="1">Проект!AY$1323</f>
        <v>372430.8601560219</v>
      </c>
      <c r="AZ496" s="55">
        <f ca="1">Проект!AZ$1323</f>
        <v>374243.68619992555</v>
      </c>
      <c r="BA496" s="55">
        <f ca="1">Проект!BA$1323</f>
        <v>376065.33626626403</v>
      </c>
      <c r="BB496" s="55">
        <f ca="1">Проект!BB$1323</f>
        <v>377895.85330641281</v>
      </c>
      <c r="BC496" s="55"/>
      <c r="BD496" s="57">
        <f t="shared" ca="1" si="1949"/>
        <v>14083029.759887431</v>
      </c>
    </row>
    <row r="497" spans="1:56" hidden="1" outlineLevel="1" x14ac:dyDescent="0.3">
      <c r="A497" s="71" t="str">
        <f ca="1">Language!A$1472</f>
        <v>начисленный налог</v>
      </c>
      <c r="B497" s="78"/>
      <c r="C497" s="1" t="str">
        <f ca="1">Параметры!$C$64</f>
        <v>руб.</v>
      </c>
      <c r="F497" s="6" t="s">
        <v>740</v>
      </c>
      <c r="G497" s="74">
        <f ca="1">Проект!G1321</f>
        <v>0</v>
      </c>
      <c r="H497" s="74">
        <f ca="1">Проект!H1321</f>
        <v>0</v>
      </c>
      <c r="I497" s="74">
        <f ca="1">Проект!I1321</f>
        <v>0</v>
      </c>
      <c r="J497" s="74">
        <f ca="1">Проект!J1321</f>
        <v>0</v>
      </c>
      <c r="K497" s="74">
        <f ca="1">Проект!K1321</f>
        <v>0</v>
      </c>
      <c r="L497" s="74">
        <f ca="1">Проект!L1321</f>
        <v>0</v>
      </c>
      <c r="M497" s="74">
        <f ca="1">Проект!M1321</f>
        <v>311185.42101133219</v>
      </c>
      <c r="N497" s="74">
        <f ca="1">Проект!N1321</f>
        <v>312700.13178330241</v>
      </c>
      <c r="O497" s="74">
        <f ca="1">Проект!O1321</f>
        <v>314222.21548654704</v>
      </c>
      <c r="P497" s="74">
        <f ca="1">Проект!P1321</f>
        <v>315751.70800918189</v>
      </c>
      <c r="Q497" s="74">
        <f ca="1">Проект!Q1321</f>
        <v>317288.6454140101</v>
      </c>
      <c r="R497" s="74">
        <f ca="1">Проект!R1321</f>
        <v>318833.06393937202</v>
      </c>
      <c r="S497" s="74">
        <f ca="1">Проект!S1321</f>
        <v>320385.00000000017</v>
      </c>
      <c r="T497" s="74">
        <f ca="1">Проект!T1321</f>
        <v>321944.49018787761</v>
      </c>
      <c r="U497" s="74">
        <f ca="1">Проект!U1321</f>
        <v>323511.57127310062</v>
      </c>
      <c r="V497" s="74">
        <f ca="1">Проект!V1321</f>
        <v>325086.28020474606</v>
      </c>
      <c r="W497" s="74">
        <f ca="1">Проект!W1321</f>
        <v>326668.65411174198</v>
      </c>
      <c r="X497" s="74">
        <f ca="1">Проект!X1321</f>
        <v>328258.73030374345</v>
      </c>
      <c r="Y497" s="74">
        <f ca="1">Проект!Y1321</f>
        <v>329856.54627201223</v>
      </c>
      <c r="Z497" s="74">
        <f ca="1">Проект!Z1321</f>
        <v>331462.13969030068</v>
      </c>
      <c r="AA497" s="74">
        <f ca="1">Проект!AA1321</f>
        <v>333075.54841573996</v>
      </c>
      <c r="AB497" s="74">
        <f ca="1">Проект!AB1321</f>
        <v>334696.81048973295</v>
      </c>
      <c r="AC497" s="74">
        <f ca="1">Проект!AC1321</f>
        <v>336325.9641388508</v>
      </c>
      <c r="AD497" s="74">
        <f ca="1">Проект!AD1321</f>
        <v>337963.04777573439</v>
      </c>
      <c r="AE497" s="74">
        <f ca="1">Проект!AE1321</f>
        <v>339608.10000000021</v>
      </c>
      <c r="AF497" s="74">
        <f ca="1">Проект!AF1321</f>
        <v>341261.15959915024</v>
      </c>
      <c r="AG497" s="74">
        <f ca="1">Проект!AG1321</f>
        <v>342922.26554948679</v>
      </c>
      <c r="AH497" s="74">
        <f ca="1">Проект!AH1321</f>
        <v>344591.45701703092</v>
      </c>
      <c r="AI497" s="74">
        <f ca="1">Проект!AI1321</f>
        <v>346268.77335844649</v>
      </c>
      <c r="AJ497" s="74">
        <f ca="1">Проект!AJ1321</f>
        <v>347954.25412196812</v>
      </c>
      <c r="AK497" s="74">
        <f ca="1">Проект!AK1321</f>
        <v>349647.93904833298</v>
      </c>
      <c r="AL497" s="74">
        <f ca="1">Проект!AL1321</f>
        <v>351349.86807171867</v>
      </c>
      <c r="AM497" s="74">
        <f ca="1">Проект!AM1321</f>
        <v>353060.0813206844</v>
      </c>
      <c r="AN497" s="74">
        <f ca="1">Проект!AN1321</f>
        <v>354778.61911911698</v>
      </c>
      <c r="AO497" s="74">
        <f ca="1">Проект!AO1321</f>
        <v>356505.52198718186</v>
      </c>
      <c r="AP497" s="74">
        <f ca="1">Проект!AP1321</f>
        <v>358240.83064227842</v>
      </c>
      <c r="AQ497" s="74">
        <f ca="1">Проект!AQ1321</f>
        <v>359984.5860000003</v>
      </c>
      <c r="AR497" s="74">
        <f ca="1">Проект!AR1321</f>
        <v>361736.82917509932</v>
      </c>
      <c r="AS497" s="74">
        <f ca="1">Проект!AS1321</f>
        <v>363497.60148245603</v>
      </c>
      <c r="AT497" s="74">
        <f ca="1">Проект!AT1321</f>
        <v>365266.94443805271</v>
      </c>
      <c r="AU497" s="74">
        <f ca="1">Проект!AU1321</f>
        <v>367044.89975995326</v>
      </c>
      <c r="AV497" s="74">
        <f ca="1">Проект!AV1321</f>
        <v>368831.50936928618</v>
      </c>
      <c r="AW497" s="74">
        <f ca="1">Проект!AW1321</f>
        <v>370626.81539123296</v>
      </c>
      <c r="AX497" s="74">
        <f ca="1">Проект!AX1321</f>
        <v>372430.8601560219</v>
      </c>
      <c r="AY497" s="74">
        <f ca="1">Проект!AY1321</f>
        <v>374243.68619992555</v>
      </c>
      <c r="AZ497" s="74">
        <f ca="1">Проект!AZ1321</f>
        <v>376065.33626626403</v>
      </c>
      <c r="BA497" s="74">
        <f ca="1">Проект!BA1321</f>
        <v>377895.85330641281</v>
      </c>
      <c r="BB497" s="74">
        <f ca="1">Проект!BB1321</f>
        <v>379735.28048081521</v>
      </c>
      <c r="BC497" s="55"/>
      <c r="BD497" s="73">
        <f t="shared" ca="1" si="1949"/>
        <v>14462765.040368246</v>
      </c>
    </row>
    <row r="498" spans="1:56" hidden="1" collapsed="1" x14ac:dyDescent="0.3">
      <c r="A498" s="10" t="str">
        <f ca="1">Language!A$1419</f>
        <v>Налог с оборота</v>
      </c>
      <c r="B498" s="78"/>
      <c r="C498" s="48" t="str">
        <f ca="1">Параметры!$C$64</f>
        <v>руб.</v>
      </c>
      <c r="E498" s="6" t="s">
        <v>1614</v>
      </c>
      <c r="F498" s="6" t="s">
        <v>740</v>
      </c>
      <c r="G498" s="55">
        <f ca="1">Проект!G$1341</f>
        <v>0</v>
      </c>
      <c r="H498" s="55">
        <f ca="1">Проект!H$1341</f>
        <v>0</v>
      </c>
      <c r="I498" s="55">
        <f ca="1">Проект!I$1341</f>
        <v>0</v>
      </c>
      <c r="J498" s="55">
        <f ca="1">Проект!J$1341</f>
        <v>0</v>
      </c>
      <c r="K498" s="55">
        <f ca="1">Проект!K$1341</f>
        <v>0</v>
      </c>
      <c r="L498" s="55">
        <f ca="1">Проект!L$1341</f>
        <v>0</v>
      </c>
      <c r="M498" s="55">
        <f ca="1">Проект!M$1341</f>
        <v>0</v>
      </c>
      <c r="N498" s="55">
        <f ca="1">Проект!N$1341</f>
        <v>299479.28954102995</v>
      </c>
      <c r="O498" s="55">
        <f ca="1">Проект!O$1341</f>
        <v>550989.00493870687</v>
      </c>
      <c r="P498" s="55">
        <f ca="1">Проект!P$1341</f>
        <v>704627.75723174855</v>
      </c>
      <c r="Q498" s="55">
        <f ca="1">Проект!Q$1341</f>
        <v>859749.14370673499</v>
      </c>
      <c r="R498" s="55">
        <f ca="1">Проект!R$1341</f>
        <v>914579.64989831403</v>
      </c>
      <c r="S498" s="55">
        <f ca="1">Проект!S$1341</f>
        <v>919031.41259022767</v>
      </c>
      <c r="T498" s="55">
        <f ca="1">Проект!T$1341</f>
        <v>1129060.0444621495</v>
      </c>
      <c r="U498" s="55">
        <f ca="1">Проект!U$1341</f>
        <v>1134055.5261548928</v>
      </c>
      <c r="V498" s="55">
        <f ca="1">Проект!V$1341</f>
        <v>984156.07574523462</v>
      </c>
      <c r="W498" s="55">
        <f ca="1">Проект!W$1341</f>
        <v>937056.21248579852</v>
      </c>
      <c r="X498" s="55">
        <f ca="1">Проект!X$1341</f>
        <v>836824.02216486039</v>
      </c>
      <c r="Y498" s="55">
        <f ca="1">Проект!Y$1341</f>
        <v>1104410.9633703688</v>
      </c>
      <c r="Z498" s="55">
        <f ca="1">Проект!Z$1341</f>
        <v>1479373.9395412637</v>
      </c>
      <c r="AA498" s="55">
        <f ca="1">Проект!AA$1341</f>
        <v>1592390.8826348619</v>
      </c>
      <c r="AB498" s="55">
        <f ca="1">Проект!AB$1341</f>
        <v>1279595.9687099715</v>
      </c>
      <c r="AC498" s="55">
        <f ca="1">Проект!AC$1341</f>
        <v>910814.00111096131</v>
      </c>
      <c r="AD498" s="55">
        <f ca="1">Проект!AD$1341</f>
        <v>807878.69074351096</v>
      </c>
      <c r="AE498" s="55">
        <f ca="1">Проект!AE$1341</f>
        <v>920227.61416466057</v>
      </c>
      <c r="AF498" s="55">
        <f ca="1">Проект!AF$1341</f>
        <v>1196803.6471298784</v>
      </c>
      <c r="AG498" s="55">
        <f ca="1">Проект!AG$1341</f>
        <v>1202098.8577241863</v>
      </c>
      <c r="AH498" s="55">
        <f ca="1">Проект!AH$1341</f>
        <v>1043205.440289949</v>
      </c>
      <c r="AI498" s="55">
        <f ca="1">Проект!AI$1341</f>
        <v>993279.58523494645</v>
      </c>
      <c r="AJ498" s="55">
        <f ca="1">Проект!AJ$1341</f>
        <v>887033.46349475218</v>
      </c>
      <c r="AK498" s="55">
        <f ca="1">Проект!AK$1341</f>
        <v>1170675.6211725911</v>
      </c>
      <c r="AL498" s="55">
        <f ca="1">Проект!AL$1341</f>
        <v>1568136.3759137397</v>
      </c>
      <c r="AM498" s="55">
        <f ca="1">Проект!AM$1341</f>
        <v>1687934.3355929537</v>
      </c>
      <c r="AN498" s="55">
        <f ca="1">Проект!AN$1341</f>
        <v>1356371.7268325696</v>
      </c>
      <c r="AO498" s="55">
        <f ca="1">Проект!AO$1341</f>
        <v>965462.84117761918</v>
      </c>
      <c r="AP498" s="55">
        <f ca="1">Проект!AP$1341</f>
        <v>856351.41218812147</v>
      </c>
      <c r="AQ498" s="55">
        <f ca="1">Проект!AQ$1341</f>
        <v>975441.27101454057</v>
      </c>
      <c r="AR498" s="55">
        <f ca="1">Проект!AR$1341</f>
        <v>1268611.8659576718</v>
      </c>
      <c r="AS498" s="55">
        <f ca="1">Проект!AS$1341</f>
        <v>1274224.7891876379</v>
      </c>
      <c r="AT498" s="55">
        <f ca="1">Проект!AT$1341</f>
        <v>1105797.7667073463</v>
      </c>
      <c r="AU498" s="55">
        <f ca="1">Проект!AU$1341</f>
        <v>1052876.3603490437</v>
      </c>
      <c r="AV498" s="55">
        <f ca="1">Проект!AV$1341</f>
        <v>940255.47130443773</v>
      </c>
      <c r="AW498" s="55">
        <f ca="1">Проект!AW$1341</f>
        <v>1240916.1584429471</v>
      </c>
      <c r="AX498" s="55">
        <f ca="1">Проект!AX$1341</f>
        <v>1662224.5584685644</v>
      </c>
      <c r="AY498" s="55">
        <f ca="1">Проект!AY$1341</f>
        <v>1789210.3957285318</v>
      </c>
      <c r="AZ498" s="55">
        <f ca="1">Проект!AZ$1341</f>
        <v>1437754.0304425242</v>
      </c>
      <c r="BA498" s="55">
        <f ca="1">Проект!BA$1341</f>
        <v>1023390.6116482767</v>
      </c>
      <c r="BB498" s="55">
        <f ca="1">Проект!BB$1341</f>
        <v>907732.49691940914</v>
      </c>
      <c r="BC498" s="55"/>
      <c r="BD498" s="57">
        <f t="shared" ca="1" si="1949"/>
        <v>44970089.282117531</v>
      </c>
    </row>
    <row r="499" spans="1:56" hidden="1" outlineLevel="1" x14ac:dyDescent="0.3">
      <c r="A499" s="71" t="str">
        <f ca="1">Language!A$1472</f>
        <v>начисленный налог</v>
      </c>
      <c r="B499" s="78"/>
      <c r="C499" s="1" t="str">
        <f ca="1">Параметры!$C$64</f>
        <v>руб.</v>
      </c>
      <c r="E499" s="6" t="s">
        <v>1603</v>
      </c>
      <c r="F499" s="6" t="s">
        <v>740</v>
      </c>
      <c r="G499" s="74">
        <f ca="1">Проект!G1339</f>
        <v>0</v>
      </c>
      <c r="H499" s="74">
        <f ca="1">Проект!H1339</f>
        <v>0</v>
      </c>
      <c r="I499" s="74">
        <f ca="1">Проект!I1339</f>
        <v>0</v>
      </c>
      <c r="J499" s="74">
        <f ca="1">Проект!J1339</f>
        <v>0</v>
      </c>
      <c r="K499" s="74">
        <f ca="1">Проект!K1339</f>
        <v>0</v>
      </c>
      <c r="L499" s="74">
        <f ca="1">Проект!L1339</f>
        <v>0</v>
      </c>
      <c r="M499" s="74">
        <f ca="1">Проект!M1339</f>
        <v>299479.28954102995</v>
      </c>
      <c r="N499" s="74">
        <f ca="1">Проект!N1339</f>
        <v>550989.00493870687</v>
      </c>
      <c r="O499" s="74">
        <f ca="1">Проект!O1339</f>
        <v>704627.75723174855</v>
      </c>
      <c r="P499" s="74">
        <f ca="1">Проект!P1339</f>
        <v>859749.14370673511</v>
      </c>
      <c r="Q499" s="74">
        <f ca="1">Проект!Q1339</f>
        <v>914579.64989831392</v>
      </c>
      <c r="R499" s="74">
        <f ca="1">Проект!R1339</f>
        <v>919031.41259022767</v>
      </c>
      <c r="S499" s="74">
        <f ca="1">Проект!S1339</f>
        <v>1129060.0444621495</v>
      </c>
      <c r="T499" s="74">
        <f ca="1">Проект!T1339</f>
        <v>1134055.5261548928</v>
      </c>
      <c r="U499" s="74">
        <f ca="1">Проект!U1339</f>
        <v>984156.07574523462</v>
      </c>
      <c r="V499" s="74">
        <f ca="1">Проект!V1339</f>
        <v>937056.21248579852</v>
      </c>
      <c r="W499" s="74">
        <f ca="1">Проект!W1339</f>
        <v>836824.02216486039</v>
      </c>
      <c r="X499" s="74">
        <f ca="1">Проект!X1339</f>
        <v>1104410.9633703688</v>
      </c>
      <c r="Y499" s="74">
        <f ca="1">Проект!Y1339</f>
        <v>1479373.9395412637</v>
      </c>
      <c r="Z499" s="74">
        <f ca="1">Проект!Z1339</f>
        <v>1592390.8826348619</v>
      </c>
      <c r="AA499" s="74">
        <f ca="1">Проект!AA1339</f>
        <v>1279595.9687099715</v>
      </c>
      <c r="AB499" s="74">
        <f ca="1">Проект!AB1339</f>
        <v>910814.00111096131</v>
      </c>
      <c r="AC499" s="74">
        <f ca="1">Проект!AC1339</f>
        <v>807878.69074351084</v>
      </c>
      <c r="AD499" s="74">
        <f ca="1">Проект!AD1339</f>
        <v>920227.61416466068</v>
      </c>
      <c r="AE499" s="74">
        <f ca="1">Проект!AE1339</f>
        <v>1196803.6471298784</v>
      </c>
      <c r="AF499" s="74">
        <f ca="1">Проект!AF1339</f>
        <v>1202098.8577241863</v>
      </c>
      <c r="AG499" s="74">
        <f ca="1">Проект!AG1339</f>
        <v>1043205.440289949</v>
      </c>
      <c r="AH499" s="74">
        <f ca="1">Проект!AH1339</f>
        <v>993279.58523494645</v>
      </c>
      <c r="AI499" s="74">
        <f ca="1">Проект!AI1339</f>
        <v>887033.46349475218</v>
      </c>
      <c r="AJ499" s="74">
        <f ca="1">Проект!AJ1339</f>
        <v>1170675.6211725911</v>
      </c>
      <c r="AK499" s="74">
        <f ca="1">Проект!AK1339</f>
        <v>1568136.3759137397</v>
      </c>
      <c r="AL499" s="74">
        <f ca="1">Проект!AL1339</f>
        <v>1687934.3355929537</v>
      </c>
      <c r="AM499" s="74">
        <f ca="1">Проект!AM1339</f>
        <v>1356371.7268325696</v>
      </c>
      <c r="AN499" s="74">
        <f ca="1">Проект!AN1339</f>
        <v>965462.84117761918</v>
      </c>
      <c r="AO499" s="74">
        <f ca="1">Проект!AO1339</f>
        <v>856351.41218812147</v>
      </c>
      <c r="AP499" s="74">
        <f ca="1">Проект!AP1339</f>
        <v>975441.27101454057</v>
      </c>
      <c r="AQ499" s="74">
        <f ca="1">Проект!AQ1339</f>
        <v>1268611.8659576715</v>
      </c>
      <c r="AR499" s="74">
        <f ca="1">Проект!AR1339</f>
        <v>1274224.7891876381</v>
      </c>
      <c r="AS499" s="74">
        <f ca="1">Проект!AS1339</f>
        <v>1105797.7667073463</v>
      </c>
      <c r="AT499" s="74">
        <f ca="1">Проект!AT1339</f>
        <v>1052876.3603490437</v>
      </c>
      <c r="AU499" s="74">
        <f ca="1">Проект!AU1339</f>
        <v>940255.47130443773</v>
      </c>
      <c r="AV499" s="74">
        <f ca="1">Проект!AV1339</f>
        <v>1240916.1584429471</v>
      </c>
      <c r="AW499" s="74">
        <f ca="1">Проект!AW1339</f>
        <v>1662224.5584685644</v>
      </c>
      <c r="AX499" s="74">
        <f ca="1">Проект!AX1339</f>
        <v>1789210.3957285318</v>
      </c>
      <c r="AY499" s="74">
        <f ca="1">Проект!AY1339</f>
        <v>1437754.0304425242</v>
      </c>
      <c r="AZ499" s="74">
        <f ca="1">Проект!AZ1339</f>
        <v>1023390.6116482767</v>
      </c>
      <c r="BA499" s="74">
        <f ca="1">Проект!BA1339</f>
        <v>907732.49691940914</v>
      </c>
      <c r="BB499" s="74">
        <f ca="1">Проект!BB1339</f>
        <v>1033967.7472754134</v>
      </c>
      <c r="BC499" s="55"/>
      <c r="BD499" s="73">
        <f t="shared" ca="1" si="1949"/>
        <v>46004057.029392935</v>
      </c>
    </row>
    <row r="500" spans="1:56" hidden="1" collapsed="1" x14ac:dyDescent="0.3">
      <c r="A500" s="10" t="str">
        <f ca="1">Language!A$1420</f>
        <v>Налог с дохода, уменьшенного на расходы</v>
      </c>
      <c r="B500" s="78"/>
      <c r="C500" s="48" t="str">
        <f ca="1">Параметры!$C$64</f>
        <v>руб.</v>
      </c>
      <c r="E500" s="6" t="s">
        <v>1615</v>
      </c>
      <c r="F500" s="6" t="s">
        <v>740</v>
      </c>
      <c r="G500" s="55">
        <f ca="1">Проект!G$1346</f>
        <v>0</v>
      </c>
      <c r="H500" s="55">
        <f ca="1">Проект!H$1346</f>
        <v>0</v>
      </c>
      <c r="I500" s="55">
        <f ca="1">Проект!I$1346</f>
        <v>0</v>
      </c>
      <c r="J500" s="55">
        <f ca="1">Проект!J$1346</f>
        <v>0</v>
      </c>
      <c r="K500" s="55">
        <f ca="1">Проект!K$1346</f>
        <v>0</v>
      </c>
      <c r="L500" s="55">
        <f ca="1">Проект!L$1346</f>
        <v>0</v>
      </c>
      <c r="M500" s="55">
        <f ca="1">Проект!M$1346</f>
        <v>0</v>
      </c>
      <c r="N500" s="55">
        <f ca="1">Проект!N$1346</f>
        <v>0</v>
      </c>
      <c r="O500" s="55">
        <f ca="1">Проект!O$1346</f>
        <v>0</v>
      </c>
      <c r="P500" s="55">
        <f ca="1">Проект!P$1346</f>
        <v>0</v>
      </c>
      <c r="Q500" s="55">
        <f ca="1">Проект!Q$1346</f>
        <v>0</v>
      </c>
      <c r="R500" s="55">
        <f ca="1">Проект!R$1346</f>
        <v>0</v>
      </c>
      <c r="S500" s="55">
        <f ca="1">Проект!S$1346</f>
        <v>0</v>
      </c>
      <c r="T500" s="55">
        <f ca="1">Проект!T$1346</f>
        <v>0</v>
      </c>
      <c r="U500" s="55">
        <f ca="1">Проект!U$1346</f>
        <v>0</v>
      </c>
      <c r="V500" s="55">
        <f ca="1">Проект!V$1346</f>
        <v>0</v>
      </c>
      <c r="W500" s="55">
        <f ca="1">Проект!W$1346</f>
        <v>0</v>
      </c>
      <c r="X500" s="55">
        <f ca="1">Проект!X$1346</f>
        <v>0</v>
      </c>
      <c r="Y500" s="55">
        <f ca="1">Проект!Y$1346</f>
        <v>0</v>
      </c>
      <c r="Z500" s="55">
        <f ca="1">Проект!Z$1346</f>
        <v>0</v>
      </c>
      <c r="AA500" s="55">
        <f ca="1">Проект!AA$1346</f>
        <v>0</v>
      </c>
      <c r="AB500" s="55">
        <f ca="1">Проект!AB$1346</f>
        <v>0</v>
      </c>
      <c r="AC500" s="55">
        <f ca="1">Проект!AC$1346</f>
        <v>0</v>
      </c>
      <c r="AD500" s="55">
        <f ca="1">Проект!AD$1346</f>
        <v>0</v>
      </c>
      <c r="AE500" s="55">
        <f ca="1">Проект!AE$1346</f>
        <v>0</v>
      </c>
      <c r="AF500" s="55">
        <f ca="1">Проект!AF$1346</f>
        <v>0</v>
      </c>
      <c r="AG500" s="55">
        <f ca="1">Проект!AG$1346</f>
        <v>0</v>
      </c>
      <c r="AH500" s="55">
        <f ca="1">Проект!AH$1346</f>
        <v>0</v>
      </c>
      <c r="AI500" s="55">
        <f ca="1">Проект!AI$1346</f>
        <v>0</v>
      </c>
      <c r="AJ500" s="55">
        <f ca="1">Проект!AJ$1346</f>
        <v>0</v>
      </c>
      <c r="AK500" s="55">
        <f ca="1">Проект!AK$1346</f>
        <v>0</v>
      </c>
      <c r="AL500" s="55">
        <f ca="1">Проект!AL$1346</f>
        <v>0</v>
      </c>
      <c r="AM500" s="55">
        <f ca="1">Проект!AM$1346</f>
        <v>0</v>
      </c>
      <c r="AN500" s="55">
        <f ca="1">Проект!AN$1346</f>
        <v>0</v>
      </c>
      <c r="AO500" s="55">
        <f ca="1">Проект!AO$1346</f>
        <v>0</v>
      </c>
      <c r="AP500" s="55">
        <f ca="1">Проект!AP$1346</f>
        <v>0</v>
      </c>
      <c r="AQ500" s="55">
        <f ca="1">Проект!AQ$1346</f>
        <v>0</v>
      </c>
      <c r="AR500" s="55">
        <f ca="1">Проект!AR$1346</f>
        <v>0</v>
      </c>
      <c r="AS500" s="55">
        <f ca="1">Проект!AS$1346</f>
        <v>0</v>
      </c>
      <c r="AT500" s="55">
        <f ca="1">Проект!AT$1346</f>
        <v>0</v>
      </c>
      <c r="AU500" s="55">
        <f ca="1">Проект!AU$1346</f>
        <v>0</v>
      </c>
      <c r="AV500" s="55">
        <f ca="1">Проект!AV$1346</f>
        <v>0</v>
      </c>
      <c r="AW500" s="55">
        <f ca="1">Проект!AW$1346</f>
        <v>0</v>
      </c>
      <c r="AX500" s="55">
        <f ca="1">Проект!AX$1346</f>
        <v>0</v>
      </c>
      <c r="AY500" s="55">
        <f ca="1">Проект!AY$1346</f>
        <v>0</v>
      </c>
      <c r="AZ500" s="55">
        <f ca="1">Проект!AZ$1346</f>
        <v>0</v>
      </c>
      <c r="BA500" s="55">
        <f ca="1">Проект!BA$1346</f>
        <v>0</v>
      </c>
      <c r="BB500" s="55">
        <f ca="1">Проект!BB$1346</f>
        <v>0</v>
      </c>
      <c r="BC500" s="55"/>
      <c r="BD500" s="57">
        <f t="shared" ca="1" si="1949"/>
        <v>0</v>
      </c>
    </row>
    <row r="501" spans="1:56" hidden="1" outlineLevel="1" x14ac:dyDescent="0.3">
      <c r="A501" s="71" t="str">
        <f ca="1">Language!A$1472</f>
        <v>начисленный налог</v>
      </c>
      <c r="B501" s="78"/>
      <c r="C501" s="1" t="str">
        <f ca="1">Параметры!$C$64</f>
        <v>руб.</v>
      </c>
      <c r="E501" s="6" t="s">
        <v>1604</v>
      </c>
      <c r="F501" s="6" t="s">
        <v>740</v>
      </c>
      <c r="G501" s="74">
        <f ca="1">Проект!G1339</f>
        <v>0</v>
      </c>
      <c r="H501" s="74">
        <f ca="1">Проект!H1339</f>
        <v>0</v>
      </c>
      <c r="I501" s="74">
        <f ca="1">Проект!I1339</f>
        <v>0</v>
      </c>
      <c r="J501" s="74">
        <f ca="1">Проект!J1339</f>
        <v>0</v>
      </c>
      <c r="K501" s="74">
        <f ca="1">Проект!K1339</f>
        <v>0</v>
      </c>
      <c r="L501" s="74">
        <f ca="1">Проект!L1339</f>
        <v>0</v>
      </c>
      <c r="M501" s="74">
        <f ca="1">Проект!M1339</f>
        <v>299479.28954102995</v>
      </c>
      <c r="N501" s="74">
        <f ca="1">Проект!N1339</f>
        <v>550989.00493870687</v>
      </c>
      <c r="O501" s="74">
        <f ca="1">Проект!O1339</f>
        <v>704627.75723174855</v>
      </c>
      <c r="P501" s="74">
        <f ca="1">Проект!P1339</f>
        <v>859749.14370673511</v>
      </c>
      <c r="Q501" s="74">
        <f ca="1">Проект!Q1339</f>
        <v>914579.64989831392</v>
      </c>
      <c r="R501" s="74">
        <f ca="1">Проект!R1339</f>
        <v>919031.41259022767</v>
      </c>
      <c r="S501" s="74">
        <f ca="1">Проект!S1339</f>
        <v>1129060.0444621495</v>
      </c>
      <c r="T501" s="74">
        <f ca="1">Проект!T1339</f>
        <v>1134055.5261548928</v>
      </c>
      <c r="U501" s="74">
        <f ca="1">Проект!U1339</f>
        <v>984156.07574523462</v>
      </c>
      <c r="V501" s="74">
        <f ca="1">Проект!V1339</f>
        <v>937056.21248579852</v>
      </c>
      <c r="W501" s="74">
        <f ca="1">Проект!W1339</f>
        <v>836824.02216486039</v>
      </c>
      <c r="X501" s="74">
        <f ca="1">Проект!X1339</f>
        <v>1104410.9633703688</v>
      </c>
      <c r="Y501" s="74">
        <f ca="1">Проект!Y1339</f>
        <v>1479373.9395412637</v>
      </c>
      <c r="Z501" s="74">
        <f ca="1">Проект!Z1339</f>
        <v>1592390.8826348619</v>
      </c>
      <c r="AA501" s="74">
        <f ca="1">Проект!AA1339</f>
        <v>1279595.9687099715</v>
      </c>
      <c r="AB501" s="74">
        <f ca="1">Проект!AB1339</f>
        <v>910814.00111096131</v>
      </c>
      <c r="AC501" s="74">
        <f ca="1">Проект!AC1339</f>
        <v>807878.69074351084</v>
      </c>
      <c r="AD501" s="74">
        <f ca="1">Проект!AD1339</f>
        <v>920227.61416466068</v>
      </c>
      <c r="AE501" s="74">
        <f ca="1">Проект!AE1339</f>
        <v>1196803.6471298784</v>
      </c>
      <c r="AF501" s="74">
        <f ca="1">Проект!AF1339</f>
        <v>1202098.8577241863</v>
      </c>
      <c r="AG501" s="74">
        <f ca="1">Проект!AG1339</f>
        <v>1043205.440289949</v>
      </c>
      <c r="AH501" s="74">
        <f ca="1">Проект!AH1339</f>
        <v>993279.58523494645</v>
      </c>
      <c r="AI501" s="74">
        <f ca="1">Проект!AI1339</f>
        <v>887033.46349475218</v>
      </c>
      <c r="AJ501" s="74">
        <f ca="1">Проект!AJ1339</f>
        <v>1170675.6211725911</v>
      </c>
      <c r="AK501" s="74">
        <f ca="1">Проект!AK1339</f>
        <v>1568136.3759137397</v>
      </c>
      <c r="AL501" s="74">
        <f ca="1">Проект!AL1339</f>
        <v>1687934.3355929537</v>
      </c>
      <c r="AM501" s="74">
        <f ca="1">Проект!AM1339</f>
        <v>1356371.7268325696</v>
      </c>
      <c r="AN501" s="74">
        <f ca="1">Проект!AN1339</f>
        <v>965462.84117761918</v>
      </c>
      <c r="AO501" s="74">
        <f ca="1">Проект!AO1339</f>
        <v>856351.41218812147</v>
      </c>
      <c r="AP501" s="74">
        <f ca="1">Проект!AP1339</f>
        <v>975441.27101454057</v>
      </c>
      <c r="AQ501" s="74">
        <f ca="1">Проект!AQ1339</f>
        <v>1268611.8659576715</v>
      </c>
      <c r="AR501" s="74">
        <f ca="1">Проект!AR1339</f>
        <v>1274224.7891876381</v>
      </c>
      <c r="AS501" s="74">
        <f ca="1">Проект!AS1339</f>
        <v>1105797.7667073463</v>
      </c>
      <c r="AT501" s="74">
        <f ca="1">Проект!AT1339</f>
        <v>1052876.3603490437</v>
      </c>
      <c r="AU501" s="74">
        <f ca="1">Проект!AU1339</f>
        <v>940255.47130443773</v>
      </c>
      <c r="AV501" s="74">
        <f ca="1">Проект!AV1339</f>
        <v>1240916.1584429471</v>
      </c>
      <c r="AW501" s="74">
        <f ca="1">Проект!AW1339</f>
        <v>1662224.5584685644</v>
      </c>
      <c r="AX501" s="74">
        <f ca="1">Проект!AX1339</f>
        <v>1789210.3957285318</v>
      </c>
      <c r="AY501" s="74">
        <f ca="1">Проект!AY1339</f>
        <v>1437754.0304425242</v>
      </c>
      <c r="AZ501" s="74">
        <f ca="1">Проект!AZ1339</f>
        <v>1023390.6116482767</v>
      </c>
      <c r="BA501" s="74">
        <f ca="1">Проект!BA1339</f>
        <v>907732.49691940914</v>
      </c>
      <c r="BB501" s="74">
        <f ca="1">Проект!BB1339</f>
        <v>1033967.7472754134</v>
      </c>
      <c r="BC501" s="55"/>
      <c r="BD501" s="73">
        <f t="shared" ca="1" si="1949"/>
        <v>46004057.029392935</v>
      </c>
    </row>
    <row r="502" spans="1:56" ht="12" hidden="1" customHeight="1" collapsed="1" x14ac:dyDescent="0.3">
      <c r="A502" s="5" t="str">
        <f ca="1">Language!A$1488</f>
        <v>Прочие налоги</v>
      </c>
      <c r="B502" s="109"/>
      <c r="C502" s="48" t="str">
        <f ca="1">Параметры!$C$64</f>
        <v>руб.</v>
      </c>
      <c r="E502" s="6" t="s">
        <v>2272</v>
      </c>
      <c r="F502" s="6" t="s">
        <v>740</v>
      </c>
      <c r="G502" s="55" t="e">
        <f>Проект!#REF!</f>
        <v>#REF!</v>
      </c>
      <c r="H502" s="55" t="e">
        <f>Проект!#REF!</f>
        <v>#REF!</v>
      </c>
      <c r="I502" s="55" t="e">
        <f>Проект!#REF!</f>
        <v>#REF!</v>
      </c>
      <c r="J502" s="55" t="e">
        <f>Проект!#REF!</f>
        <v>#REF!</v>
      </c>
      <c r="K502" s="55" t="e">
        <f>Проект!#REF!</f>
        <v>#REF!</v>
      </c>
      <c r="L502" s="55" t="e">
        <f>Проект!#REF!</f>
        <v>#REF!</v>
      </c>
      <c r="M502" s="55" t="e">
        <f>Проект!#REF!</f>
        <v>#REF!</v>
      </c>
      <c r="N502" s="55" t="e">
        <f>Проект!#REF!</f>
        <v>#REF!</v>
      </c>
      <c r="O502" s="55" t="e">
        <f>Проект!#REF!</f>
        <v>#REF!</v>
      </c>
      <c r="P502" s="55" t="e">
        <f>Проект!#REF!</f>
        <v>#REF!</v>
      </c>
      <c r="Q502" s="55" t="e">
        <f>Проект!#REF!</f>
        <v>#REF!</v>
      </c>
      <c r="R502" s="55" t="e">
        <f>Проект!#REF!</f>
        <v>#REF!</v>
      </c>
      <c r="S502" s="55" t="e">
        <f>Проект!#REF!</f>
        <v>#REF!</v>
      </c>
      <c r="T502" s="55" t="e">
        <f>Проект!#REF!</f>
        <v>#REF!</v>
      </c>
      <c r="U502" s="55" t="e">
        <f>Проект!#REF!</f>
        <v>#REF!</v>
      </c>
      <c r="V502" s="55" t="e">
        <f>Проект!#REF!</f>
        <v>#REF!</v>
      </c>
      <c r="W502" s="55" t="e">
        <f>Проект!#REF!</f>
        <v>#REF!</v>
      </c>
      <c r="X502" s="55" t="e">
        <f>Проект!#REF!</f>
        <v>#REF!</v>
      </c>
      <c r="Y502" s="55" t="e">
        <f>Проект!#REF!</f>
        <v>#REF!</v>
      </c>
      <c r="Z502" s="55" t="e">
        <f>Проект!#REF!</f>
        <v>#REF!</v>
      </c>
      <c r="AA502" s="55" t="e">
        <f>Проект!#REF!</f>
        <v>#REF!</v>
      </c>
      <c r="AB502" s="55" t="e">
        <f>Проект!#REF!</f>
        <v>#REF!</v>
      </c>
      <c r="AC502" s="55" t="e">
        <f>Проект!#REF!</f>
        <v>#REF!</v>
      </c>
      <c r="AD502" s="55" t="e">
        <f>Проект!#REF!</f>
        <v>#REF!</v>
      </c>
      <c r="AE502" s="55" t="e">
        <f>Проект!#REF!</f>
        <v>#REF!</v>
      </c>
      <c r="AF502" s="55" t="e">
        <f>Проект!#REF!</f>
        <v>#REF!</v>
      </c>
      <c r="AG502" s="55" t="e">
        <f>Проект!#REF!</f>
        <v>#REF!</v>
      </c>
      <c r="AH502" s="55" t="e">
        <f>Проект!#REF!</f>
        <v>#REF!</v>
      </c>
      <c r="AI502" s="55" t="e">
        <f>Проект!#REF!</f>
        <v>#REF!</v>
      </c>
      <c r="AJ502" s="55" t="e">
        <f>Проект!#REF!</f>
        <v>#REF!</v>
      </c>
      <c r="AK502" s="55" t="e">
        <f>Проект!#REF!</f>
        <v>#REF!</v>
      </c>
      <c r="AL502" s="55" t="e">
        <f>Проект!#REF!</f>
        <v>#REF!</v>
      </c>
      <c r="AM502" s="55" t="e">
        <f>Проект!#REF!</f>
        <v>#REF!</v>
      </c>
      <c r="AN502" s="55" t="e">
        <f>Проект!#REF!</f>
        <v>#REF!</v>
      </c>
      <c r="AO502" s="55" t="e">
        <f>Проект!#REF!</f>
        <v>#REF!</v>
      </c>
      <c r="AP502" s="55" t="e">
        <f>Проект!#REF!</f>
        <v>#REF!</v>
      </c>
      <c r="AQ502" s="55" t="e">
        <f>Проект!#REF!</f>
        <v>#REF!</v>
      </c>
      <c r="AR502" s="55" t="e">
        <f>Проект!#REF!</f>
        <v>#REF!</v>
      </c>
      <c r="AS502" s="55" t="e">
        <f>Проект!#REF!</f>
        <v>#REF!</v>
      </c>
      <c r="AT502" s="55" t="e">
        <f>Проект!#REF!</f>
        <v>#REF!</v>
      </c>
      <c r="AU502" s="55" t="e">
        <f>Проект!#REF!</f>
        <v>#REF!</v>
      </c>
      <c r="AV502" s="55" t="e">
        <f>Проект!#REF!</f>
        <v>#REF!</v>
      </c>
      <c r="AW502" s="55" t="e">
        <f>Проект!#REF!</f>
        <v>#REF!</v>
      </c>
      <c r="AX502" s="55" t="e">
        <f>Проект!#REF!</f>
        <v>#REF!</v>
      </c>
      <c r="AY502" s="55" t="e">
        <f>Проект!#REF!</f>
        <v>#REF!</v>
      </c>
      <c r="AZ502" s="55" t="e">
        <f>Проект!#REF!</f>
        <v>#REF!</v>
      </c>
      <c r="BA502" s="55" t="e">
        <f>Проект!#REF!</f>
        <v>#REF!</v>
      </c>
      <c r="BB502" s="55" t="e">
        <f>Проект!#REF!</f>
        <v>#REF!</v>
      </c>
      <c r="BC502" s="55"/>
      <c r="BD502" s="57" t="e">
        <f t="shared" si="1949"/>
        <v>#REF!</v>
      </c>
    </row>
    <row r="503" spans="1:56" hidden="1" outlineLevel="1" x14ac:dyDescent="0.3">
      <c r="A503" s="71" t="str">
        <f ca="1">Language!A$1472</f>
        <v>начисленный налог</v>
      </c>
      <c r="B503" s="78"/>
      <c r="C503" s="1" t="str">
        <f ca="1">Параметры!$C$64</f>
        <v>руб.</v>
      </c>
      <c r="F503" s="6" t="s">
        <v>740</v>
      </c>
      <c r="G503" s="74" t="e">
        <f>Проект!#REF!</f>
        <v>#REF!</v>
      </c>
      <c r="H503" s="74" t="e">
        <f>Проект!#REF!</f>
        <v>#REF!</v>
      </c>
      <c r="I503" s="74" t="e">
        <f>Проект!#REF!</f>
        <v>#REF!</v>
      </c>
      <c r="J503" s="74" t="e">
        <f>Проект!#REF!</f>
        <v>#REF!</v>
      </c>
      <c r="K503" s="74" t="e">
        <f>Проект!#REF!</f>
        <v>#REF!</v>
      </c>
      <c r="L503" s="74" t="e">
        <f>Проект!#REF!</f>
        <v>#REF!</v>
      </c>
      <c r="M503" s="74" t="e">
        <f>Проект!#REF!</f>
        <v>#REF!</v>
      </c>
      <c r="N503" s="74" t="e">
        <f>Проект!#REF!</f>
        <v>#REF!</v>
      </c>
      <c r="O503" s="74" t="e">
        <f>Проект!#REF!</f>
        <v>#REF!</v>
      </c>
      <c r="P503" s="74" t="e">
        <f>Проект!#REF!</f>
        <v>#REF!</v>
      </c>
      <c r="Q503" s="74" t="e">
        <f>Проект!#REF!</f>
        <v>#REF!</v>
      </c>
      <c r="R503" s="74" t="e">
        <f>Проект!#REF!</f>
        <v>#REF!</v>
      </c>
      <c r="S503" s="74" t="e">
        <f>Проект!#REF!</f>
        <v>#REF!</v>
      </c>
      <c r="T503" s="74" t="e">
        <f>Проект!#REF!</f>
        <v>#REF!</v>
      </c>
      <c r="U503" s="74" t="e">
        <f>Проект!#REF!</f>
        <v>#REF!</v>
      </c>
      <c r="V503" s="74" t="e">
        <f>Проект!#REF!</f>
        <v>#REF!</v>
      </c>
      <c r="W503" s="74" t="e">
        <f>Проект!#REF!</f>
        <v>#REF!</v>
      </c>
      <c r="X503" s="74" t="e">
        <f>Проект!#REF!</f>
        <v>#REF!</v>
      </c>
      <c r="Y503" s="74" t="e">
        <f>Проект!#REF!</f>
        <v>#REF!</v>
      </c>
      <c r="Z503" s="74" t="e">
        <f>Проект!#REF!</f>
        <v>#REF!</v>
      </c>
      <c r="AA503" s="74" t="e">
        <f>Проект!#REF!</f>
        <v>#REF!</v>
      </c>
      <c r="AB503" s="74" t="e">
        <f>Проект!#REF!</f>
        <v>#REF!</v>
      </c>
      <c r="AC503" s="74" t="e">
        <f>Проект!#REF!</f>
        <v>#REF!</v>
      </c>
      <c r="AD503" s="74" t="e">
        <f>Проект!#REF!</f>
        <v>#REF!</v>
      </c>
      <c r="AE503" s="74" t="e">
        <f>Проект!#REF!</f>
        <v>#REF!</v>
      </c>
      <c r="AF503" s="74" t="e">
        <f>Проект!#REF!</f>
        <v>#REF!</v>
      </c>
      <c r="AG503" s="74" t="e">
        <f>Проект!#REF!</f>
        <v>#REF!</v>
      </c>
      <c r="AH503" s="74" t="e">
        <f>Проект!#REF!</f>
        <v>#REF!</v>
      </c>
      <c r="AI503" s="74" t="e">
        <f>Проект!#REF!</f>
        <v>#REF!</v>
      </c>
      <c r="AJ503" s="74" t="e">
        <f>Проект!#REF!</f>
        <v>#REF!</v>
      </c>
      <c r="AK503" s="74" t="e">
        <f>Проект!#REF!</f>
        <v>#REF!</v>
      </c>
      <c r="AL503" s="74" t="e">
        <f>Проект!#REF!</f>
        <v>#REF!</v>
      </c>
      <c r="AM503" s="74" t="e">
        <f>Проект!#REF!</f>
        <v>#REF!</v>
      </c>
      <c r="AN503" s="74" t="e">
        <f>Проект!#REF!</f>
        <v>#REF!</v>
      </c>
      <c r="AO503" s="74" t="e">
        <f>Проект!#REF!</f>
        <v>#REF!</v>
      </c>
      <c r="AP503" s="74" t="e">
        <f>Проект!#REF!</f>
        <v>#REF!</v>
      </c>
      <c r="AQ503" s="74" t="e">
        <f>Проект!#REF!</f>
        <v>#REF!</v>
      </c>
      <c r="AR503" s="74" t="e">
        <f>Проект!#REF!</f>
        <v>#REF!</v>
      </c>
      <c r="AS503" s="74" t="e">
        <f>Проект!#REF!</f>
        <v>#REF!</v>
      </c>
      <c r="AT503" s="74" t="e">
        <f>Проект!#REF!</f>
        <v>#REF!</v>
      </c>
      <c r="AU503" s="74" t="e">
        <f>Проект!#REF!</f>
        <v>#REF!</v>
      </c>
      <c r="AV503" s="74" t="e">
        <f>Проект!#REF!</f>
        <v>#REF!</v>
      </c>
      <c r="AW503" s="74" t="e">
        <f>Проект!#REF!</f>
        <v>#REF!</v>
      </c>
      <c r="AX503" s="74" t="e">
        <f>Проект!#REF!</f>
        <v>#REF!</v>
      </c>
      <c r="AY503" s="74" t="e">
        <f>Проект!#REF!</f>
        <v>#REF!</v>
      </c>
      <c r="AZ503" s="74" t="e">
        <f>Проект!#REF!</f>
        <v>#REF!</v>
      </c>
      <c r="BA503" s="74" t="e">
        <f>Проект!#REF!</f>
        <v>#REF!</v>
      </c>
      <c r="BB503" s="74" t="e">
        <f>Проект!#REF!</f>
        <v>#REF!</v>
      </c>
      <c r="BC503" s="55"/>
      <c r="BD503" s="73" t="e">
        <f t="shared" si="1949"/>
        <v>#REF!</v>
      </c>
    </row>
    <row r="504" spans="1:56" hidden="1" x14ac:dyDescent="0.3">
      <c r="A504" s="10" t="str">
        <f ca="1">Language!A$1421</f>
        <v>Суммарные налоговые и социальные выплаты</v>
      </c>
      <c r="C504" s="48" t="str">
        <f ca="1">Параметры!$C$64</f>
        <v>руб.</v>
      </c>
      <c r="E504" s="6" t="s">
        <v>1616</v>
      </c>
      <c r="F504" s="6" t="s">
        <v>740</v>
      </c>
      <c r="G504" s="55" t="e">
        <f ca="1">SUM(G484:G488,G490,G494,G496,G498,G500,G502)</f>
        <v>#REF!</v>
      </c>
      <c r="H504" s="55" t="e">
        <f t="shared" ref="H504:M504" ca="1" si="1950">SUM(H484:H488,H490,H494,H496,H498,H500,H502)</f>
        <v>#REF!</v>
      </c>
      <c r="I504" s="55" t="e">
        <f t="shared" ca="1" si="1950"/>
        <v>#REF!</v>
      </c>
      <c r="J504" s="55" t="e">
        <f t="shared" ca="1" si="1950"/>
        <v>#REF!</v>
      </c>
      <c r="K504" s="55" t="e">
        <f t="shared" ca="1" si="1950"/>
        <v>#REF!</v>
      </c>
      <c r="L504" s="55" t="e">
        <f t="shared" ca="1" si="1950"/>
        <v>#REF!</v>
      </c>
      <c r="M504" s="55" t="e">
        <f t="shared" ca="1" si="1950"/>
        <v>#REF!</v>
      </c>
      <c r="N504" s="55" t="e">
        <f t="shared" ref="N504:O504" ca="1" si="1951">SUM(N484:N488,N490,N494,N496,N498,N500,N502)</f>
        <v>#REF!</v>
      </c>
      <c r="O504" s="55" t="e">
        <f t="shared" ca="1" si="1951"/>
        <v>#REF!</v>
      </c>
      <c r="P504" s="55" t="e">
        <f t="shared" ref="P504:Q504" ca="1" si="1952">SUM(P484:P488,P490,P494,P496,P498,P500,P502)</f>
        <v>#REF!</v>
      </c>
      <c r="Q504" s="55" t="e">
        <f t="shared" ca="1" si="1952"/>
        <v>#REF!</v>
      </c>
      <c r="R504" s="55" t="e">
        <f t="shared" ref="R504:S504" ca="1" si="1953">SUM(R484:R488,R490,R494,R496,R498,R500,R502)</f>
        <v>#REF!</v>
      </c>
      <c r="S504" s="55" t="e">
        <f t="shared" ca="1" si="1953"/>
        <v>#REF!</v>
      </c>
      <c r="T504" s="55" t="e">
        <f t="shared" ref="T504:U504" ca="1" si="1954">SUM(T484:T488,T490,T494,T496,T498,T500,T502)</f>
        <v>#REF!</v>
      </c>
      <c r="U504" s="55" t="e">
        <f t="shared" ca="1" si="1954"/>
        <v>#REF!</v>
      </c>
      <c r="V504" s="55" t="e">
        <f t="shared" ref="V504:W504" ca="1" si="1955">SUM(V484:V488,V490,V494,V496,V498,V500,V502)</f>
        <v>#REF!</v>
      </c>
      <c r="W504" s="55" t="e">
        <f t="shared" ca="1" si="1955"/>
        <v>#REF!</v>
      </c>
      <c r="X504" s="55" t="e">
        <f t="shared" ref="X504:Y504" ca="1" si="1956">SUM(X484:X488,X490,X494,X496,X498,X500,X502)</f>
        <v>#REF!</v>
      </c>
      <c r="Y504" s="55" t="e">
        <f t="shared" ca="1" si="1956"/>
        <v>#REF!</v>
      </c>
      <c r="Z504" s="55" t="e">
        <f t="shared" ref="Z504:AA504" ca="1" si="1957">SUM(Z484:Z488,Z490,Z494,Z496,Z498,Z500,Z502)</f>
        <v>#REF!</v>
      </c>
      <c r="AA504" s="55" t="e">
        <f t="shared" ca="1" si="1957"/>
        <v>#REF!</v>
      </c>
      <c r="AB504" s="55" t="e">
        <f t="shared" ref="AB504:AC504" ca="1" si="1958">SUM(AB484:AB488,AB490,AB494,AB496,AB498,AB500,AB502)</f>
        <v>#REF!</v>
      </c>
      <c r="AC504" s="55" t="e">
        <f t="shared" ca="1" si="1958"/>
        <v>#REF!</v>
      </c>
      <c r="AD504" s="55" t="e">
        <f t="shared" ref="AD504:AE504" ca="1" si="1959">SUM(AD484:AD488,AD490,AD494,AD496,AD498,AD500,AD502)</f>
        <v>#REF!</v>
      </c>
      <c r="AE504" s="55" t="e">
        <f t="shared" ca="1" si="1959"/>
        <v>#REF!</v>
      </c>
      <c r="AF504" s="55" t="e">
        <f t="shared" ref="AF504:AG504" ca="1" si="1960">SUM(AF484:AF488,AF490,AF494,AF496,AF498,AF500,AF502)</f>
        <v>#REF!</v>
      </c>
      <c r="AG504" s="55" t="e">
        <f t="shared" ca="1" si="1960"/>
        <v>#REF!</v>
      </c>
      <c r="AH504" s="55" t="e">
        <f t="shared" ref="AH504:AI504" ca="1" si="1961">SUM(AH484:AH488,AH490,AH494,AH496,AH498,AH500,AH502)</f>
        <v>#REF!</v>
      </c>
      <c r="AI504" s="55" t="e">
        <f t="shared" ca="1" si="1961"/>
        <v>#REF!</v>
      </c>
      <c r="AJ504" s="55" t="e">
        <f t="shared" ref="AJ504:AK504" ca="1" si="1962">SUM(AJ484:AJ488,AJ490,AJ494,AJ496,AJ498,AJ500,AJ502)</f>
        <v>#REF!</v>
      </c>
      <c r="AK504" s="55" t="e">
        <f t="shared" ca="1" si="1962"/>
        <v>#REF!</v>
      </c>
      <c r="AL504" s="55" t="e">
        <f t="shared" ref="AL504:AM504" ca="1" si="1963">SUM(AL484:AL488,AL490,AL494,AL496,AL498,AL500,AL502)</f>
        <v>#REF!</v>
      </c>
      <c r="AM504" s="55" t="e">
        <f t="shared" ca="1" si="1963"/>
        <v>#REF!</v>
      </c>
      <c r="AN504" s="55" t="e">
        <f t="shared" ref="AN504:AO504" ca="1" si="1964">SUM(AN484:AN488,AN490,AN494,AN496,AN498,AN500,AN502)</f>
        <v>#REF!</v>
      </c>
      <c r="AO504" s="55" t="e">
        <f t="shared" ca="1" si="1964"/>
        <v>#REF!</v>
      </c>
      <c r="AP504" s="55" t="e">
        <f t="shared" ref="AP504:AQ504" ca="1" si="1965">SUM(AP484:AP488,AP490,AP494,AP496,AP498,AP500,AP502)</f>
        <v>#REF!</v>
      </c>
      <c r="AQ504" s="55" t="e">
        <f t="shared" ca="1" si="1965"/>
        <v>#REF!</v>
      </c>
      <c r="AR504" s="55" t="e">
        <f t="shared" ref="AR504:AS504" ca="1" si="1966">SUM(AR484:AR488,AR490,AR494,AR496,AR498,AR500,AR502)</f>
        <v>#REF!</v>
      </c>
      <c r="AS504" s="55" t="e">
        <f t="shared" ca="1" si="1966"/>
        <v>#REF!</v>
      </c>
      <c r="AT504" s="55" t="e">
        <f t="shared" ref="AT504:AU504" ca="1" si="1967">SUM(AT484:AT488,AT490,AT494,AT496,AT498,AT500,AT502)</f>
        <v>#REF!</v>
      </c>
      <c r="AU504" s="55" t="e">
        <f t="shared" ca="1" si="1967"/>
        <v>#REF!</v>
      </c>
      <c r="AV504" s="55" t="e">
        <f t="shared" ref="AV504:AW504" ca="1" si="1968">SUM(AV484:AV488,AV490,AV494,AV496,AV498,AV500,AV502)</f>
        <v>#REF!</v>
      </c>
      <c r="AW504" s="55" t="e">
        <f t="shared" ca="1" si="1968"/>
        <v>#REF!</v>
      </c>
      <c r="AX504" s="55" t="e">
        <f t="shared" ref="AX504:AY504" ca="1" si="1969">SUM(AX484:AX488,AX490,AX494,AX496,AX498,AX500,AX502)</f>
        <v>#REF!</v>
      </c>
      <c r="AY504" s="55" t="e">
        <f t="shared" ca="1" si="1969"/>
        <v>#REF!</v>
      </c>
      <c r="AZ504" s="55" t="e">
        <f t="shared" ref="AZ504:BA504" ca="1" si="1970">SUM(AZ484:AZ488,AZ490,AZ494,AZ496,AZ498,AZ500,AZ502)</f>
        <v>#REF!</v>
      </c>
      <c r="BA504" s="55" t="e">
        <f t="shared" ca="1" si="1970"/>
        <v>#REF!</v>
      </c>
      <c r="BB504" s="55" t="e">
        <f t="shared" ref="BB504" ca="1" si="1971">SUM(BB484:BB488,BB490,BB494,BB496,BB498,BB500,BB502)</f>
        <v>#REF!</v>
      </c>
      <c r="BC504" s="55"/>
      <c r="BD504" s="57" t="e">
        <f t="shared" ca="1" si="1949"/>
        <v>#REF!</v>
      </c>
    </row>
    <row r="505" spans="1:56" hidden="1" x14ac:dyDescent="0.3">
      <c r="A505" s="10"/>
      <c r="G505" s="55"/>
      <c r="H505" s="55"/>
      <c r="I505" s="55"/>
      <c r="J505" s="55"/>
      <c r="K505" s="55"/>
      <c r="L505" s="55"/>
      <c r="M505" s="55"/>
      <c r="N505" s="55"/>
      <c r="O505" s="55"/>
      <c r="P505" s="55"/>
      <c r="Q505" s="55"/>
      <c r="R505" s="55"/>
      <c r="S505" s="55"/>
      <c r="T505" s="55"/>
      <c r="U505" s="55"/>
      <c r="V505" s="55"/>
      <c r="W505" s="55"/>
      <c r="X505" s="55"/>
      <c r="Y505" s="55"/>
      <c r="Z505" s="55"/>
      <c r="AA505" s="55"/>
      <c r="AB505" s="55"/>
      <c r="AC505" s="55"/>
      <c r="AD505" s="55"/>
      <c r="AE505" s="55"/>
      <c r="AF505" s="55"/>
      <c r="AG505" s="55"/>
      <c r="AH505" s="55"/>
      <c r="AI505" s="55"/>
      <c r="AJ505" s="55"/>
      <c r="AK505" s="55"/>
      <c r="AL505" s="55"/>
      <c r="AM505" s="55"/>
      <c r="AN505" s="55"/>
      <c r="AO505" s="55"/>
      <c r="AP505" s="55"/>
      <c r="AQ505" s="55"/>
      <c r="AR505" s="55"/>
      <c r="AS505" s="55"/>
      <c r="AT505" s="55"/>
      <c r="AU505" s="55"/>
      <c r="AV505" s="55"/>
      <c r="AW505" s="55"/>
      <c r="AX505" s="55"/>
      <c r="AY505" s="55"/>
      <c r="AZ505" s="55"/>
      <c r="BA505" s="55"/>
      <c r="BB505" s="55"/>
      <c r="BC505" s="55"/>
      <c r="BD505" s="55"/>
    </row>
    <row r="506" spans="1:56" hidden="1" x14ac:dyDescent="0.3">
      <c r="A506" s="22" t="str">
        <f ca="1">Language!A$1422</f>
        <v>Бюджетное финансирование</v>
      </c>
      <c r="G506" s="55"/>
      <c r="H506" s="55"/>
      <c r="I506" s="55"/>
      <c r="J506" s="55"/>
      <c r="K506" s="55"/>
      <c r="L506" s="55"/>
      <c r="M506" s="55"/>
      <c r="N506" s="55"/>
      <c r="O506" s="55"/>
      <c r="P506" s="55"/>
      <c r="Q506" s="55"/>
      <c r="R506" s="55"/>
      <c r="S506" s="55"/>
      <c r="T506" s="55"/>
      <c r="U506" s="55"/>
      <c r="V506" s="55"/>
      <c r="W506" s="55"/>
      <c r="X506" s="55"/>
      <c r="Y506" s="55"/>
      <c r="Z506" s="55"/>
      <c r="AA506" s="55"/>
      <c r="AB506" s="55"/>
      <c r="AC506" s="55"/>
      <c r="AD506" s="55"/>
      <c r="AE506" s="55"/>
      <c r="AF506" s="55"/>
      <c r="AG506" s="55"/>
      <c r="AH506" s="55"/>
      <c r="AI506" s="55"/>
      <c r="AJ506" s="55"/>
      <c r="AK506" s="55"/>
      <c r="AL506" s="55"/>
      <c r="AM506" s="55"/>
      <c r="AN506" s="55"/>
      <c r="AO506" s="55"/>
      <c r="AP506" s="55"/>
      <c r="AQ506" s="55"/>
      <c r="AR506" s="55"/>
      <c r="AS506" s="55"/>
      <c r="AT506" s="55"/>
      <c r="AU506" s="55"/>
      <c r="AV506" s="55"/>
      <c r="AW506" s="55"/>
      <c r="AX506" s="55"/>
      <c r="AY506" s="55"/>
      <c r="AZ506" s="55"/>
      <c r="BA506" s="55"/>
      <c r="BB506" s="55"/>
      <c r="BC506" s="55"/>
      <c r="BD506" s="55"/>
    </row>
    <row r="507" spans="1:56" hidden="1" x14ac:dyDescent="0.3">
      <c r="A507" s="10" t="str">
        <f ca="1">Language!A$1423</f>
        <v>Поступление бюджетного финансирования в проект</v>
      </c>
      <c r="C507" s="48" t="str">
        <f ca="1">Параметры!$C$64</f>
        <v>руб.</v>
      </c>
      <c r="E507" s="6" t="s">
        <v>1617</v>
      </c>
      <c r="F507" s="6" t="s">
        <v>2353</v>
      </c>
      <c r="G507" s="309">
        <v>0</v>
      </c>
      <c r="H507" s="309">
        <v>0</v>
      </c>
      <c r="I507" s="309">
        <v>0</v>
      </c>
      <c r="J507" s="309">
        <v>0</v>
      </c>
      <c r="K507" s="309">
        <v>0</v>
      </c>
      <c r="L507" s="309">
        <v>0</v>
      </c>
      <c r="M507" s="309">
        <v>0</v>
      </c>
      <c r="N507" s="309">
        <v>0</v>
      </c>
      <c r="O507" s="309">
        <v>0</v>
      </c>
      <c r="P507" s="309">
        <v>0</v>
      </c>
      <c r="Q507" s="309">
        <v>0</v>
      </c>
      <c r="R507" s="309">
        <v>0</v>
      </c>
      <c r="S507" s="309">
        <v>0</v>
      </c>
      <c r="T507" s="309">
        <v>0</v>
      </c>
      <c r="U507" s="309">
        <v>0</v>
      </c>
      <c r="V507" s="309">
        <v>0</v>
      </c>
      <c r="W507" s="309">
        <v>0</v>
      </c>
      <c r="X507" s="309">
        <v>0</v>
      </c>
      <c r="Y507" s="309">
        <v>0</v>
      </c>
      <c r="Z507" s="309">
        <v>0</v>
      </c>
      <c r="AA507" s="309">
        <v>0</v>
      </c>
      <c r="AB507" s="309">
        <v>0</v>
      </c>
      <c r="AC507" s="309">
        <v>0</v>
      </c>
      <c r="AD507" s="309">
        <v>0</v>
      </c>
      <c r="AE507" s="309">
        <v>0</v>
      </c>
      <c r="AF507" s="309">
        <v>0</v>
      </c>
      <c r="AG507" s="309">
        <v>0</v>
      </c>
      <c r="AH507" s="309">
        <v>0</v>
      </c>
      <c r="AI507" s="309">
        <v>0</v>
      </c>
      <c r="AJ507" s="309">
        <v>0</v>
      </c>
      <c r="AK507" s="309">
        <v>0</v>
      </c>
      <c r="AL507" s="309">
        <v>0</v>
      </c>
      <c r="AM507" s="309">
        <v>0</v>
      </c>
      <c r="AN507" s="309">
        <v>0</v>
      </c>
      <c r="AO507" s="309">
        <v>0</v>
      </c>
      <c r="AP507" s="309">
        <v>0</v>
      </c>
      <c r="AQ507" s="309">
        <v>0</v>
      </c>
      <c r="AR507" s="309">
        <v>0</v>
      </c>
      <c r="AS507" s="309">
        <v>0</v>
      </c>
      <c r="AT507" s="309">
        <v>0</v>
      </c>
      <c r="AU507" s="309">
        <v>0</v>
      </c>
      <c r="AV507" s="309">
        <v>0</v>
      </c>
      <c r="AW507" s="309">
        <v>0</v>
      </c>
      <c r="AX507" s="309">
        <v>0</v>
      </c>
      <c r="AY507" s="309">
        <v>0</v>
      </c>
      <c r="AZ507" s="309">
        <v>0</v>
      </c>
      <c r="BA507" s="309">
        <v>0</v>
      </c>
      <c r="BB507" s="309">
        <v>0</v>
      </c>
      <c r="BC507" s="55"/>
      <c r="BD507" s="57">
        <f>SUM(G507:BC507)</f>
        <v>0</v>
      </c>
    </row>
    <row r="508" spans="1:56" hidden="1" x14ac:dyDescent="0.3">
      <c r="A508" s="10" t="str">
        <f ca="1">Language!A$1424</f>
        <v>Возврат бюджетного финансирования</v>
      </c>
      <c r="C508" s="48" t="str">
        <f ca="1">Параметры!$C$64</f>
        <v>руб.</v>
      </c>
      <c r="E508" s="6" t="s">
        <v>1618</v>
      </c>
      <c r="F508" s="6" t="s">
        <v>2353</v>
      </c>
      <c r="G508" s="309">
        <v>0</v>
      </c>
      <c r="H508" s="309">
        <v>0</v>
      </c>
      <c r="I508" s="309">
        <v>0</v>
      </c>
      <c r="J508" s="309">
        <v>0</v>
      </c>
      <c r="K508" s="309">
        <v>0</v>
      </c>
      <c r="L508" s="309">
        <v>0</v>
      </c>
      <c r="M508" s="309">
        <v>0</v>
      </c>
      <c r="N508" s="309">
        <v>0</v>
      </c>
      <c r="O508" s="309">
        <v>0</v>
      </c>
      <c r="P508" s="309">
        <v>0</v>
      </c>
      <c r="Q508" s="309">
        <v>0</v>
      </c>
      <c r="R508" s="309">
        <v>0</v>
      </c>
      <c r="S508" s="309">
        <v>0</v>
      </c>
      <c r="T508" s="309">
        <v>0</v>
      </c>
      <c r="U508" s="309">
        <v>0</v>
      </c>
      <c r="V508" s="309">
        <v>0</v>
      </c>
      <c r="W508" s="309">
        <v>0</v>
      </c>
      <c r="X508" s="309">
        <v>0</v>
      </c>
      <c r="Y508" s="309">
        <v>0</v>
      </c>
      <c r="Z508" s="309">
        <v>0</v>
      </c>
      <c r="AA508" s="309">
        <v>0</v>
      </c>
      <c r="AB508" s="309">
        <v>0</v>
      </c>
      <c r="AC508" s="309">
        <v>0</v>
      </c>
      <c r="AD508" s="309">
        <v>0</v>
      </c>
      <c r="AE508" s="309">
        <v>0</v>
      </c>
      <c r="AF508" s="309">
        <v>0</v>
      </c>
      <c r="AG508" s="309">
        <v>0</v>
      </c>
      <c r="AH508" s="309">
        <v>0</v>
      </c>
      <c r="AI508" s="309">
        <v>0</v>
      </c>
      <c r="AJ508" s="309">
        <v>0</v>
      </c>
      <c r="AK508" s="309">
        <v>0</v>
      </c>
      <c r="AL508" s="309">
        <v>0</v>
      </c>
      <c r="AM508" s="309">
        <v>0</v>
      </c>
      <c r="AN508" s="309">
        <v>0</v>
      </c>
      <c r="AO508" s="309">
        <v>0</v>
      </c>
      <c r="AP508" s="309">
        <v>0</v>
      </c>
      <c r="AQ508" s="309">
        <v>0</v>
      </c>
      <c r="AR508" s="309">
        <v>0</v>
      </c>
      <c r="AS508" s="309">
        <v>0</v>
      </c>
      <c r="AT508" s="309">
        <v>0</v>
      </c>
      <c r="AU508" s="309">
        <v>0</v>
      </c>
      <c r="AV508" s="309">
        <v>0</v>
      </c>
      <c r="AW508" s="309">
        <v>0</v>
      </c>
      <c r="AX508" s="309">
        <v>0</v>
      </c>
      <c r="AY508" s="309">
        <v>0</v>
      </c>
      <c r="AZ508" s="309">
        <v>0</v>
      </c>
      <c r="BA508" s="309">
        <v>0</v>
      </c>
      <c r="BB508" s="309">
        <v>0</v>
      </c>
      <c r="BC508" s="55"/>
      <c r="BD508" s="57">
        <f>SUM(G508:BC508)</f>
        <v>0</v>
      </c>
    </row>
    <row r="509" spans="1:56" hidden="1" x14ac:dyDescent="0.3">
      <c r="A509" s="10" t="str">
        <f ca="1">Language!A$1425</f>
        <v>Платежи за использование бюджетного финансирования</v>
      </c>
      <c r="C509" s="48" t="str">
        <f ca="1">Параметры!$C$64</f>
        <v>руб.</v>
      </c>
      <c r="E509" s="6" t="s">
        <v>1619</v>
      </c>
      <c r="F509" s="6" t="s">
        <v>2353</v>
      </c>
      <c r="G509" s="309">
        <v>0</v>
      </c>
      <c r="H509" s="309">
        <v>0</v>
      </c>
      <c r="I509" s="309">
        <v>0</v>
      </c>
      <c r="J509" s="309">
        <v>0</v>
      </c>
      <c r="K509" s="309">
        <v>0</v>
      </c>
      <c r="L509" s="309">
        <v>0</v>
      </c>
      <c r="M509" s="309">
        <v>0</v>
      </c>
      <c r="N509" s="309">
        <v>0</v>
      </c>
      <c r="O509" s="309">
        <v>0</v>
      </c>
      <c r="P509" s="309">
        <v>0</v>
      </c>
      <c r="Q509" s="309">
        <v>0</v>
      </c>
      <c r="R509" s="309">
        <v>0</v>
      </c>
      <c r="S509" s="309">
        <v>0</v>
      </c>
      <c r="T509" s="309">
        <v>0</v>
      </c>
      <c r="U509" s="309">
        <v>0</v>
      </c>
      <c r="V509" s="309">
        <v>0</v>
      </c>
      <c r="W509" s="309">
        <v>0</v>
      </c>
      <c r="X509" s="309">
        <v>0</v>
      </c>
      <c r="Y509" s="309">
        <v>0</v>
      </c>
      <c r="Z509" s="309">
        <v>0</v>
      </c>
      <c r="AA509" s="309">
        <v>0</v>
      </c>
      <c r="AB509" s="309">
        <v>0</v>
      </c>
      <c r="AC509" s="309">
        <v>0</v>
      </c>
      <c r="AD509" s="309">
        <v>0</v>
      </c>
      <c r="AE509" s="309">
        <v>0</v>
      </c>
      <c r="AF509" s="309">
        <v>0</v>
      </c>
      <c r="AG509" s="309">
        <v>0</v>
      </c>
      <c r="AH509" s="309">
        <v>0</v>
      </c>
      <c r="AI509" s="309">
        <v>0</v>
      </c>
      <c r="AJ509" s="309">
        <v>0</v>
      </c>
      <c r="AK509" s="309">
        <v>0</v>
      </c>
      <c r="AL509" s="309">
        <v>0</v>
      </c>
      <c r="AM509" s="309">
        <v>0</v>
      </c>
      <c r="AN509" s="309">
        <v>0</v>
      </c>
      <c r="AO509" s="309">
        <v>0</v>
      </c>
      <c r="AP509" s="309">
        <v>0</v>
      </c>
      <c r="AQ509" s="309">
        <v>0</v>
      </c>
      <c r="AR509" s="309">
        <v>0</v>
      </c>
      <c r="AS509" s="309">
        <v>0</v>
      </c>
      <c r="AT509" s="309">
        <v>0</v>
      </c>
      <c r="AU509" s="309">
        <v>0</v>
      </c>
      <c r="AV509" s="309">
        <v>0</v>
      </c>
      <c r="AW509" s="309">
        <v>0</v>
      </c>
      <c r="AX509" s="309">
        <v>0</v>
      </c>
      <c r="AY509" s="309">
        <v>0</v>
      </c>
      <c r="AZ509" s="309">
        <v>0</v>
      </c>
      <c r="BA509" s="309">
        <v>0</v>
      </c>
      <c r="BB509" s="309">
        <v>0</v>
      </c>
      <c r="BC509" s="55"/>
      <c r="BD509" s="57">
        <f>SUM(G509:BC509)</f>
        <v>0</v>
      </c>
    </row>
    <row r="510" spans="1:56" hidden="1" x14ac:dyDescent="0.3">
      <c r="A510" s="10"/>
      <c r="G510" s="47"/>
      <c r="H510" s="47"/>
      <c r="I510" s="47"/>
      <c r="J510" s="47"/>
      <c r="K510" s="47"/>
      <c r="L510" s="47"/>
      <c r="M510" s="47"/>
      <c r="N510" s="47"/>
      <c r="O510" s="47"/>
      <c r="P510" s="47"/>
      <c r="Q510" s="47"/>
      <c r="R510" s="47"/>
      <c r="S510" s="47"/>
      <c r="T510" s="47"/>
      <c r="U510" s="47"/>
      <c r="V510" s="47"/>
      <c r="W510" s="47"/>
      <c r="X510" s="47"/>
      <c r="Y510" s="47"/>
      <c r="Z510" s="47"/>
      <c r="AA510" s="47"/>
      <c r="AB510" s="47"/>
      <c r="AC510" s="47"/>
      <c r="AD510" s="47"/>
      <c r="AE510" s="47"/>
      <c r="AF510" s="47"/>
      <c r="AG510" s="47"/>
      <c r="AH510" s="47"/>
      <c r="AI510" s="47"/>
      <c r="AJ510" s="47"/>
      <c r="AK510" s="47"/>
      <c r="AL510" s="47"/>
      <c r="AM510" s="47"/>
      <c r="AN510" s="47"/>
      <c r="AO510" s="47"/>
      <c r="AP510" s="47"/>
      <c r="AQ510" s="47"/>
      <c r="AR510" s="47"/>
      <c r="AS510" s="47"/>
      <c r="AT510" s="47"/>
      <c r="AU510" s="47"/>
      <c r="AV510" s="47"/>
      <c r="AW510" s="47"/>
      <c r="AX510" s="47"/>
      <c r="AY510" s="47"/>
      <c r="AZ510" s="47"/>
      <c r="BA510" s="47"/>
      <c r="BB510" s="47"/>
      <c r="BC510" s="55"/>
      <c r="BD510" s="57"/>
    </row>
    <row r="511" spans="1:56" s="34" customFormat="1" hidden="1" x14ac:dyDescent="0.3">
      <c r="A511" s="22" t="str">
        <f ca="1">Language!A$1351</f>
        <v>Денежный поток для расчета эффективности</v>
      </c>
      <c r="B511" s="99"/>
      <c r="C511" s="100" t="str">
        <f ca="1">Параметры!$C$64</f>
        <v>руб.</v>
      </c>
      <c r="D511" s="101"/>
      <c r="E511" s="101"/>
      <c r="F511" s="101" t="s">
        <v>740</v>
      </c>
      <c r="G511" s="58" t="e">
        <f ca="1">G504-G507+G508+G509</f>
        <v>#REF!</v>
      </c>
      <c r="H511" s="58" t="e">
        <f t="shared" ref="H511:M511" ca="1" si="1972">H504-H507+H508+H509</f>
        <v>#REF!</v>
      </c>
      <c r="I511" s="58" t="e">
        <f t="shared" ca="1" si="1972"/>
        <v>#REF!</v>
      </c>
      <c r="J511" s="58" t="e">
        <f t="shared" ca="1" si="1972"/>
        <v>#REF!</v>
      </c>
      <c r="K511" s="58" t="e">
        <f t="shared" ca="1" si="1972"/>
        <v>#REF!</v>
      </c>
      <c r="L511" s="58" t="e">
        <f t="shared" ca="1" si="1972"/>
        <v>#REF!</v>
      </c>
      <c r="M511" s="58" t="e">
        <f t="shared" ca="1" si="1972"/>
        <v>#REF!</v>
      </c>
      <c r="N511" s="58" t="e">
        <f t="shared" ref="N511:O511" ca="1" si="1973">N504-N507+N508+N509</f>
        <v>#REF!</v>
      </c>
      <c r="O511" s="58" t="e">
        <f t="shared" ca="1" si="1973"/>
        <v>#REF!</v>
      </c>
      <c r="P511" s="58" t="e">
        <f t="shared" ref="P511:Q511" ca="1" si="1974">P504-P507+P508+P509</f>
        <v>#REF!</v>
      </c>
      <c r="Q511" s="58" t="e">
        <f t="shared" ca="1" si="1974"/>
        <v>#REF!</v>
      </c>
      <c r="R511" s="58" t="e">
        <f t="shared" ref="R511:S511" ca="1" si="1975">R504-R507+R508+R509</f>
        <v>#REF!</v>
      </c>
      <c r="S511" s="58" t="e">
        <f t="shared" ca="1" si="1975"/>
        <v>#REF!</v>
      </c>
      <c r="T511" s="58" t="e">
        <f t="shared" ref="T511:U511" ca="1" si="1976">T504-T507+T508+T509</f>
        <v>#REF!</v>
      </c>
      <c r="U511" s="58" t="e">
        <f t="shared" ca="1" si="1976"/>
        <v>#REF!</v>
      </c>
      <c r="V511" s="58" t="e">
        <f t="shared" ref="V511:W511" ca="1" si="1977">V504-V507+V508+V509</f>
        <v>#REF!</v>
      </c>
      <c r="W511" s="58" t="e">
        <f t="shared" ca="1" si="1977"/>
        <v>#REF!</v>
      </c>
      <c r="X511" s="58" t="e">
        <f t="shared" ref="X511:Y511" ca="1" si="1978">X504-X507+X508+X509</f>
        <v>#REF!</v>
      </c>
      <c r="Y511" s="58" t="e">
        <f t="shared" ca="1" si="1978"/>
        <v>#REF!</v>
      </c>
      <c r="Z511" s="58" t="e">
        <f t="shared" ref="Z511:AA511" ca="1" si="1979">Z504-Z507+Z508+Z509</f>
        <v>#REF!</v>
      </c>
      <c r="AA511" s="58" t="e">
        <f t="shared" ca="1" si="1979"/>
        <v>#REF!</v>
      </c>
      <c r="AB511" s="58" t="e">
        <f t="shared" ref="AB511:AC511" ca="1" si="1980">AB504-AB507+AB508+AB509</f>
        <v>#REF!</v>
      </c>
      <c r="AC511" s="58" t="e">
        <f t="shared" ca="1" si="1980"/>
        <v>#REF!</v>
      </c>
      <c r="AD511" s="58" t="e">
        <f t="shared" ref="AD511:AE511" ca="1" si="1981">AD504-AD507+AD508+AD509</f>
        <v>#REF!</v>
      </c>
      <c r="AE511" s="58" t="e">
        <f t="shared" ca="1" si="1981"/>
        <v>#REF!</v>
      </c>
      <c r="AF511" s="58" t="e">
        <f t="shared" ref="AF511:AG511" ca="1" si="1982">AF504-AF507+AF508+AF509</f>
        <v>#REF!</v>
      </c>
      <c r="AG511" s="58" t="e">
        <f t="shared" ca="1" si="1982"/>
        <v>#REF!</v>
      </c>
      <c r="AH511" s="58" t="e">
        <f t="shared" ref="AH511:AI511" ca="1" si="1983">AH504-AH507+AH508+AH509</f>
        <v>#REF!</v>
      </c>
      <c r="AI511" s="58" t="e">
        <f t="shared" ca="1" si="1983"/>
        <v>#REF!</v>
      </c>
      <c r="AJ511" s="58" t="e">
        <f t="shared" ref="AJ511:AK511" ca="1" si="1984">AJ504-AJ507+AJ508+AJ509</f>
        <v>#REF!</v>
      </c>
      <c r="AK511" s="58" t="e">
        <f t="shared" ca="1" si="1984"/>
        <v>#REF!</v>
      </c>
      <c r="AL511" s="58" t="e">
        <f t="shared" ref="AL511:AM511" ca="1" si="1985">AL504-AL507+AL508+AL509</f>
        <v>#REF!</v>
      </c>
      <c r="AM511" s="58" t="e">
        <f t="shared" ca="1" si="1985"/>
        <v>#REF!</v>
      </c>
      <c r="AN511" s="58" t="e">
        <f t="shared" ref="AN511:AO511" ca="1" si="1986">AN504-AN507+AN508+AN509</f>
        <v>#REF!</v>
      </c>
      <c r="AO511" s="58" t="e">
        <f t="shared" ca="1" si="1986"/>
        <v>#REF!</v>
      </c>
      <c r="AP511" s="58" t="e">
        <f t="shared" ref="AP511:AQ511" ca="1" si="1987">AP504-AP507+AP508+AP509</f>
        <v>#REF!</v>
      </c>
      <c r="AQ511" s="58" t="e">
        <f t="shared" ca="1" si="1987"/>
        <v>#REF!</v>
      </c>
      <c r="AR511" s="58" t="e">
        <f t="shared" ref="AR511:AS511" ca="1" si="1988">AR504-AR507+AR508+AR509</f>
        <v>#REF!</v>
      </c>
      <c r="AS511" s="58" t="e">
        <f t="shared" ca="1" si="1988"/>
        <v>#REF!</v>
      </c>
      <c r="AT511" s="58" t="e">
        <f t="shared" ref="AT511:AU511" ca="1" si="1989">AT504-AT507+AT508+AT509</f>
        <v>#REF!</v>
      </c>
      <c r="AU511" s="58" t="e">
        <f t="shared" ca="1" si="1989"/>
        <v>#REF!</v>
      </c>
      <c r="AV511" s="58" t="e">
        <f t="shared" ref="AV511:AW511" ca="1" si="1990">AV504-AV507+AV508+AV509</f>
        <v>#REF!</v>
      </c>
      <c r="AW511" s="58" t="e">
        <f t="shared" ca="1" si="1990"/>
        <v>#REF!</v>
      </c>
      <c r="AX511" s="58" t="e">
        <f t="shared" ref="AX511:AY511" ca="1" si="1991">AX504-AX507+AX508+AX509</f>
        <v>#REF!</v>
      </c>
      <c r="AY511" s="58" t="e">
        <f t="shared" ca="1" si="1991"/>
        <v>#REF!</v>
      </c>
      <c r="AZ511" s="58" t="e">
        <f t="shared" ref="AZ511:BA511" ca="1" si="1992">AZ504-AZ507+AZ508+AZ509</f>
        <v>#REF!</v>
      </c>
      <c r="BA511" s="58" t="e">
        <f t="shared" ca="1" si="1992"/>
        <v>#REF!</v>
      </c>
      <c r="BB511" s="58" t="e">
        <f t="shared" ref="BB511" ca="1" si="1993">BB504-BB507+BB508+BB509</f>
        <v>#REF!</v>
      </c>
      <c r="BD511" s="58" t="e">
        <f ca="1">SUM(G511:BC511)</f>
        <v>#REF!</v>
      </c>
    </row>
    <row r="512" spans="1:56" hidden="1" x14ac:dyDescent="0.3">
      <c r="A512" s="10" t="str">
        <f ca="1">Language!A$1352</f>
        <v>Дисконтированный денежный поток</v>
      </c>
      <c r="B512" s="77"/>
      <c r="C512" s="48" t="str">
        <f ca="1">Параметры!$C$64</f>
        <v>руб.</v>
      </c>
      <c r="F512" s="6" t="s">
        <v>740</v>
      </c>
      <c r="G512" s="55" t="e">
        <f ca="1">G511/G412</f>
        <v>#REF!</v>
      </c>
      <c r="H512" s="55" t="e">
        <f t="shared" ref="H512:M512" ca="1" si="1994">H511/H412</f>
        <v>#REF!</v>
      </c>
      <c r="I512" s="55" t="e">
        <f t="shared" ca="1" si="1994"/>
        <v>#REF!</v>
      </c>
      <c r="J512" s="55" t="e">
        <f t="shared" ca="1" si="1994"/>
        <v>#REF!</v>
      </c>
      <c r="K512" s="55" t="e">
        <f t="shared" ca="1" si="1994"/>
        <v>#REF!</v>
      </c>
      <c r="L512" s="55" t="e">
        <f t="shared" ca="1" si="1994"/>
        <v>#REF!</v>
      </c>
      <c r="M512" s="55" t="e">
        <f t="shared" ca="1" si="1994"/>
        <v>#REF!</v>
      </c>
      <c r="N512" s="55" t="e">
        <f t="shared" ref="N512:O512" ca="1" si="1995">N511/N412</f>
        <v>#REF!</v>
      </c>
      <c r="O512" s="55" t="e">
        <f t="shared" ca="1" si="1995"/>
        <v>#REF!</v>
      </c>
      <c r="P512" s="55" t="e">
        <f t="shared" ref="P512:Q512" ca="1" si="1996">P511/P412</f>
        <v>#REF!</v>
      </c>
      <c r="Q512" s="55" t="e">
        <f t="shared" ca="1" si="1996"/>
        <v>#REF!</v>
      </c>
      <c r="R512" s="55" t="e">
        <f t="shared" ref="R512:S512" ca="1" si="1997">R511/R412</f>
        <v>#REF!</v>
      </c>
      <c r="S512" s="55" t="e">
        <f t="shared" ca="1" si="1997"/>
        <v>#REF!</v>
      </c>
      <c r="T512" s="55" t="e">
        <f t="shared" ref="T512:U512" ca="1" si="1998">T511/T412</f>
        <v>#REF!</v>
      </c>
      <c r="U512" s="55" t="e">
        <f t="shared" ca="1" si="1998"/>
        <v>#REF!</v>
      </c>
      <c r="V512" s="55" t="e">
        <f t="shared" ref="V512:W512" ca="1" si="1999">V511/V412</f>
        <v>#REF!</v>
      </c>
      <c r="W512" s="55" t="e">
        <f t="shared" ca="1" si="1999"/>
        <v>#REF!</v>
      </c>
      <c r="X512" s="55" t="e">
        <f t="shared" ref="X512:Y512" ca="1" si="2000">X511/X412</f>
        <v>#REF!</v>
      </c>
      <c r="Y512" s="55" t="e">
        <f t="shared" ca="1" si="2000"/>
        <v>#REF!</v>
      </c>
      <c r="Z512" s="55" t="e">
        <f t="shared" ref="Z512:AA512" ca="1" si="2001">Z511/Z412</f>
        <v>#REF!</v>
      </c>
      <c r="AA512" s="55" t="e">
        <f t="shared" ca="1" si="2001"/>
        <v>#REF!</v>
      </c>
      <c r="AB512" s="55" t="e">
        <f t="shared" ref="AB512:AC512" ca="1" si="2002">AB511/AB412</f>
        <v>#REF!</v>
      </c>
      <c r="AC512" s="55" t="e">
        <f t="shared" ca="1" si="2002"/>
        <v>#REF!</v>
      </c>
      <c r="AD512" s="55" t="e">
        <f t="shared" ref="AD512:AE512" ca="1" si="2003">AD511/AD412</f>
        <v>#REF!</v>
      </c>
      <c r="AE512" s="55" t="e">
        <f t="shared" ca="1" si="2003"/>
        <v>#REF!</v>
      </c>
      <c r="AF512" s="55" t="e">
        <f t="shared" ref="AF512:AG512" ca="1" si="2004">AF511/AF412</f>
        <v>#REF!</v>
      </c>
      <c r="AG512" s="55" t="e">
        <f t="shared" ca="1" si="2004"/>
        <v>#REF!</v>
      </c>
      <c r="AH512" s="55" t="e">
        <f t="shared" ref="AH512:AI512" ca="1" si="2005">AH511/AH412</f>
        <v>#REF!</v>
      </c>
      <c r="AI512" s="55" t="e">
        <f t="shared" ca="1" si="2005"/>
        <v>#REF!</v>
      </c>
      <c r="AJ512" s="55" t="e">
        <f t="shared" ref="AJ512:AK512" ca="1" si="2006">AJ511/AJ412</f>
        <v>#REF!</v>
      </c>
      <c r="AK512" s="55" t="e">
        <f t="shared" ca="1" si="2006"/>
        <v>#REF!</v>
      </c>
      <c r="AL512" s="55" t="e">
        <f t="shared" ref="AL512:AM512" ca="1" si="2007">AL511/AL412</f>
        <v>#REF!</v>
      </c>
      <c r="AM512" s="55" t="e">
        <f t="shared" ca="1" si="2007"/>
        <v>#REF!</v>
      </c>
      <c r="AN512" s="55" t="e">
        <f t="shared" ref="AN512:AO512" ca="1" si="2008">AN511/AN412</f>
        <v>#REF!</v>
      </c>
      <c r="AO512" s="55" t="e">
        <f t="shared" ca="1" si="2008"/>
        <v>#REF!</v>
      </c>
      <c r="AP512" s="55" t="e">
        <f t="shared" ref="AP512:AQ512" ca="1" si="2009">AP511/AP412</f>
        <v>#REF!</v>
      </c>
      <c r="AQ512" s="55" t="e">
        <f t="shared" ca="1" si="2009"/>
        <v>#REF!</v>
      </c>
      <c r="AR512" s="55" t="e">
        <f t="shared" ref="AR512:AS512" ca="1" si="2010">AR511/AR412</f>
        <v>#REF!</v>
      </c>
      <c r="AS512" s="55" t="e">
        <f t="shared" ca="1" si="2010"/>
        <v>#REF!</v>
      </c>
      <c r="AT512" s="55" t="e">
        <f t="shared" ref="AT512:AU512" ca="1" si="2011">AT511/AT412</f>
        <v>#REF!</v>
      </c>
      <c r="AU512" s="55" t="e">
        <f t="shared" ca="1" si="2011"/>
        <v>#REF!</v>
      </c>
      <c r="AV512" s="55" t="e">
        <f t="shared" ref="AV512:AW512" ca="1" si="2012">AV511/AV412</f>
        <v>#REF!</v>
      </c>
      <c r="AW512" s="55" t="e">
        <f t="shared" ca="1" si="2012"/>
        <v>#REF!</v>
      </c>
      <c r="AX512" s="55" t="e">
        <f t="shared" ref="AX512:AY512" ca="1" si="2013">AX511/AX412</f>
        <v>#REF!</v>
      </c>
      <c r="AY512" s="55" t="e">
        <f t="shared" ca="1" si="2013"/>
        <v>#REF!</v>
      </c>
      <c r="AZ512" s="55" t="e">
        <f t="shared" ref="AZ512:BA512" ca="1" si="2014">AZ511/AZ412</f>
        <v>#REF!</v>
      </c>
      <c r="BA512" s="55" t="e">
        <f t="shared" ca="1" si="2014"/>
        <v>#REF!</v>
      </c>
      <c r="BB512" s="55" t="e">
        <f t="shared" ref="BB512" ca="1" si="2015">BB511/BB412</f>
        <v>#REF!</v>
      </c>
      <c r="BD512" s="57" t="e">
        <f ca="1">SUM(G512:BC512)</f>
        <v>#REF!</v>
      </c>
    </row>
    <row r="513" spans="1:56" hidden="1" x14ac:dyDescent="0.3">
      <c r="A513" s="10" t="str">
        <f ca="1">Language!A$1353</f>
        <v>Дисконтированный поток нарастающим итогом</v>
      </c>
      <c r="B513" s="77"/>
      <c r="C513" s="48" t="str">
        <f ca="1">Параметры!$C$64</f>
        <v>руб.</v>
      </c>
      <c r="F513" s="6" t="s">
        <v>741</v>
      </c>
      <c r="G513" s="55" t="e">
        <f ca="1">IF(G$2=1,G512,F513+G512)</f>
        <v>#REF!</v>
      </c>
      <c r="H513" s="55" t="e">
        <f t="shared" ref="H513:BB513" ca="1" si="2016">IF(H$2=1,H512,G513+H512)</f>
        <v>#REF!</v>
      </c>
      <c r="I513" s="55" t="e">
        <f t="shared" ca="1" si="2016"/>
        <v>#REF!</v>
      </c>
      <c r="J513" s="55" t="e">
        <f t="shared" ca="1" si="2016"/>
        <v>#REF!</v>
      </c>
      <c r="K513" s="55" t="e">
        <f t="shared" ca="1" si="2016"/>
        <v>#REF!</v>
      </c>
      <c r="L513" s="55" t="e">
        <f t="shared" ca="1" si="2016"/>
        <v>#REF!</v>
      </c>
      <c r="M513" s="55" t="e">
        <f t="shared" ca="1" si="2016"/>
        <v>#REF!</v>
      </c>
      <c r="N513" s="55" t="e">
        <f t="shared" ca="1" si="2016"/>
        <v>#REF!</v>
      </c>
      <c r="O513" s="55" t="e">
        <f t="shared" ca="1" si="2016"/>
        <v>#REF!</v>
      </c>
      <c r="P513" s="55" t="e">
        <f t="shared" ca="1" si="2016"/>
        <v>#REF!</v>
      </c>
      <c r="Q513" s="55" t="e">
        <f t="shared" ca="1" si="2016"/>
        <v>#REF!</v>
      </c>
      <c r="R513" s="55" t="e">
        <f t="shared" ca="1" si="2016"/>
        <v>#REF!</v>
      </c>
      <c r="S513" s="55" t="e">
        <f t="shared" ca="1" si="2016"/>
        <v>#REF!</v>
      </c>
      <c r="T513" s="55" t="e">
        <f t="shared" ca="1" si="2016"/>
        <v>#REF!</v>
      </c>
      <c r="U513" s="55" t="e">
        <f t="shared" ca="1" si="2016"/>
        <v>#REF!</v>
      </c>
      <c r="V513" s="55" t="e">
        <f t="shared" ca="1" si="2016"/>
        <v>#REF!</v>
      </c>
      <c r="W513" s="55" t="e">
        <f t="shared" ca="1" si="2016"/>
        <v>#REF!</v>
      </c>
      <c r="X513" s="55" t="e">
        <f t="shared" ca="1" si="2016"/>
        <v>#REF!</v>
      </c>
      <c r="Y513" s="55" t="e">
        <f t="shared" ca="1" si="2016"/>
        <v>#REF!</v>
      </c>
      <c r="Z513" s="55" t="e">
        <f t="shared" ca="1" si="2016"/>
        <v>#REF!</v>
      </c>
      <c r="AA513" s="55" t="e">
        <f t="shared" ca="1" si="2016"/>
        <v>#REF!</v>
      </c>
      <c r="AB513" s="55" t="e">
        <f t="shared" ca="1" si="2016"/>
        <v>#REF!</v>
      </c>
      <c r="AC513" s="55" t="e">
        <f t="shared" ca="1" si="2016"/>
        <v>#REF!</v>
      </c>
      <c r="AD513" s="55" t="e">
        <f t="shared" ca="1" si="2016"/>
        <v>#REF!</v>
      </c>
      <c r="AE513" s="55" t="e">
        <f t="shared" ca="1" si="2016"/>
        <v>#REF!</v>
      </c>
      <c r="AF513" s="55" t="e">
        <f t="shared" ca="1" si="2016"/>
        <v>#REF!</v>
      </c>
      <c r="AG513" s="55" t="e">
        <f t="shared" ca="1" si="2016"/>
        <v>#REF!</v>
      </c>
      <c r="AH513" s="55" t="e">
        <f t="shared" ca="1" si="2016"/>
        <v>#REF!</v>
      </c>
      <c r="AI513" s="55" t="e">
        <f t="shared" ca="1" si="2016"/>
        <v>#REF!</v>
      </c>
      <c r="AJ513" s="55" t="e">
        <f t="shared" ca="1" si="2016"/>
        <v>#REF!</v>
      </c>
      <c r="AK513" s="55" t="e">
        <f t="shared" ca="1" si="2016"/>
        <v>#REF!</v>
      </c>
      <c r="AL513" s="55" t="e">
        <f t="shared" ca="1" si="2016"/>
        <v>#REF!</v>
      </c>
      <c r="AM513" s="55" t="e">
        <f t="shared" ca="1" si="2016"/>
        <v>#REF!</v>
      </c>
      <c r="AN513" s="55" t="e">
        <f t="shared" ca="1" si="2016"/>
        <v>#REF!</v>
      </c>
      <c r="AO513" s="55" t="e">
        <f t="shared" ca="1" si="2016"/>
        <v>#REF!</v>
      </c>
      <c r="AP513" s="55" t="e">
        <f t="shared" ca="1" si="2016"/>
        <v>#REF!</v>
      </c>
      <c r="AQ513" s="55" t="e">
        <f t="shared" ca="1" si="2016"/>
        <v>#REF!</v>
      </c>
      <c r="AR513" s="55" t="e">
        <f t="shared" ca="1" si="2016"/>
        <v>#REF!</v>
      </c>
      <c r="AS513" s="55" t="e">
        <f t="shared" ca="1" si="2016"/>
        <v>#REF!</v>
      </c>
      <c r="AT513" s="55" t="e">
        <f t="shared" ca="1" si="2016"/>
        <v>#REF!</v>
      </c>
      <c r="AU513" s="55" t="e">
        <f t="shared" ca="1" si="2016"/>
        <v>#REF!</v>
      </c>
      <c r="AV513" s="55" t="e">
        <f t="shared" ca="1" si="2016"/>
        <v>#REF!</v>
      </c>
      <c r="AW513" s="55" t="e">
        <f t="shared" ca="1" si="2016"/>
        <v>#REF!</v>
      </c>
      <c r="AX513" s="55" t="e">
        <f t="shared" ca="1" si="2016"/>
        <v>#REF!</v>
      </c>
      <c r="AY513" s="55" t="e">
        <f t="shared" ca="1" si="2016"/>
        <v>#REF!</v>
      </c>
      <c r="AZ513" s="55" t="e">
        <f t="shared" ca="1" si="2016"/>
        <v>#REF!</v>
      </c>
      <c r="BA513" s="55" t="e">
        <f t="shared" ca="1" si="2016"/>
        <v>#REF!</v>
      </c>
      <c r="BB513" s="55" t="e">
        <f t="shared" ca="1" si="2016"/>
        <v>#REF!</v>
      </c>
    </row>
    <row r="514" spans="1:56" hidden="1" x14ac:dyDescent="0.3">
      <c r="A514" s="35"/>
      <c r="B514" s="77"/>
      <c r="G514" s="55"/>
      <c r="H514" s="55"/>
      <c r="I514" s="55"/>
      <c r="J514" s="55"/>
      <c r="K514" s="55"/>
      <c r="L514" s="55"/>
      <c r="M514" s="55"/>
      <c r="N514" s="55"/>
      <c r="O514" s="55"/>
      <c r="P514" s="55"/>
      <c r="Q514" s="55"/>
      <c r="R514" s="55"/>
      <c r="S514" s="55"/>
      <c r="T514" s="55"/>
      <c r="U514" s="55"/>
      <c r="V514" s="55"/>
      <c r="W514" s="55"/>
      <c r="X514" s="55"/>
      <c r="Y514" s="55"/>
      <c r="Z514" s="55"/>
      <c r="AA514" s="55"/>
      <c r="AB514" s="55"/>
      <c r="AC514" s="55"/>
      <c r="AD514" s="55"/>
      <c r="AE514" s="55"/>
      <c r="AF514" s="55"/>
      <c r="AG514" s="55"/>
      <c r="AH514" s="55"/>
      <c r="AI514" s="55"/>
      <c r="AJ514" s="55"/>
      <c r="AK514" s="55"/>
      <c r="AL514" s="55"/>
      <c r="AM514" s="55"/>
      <c r="AN514" s="55"/>
      <c r="AO514" s="55"/>
      <c r="AP514" s="55"/>
      <c r="AQ514" s="55"/>
      <c r="AR514" s="55"/>
      <c r="AS514" s="55"/>
      <c r="AT514" s="55"/>
      <c r="AU514" s="55"/>
      <c r="AV514" s="55"/>
      <c r="AW514" s="55"/>
      <c r="AX514" s="55"/>
      <c r="AY514" s="55"/>
      <c r="AZ514" s="55"/>
      <c r="BA514" s="55"/>
      <c r="BB514" s="55"/>
    </row>
    <row r="515" spans="1:56" hidden="1" x14ac:dyDescent="0.3">
      <c r="A515" s="22" t="str">
        <f ca="1">Language!A$1407</f>
        <v>Чистая приведенная стоимость, NPV</v>
      </c>
      <c r="B515" s="99" t="e">
        <f ca="1">BD512</f>
        <v>#REF!</v>
      </c>
      <c r="C515" s="48" t="str">
        <f ca="1">Параметры!$C$64</f>
        <v>руб.</v>
      </c>
      <c r="G515" s="55"/>
      <c r="H515" s="55"/>
      <c r="I515" s="55"/>
      <c r="J515" s="55"/>
      <c r="K515" s="55"/>
      <c r="L515" s="55"/>
      <c r="M515" s="55"/>
      <c r="N515" s="55"/>
      <c r="O515" s="55"/>
      <c r="P515" s="55"/>
      <c r="Q515" s="55"/>
      <c r="R515" s="55"/>
      <c r="S515" s="55"/>
      <c r="T515" s="55"/>
      <c r="U515" s="55"/>
      <c r="V515" s="55"/>
      <c r="W515" s="55"/>
      <c r="X515" s="55"/>
      <c r="Y515" s="55"/>
      <c r="Z515" s="55"/>
      <c r="AA515" s="55"/>
      <c r="AB515" s="55"/>
      <c r="AC515" s="55"/>
      <c r="AD515" s="55"/>
      <c r="AE515" s="55"/>
      <c r="AF515" s="55"/>
      <c r="AG515" s="55"/>
      <c r="AH515" s="55"/>
      <c r="AI515" s="55"/>
      <c r="AJ515" s="55"/>
      <c r="AK515" s="55"/>
      <c r="AL515" s="55"/>
      <c r="AM515" s="55"/>
      <c r="AN515" s="55"/>
      <c r="AO515" s="55"/>
      <c r="AP515" s="55"/>
      <c r="AQ515" s="55"/>
      <c r="AR515" s="55"/>
      <c r="AS515" s="55"/>
      <c r="AT515" s="55"/>
      <c r="AU515" s="55"/>
      <c r="AV515" s="55"/>
      <c r="AW515" s="55"/>
      <c r="AX515" s="55"/>
      <c r="AY515" s="55"/>
      <c r="AZ515" s="55"/>
      <c r="BA515" s="55"/>
      <c r="BB515" s="55"/>
    </row>
    <row r="516" spans="1:56" hidden="1" x14ac:dyDescent="0.3">
      <c r="A516" s="12"/>
      <c r="B516" s="83"/>
      <c r="C516" s="51"/>
      <c r="D516" s="14"/>
      <c r="E516" s="14" t="s">
        <v>739</v>
      </c>
      <c r="F516" s="14"/>
      <c r="G516" s="79"/>
      <c r="H516" s="79"/>
      <c r="I516" s="79"/>
      <c r="J516" s="79"/>
      <c r="K516" s="79"/>
      <c r="L516" s="79"/>
      <c r="M516" s="79"/>
      <c r="N516" s="79"/>
      <c r="O516" s="79"/>
      <c r="P516" s="79"/>
      <c r="Q516" s="79"/>
      <c r="R516" s="79"/>
      <c r="S516" s="79"/>
      <c r="T516" s="79"/>
      <c r="U516" s="79"/>
      <c r="V516" s="79"/>
      <c r="W516" s="79"/>
      <c r="X516" s="79"/>
      <c r="Y516" s="79"/>
      <c r="Z516" s="79"/>
      <c r="AA516" s="79"/>
      <c r="AB516" s="79"/>
      <c r="AC516" s="79"/>
      <c r="AD516" s="79"/>
      <c r="AE516" s="79"/>
      <c r="AF516" s="79"/>
      <c r="AG516" s="79"/>
      <c r="AH516" s="79"/>
      <c r="AI516" s="79"/>
      <c r="AJ516" s="79"/>
      <c r="AK516" s="79"/>
      <c r="AL516" s="79"/>
      <c r="AM516" s="79"/>
      <c r="AN516" s="79"/>
      <c r="AO516" s="79"/>
      <c r="AP516" s="79"/>
      <c r="AQ516" s="79"/>
      <c r="AR516" s="79"/>
      <c r="AS516" s="79"/>
      <c r="AT516" s="79"/>
      <c r="AU516" s="79"/>
      <c r="AV516" s="79"/>
      <c r="AW516" s="79"/>
      <c r="AX516" s="79"/>
      <c r="AY516" s="79"/>
      <c r="AZ516" s="79"/>
      <c r="BA516" s="79"/>
      <c r="BB516" s="79"/>
      <c r="BC516" s="79"/>
      <c r="BD516" s="79"/>
    </row>
    <row r="517" spans="1:56" hidden="1" x14ac:dyDescent="0.3"/>
    <row r="518" spans="1:56" hidden="1" x14ac:dyDescent="0.3"/>
    <row r="519" spans="1:56" hidden="1" x14ac:dyDescent="0.3"/>
  </sheetData>
  <sheetProtection formatCells="0"/>
  <mergeCells count="1">
    <mergeCell ref="A1:C2"/>
  </mergeCells>
  <conditionalFormatting sqref="G203:BB203">
    <cfRule type="expression" dxfId="0" priority="77">
      <formula>G$203&lt;&gt;0</formula>
    </cfRule>
  </conditionalFormatting>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2291" r:id="rId3" name="Button 3">
              <controlPr defaultSize="0" print="0" autoFill="0" autoPict="0" macro="[0]!Show_Navigator">
                <anchor moveWithCells="1">
                  <from>
                    <xdr:col>0</xdr:col>
                    <xdr:colOff>38100</xdr:colOff>
                    <xdr:row>90</xdr:row>
                    <xdr:rowOff>38100</xdr:rowOff>
                  </from>
                  <to>
                    <xdr:col>0</xdr:col>
                    <xdr:colOff>289560</xdr:colOff>
                    <xdr:row>90</xdr:row>
                    <xdr:rowOff>289560</xdr:rowOff>
                  </to>
                </anchor>
              </controlPr>
            </control>
          </mc:Choice>
        </mc:AlternateContent>
        <mc:AlternateContent xmlns:mc="http://schemas.openxmlformats.org/markup-compatibility/2006">
          <mc:Choice Requires="x14">
            <control shapeId="12292" r:id="rId4" name="Button 4">
              <controlPr defaultSize="0" print="0" autoFill="0" autoPict="0" macro="[0]!Show_Navigator">
                <anchor moveWithCells="1">
                  <from>
                    <xdr:col>0</xdr:col>
                    <xdr:colOff>38100</xdr:colOff>
                    <xdr:row>123</xdr:row>
                    <xdr:rowOff>38100</xdr:rowOff>
                  </from>
                  <to>
                    <xdr:col>0</xdr:col>
                    <xdr:colOff>289560</xdr:colOff>
                    <xdr:row>123</xdr:row>
                    <xdr:rowOff>289560</xdr:rowOff>
                  </to>
                </anchor>
              </controlPr>
            </control>
          </mc:Choice>
        </mc:AlternateContent>
        <mc:AlternateContent xmlns:mc="http://schemas.openxmlformats.org/markup-compatibility/2006">
          <mc:Choice Requires="x14">
            <control shapeId="12293" r:id="rId5" name="Button 5">
              <controlPr defaultSize="0" print="0" autoFill="0" autoPict="0" macro="[0]!Show_Navigator">
                <anchor moveWithCells="1">
                  <from>
                    <xdr:col>0</xdr:col>
                    <xdr:colOff>38100</xdr:colOff>
                    <xdr:row>158</xdr:row>
                    <xdr:rowOff>38100</xdr:rowOff>
                  </from>
                  <to>
                    <xdr:col>0</xdr:col>
                    <xdr:colOff>289560</xdr:colOff>
                    <xdr:row>158</xdr:row>
                    <xdr:rowOff>289560</xdr:rowOff>
                  </to>
                </anchor>
              </controlPr>
            </control>
          </mc:Choice>
        </mc:AlternateContent>
        <mc:AlternateContent xmlns:mc="http://schemas.openxmlformats.org/markup-compatibility/2006">
          <mc:Choice Requires="x14">
            <control shapeId="12294" r:id="rId6" name="Button 6">
              <controlPr defaultSize="0" print="0" autoFill="0" autoPict="0" macro="[0]!Show_Navigator">
                <anchor moveWithCells="1">
                  <from>
                    <xdr:col>0</xdr:col>
                    <xdr:colOff>38100</xdr:colOff>
                    <xdr:row>204</xdr:row>
                    <xdr:rowOff>38100</xdr:rowOff>
                  </from>
                  <to>
                    <xdr:col>0</xdr:col>
                    <xdr:colOff>289560</xdr:colOff>
                    <xdr:row>204</xdr:row>
                    <xdr:rowOff>289560</xdr:rowOff>
                  </to>
                </anchor>
              </controlPr>
            </control>
          </mc:Choice>
        </mc:AlternateContent>
        <mc:AlternateContent xmlns:mc="http://schemas.openxmlformats.org/markup-compatibility/2006">
          <mc:Choice Requires="x14">
            <control shapeId="12295" r:id="rId7" name="Button 7">
              <controlPr defaultSize="0" print="0" autoFill="0" autoPict="0" macro="[0]!Show_Navigator">
                <anchor moveWithCells="1">
                  <from>
                    <xdr:col>0</xdr:col>
                    <xdr:colOff>38100</xdr:colOff>
                    <xdr:row>232</xdr:row>
                    <xdr:rowOff>38100</xdr:rowOff>
                  </from>
                  <to>
                    <xdr:col>0</xdr:col>
                    <xdr:colOff>289560</xdr:colOff>
                    <xdr:row>232</xdr:row>
                    <xdr:rowOff>289560</xdr:rowOff>
                  </to>
                </anchor>
              </controlPr>
            </control>
          </mc:Choice>
        </mc:AlternateContent>
        <mc:AlternateContent xmlns:mc="http://schemas.openxmlformats.org/markup-compatibility/2006">
          <mc:Choice Requires="x14">
            <control shapeId="12296" r:id="rId8" name="Button 8">
              <controlPr defaultSize="0" print="0" autoFill="0" autoPict="0" macro="[0]!Show_Navigator">
                <anchor moveWithCells="1">
                  <from>
                    <xdr:col>0</xdr:col>
                    <xdr:colOff>38100</xdr:colOff>
                    <xdr:row>268</xdr:row>
                    <xdr:rowOff>38100</xdr:rowOff>
                  </from>
                  <to>
                    <xdr:col>0</xdr:col>
                    <xdr:colOff>289560</xdr:colOff>
                    <xdr:row>268</xdr:row>
                    <xdr:rowOff>289560</xdr:rowOff>
                  </to>
                </anchor>
              </controlPr>
            </control>
          </mc:Choice>
        </mc:AlternateContent>
        <mc:AlternateContent xmlns:mc="http://schemas.openxmlformats.org/markup-compatibility/2006">
          <mc:Choice Requires="x14">
            <control shapeId="12298" r:id="rId9" name="Button 10">
              <controlPr defaultSize="0" print="0" autoFill="0" autoPict="0" macro="[0]!Show_Navigator">
                <anchor moveWithCells="1">
                  <from>
                    <xdr:col>0</xdr:col>
                    <xdr:colOff>38100</xdr:colOff>
                    <xdr:row>316</xdr:row>
                    <xdr:rowOff>38100</xdr:rowOff>
                  </from>
                  <to>
                    <xdr:col>0</xdr:col>
                    <xdr:colOff>289560</xdr:colOff>
                    <xdr:row>520</xdr:row>
                    <xdr:rowOff>76200</xdr:rowOff>
                  </to>
                </anchor>
              </controlPr>
            </control>
          </mc:Choice>
        </mc:AlternateContent>
        <mc:AlternateContent xmlns:mc="http://schemas.openxmlformats.org/markup-compatibility/2006">
          <mc:Choice Requires="x14">
            <control shapeId="12299" r:id="rId10" name="Button 11">
              <controlPr defaultSize="0" print="0" autoFill="0" autoPict="0" macro="[0]!Show_Navigator">
                <anchor moveWithCells="1">
                  <from>
                    <xdr:col>0</xdr:col>
                    <xdr:colOff>38100</xdr:colOff>
                    <xdr:row>365</xdr:row>
                    <xdr:rowOff>38100</xdr:rowOff>
                  </from>
                  <to>
                    <xdr:col>0</xdr:col>
                    <xdr:colOff>289560</xdr:colOff>
                    <xdr:row>520</xdr:row>
                    <xdr:rowOff>76200</xdr:rowOff>
                  </to>
                </anchor>
              </controlPr>
            </control>
          </mc:Choice>
        </mc:AlternateContent>
        <mc:AlternateContent xmlns:mc="http://schemas.openxmlformats.org/markup-compatibility/2006">
          <mc:Choice Requires="x14">
            <control shapeId="12301" r:id="rId11" name="Button 13">
              <controlPr defaultSize="0" print="0" autoFill="0" autoPict="0" macro="[0]!Show_Navigator">
                <anchor moveWithCells="1">
                  <from>
                    <xdr:col>0</xdr:col>
                    <xdr:colOff>38100</xdr:colOff>
                    <xdr:row>407</xdr:row>
                    <xdr:rowOff>53340</xdr:rowOff>
                  </from>
                  <to>
                    <xdr:col>0</xdr:col>
                    <xdr:colOff>289560</xdr:colOff>
                    <xdr:row>520</xdr:row>
                    <xdr:rowOff>60960</xdr:rowOff>
                  </to>
                </anchor>
              </controlPr>
            </control>
          </mc:Choice>
        </mc:AlternateContent>
        <mc:AlternateContent xmlns:mc="http://schemas.openxmlformats.org/markup-compatibility/2006">
          <mc:Choice Requires="x14">
            <control shapeId="12302" r:id="rId12" name="Button 14">
              <controlPr defaultSize="0" print="0" autoFill="0" autoPict="0" macro="[0]!Show_Navigator">
                <anchor moveWithCells="1">
                  <from>
                    <xdr:col>0</xdr:col>
                    <xdr:colOff>38100</xdr:colOff>
                    <xdr:row>3</xdr:row>
                    <xdr:rowOff>38100</xdr:rowOff>
                  </from>
                  <to>
                    <xdr:col>0</xdr:col>
                    <xdr:colOff>289560</xdr:colOff>
                    <xdr:row>3</xdr:row>
                    <xdr:rowOff>289560</xdr:rowOff>
                  </to>
                </anchor>
              </controlPr>
            </control>
          </mc:Choice>
        </mc:AlternateContent>
        <mc:AlternateContent xmlns:mc="http://schemas.openxmlformats.org/markup-compatibility/2006">
          <mc:Choice Requires="x14">
            <control shapeId="12304" r:id="rId13" name="Button 16">
              <controlPr defaultSize="0" print="0" autoFill="0" autoPict="0" macro="[0]!Show_Navigator">
                <anchor moveWithCells="1">
                  <from>
                    <xdr:col>0</xdr:col>
                    <xdr:colOff>38100</xdr:colOff>
                    <xdr:row>68</xdr:row>
                    <xdr:rowOff>38100</xdr:rowOff>
                  </from>
                  <to>
                    <xdr:col>0</xdr:col>
                    <xdr:colOff>289560</xdr:colOff>
                    <xdr:row>68</xdr:row>
                    <xdr:rowOff>289560</xdr:rowOff>
                  </to>
                </anchor>
              </controlPr>
            </control>
          </mc:Choice>
        </mc:AlternateContent>
        <mc:AlternateContent xmlns:mc="http://schemas.openxmlformats.org/markup-compatibility/2006">
          <mc:Choice Requires="x14">
            <control shapeId="12306" r:id="rId14" name="Button 18">
              <controlPr defaultSize="0" print="0" autoFill="0" autoPict="0" macro="[0]!Show_Navigator">
                <anchor moveWithCells="1">
                  <from>
                    <xdr:col>0</xdr:col>
                    <xdr:colOff>38100</xdr:colOff>
                    <xdr:row>24</xdr:row>
                    <xdr:rowOff>38100</xdr:rowOff>
                  </from>
                  <to>
                    <xdr:col>0</xdr:col>
                    <xdr:colOff>289560</xdr:colOff>
                    <xdr:row>24</xdr:row>
                    <xdr:rowOff>289560</xdr:rowOff>
                  </to>
                </anchor>
              </controlPr>
            </control>
          </mc:Choice>
        </mc:AlternateContent>
        <mc:AlternateContent xmlns:mc="http://schemas.openxmlformats.org/markup-compatibility/2006">
          <mc:Choice Requires="x14">
            <control shapeId="12307" r:id="rId15" name="Button 19">
              <controlPr defaultSize="0" print="0" autoFill="0" autoPict="0" macro="[0]!Show_Navigator">
                <anchor moveWithCells="1">
                  <from>
                    <xdr:col>0</xdr:col>
                    <xdr:colOff>38100</xdr:colOff>
                    <xdr:row>24</xdr:row>
                    <xdr:rowOff>38100</xdr:rowOff>
                  </from>
                  <to>
                    <xdr:col>0</xdr:col>
                    <xdr:colOff>289560</xdr:colOff>
                    <xdr:row>24</xdr:row>
                    <xdr:rowOff>289560</xdr:rowOff>
                  </to>
                </anchor>
              </controlPr>
            </control>
          </mc:Choice>
        </mc:AlternateContent>
        <mc:AlternateContent xmlns:mc="http://schemas.openxmlformats.org/markup-compatibility/2006">
          <mc:Choice Requires="x14">
            <control shapeId="12308" r:id="rId16" name="Button 20">
              <controlPr defaultSize="0" print="0" autoFill="0" autoPict="0" macro="[0]!Show_Navigator">
                <anchor moveWithCells="1">
                  <from>
                    <xdr:col>0</xdr:col>
                    <xdr:colOff>38100</xdr:colOff>
                    <xdr:row>13</xdr:row>
                    <xdr:rowOff>38100</xdr:rowOff>
                  </from>
                  <to>
                    <xdr:col>0</xdr:col>
                    <xdr:colOff>289560</xdr:colOff>
                    <xdr:row>24</xdr:row>
                    <xdr:rowOff>76200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5">
    <outlinePr summaryBelow="0" summaryRight="0"/>
  </sheetPr>
  <dimension ref="A1:N275"/>
  <sheetViews>
    <sheetView topLeftCell="A135" zoomScaleSheetLayoutView="80" workbookViewId="0">
      <selection activeCell="O99" sqref="O99"/>
    </sheetView>
  </sheetViews>
  <sheetFormatPr defaultColWidth="8.77734375" defaultRowHeight="13.8" outlineLevelRow="1" x14ac:dyDescent="0.3"/>
  <cols>
    <col min="1" max="1" width="4.5546875" style="5" customWidth="1"/>
    <col min="2" max="4" width="4.5546875" style="5" hidden="1" customWidth="1"/>
    <col min="5" max="5" width="12.5546875" style="5" hidden="1" customWidth="1"/>
    <col min="6" max="6" width="24.5546875" style="5" hidden="1" customWidth="1"/>
    <col min="7" max="14" width="12.5546875" style="5" customWidth="1"/>
    <col min="15" max="16384" width="8.77734375" style="5"/>
  </cols>
  <sheetData>
    <row r="1" spans="1:14" x14ac:dyDescent="0.3">
      <c r="A1" s="244"/>
      <c r="D1" s="6"/>
      <c r="E1" s="6"/>
      <c r="F1" s="6"/>
    </row>
    <row r="2" spans="1:14" ht="25.5" customHeight="1" thickBot="1" x14ac:dyDescent="0.35">
      <c r="A2" s="323" t="str">
        <f ca="1">Language!A1426</f>
        <v>График: Продажи</v>
      </c>
      <c r="B2" s="325"/>
      <c r="C2" s="325"/>
      <c r="D2" s="326"/>
      <c r="E2" s="326" t="s">
        <v>1128</v>
      </c>
      <c r="F2" s="326"/>
      <c r="G2" s="325"/>
      <c r="H2" s="325"/>
      <c r="I2" s="325"/>
      <c r="J2" s="325"/>
      <c r="K2" s="325"/>
      <c r="L2" s="325"/>
      <c r="M2" s="325"/>
      <c r="N2" s="325"/>
    </row>
    <row r="3" spans="1:14" ht="14.4" thickTop="1" x14ac:dyDescent="0.3">
      <c r="D3" s="6"/>
      <c r="E3" s="6"/>
      <c r="F3" s="6"/>
    </row>
    <row r="4" spans="1:14" x14ac:dyDescent="0.3">
      <c r="D4" s="6"/>
      <c r="E4" s="6"/>
      <c r="F4" s="6"/>
    </row>
    <row r="5" spans="1:14" x14ac:dyDescent="0.3">
      <c r="D5" s="6"/>
      <c r="E5" s="6"/>
      <c r="F5" s="6"/>
    </row>
    <row r="6" spans="1:14" x14ac:dyDescent="0.3">
      <c r="D6" s="6"/>
      <c r="E6" s="6"/>
      <c r="F6" s="6"/>
    </row>
    <row r="7" spans="1:14" x14ac:dyDescent="0.3">
      <c r="D7" s="6"/>
      <c r="E7" s="6"/>
      <c r="F7" s="6"/>
    </row>
    <row r="8" spans="1:14" x14ac:dyDescent="0.3">
      <c r="D8" s="6"/>
      <c r="E8" s="6"/>
      <c r="F8" s="6"/>
    </row>
    <row r="9" spans="1:14" x14ac:dyDescent="0.3">
      <c r="D9" s="6"/>
      <c r="E9" s="6"/>
      <c r="F9" s="6"/>
    </row>
    <row r="10" spans="1:14" x14ac:dyDescent="0.3">
      <c r="D10" s="6"/>
      <c r="E10" s="6"/>
      <c r="F10" s="6"/>
    </row>
    <row r="11" spans="1:14" x14ac:dyDescent="0.3">
      <c r="D11" s="6"/>
      <c r="E11" s="6"/>
      <c r="F11" s="6"/>
    </row>
    <row r="12" spans="1:14" x14ac:dyDescent="0.3">
      <c r="D12" s="6"/>
      <c r="E12" s="6"/>
      <c r="F12" s="6"/>
    </row>
    <row r="13" spans="1:14" x14ac:dyDescent="0.3">
      <c r="D13" s="6"/>
      <c r="E13" s="6"/>
      <c r="F13" s="6"/>
    </row>
    <row r="14" spans="1:14" x14ac:dyDescent="0.3">
      <c r="D14" s="6"/>
      <c r="E14" s="6"/>
      <c r="F14" s="6"/>
    </row>
    <row r="15" spans="1:14" x14ac:dyDescent="0.3">
      <c r="D15" s="6"/>
      <c r="E15" s="6"/>
      <c r="F15" s="6"/>
    </row>
    <row r="16" spans="1:14" x14ac:dyDescent="0.3">
      <c r="D16" s="6"/>
      <c r="E16" s="6"/>
      <c r="F16" s="6"/>
    </row>
    <row r="17" spans="1:14" x14ac:dyDescent="0.3">
      <c r="D17" s="6"/>
      <c r="E17" s="6"/>
      <c r="F17" s="6"/>
    </row>
    <row r="18" spans="1:14" x14ac:dyDescent="0.3">
      <c r="D18" s="6"/>
      <c r="E18" s="6"/>
      <c r="F18" s="6"/>
    </row>
    <row r="19" spans="1:14" x14ac:dyDescent="0.3">
      <c r="D19" s="6"/>
      <c r="E19" s="6"/>
      <c r="F19" s="6"/>
    </row>
    <row r="20" spans="1:14" x14ac:dyDescent="0.3">
      <c r="D20" s="6"/>
      <c r="E20" s="6"/>
      <c r="F20" s="6"/>
    </row>
    <row r="21" spans="1:14" x14ac:dyDescent="0.3">
      <c r="D21" s="6"/>
      <c r="E21" s="6"/>
      <c r="F21" s="6"/>
    </row>
    <row r="22" spans="1:14" x14ac:dyDescent="0.3">
      <c r="D22" s="6"/>
      <c r="E22" s="6"/>
      <c r="F22" s="6"/>
    </row>
    <row r="23" spans="1:14" x14ac:dyDescent="0.3">
      <c r="D23" s="6"/>
      <c r="E23" s="6"/>
      <c r="F23" s="6"/>
    </row>
    <row r="24" spans="1:14" x14ac:dyDescent="0.3">
      <c r="D24" s="6"/>
      <c r="E24" s="6"/>
      <c r="F24" s="6"/>
    </row>
    <row r="25" spans="1:14" x14ac:dyDescent="0.3">
      <c r="D25" s="6"/>
      <c r="E25" s="6"/>
      <c r="F25" s="6"/>
    </row>
    <row r="26" spans="1:14" x14ac:dyDescent="0.3">
      <c r="D26" s="6"/>
      <c r="E26" s="6"/>
      <c r="F26" s="6"/>
    </row>
    <row r="27" spans="1:14" x14ac:dyDescent="0.3">
      <c r="D27" s="6"/>
      <c r="E27" s="6"/>
      <c r="F27" s="6"/>
    </row>
    <row r="28" spans="1:14" ht="25.5" customHeight="1" thickBot="1" x14ac:dyDescent="0.35">
      <c r="A28" s="323" t="str">
        <f ca="1">Language!A1427</f>
        <v>График: EBITDA</v>
      </c>
      <c r="B28" s="325"/>
      <c r="C28" s="325"/>
      <c r="D28" s="326"/>
      <c r="E28" s="326" t="s">
        <v>873</v>
      </c>
      <c r="F28" s="326"/>
      <c r="G28" s="325"/>
      <c r="H28" s="325"/>
      <c r="I28" s="325"/>
      <c r="J28" s="325"/>
      <c r="K28" s="325"/>
      <c r="L28" s="325"/>
      <c r="M28" s="325"/>
      <c r="N28" s="325"/>
    </row>
    <row r="29" spans="1:14" ht="14.4" thickTop="1" x14ac:dyDescent="0.3">
      <c r="D29" s="6"/>
      <c r="E29" s="6"/>
      <c r="F29" s="6"/>
    </row>
    <row r="30" spans="1:14" x14ac:dyDescent="0.3">
      <c r="D30" s="6"/>
      <c r="E30" s="6"/>
      <c r="F30" s="6"/>
    </row>
    <row r="31" spans="1:14" x14ac:dyDescent="0.3">
      <c r="D31" s="6"/>
      <c r="E31" s="6"/>
      <c r="F31" s="6"/>
    </row>
    <row r="32" spans="1:14" x14ac:dyDescent="0.3">
      <c r="D32" s="6"/>
      <c r="E32" s="6"/>
      <c r="F32" s="6"/>
    </row>
    <row r="33" spans="4:6" x14ac:dyDescent="0.3">
      <c r="D33" s="6"/>
      <c r="E33" s="6"/>
      <c r="F33" s="6"/>
    </row>
    <row r="34" spans="4:6" x14ac:dyDescent="0.3">
      <c r="D34" s="6"/>
      <c r="E34" s="6"/>
      <c r="F34" s="6"/>
    </row>
    <row r="35" spans="4:6" x14ac:dyDescent="0.3">
      <c r="D35" s="6"/>
      <c r="E35" s="6"/>
      <c r="F35" s="6"/>
    </row>
    <row r="36" spans="4:6" x14ac:dyDescent="0.3">
      <c r="D36" s="6"/>
      <c r="E36" s="6"/>
      <c r="F36" s="6"/>
    </row>
    <row r="37" spans="4:6" x14ac:dyDescent="0.3">
      <c r="D37" s="6"/>
      <c r="E37" s="6"/>
      <c r="F37" s="6"/>
    </row>
    <row r="38" spans="4:6" x14ac:dyDescent="0.3">
      <c r="D38" s="6"/>
      <c r="E38" s="6"/>
      <c r="F38" s="6"/>
    </row>
    <row r="39" spans="4:6" x14ac:dyDescent="0.3">
      <c r="D39" s="6"/>
      <c r="E39" s="6"/>
      <c r="F39" s="6"/>
    </row>
    <row r="40" spans="4:6" x14ac:dyDescent="0.3">
      <c r="D40" s="6"/>
      <c r="E40" s="6"/>
      <c r="F40" s="6"/>
    </row>
    <row r="41" spans="4:6" x14ac:dyDescent="0.3">
      <c r="D41" s="6"/>
      <c r="E41" s="6"/>
      <c r="F41" s="6"/>
    </row>
    <row r="42" spans="4:6" x14ac:dyDescent="0.3">
      <c r="D42" s="6"/>
      <c r="E42" s="6"/>
      <c r="F42" s="6"/>
    </row>
    <row r="43" spans="4:6" x14ac:dyDescent="0.3">
      <c r="D43" s="6"/>
      <c r="E43" s="6"/>
      <c r="F43" s="6"/>
    </row>
    <row r="44" spans="4:6" x14ac:dyDescent="0.3">
      <c r="D44" s="6"/>
      <c r="E44" s="6"/>
      <c r="F44" s="6"/>
    </row>
    <row r="45" spans="4:6" x14ac:dyDescent="0.3">
      <c r="D45" s="6"/>
      <c r="E45" s="6"/>
      <c r="F45" s="6"/>
    </row>
    <row r="46" spans="4:6" x14ac:dyDescent="0.3">
      <c r="D46" s="6"/>
      <c r="E46" s="6"/>
      <c r="F46" s="6"/>
    </row>
    <row r="47" spans="4:6" x14ac:dyDescent="0.3">
      <c r="D47" s="6"/>
      <c r="E47" s="6"/>
      <c r="F47" s="6"/>
    </row>
    <row r="48" spans="4:6" x14ac:dyDescent="0.3">
      <c r="D48" s="6"/>
      <c r="E48" s="6"/>
      <c r="F48" s="6"/>
    </row>
    <row r="49" spans="1:14" x14ac:dyDescent="0.3">
      <c r="D49" s="6"/>
      <c r="E49" s="6"/>
      <c r="F49" s="6"/>
    </row>
    <row r="50" spans="1:14" x14ac:dyDescent="0.3">
      <c r="D50" s="6"/>
      <c r="E50" s="6"/>
      <c r="F50" s="6"/>
    </row>
    <row r="51" spans="1:14" x14ac:dyDescent="0.3">
      <c r="D51" s="6"/>
      <c r="E51" s="6"/>
      <c r="F51" s="6"/>
    </row>
    <row r="52" spans="1:14" x14ac:dyDescent="0.3">
      <c r="D52" s="6"/>
      <c r="E52" s="6"/>
      <c r="F52" s="6"/>
    </row>
    <row r="53" spans="1:14" x14ac:dyDescent="0.3">
      <c r="D53" s="6"/>
      <c r="E53" s="6"/>
      <c r="F53" s="6"/>
    </row>
    <row r="54" spans="1:14" ht="25.5" customHeight="1" thickBot="1" x14ac:dyDescent="0.35">
      <c r="A54" s="323" t="str">
        <f ca="1">Language!A1428</f>
        <v>График: Инвестиционные денежные потоки</v>
      </c>
      <c r="B54" s="325"/>
      <c r="C54" s="325"/>
      <c r="D54" s="326"/>
      <c r="E54" s="326" t="s">
        <v>1129</v>
      </c>
      <c r="F54" s="326"/>
      <c r="G54" s="325"/>
      <c r="H54" s="325"/>
      <c r="I54" s="325"/>
      <c r="J54" s="325"/>
      <c r="K54" s="325"/>
      <c r="L54" s="325"/>
      <c r="M54" s="325"/>
      <c r="N54" s="325"/>
    </row>
    <row r="55" spans="1:14" ht="14.4" thickTop="1" x14ac:dyDescent="0.3">
      <c r="D55" s="6"/>
      <c r="E55" s="6"/>
      <c r="F55" s="6"/>
    </row>
    <row r="56" spans="1:14" x14ac:dyDescent="0.3">
      <c r="D56" s="6"/>
      <c r="E56" s="6"/>
      <c r="F56" s="6"/>
    </row>
    <row r="57" spans="1:14" x14ac:dyDescent="0.3">
      <c r="D57" s="6"/>
      <c r="E57" s="6"/>
      <c r="F57" s="6"/>
    </row>
    <row r="58" spans="1:14" x14ac:dyDescent="0.3">
      <c r="D58" s="6"/>
      <c r="E58" s="6"/>
      <c r="F58" s="6"/>
    </row>
    <row r="59" spans="1:14" x14ac:dyDescent="0.3">
      <c r="D59" s="6"/>
      <c r="E59" s="6"/>
      <c r="F59" s="6"/>
    </row>
    <row r="60" spans="1:14" x14ac:dyDescent="0.3">
      <c r="D60" s="6"/>
      <c r="E60" s="6"/>
      <c r="F60" s="6"/>
    </row>
    <row r="61" spans="1:14" x14ac:dyDescent="0.3">
      <c r="D61" s="6"/>
      <c r="E61" s="6"/>
      <c r="F61" s="6"/>
    </row>
    <row r="62" spans="1:14" x14ac:dyDescent="0.3">
      <c r="D62" s="6"/>
      <c r="E62" s="6"/>
      <c r="F62" s="6"/>
    </row>
    <row r="63" spans="1:14" x14ac:dyDescent="0.3">
      <c r="D63" s="6"/>
      <c r="E63" s="6"/>
      <c r="F63" s="6"/>
    </row>
    <row r="64" spans="1:14" x14ac:dyDescent="0.3">
      <c r="D64" s="6"/>
      <c r="E64" s="6"/>
      <c r="F64" s="6"/>
    </row>
    <row r="65" spans="1:14" x14ac:dyDescent="0.3">
      <c r="D65" s="6"/>
      <c r="E65" s="6"/>
      <c r="F65" s="6"/>
    </row>
    <row r="66" spans="1:14" x14ac:dyDescent="0.3">
      <c r="D66" s="6"/>
      <c r="E66" s="6"/>
      <c r="F66" s="6"/>
    </row>
    <row r="67" spans="1:14" x14ac:dyDescent="0.3">
      <c r="D67" s="6"/>
      <c r="E67" s="6"/>
      <c r="F67" s="6"/>
    </row>
    <row r="68" spans="1:14" x14ac:dyDescent="0.3">
      <c r="D68" s="6"/>
      <c r="E68" s="6"/>
      <c r="F68" s="6"/>
    </row>
    <row r="69" spans="1:14" x14ac:dyDescent="0.3">
      <c r="D69" s="6"/>
      <c r="E69" s="6"/>
      <c r="F69" s="6"/>
    </row>
    <row r="70" spans="1:14" x14ac:dyDescent="0.3">
      <c r="D70" s="6"/>
      <c r="E70" s="6"/>
      <c r="F70" s="6"/>
    </row>
    <row r="71" spans="1:14" x14ac:dyDescent="0.3">
      <c r="D71" s="6"/>
      <c r="E71" s="6"/>
      <c r="F71" s="6"/>
    </row>
    <row r="72" spans="1:14" x14ac:dyDescent="0.3">
      <c r="D72" s="6"/>
      <c r="E72" s="6"/>
      <c r="F72" s="6"/>
    </row>
    <row r="73" spans="1:14" x14ac:dyDescent="0.3">
      <c r="D73" s="6"/>
      <c r="E73" s="6"/>
      <c r="F73" s="6"/>
    </row>
    <row r="74" spans="1:14" x14ac:dyDescent="0.3">
      <c r="D74" s="6"/>
      <c r="E74" s="6"/>
      <c r="F74" s="6"/>
    </row>
    <row r="75" spans="1:14" x14ac:dyDescent="0.3">
      <c r="D75" s="6"/>
      <c r="E75" s="6"/>
      <c r="F75" s="6"/>
    </row>
    <row r="76" spans="1:14" x14ac:dyDescent="0.3">
      <c r="D76" s="6"/>
      <c r="E76" s="6"/>
      <c r="F76" s="6"/>
    </row>
    <row r="77" spans="1:14" x14ac:dyDescent="0.3">
      <c r="D77" s="6"/>
      <c r="E77" s="6"/>
      <c r="F77" s="6"/>
    </row>
    <row r="78" spans="1:14" x14ac:dyDescent="0.3">
      <c r="D78" s="6"/>
      <c r="E78" s="6"/>
      <c r="F78" s="6"/>
    </row>
    <row r="79" spans="1:14" x14ac:dyDescent="0.3">
      <c r="D79" s="6"/>
      <c r="E79" s="6"/>
      <c r="F79" s="6"/>
    </row>
    <row r="80" spans="1:14" ht="25.5" customHeight="1" thickBot="1" x14ac:dyDescent="0.35">
      <c r="A80" s="323" t="str">
        <f ca="1">Language!A1429</f>
        <v>График: Денежные средства на конец периода</v>
      </c>
      <c r="B80" s="325"/>
      <c r="C80" s="325"/>
      <c r="D80" s="326"/>
      <c r="E80" s="326" t="s">
        <v>1130</v>
      </c>
      <c r="F80" s="326"/>
      <c r="G80" s="325"/>
      <c r="H80" s="325"/>
      <c r="I80" s="325"/>
      <c r="J80" s="325"/>
      <c r="K80" s="325"/>
      <c r="L80" s="325"/>
      <c r="M80" s="325"/>
      <c r="N80" s="325"/>
    </row>
    <row r="81" spans="4:6" ht="14.4" thickTop="1" x14ac:dyDescent="0.3">
      <c r="D81" s="6"/>
      <c r="E81" s="6"/>
      <c r="F81" s="6"/>
    </row>
    <row r="82" spans="4:6" x14ac:dyDescent="0.3">
      <c r="D82" s="6"/>
      <c r="E82" s="6"/>
      <c r="F82" s="6"/>
    </row>
    <row r="83" spans="4:6" x14ac:dyDescent="0.3">
      <c r="D83" s="6"/>
      <c r="E83" s="6"/>
      <c r="F83" s="6"/>
    </row>
    <row r="84" spans="4:6" x14ac:dyDescent="0.3">
      <c r="D84" s="6"/>
      <c r="E84" s="6"/>
      <c r="F84" s="6"/>
    </row>
    <row r="85" spans="4:6" x14ac:dyDescent="0.3">
      <c r="D85" s="6"/>
      <c r="E85" s="6"/>
      <c r="F85" s="6"/>
    </row>
    <row r="86" spans="4:6" x14ac:dyDescent="0.3">
      <c r="D86" s="6"/>
      <c r="E86" s="6"/>
      <c r="F86" s="6"/>
    </row>
    <row r="87" spans="4:6" x14ac:dyDescent="0.3">
      <c r="D87" s="6"/>
      <c r="E87" s="6"/>
      <c r="F87" s="6"/>
    </row>
    <row r="88" spans="4:6" x14ac:dyDescent="0.3">
      <c r="D88" s="6"/>
      <c r="E88" s="6"/>
      <c r="F88" s="6"/>
    </row>
    <row r="89" spans="4:6" x14ac:dyDescent="0.3">
      <c r="D89" s="6"/>
      <c r="E89" s="6"/>
      <c r="F89" s="6"/>
    </row>
    <row r="90" spans="4:6" x14ac:dyDescent="0.3">
      <c r="D90" s="6"/>
      <c r="E90" s="6"/>
      <c r="F90" s="6"/>
    </row>
    <row r="91" spans="4:6" x14ac:dyDescent="0.3">
      <c r="D91" s="6"/>
      <c r="E91" s="6"/>
      <c r="F91" s="6"/>
    </row>
    <row r="92" spans="4:6" x14ac:dyDescent="0.3">
      <c r="D92" s="6"/>
      <c r="E92" s="6"/>
      <c r="F92" s="6"/>
    </row>
    <row r="93" spans="4:6" x14ac:dyDescent="0.3">
      <c r="D93" s="6"/>
      <c r="E93" s="6"/>
      <c r="F93" s="6"/>
    </row>
    <row r="94" spans="4:6" x14ac:dyDescent="0.3">
      <c r="D94" s="6"/>
      <c r="E94" s="6"/>
      <c r="F94" s="6"/>
    </row>
    <row r="95" spans="4:6" x14ac:dyDescent="0.3">
      <c r="D95" s="6"/>
      <c r="E95" s="6"/>
      <c r="F95" s="6"/>
    </row>
    <row r="96" spans="4:6" x14ac:dyDescent="0.3">
      <c r="D96" s="6"/>
      <c r="E96" s="6"/>
      <c r="F96" s="6"/>
    </row>
    <row r="97" spans="1:14" x14ac:dyDescent="0.3">
      <c r="D97" s="6"/>
      <c r="E97" s="6"/>
      <c r="F97" s="6"/>
    </row>
    <row r="98" spans="1:14" x14ac:dyDescent="0.3">
      <c r="D98" s="6"/>
      <c r="E98" s="6"/>
      <c r="F98" s="6"/>
    </row>
    <row r="99" spans="1:14" x14ac:dyDescent="0.3">
      <c r="D99" s="6"/>
      <c r="E99" s="6"/>
      <c r="F99" s="6"/>
    </row>
    <row r="100" spans="1:14" x14ac:dyDescent="0.3">
      <c r="D100" s="6"/>
      <c r="E100" s="6"/>
      <c r="F100" s="6"/>
    </row>
    <row r="101" spans="1:14" x14ac:dyDescent="0.3">
      <c r="D101" s="6"/>
      <c r="E101" s="6"/>
      <c r="F101" s="6"/>
    </row>
    <row r="102" spans="1:14" x14ac:dyDescent="0.3">
      <c r="D102" s="6"/>
      <c r="E102" s="6"/>
      <c r="F102" s="6"/>
    </row>
    <row r="103" spans="1:14" x14ac:dyDescent="0.3">
      <c r="D103" s="6"/>
      <c r="E103" s="6"/>
      <c r="F103" s="6"/>
    </row>
    <row r="104" spans="1:14" x14ac:dyDescent="0.3">
      <c r="D104" s="6"/>
      <c r="E104" s="6"/>
      <c r="F104" s="6"/>
    </row>
    <row r="105" spans="1:14" x14ac:dyDescent="0.3">
      <c r="D105" s="6"/>
      <c r="E105" s="6"/>
      <c r="F105" s="6"/>
    </row>
    <row r="106" spans="1:14" ht="25.5" customHeight="1" thickBot="1" x14ac:dyDescent="0.35">
      <c r="A106" s="323" t="str">
        <f ca="1">Language!A1430</f>
        <v>График: Задолженность по кредитам</v>
      </c>
      <c r="B106" s="325"/>
      <c r="C106" s="325"/>
      <c r="D106" s="326"/>
      <c r="E106" s="326" t="s">
        <v>1132</v>
      </c>
      <c r="F106" s="326"/>
      <c r="G106" s="325"/>
      <c r="H106" s="325"/>
      <c r="I106" s="325"/>
      <c r="J106" s="325"/>
      <c r="K106" s="325"/>
      <c r="L106" s="325"/>
      <c r="M106" s="325"/>
      <c r="N106" s="325"/>
    </row>
    <row r="107" spans="1:14" ht="14.4" thickTop="1" x14ac:dyDescent="0.3">
      <c r="D107" s="6"/>
      <c r="E107" s="6"/>
      <c r="F107" s="6"/>
    </row>
    <row r="108" spans="1:14" x14ac:dyDescent="0.3">
      <c r="D108" s="6"/>
      <c r="E108" s="6"/>
      <c r="F108" s="6"/>
    </row>
    <row r="109" spans="1:14" x14ac:dyDescent="0.3">
      <c r="D109" s="6"/>
      <c r="E109" s="6"/>
      <c r="F109" s="6"/>
    </row>
    <row r="110" spans="1:14" x14ac:dyDescent="0.3">
      <c r="D110" s="6"/>
      <c r="E110" s="6"/>
      <c r="F110" s="6"/>
    </row>
    <row r="111" spans="1:14" x14ac:dyDescent="0.3">
      <c r="D111" s="6"/>
      <c r="E111" s="6"/>
      <c r="F111" s="6"/>
    </row>
    <row r="112" spans="1:14" x14ac:dyDescent="0.3">
      <c r="D112" s="6"/>
      <c r="E112" s="6"/>
      <c r="F112" s="6"/>
    </row>
    <row r="113" spans="4:6" x14ac:dyDescent="0.3">
      <c r="D113" s="6"/>
      <c r="E113" s="6"/>
      <c r="F113" s="6"/>
    </row>
    <row r="114" spans="4:6" x14ac:dyDescent="0.3">
      <c r="D114" s="6"/>
      <c r="E114" s="6"/>
      <c r="F114" s="6"/>
    </row>
    <row r="115" spans="4:6" x14ac:dyDescent="0.3">
      <c r="D115" s="6"/>
      <c r="E115" s="6"/>
      <c r="F115" s="6"/>
    </row>
    <row r="116" spans="4:6" x14ac:dyDescent="0.3">
      <c r="D116" s="6"/>
      <c r="E116" s="6"/>
      <c r="F116" s="6"/>
    </row>
    <row r="117" spans="4:6" x14ac:dyDescent="0.3">
      <c r="D117" s="6"/>
      <c r="E117" s="6"/>
      <c r="F117" s="6"/>
    </row>
    <row r="118" spans="4:6" x14ac:dyDescent="0.3">
      <c r="D118" s="6"/>
      <c r="E118" s="6"/>
      <c r="F118" s="6"/>
    </row>
    <row r="119" spans="4:6" x14ac:dyDescent="0.3">
      <c r="D119" s="6"/>
      <c r="E119" s="6"/>
      <c r="F119" s="6"/>
    </row>
    <row r="120" spans="4:6" x14ac:dyDescent="0.3">
      <c r="D120" s="6"/>
      <c r="E120" s="6"/>
      <c r="F120" s="6"/>
    </row>
    <row r="121" spans="4:6" x14ac:dyDescent="0.3">
      <c r="D121" s="6"/>
      <c r="E121" s="6"/>
      <c r="F121" s="6"/>
    </row>
    <row r="122" spans="4:6" x14ac:dyDescent="0.3">
      <c r="D122" s="6"/>
      <c r="E122" s="6"/>
      <c r="F122" s="6"/>
    </row>
    <row r="123" spans="4:6" x14ac:dyDescent="0.3">
      <c r="D123" s="6"/>
      <c r="E123" s="6"/>
      <c r="F123" s="6"/>
    </row>
    <row r="124" spans="4:6" x14ac:dyDescent="0.3">
      <c r="D124" s="6"/>
      <c r="E124" s="6"/>
      <c r="F124" s="6"/>
    </row>
    <row r="125" spans="4:6" x14ac:dyDescent="0.3">
      <c r="D125" s="6"/>
      <c r="E125" s="6"/>
      <c r="F125" s="6"/>
    </row>
    <row r="126" spans="4:6" x14ac:dyDescent="0.3">
      <c r="D126" s="6"/>
      <c r="E126" s="6"/>
      <c r="F126" s="6"/>
    </row>
    <row r="127" spans="4:6" x14ac:dyDescent="0.3">
      <c r="D127" s="6"/>
      <c r="E127" s="6"/>
      <c r="F127" s="6"/>
    </row>
    <row r="128" spans="4:6" x14ac:dyDescent="0.3">
      <c r="D128" s="6"/>
      <c r="E128" s="6"/>
      <c r="F128" s="6"/>
    </row>
    <row r="129" spans="1:14" x14ac:dyDescent="0.3">
      <c r="D129" s="6"/>
      <c r="E129" s="6"/>
      <c r="F129" s="6"/>
    </row>
    <row r="130" spans="1:14" x14ac:dyDescent="0.3">
      <c r="D130" s="6"/>
      <c r="E130" s="6"/>
      <c r="F130" s="6"/>
    </row>
    <row r="131" spans="1:14" x14ac:dyDescent="0.3">
      <c r="D131" s="6"/>
      <c r="E131" s="6"/>
      <c r="F131" s="6"/>
    </row>
    <row r="132" spans="1:14" ht="25.5" customHeight="1" thickBot="1" x14ac:dyDescent="0.35">
      <c r="A132" s="323" t="str">
        <f ca="1">Language!A1431</f>
        <v>График окупаемости (FCFF)</v>
      </c>
      <c r="B132" s="325"/>
      <c r="C132" s="325"/>
      <c r="D132" s="326"/>
      <c r="E132" s="326" t="s">
        <v>1133</v>
      </c>
      <c r="F132" s="326"/>
      <c r="G132" s="325"/>
      <c r="H132" s="325"/>
      <c r="I132" s="325"/>
      <c r="J132" s="325"/>
      <c r="K132" s="325"/>
      <c r="L132" s="325"/>
      <c r="M132" s="325"/>
      <c r="N132" s="325"/>
    </row>
    <row r="133" spans="1:14" ht="14.4" thickTop="1" x14ac:dyDescent="0.3">
      <c r="D133" s="6"/>
      <c r="E133" s="6"/>
      <c r="F133" s="6"/>
    </row>
    <row r="134" spans="1:14" x14ac:dyDescent="0.3">
      <c r="D134" s="6"/>
      <c r="E134" s="6"/>
      <c r="F134" s="6"/>
    </row>
    <row r="135" spans="1:14" x14ac:dyDescent="0.3">
      <c r="D135" s="6"/>
      <c r="E135" s="6"/>
      <c r="F135" s="6"/>
    </row>
    <row r="136" spans="1:14" x14ac:dyDescent="0.3">
      <c r="D136" s="6"/>
      <c r="E136" s="6"/>
      <c r="F136" s="6"/>
    </row>
    <row r="137" spans="1:14" x14ac:dyDescent="0.3">
      <c r="D137" s="6"/>
      <c r="E137" s="6"/>
      <c r="F137" s="6"/>
    </row>
    <row r="138" spans="1:14" x14ac:dyDescent="0.3">
      <c r="D138" s="6"/>
      <c r="E138" s="6"/>
      <c r="F138" s="6"/>
    </row>
    <row r="139" spans="1:14" x14ac:dyDescent="0.3">
      <c r="D139" s="6"/>
      <c r="E139" s="6"/>
      <c r="F139" s="6"/>
    </row>
    <row r="140" spans="1:14" x14ac:dyDescent="0.3">
      <c r="D140" s="6"/>
      <c r="E140" s="6"/>
      <c r="F140" s="6"/>
    </row>
    <row r="141" spans="1:14" x14ac:dyDescent="0.3">
      <c r="D141" s="6"/>
      <c r="E141" s="6"/>
      <c r="F141" s="6"/>
    </row>
    <row r="142" spans="1:14" x14ac:dyDescent="0.3">
      <c r="D142" s="6"/>
      <c r="E142" s="6"/>
      <c r="F142" s="6"/>
    </row>
    <row r="143" spans="1:14" x14ac:dyDescent="0.3">
      <c r="D143" s="6"/>
      <c r="E143" s="6"/>
      <c r="F143" s="6"/>
    </row>
    <row r="144" spans="1:14" x14ac:dyDescent="0.3">
      <c r="D144" s="6"/>
      <c r="E144" s="6"/>
      <c r="F144" s="6"/>
    </row>
    <row r="145" spans="1:14" x14ac:dyDescent="0.3">
      <c r="D145" s="6"/>
      <c r="E145" s="6"/>
      <c r="F145" s="6"/>
    </row>
    <row r="146" spans="1:14" x14ac:dyDescent="0.3">
      <c r="D146" s="6"/>
      <c r="E146" s="6"/>
      <c r="F146" s="6"/>
    </row>
    <row r="147" spans="1:14" x14ac:dyDescent="0.3">
      <c r="D147" s="6"/>
      <c r="E147" s="6"/>
      <c r="F147" s="6"/>
    </row>
    <row r="148" spans="1:14" x14ac:dyDescent="0.3">
      <c r="D148" s="6"/>
      <c r="E148" s="6"/>
      <c r="F148" s="6"/>
    </row>
    <row r="149" spans="1:14" x14ac:dyDescent="0.3">
      <c r="D149" s="6"/>
      <c r="E149" s="6"/>
      <c r="F149" s="6"/>
    </row>
    <row r="150" spans="1:14" x14ac:dyDescent="0.3">
      <c r="D150" s="6"/>
      <c r="E150" s="6"/>
      <c r="F150" s="6"/>
    </row>
    <row r="151" spans="1:14" x14ac:dyDescent="0.3">
      <c r="D151" s="6"/>
      <c r="E151" s="6"/>
      <c r="F151" s="6"/>
    </row>
    <row r="152" spans="1:14" x14ac:dyDescent="0.3">
      <c r="D152" s="6"/>
      <c r="E152" s="6"/>
      <c r="F152" s="6"/>
    </row>
    <row r="153" spans="1:14" x14ac:dyDescent="0.3">
      <c r="D153" s="6"/>
      <c r="E153" s="6"/>
      <c r="F153" s="6"/>
    </row>
    <row r="154" spans="1:14" x14ac:dyDescent="0.3">
      <c r="D154" s="6"/>
      <c r="E154" s="6"/>
      <c r="F154" s="6"/>
    </row>
    <row r="155" spans="1:14" x14ac:dyDescent="0.3">
      <c r="D155" s="6"/>
      <c r="E155" s="6"/>
      <c r="F155" s="6"/>
    </row>
    <row r="156" spans="1:14" x14ac:dyDescent="0.3">
      <c r="D156" s="6"/>
      <c r="E156" s="6"/>
      <c r="F156" s="6"/>
    </row>
    <row r="157" spans="1:14" x14ac:dyDescent="0.3">
      <c r="D157" s="6"/>
      <c r="E157" s="6"/>
      <c r="F157" s="6"/>
    </row>
    <row r="158" spans="1:14" ht="25.5" customHeight="1" thickBot="1" x14ac:dyDescent="0.35">
      <c r="A158" s="323" t="str">
        <f ca="1">Language!A1432</f>
        <v>График окупаемости (FCFE)</v>
      </c>
      <c r="B158" s="325"/>
      <c r="C158" s="325"/>
      <c r="D158" s="326"/>
      <c r="E158" s="326" t="s">
        <v>1134</v>
      </c>
      <c r="F158" s="326"/>
      <c r="G158" s="325"/>
      <c r="H158" s="325"/>
      <c r="I158" s="325"/>
      <c r="J158" s="325"/>
      <c r="K158" s="325"/>
      <c r="L158" s="325"/>
      <c r="M158" s="325"/>
      <c r="N158" s="325"/>
    </row>
    <row r="159" spans="1:14" ht="14.4" thickTop="1" x14ac:dyDescent="0.3">
      <c r="D159" s="6"/>
      <c r="E159" s="6"/>
      <c r="F159" s="6"/>
    </row>
    <row r="160" spans="1:14" x14ac:dyDescent="0.3">
      <c r="D160" s="6"/>
      <c r="E160" s="6"/>
      <c r="F160" s="6"/>
    </row>
    <row r="161" spans="4:6" x14ac:dyDescent="0.3">
      <c r="D161" s="6"/>
      <c r="E161" s="6"/>
      <c r="F161" s="6"/>
    </row>
    <row r="162" spans="4:6" x14ac:dyDescent="0.3">
      <c r="D162" s="6"/>
      <c r="E162" s="6"/>
      <c r="F162" s="6"/>
    </row>
    <row r="163" spans="4:6" x14ac:dyDescent="0.3">
      <c r="D163" s="6"/>
      <c r="E163" s="6"/>
      <c r="F163" s="6"/>
    </row>
    <row r="164" spans="4:6" x14ac:dyDescent="0.3">
      <c r="D164" s="6"/>
      <c r="E164" s="6"/>
      <c r="F164" s="6"/>
    </row>
    <row r="165" spans="4:6" x14ac:dyDescent="0.3">
      <c r="D165" s="6"/>
      <c r="E165" s="6"/>
      <c r="F165" s="6"/>
    </row>
    <row r="166" spans="4:6" x14ac:dyDescent="0.3">
      <c r="D166" s="6"/>
      <c r="E166" s="6"/>
      <c r="F166" s="6"/>
    </row>
    <row r="167" spans="4:6" x14ac:dyDescent="0.3">
      <c r="D167" s="6"/>
      <c r="E167" s="6"/>
      <c r="F167" s="6"/>
    </row>
    <row r="168" spans="4:6" x14ac:dyDescent="0.3">
      <c r="D168" s="6"/>
      <c r="E168" s="6"/>
      <c r="F168" s="6"/>
    </row>
    <row r="169" spans="4:6" x14ac:dyDescent="0.3">
      <c r="D169" s="6"/>
      <c r="E169" s="6"/>
      <c r="F169" s="6"/>
    </row>
    <row r="170" spans="4:6" x14ac:dyDescent="0.3">
      <c r="D170" s="6"/>
      <c r="E170" s="6"/>
      <c r="F170" s="6"/>
    </row>
    <row r="171" spans="4:6" x14ac:dyDescent="0.3">
      <c r="D171" s="6"/>
      <c r="E171" s="6"/>
      <c r="F171" s="6"/>
    </row>
    <row r="172" spans="4:6" x14ac:dyDescent="0.3">
      <c r="D172" s="6"/>
      <c r="E172" s="6"/>
      <c r="F172" s="6"/>
    </row>
    <row r="173" spans="4:6" x14ac:dyDescent="0.3">
      <c r="D173" s="6"/>
      <c r="E173" s="6"/>
      <c r="F173" s="6"/>
    </row>
    <row r="174" spans="4:6" x14ac:dyDescent="0.3">
      <c r="D174" s="6"/>
      <c r="E174" s="6"/>
      <c r="F174" s="6"/>
    </row>
    <row r="175" spans="4:6" x14ac:dyDescent="0.3">
      <c r="D175" s="6"/>
      <c r="E175" s="6"/>
      <c r="F175" s="6"/>
    </row>
    <row r="176" spans="4:6" x14ac:dyDescent="0.3">
      <c r="D176" s="6"/>
      <c r="E176" s="6"/>
      <c r="F176" s="6"/>
    </row>
    <row r="177" spans="1:14" x14ac:dyDescent="0.3">
      <c r="D177" s="6"/>
      <c r="E177" s="6"/>
      <c r="F177" s="6"/>
    </row>
    <row r="178" spans="1:14" x14ac:dyDescent="0.3">
      <c r="D178" s="6"/>
      <c r="E178" s="6"/>
      <c r="F178" s="6"/>
    </row>
    <row r="179" spans="1:14" x14ac:dyDescent="0.3">
      <c r="D179" s="6"/>
      <c r="E179" s="6"/>
      <c r="F179" s="6"/>
    </row>
    <row r="180" spans="1:14" x14ac:dyDescent="0.3">
      <c r="D180" s="6"/>
      <c r="E180" s="6"/>
      <c r="F180" s="6"/>
    </row>
    <row r="181" spans="1:14" x14ac:dyDescent="0.3">
      <c r="D181" s="6"/>
      <c r="E181" s="6"/>
      <c r="F181" s="6"/>
    </row>
    <row r="182" spans="1:14" x14ac:dyDescent="0.3">
      <c r="D182" s="6"/>
      <c r="E182" s="6"/>
      <c r="F182" s="6"/>
    </row>
    <row r="183" spans="1:14" x14ac:dyDescent="0.3">
      <c r="D183" s="6"/>
      <c r="E183" s="6"/>
      <c r="F183" s="6"/>
    </row>
    <row r="184" spans="1:14" ht="25.5" customHeight="1" thickBot="1" x14ac:dyDescent="0.35">
      <c r="A184" s="323" t="str">
        <f ca="1">Language!A1433</f>
        <v>График окупаемости (CFADS)</v>
      </c>
      <c r="B184" s="325"/>
      <c r="C184" s="325"/>
      <c r="D184" s="326"/>
      <c r="E184" s="326" t="s">
        <v>1138</v>
      </c>
      <c r="F184" s="326"/>
      <c r="G184" s="325"/>
      <c r="H184" s="325"/>
      <c r="I184" s="325"/>
      <c r="J184" s="325"/>
      <c r="K184" s="325"/>
      <c r="L184" s="325"/>
      <c r="M184" s="325"/>
      <c r="N184" s="325"/>
    </row>
    <row r="185" spans="1:14" ht="14.4" thickTop="1" x14ac:dyDescent="0.3">
      <c r="D185" s="6"/>
      <c r="E185" s="6"/>
      <c r="F185" s="6"/>
    </row>
    <row r="186" spans="1:14" x14ac:dyDescent="0.3">
      <c r="D186" s="6"/>
      <c r="E186" s="6"/>
      <c r="F186" s="6"/>
    </row>
    <row r="187" spans="1:14" x14ac:dyDescent="0.3">
      <c r="D187" s="6"/>
      <c r="E187" s="6"/>
      <c r="F187" s="6"/>
    </row>
    <row r="188" spans="1:14" x14ac:dyDescent="0.3">
      <c r="D188" s="6"/>
      <c r="E188" s="6"/>
      <c r="F188" s="6"/>
    </row>
    <row r="189" spans="1:14" x14ac:dyDescent="0.3">
      <c r="D189" s="6"/>
      <c r="E189" s="6"/>
      <c r="F189" s="6"/>
    </row>
    <row r="190" spans="1:14" x14ac:dyDescent="0.3">
      <c r="D190" s="6"/>
      <c r="E190" s="6"/>
      <c r="F190" s="6"/>
    </row>
    <row r="191" spans="1:14" x14ac:dyDescent="0.3">
      <c r="D191" s="6"/>
      <c r="E191" s="6"/>
      <c r="F191" s="6"/>
    </row>
    <row r="192" spans="1:14" x14ac:dyDescent="0.3">
      <c r="D192" s="6"/>
      <c r="E192" s="6"/>
      <c r="F192" s="6"/>
    </row>
    <row r="193" spans="4:6" x14ac:dyDescent="0.3">
      <c r="D193" s="6"/>
      <c r="E193" s="6"/>
      <c r="F193" s="6"/>
    </row>
    <row r="194" spans="4:6" x14ac:dyDescent="0.3">
      <c r="D194" s="6"/>
      <c r="E194" s="6"/>
      <c r="F194" s="6"/>
    </row>
    <row r="195" spans="4:6" x14ac:dyDescent="0.3">
      <c r="D195" s="6"/>
      <c r="E195" s="6"/>
      <c r="F195" s="6"/>
    </row>
    <row r="196" spans="4:6" x14ac:dyDescent="0.3">
      <c r="D196" s="6"/>
      <c r="E196" s="6"/>
      <c r="F196" s="6"/>
    </row>
    <row r="197" spans="4:6" x14ac:dyDescent="0.3">
      <c r="D197" s="6"/>
      <c r="E197" s="6"/>
      <c r="F197" s="6"/>
    </row>
    <row r="198" spans="4:6" x14ac:dyDescent="0.3">
      <c r="D198" s="6"/>
      <c r="E198" s="6"/>
      <c r="F198" s="6"/>
    </row>
    <row r="199" spans="4:6" x14ac:dyDescent="0.3">
      <c r="D199" s="6"/>
      <c r="E199" s="6"/>
      <c r="F199" s="6"/>
    </row>
    <row r="200" spans="4:6" x14ac:dyDescent="0.3">
      <c r="D200" s="6"/>
      <c r="E200" s="6"/>
      <c r="F200" s="6"/>
    </row>
    <row r="201" spans="4:6" x14ac:dyDescent="0.3">
      <c r="D201" s="6"/>
      <c r="E201" s="6"/>
      <c r="F201" s="6"/>
    </row>
    <row r="202" spans="4:6" x14ac:dyDescent="0.3">
      <c r="D202" s="6"/>
      <c r="E202" s="6"/>
      <c r="F202" s="6"/>
    </row>
    <row r="203" spans="4:6" x14ac:dyDescent="0.3">
      <c r="D203" s="6"/>
      <c r="E203" s="6"/>
      <c r="F203" s="6"/>
    </row>
    <row r="204" spans="4:6" x14ac:dyDescent="0.3">
      <c r="D204" s="6"/>
      <c r="E204" s="6"/>
      <c r="F204" s="6"/>
    </row>
    <row r="205" spans="4:6" x14ac:dyDescent="0.3">
      <c r="D205" s="6"/>
      <c r="E205" s="6"/>
      <c r="F205" s="6"/>
    </row>
    <row r="206" spans="4:6" x14ac:dyDescent="0.3">
      <c r="D206" s="6"/>
      <c r="E206" s="6"/>
      <c r="F206" s="6"/>
    </row>
    <row r="207" spans="4:6" x14ac:dyDescent="0.3">
      <c r="D207" s="6"/>
      <c r="E207" s="6"/>
      <c r="F207" s="6"/>
    </row>
    <row r="208" spans="4:6" x14ac:dyDescent="0.3">
      <c r="D208" s="6"/>
      <c r="E208" s="6"/>
      <c r="F208" s="6"/>
    </row>
    <row r="209" spans="1:14" x14ac:dyDescent="0.3">
      <c r="D209" s="6"/>
      <c r="E209" s="6"/>
      <c r="F209" s="6"/>
    </row>
    <row r="210" spans="1:14" ht="25.5" customHeight="1" thickBot="1" x14ac:dyDescent="0.35">
      <c r="A210" s="323" t="str">
        <f ca="1">Language!A1434</f>
        <v>ГРАФИК ЧУВСТВИТЕЛЬНОСТИ</v>
      </c>
      <c r="B210" s="325"/>
      <c r="C210" s="325"/>
      <c r="D210" s="326"/>
      <c r="E210" s="326" t="s">
        <v>875</v>
      </c>
      <c r="F210" s="326"/>
      <c r="G210" s="325"/>
      <c r="H210" s="325"/>
      <c r="I210" s="325"/>
      <c r="J210" s="325"/>
      <c r="K210" s="325"/>
      <c r="L210" s="325"/>
      <c r="M210" s="325"/>
      <c r="N210" s="325"/>
    </row>
    <row r="211" spans="1:14" ht="14.4" thickTop="1" x14ac:dyDescent="0.3">
      <c r="D211" s="6"/>
      <c r="E211" s="6"/>
      <c r="F211" s="6"/>
    </row>
    <row r="212" spans="1:14" x14ac:dyDescent="0.3">
      <c r="D212" s="6">
        <v>9</v>
      </c>
      <c r="E212" s="6"/>
      <c r="F212" s="6"/>
      <c r="G212" s="10" t="str">
        <f ca="1">Language!A1435</f>
        <v>Столбцы:</v>
      </c>
      <c r="H212" s="22" t="str">
        <f ca="1">OFFSET(Sens_Params,Sens_Param,0)</f>
        <v>Ставка дисконтирования</v>
      </c>
      <c r="K212" s="10" t="str">
        <f ca="1">Language!A1436</f>
        <v>Линии:</v>
      </c>
      <c r="L212" s="22" t="str">
        <f ca="1">IF(Sens_Line&gt;1,OFFSET(Sens_Params,Sens_Item,0),"-")</f>
        <v>Затраты на сырье и материалы</v>
      </c>
    </row>
    <row r="213" spans="1:14" x14ac:dyDescent="0.3">
      <c r="D213" s="6">
        <v>2</v>
      </c>
      <c r="E213" s="6"/>
      <c r="F213" s="6"/>
      <c r="G213" s="10" t="str">
        <f ca="1">Language!A1437</f>
        <v>от</v>
      </c>
      <c r="H213" s="111">
        <v>0.15</v>
      </c>
      <c r="K213" s="10" t="str">
        <f ca="1">Language!A1437</f>
        <v>от</v>
      </c>
      <c r="L213" s="111">
        <v>0.9</v>
      </c>
    </row>
    <row r="214" spans="1:14" x14ac:dyDescent="0.3">
      <c r="D214" s="6"/>
      <c r="E214" s="6"/>
      <c r="F214" s="6"/>
      <c r="G214" s="10" t="str">
        <f ca="1">Language!A1438</f>
        <v>с шагом</v>
      </c>
      <c r="H214" s="111">
        <v>0.02</v>
      </c>
      <c r="K214" s="10" t="str">
        <f ca="1">Language!A1438</f>
        <v>с шагом</v>
      </c>
      <c r="L214" s="111">
        <v>0.1</v>
      </c>
    </row>
    <row r="215" spans="1:14" x14ac:dyDescent="0.3">
      <c r="D215" s="6"/>
      <c r="E215" s="6"/>
      <c r="F215" s="6"/>
    </row>
    <row r="216" spans="1:14" x14ac:dyDescent="0.3">
      <c r="D216" s="6">
        <v>2</v>
      </c>
      <c r="E216" s="6"/>
      <c r="F216" s="6"/>
      <c r="G216" s="10" t="str">
        <f ca="1">Language!A1439</f>
        <v>Результат:</v>
      </c>
      <c r="H216" s="22" t="str">
        <f ca="1">OFFSET(Sens_Results,Sens_Result,0)</f>
        <v>NPV проекта</v>
      </c>
    </row>
    <row r="217" spans="1:14" x14ac:dyDescent="0.3">
      <c r="D217" s="6"/>
      <c r="E217" s="6"/>
      <c r="F217" s="6"/>
    </row>
    <row r="218" spans="1:14" x14ac:dyDescent="0.3">
      <c r="D218" s="6"/>
      <c r="E218" s="6"/>
      <c r="F218" s="6"/>
      <c r="G218" s="10" t="str">
        <f ca="1">Language!A1440</f>
        <v>Таблица данных</v>
      </c>
    </row>
    <row r="219" spans="1:14" x14ac:dyDescent="0.3">
      <c r="D219" s="6">
        <v>5</v>
      </c>
      <c r="E219" s="6"/>
      <c r="F219" s="6"/>
      <c r="G219" s="311"/>
      <c r="H219" s="312">
        <f>Sens_ParamFrom</f>
        <v>0.15</v>
      </c>
      <c r="I219" s="312">
        <f t="shared" ref="I219:N219" si="0">H219+Sens_ParamStep</f>
        <v>0.16999999999999998</v>
      </c>
      <c r="J219" s="312">
        <f t="shared" si="0"/>
        <v>0.18999999999999997</v>
      </c>
      <c r="K219" s="312">
        <f t="shared" si="0"/>
        <v>0.20999999999999996</v>
      </c>
      <c r="L219" s="312">
        <f t="shared" si="0"/>
        <v>0.22999999999999995</v>
      </c>
      <c r="M219" s="312">
        <f t="shared" si="0"/>
        <v>0.24999999999999994</v>
      </c>
      <c r="N219" s="313">
        <f t="shared" si="0"/>
        <v>0.26999999999999996</v>
      </c>
    </row>
    <row r="220" spans="1:14" x14ac:dyDescent="0.3">
      <c r="D220" s="6"/>
      <c r="E220" s="6"/>
      <c r="F220" s="6"/>
      <c r="G220" s="314">
        <f>Sens_ItemFrom</f>
        <v>0.9</v>
      </c>
      <c r="H220" s="261">
        <v>0</v>
      </c>
      <c r="I220" s="261">
        <v>0</v>
      </c>
      <c r="J220" s="261">
        <v>0</v>
      </c>
      <c r="K220" s="261">
        <v>0</v>
      </c>
      <c r="L220" s="261">
        <v>0</v>
      </c>
      <c r="M220" s="261">
        <v>0</v>
      </c>
      <c r="N220" s="262">
        <v>0</v>
      </c>
    </row>
    <row r="221" spans="1:14" x14ac:dyDescent="0.3">
      <c r="D221" s="6"/>
      <c r="E221" s="6"/>
      <c r="F221" s="6"/>
      <c r="G221" s="314">
        <f>IFERROR(G220+Sens_ItemStep,"-")</f>
        <v>1</v>
      </c>
      <c r="H221" s="261">
        <v>0</v>
      </c>
      <c r="I221" s="261">
        <v>0</v>
      </c>
      <c r="J221" s="261">
        <v>0</v>
      </c>
      <c r="K221" s="261">
        <v>0</v>
      </c>
      <c r="L221" s="261">
        <v>0</v>
      </c>
      <c r="M221" s="261">
        <v>0</v>
      </c>
      <c r="N221" s="262">
        <v>0</v>
      </c>
    </row>
    <row r="222" spans="1:14" x14ac:dyDescent="0.3">
      <c r="D222" s="6"/>
      <c r="E222" s="6"/>
      <c r="F222" s="6"/>
      <c r="G222" s="314">
        <f>IFERROR(G221+Sens_ItemStep,"-")</f>
        <v>1.1000000000000001</v>
      </c>
      <c r="H222" s="261">
        <v>0</v>
      </c>
      <c r="I222" s="261">
        <v>0</v>
      </c>
      <c r="J222" s="261">
        <v>0</v>
      </c>
      <c r="K222" s="261">
        <v>0</v>
      </c>
      <c r="L222" s="261">
        <v>0</v>
      </c>
      <c r="M222" s="261">
        <v>0</v>
      </c>
      <c r="N222" s="262">
        <v>0</v>
      </c>
    </row>
    <row r="223" spans="1:14" x14ac:dyDescent="0.3">
      <c r="D223" s="6"/>
      <c r="E223" s="6"/>
      <c r="F223" s="6"/>
      <c r="G223" s="314">
        <f>IFERROR(G222+Sens_ItemStep,"-")</f>
        <v>1.2000000000000002</v>
      </c>
      <c r="H223" s="261">
        <v>0</v>
      </c>
      <c r="I223" s="261">
        <v>0</v>
      </c>
      <c r="J223" s="261">
        <v>0</v>
      </c>
      <c r="K223" s="261">
        <v>0</v>
      </c>
      <c r="L223" s="261">
        <v>0</v>
      </c>
      <c r="M223" s="261">
        <v>0</v>
      </c>
      <c r="N223" s="262">
        <v>0</v>
      </c>
    </row>
    <row r="224" spans="1:14" x14ac:dyDescent="0.3">
      <c r="D224" s="6"/>
      <c r="E224" s="6"/>
      <c r="F224" s="6"/>
      <c r="G224" s="315">
        <f>IFERROR(G223+Sens_ItemStep,"-")</f>
        <v>1.3000000000000003</v>
      </c>
      <c r="H224" s="263">
        <v>0</v>
      </c>
      <c r="I224" s="264">
        <v>0</v>
      </c>
      <c r="J224" s="264">
        <v>0</v>
      </c>
      <c r="K224" s="264">
        <v>0</v>
      </c>
      <c r="L224" s="264">
        <v>0</v>
      </c>
      <c r="M224" s="264">
        <v>0</v>
      </c>
      <c r="N224" s="265">
        <v>0</v>
      </c>
    </row>
    <row r="225" spans="4:14" x14ac:dyDescent="0.3">
      <c r="D225" s="6"/>
      <c r="E225" s="6"/>
      <c r="F225" s="6"/>
      <c r="G225" s="62"/>
      <c r="H225" s="62"/>
      <c r="I225" s="62"/>
      <c r="J225" s="62"/>
      <c r="K225" s="62"/>
      <c r="L225" s="62"/>
      <c r="M225" s="62"/>
      <c r="N225" s="62"/>
    </row>
    <row r="226" spans="4:14" x14ac:dyDescent="0.3">
      <c r="D226" s="6"/>
      <c r="E226" s="6"/>
      <c r="F226" s="6"/>
    </row>
    <row r="227" spans="4:14" x14ac:dyDescent="0.3">
      <c r="D227" s="6"/>
      <c r="E227" s="6"/>
      <c r="F227" s="6"/>
    </row>
    <row r="228" spans="4:14" x14ac:dyDescent="0.3">
      <c r="D228" s="6"/>
      <c r="E228" s="6"/>
      <c r="F228" s="6"/>
    </row>
    <row r="229" spans="4:14" x14ac:dyDescent="0.3">
      <c r="D229" s="6"/>
      <c r="E229" s="6"/>
      <c r="F229" s="6"/>
    </row>
    <row r="230" spans="4:14" x14ac:dyDescent="0.3">
      <c r="D230" s="6"/>
      <c r="E230" s="6"/>
      <c r="F230" s="6"/>
    </row>
    <row r="231" spans="4:14" x14ac:dyDescent="0.3">
      <c r="D231" s="6"/>
      <c r="E231" s="6"/>
      <c r="F231" s="6"/>
    </row>
    <row r="232" spans="4:14" x14ac:dyDescent="0.3">
      <c r="D232" s="6"/>
      <c r="E232" s="6"/>
      <c r="F232" s="6"/>
    </row>
    <row r="233" spans="4:14" x14ac:dyDescent="0.3">
      <c r="D233" s="6"/>
      <c r="E233" s="6"/>
      <c r="F233" s="6"/>
    </row>
    <row r="234" spans="4:14" x14ac:dyDescent="0.3">
      <c r="D234" s="6"/>
      <c r="E234" s="6"/>
      <c r="F234" s="6"/>
    </row>
    <row r="235" spans="4:14" x14ac:dyDescent="0.3">
      <c r="D235" s="6"/>
      <c r="E235" s="6"/>
      <c r="F235" s="6"/>
    </row>
    <row r="236" spans="4:14" x14ac:dyDescent="0.3">
      <c r="D236" s="6"/>
      <c r="E236" s="6"/>
      <c r="F236" s="6"/>
    </row>
    <row r="237" spans="4:14" x14ac:dyDescent="0.3">
      <c r="D237" s="6"/>
      <c r="E237" s="6"/>
      <c r="F237" s="6"/>
    </row>
    <row r="238" spans="4:14" x14ac:dyDescent="0.3">
      <c r="D238" s="6"/>
      <c r="E238" s="6"/>
      <c r="F238" s="6"/>
    </row>
    <row r="239" spans="4:14" x14ac:dyDescent="0.3">
      <c r="D239" s="6"/>
      <c r="E239" s="6"/>
      <c r="F239" s="6"/>
    </row>
    <row r="240" spans="4:14" x14ac:dyDescent="0.3">
      <c r="D240" s="6"/>
      <c r="E240" s="6"/>
      <c r="F240" s="6"/>
    </row>
    <row r="241" spans="4:12" x14ac:dyDescent="0.3">
      <c r="D241" s="6"/>
      <c r="E241" s="6"/>
      <c r="F241" s="6"/>
    </row>
    <row r="242" spans="4:12" x14ac:dyDescent="0.3">
      <c r="D242" s="6"/>
      <c r="E242" s="6"/>
      <c r="F242" s="6"/>
    </row>
    <row r="243" spans="4:12" x14ac:dyDescent="0.3">
      <c r="D243" s="6"/>
      <c r="E243" s="6"/>
      <c r="F243" s="6"/>
    </row>
    <row r="244" spans="4:12" x14ac:dyDescent="0.3">
      <c r="D244" s="6"/>
      <c r="E244" s="6"/>
      <c r="F244" s="6"/>
    </row>
    <row r="245" spans="4:12" x14ac:dyDescent="0.3">
      <c r="D245" s="6"/>
      <c r="E245" s="6"/>
      <c r="F245" s="6"/>
    </row>
    <row r="246" spans="4:12" x14ac:dyDescent="0.3">
      <c r="D246" s="6"/>
      <c r="E246" s="6"/>
      <c r="F246" s="6"/>
    </row>
    <row r="247" spans="4:12" x14ac:dyDescent="0.3">
      <c r="D247" s="6"/>
      <c r="E247" s="6"/>
      <c r="F247" s="6"/>
    </row>
    <row r="248" spans="4:12" x14ac:dyDescent="0.3">
      <c r="D248" s="6"/>
      <c r="E248" s="6"/>
      <c r="F248" s="6"/>
    </row>
    <row r="249" spans="4:12" x14ac:dyDescent="0.3">
      <c r="D249" s="6"/>
      <c r="E249" s="6"/>
      <c r="F249" s="6"/>
      <c r="G249" s="5" t="str">
        <f ca="1">Language!A1441</f>
        <v>Настройки анализа чувствительности</v>
      </c>
    </row>
    <row r="250" spans="4:12" outlineLevel="1" x14ac:dyDescent="0.3">
      <c r="D250" s="6"/>
      <c r="E250" s="6"/>
      <c r="F250" s="6"/>
    </row>
    <row r="251" spans="4:12" outlineLevel="1" x14ac:dyDescent="0.3">
      <c r="D251" s="6"/>
      <c r="E251" s="6"/>
      <c r="F251" s="6"/>
      <c r="G251" s="22" t="str">
        <f ca="1">Language!A1442</f>
        <v>Исходные параметры:</v>
      </c>
    </row>
    <row r="252" spans="4:12" outlineLevel="1" x14ac:dyDescent="0.3">
      <c r="D252" s="6"/>
      <c r="E252" s="6"/>
      <c r="F252" s="6"/>
      <c r="G252" s="12" t="str">
        <f ca="1">Language!A1444</f>
        <v>Название параметра</v>
      </c>
      <c r="H252" s="13"/>
      <c r="I252" s="13"/>
      <c r="J252" s="13"/>
      <c r="K252" s="36" t="str">
        <f ca="1">Language!A1445</f>
        <v>Имя области</v>
      </c>
      <c r="L252" s="36" t="str">
        <f ca="1">Language!A1446</f>
        <v>Проценты?</v>
      </c>
    </row>
    <row r="253" spans="4:12" outlineLevel="1" x14ac:dyDescent="0.3">
      <c r="D253" s="6"/>
      <c r="E253" s="6"/>
      <c r="F253" s="6"/>
      <c r="G253" s="10" t="str">
        <f ca="1">Language!A1448</f>
        <v>Цены продаж</v>
      </c>
      <c r="K253" s="10" t="s">
        <v>864</v>
      </c>
      <c r="L253" s="17"/>
    </row>
    <row r="254" spans="4:12" outlineLevel="1" x14ac:dyDescent="0.3">
      <c r="D254" s="6"/>
      <c r="E254" s="6"/>
      <c r="F254" s="6"/>
      <c r="G254" s="10" t="str">
        <f ca="1">Language!A1449</f>
        <v>Затраты на сырье и материалы</v>
      </c>
      <c r="K254" s="10" t="s">
        <v>1593</v>
      </c>
      <c r="L254" s="17"/>
    </row>
    <row r="255" spans="4:12" outlineLevel="1" x14ac:dyDescent="0.3">
      <c r="D255" s="6"/>
      <c r="E255" s="6"/>
      <c r="F255" s="6"/>
      <c r="G255" s="10" t="str">
        <f ca="1">Language!A1450</f>
        <v>Затраты на оплату труда</v>
      </c>
      <c r="K255" s="10" t="s">
        <v>1595</v>
      </c>
      <c r="L255" s="17"/>
    </row>
    <row r="256" spans="4:12" outlineLevel="1" x14ac:dyDescent="0.3">
      <c r="D256" s="6"/>
      <c r="E256" s="6"/>
      <c r="F256" s="6"/>
      <c r="G256" s="10" t="str">
        <f ca="1">Language!A1451</f>
        <v>Производственные издержки</v>
      </c>
      <c r="K256" s="10" t="s">
        <v>1596</v>
      </c>
      <c r="L256" s="17"/>
    </row>
    <row r="257" spans="4:12" outlineLevel="1" x14ac:dyDescent="0.3">
      <c r="D257" s="6"/>
      <c r="E257" s="6"/>
      <c r="F257" s="6"/>
      <c r="G257" s="10" t="str">
        <f ca="1">Language!A1452</f>
        <v>Коммерческие издержки</v>
      </c>
      <c r="K257" s="10" t="s">
        <v>1597</v>
      </c>
      <c r="L257" s="17"/>
    </row>
    <row r="258" spans="4:12" outlineLevel="1" x14ac:dyDescent="0.3">
      <c r="D258" s="6"/>
      <c r="E258" s="6"/>
      <c r="F258" s="6"/>
      <c r="G258" s="10" t="str">
        <f ca="1">Language!A1453</f>
        <v>Управленческие издержки</v>
      </c>
      <c r="K258" s="10" t="s">
        <v>1598</v>
      </c>
      <c r="L258" s="17"/>
    </row>
    <row r="259" spans="4:12" outlineLevel="1" x14ac:dyDescent="0.3">
      <c r="D259" s="6"/>
      <c r="E259" s="6"/>
      <c r="F259" s="6"/>
      <c r="G259" s="10" t="str">
        <f ca="1">Language!A1454</f>
        <v>Операционные расходы - всего</v>
      </c>
      <c r="K259" s="10" t="s">
        <v>1599</v>
      </c>
      <c r="L259" s="17"/>
    </row>
    <row r="260" spans="4:12" outlineLevel="1" x14ac:dyDescent="0.3">
      <c r="D260" s="6"/>
      <c r="E260" s="6"/>
      <c r="F260" s="6"/>
      <c r="G260" s="10" t="str">
        <f ca="1">Language!A1455</f>
        <v>Инвестиции в основные средства</v>
      </c>
      <c r="K260" s="10" t="s">
        <v>866</v>
      </c>
      <c r="L260" s="17"/>
    </row>
    <row r="261" spans="4:12" outlineLevel="1" x14ac:dyDescent="0.3">
      <c r="D261" s="6"/>
      <c r="E261" s="6"/>
      <c r="F261" s="6"/>
      <c r="G261" s="10" t="str">
        <f ca="1">Language!A1456</f>
        <v>Ставка дисконтирования</v>
      </c>
      <c r="K261" s="10" t="s">
        <v>867</v>
      </c>
      <c r="L261" s="17" t="s">
        <v>1</v>
      </c>
    </row>
    <row r="262" spans="4:12" outlineLevel="1" x14ac:dyDescent="0.3">
      <c r="D262" s="6"/>
      <c r="E262" s="6"/>
      <c r="F262" s="6"/>
    </row>
    <row r="263" spans="4:12" outlineLevel="1" x14ac:dyDescent="0.3">
      <c r="D263" s="6"/>
      <c r="E263" s="6"/>
      <c r="F263" s="6"/>
      <c r="G263" s="22" t="str">
        <f ca="1">Language!A1443</f>
        <v>Результаты анализа:</v>
      </c>
    </row>
    <row r="264" spans="4:12" outlineLevel="1" x14ac:dyDescent="0.3">
      <c r="D264" s="6"/>
      <c r="E264" s="6"/>
      <c r="F264" s="6"/>
      <c r="G264" s="12" t="str">
        <f ca="1">Language!A1444</f>
        <v>Название параметра</v>
      </c>
      <c r="H264" s="13"/>
      <c r="I264" s="13"/>
      <c r="J264" s="13"/>
      <c r="K264" s="36" t="str">
        <f ca="1">Language!A1445</f>
        <v>Имя области</v>
      </c>
      <c r="L264" s="36" t="str">
        <f ca="1">Language!A1446</f>
        <v>Проценты?</v>
      </c>
    </row>
    <row r="265" spans="4:12" outlineLevel="1" x14ac:dyDescent="0.3">
      <c r="D265" s="6"/>
      <c r="E265" s="6"/>
      <c r="F265" s="6"/>
      <c r="G265" s="10" t="str">
        <f ca="1">Language!A1457</f>
        <v>Суммарная прибыль</v>
      </c>
      <c r="K265" s="10" t="s">
        <v>870</v>
      </c>
      <c r="L265" s="17"/>
    </row>
    <row r="266" spans="4:12" outlineLevel="1" x14ac:dyDescent="0.3">
      <c r="D266" s="6"/>
      <c r="E266" s="6"/>
      <c r="F266" s="6"/>
      <c r="G266" s="10" t="str">
        <f ca="1">Language!A1458</f>
        <v>NPV проекта</v>
      </c>
      <c r="K266" s="10" t="s">
        <v>871</v>
      </c>
      <c r="L266" s="17"/>
    </row>
    <row r="267" spans="4:12" outlineLevel="1" x14ac:dyDescent="0.3">
      <c r="D267" s="6"/>
      <c r="E267" s="6"/>
      <c r="F267" s="6"/>
      <c r="G267" s="10" t="str">
        <f ca="1">Language!A1459</f>
        <v>IRR проекта</v>
      </c>
      <c r="K267" s="10" t="s">
        <v>874</v>
      </c>
      <c r="L267" s="17" t="s">
        <v>1</v>
      </c>
    </row>
    <row r="268" spans="4:12" outlineLevel="1" x14ac:dyDescent="0.3">
      <c r="G268" s="10" t="str">
        <f ca="1">Language!A1460</f>
        <v>PBP проекта</v>
      </c>
      <c r="K268" s="10" t="s">
        <v>1580</v>
      </c>
    </row>
    <row r="269" spans="4:12" outlineLevel="1" x14ac:dyDescent="0.3">
      <c r="G269" s="10" t="str">
        <f ca="1">Language!A1461</f>
        <v>NPV для собственников</v>
      </c>
      <c r="K269" s="10" t="s">
        <v>1587</v>
      </c>
    </row>
    <row r="270" spans="4:12" outlineLevel="1" x14ac:dyDescent="0.3">
      <c r="G270" s="10" t="str">
        <f ca="1">Language!A1462</f>
        <v>IRR для собственников</v>
      </c>
      <c r="K270" s="10" t="s">
        <v>1579</v>
      </c>
      <c r="L270" s="17" t="s">
        <v>1</v>
      </c>
    </row>
    <row r="271" spans="4:12" outlineLevel="1" x14ac:dyDescent="0.3">
      <c r="G271" s="10" t="str">
        <f ca="1">Language!A1463</f>
        <v>PBP для собственников</v>
      </c>
      <c r="K271" s="10" t="s">
        <v>1588</v>
      </c>
    </row>
    <row r="272" spans="4:12" outlineLevel="1" x14ac:dyDescent="0.3">
      <c r="G272" s="10" t="str">
        <f ca="1">Language!A1464</f>
        <v>NPV для банка</v>
      </c>
      <c r="K272" s="10" t="s">
        <v>1589</v>
      </c>
    </row>
    <row r="273" spans="7:12" outlineLevel="1" x14ac:dyDescent="0.3">
      <c r="G273" s="10" t="str">
        <f ca="1">Language!A1465</f>
        <v>IRR для банка</v>
      </c>
      <c r="K273" s="10" t="s">
        <v>1590</v>
      </c>
      <c r="L273" s="17" t="s">
        <v>1</v>
      </c>
    </row>
    <row r="274" spans="7:12" outlineLevel="1" x14ac:dyDescent="0.3">
      <c r="G274" s="10" t="str">
        <f ca="1">Language!A1466</f>
        <v>PBP для банка</v>
      </c>
      <c r="K274" s="10" t="s">
        <v>1591</v>
      </c>
    </row>
    <row r="275" spans="7:12" outlineLevel="1" x14ac:dyDescent="0.3"/>
  </sheetData>
  <sheetProtection formatCells="0"/>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Run_Sens">
                <anchor moveWithCells="1">
                  <from>
                    <xdr:col>9</xdr:col>
                    <xdr:colOff>38100</xdr:colOff>
                    <xdr:row>209</xdr:row>
                    <xdr:rowOff>38100</xdr:rowOff>
                  </from>
                  <to>
                    <xdr:col>10</xdr:col>
                    <xdr:colOff>15240</xdr:colOff>
                    <xdr:row>209</xdr:row>
                    <xdr:rowOff>289560</xdr:rowOff>
                  </to>
                </anchor>
              </controlPr>
            </control>
          </mc:Choice>
        </mc:AlternateContent>
        <mc:AlternateContent xmlns:mc="http://schemas.openxmlformats.org/markup-compatibility/2006">
          <mc:Choice Requires="x14">
            <control shapeId="16386" r:id="rId4" name="Button 2">
              <controlPr defaultSize="0" print="0" autoFill="0" autoPict="0" macro="[0]!Run_SensRecalc">
                <anchor moveWithCells="1">
                  <from>
                    <xdr:col>11</xdr:col>
                    <xdr:colOff>22860</xdr:colOff>
                    <xdr:row>209</xdr:row>
                    <xdr:rowOff>38100</xdr:rowOff>
                  </from>
                  <to>
                    <xdr:col>12</xdr:col>
                    <xdr:colOff>91440</xdr:colOff>
                    <xdr:row>209</xdr:row>
                    <xdr:rowOff>289560</xdr:rowOff>
                  </to>
                </anchor>
              </controlPr>
            </control>
          </mc:Choice>
        </mc:AlternateContent>
        <mc:AlternateContent xmlns:mc="http://schemas.openxmlformats.org/markup-compatibility/2006">
          <mc:Choice Requires="x14">
            <control shapeId="16387" r:id="rId5" name="Button 3">
              <controlPr defaultSize="0" print="0" autoFill="0" autoPict="0" macro="[0]!Show_Navigator">
                <anchor moveWithCells="1">
                  <from>
                    <xdr:col>0</xdr:col>
                    <xdr:colOff>38100</xdr:colOff>
                    <xdr:row>209</xdr:row>
                    <xdr:rowOff>38100</xdr:rowOff>
                  </from>
                  <to>
                    <xdr:col>0</xdr:col>
                    <xdr:colOff>289560</xdr:colOff>
                    <xdr:row>209</xdr:row>
                    <xdr:rowOff>289560</xdr:rowOff>
                  </to>
                </anchor>
              </controlPr>
            </control>
          </mc:Choice>
        </mc:AlternateContent>
        <mc:AlternateContent xmlns:mc="http://schemas.openxmlformats.org/markup-compatibility/2006">
          <mc:Choice Requires="x14">
            <control shapeId="16390" r:id="rId6" name="Button 6">
              <controlPr defaultSize="0" print="0" autoFill="0" autoPict="0" macro="[0]!Show_Navigator">
                <anchor moveWithCells="1">
                  <from>
                    <xdr:col>0</xdr:col>
                    <xdr:colOff>38100</xdr:colOff>
                    <xdr:row>27</xdr:row>
                    <xdr:rowOff>38100</xdr:rowOff>
                  </from>
                  <to>
                    <xdr:col>0</xdr:col>
                    <xdr:colOff>289560</xdr:colOff>
                    <xdr:row>27</xdr:row>
                    <xdr:rowOff>289560</xdr:rowOff>
                  </to>
                </anchor>
              </controlPr>
            </control>
          </mc:Choice>
        </mc:AlternateContent>
        <mc:AlternateContent xmlns:mc="http://schemas.openxmlformats.org/markup-compatibility/2006">
          <mc:Choice Requires="x14">
            <control shapeId="16391" r:id="rId7" name="Button 7">
              <controlPr defaultSize="0" print="0" autoFill="0" autoPict="0" macro="[0]!Show_Navigator">
                <anchor moveWithCells="1">
                  <from>
                    <xdr:col>0</xdr:col>
                    <xdr:colOff>38100</xdr:colOff>
                    <xdr:row>1</xdr:row>
                    <xdr:rowOff>38100</xdr:rowOff>
                  </from>
                  <to>
                    <xdr:col>0</xdr:col>
                    <xdr:colOff>289560</xdr:colOff>
                    <xdr:row>1</xdr:row>
                    <xdr:rowOff>289560</xdr:rowOff>
                  </to>
                </anchor>
              </controlPr>
            </control>
          </mc:Choice>
        </mc:AlternateContent>
        <mc:AlternateContent xmlns:mc="http://schemas.openxmlformats.org/markup-compatibility/2006">
          <mc:Choice Requires="x14">
            <control shapeId="16392" r:id="rId8" name="Button 8">
              <controlPr defaultSize="0" print="0" autoFill="0" autoPict="0" macro="[0]!Show_Navigator">
                <anchor moveWithCells="1">
                  <from>
                    <xdr:col>0</xdr:col>
                    <xdr:colOff>38100</xdr:colOff>
                    <xdr:row>53</xdr:row>
                    <xdr:rowOff>38100</xdr:rowOff>
                  </from>
                  <to>
                    <xdr:col>0</xdr:col>
                    <xdr:colOff>289560</xdr:colOff>
                    <xdr:row>53</xdr:row>
                    <xdr:rowOff>289560</xdr:rowOff>
                  </to>
                </anchor>
              </controlPr>
            </control>
          </mc:Choice>
        </mc:AlternateContent>
        <mc:AlternateContent xmlns:mc="http://schemas.openxmlformats.org/markup-compatibility/2006">
          <mc:Choice Requires="x14">
            <control shapeId="16394" r:id="rId9" name="Button 10">
              <controlPr defaultSize="0" print="0" autoFill="0" autoPict="0" macro="[0]!Show_Navigator">
                <anchor moveWithCells="1">
                  <from>
                    <xdr:col>0</xdr:col>
                    <xdr:colOff>38100</xdr:colOff>
                    <xdr:row>79</xdr:row>
                    <xdr:rowOff>38100</xdr:rowOff>
                  </from>
                  <to>
                    <xdr:col>0</xdr:col>
                    <xdr:colOff>289560</xdr:colOff>
                    <xdr:row>79</xdr:row>
                    <xdr:rowOff>289560</xdr:rowOff>
                  </to>
                </anchor>
              </controlPr>
            </control>
          </mc:Choice>
        </mc:AlternateContent>
        <mc:AlternateContent xmlns:mc="http://schemas.openxmlformats.org/markup-compatibility/2006">
          <mc:Choice Requires="x14">
            <control shapeId="16395" r:id="rId10" name="Button 11">
              <controlPr defaultSize="0" print="0" autoFill="0" autoPict="0" macro="[0]!Show_Navigator">
                <anchor moveWithCells="1">
                  <from>
                    <xdr:col>0</xdr:col>
                    <xdr:colOff>38100</xdr:colOff>
                    <xdr:row>105</xdr:row>
                    <xdr:rowOff>38100</xdr:rowOff>
                  </from>
                  <to>
                    <xdr:col>0</xdr:col>
                    <xdr:colOff>289560</xdr:colOff>
                    <xdr:row>105</xdr:row>
                    <xdr:rowOff>289560</xdr:rowOff>
                  </to>
                </anchor>
              </controlPr>
            </control>
          </mc:Choice>
        </mc:AlternateContent>
        <mc:AlternateContent xmlns:mc="http://schemas.openxmlformats.org/markup-compatibility/2006">
          <mc:Choice Requires="x14">
            <control shapeId="16396" r:id="rId11" name="Button 12">
              <controlPr defaultSize="0" print="0" autoFill="0" autoPict="0" macro="[0]!Show_Navigator">
                <anchor moveWithCells="1">
                  <from>
                    <xdr:col>0</xdr:col>
                    <xdr:colOff>38100</xdr:colOff>
                    <xdr:row>131</xdr:row>
                    <xdr:rowOff>38100</xdr:rowOff>
                  </from>
                  <to>
                    <xdr:col>0</xdr:col>
                    <xdr:colOff>289560</xdr:colOff>
                    <xdr:row>131</xdr:row>
                    <xdr:rowOff>289560</xdr:rowOff>
                  </to>
                </anchor>
              </controlPr>
            </control>
          </mc:Choice>
        </mc:AlternateContent>
        <mc:AlternateContent xmlns:mc="http://schemas.openxmlformats.org/markup-compatibility/2006">
          <mc:Choice Requires="x14">
            <control shapeId="16397" r:id="rId12" name="Button 13">
              <controlPr defaultSize="0" print="0" autoFill="0" autoPict="0" macro="[0]!Show_Navigator">
                <anchor moveWithCells="1">
                  <from>
                    <xdr:col>0</xdr:col>
                    <xdr:colOff>38100</xdr:colOff>
                    <xdr:row>157</xdr:row>
                    <xdr:rowOff>38100</xdr:rowOff>
                  </from>
                  <to>
                    <xdr:col>0</xdr:col>
                    <xdr:colOff>289560</xdr:colOff>
                    <xdr:row>157</xdr:row>
                    <xdr:rowOff>289560</xdr:rowOff>
                  </to>
                </anchor>
              </controlPr>
            </control>
          </mc:Choice>
        </mc:AlternateContent>
        <mc:AlternateContent xmlns:mc="http://schemas.openxmlformats.org/markup-compatibility/2006">
          <mc:Choice Requires="x14">
            <control shapeId="16398" r:id="rId13" name="Button 14">
              <controlPr defaultSize="0" print="0" autoFill="0" autoPict="0" macro="[0]!Show_Navigator">
                <anchor moveWithCells="1">
                  <from>
                    <xdr:col>0</xdr:col>
                    <xdr:colOff>38100</xdr:colOff>
                    <xdr:row>183</xdr:row>
                    <xdr:rowOff>38100</xdr:rowOff>
                  </from>
                  <to>
                    <xdr:col>0</xdr:col>
                    <xdr:colOff>289560</xdr:colOff>
                    <xdr:row>183</xdr:row>
                    <xdr:rowOff>289560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6">
    <outlinePr summaryBelow="0" summaryRight="0"/>
  </sheetPr>
  <dimension ref="A1:BB13"/>
  <sheetViews>
    <sheetView workbookViewId="0">
      <pane xSplit="6" ySplit="2" topLeftCell="G3" activePane="bottomRight" state="frozen"/>
      <selection pane="topRight" activeCell="G1" sqref="G1"/>
      <selection pane="bottomLeft" activeCell="A3" sqref="A3"/>
      <selection pane="bottomRight" activeCell="A6" sqref="A6"/>
    </sheetView>
  </sheetViews>
  <sheetFormatPr defaultColWidth="8.77734375" defaultRowHeight="13.8" x14ac:dyDescent="0.3"/>
  <cols>
    <col min="1" max="1" width="50.5546875" style="5" customWidth="1"/>
    <col min="2" max="3" width="12.5546875" style="5" customWidth="1"/>
    <col min="4" max="4" width="6.5546875" style="6" hidden="1" customWidth="1"/>
    <col min="5" max="5" width="12.5546875" style="6" hidden="1" customWidth="1"/>
    <col min="6" max="6" width="24.5546875" style="6" hidden="1" customWidth="1"/>
    <col min="7" max="54" width="12.5546875" style="5" customWidth="1"/>
    <col min="55" max="16384" width="8.77734375" style="5"/>
  </cols>
  <sheetData>
    <row r="1" spans="1:54" s="3" customFormat="1" ht="12.75" customHeight="1" x14ac:dyDescent="0.2">
      <c r="A1" s="456" t="str">
        <f ca="1">Language!A1467 &amp; " :: " &amp; Prj_Name</f>
        <v>Сценарии :: SPORT PLACE</v>
      </c>
      <c r="B1" s="457"/>
      <c r="C1" s="457"/>
      <c r="D1" s="1" t="s">
        <v>6</v>
      </c>
      <c r="E1" s="1" t="s">
        <v>4</v>
      </c>
      <c r="F1" s="1" t="s">
        <v>5</v>
      </c>
      <c r="G1" s="1" t="str">
        <f ca="1">Параметры!G$34</f>
        <v>янв.25</v>
      </c>
      <c r="H1" s="1" t="str">
        <f ca="1">Параметры!H$34</f>
        <v>фев.25</v>
      </c>
      <c r="I1" s="1" t="str">
        <f ca="1">Параметры!I$34</f>
        <v>мар.25</v>
      </c>
      <c r="J1" s="1" t="str">
        <f ca="1">Параметры!J$34</f>
        <v>апр.25</v>
      </c>
      <c r="K1" s="1" t="str">
        <f ca="1">Параметры!K$34</f>
        <v>май.25</v>
      </c>
      <c r="L1" s="1" t="str">
        <f ca="1">Параметры!L$34</f>
        <v>июн.25</v>
      </c>
      <c r="M1" s="1" t="str">
        <f ca="1">Параметры!M$34</f>
        <v>июл.25</v>
      </c>
      <c r="N1" s="1" t="str">
        <f ca="1">Параметры!N$34</f>
        <v>авг.25</v>
      </c>
      <c r="O1" s="1" t="str">
        <f ca="1">Параметры!O$34</f>
        <v>сен.25</v>
      </c>
      <c r="P1" s="1" t="str">
        <f ca="1">Параметры!P$34</f>
        <v>окт.25</v>
      </c>
      <c r="Q1" s="1" t="str">
        <f ca="1">Параметры!Q$34</f>
        <v>ноя.25</v>
      </c>
      <c r="R1" s="1" t="str">
        <f ca="1">Параметры!R$34</f>
        <v>дек.25</v>
      </c>
      <c r="S1" s="1" t="str">
        <f ca="1">Параметры!S$34</f>
        <v>янв.26</v>
      </c>
      <c r="T1" s="1" t="str">
        <f ca="1">Параметры!T$34</f>
        <v>фев.26</v>
      </c>
      <c r="U1" s="1" t="str">
        <f ca="1">Параметры!U$34</f>
        <v>мар.26</v>
      </c>
      <c r="V1" s="1" t="str">
        <f ca="1">Параметры!V$34</f>
        <v>апр.26</v>
      </c>
      <c r="W1" s="1" t="str">
        <f ca="1">Параметры!W$34</f>
        <v>май.26</v>
      </c>
      <c r="X1" s="1" t="str">
        <f ca="1">Параметры!X$34</f>
        <v>июн.26</v>
      </c>
      <c r="Y1" s="1" t="str">
        <f ca="1">Параметры!Y$34</f>
        <v>июл.26</v>
      </c>
      <c r="Z1" s="1" t="str">
        <f ca="1">Параметры!Z$34</f>
        <v>авг.26</v>
      </c>
      <c r="AA1" s="1" t="str">
        <f ca="1">Параметры!AA$34</f>
        <v>сен.26</v>
      </c>
      <c r="AB1" s="1" t="str">
        <f ca="1">Параметры!AB$34</f>
        <v>окт.26</v>
      </c>
      <c r="AC1" s="1" t="str">
        <f ca="1">Параметры!AC$34</f>
        <v>ноя.26</v>
      </c>
      <c r="AD1" s="1" t="str">
        <f ca="1">Параметры!AD$34</f>
        <v>дек.26</v>
      </c>
      <c r="AE1" s="1" t="str">
        <f ca="1">Параметры!AE$34</f>
        <v>янв.27</v>
      </c>
      <c r="AF1" s="1" t="str">
        <f ca="1">Параметры!AF$34</f>
        <v>фев.27</v>
      </c>
      <c r="AG1" s="1" t="str">
        <f ca="1">Параметры!AG$34</f>
        <v>мар.27</v>
      </c>
      <c r="AH1" s="1" t="str">
        <f ca="1">Параметры!AH$34</f>
        <v>апр.27</v>
      </c>
      <c r="AI1" s="1" t="str">
        <f ca="1">Параметры!AI$34</f>
        <v>май.27</v>
      </c>
      <c r="AJ1" s="1" t="str">
        <f ca="1">Параметры!AJ$34</f>
        <v>июн.27</v>
      </c>
      <c r="AK1" s="1" t="str">
        <f ca="1">Параметры!AK$34</f>
        <v>июл.27</v>
      </c>
      <c r="AL1" s="1" t="str">
        <f ca="1">Параметры!AL$34</f>
        <v>авг.27</v>
      </c>
      <c r="AM1" s="1" t="str">
        <f ca="1">Параметры!AM$34</f>
        <v>сен.27</v>
      </c>
      <c r="AN1" s="1" t="str">
        <f ca="1">Параметры!AN$34</f>
        <v>окт.27</v>
      </c>
      <c r="AO1" s="1" t="str">
        <f ca="1">Параметры!AO$34</f>
        <v>ноя.27</v>
      </c>
      <c r="AP1" s="1" t="str">
        <f ca="1">Параметры!AP$34</f>
        <v>дек.27</v>
      </c>
      <c r="AQ1" s="1" t="str">
        <f ca="1">Параметры!AQ$34</f>
        <v>янв.28</v>
      </c>
      <c r="AR1" s="1" t="str">
        <f ca="1">Параметры!AR$34</f>
        <v>фев.28</v>
      </c>
      <c r="AS1" s="1" t="str">
        <f ca="1">Параметры!AS$34</f>
        <v>мар.28</v>
      </c>
      <c r="AT1" s="1" t="str">
        <f ca="1">Параметры!AT$34</f>
        <v>апр.28</v>
      </c>
      <c r="AU1" s="1" t="str">
        <f ca="1">Параметры!AU$34</f>
        <v>май.28</v>
      </c>
      <c r="AV1" s="1" t="str">
        <f ca="1">Параметры!AV$34</f>
        <v>июн.28</v>
      </c>
      <c r="AW1" s="1" t="str">
        <f ca="1">Параметры!AW$34</f>
        <v>июл.28</v>
      </c>
      <c r="AX1" s="1" t="str">
        <f ca="1">Параметры!AX$34</f>
        <v>авг.28</v>
      </c>
      <c r="AY1" s="1" t="str">
        <f ca="1">Параметры!AY$34</f>
        <v>сен.28</v>
      </c>
      <c r="AZ1" s="1" t="str">
        <f ca="1">Параметры!AZ$34</f>
        <v>окт.28</v>
      </c>
      <c r="BA1" s="1" t="str">
        <f ca="1">Параметры!BA$34</f>
        <v>ноя.28</v>
      </c>
      <c r="BB1" s="1" t="str">
        <f ca="1">Параметры!BB$34</f>
        <v>дек.28</v>
      </c>
    </row>
    <row r="2" spans="1:54" s="3" customFormat="1" ht="12.75" customHeight="1" x14ac:dyDescent="0.2">
      <c r="A2" s="457"/>
      <c r="B2" s="457"/>
      <c r="C2" s="457"/>
      <c r="D2" s="4"/>
      <c r="E2" s="4"/>
      <c r="F2" s="4"/>
      <c r="G2" s="1">
        <f>Параметры!G25</f>
        <v>1</v>
      </c>
      <c r="H2" s="1">
        <f>Параметры!H25</f>
        <v>2</v>
      </c>
      <c r="I2" s="1">
        <f>Параметры!I25</f>
        <v>3</v>
      </c>
      <c r="J2" s="1">
        <f>Параметры!J25</f>
        <v>4</v>
      </c>
      <c r="K2" s="1">
        <f>Параметры!K25</f>
        <v>5</v>
      </c>
      <c r="L2" s="1">
        <f>Параметры!L25</f>
        <v>6</v>
      </c>
      <c r="M2" s="1">
        <f>Параметры!M25</f>
        <v>7</v>
      </c>
      <c r="N2" s="1">
        <f>Параметры!N25</f>
        <v>8</v>
      </c>
      <c r="O2" s="1">
        <f>Параметры!O25</f>
        <v>9</v>
      </c>
      <c r="P2" s="1">
        <f>Параметры!P25</f>
        <v>10</v>
      </c>
      <c r="Q2" s="1">
        <f>Параметры!Q25</f>
        <v>11</v>
      </c>
      <c r="R2" s="1">
        <f>Параметры!R25</f>
        <v>12</v>
      </c>
      <c r="S2" s="1">
        <f>Параметры!S25</f>
        <v>13</v>
      </c>
      <c r="T2" s="1">
        <f>Параметры!T25</f>
        <v>14</v>
      </c>
      <c r="U2" s="1">
        <f>Параметры!U25</f>
        <v>15</v>
      </c>
      <c r="V2" s="1">
        <f>Параметры!V25</f>
        <v>16</v>
      </c>
      <c r="W2" s="1">
        <f>Параметры!W25</f>
        <v>17</v>
      </c>
      <c r="X2" s="1">
        <f>Параметры!X25</f>
        <v>18</v>
      </c>
      <c r="Y2" s="1">
        <f>Параметры!Y25</f>
        <v>19</v>
      </c>
      <c r="Z2" s="1">
        <f>Параметры!Z25</f>
        <v>20</v>
      </c>
      <c r="AA2" s="1">
        <f>Параметры!AA25</f>
        <v>21</v>
      </c>
      <c r="AB2" s="1">
        <f>Параметры!AB25</f>
        <v>22</v>
      </c>
      <c r="AC2" s="1">
        <f>Параметры!AC25</f>
        <v>23</v>
      </c>
      <c r="AD2" s="1">
        <f>Параметры!AD25</f>
        <v>24</v>
      </c>
      <c r="AE2" s="1">
        <f>Параметры!AE25</f>
        <v>25</v>
      </c>
      <c r="AF2" s="1">
        <f>Параметры!AF25</f>
        <v>26</v>
      </c>
      <c r="AG2" s="1">
        <f>Параметры!AG25</f>
        <v>27</v>
      </c>
      <c r="AH2" s="1">
        <f>Параметры!AH25</f>
        <v>28</v>
      </c>
      <c r="AI2" s="1">
        <f>Параметры!AI25</f>
        <v>29</v>
      </c>
      <c r="AJ2" s="1">
        <f>Параметры!AJ25</f>
        <v>30</v>
      </c>
      <c r="AK2" s="1">
        <f>Параметры!AK25</f>
        <v>31</v>
      </c>
      <c r="AL2" s="1">
        <f>Параметры!AL25</f>
        <v>32</v>
      </c>
      <c r="AM2" s="1">
        <f>Параметры!AM25</f>
        <v>33</v>
      </c>
      <c r="AN2" s="1">
        <f>Параметры!AN25</f>
        <v>34</v>
      </c>
      <c r="AO2" s="1">
        <f>Параметры!AO25</f>
        <v>35</v>
      </c>
      <c r="AP2" s="1">
        <f>Параметры!AP25</f>
        <v>36</v>
      </c>
      <c r="AQ2" s="1">
        <f>Параметры!AQ25</f>
        <v>37</v>
      </c>
      <c r="AR2" s="1">
        <f>Параметры!AR25</f>
        <v>38</v>
      </c>
      <c r="AS2" s="1">
        <f>Параметры!AS25</f>
        <v>39</v>
      </c>
      <c r="AT2" s="1">
        <f>Параметры!AT25</f>
        <v>40</v>
      </c>
      <c r="AU2" s="1">
        <f>Параметры!AU25</f>
        <v>41</v>
      </c>
      <c r="AV2" s="1">
        <f>Параметры!AV25</f>
        <v>42</v>
      </c>
      <c r="AW2" s="1">
        <f>Параметры!AW25</f>
        <v>43</v>
      </c>
      <c r="AX2" s="1">
        <f>Параметры!AX25</f>
        <v>44</v>
      </c>
      <c r="AY2" s="1">
        <f>Параметры!AY25</f>
        <v>45</v>
      </c>
      <c r="AZ2" s="1">
        <f>Параметры!AZ25</f>
        <v>46</v>
      </c>
      <c r="BA2" s="1">
        <f>Параметры!BA25</f>
        <v>47</v>
      </c>
      <c r="BB2" s="1">
        <f>Параметры!BB25</f>
        <v>48</v>
      </c>
    </row>
    <row r="3" spans="1:54" x14ac:dyDescent="0.3">
      <c r="A3" s="244"/>
    </row>
    <row r="4" spans="1:54" s="9" customFormat="1" ht="25.5" customHeight="1" thickBot="1" x14ac:dyDescent="0.35">
      <c r="A4" s="323" t="str">
        <f ca="1">Language!A1468</f>
        <v>СЦЕНАРИИ ПРОЕКТА</v>
      </c>
      <c r="B4" s="324"/>
      <c r="C4" s="325"/>
      <c r="D4" s="326"/>
      <c r="E4" s="326" t="s">
        <v>903</v>
      </c>
      <c r="F4" s="326" t="s">
        <v>3417</v>
      </c>
      <c r="G4" s="327" t="str">
        <f ca="1">Параметры!G$34</f>
        <v>янв.25</v>
      </c>
      <c r="H4" s="327" t="str">
        <f ca="1">Параметры!H$34</f>
        <v>фев.25</v>
      </c>
      <c r="I4" s="327" t="str">
        <f ca="1">Параметры!I$34</f>
        <v>мар.25</v>
      </c>
      <c r="J4" s="327" t="str">
        <f ca="1">Параметры!J$34</f>
        <v>апр.25</v>
      </c>
      <c r="K4" s="327" t="str">
        <f ca="1">Параметры!K$34</f>
        <v>май.25</v>
      </c>
      <c r="L4" s="327" t="str">
        <f ca="1">Параметры!L$34</f>
        <v>июн.25</v>
      </c>
      <c r="M4" s="328" t="str">
        <f ca="1">Параметры!M$34</f>
        <v>июл.25</v>
      </c>
      <c r="N4" s="328" t="str">
        <f ca="1">Параметры!N$34</f>
        <v>авг.25</v>
      </c>
      <c r="O4" s="328" t="str">
        <f ca="1">Параметры!O$34</f>
        <v>сен.25</v>
      </c>
      <c r="P4" s="328" t="str">
        <f ca="1">Параметры!P$34</f>
        <v>окт.25</v>
      </c>
      <c r="Q4" s="328" t="str">
        <f ca="1">Параметры!Q$34</f>
        <v>ноя.25</v>
      </c>
      <c r="R4" s="328" t="str">
        <f ca="1">Параметры!R$34</f>
        <v>дек.25</v>
      </c>
      <c r="S4" s="328" t="str">
        <f ca="1">Параметры!S$34</f>
        <v>янв.26</v>
      </c>
      <c r="T4" s="328" t="str">
        <f ca="1">Параметры!T$34</f>
        <v>фев.26</v>
      </c>
      <c r="U4" s="328" t="str">
        <f ca="1">Параметры!U$34</f>
        <v>мар.26</v>
      </c>
      <c r="V4" s="328" t="str">
        <f ca="1">Параметры!V$34</f>
        <v>апр.26</v>
      </c>
      <c r="W4" s="328" t="str">
        <f ca="1">Параметры!W$34</f>
        <v>май.26</v>
      </c>
      <c r="X4" s="328" t="str">
        <f ca="1">Параметры!X$34</f>
        <v>июн.26</v>
      </c>
      <c r="Y4" s="328" t="str">
        <f ca="1">Параметры!Y$34</f>
        <v>июл.26</v>
      </c>
      <c r="Z4" s="328" t="str">
        <f ca="1">Параметры!Z$34</f>
        <v>авг.26</v>
      </c>
      <c r="AA4" s="328" t="str">
        <f ca="1">Параметры!AA$34</f>
        <v>сен.26</v>
      </c>
      <c r="AB4" s="328" t="str">
        <f ca="1">Параметры!AB$34</f>
        <v>окт.26</v>
      </c>
      <c r="AC4" s="328" t="str">
        <f ca="1">Параметры!AC$34</f>
        <v>ноя.26</v>
      </c>
      <c r="AD4" s="328" t="str">
        <f ca="1">Параметры!AD$34</f>
        <v>дек.26</v>
      </c>
      <c r="AE4" s="328" t="str">
        <f ca="1">Параметры!AE$34</f>
        <v>янв.27</v>
      </c>
      <c r="AF4" s="328" t="str">
        <f ca="1">Параметры!AF$34</f>
        <v>фев.27</v>
      </c>
      <c r="AG4" s="328" t="str">
        <f ca="1">Параметры!AG$34</f>
        <v>мар.27</v>
      </c>
      <c r="AH4" s="328" t="str">
        <f ca="1">Параметры!AH$34</f>
        <v>апр.27</v>
      </c>
      <c r="AI4" s="328" t="str">
        <f ca="1">Параметры!AI$34</f>
        <v>май.27</v>
      </c>
      <c r="AJ4" s="328" t="str">
        <f ca="1">Параметры!AJ$34</f>
        <v>июн.27</v>
      </c>
      <c r="AK4" s="328" t="str">
        <f ca="1">Параметры!AK$34</f>
        <v>июл.27</v>
      </c>
      <c r="AL4" s="328" t="str">
        <f ca="1">Параметры!AL$34</f>
        <v>авг.27</v>
      </c>
      <c r="AM4" s="328" t="str">
        <f ca="1">Параметры!AM$34</f>
        <v>сен.27</v>
      </c>
      <c r="AN4" s="328" t="str">
        <f ca="1">Параметры!AN$34</f>
        <v>окт.27</v>
      </c>
      <c r="AO4" s="328" t="str">
        <f ca="1">Параметры!AO$34</f>
        <v>ноя.27</v>
      </c>
      <c r="AP4" s="328" t="str">
        <f ca="1">Параметры!AP$34</f>
        <v>дек.27</v>
      </c>
      <c r="AQ4" s="328" t="str">
        <f ca="1">Параметры!AQ$34</f>
        <v>янв.28</v>
      </c>
      <c r="AR4" s="328" t="str">
        <f ca="1">Параметры!AR$34</f>
        <v>фев.28</v>
      </c>
      <c r="AS4" s="328" t="str">
        <f ca="1">Параметры!AS$34</f>
        <v>мар.28</v>
      </c>
      <c r="AT4" s="328" t="str">
        <f ca="1">Параметры!AT$34</f>
        <v>апр.28</v>
      </c>
      <c r="AU4" s="328" t="str">
        <f ca="1">Параметры!AU$34</f>
        <v>май.28</v>
      </c>
      <c r="AV4" s="328" t="str">
        <f ca="1">Параметры!AV$34</f>
        <v>июн.28</v>
      </c>
      <c r="AW4" s="328" t="str">
        <f ca="1">Параметры!AW$34</f>
        <v>июл.28</v>
      </c>
      <c r="AX4" s="328" t="str">
        <f ca="1">Параметры!AX$34</f>
        <v>авг.28</v>
      </c>
      <c r="AY4" s="328" t="str">
        <f ca="1">Параметры!AY$34</f>
        <v>сен.28</v>
      </c>
      <c r="AZ4" s="328" t="str">
        <f ca="1">Параметры!AZ$34</f>
        <v>окт.28</v>
      </c>
      <c r="BA4" s="328" t="str">
        <f ca="1">Параметры!BA$34</f>
        <v>ноя.28</v>
      </c>
      <c r="BB4" s="328" t="str">
        <f ca="1">Параметры!BB$34</f>
        <v>дек.28</v>
      </c>
    </row>
    <row r="5" spans="1:54" ht="14.4" thickTop="1" x14ac:dyDescent="0.3">
      <c r="A5" s="10"/>
      <c r="C5" s="17"/>
    </row>
    <row r="6" spans="1:54" x14ac:dyDescent="0.3">
      <c r="A6" s="10" t="str">
        <f ca="1">Language!A1469</f>
        <v>Сейчас модель не использует сценарии</v>
      </c>
      <c r="C6" s="17"/>
    </row>
    <row r="7" spans="1:54" hidden="1" x14ac:dyDescent="0.3">
      <c r="A7" s="266" t="str">
        <f ca="1">Language!A1470</f>
        <v>Текущий сценарий</v>
      </c>
      <c r="B7" s="300"/>
      <c r="C7" s="17"/>
    </row>
    <row r="8" spans="1:54" hidden="1" x14ac:dyDescent="0.3">
      <c r="A8" s="22"/>
      <c r="C8" s="17"/>
    </row>
    <row r="9" spans="1:54" hidden="1" x14ac:dyDescent="0.3">
      <c r="A9" s="12"/>
      <c r="B9" s="13"/>
      <c r="C9" s="36"/>
      <c r="D9" s="14"/>
      <c r="E9" s="14"/>
      <c r="F9" s="14"/>
      <c r="G9" s="13"/>
      <c r="H9" s="13"/>
      <c r="I9" s="13"/>
      <c r="J9" s="13"/>
      <c r="K9" s="13"/>
      <c r="L9" s="13"/>
      <c r="M9" s="13"/>
      <c r="N9" s="13"/>
      <c r="O9" s="13"/>
      <c r="P9" s="13"/>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row>
    <row r="10" spans="1:54" hidden="1" x14ac:dyDescent="0.3">
      <c r="A10" s="10"/>
      <c r="C10" s="17"/>
    </row>
    <row r="11" spans="1:54" hidden="1" x14ac:dyDescent="0.3">
      <c r="A11" s="10" t="str">
        <f ca="1">Language!A1471</f>
        <v>Данные для каждого из сценариев</v>
      </c>
      <c r="C11" s="17"/>
    </row>
    <row r="12" spans="1:54" hidden="1" x14ac:dyDescent="0.3">
      <c r="A12" s="10"/>
      <c r="C12" s="17"/>
    </row>
    <row r="13" spans="1:54" hidden="1" x14ac:dyDescent="0.3">
      <c r="A13" s="310"/>
      <c r="C13" s="17"/>
    </row>
  </sheetData>
  <sheetProtection formatCells="0"/>
  <mergeCells count="1">
    <mergeCell ref="A1:C2"/>
  </mergeCell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autoFill="0" autoPict="0" macro="[0]!Show_Navigator" altText="...">
                <anchor moveWithCells="1">
                  <from>
                    <xdr:col>0</xdr:col>
                    <xdr:colOff>38100</xdr:colOff>
                    <xdr:row>3</xdr:row>
                    <xdr:rowOff>38100</xdr:rowOff>
                  </from>
                  <to>
                    <xdr:col>0</xdr:col>
                    <xdr:colOff>289560</xdr:colOff>
                    <xdr:row>3</xdr:row>
                    <xdr:rowOff>289560</xdr:rowOff>
                  </to>
                </anchor>
              </controlPr>
            </control>
          </mc:Choice>
        </mc:AlternateContent>
        <mc:AlternateContent xmlns:mc="http://schemas.openxmlformats.org/markup-compatibility/2006">
          <mc:Choice Requires="x14">
            <control shapeId="9218" r:id="rId4" name="Button 2">
              <controlPr defaultSize="0" print="0" autoFill="0" autoPict="0" macro="[0]!Run_Scen" altText="Настроить">
                <anchor moveWithCells="1">
                  <from>
                    <xdr:col>1</xdr:col>
                    <xdr:colOff>838200</xdr:colOff>
                    <xdr:row>3</xdr:row>
                    <xdr:rowOff>38100</xdr:rowOff>
                  </from>
                  <to>
                    <xdr:col>6</xdr:col>
                    <xdr:colOff>0</xdr:colOff>
                    <xdr:row>3</xdr:row>
                    <xdr:rowOff>289560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7">
    <outlinePr summaryBelow="0" summaryRight="0"/>
  </sheetPr>
  <dimension ref="A1:ACI309"/>
  <sheetViews>
    <sheetView workbookViewId="0">
      <pane xSplit="3" ySplit="1" topLeftCell="D2" activePane="bottomRight" state="frozenSplit"/>
      <selection pane="topRight" activeCell="D1" sqref="D1"/>
      <selection pane="bottomLeft" activeCell="A2" sqref="A2"/>
      <selection pane="bottomRight" activeCell="A93" sqref="A93"/>
    </sheetView>
  </sheetViews>
  <sheetFormatPr defaultColWidth="8.77734375" defaultRowHeight="13.8" x14ac:dyDescent="0.3"/>
  <cols>
    <col min="1" max="1" width="50.5546875" style="5" customWidth="1"/>
    <col min="2" max="52" width="12.5546875" style="5" customWidth="1"/>
    <col min="53" max="16384" width="8.77734375" style="5"/>
  </cols>
  <sheetData>
    <row r="1" spans="1:763" s="112" customFormat="1" ht="37.950000000000003" customHeight="1" x14ac:dyDescent="0.3"/>
    <row r="3" spans="1:763" ht="25.5" customHeight="1" thickBot="1" x14ac:dyDescent="0.35">
      <c r="A3" s="379" t="str">
        <f ca="1">Проект!$A$4</f>
        <v>ПРОДАЖИ</v>
      </c>
      <c r="B3" s="382"/>
      <c r="C3" s="385"/>
      <c r="D3" s="386" t="str">
        <f>"2025"</f>
        <v>2025</v>
      </c>
      <c r="E3" s="387" t="str">
        <f>"2026"</f>
        <v>2026</v>
      </c>
      <c r="F3" s="387" t="str">
        <f>"2027"</f>
        <v>2027</v>
      </c>
      <c r="G3" s="387" t="str">
        <f>"2028"</f>
        <v>2028</v>
      </c>
      <c r="H3" s="388" t="str">
        <f ca="1">Проект!$BD$4</f>
        <v>ИТОГО</v>
      </c>
      <c r="I3" s="383"/>
      <c r="J3" s="383"/>
      <c r="K3" s="383"/>
      <c r="L3" s="383"/>
      <c r="M3" s="383"/>
      <c r="N3" s="383"/>
      <c r="O3" s="383"/>
      <c r="P3" s="383"/>
      <c r="Q3" s="383"/>
      <c r="R3" s="383"/>
      <c r="S3" s="383"/>
      <c r="T3" s="383"/>
      <c r="U3" s="383"/>
      <c r="V3" s="383"/>
      <c r="W3" s="383"/>
      <c r="X3" s="383"/>
      <c r="Y3" s="383"/>
      <c r="Z3" s="383"/>
      <c r="AA3" s="383"/>
      <c r="AB3" s="383"/>
      <c r="AC3" s="383"/>
      <c r="AD3" s="383"/>
      <c r="AE3" s="383"/>
      <c r="AF3" s="383"/>
      <c r="AG3" s="383"/>
      <c r="AH3" s="383"/>
      <c r="AI3" s="383"/>
      <c r="AJ3" s="383"/>
      <c r="AK3" s="383"/>
      <c r="AL3" s="383"/>
      <c r="AM3" s="383"/>
      <c r="AN3" s="383"/>
      <c r="AO3" s="383"/>
      <c r="AP3" s="383"/>
      <c r="AQ3" s="383"/>
      <c r="AR3" s="383"/>
      <c r="AS3" s="383"/>
      <c r="AT3" s="383"/>
      <c r="AU3" s="383"/>
      <c r="AV3" s="383"/>
      <c r="AW3" s="383"/>
      <c r="AX3" s="383"/>
      <c r="AY3" s="383"/>
      <c r="AZ3" s="383"/>
      <c r="BA3" s="383"/>
      <c r="BB3" s="383"/>
      <c r="BC3" s="383"/>
      <c r="BD3" s="383"/>
      <c r="BE3" s="383"/>
      <c r="BF3" s="383"/>
      <c r="BG3" s="383"/>
      <c r="BH3" s="383"/>
      <c r="BI3" s="383"/>
      <c r="BJ3" s="383"/>
      <c r="BK3" s="383"/>
      <c r="BL3" s="383"/>
      <c r="BM3" s="383"/>
      <c r="BN3" s="383"/>
      <c r="BO3" s="383"/>
      <c r="BP3" s="383"/>
      <c r="BQ3" s="383"/>
      <c r="BR3" s="383"/>
      <c r="BS3" s="383"/>
      <c r="BT3" s="383"/>
      <c r="BU3" s="383"/>
      <c r="BV3" s="383"/>
      <c r="BW3" s="383"/>
      <c r="BX3" s="383"/>
      <c r="BY3" s="383"/>
      <c r="BZ3" s="383"/>
      <c r="CA3" s="383"/>
      <c r="CB3" s="383"/>
      <c r="CC3" s="383"/>
      <c r="CD3" s="383"/>
      <c r="CE3" s="383"/>
      <c r="CF3" s="383"/>
      <c r="CG3" s="383"/>
      <c r="CH3" s="383"/>
      <c r="CI3" s="383"/>
      <c r="CJ3" s="383"/>
      <c r="CK3" s="383"/>
      <c r="CL3" s="383"/>
      <c r="CM3" s="383"/>
      <c r="CN3" s="383"/>
      <c r="CO3" s="383"/>
      <c r="CP3" s="383"/>
      <c r="CQ3" s="383"/>
      <c r="CR3" s="383"/>
      <c r="CS3" s="383"/>
      <c r="CT3" s="383"/>
      <c r="CU3" s="383"/>
      <c r="CV3" s="383"/>
      <c r="CW3" s="383"/>
      <c r="CX3" s="383"/>
      <c r="CY3" s="383"/>
      <c r="CZ3" s="383"/>
      <c r="DA3" s="383"/>
      <c r="DB3" s="383"/>
      <c r="DC3" s="383"/>
      <c r="DD3" s="383"/>
      <c r="DE3" s="383"/>
      <c r="DF3" s="383"/>
      <c r="DG3" s="383"/>
      <c r="DH3" s="383"/>
      <c r="DI3" s="383"/>
      <c r="DJ3" s="383"/>
      <c r="DK3" s="383"/>
      <c r="DL3" s="383"/>
      <c r="DM3" s="383"/>
      <c r="DN3" s="383"/>
      <c r="DO3" s="383"/>
      <c r="DP3" s="383"/>
      <c r="DQ3" s="383"/>
      <c r="DR3" s="383"/>
      <c r="DS3" s="383"/>
      <c r="DT3" s="383"/>
      <c r="DU3" s="383"/>
      <c r="DV3" s="383"/>
      <c r="DW3" s="383"/>
      <c r="DX3" s="383"/>
      <c r="DY3" s="383"/>
      <c r="DZ3" s="383"/>
      <c r="EA3" s="383"/>
      <c r="EB3" s="383"/>
      <c r="EC3" s="383"/>
      <c r="ED3" s="383"/>
      <c r="EE3" s="383"/>
      <c r="EF3" s="383"/>
      <c r="EG3" s="383"/>
      <c r="EH3" s="383"/>
      <c r="EI3" s="383"/>
      <c r="EJ3" s="383"/>
      <c r="EK3" s="383"/>
      <c r="EL3" s="383"/>
      <c r="EM3" s="383"/>
      <c r="EN3" s="383"/>
      <c r="EO3" s="383"/>
      <c r="EP3" s="383"/>
      <c r="EQ3" s="383"/>
      <c r="ER3" s="383"/>
      <c r="ES3" s="383"/>
      <c r="ET3" s="383"/>
      <c r="EU3" s="383"/>
      <c r="EV3" s="383"/>
      <c r="EW3" s="383"/>
      <c r="EX3" s="383"/>
      <c r="EY3" s="383"/>
      <c r="EZ3" s="383"/>
      <c r="FA3" s="383"/>
      <c r="FB3" s="383"/>
      <c r="FC3" s="383"/>
      <c r="FD3" s="383"/>
      <c r="FE3" s="383"/>
      <c r="FF3" s="383"/>
      <c r="FG3" s="383"/>
      <c r="FH3" s="383"/>
      <c r="FI3" s="383"/>
      <c r="FJ3" s="383"/>
      <c r="FK3" s="383"/>
      <c r="FL3" s="383"/>
      <c r="FM3" s="383"/>
      <c r="FN3" s="383"/>
      <c r="FO3" s="383"/>
      <c r="FP3" s="383"/>
      <c r="FQ3" s="383"/>
      <c r="FR3" s="383"/>
      <c r="FS3" s="383"/>
      <c r="FT3" s="383"/>
      <c r="FU3" s="383"/>
      <c r="FV3" s="383"/>
      <c r="FW3" s="383"/>
      <c r="FX3" s="383"/>
      <c r="FY3" s="383"/>
      <c r="FZ3" s="383"/>
      <c r="GA3" s="383"/>
      <c r="GB3" s="383"/>
      <c r="GC3" s="383"/>
      <c r="GD3" s="383"/>
      <c r="GE3" s="383"/>
      <c r="GF3" s="383"/>
      <c r="GG3" s="383"/>
      <c r="GH3" s="383"/>
      <c r="GI3" s="383"/>
      <c r="GJ3" s="383"/>
      <c r="GK3" s="383"/>
      <c r="GL3" s="383"/>
      <c r="GM3" s="383"/>
      <c r="GN3" s="383"/>
      <c r="GO3" s="383"/>
      <c r="GP3" s="383"/>
      <c r="GQ3" s="383"/>
      <c r="GR3" s="383"/>
      <c r="GS3" s="383"/>
      <c r="GT3" s="383"/>
      <c r="GU3" s="383"/>
      <c r="GV3" s="383"/>
      <c r="GW3" s="383"/>
      <c r="GX3" s="383"/>
      <c r="GY3" s="383"/>
      <c r="GZ3" s="383"/>
      <c r="HA3" s="383"/>
      <c r="HB3" s="383"/>
      <c r="HC3" s="383"/>
      <c r="HD3" s="383"/>
      <c r="HE3" s="383"/>
      <c r="HF3" s="383"/>
      <c r="HG3" s="383"/>
      <c r="HH3" s="383"/>
      <c r="HI3" s="383"/>
      <c r="HJ3" s="383"/>
      <c r="HK3" s="383"/>
      <c r="HL3" s="383"/>
      <c r="HM3" s="383"/>
      <c r="HN3" s="383"/>
      <c r="HO3" s="383"/>
      <c r="HP3" s="383"/>
      <c r="HQ3" s="383"/>
      <c r="HR3" s="383"/>
      <c r="HS3" s="383"/>
      <c r="HT3" s="383"/>
      <c r="HU3" s="383"/>
      <c r="HV3" s="383"/>
      <c r="HW3" s="383"/>
      <c r="HX3" s="383"/>
      <c r="HY3" s="383"/>
      <c r="HZ3" s="383"/>
      <c r="IA3" s="383"/>
      <c r="IB3" s="383"/>
      <c r="IC3" s="383"/>
      <c r="ID3" s="383"/>
      <c r="IE3" s="383"/>
      <c r="IF3" s="383"/>
      <c r="IG3" s="383"/>
      <c r="IH3" s="383"/>
      <c r="II3" s="383"/>
      <c r="IJ3" s="383"/>
      <c r="IK3" s="383"/>
      <c r="IL3" s="383"/>
      <c r="IM3" s="383"/>
      <c r="IN3" s="383"/>
      <c r="IO3" s="383"/>
      <c r="IP3" s="383"/>
      <c r="IQ3" s="383"/>
      <c r="IR3" s="383"/>
      <c r="IS3" s="383"/>
      <c r="IT3" s="383"/>
      <c r="IU3" s="383"/>
      <c r="IV3" s="383"/>
      <c r="IW3" s="383"/>
      <c r="IX3" s="383"/>
      <c r="IY3" s="383"/>
      <c r="IZ3" s="383"/>
      <c r="JA3" s="383"/>
      <c r="JB3" s="383"/>
      <c r="JC3" s="383"/>
      <c r="JD3" s="383"/>
      <c r="JE3" s="383"/>
      <c r="JF3" s="383"/>
      <c r="JG3" s="383"/>
      <c r="JH3" s="383"/>
      <c r="JI3" s="383"/>
      <c r="JJ3" s="383"/>
      <c r="JK3" s="383"/>
      <c r="JL3" s="383"/>
      <c r="JM3" s="383"/>
      <c r="JN3" s="383"/>
      <c r="JO3" s="383"/>
      <c r="JP3" s="383"/>
      <c r="JQ3" s="383"/>
      <c r="JR3" s="383"/>
      <c r="JS3" s="383"/>
      <c r="JT3" s="383"/>
      <c r="JU3" s="383"/>
      <c r="JV3" s="383"/>
      <c r="JW3" s="383"/>
      <c r="JX3" s="383"/>
      <c r="JY3" s="383"/>
      <c r="JZ3" s="383"/>
      <c r="KA3" s="383"/>
      <c r="KB3" s="383"/>
      <c r="KC3" s="383"/>
      <c r="KD3" s="383"/>
      <c r="KE3" s="383"/>
      <c r="KF3" s="383"/>
      <c r="KG3" s="383"/>
      <c r="KH3" s="383"/>
      <c r="KI3" s="383"/>
      <c r="KJ3" s="383"/>
      <c r="KK3" s="383"/>
      <c r="KL3" s="383"/>
      <c r="KM3" s="383"/>
      <c r="KN3" s="383"/>
      <c r="KO3" s="383"/>
      <c r="KP3" s="383"/>
      <c r="KQ3" s="383"/>
      <c r="KR3" s="383"/>
      <c r="KS3" s="383"/>
      <c r="KT3" s="383"/>
      <c r="KU3" s="383"/>
      <c r="KV3" s="383"/>
      <c r="KW3" s="383"/>
      <c r="KX3" s="383"/>
      <c r="KY3" s="383"/>
      <c r="KZ3" s="383"/>
      <c r="LA3" s="383"/>
      <c r="LB3" s="383"/>
      <c r="LC3" s="383"/>
      <c r="LD3" s="383"/>
      <c r="LE3" s="383"/>
      <c r="LF3" s="383"/>
      <c r="LG3" s="383"/>
      <c r="LH3" s="383"/>
      <c r="LI3" s="383"/>
      <c r="LJ3" s="383"/>
      <c r="LK3" s="383"/>
      <c r="LL3" s="383"/>
      <c r="LM3" s="383"/>
      <c r="LN3" s="383"/>
      <c r="LO3" s="383"/>
      <c r="LP3" s="383"/>
      <c r="LQ3" s="383"/>
      <c r="LR3" s="383"/>
      <c r="LS3" s="383"/>
      <c r="LT3" s="383"/>
      <c r="LU3" s="383"/>
      <c r="LV3" s="383"/>
      <c r="LW3" s="383"/>
      <c r="LX3" s="383"/>
      <c r="LY3" s="383"/>
      <c r="LZ3" s="383"/>
      <c r="MA3" s="383"/>
      <c r="MB3" s="383"/>
      <c r="MC3" s="383"/>
      <c r="MD3" s="383"/>
      <c r="ME3" s="383"/>
      <c r="MF3" s="383"/>
      <c r="MG3" s="383"/>
      <c r="MH3" s="383"/>
      <c r="MI3" s="383"/>
      <c r="MJ3" s="383"/>
      <c r="MK3" s="383"/>
      <c r="ML3" s="383"/>
      <c r="MM3" s="383"/>
      <c r="MN3" s="383"/>
      <c r="MO3" s="383"/>
      <c r="MP3" s="383"/>
      <c r="MQ3" s="383"/>
      <c r="MR3" s="383"/>
      <c r="MS3" s="383"/>
      <c r="MT3" s="383"/>
      <c r="MU3" s="383"/>
      <c r="MV3" s="383"/>
      <c r="MW3" s="383"/>
      <c r="MX3" s="383"/>
      <c r="MY3" s="383"/>
      <c r="MZ3" s="383"/>
      <c r="NA3" s="383"/>
      <c r="NB3" s="383"/>
      <c r="NC3" s="383"/>
      <c r="ND3" s="383"/>
      <c r="NE3" s="383"/>
      <c r="NF3" s="383"/>
      <c r="NG3" s="383"/>
      <c r="NH3" s="383"/>
      <c r="NI3" s="383"/>
      <c r="NJ3" s="383"/>
      <c r="NK3" s="383"/>
      <c r="NL3" s="383"/>
      <c r="NM3" s="383"/>
      <c r="NN3" s="383"/>
      <c r="NO3" s="383"/>
      <c r="NP3" s="383"/>
      <c r="NQ3" s="383"/>
      <c r="NR3" s="383"/>
      <c r="NS3" s="383"/>
      <c r="NT3" s="383"/>
      <c r="NU3" s="383"/>
      <c r="NV3" s="383"/>
      <c r="NW3" s="383"/>
      <c r="NX3" s="383"/>
      <c r="NY3" s="383"/>
      <c r="NZ3" s="383"/>
      <c r="OA3" s="383"/>
      <c r="OB3" s="383"/>
      <c r="OC3" s="383"/>
      <c r="OD3" s="383"/>
      <c r="OE3" s="383"/>
      <c r="OF3" s="383"/>
      <c r="OG3" s="383"/>
      <c r="OH3" s="383"/>
      <c r="OI3" s="383"/>
      <c r="OJ3" s="383"/>
      <c r="OK3" s="383"/>
      <c r="OL3" s="383"/>
      <c r="OM3" s="383"/>
      <c r="ON3" s="383"/>
      <c r="OO3" s="383"/>
      <c r="OP3" s="383"/>
      <c r="OQ3" s="383"/>
      <c r="OR3" s="383"/>
      <c r="OS3" s="383"/>
      <c r="OT3" s="383"/>
      <c r="OU3" s="383"/>
      <c r="OV3" s="383"/>
      <c r="OW3" s="383"/>
      <c r="OX3" s="383"/>
      <c r="OY3" s="383"/>
      <c r="OZ3" s="383"/>
      <c r="PA3" s="383"/>
      <c r="PB3" s="383"/>
      <c r="PC3" s="383"/>
      <c r="PD3" s="383"/>
      <c r="PE3" s="383"/>
      <c r="PF3" s="383"/>
      <c r="PG3" s="383"/>
      <c r="PH3" s="383"/>
      <c r="PI3" s="383"/>
      <c r="PJ3" s="383"/>
      <c r="PK3" s="383"/>
      <c r="PL3" s="383"/>
      <c r="PM3" s="383"/>
      <c r="PN3" s="383"/>
      <c r="PO3" s="383"/>
      <c r="PP3" s="383"/>
      <c r="PQ3" s="383"/>
      <c r="PR3" s="383"/>
      <c r="PS3" s="383"/>
      <c r="PT3" s="383"/>
      <c r="PU3" s="383"/>
      <c r="PV3" s="383"/>
      <c r="PW3" s="383"/>
      <c r="PX3" s="383"/>
      <c r="PY3" s="383"/>
      <c r="PZ3" s="383"/>
      <c r="QA3" s="383"/>
      <c r="QB3" s="383"/>
      <c r="QC3" s="383"/>
      <c r="QD3" s="383"/>
      <c r="QE3" s="383"/>
      <c r="QF3" s="383"/>
      <c r="QG3" s="383"/>
      <c r="QH3" s="383"/>
      <c r="QI3" s="383"/>
      <c r="QJ3" s="383"/>
      <c r="QK3" s="383"/>
      <c r="QL3" s="383"/>
      <c r="QM3" s="383"/>
      <c r="QN3" s="383"/>
      <c r="QO3" s="383"/>
      <c r="QP3" s="383"/>
      <c r="QQ3" s="383"/>
      <c r="QR3" s="383"/>
      <c r="QS3" s="383"/>
      <c r="QT3" s="383"/>
      <c r="QU3" s="383"/>
      <c r="QV3" s="383"/>
      <c r="QW3" s="383"/>
      <c r="QX3" s="383"/>
      <c r="QY3" s="383"/>
      <c r="QZ3" s="383"/>
      <c r="RA3" s="383"/>
      <c r="RB3" s="383"/>
      <c r="RC3" s="383"/>
      <c r="RD3" s="383"/>
      <c r="RE3" s="383"/>
      <c r="RF3" s="383"/>
      <c r="RG3" s="383"/>
      <c r="RH3" s="383"/>
      <c r="RI3" s="383"/>
      <c r="RJ3" s="383"/>
      <c r="RK3" s="383"/>
      <c r="RL3" s="383"/>
      <c r="RM3" s="383"/>
      <c r="RN3" s="383"/>
      <c r="RO3" s="383"/>
      <c r="RP3" s="383"/>
      <c r="RQ3" s="383"/>
      <c r="RR3" s="383"/>
      <c r="RS3" s="383"/>
      <c r="RT3" s="383"/>
      <c r="RU3" s="383"/>
      <c r="RV3" s="383"/>
      <c r="RW3" s="383"/>
      <c r="RX3" s="383"/>
      <c r="RY3" s="383"/>
      <c r="RZ3" s="383"/>
      <c r="SA3" s="383"/>
      <c r="SB3" s="383"/>
      <c r="SC3" s="383"/>
      <c r="SD3" s="383"/>
      <c r="SE3" s="383"/>
      <c r="SF3" s="383"/>
      <c r="SG3" s="383"/>
      <c r="SH3" s="383"/>
      <c r="SI3" s="383"/>
      <c r="SJ3" s="383"/>
      <c r="SK3" s="383"/>
      <c r="SL3" s="383"/>
      <c r="SM3" s="383"/>
      <c r="SN3" s="383"/>
      <c r="SO3" s="383"/>
      <c r="SP3" s="383"/>
      <c r="SQ3" s="383"/>
      <c r="SR3" s="383"/>
      <c r="SS3" s="383"/>
      <c r="ST3" s="383"/>
      <c r="SU3" s="383"/>
      <c r="SV3" s="383"/>
      <c r="SW3" s="383"/>
      <c r="SX3" s="383"/>
      <c r="SY3" s="383"/>
      <c r="SZ3" s="383"/>
      <c r="TA3" s="383"/>
      <c r="TB3" s="383"/>
      <c r="TC3" s="383"/>
      <c r="TD3" s="383"/>
      <c r="TE3" s="383"/>
      <c r="TF3" s="383"/>
      <c r="TG3" s="383"/>
      <c r="TH3" s="383"/>
      <c r="TI3" s="383"/>
      <c r="TJ3" s="383"/>
      <c r="TK3" s="383"/>
      <c r="TL3" s="383"/>
      <c r="TM3" s="383"/>
      <c r="TN3" s="383"/>
      <c r="TO3" s="383"/>
      <c r="TP3" s="383"/>
      <c r="TQ3" s="383"/>
      <c r="TR3" s="383"/>
      <c r="TS3" s="383"/>
      <c r="TT3" s="383"/>
      <c r="TU3" s="383"/>
      <c r="TV3" s="383"/>
      <c r="TW3" s="383"/>
      <c r="TX3" s="383"/>
      <c r="TY3" s="383"/>
      <c r="TZ3" s="383"/>
      <c r="UA3" s="383"/>
      <c r="UB3" s="383"/>
      <c r="UC3" s="383"/>
      <c r="UD3" s="383"/>
      <c r="UE3" s="383"/>
      <c r="UF3" s="383"/>
      <c r="UG3" s="383"/>
      <c r="UH3" s="383"/>
      <c r="UI3" s="383"/>
      <c r="UJ3" s="383"/>
      <c r="UK3" s="383"/>
      <c r="UL3" s="383"/>
      <c r="UM3" s="383"/>
      <c r="UN3" s="383"/>
      <c r="UO3" s="383"/>
      <c r="UP3" s="383"/>
      <c r="UQ3" s="383"/>
      <c r="UR3" s="383"/>
      <c r="US3" s="383"/>
      <c r="UT3" s="383"/>
      <c r="UU3" s="383"/>
      <c r="UV3" s="383"/>
      <c r="UW3" s="383"/>
      <c r="UX3" s="383"/>
      <c r="UY3" s="383"/>
      <c r="UZ3" s="383"/>
      <c r="VA3" s="383"/>
      <c r="VB3" s="383"/>
      <c r="VC3" s="383"/>
      <c r="VD3" s="383"/>
      <c r="VE3" s="383"/>
      <c r="VF3" s="383"/>
      <c r="VG3" s="383"/>
      <c r="VH3" s="383"/>
      <c r="VI3" s="383"/>
      <c r="VJ3" s="383"/>
      <c r="VK3" s="383"/>
      <c r="VL3" s="383"/>
      <c r="VM3" s="383"/>
      <c r="VN3" s="383"/>
      <c r="VO3" s="383"/>
      <c r="VP3" s="383"/>
      <c r="VQ3" s="383"/>
      <c r="VR3" s="383"/>
      <c r="VS3" s="383"/>
      <c r="VT3" s="383"/>
      <c r="VU3" s="383"/>
      <c r="VV3" s="383"/>
      <c r="VW3" s="383"/>
      <c r="VX3" s="383"/>
      <c r="VY3" s="383"/>
      <c r="VZ3" s="383"/>
      <c r="WA3" s="383"/>
      <c r="WB3" s="383"/>
      <c r="WC3" s="383"/>
      <c r="WD3" s="383"/>
      <c r="WE3" s="383"/>
      <c r="WF3" s="383"/>
      <c r="WG3" s="383"/>
      <c r="WH3" s="383"/>
      <c r="WI3" s="383"/>
      <c r="WJ3" s="383"/>
      <c r="WK3" s="383"/>
      <c r="WL3" s="383"/>
      <c r="WM3" s="383"/>
      <c r="WN3" s="383"/>
      <c r="WO3" s="383"/>
      <c r="WP3" s="383"/>
      <c r="WQ3" s="383"/>
      <c r="WR3" s="383"/>
      <c r="WS3" s="383"/>
      <c r="WT3" s="383"/>
      <c r="WU3" s="383"/>
      <c r="WV3" s="383"/>
      <c r="WW3" s="383"/>
      <c r="WX3" s="383"/>
      <c r="WY3" s="383"/>
      <c r="WZ3" s="383"/>
      <c r="XA3" s="383"/>
      <c r="XB3" s="383"/>
      <c r="XC3" s="383"/>
      <c r="XD3" s="383"/>
      <c r="XE3" s="383"/>
      <c r="XF3" s="383"/>
      <c r="XG3" s="383"/>
      <c r="XH3" s="383"/>
      <c r="XI3" s="383"/>
      <c r="XJ3" s="383"/>
      <c r="XK3" s="383"/>
      <c r="XL3" s="383"/>
      <c r="XM3" s="383"/>
      <c r="XN3" s="383"/>
      <c r="XO3" s="383"/>
      <c r="XP3" s="383"/>
      <c r="XQ3" s="383"/>
      <c r="XR3" s="383"/>
      <c r="XS3" s="383"/>
      <c r="XT3" s="383"/>
      <c r="XU3" s="383"/>
      <c r="XV3" s="383"/>
      <c r="XW3" s="383"/>
      <c r="XX3" s="383"/>
      <c r="XY3" s="383"/>
      <c r="XZ3" s="383"/>
      <c r="YA3" s="383"/>
      <c r="YB3" s="383"/>
      <c r="YC3" s="383"/>
      <c r="YD3" s="383"/>
      <c r="YE3" s="383"/>
      <c r="YF3" s="383"/>
      <c r="YG3" s="383"/>
      <c r="YH3" s="383"/>
      <c r="YI3" s="383"/>
      <c r="YJ3" s="383"/>
      <c r="YK3" s="383"/>
      <c r="YL3" s="383"/>
      <c r="YM3" s="383"/>
      <c r="YN3" s="383"/>
      <c r="YO3" s="383"/>
      <c r="YP3" s="383"/>
      <c r="YQ3" s="383"/>
      <c r="YR3" s="383"/>
      <c r="YS3" s="383"/>
      <c r="YT3" s="383"/>
      <c r="YU3" s="383"/>
      <c r="YV3" s="383"/>
      <c r="YW3" s="383"/>
      <c r="YX3" s="383"/>
      <c r="YY3" s="383"/>
      <c r="YZ3" s="383"/>
      <c r="ZA3" s="383"/>
      <c r="ZB3" s="383"/>
      <c r="ZC3" s="383"/>
      <c r="ZD3" s="383"/>
      <c r="ZE3" s="383"/>
      <c r="ZF3" s="383"/>
      <c r="ZG3" s="383"/>
      <c r="ZH3" s="383"/>
      <c r="ZI3" s="383"/>
      <c r="ZJ3" s="383"/>
      <c r="ZK3" s="383"/>
      <c r="ZL3" s="383"/>
      <c r="ZM3" s="383"/>
      <c r="ZN3" s="383"/>
      <c r="ZO3" s="383"/>
      <c r="ZP3" s="383"/>
      <c r="ZQ3" s="383"/>
      <c r="ZR3" s="383"/>
      <c r="ZS3" s="383"/>
      <c r="ZT3" s="383"/>
      <c r="ZU3" s="383"/>
      <c r="ZV3" s="383"/>
      <c r="ZW3" s="383"/>
      <c r="ZX3" s="383"/>
      <c r="ZY3" s="383"/>
      <c r="ZZ3" s="383"/>
      <c r="AAA3" s="383"/>
      <c r="AAB3" s="383"/>
      <c r="AAC3" s="383"/>
      <c r="AAD3" s="383"/>
      <c r="AAE3" s="383"/>
      <c r="AAF3" s="383"/>
      <c r="AAG3" s="383"/>
      <c r="AAH3" s="383"/>
      <c r="AAI3" s="383"/>
      <c r="AAJ3" s="383"/>
      <c r="AAK3" s="383"/>
      <c r="AAL3" s="383"/>
      <c r="AAM3" s="383"/>
      <c r="AAN3" s="383"/>
      <c r="AAO3" s="383"/>
      <c r="AAP3" s="383"/>
      <c r="AAQ3" s="383"/>
      <c r="AAR3" s="383"/>
      <c r="AAS3" s="383"/>
      <c r="AAT3" s="383"/>
      <c r="AAU3" s="383"/>
      <c r="AAV3" s="383"/>
      <c r="AAW3" s="383"/>
      <c r="AAX3" s="383"/>
      <c r="AAY3" s="383"/>
      <c r="AAZ3" s="383"/>
      <c r="ABA3" s="383"/>
      <c r="ABB3" s="383"/>
      <c r="ABC3" s="383"/>
      <c r="ABD3" s="383"/>
      <c r="ABE3" s="383"/>
      <c r="ABF3" s="383"/>
      <c r="ABG3" s="383"/>
      <c r="ABH3" s="383"/>
      <c r="ABI3" s="383"/>
      <c r="ABJ3" s="383"/>
      <c r="ABK3" s="383"/>
      <c r="ABL3" s="383"/>
      <c r="ABM3" s="383"/>
      <c r="ABN3" s="383"/>
      <c r="ABO3" s="383"/>
      <c r="ABP3" s="383"/>
      <c r="ABQ3" s="383"/>
      <c r="ABR3" s="383"/>
      <c r="ABS3" s="383"/>
      <c r="ABT3" s="383"/>
      <c r="ABU3" s="383"/>
      <c r="ABV3" s="383"/>
      <c r="ABW3" s="383"/>
      <c r="ABX3" s="383"/>
      <c r="ABY3" s="383"/>
      <c r="ABZ3" s="383"/>
      <c r="ACA3" s="383"/>
      <c r="ACB3" s="383"/>
      <c r="ACC3" s="383"/>
      <c r="ACD3" s="383"/>
      <c r="ACE3" s="383"/>
      <c r="ACF3" s="383"/>
      <c r="ACG3" s="383"/>
      <c r="ACH3" s="383"/>
      <c r="ACI3" s="383"/>
    </row>
    <row r="4" spans="1:763" ht="15" customHeight="1" thickTop="1" x14ac:dyDescent="0.3">
      <c r="A4" s="389"/>
      <c r="B4" s="390"/>
      <c r="C4" s="391"/>
      <c r="D4" s="390"/>
      <c r="E4" s="390"/>
      <c r="F4" s="390"/>
      <c r="G4" s="390"/>
      <c r="H4" s="392"/>
      <c r="I4" s="393"/>
      <c r="J4" s="393"/>
      <c r="K4" s="393"/>
      <c r="L4" s="393"/>
      <c r="M4" s="393"/>
      <c r="N4" s="393"/>
      <c r="O4" s="393"/>
      <c r="P4" s="393"/>
      <c r="Q4" s="393"/>
      <c r="R4" s="393"/>
      <c r="S4" s="393"/>
      <c r="T4" s="393"/>
      <c r="U4" s="393"/>
      <c r="V4" s="393"/>
      <c r="W4" s="393"/>
      <c r="X4" s="393"/>
      <c r="Y4" s="393"/>
      <c r="Z4" s="393"/>
      <c r="AA4" s="393"/>
      <c r="AB4" s="393"/>
      <c r="AC4" s="393"/>
      <c r="AD4" s="393"/>
      <c r="AE4" s="393"/>
      <c r="AF4" s="393"/>
      <c r="AG4" s="393"/>
      <c r="AH4" s="393"/>
      <c r="AI4" s="393"/>
      <c r="AJ4" s="393"/>
      <c r="AK4" s="393"/>
      <c r="AL4" s="393"/>
      <c r="AM4" s="393"/>
      <c r="AN4" s="393"/>
      <c r="AO4" s="393"/>
      <c r="AP4" s="393"/>
      <c r="AQ4" s="393"/>
      <c r="AR4" s="393"/>
      <c r="AS4" s="393"/>
      <c r="AT4" s="393"/>
      <c r="AU4" s="393"/>
      <c r="AV4" s="393"/>
      <c r="AW4" s="393"/>
      <c r="AX4" s="393"/>
      <c r="AY4" s="393"/>
      <c r="AZ4" s="393"/>
      <c r="BA4" s="393"/>
      <c r="BB4" s="393"/>
      <c r="BC4" s="393"/>
      <c r="BD4" s="393"/>
      <c r="BE4" s="393"/>
      <c r="BF4" s="393"/>
      <c r="BG4" s="393"/>
      <c r="BH4" s="393"/>
      <c r="BI4" s="393"/>
      <c r="BJ4" s="393"/>
      <c r="BK4" s="393"/>
      <c r="BL4" s="393"/>
      <c r="BM4" s="393"/>
      <c r="BN4" s="393"/>
      <c r="BO4" s="393"/>
      <c r="BP4" s="393"/>
      <c r="BQ4" s="393"/>
      <c r="BR4" s="393"/>
      <c r="BS4" s="393"/>
      <c r="BT4" s="393"/>
      <c r="BU4" s="393"/>
      <c r="BV4" s="393"/>
      <c r="BW4" s="393"/>
      <c r="BX4" s="393"/>
      <c r="BY4" s="393"/>
      <c r="BZ4" s="393"/>
      <c r="CA4" s="393"/>
      <c r="CB4" s="393"/>
      <c r="CC4" s="393"/>
      <c r="CD4" s="393"/>
      <c r="CE4" s="393"/>
      <c r="CF4" s="393"/>
      <c r="CG4" s="393"/>
      <c r="CH4" s="393"/>
      <c r="CI4" s="393"/>
      <c r="CJ4" s="393"/>
      <c r="CK4" s="393"/>
      <c r="CL4" s="393"/>
      <c r="CM4" s="393"/>
      <c r="CN4" s="393"/>
      <c r="CO4" s="393"/>
      <c r="CP4" s="393"/>
      <c r="CQ4" s="393"/>
      <c r="CR4" s="393"/>
      <c r="CS4" s="393"/>
      <c r="CT4" s="393"/>
      <c r="CU4" s="393"/>
      <c r="CV4" s="393"/>
      <c r="CW4" s="393"/>
      <c r="CX4" s="393"/>
      <c r="CY4" s="393"/>
      <c r="CZ4" s="393"/>
      <c r="DA4" s="393"/>
      <c r="DB4" s="393"/>
      <c r="DC4" s="393"/>
      <c r="DD4" s="393"/>
      <c r="DE4" s="393"/>
      <c r="DF4" s="393"/>
      <c r="DG4" s="393"/>
      <c r="DH4" s="393"/>
      <c r="DI4" s="393"/>
      <c r="DJ4" s="393"/>
      <c r="DK4" s="393"/>
      <c r="DL4" s="393"/>
      <c r="DM4" s="393"/>
      <c r="DN4" s="393"/>
      <c r="DO4" s="393"/>
      <c r="DP4" s="393"/>
      <c r="DQ4" s="393"/>
      <c r="DR4" s="393"/>
      <c r="DS4" s="393"/>
      <c r="DT4" s="393"/>
      <c r="DU4" s="393"/>
      <c r="DV4" s="393"/>
      <c r="DW4" s="393"/>
      <c r="DX4" s="393"/>
      <c r="DY4" s="393"/>
      <c r="DZ4" s="393"/>
      <c r="EA4" s="393"/>
      <c r="EB4" s="393"/>
      <c r="EC4" s="393"/>
      <c r="ED4" s="393"/>
      <c r="EE4" s="393"/>
      <c r="EF4" s="393"/>
      <c r="EG4" s="393"/>
      <c r="EH4" s="393"/>
      <c r="EI4" s="393"/>
      <c r="EJ4" s="393"/>
      <c r="EK4" s="393"/>
      <c r="EL4" s="393"/>
      <c r="EM4" s="393"/>
      <c r="EN4" s="393"/>
      <c r="EO4" s="393"/>
      <c r="EP4" s="393"/>
      <c r="EQ4" s="393"/>
      <c r="ER4" s="393"/>
      <c r="ES4" s="393"/>
      <c r="ET4" s="393"/>
      <c r="EU4" s="393"/>
      <c r="EV4" s="393"/>
      <c r="EW4" s="393"/>
      <c r="EX4" s="393"/>
      <c r="EY4" s="393"/>
      <c r="EZ4" s="393"/>
      <c r="FA4" s="393"/>
      <c r="FB4" s="393"/>
      <c r="FC4" s="393"/>
      <c r="FD4" s="393"/>
      <c r="FE4" s="393"/>
      <c r="FF4" s="393"/>
      <c r="FG4" s="393"/>
      <c r="FH4" s="393"/>
      <c r="FI4" s="393"/>
      <c r="FJ4" s="393"/>
      <c r="FK4" s="393"/>
      <c r="FL4" s="393"/>
      <c r="FM4" s="393"/>
      <c r="FN4" s="393"/>
      <c r="FO4" s="393"/>
      <c r="FP4" s="393"/>
      <c r="FQ4" s="393"/>
      <c r="FR4" s="393"/>
      <c r="FS4" s="393"/>
      <c r="FT4" s="393"/>
      <c r="FU4" s="393"/>
      <c r="FV4" s="393"/>
      <c r="FW4" s="393"/>
      <c r="FX4" s="393"/>
      <c r="FY4" s="393"/>
      <c r="FZ4" s="393"/>
      <c r="GA4" s="393"/>
      <c r="GB4" s="393"/>
      <c r="GC4" s="393"/>
      <c r="GD4" s="393"/>
      <c r="GE4" s="393"/>
      <c r="GF4" s="393"/>
      <c r="GG4" s="393"/>
      <c r="GH4" s="393"/>
      <c r="GI4" s="393"/>
      <c r="GJ4" s="393"/>
      <c r="GK4" s="393"/>
      <c r="GL4" s="393"/>
      <c r="GM4" s="393"/>
      <c r="GN4" s="393"/>
      <c r="GO4" s="393"/>
      <c r="GP4" s="393"/>
      <c r="GQ4" s="393"/>
      <c r="GR4" s="393"/>
      <c r="GS4" s="393"/>
      <c r="GT4" s="393"/>
      <c r="GU4" s="393"/>
      <c r="GV4" s="393"/>
      <c r="GW4" s="393"/>
      <c r="GX4" s="393"/>
      <c r="GY4" s="393"/>
      <c r="GZ4" s="393"/>
      <c r="HA4" s="393"/>
      <c r="HB4" s="393"/>
      <c r="HC4" s="393"/>
      <c r="HD4" s="393"/>
      <c r="HE4" s="393"/>
      <c r="HF4" s="393"/>
      <c r="HG4" s="393"/>
      <c r="HH4" s="393"/>
      <c r="HI4" s="393"/>
      <c r="HJ4" s="393"/>
      <c r="HK4" s="393"/>
      <c r="HL4" s="393"/>
      <c r="HM4" s="393"/>
      <c r="HN4" s="393"/>
      <c r="HO4" s="393"/>
      <c r="HP4" s="393"/>
      <c r="HQ4" s="393"/>
      <c r="HR4" s="393"/>
      <c r="HS4" s="393"/>
      <c r="HT4" s="393"/>
      <c r="HU4" s="393"/>
      <c r="HV4" s="393"/>
      <c r="HW4" s="393"/>
      <c r="HX4" s="393"/>
      <c r="HY4" s="393"/>
      <c r="HZ4" s="393"/>
      <c r="IA4" s="393"/>
      <c r="IB4" s="393"/>
      <c r="IC4" s="393"/>
      <c r="ID4" s="393"/>
      <c r="IE4" s="393"/>
      <c r="IF4" s="393"/>
      <c r="IG4" s="393"/>
      <c r="IH4" s="393"/>
      <c r="II4" s="393"/>
      <c r="IJ4" s="393"/>
      <c r="IK4" s="393"/>
      <c r="IL4" s="393"/>
      <c r="IM4" s="393"/>
      <c r="IN4" s="393"/>
      <c r="IO4" s="393"/>
      <c r="IP4" s="393"/>
      <c r="IQ4" s="393"/>
      <c r="IR4" s="393"/>
      <c r="IS4" s="393"/>
      <c r="IT4" s="393"/>
      <c r="IU4" s="393"/>
      <c r="IV4" s="393"/>
      <c r="IW4" s="393"/>
      <c r="IX4" s="393"/>
      <c r="IY4" s="393"/>
      <c r="IZ4" s="393"/>
      <c r="JA4" s="393"/>
      <c r="JB4" s="393"/>
      <c r="JC4" s="393"/>
      <c r="JD4" s="393"/>
      <c r="JE4" s="393"/>
      <c r="JF4" s="393"/>
      <c r="JG4" s="393"/>
      <c r="JH4" s="393"/>
      <c r="JI4" s="393"/>
      <c r="JJ4" s="393"/>
      <c r="JK4" s="393"/>
      <c r="JL4" s="393"/>
      <c r="JM4" s="393"/>
      <c r="JN4" s="393"/>
      <c r="JO4" s="393"/>
      <c r="JP4" s="393"/>
      <c r="JQ4" s="393"/>
      <c r="JR4" s="393"/>
      <c r="JS4" s="393"/>
      <c r="JT4" s="393"/>
      <c r="JU4" s="393"/>
      <c r="JV4" s="393"/>
      <c r="JW4" s="393"/>
      <c r="JX4" s="393"/>
      <c r="JY4" s="393"/>
      <c r="JZ4" s="393"/>
      <c r="KA4" s="393"/>
      <c r="KB4" s="393"/>
      <c r="KC4" s="393"/>
      <c r="KD4" s="393"/>
      <c r="KE4" s="393"/>
      <c r="KF4" s="393"/>
      <c r="KG4" s="393"/>
      <c r="KH4" s="393"/>
      <c r="KI4" s="393"/>
      <c r="KJ4" s="393"/>
      <c r="KK4" s="393"/>
      <c r="KL4" s="393"/>
      <c r="KM4" s="393"/>
      <c r="KN4" s="393"/>
      <c r="KO4" s="393"/>
      <c r="KP4" s="393"/>
      <c r="KQ4" s="393"/>
      <c r="KR4" s="393"/>
      <c r="KS4" s="393"/>
      <c r="KT4" s="393"/>
      <c r="KU4" s="393"/>
      <c r="KV4" s="393"/>
      <c r="KW4" s="393"/>
      <c r="KX4" s="393"/>
      <c r="KY4" s="393"/>
      <c r="KZ4" s="393"/>
      <c r="LA4" s="393"/>
      <c r="LB4" s="393"/>
      <c r="LC4" s="393"/>
      <c r="LD4" s="393"/>
      <c r="LE4" s="393"/>
      <c r="LF4" s="393"/>
      <c r="LG4" s="393"/>
      <c r="LH4" s="393"/>
      <c r="LI4" s="393"/>
      <c r="LJ4" s="393"/>
      <c r="LK4" s="393"/>
      <c r="LL4" s="393"/>
      <c r="LM4" s="393"/>
      <c r="LN4" s="393"/>
      <c r="LO4" s="393"/>
      <c r="LP4" s="393"/>
      <c r="LQ4" s="393"/>
      <c r="LR4" s="393"/>
      <c r="LS4" s="393"/>
      <c r="LT4" s="393"/>
      <c r="LU4" s="393"/>
      <c r="LV4" s="393"/>
      <c r="LW4" s="393"/>
      <c r="LX4" s="393"/>
      <c r="LY4" s="393"/>
      <c r="LZ4" s="393"/>
      <c r="MA4" s="393"/>
      <c r="MB4" s="393"/>
      <c r="MC4" s="393"/>
      <c r="MD4" s="393"/>
      <c r="ME4" s="393"/>
      <c r="MF4" s="393"/>
      <c r="MG4" s="393"/>
      <c r="MH4" s="393"/>
      <c r="MI4" s="393"/>
      <c r="MJ4" s="393"/>
      <c r="MK4" s="393"/>
      <c r="ML4" s="393"/>
      <c r="MM4" s="393"/>
      <c r="MN4" s="393"/>
      <c r="MO4" s="393"/>
      <c r="MP4" s="393"/>
      <c r="MQ4" s="393"/>
      <c r="MR4" s="393"/>
      <c r="MS4" s="393"/>
      <c r="MT4" s="393"/>
      <c r="MU4" s="393"/>
      <c r="MV4" s="393"/>
      <c r="MW4" s="393"/>
      <c r="MX4" s="393"/>
      <c r="MY4" s="393"/>
      <c r="MZ4" s="393"/>
      <c r="NA4" s="393"/>
      <c r="NB4" s="393"/>
      <c r="NC4" s="393"/>
      <c r="ND4" s="393"/>
      <c r="NE4" s="393"/>
      <c r="NF4" s="393"/>
      <c r="NG4" s="393"/>
      <c r="NH4" s="393"/>
      <c r="NI4" s="393"/>
      <c r="NJ4" s="393"/>
      <c r="NK4" s="393"/>
      <c r="NL4" s="393"/>
      <c r="NM4" s="393"/>
      <c r="NN4" s="393"/>
      <c r="NO4" s="393"/>
      <c r="NP4" s="393"/>
      <c r="NQ4" s="393"/>
      <c r="NR4" s="393"/>
      <c r="NS4" s="393"/>
      <c r="NT4" s="393"/>
      <c r="NU4" s="393"/>
      <c r="NV4" s="393"/>
      <c r="NW4" s="393"/>
      <c r="NX4" s="393"/>
      <c r="NY4" s="393"/>
      <c r="NZ4" s="393"/>
      <c r="OA4" s="393"/>
      <c r="OB4" s="393"/>
      <c r="OC4" s="393"/>
      <c r="OD4" s="393"/>
      <c r="OE4" s="393"/>
      <c r="OF4" s="393"/>
      <c r="OG4" s="393"/>
      <c r="OH4" s="393"/>
      <c r="OI4" s="393"/>
      <c r="OJ4" s="393"/>
      <c r="OK4" s="393"/>
      <c r="OL4" s="393"/>
      <c r="OM4" s="393"/>
      <c r="ON4" s="393"/>
      <c r="OO4" s="393"/>
      <c r="OP4" s="393"/>
      <c r="OQ4" s="393"/>
      <c r="OR4" s="393"/>
      <c r="OS4" s="393"/>
      <c r="OT4" s="393"/>
      <c r="OU4" s="393"/>
      <c r="OV4" s="393"/>
      <c r="OW4" s="393"/>
      <c r="OX4" s="393"/>
      <c r="OY4" s="393"/>
      <c r="OZ4" s="393"/>
      <c r="PA4" s="393"/>
      <c r="PB4" s="393"/>
      <c r="PC4" s="393"/>
      <c r="PD4" s="393"/>
      <c r="PE4" s="393"/>
      <c r="PF4" s="393"/>
      <c r="PG4" s="393"/>
      <c r="PH4" s="393"/>
      <c r="PI4" s="393"/>
      <c r="PJ4" s="393"/>
      <c r="PK4" s="393"/>
      <c r="PL4" s="393"/>
      <c r="PM4" s="393"/>
      <c r="PN4" s="393"/>
      <c r="PO4" s="393"/>
      <c r="PP4" s="393"/>
      <c r="PQ4" s="393"/>
      <c r="PR4" s="393"/>
      <c r="PS4" s="393"/>
      <c r="PT4" s="393"/>
      <c r="PU4" s="393"/>
      <c r="PV4" s="393"/>
      <c r="PW4" s="393"/>
      <c r="PX4" s="393"/>
      <c r="PY4" s="393"/>
      <c r="PZ4" s="393"/>
      <c r="QA4" s="393"/>
      <c r="QB4" s="393"/>
      <c r="QC4" s="393"/>
      <c r="QD4" s="393"/>
      <c r="QE4" s="393"/>
      <c r="QF4" s="393"/>
      <c r="QG4" s="393"/>
      <c r="QH4" s="393"/>
      <c r="QI4" s="393"/>
      <c r="QJ4" s="393"/>
      <c r="QK4" s="393"/>
      <c r="QL4" s="393"/>
      <c r="QM4" s="393"/>
      <c r="QN4" s="393"/>
      <c r="QO4" s="393"/>
      <c r="QP4" s="393"/>
      <c r="QQ4" s="393"/>
      <c r="QR4" s="393"/>
      <c r="QS4" s="393"/>
      <c r="QT4" s="393"/>
      <c r="QU4" s="393"/>
      <c r="QV4" s="393"/>
      <c r="QW4" s="393"/>
      <c r="QX4" s="393"/>
      <c r="QY4" s="393"/>
      <c r="QZ4" s="393"/>
      <c r="RA4" s="393"/>
      <c r="RB4" s="393"/>
      <c r="RC4" s="393"/>
      <c r="RD4" s="393"/>
      <c r="RE4" s="393"/>
      <c r="RF4" s="393"/>
      <c r="RG4" s="393"/>
      <c r="RH4" s="393"/>
      <c r="RI4" s="393"/>
      <c r="RJ4" s="393"/>
      <c r="RK4" s="393"/>
      <c r="RL4" s="393"/>
      <c r="RM4" s="393"/>
      <c r="RN4" s="393"/>
      <c r="RO4" s="393"/>
      <c r="RP4" s="393"/>
      <c r="RQ4" s="393"/>
      <c r="RR4" s="393"/>
      <c r="RS4" s="393"/>
      <c r="RT4" s="393"/>
      <c r="RU4" s="393"/>
      <c r="RV4" s="393"/>
      <c r="RW4" s="393"/>
      <c r="RX4" s="393"/>
      <c r="RY4" s="393"/>
      <c r="RZ4" s="393"/>
      <c r="SA4" s="393"/>
      <c r="SB4" s="393"/>
      <c r="SC4" s="393"/>
      <c r="SD4" s="393"/>
      <c r="SE4" s="393"/>
      <c r="SF4" s="393"/>
      <c r="SG4" s="393"/>
      <c r="SH4" s="393"/>
      <c r="SI4" s="393"/>
      <c r="SJ4" s="393"/>
      <c r="SK4" s="393"/>
      <c r="SL4" s="393"/>
      <c r="SM4" s="393"/>
      <c r="SN4" s="393"/>
      <c r="SO4" s="393"/>
      <c r="SP4" s="393"/>
      <c r="SQ4" s="393"/>
      <c r="SR4" s="393"/>
      <c r="SS4" s="393"/>
      <c r="ST4" s="393"/>
      <c r="SU4" s="393"/>
      <c r="SV4" s="393"/>
      <c r="SW4" s="393"/>
      <c r="SX4" s="393"/>
      <c r="SY4" s="393"/>
      <c r="SZ4" s="393"/>
      <c r="TA4" s="393"/>
      <c r="TB4" s="393"/>
      <c r="TC4" s="393"/>
      <c r="TD4" s="393"/>
      <c r="TE4" s="393"/>
      <c r="TF4" s="393"/>
      <c r="TG4" s="393"/>
      <c r="TH4" s="393"/>
      <c r="TI4" s="393"/>
      <c r="TJ4" s="393"/>
      <c r="TK4" s="393"/>
      <c r="TL4" s="393"/>
      <c r="TM4" s="393"/>
      <c r="TN4" s="393"/>
      <c r="TO4" s="393"/>
      <c r="TP4" s="393"/>
      <c r="TQ4" s="393"/>
      <c r="TR4" s="393"/>
      <c r="TS4" s="393"/>
      <c r="TT4" s="393"/>
      <c r="TU4" s="393"/>
      <c r="TV4" s="393"/>
      <c r="TW4" s="393"/>
      <c r="TX4" s="393"/>
      <c r="TY4" s="393"/>
      <c r="TZ4" s="393"/>
      <c r="UA4" s="393"/>
      <c r="UB4" s="393"/>
      <c r="UC4" s="393"/>
      <c r="UD4" s="393"/>
      <c r="UE4" s="393"/>
      <c r="UF4" s="393"/>
      <c r="UG4" s="393"/>
      <c r="UH4" s="393"/>
      <c r="UI4" s="393"/>
      <c r="UJ4" s="393"/>
      <c r="UK4" s="393"/>
      <c r="UL4" s="393"/>
      <c r="UM4" s="393"/>
      <c r="UN4" s="393"/>
      <c r="UO4" s="393"/>
      <c r="UP4" s="393"/>
      <c r="UQ4" s="393"/>
      <c r="UR4" s="393"/>
      <c r="US4" s="393"/>
      <c r="UT4" s="393"/>
      <c r="UU4" s="393"/>
      <c r="UV4" s="393"/>
      <c r="UW4" s="393"/>
      <c r="UX4" s="393"/>
      <c r="UY4" s="393"/>
      <c r="UZ4" s="393"/>
      <c r="VA4" s="393"/>
      <c r="VB4" s="393"/>
      <c r="VC4" s="393"/>
      <c r="VD4" s="393"/>
      <c r="VE4" s="393"/>
      <c r="VF4" s="393"/>
      <c r="VG4" s="393"/>
      <c r="VH4" s="393"/>
      <c r="VI4" s="393"/>
      <c r="VJ4" s="393"/>
      <c r="VK4" s="393"/>
      <c r="VL4" s="393"/>
      <c r="VM4" s="393"/>
      <c r="VN4" s="393"/>
      <c r="VO4" s="393"/>
      <c r="VP4" s="393"/>
      <c r="VQ4" s="393"/>
      <c r="VR4" s="393"/>
      <c r="VS4" s="393"/>
      <c r="VT4" s="393"/>
      <c r="VU4" s="393"/>
      <c r="VV4" s="393"/>
      <c r="VW4" s="393"/>
      <c r="VX4" s="393"/>
      <c r="VY4" s="393"/>
      <c r="VZ4" s="393"/>
      <c r="WA4" s="393"/>
      <c r="WB4" s="393"/>
      <c r="WC4" s="393"/>
      <c r="WD4" s="393"/>
      <c r="WE4" s="393"/>
      <c r="WF4" s="393"/>
      <c r="WG4" s="393"/>
      <c r="WH4" s="393"/>
      <c r="WI4" s="393"/>
      <c r="WJ4" s="393"/>
      <c r="WK4" s="393"/>
      <c r="WL4" s="393"/>
      <c r="WM4" s="393"/>
      <c r="WN4" s="393"/>
      <c r="WO4" s="393"/>
      <c r="WP4" s="393"/>
      <c r="WQ4" s="393"/>
      <c r="WR4" s="393"/>
      <c r="WS4" s="393"/>
      <c r="WT4" s="393"/>
      <c r="WU4" s="393"/>
      <c r="WV4" s="393"/>
      <c r="WW4" s="393"/>
      <c r="WX4" s="393"/>
      <c r="WY4" s="393"/>
      <c r="WZ4" s="393"/>
      <c r="XA4" s="393"/>
      <c r="XB4" s="393"/>
      <c r="XC4" s="393"/>
      <c r="XD4" s="393"/>
      <c r="XE4" s="393"/>
      <c r="XF4" s="393"/>
      <c r="XG4" s="393"/>
      <c r="XH4" s="393"/>
      <c r="XI4" s="393"/>
      <c r="XJ4" s="393"/>
      <c r="XK4" s="393"/>
      <c r="XL4" s="393"/>
      <c r="XM4" s="393"/>
      <c r="XN4" s="393"/>
      <c r="XO4" s="393"/>
      <c r="XP4" s="393"/>
      <c r="XQ4" s="393"/>
      <c r="XR4" s="393"/>
      <c r="XS4" s="393"/>
      <c r="XT4" s="393"/>
      <c r="XU4" s="393"/>
      <c r="XV4" s="393"/>
      <c r="XW4" s="393"/>
      <c r="XX4" s="393"/>
      <c r="XY4" s="393"/>
      <c r="XZ4" s="393"/>
      <c r="YA4" s="393"/>
      <c r="YB4" s="393"/>
      <c r="YC4" s="393"/>
      <c r="YD4" s="393"/>
      <c r="YE4" s="393"/>
      <c r="YF4" s="393"/>
      <c r="YG4" s="393"/>
      <c r="YH4" s="393"/>
      <c r="YI4" s="393"/>
      <c r="YJ4" s="393"/>
      <c r="YK4" s="393"/>
      <c r="YL4" s="393"/>
      <c r="YM4" s="393"/>
      <c r="YN4" s="393"/>
      <c r="YO4" s="393"/>
      <c r="YP4" s="393"/>
      <c r="YQ4" s="393"/>
      <c r="YR4" s="393"/>
      <c r="YS4" s="393"/>
      <c r="YT4" s="393"/>
      <c r="YU4" s="393"/>
      <c r="YV4" s="393"/>
      <c r="YW4" s="393"/>
      <c r="YX4" s="393"/>
      <c r="YY4" s="393"/>
      <c r="YZ4" s="393"/>
      <c r="ZA4" s="393"/>
      <c r="ZB4" s="393"/>
      <c r="ZC4" s="393"/>
      <c r="ZD4" s="393"/>
      <c r="ZE4" s="393"/>
      <c r="ZF4" s="393"/>
      <c r="ZG4" s="393"/>
      <c r="ZH4" s="393"/>
      <c r="ZI4" s="393"/>
      <c r="ZJ4" s="393"/>
      <c r="ZK4" s="393"/>
      <c r="ZL4" s="393"/>
      <c r="ZM4" s="393"/>
      <c r="ZN4" s="393"/>
      <c r="ZO4" s="393"/>
      <c r="ZP4" s="393"/>
      <c r="ZQ4" s="393"/>
      <c r="ZR4" s="393"/>
      <c r="ZS4" s="393"/>
      <c r="ZT4" s="393"/>
      <c r="ZU4" s="393"/>
      <c r="ZV4" s="393"/>
      <c r="ZW4" s="393"/>
      <c r="ZX4" s="393"/>
      <c r="ZY4" s="393"/>
      <c r="ZZ4" s="393"/>
      <c r="AAA4" s="393"/>
      <c r="AAB4" s="393"/>
      <c r="AAC4" s="393"/>
      <c r="AAD4" s="393"/>
      <c r="AAE4" s="393"/>
      <c r="AAF4" s="393"/>
      <c r="AAG4" s="393"/>
      <c r="AAH4" s="393"/>
      <c r="AAI4" s="393"/>
      <c r="AAJ4" s="393"/>
      <c r="AAK4" s="393"/>
      <c r="AAL4" s="393"/>
      <c r="AAM4" s="393"/>
      <c r="AAN4" s="393"/>
      <c r="AAO4" s="393"/>
      <c r="AAP4" s="393"/>
      <c r="AAQ4" s="393"/>
      <c r="AAR4" s="393"/>
      <c r="AAS4" s="393"/>
      <c r="AAT4" s="393"/>
      <c r="AAU4" s="393"/>
      <c r="AAV4" s="393"/>
      <c r="AAW4" s="393"/>
      <c r="AAX4" s="393"/>
      <c r="AAY4" s="393"/>
      <c r="AAZ4" s="393"/>
      <c r="ABA4" s="393"/>
      <c r="ABB4" s="393"/>
      <c r="ABC4" s="393"/>
      <c r="ABD4" s="393"/>
      <c r="ABE4" s="393"/>
      <c r="ABF4" s="393"/>
      <c r="ABG4" s="393"/>
      <c r="ABH4" s="393"/>
      <c r="ABI4" s="393"/>
      <c r="ABJ4" s="393"/>
      <c r="ABK4" s="393"/>
      <c r="ABL4" s="393"/>
      <c r="ABM4" s="393"/>
      <c r="ABN4" s="393"/>
      <c r="ABO4" s="393"/>
      <c r="ABP4" s="393"/>
      <c r="ABQ4" s="393"/>
      <c r="ABR4" s="393"/>
      <c r="ABS4" s="393"/>
      <c r="ABT4" s="393"/>
      <c r="ABU4" s="393"/>
      <c r="ABV4" s="393"/>
      <c r="ABW4" s="393"/>
      <c r="ABX4" s="393"/>
      <c r="ABY4" s="393"/>
      <c r="ABZ4" s="393"/>
      <c r="ACA4" s="393"/>
      <c r="ACB4" s="393"/>
      <c r="ACC4" s="393"/>
      <c r="ACD4" s="393"/>
      <c r="ACE4" s="393"/>
      <c r="ACF4" s="393"/>
      <c r="ACG4" s="393"/>
      <c r="ACH4" s="393"/>
      <c r="ACI4" s="393"/>
    </row>
    <row r="5" spans="1:763" ht="13.95" customHeight="1" x14ac:dyDescent="0.3">
      <c r="A5" s="390" t="str">
        <f>Проект!$A$46</f>
        <v xml:space="preserve">Проживание гостей (Групповые и семейные номера) </v>
      </c>
      <c r="B5" s="394"/>
      <c r="C5" s="395"/>
      <c r="D5" s="390"/>
      <c r="E5" s="390"/>
      <c r="F5" s="390"/>
      <c r="G5" s="390"/>
      <c r="H5" s="396"/>
      <c r="I5" s="390"/>
      <c r="J5" s="390"/>
      <c r="K5" s="390"/>
      <c r="L5" s="390"/>
      <c r="M5" s="390"/>
      <c r="N5" s="390"/>
      <c r="O5" s="390"/>
      <c r="P5" s="390"/>
      <c r="Q5" s="390"/>
      <c r="R5" s="390"/>
      <c r="S5" s="390"/>
      <c r="T5" s="390"/>
      <c r="U5" s="390"/>
      <c r="V5" s="390"/>
      <c r="W5" s="390"/>
      <c r="X5" s="390"/>
      <c r="Y5" s="390"/>
      <c r="Z5" s="390"/>
      <c r="AA5" s="390"/>
      <c r="AB5" s="390"/>
      <c r="AC5" s="390"/>
      <c r="AD5" s="390"/>
      <c r="AE5" s="390"/>
      <c r="AF5" s="390"/>
      <c r="AG5" s="390"/>
      <c r="AH5" s="390"/>
      <c r="AI5" s="390"/>
      <c r="AJ5" s="390"/>
      <c r="AK5" s="390"/>
      <c r="AL5" s="390"/>
      <c r="AM5" s="390"/>
      <c r="AN5" s="390"/>
      <c r="AO5" s="390"/>
      <c r="AP5" s="390"/>
      <c r="AQ5" s="390"/>
      <c r="AR5" s="390"/>
      <c r="AS5" s="390"/>
      <c r="AT5" s="390"/>
      <c r="AU5" s="390"/>
      <c r="AV5" s="390"/>
      <c r="AW5" s="390"/>
      <c r="AX5" s="390"/>
      <c r="AY5" s="390"/>
      <c r="AZ5" s="390"/>
      <c r="BA5" s="390"/>
      <c r="BB5" s="390"/>
      <c r="BC5" s="390"/>
      <c r="BD5" s="390"/>
      <c r="BE5" s="390"/>
      <c r="BF5" s="390"/>
      <c r="BG5" s="390"/>
      <c r="BH5" s="390"/>
      <c r="BI5" s="390"/>
      <c r="BJ5" s="390"/>
      <c r="BK5" s="390"/>
      <c r="BL5" s="390"/>
      <c r="BM5" s="390"/>
      <c r="BN5" s="390"/>
      <c r="BO5" s="390"/>
      <c r="BP5" s="390"/>
      <c r="BQ5" s="390"/>
      <c r="BR5" s="390"/>
      <c r="BS5" s="390"/>
      <c r="BT5" s="390"/>
      <c r="BU5" s="390"/>
      <c r="BV5" s="390"/>
      <c r="BW5" s="390"/>
      <c r="BX5" s="390"/>
      <c r="BY5" s="390"/>
      <c r="BZ5" s="390"/>
      <c r="CA5" s="390"/>
      <c r="CB5" s="390"/>
      <c r="CC5" s="390"/>
      <c r="CD5" s="390"/>
      <c r="CE5" s="390"/>
      <c r="CF5" s="390"/>
      <c r="CG5" s="390"/>
      <c r="CH5" s="390"/>
      <c r="CI5" s="390"/>
      <c r="CJ5" s="390"/>
      <c r="CK5" s="390"/>
      <c r="CL5" s="390"/>
      <c r="CM5" s="390"/>
      <c r="CN5" s="390"/>
      <c r="CO5" s="390"/>
      <c r="CP5" s="390"/>
      <c r="CQ5" s="390"/>
      <c r="CR5" s="390"/>
      <c r="CS5" s="390"/>
      <c r="CT5" s="390"/>
      <c r="CU5" s="390"/>
      <c r="CV5" s="390"/>
      <c r="CW5" s="390"/>
      <c r="CX5" s="390"/>
      <c r="CY5" s="390"/>
      <c r="CZ5" s="390"/>
      <c r="DA5" s="390"/>
      <c r="DB5" s="390"/>
      <c r="DC5" s="390"/>
      <c r="DD5" s="390"/>
      <c r="DE5" s="390"/>
      <c r="DF5" s="390"/>
      <c r="DG5" s="390"/>
      <c r="DH5" s="390"/>
      <c r="DI5" s="390"/>
      <c r="DJ5" s="390"/>
      <c r="DK5" s="390"/>
      <c r="DL5" s="390"/>
      <c r="DM5" s="390"/>
      <c r="DN5" s="390"/>
      <c r="DO5" s="390"/>
      <c r="DP5" s="390"/>
      <c r="DQ5" s="390"/>
      <c r="DR5" s="390"/>
      <c r="DS5" s="390"/>
      <c r="DT5" s="390"/>
      <c r="DU5" s="390"/>
      <c r="DV5" s="390"/>
      <c r="DW5" s="390"/>
      <c r="DX5" s="390"/>
      <c r="DY5" s="390"/>
      <c r="DZ5" s="390"/>
      <c r="EA5" s="390"/>
      <c r="EB5" s="390"/>
      <c r="EC5" s="390"/>
      <c r="ED5" s="390"/>
      <c r="EE5" s="390"/>
      <c r="EF5" s="390"/>
      <c r="EG5" s="390"/>
      <c r="EH5" s="390"/>
      <c r="EI5" s="390"/>
      <c r="EJ5" s="390"/>
      <c r="EK5" s="390"/>
      <c r="EL5" s="390"/>
      <c r="EM5" s="390"/>
      <c r="EN5" s="390"/>
      <c r="EO5" s="390"/>
      <c r="EP5" s="390"/>
      <c r="EQ5" s="390"/>
      <c r="ER5" s="390"/>
      <c r="ES5" s="390"/>
      <c r="ET5" s="390"/>
      <c r="EU5" s="390"/>
      <c r="EV5" s="390"/>
      <c r="EW5" s="390"/>
      <c r="EX5" s="390"/>
      <c r="EY5" s="390"/>
      <c r="EZ5" s="390"/>
      <c r="FA5" s="390"/>
      <c r="FB5" s="390"/>
      <c r="FC5" s="390"/>
      <c r="FD5" s="390"/>
      <c r="FE5" s="390"/>
      <c r="FF5" s="390"/>
      <c r="FG5" s="390"/>
      <c r="FH5" s="390"/>
      <c r="FI5" s="390"/>
      <c r="FJ5" s="390"/>
      <c r="FK5" s="390"/>
      <c r="FL5" s="390"/>
      <c r="FM5" s="390"/>
      <c r="FN5" s="390"/>
      <c r="FO5" s="390"/>
      <c r="FP5" s="390"/>
      <c r="FQ5" s="390"/>
      <c r="FR5" s="390"/>
      <c r="FS5" s="390"/>
      <c r="FT5" s="390"/>
      <c r="FU5" s="390"/>
      <c r="FV5" s="390"/>
      <c r="FW5" s="390"/>
      <c r="FX5" s="390"/>
      <c r="FY5" s="390"/>
      <c r="FZ5" s="390"/>
      <c r="GA5" s="390"/>
      <c r="GB5" s="390"/>
      <c r="GC5" s="390"/>
      <c r="GD5" s="390"/>
      <c r="GE5" s="390"/>
      <c r="GF5" s="390"/>
      <c r="GG5" s="390"/>
      <c r="GH5" s="390"/>
      <c r="GI5" s="390"/>
      <c r="GJ5" s="390"/>
      <c r="GK5" s="390"/>
      <c r="GL5" s="390"/>
      <c r="GM5" s="390"/>
      <c r="GN5" s="390"/>
      <c r="GO5" s="390"/>
      <c r="GP5" s="390"/>
      <c r="GQ5" s="390"/>
      <c r="GR5" s="390"/>
      <c r="GS5" s="390"/>
      <c r="GT5" s="390"/>
      <c r="GU5" s="390"/>
      <c r="GV5" s="390"/>
      <c r="GW5" s="390"/>
      <c r="GX5" s="390"/>
      <c r="GY5" s="390"/>
      <c r="GZ5" s="390"/>
      <c r="HA5" s="390"/>
      <c r="HB5" s="390"/>
      <c r="HC5" s="390"/>
      <c r="HD5" s="390"/>
      <c r="HE5" s="390"/>
      <c r="HF5" s="390"/>
      <c r="HG5" s="390"/>
      <c r="HH5" s="390"/>
      <c r="HI5" s="390"/>
      <c r="HJ5" s="390"/>
      <c r="HK5" s="390"/>
      <c r="HL5" s="390"/>
      <c r="HM5" s="390"/>
      <c r="HN5" s="390"/>
      <c r="HO5" s="390"/>
      <c r="HP5" s="390"/>
      <c r="HQ5" s="390"/>
      <c r="HR5" s="390"/>
      <c r="HS5" s="390"/>
      <c r="HT5" s="390"/>
      <c r="HU5" s="390"/>
      <c r="HV5" s="390"/>
      <c r="HW5" s="390"/>
      <c r="HX5" s="390"/>
      <c r="HY5" s="390"/>
      <c r="HZ5" s="390"/>
      <c r="IA5" s="390"/>
      <c r="IB5" s="390"/>
      <c r="IC5" s="390"/>
      <c r="ID5" s="390"/>
      <c r="IE5" s="390"/>
      <c r="IF5" s="390"/>
      <c r="IG5" s="390"/>
      <c r="IH5" s="390"/>
      <c r="II5" s="390"/>
      <c r="IJ5" s="390"/>
      <c r="IK5" s="390"/>
      <c r="IL5" s="390"/>
      <c r="IM5" s="390"/>
      <c r="IN5" s="390"/>
      <c r="IO5" s="390"/>
      <c r="IP5" s="390"/>
      <c r="IQ5" s="390"/>
      <c r="IR5" s="390"/>
      <c r="IS5" s="390"/>
      <c r="IT5" s="390"/>
      <c r="IU5" s="390"/>
      <c r="IV5" s="390"/>
      <c r="IW5" s="390"/>
      <c r="IX5" s="390"/>
      <c r="IY5" s="390"/>
      <c r="IZ5" s="390"/>
      <c r="JA5" s="390"/>
      <c r="JB5" s="390"/>
      <c r="JC5" s="390"/>
      <c r="JD5" s="390"/>
      <c r="JE5" s="390"/>
      <c r="JF5" s="390"/>
      <c r="JG5" s="390"/>
      <c r="JH5" s="390"/>
      <c r="JI5" s="390"/>
      <c r="JJ5" s="390"/>
      <c r="JK5" s="390"/>
      <c r="JL5" s="390"/>
      <c r="JM5" s="390"/>
      <c r="JN5" s="390"/>
      <c r="JO5" s="390"/>
      <c r="JP5" s="390"/>
      <c r="JQ5" s="390"/>
      <c r="JR5" s="390"/>
      <c r="JS5" s="390"/>
      <c r="JT5" s="390"/>
      <c r="JU5" s="390"/>
      <c r="JV5" s="390"/>
      <c r="JW5" s="390"/>
      <c r="JX5" s="390"/>
      <c r="JY5" s="390"/>
      <c r="JZ5" s="390"/>
      <c r="KA5" s="390"/>
      <c r="KB5" s="390"/>
      <c r="KC5" s="390"/>
      <c r="KD5" s="390"/>
      <c r="KE5" s="390"/>
      <c r="KF5" s="390"/>
      <c r="KG5" s="390"/>
      <c r="KH5" s="390"/>
      <c r="KI5" s="390"/>
      <c r="KJ5" s="390"/>
      <c r="KK5" s="390"/>
      <c r="KL5" s="390"/>
      <c r="KM5" s="390"/>
      <c r="KN5" s="390"/>
      <c r="KO5" s="390"/>
      <c r="KP5" s="390"/>
      <c r="KQ5" s="390"/>
      <c r="KR5" s="390"/>
      <c r="KS5" s="390"/>
      <c r="KT5" s="390"/>
      <c r="KU5" s="390"/>
      <c r="KV5" s="390"/>
      <c r="KW5" s="390"/>
      <c r="KX5" s="390"/>
      <c r="KY5" s="390"/>
      <c r="KZ5" s="390"/>
      <c r="LA5" s="390"/>
      <c r="LB5" s="390"/>
      <c r="LC5" s="390"/>
      <c r="LD5" s="390"/>
      <c r="LE5" s="390"/>
      <c r="LF5" s="390"/>
      <c r="LG5" s="390"/>
      <c r="LH5" s="390"/>
      <c r="LI5" s="390"/>
      <c r="LJ5" s="390"/>
      <c r="LK5" s="390"/>
      <c r="LL5" s="390"/>
      <c r="LM5" s="390"/>
      <c r="LN5" s="390"/>
      <c r="LO5" s="390"/>
      <c r="LP5" s="390"/>
      <c r="LQ5" s="390"/>
      <c r="LR5" s="390"/>
      <c r="LS5" s="390"/>
      <c r="LT5" s="390"/>
      <c r="LU5" s="390"/>
      <c r="LV5" s="390"/>
      <c r="LW5" s="390"/>
      <c r="LX5" s="390"/>
      <c r="LY5" s="390"/>
      <c r="LZ5" s="390"/>
      <c r="MA5" s="390"/>
      <c r="MB5" s="390"/>
      <c r="MC5" s="390"/>
      <c r="MD5" s="390"/>
      <c r="ME5" s="390"/>
      <c r="MF5" s="390"/>
      <c r="MG5" s="390"/>
      <c r="MH5" s="390"/>
      <c r="MI5" s="390"/>
      <c r="MJ5" s="390"/>
      <c r="MK5" s="390"/>
      <c r="ML5" s="390"/>
      <c r="MM5" s="390"/>
      <c r="MN5" s="390"/>
      <c r="MO5" s="390"/>
      <c r="MP5" s="390"/>
      <c r="MQ5" s="390"/>
      <c r="MR5" s="390"/>
      <c r="MS5" s="390"/>
      <c r="MT5" s="390"/>
      <c r="MU5" s="390"/>
      <c r="MV5" s="390"/>
      <c r="MW5" s="390"/>
      <c r="MX5" s="390"/>
      <c r="MY5" s="390"/>
      <c r="MZ5" s="390"/>
      <c r="NA5" s="390"/>
      <c r="NB5" s="390"/>
      <c r="NC5" s="390"/>
      <c r="ND5" s="390"/>
      <c r="NE5" s="390"/>
      <c r="NF5" s="390"/>
      <c r="NG5" s="390"/>
      <c r="NH5" s="390"/>
      <c r="NI5" s="390"/>
      <c r="NJ5" s="390"/>
      <c r="NK5" s="390"/>
      <c r="NL5" s="390"/>
      <c r="NM5" s="390"/>
      <c r="NN5" s="390"/>
      <c r="NO5" s="390"/>
      <c r="NP5" s="390"/>
      <c r="NQ5" s="390"/>
      <c r="NR5" s="390"/>
      <c r="NS5" s="390"/>
      <c r="NT5" s="390"/>
      <c r="NU5" s="390"/>
      <c r="NV5" s="390"/>
      <c r="NW5" s="390"/>
      <c r="NX5" s="390"/>
      <c r="NY5" s="390"/>
      <c r="NZ5" s="390"/>
      <c r="OA5" s="390"/>
      <c r="OB5" s="390"/>
      <c r="OC5" s="390"/>
      <c r="OD5" s="390"/>
      <c r="OE5" s="390"/>
      <c r="OF5" s="390"/>
      <c r="OG5" s="390"/>
      <c r="OH5" s="390"/>
      <c r="OI5" s="390"/>
      <c r="OJ5" s="390"/>
      <c r="OK5" s="390"/>
      <c r="OL5" s="390"/>
      <c r="OM5" s="390"/>
      <c r="ON5" s="390"/>
      <c r="OO5" s="390"/>
      <c r="OP5" s="390"/>
      <c r="OQ5" s="390"/>
      <c r="OR5" s="390"/>
      <c r="OS5" s="390"/>
      <c r="OT5" s="390"/>
      <c r="OU5" s="390"/>
      <c r="OV5" s="390"/>
      <c r="OW5" s="390"/>
      <c r="OX5" s="390"/>
      <c r="OY5" s="390"/>
      <c r="OZ5" s="390"/>
      <c r="PA5" s="390"/>
      <c r="PB5" s="390"/>
      <c r="PC5" s="390"/>
      <c r="PD5" s="390"/>
      <c r="PE5" s="390"/>
      <c r="PF5" s="390"/>
      <c r="PG5" s="390"/>
      <c r="PH5" s="390"/>
      <c r="PI5" s="390"/>
      <c r="PJ5" s="390"/>
      <c r="PK5" s="390"/>
      <c r="PL5" s="390"/>
      <c r="PM5" s="390"/>
      <c r="PN5" s="390"/>
      <c r="PO5" s="390"/>
      <c r="PP5" s="390"/>
      <c r="PQ5" s="390"/>
      <c r="PR5" s="390"/>
      <c r="PS5" s="390"/>
      <c r="PT5" s="390"/>
      <c r="PU5" s="390"/>
      <c r="PV5" s="390"/>
      <c r="PW5" s="390"/>
      <c r="PX5" s="390"/>
      <c r="PY5" s="390"/>
      <c r="PZ5" s="390"/>
      <c r="QA5" s="390"/>
      <c r="QB5" s="390"/>
      <c r="QC5" s="390"/>
      <c r="QD5" s="390"/>
      <c r="QE5" s="390"/>
      <c r="QF5" s="390"/>
      <c r="QG5" s="390"/>
      <c r="QH5" s="390"/>
      <c r="QI5" s="390"/>
      <c r="QJ5" s="390"/>
      <c r="QK5" s="390"/>
      <c r="QL5" s="390"/>
      <c r="QM5" s="390"/>
      <c r="QN5" s="390"/>
      <c r="QO5" s="390"/>
      <c r="QP5" s="390"/>
      <c r="QQ5" s="390"/>
      <c r="QR5" s="390"/>
      <c r="QS5" s="390"/>
      <c r="QT5" s="390"/>
      <c r="QU5" s="390"/>
      <c r="QV5" s="390"/>
      <c r="QW5" s="390"/>
      <c r="QX5" s="390"/>
      <c r="QY5" s="390"/>
      <c r="QZ5" s="390"/>
      <c r="RA5" s="390"/>
      <c r="RB5" s="390"/>
      <c r="RC5" s="390"/>
      <c r="RD5" s="390"/>
      <c r="RE5" s="390"/>
      <c r="RF5" s="390"/>
      <c r="RG5" s="390"/>
      <c r="RH5" s="390"/>
      <c r="RI5" s="390"/>
      <c r="RJ5" s="390"/>
      <c r="RK5" s="390"/>
      <c r="RL5" s="390"/>
      <c r="RM5" s="390"/>
      <c r="RN5" s="390"/>
      <c r="RO5" s="390"/>
      <c r="RP5" s="390"/>
      <c r="RQ5" s="390"/>
      <c r="RR5" s="390"/>
      <c r="RS5" s="390"/>
      <c r="RT5" s="390"/>
      <c r="RU5" s="390"/>
      <c r="RV5" s="390"/>
      <c r="RW5" s="390"/>
      <c r="RX5" s="390"/>
      <c r="RY5" s="390"/>
      <c r="RZ5" s="390"/>
      <c r="SA5" s="390"/>
      <c r="SB5" s="390"/>
      <c r="SC5" s="390"/>
      <c r="SD5" s="390"/>
      <c r="SE5" s="390"/>
      <c r="SF5" s="390"/>
      <c r="SG5" s="390"/>
      <c r="SH5" s="390"/>
      <c r="SI5" s="390"/>
      <c r="SJ5" s="390"/>
      <c r="SK5" s="390"/>
      <c r="SL5" s="390"/>
      <c r="SM5" s="390"/>
      <c r="SN5" s="390"/>
      <c r="SO5" s="390"/>
      <c r="SP5" s="390"/>
      <c r="SQ5" s="390"/>
      <c r="SR5" s="390"/>
      <c r="SS5" s="390"/>
      <c r="ST5" s="390"/>
      <c r="SU5" s="390"/>
      <c r="SV5" s="390"/>
      <c r="SW5" s="390"/>
      <c r="SX5" s="390"/>
      <c r="SY5" s="390"/>
      <c r="SZ5" s="390"/>
      <c r="TA5" s="390"/>
      <c r="TB5" s="390"/>
      <c r="TC5" s="390"/>
      <c r="TD5" s="390"/>
      <c r="TE5" s="390"/>
      <c r="TF5" s="390"/>
      <c r="TG5" s="390"/>
      <c r="TH5" s="390"/>
      <c r="TI5" s="390"/>
      <c r="TJ5" s="390"/>
      <c r="TK5" s="390"/>
      <c r="TL5" s="390"/>
      <c r="TM5" s="390"/>
      <c r="TN5" s="390"/>
      <c r="TO5" s="390"/>
      <c r="TP5" s="390"/>
      <c r="TQ5" s="390"/>
      <c r="TR5" s="390"/>
      <c r="TS5" s="390"/>
      <c r="TT5" s="390"/>
      <c r="TU5" s="390"/>
      <c r="TV5" s="390"/>
      <c r="TW5" s="390"/>
      <c r="TX5" s="390"/>
      <c r="TY5" s="390"/>
      <c r="TZ5" s="390"/>
      <c r="UA5" s="390"/>
      <c r="UB5" s="390"/>
      <c r="UC5" s="390"/>
      <c r="UD5" s="390"/>
      <c r="UE5" s="390"/>
      <c r="UF5" s="390"/>
      <c r="UG5" s="390"/>
      <c r="UH5" s="390"/>
      <c r="UI5" s="390"/>
      <c r="UJ5" s="390"/>
      <c r="UK5" s="390"/>
      <c r="UL5" s="390"/>
      <c r="UM5" s="390"/>
      <c r="UN5" s="390"/>
      <c r="UO5" s="390"/>
      <c r="UP5" s="390"/>
      <c r="UQ5" s="390"/>
      <c r="UR5" s="390"/>
      <c r="US5" s="390"/>
      <c r="UT5" s="390"/>
      <c r="UU5" s="390"/>
      <c r="UV5" s="390"/>
      <c r="UW5" s="390"/>
      <c r="UX5" s="390"/>
      <c r="UY5" s="390"/>
      <c r="UZ5" s="390"/>
      <c r="VA5" s="390"/>
      <c r="VB5" s="390"/>
      <c r="VC5" s="390"/>
      <c r="VD5" s="390"/>
      <c r="VE5" s="390"/>
      <c r="VF5" s="390"/>
      <c r="VG5" s="390"/>
      <c r="VH5" s="390"/>
      <c r="VI5" s="390"/>
      <c r="VJ5" s="390"/>
      <c r="VK5" s="390"/>
      <c r="VL5" s="390"/>
      <c r="VM5" s="390"/>
      <c r="VN5" s="390"/>
      <c r="VO5" s="390"/>
      <c r="VP5" s="390"/>
      <c r="VQ5" s="390"/>
      <c r="VR5" s="390"/>
      <c r="VS5" s="390"/>
      <c r="VT5" s="390"/>
      <c r="VU5" s="390"/>
      <c r="VV5" s="390"/>
      <c r="VW5" s="390"/>
      <c r="VX5" s="390"/>
      <c r="VY5" s="390"/>
      <c r="VZ5" s="390"/>
      <c r="WA5" s="390"/>
      <c r="WB5" s="390"/>
      <c r="WC5" s="390"/>
      <c r="WD5" s="390"/>
      <c r="WE5" s="390"/>
      <c r="WF5" s="390"/>
      <c r="WG5" s="390"/>
      <c r="WH5" s="390"/>
      <c r="WI5" s="390"/>
      <c r="WJ5" s="390"/>
      <c r="WK5" s="390"/>
      <c r="WL5" s="390"/>
      <c r="WM5" s="390"/>
      <c r="WN5" s="390"/>
      <c r="WO5" s="390"/>
      <c r="WP5" s="390"/>
      <c r="WQ5" s="390"/>
      <c r="WR5" s="390"/>
      <c r="WS5" s="390"/>
      <c r="WT5" s="390"/>
      <c r="WU5" s="390"/>
      <c r="WV5" s="390"/>
      <c r="WW5" s="390"/>
      <c r="WX5" s="390"/>
      <c r="WY5" s="390"/>
      <c r="WZ5" s="390"/>
      <c r="XA5" s="390"/>
      <c r="XB5" s="390"/>
      <c r="XC5" s="390"/>
      <c r="XD5" s="390"/>
      <c r="XE5" s="390"/>
      <c r="XF5" s="390"/>
      <c r="XG5" s="390"/>
      <c r="XH5" s="390"/>
      <c r="XI5" s="390"/>
      <c r="XJ5" s="390"/>
      <c r="XK5" s="390"/>
      <c r="XL5" s="390"/>
      <c r="XM5" s="390"/>
      <c r="XN5" s="390"/>
      <c r="XO5" s="390"/>
      <c r="XP5" s="390"/>
      <c r="XQ5" s="390"/>
      <c r="XR5" s="390"/>
      <c r="XS5" s="390"/>
      <c r="XT5" s="390"/>
      <c r="XU5" s="390"/>
      <c r="XV5" s="390"/>
      <c r="XW5" s="390"/>
      <c r="XX5" s="390"/>
      <c r="XY5" s="390"/>
      <c r="XZ5" s="390"/>
      <c r="YA5" s="390"/>
      <c r="YB5" s="390"/>
      <c r="YC5" s="390"/>
      <c r="YD5" s="390"/>
      <c r="YE5" s="390"/>
      <c r="YF5" s="390"/>
      <c r="YG5" s="390"/>
      <c r="YH5" s="390"/>
      <c r="YI5" s="390"/>
      <c r="YJ5" s="390"/>
      <c r="YK5" s="390"/>
      <c r="YL5" s="390"/>
      <c r="YM5" s="390"/>
      <c r="YN5" s="390"/>
      <c r="YO5" s="390"/>
      <c r="YP5" s="390"/>
      <c r="YQ5" s="390"/>
      <c r="YR5" s="390"/>
      <c r="YS5" s="390"/>
      <c r="YT5" s="390"/>
      <c r="YU5" s="390"/>
      <c r="YV5" s="390"/>
      <c r="YW5" s="390"/>
      <c r="YX5" s="390"/>
      <c r="YY5" s="390"/>
      <c r="YZ5" s="390"/>
      <c r="ZA5" s="390"/>
      <c r="ZB5" s="390"/>
      <c r="ZC5" s="390"/>
      <c r="ZD5" s="390"/>
      <c r="ZE5" s="390"/>
      <c r="ZF5" s="390"/>
      <c r="ZG5" s="390"/>
      <c r="ZH5" s="390"/>
      <c r="ZI5" s="390"/>
      <c r="ZJ5" s="390"/>
      <c r="ZK5" s="390"/>
      <c r="ZL5" s="390"/>
      <c r="ZM5" s="390"/>
      <c r="ZN5" s="390"/>
      <c r="ZO5" s="390"/>
      <c r="ZP5" s="390"/>
      <c r="ZQ5" s="390"/>
      <c r="ZR5" s="390"/>
      <c r="ZS5" s="390"/>
      <c r="ZT5" s="390"/>
      <c r="ZU5" s="390"/>
      <c r="ZV5" s="390"/>
      <c r="ZW5" s="390"/>
      <c r="ZX5" s="390"/>
      <c r="ZY5" s="390"/>
      <c r="ZZ5" s="390"/>
      <c r="AAA5" s="390"/>
      <c r="AAB5" s="390"/>
      <c r="AAC5" s="390"/>
      <c r="AAD5" s="390"/>
      <c r="AAE5" s="390"/>
      <c r="AAF5" s="390"/>
      <c r="AAG5" s="390"/>
      <c r="AAH5" s="390"/>
      <c r="AAI5" s="390"/>
      <c r="AAJ5" s="390"/>
      <c r="AAK5" s="390"/>
      <c r="AAL5" s="390"/>
      <c r="AAM5" s="390"/>
      <c r="AAN5" s="390"/>
      <c r="AAO5" s="390"/>
      <c r="AAP5" s="390"/>
      <c r="AAQ5" s="390"/>
      <c r="AAR5" s="390"/>
      <c r="AAS5" s="390"/>
      <c r="AAT5" s="390"/>
      <c r="AAU5" s="390"/>
      <c r="AAV5" s="390"/>
      <c r="AAW5" s="390"/>
      <c r="AAX5" s="390"/>
      <c r="AAY5" s="390"/>
      <c r="AAZ5" s="390"/>
      <c r="ABA5" s="390"/>
      <c r="ABB5" s="390"/>
      <c r="ABC5" s="390"/>
      <c r="ABD5" s="390"/>
      <c r="ABE5" s="390"/>
      <c r="ABF5" s="390"/>
      <c r="ABG5" s="390"/>
      <c r="ABH5" s="390"/>
      <c r="ABI5" s="390"/>
      <c r="ABJ5" s="390"/>
      <c r="ABK5" s="390"/>
      <c r="ABL5" s="390"/>
      <c r="ABM5" s="390"/>
      <c r="ABN5" s="390"/>
      <c r="ABO5" s="390"/>
      <c r="ABP5" s="390"/>
      <c r="ABQ5" s="390"/>
      <c r="ABR5" s="390"/>
      <c r="ABS5" s="390"/>
      <c r="ABT5" s="390"/>
      <c r="ABU5" s="390"/>
      <c r="ABV5" s="390"/>
      <c r="ABW5" s="390"/>
      <c r="ABX5" s="390"/>
      <c r="ABY5" s="390"/>
      <c r="ABZ5" s="390"/>
      <c r="ACA5" s="390"/>
      <c r="ACB5" s="390"/>
      <c r="ACC5" s="390"/>
      <c r="ACD5" s="390"/>
      <c r="ACE5" s="390"/>
      <c r="ACF5" s="390"/>
      <c r="ACG5" s="390"/>
      <c r="ACH5" s="390"/>
      <c r="ACI5" s="390"/>
    </row>
    <row r="6" spans="1:763" ht="13.95" customHeight="1" x14ac:dyDescent="0.3">
      <c r="A6" s="397" t="str">
        <f ca="1">Проект!$A$47</f>
        <v>объем продаж за период</v>
      </c>
      <c r="B6" s="350">
        <f>Проект!$B$47</f>
        <v>4800</v>
      </c>
      <c r="C6" s="398" t="str">
        <f>Проект!$C$47</f>
        <v>ед.</v>
      </c>
      <c r="D6" s="399">
        <f>SUM(Проект!$G$47:$R$47)</f>
        <v>14400</v>
      </c>
      <c r="E6" s="399">
        <f>SUM(Проект!$S$47:$AD$47)</f>
        <v>39840</v>
      </c>
      <c r="F6" s="399">
        <f>SUM(Проект!$AE$47:$AP$47)</f>
        <v>39840</v>
      </c>
      <c r="G6" s="399">
        <f>SUM(Проект!$AQ$47:$BB$47)</f>
        <v>39840</v>
      </c>
      <c r="H6" s="392">
        <f>Проект!$BD$47</f>
        <v>133920</v>
      </c>
      <c r="I6" s="390"/>
      <c r="J6" s="390"/>
      <c r="K6" s="390"/>
      <c r="L6" s="390"/>
      <c r="M6" s="390"/>
      <c r="N6" s="390"/>
      <c r="O6" s="390"/>
      <c r="P6" s="390"/>
      <c r="Q6" s="390"/>
      <c r="R6" s="390"/>
      <c r="S6" s="390"/>
      <c r="T6" s="390"/>
      <c r="U6" s="390"/>
      <c r="V6" s="390"/>
      <c r="W6" s="390"/>
      <c r="X6" s="390"/>
      <c r="Y6" s="390"/>
      <c r="Z6" s="390"/>
      <c r="AA6" s="390"/>
      <c r="AB6" s="390"/>
      <c r="AC6" s="390"/>
      <c r="AD6" s="390"/>
      <c r="AE6" s="390"/>
      <c r="AF6" s="390"/>
      <c r="AG6" s="390"/>
      <c r="AH6" s="390"/>
      <c r="AI6" s="390"/>
      <c r="AJ6" s="390"/>
      <c r="AK6" s="390"/>
      <c r="AL6" s="390"/>
      <c r="AM6" s="390"/>
      <c r="AN6" s="390"/>
      <c r="AO6" s="390"/>
      <c r="AP6" s="390"/>
      <c r="AQ6" s="390"/>
      <c r="AR6" s="390"/>
      <c r="AS6" s="390"/>
      <c r="AT6" s="390"/>
      <c r="AU6" s="390"/>
      <c r="AV6" s="390"/>
      <c r="AW6" s="390"/>
      <c r="AX6" s="390"/>
      <c r="AY6" s="390"/>
      <c r="AZ6" s="390"/>
      <c r="BA6" s="390"/>
      <c r="BB6" s="390"/>
      <c r="BC6" s="390"/>
      <c r="BD6" s="390"/>
      <c r="BE6" s="390"/>
      <c r="BF6" s="390"/>
      <c r="BG6" s="390"/>
      <c r="BH6" s="390"/>
      <c r="BI6" s="390"/>
      <c r="BJ6" s="390"/>
      <c r="BK6" s="390"/>
      <c r="BL6" s="390"/>
      <c r="BM6" s="390"/>
      <c r="BN6" s="390"/>
      <c r="BO6" s="390"/>
      <c r="BP6" s="390"/>
      <c r="BQ6" s="390"/>
      <c r="BR6" s="390"/>
      <c r="BS6" s="390"/>
      <c r="BT6" s="390"/>
      <c r="BU6" s="390"/>
      <c r="BV6" s="390"/>
      <c r="BW6" s="390"/>
      <c r="BX6" s="390"/>
      <c r="BY6" s="390"/>
      <c r="BZ6" s="390"/>
      <c r="CA6" s="390"/>
      <c r="CB6" s="390"/>
      <c r="CC6" s="390"/>
      <c r="CD6" s="390"/>
      <c r="CE6" s="390"/>
      <c r="CF6" s="390"/>
      <c r="CG6" s="390"/>
      <c r="CH6" s="390"/>
      <c r="CI6" s="390"/>
      <c r="CJ6" s="390"/>
      <c r="CK6" s="390"/>
      <c r="CL6" s="390"/>
      <c r="CM6" s="390"/>
      <c r="CN6" s="390"/>
      <c r="CO6" s="390"/>
      <c r="CP6" s="390"/>
      <c r="CQ6" s="390"/>
      <c r="CR6" s="390"/>
      <c r="CS6" s="390"/>
      <c r="CT6" s="390"/>
      <c r="CU6" s="390"/>
      <c r="CV6" s="390"/>
      <c r="CW6" s="390"/>
      <c r="CX6" s="390"/>
      <c r="CY6" s="390"/>
      <c r="CZ6" s="390"/>
      <c r="DA6" s="390"/>
      <c r="DB6" s="390"/>
      <c r="DC6" s="390"/>
      <c r="DD6" s="390"/>
      <c r="DE6" s="390"/>
      <c r="DF6" s="390"/>
      <c r="DG6" s="390"/>
      <c r="DH6" s="390"/>
      <c r="DI6" s="390"/>
      <c r="DJ6" s="390"/>
      <c r="DK6" s="390"/>
      <c r="DL6" s="390"/>
      <c r="DM6" s="390"/>
      <c r="DN6" s="390"/>
      <c r="DO6" s="390"/>
      <c r="DP6" s="390"/>
      <c r="DQ6" s="390"/>
      <c r="DR6" s="390"/>
      <c r="DS6" s="390"/>
      <c r="DT6" s="390"/>
      <c r="DU6" s="390"/>
      <c r="DV6" s="390"/>
      <c r="DW6" s="390"/>
      <c r="DX6" s="390"/>
      <c r="DY6" s="390"/>
      <c r="DZ6" s="390"/>
      <c r="EA6" s="390"/>
      <c r="EB6" s="390"/>
      <c r="EC6" s="390"/>
      <c r="ED6" s="390"/>
      <c r="EE6" s="390"/>
      <c r="EF6" s="390"/>
      <c r="EG6" s="390"/>
      <c r="EH6" s="390"/>
      <c r="EI6" s="390"/>
      <c r="EJ6" s="390"/>
      <c r="EK6" s="390"/>
      <c r="EL6" s="390"/>
      <c r="EM6" s="390"/>
      <c r="EN6" s="390"/>
      <c r="EO6" s="390"/>
      <c r="EP6" s="390"/>
      <c r="EQ6" s="390"/>
      <c r="ER6" s="390"/>
      <c r="ES6" s="390"/>
      <c r="ET6" s="390"/>
      <c r="EU6" s="390"/>
      <c r="EV6" s="390"/>
      <c r="EW6" s="390"/>
      <c r="EX6" s="390"/>
      <c r="EY6" s="390"/>
      <c r="EZ6" s="390"/>
      <c r="FA6" s="390"/>
      <c r="FB6" s="390"/>
      <c r="FC6" s="390"/>
      <c r="FD6" s="390"/>
      <c r="FE6" s="390"/>
      <c r="FF6" s="390"/>
      <c r="FG6" s="390"/>
      <c r="FH6" s="390"/>
      <c r="FI6" s="390"/>
      <c r="FJ6" s="390"/>
      <c r="FK6" s="390"/>
      <c r="FL6" s="390"/>
      <c r="FM6" s="390"/>
      <c r="FN6" s="390"/>
      <c r="FO6" s="390"/>
      <c r="FP6" s="390"/>
      <c r="FQ6" s="390"/>
      <c r="FR6" s="390"/>
      <c r="FS6" s="390"/>
      <c r="FT6" s="390"/>
      <c r="FU6" s="390"/>
      <c r="FV6" s="390"/>
      <c r="FW6" s="390"/>
      <c r="FX6" s="390"/>
      <c r="FY6" s="390"/>
      <c r="FZ6" s="390"/>
      <c r="GA6" s="390"/>
      <c r="GB6" s="390"/>
      <c r="GC6" s="390"/>
      <c r="GD6" s="390"/>
      <c r="GE6" s="390"/>
      <c r="GF6" s="390"/>
      <c r="GG6" s="390"/>
      <c r="GH6" s="390"/>
      <c r="GI6" s="390"/>
      <c r="GJ6" s="390"/>
      <c r="GK6" s="390"/>
      <c r="GL6" s="390"/>
      <c r="GM6" s="390"/>
      <c r="GN6" s="390"/>
      <c r="GO6" s="390"/>
      <c r="GP6" s="390"/>
      <c r="GQ6" s="390"/>
      <c r="GR6" s="390"/>
      <c r="GS6" s="390"/>
      <c r="GT6" s="390"/>
      <c r="GU6" s="390"/>
      <c r="GV6" s="390"/>
      <c r="GW6" s="390"/>
      <c r="GX6" s="390"/>
      <c r="GY6" s="390"/>
      <c r="GZ6" s="390"/>
      <c r="HA6" s="390"/>
      <c r="HB6" s="390"/>
      <c r="HC6" s="390"/>
      <c r="HD6" s="390"/>
      <c r="HE6" s="390"/>
      <c r="HF6" s="390"/>
      <c r="HG6" s="390"/>
      <c r="HH6" s="390"/>
      <c r="HI6" s="390"/>
      <c r="HJ6" s="390"/>
      <c r="HK6" s="390"/>
      <c r="HL6" s="390"/>
      <c r="HM6" s="390"/>
      <c r="HN6" s="390"/>
      <c r="HO6" s="390"/>
      <c r="HP6" s="390"/>
      <c r="HQ6" s="390"/>
      <c r="HR6" s="390"/>
      <c r="HS6" s="390"/>
      <c r="HT6" s="390"/>
      <c r="HU6" s="390"/>
      <c r="HV6" s="390"/>
      <c r="HW6" s="390"/>
      <c r="HX6" s="390"/>
      <c r="HY6" s="390"/>
      <c r="HZ6" s="390"/>
      <c r="IA6" s="390"/>
      <c r="IB6" s="390"/>
      <c r="IC6" s="390"/>
      <c r="ID6" s="390"/>
      <c r="IE6" s="390"/>
      <c r="IF6" s="390"/>
      <c r="IG6" s="390"/>
      <c r="IH6" s="390"/>
      <c r="II6" s="390"/>
      <c r="IJ6" s="390"/>
      <c r="IK6" s="390"/>
      <c r="IL6" s="390"/>
      <c r="IM6" s="390"/>
      <c r="IN6" s="390"/>
      <c r="IO6" s="390"/>
      <c r="IP6" s="390"/>
      <c r="IQ6" s="390"/>
      <c r="IR6" s="390"/>
      <c r="IS6" s="390"/>
      <c r="IT6" s="390"/>
      <c r="IU6" s="390"/>
      <c r="IV6" s="390"/>
      <c r="IW6" s="390"/>
      <c r="IX6" s="390"/>
      <c r="IY6" s="390"/>
      <c r="IZ6" s="390"/>
      <c r="JA6" s="390"/>
      <c r="JB6" s="390"/>
      <c r="JC6" s="390"/>
      <c r="JD6" s="390"/>
      <c r="JE6" s="390"/>
      <c r="JF6" s="390"/>
      <c r="JG6" s="390"/>
      <c r="JH6" s="390"/>
      <c r="JI6" s="390"/>
      <c r="JJ6" s="390"/>
      <c r="JK6" s="390"/>
      <c r="JL6" s="390"/>
      <c r="JM6" s="390"/>
      <c r="JN6" s="390"/>
      <c r="JO6" s="390"/>
      <c r="JP6" s="390"/>
      <c r="JQ6" s="390"/>
      <c r="JR6" s="390"/>
      <c r="JS6" s="390"/>
      <c r="JT6" s="390"/>
      <c r="JU6" s="390"/>
      <c r="JV6" s="390"/>
      <c r="JW6" s="390"/>
      <c r="JX6" s="390"/>
      <c r="JY6" s="390"/>
      <c r="JZ6" s="390"/>
      <c r="KA6" s="390"/>
      <c r="KB6" s="390"/>
      <c r="KC6" s="390"/>
      <c r="KD6" s="390"/>
      <c r="KE6" s="390"/>
      <c r="KF6" s="390"/>
      <c r="KG6" s="390"/>
      <c r="KH6" s="390"/>
      <c r="KI6" s="390"/>
      <c r="KJ6" s="390"/>
      <c r="KK6" s="390"/>
      <c r="KL6" s="390"/>
      <c r="KM6" s="390"/>
      <c r="KN6" s="390"/>
      <c r="KO6" s="390"/>
      <c r="KP6" s="390"/>
      <c r="KQ6" s="390"/>
      <c r="KR6" s="390"/>
      <c r="KS6" s="390"/>
      <c r="KT6" s="390"/>
      <c r="KU6" s="390"/>
      <c r="KV6" s="390"/>
      <c r="KW6" s="390"/>
      <c r="KX6" s="390"/>
      <c r="KY6" s="390"/>
      <c r="KZ6" s="390"/>
      <c r="LA6" s="390"/>
      <c r="LB6" s="390"/>
      <c r="LC6" s="390"/>
      <c r="LD6" s="390"/>
      <c r="LE6" s="390"/>
      <c r="LF6" s="390"/>
      <c r="LG6" s="390"/>
      <c r="LH6" s="390"/>
      <c r="LI6" s="390"/>
      <c r="LJ6" s="390"/>
      <c r="LK6" s="390"/>
      <c r="LL6" s="390"/>
      <c r="LM6" s="390"/>
      <c r="LN6" s="390"/>
      <c r="LO6" s="390"/>
      <c r="LP6" s="390"/>
      <c r="LQ6" s="390"/>
      <c r="LR6" s="390"/>
      <c r="LS6" s="390"/>
      <c r="LT6" s="390"/>
      <c r="LU6" s="390"/>
      <c r="LV6" s="390"/>
      <c r="LW6" s="390"/>
      <c r="LX6" s="390"/>
      <c r="LY6" s="390"/>
      <c r="LZ6" s="390"/>
      <c r="MA6" s="390"/>
      <c r="MB6" s="390"/>
      <c r="MC6" s="390"/>
      <c r="MD6" s="390"/>
      <c r="ME6" s="390"/>
      <c r="MF6" s="390"/>
      <c r="MG6" s="390"/>
      <c r="MH6" s="390"/>
      <c r="MI6" s="390"/>
      <c r="MJ6" s="390"/>
      <c r="MK6" s="390"/>
      <c r="ML6" s="390"/>
      <c r="MM6" s="390"/>
      <c r="MN6" s="390"/>
      <c r="MO6" s="390"/>
      <c r="MP6" s="390"/>
      <c r="MQ6" s="390"/>
      <c r="MR6" s="390"/>
      <c r="MS6" s="390"/>
      <c r="MT6" s="390"/>
      <c r="MU6" s="390"/>
      <c r="MV6" s="390"/>
      <c r="MW6" s="390"/>
      <c r="MX6" s="390"/>
      <c r="MY6" s="390"/>
      <c r="MZ6" s="390"/>
      <c r="NA6" s="390"/>
      <c r="NB6" s="390"/>
      <c r="NC6" s="390"/>
      <c r="ND6" s="390"/>
      <c r="NE6" s="390"/>
      <c r="NF6" s="390"/>
      <c r="NG6" s="390"/>
      <c r="NH6" s="390"/>
      <c r="NI6" s="390"/>
      <c r="NJ6" s="390"/>
      <c r="NK6" s="390"/>
      <c r="NL6" s="390"/>
      <c r="NM6" s="390"/>
      <c r="NN6" s="390"/>
      <c r="NO6" s="390"/>
      <c r="NP6" s="390"/>
      <c r="NQ6" s="390"/>
      <c r="NR6" s="390"/>
      <c r="NS6" s="390"/>
      <c r="NT6" s="390"/>
      <c r="NU6" s="390"/>
      <c r="NV6" s="390"/>
      <c r="NW6" s="390"/>
      <c r="NX6" s="390"/>
      <c r="NY6" s="390"/>
      <c r="NZ6" s="390"/>
      <c r="OA6" s="390"/>
      <c r="OB6" s="390"/>
      <c r="OC6" s="390"/>
      <c r="OD6" s="390"/>
      <c r="OE6" s="390"/>
      <c r="OF6" s="390"/>
      <c r="OG6" s="390"/>
      <c r="OH6" s="390"/>
      <c r="OI6" s="390"/>
      <c r="OJ6" s="390"/>
      <c r="OK6" s="390"/>
      <c r="OL6" s="390"/>
      <c r="OM6" s="390"/>
      <c r="ON6" s="390"/>
      <c r="OO6" s="390"/>
      <c r="OP6" s="390"/>
      <c r="OQ6" s="390"/>
      <c r="OR6" s="390"/>
      <c r="OS6" s="390"/>
      <c r="OT6" s="390"/>
      <c r="OU6" s="390"/>
      <c r="OV6" s="390"/>
      <c r="OW6" s="390"/>
      <c r="OX6" s="390"/>
      <c r="OY6" s="390"/>
      <c r="OZ6" s="390"/>
      <c r="PA6" s="390"/>
      <c r="PB6" s="390"/>
      <c r="PC6" s="390"/>
      <c r="PD6" s="390"/>
      <c r="PE6" s="390"/>
      <c r="PF6" s="390"/>
      <c r="PG6" s="390"/>
      <c r="PH6" s="390"/>
      <c r="PI6" s="390"/>
      <c r="PJ6" s="390"/>
      <c r="PK6" s="390"/>
      <c r="PL6" s="390"/>
      <c r="PM6" s="390"/>
      <c r="PN6" s="390"/>
      <c r="PO6" s="390"/>
      <c r="PP6" s="390"/>
      <c r="PQ6" s="390"/>
      <c r="PR6" s="390"/>
      <c r="PS6" s="390"/>
      <c r="PT6" s="390"/>
      <c r="PU6" s="390"/>
      <c r="PV6" s="390"/>
      <c r="PW6" s="390"/>
      <c r="PX6" s="390"/>
      <c r="PY6" s="390"/>
      <c r="PZ6" s="390"/>
      <c r="QA6" s="390"/>
      <c r="QB6" s="390"/>
      <c r="QC6" s="390"/>
      <c r="QD6" s="390"/>
      <c r="QE6" s="390"/>
      <c r="QF6" s="390"/>
      <c r="QG6" s="390"/>
      <c r="QH6" s="390"/>
      <c r="QI6" s="390"/>
      <c r="QJ6" s="390"/>
      <c r="QK6" s="390"/>
      <c r="QL6" s="390"/>
      <c r="QM6" s="390"/>
      <c r="QN6" s="390"/>
      <c r="QO6" s="390"/>
      <c r="QP6" s="390"/>
      <c r="QQ6" s="390"/>
      <c r="QR6" s="390"/>
      <c r="QS6" s="390"/>
      <c r="QT6" s="390"/>
      <c r="QU6" s="390"/>
      <c r="QV6" s="390"/>
      <c r="QW6" s="390"/>
      <c r="QX6" s="390"/>
      <c r="QY6" s="390"/>
      <c r="QZ6" s="390"/>
      <c r="RA6" s="390"/>
      <c r="RB6" s="390"/>
      <c r="RC6" s="390"/>
      <c r="RD6" s="390"/>
      <c r="RE6" s="390"/>
      <c r="RF6" s="390"/>
      <c r="RG6" s="390"/>
      <c r="RH6" s="390"/>
      <c r="RI6" s="390"/>
      <c r="RJ6" s="390"/>
      <c r="RK6" s="390"/>
      <c r="RL6" s="390"/>
      <c r="RM6" s="390"/>
      <c r="RN6" s="390"/>
      <c r="RO6" s="390"/>
      <c r="RP6" s="390"/>
      <c r="RQ6" s="390"/>
      <c r="RR6" s="390"/>
      <c r="RS6" s="390"/>
      <c r="RT6" s="390"/>
      <c r="RU6" s="390"/>
      <c r="RV6" s="390"/>
      <c r="RW6" s="390"/>
      <c r="RX6" s="390"/>
      <c r="RY6" s="390"/>
      <c r="RZ6" s="390"/>
      <c r="SA6" s="390"/>
      <c r="SB6" s="390"/>
      <c r="SC6" s="390"/>
      <c r="SD6" s="390"/>
      <c r="SE6" s="390"/>
      <c r="SF6" s="390"/>
      <c r="SG6" s="390"/>
      <c r="SH6" s="390"/>
      <c r="SI6" s="390"/>
      <c r="SJ6" s="390"/>
      <c r="SK6" s="390"/>
      <c r="SL6" s="390"/>
      <c r="SM6" s="390"/>
      <c r="SN6" s="390"/>
      <c r="SO6" s="390"/>
      <c r="SP6" s="390"/>
      <c r="SQ6" s="390"/>
      <c r="SR6" s="390"/>
      <c r="SS6" s="390"/>
      <c r="ST6" s="390"/>
      <c r="SU6" s="390"/>
      <c r="SV6" s="390"/>
      <c r="SW6" s="390"/>
      <c r="SX6" s="390"/>
      <c r="SY6" s="390"/>
      <c r="SZ6" s="390"/>
      <c r="TA6" s="390"/>
      <c r="TB6" s="390"/>
      <c r="TC6" s="390"/>
      <c r="TD6" s="390"/>
      <c r="TE6" s="390"/>
      <c r="TF6" s="390"/>
      <c r="TG6" s="390"/>
      <c r="TH6" s="390"/>
      <c r="TI6" s="390"/>
      <c r="TJ6" s="390"/>
      <c r="TK6" s="390"/>
      <c r="TL6" s="390"/>
      <c r="TM6" s="390"/>
      <c r="TN6" s="390"/>
      <c r="TO6" s="390"/>
      <c r="TP6" s="390"/>
      <c r="TQ6" s="390"/>
      <c r="TR6" s="390"/>
      <c r="TS6" s="390"/>
      <c r="TT6" s="390"/>
      <c r="TU6" s="390"/>
      <c r="TV6" s="390"/>
      <c r="TW6" s="390"/>
      <c r="TX6" s="390"/>
      <c r="TY6" s="390"/>
      <c r="TZ6" s="390"/>
      <c r="UA6" s="390"/>
      <c r="UB6" s="390"/>
      <c r="UC6" s="390"/>
      <c r="UD6" s="390"/>
      <c r="UE6" s="390"/>
      <c r="UF6" s="390"/>
      <c r="UG6" s="390"/>
      <c r="UH6" s="390"/>
      <c r="UI6" s="390"/>
      <c r="UJ6" s="390"/>
      <c r="UK6" s="390"/>
      <c r="UL6" s="390"/>
      <c r="UM6" s="390"/>
      <c r="UN6" s="390"/>
      <c r="UO6" s="390"/>
      <c r="UP6" s="390"/>
      <c r="UQ6" s="390"/>
      <c r="UR6" s="390"/>
      <c r="US6" s="390"/>
      <c r="UT6" s="390"/>
      <c r="UU6" s="390"/>
      <c r="UV6" s="390"/>
      <c r="UW6" s="390"/>
      <c r="UX6" s="390"/>
      <c r="UY6" s="390"/>
      <c r="UZ6" s="390"/>
      <c r="VA6" s="390"/>
      <c r="VB6" s="390"/>
      <c r="VC6" s="390"/>
      <c r="VD6" s="390"/>
      <c r="VE6" s="390"/>
      <c r="VF6" s="390"/>
      <c r="VG6" s="390"/>
      <c r="VH6" s="390"/>
      <c r="VI6" s="390"/>
      <c r="VJ6" s="390"/>
      <c r="VK6" s="390"/>
      <c r="VL6" s="390"/>
      <c r="VM6" s="390"/>
      <c r="VN6" s="390"/>
      <c r="VO6" s="390"/>
      <c r="VP6" s="390"/>
      <c r="VQ6" s="390"/>
      <c r="VR6" s="390"/>
      <c r="VS6" s="390"/>
      <c r="VT6" s="390"/>
      <c r="VU6" s="390"/>
      <c r="VV6" s="390"/>
      <c r="VW6" s="390"/>
      <c r="VX6" s="390"/>
      <c r="VY6" s="390"/>
      <c r="VZ6" s="390"/>
      <c r="WA6" s="390"/>
      <c r="WB6" s="390"/>
      <c r="WC6" s="390"/>
      <c r="WD6" s="390"/>
      <c r="WE6" s="390"/>
      <c r="WF6" s="390"/>
      <c r="WG6" s="390"/>
      <c r="WH6" s="390"/>
      <c r="WI6" s="390"/>
      <c r="WJ6" s="390"/>
      <c r="WK6" s="390"/>
      <c r="WL6" s="390"/>
      <c r="WM6" s="390"/>
      <c r="WN6" s="390"/>
      <c r="WO6" s="390"/>
      <c r="WP6" s="390"/>
      <c r="WQ6" s="390"/>
      <c r="WR6" s="390"/>
      <c r="WS6" s="390"/>
      <c r="WT6" s="390"/>
      <c r="WU6" s="390"/>
      <c r="WV6" s="390"/>
      <c r="WW6" s="390"/>
      <c r="WX6" s="390"/>
      <c r="WY6" s="390"/>
      <c r="WZ6" s="390"/>
      <c r="XA6" s="390"/>
      <c r="XB6" s="390"/>
      <c r="XC6" s="390"/>
      <c r="XD6" s="390"/>
      <c r="XE6" s="390"/>
      <c r="XF6" s="390"/>
      <c r="XG6" s="390"/>
      <c r="XH6" s="390"/>
      <c r="XI6" s="390"/>
      <c r="XJ6" s="390"/>
      <c r="XK6" s="390"/>
      <c r="XL6" s="390"/>
      <c r="XM6" s="390"/>
      <c r="XN6" s="390"/>
      <c r="XO6" s="390"/>
      <c r="XP6" s="390"/>
      <c r="XQ6" s="390"/>
      <c r="XR6" s="390"/>
      <c r="XS6" s="390"/>
      <c r="XT6" s="390"/>
      <c r="XU6" s="390"/>
      <c r="XV6" s="390"/>
      <c r="XW6" s="390"/>
      <c r="XX6" s="390"/>
      <c r="XY6" s="390"/>
      <c r="XZ6" s="390"/>
      <c r="YA6" s="390"/>
      <c r="YB6" s="390"/>
      <c r="YC6" s="390"/>
      <c r="YD6" s="390"/>
      <c r="YE6" s="390"/>
      <c r="YF6" s="390"/>
      <c r="YG6" s="390"/>
      <c r="YH6" s="390"/>
      <c r="YI6" s="390"/>
      <c r="YJ6" s="390"/>
      <c r="YK6" s="390"/>
      <c r="YL6" s="390"/>
      <c r="YM6" s="390"/>
      <c r="YN6" s="390"/>
      <c r="YO6" s="390"/>
      <c r="YP6" s="390"/>
      <c r="YQ6" s="390"/>
      <c r="YR6" s="390"/>
      <c r="YS6" s="390"/>
      <c r="YT6" s="390"/>
      <c r="YU6" s="390"/>
      <c r="YV6" s="390"/>
      <c r="YW6" s="390"/>
      <c r="YX6" s="390"/>
      <c r="YY6" s="390"/>
      <c r="YZ6" s="390"/>
      <c r="ZA6" s="390"/>
      <c r="ZB6" s="390"/>
      <c r="ZC6" s="390"/>
      <c r="ZD6" s="390"/>
      <c r="ZE6" s="390"/>
      <c r="ZF6" s="390"/>
      <c r="ZG6" s="390"/>
      <c r="ZH6" s="390"/>
      <c r="ZI6" s="390"/>
      <c r="ZJ6" s="390"/>
      <c r="ZK6" s="390"/>
      <c r="ZL6" s="390"/>
      <c r="ZM6" s="390"/>
      <c r="ZN6" s="390"/>
      <c r="ZO6" s="390"/>
      <c r="ZP6" s="390"/>
      <c r="ZQ6" s="390"/>
      <c r="ZR6" s="390"/>
      <c r="ZS6" s="390"/>
      <c r="ZT6" s="390"/>
      <c r="ZU6" s="390"/>
      <c r="ZV6" s="390"/>
      <c r="ZW6" s="390"/>
      <c r="ZX6" s="390"/>
      <c r="ZY6" s="390"/>
      <c r="ZZ6" s="390"/>
      <c r="AAA6" s="390"/>
      <c r="AAB6" s="390"/>
      <c r="AAC6" s="390"/>
      <c r="AAD6" s="390"/>
      <c r="AAE6" s="390"/>
      <c r="AAF6" s="390"/>
      <c r="AAG6" s="390"/>
      <c r="AAH6" s="390"/>
      <c r="AAI6" s="390"/>
      <c r="AAJ6" s="390"/>
      <c r="AAK6" s="390"/>
      <c r="AAL6" s="390"/>
      <c r="AAM6" s="390"/>
      <c r="AAN6" s="390"/>
      <c r="AAO6" s="390"/>
      <c r="AAP6" s="390"/>
      <c r="AAQ6" s="390"/>
      <c r="AAR6" s="390"/>
      <c r="AAS6" s="390"/>
      <c r="AAT6" s="390"/>
      <c r="AAU6" s="390"/>
      <c r="AAV6" s="390"/>
      <c r="AAW6" s="390"/>
      <c r="AAX6" s="390"/>
      <c r="AAY6" s="390"/>
      <c r="AAZ6" s="390"/>
      <c r="ABA6" s="390"/>
      <c r="ABB6" s="390"/>
      <c r="ABC6" s="390"/>
      <c r="ABD6" s="390"/>
      <c r="ABE6" s="390"/>
      <c r="ABF6" s="390"/>
      <c r="ABG6" s="390"/>
      <c r="ABH6" s="390"/>
      <c r="ABI6" s="390"/>
      <c r="ABJ6" s="390"/>
      <c r="ABK6" s="390"/>
      <c r="ABL6" s="390"/>
      <c r="ABM6" s="390"/>
      <c r="ABN6" s="390"/>
      <c r="ABO6" s="390"/>
      <c r="ABP6" s="390"/>
      <c r="ABQ6" s="390"/>
      <c r="ABR6" s="390"/>
      <c r="ABS6" s="390"/>
      <c r="ABT6" s="390"/>
      <c r="ABU6" s="390"/>
      <c r="ABV6" s="390"/>
      <c r="ABW6" s="390"/>
      <c r="ABX6" s="390"/>
      <c r="ABY6" s="390"/>
      <c r="ABZ6" s="390"/>
      <c r="ACA6" s="390"/>
      <c r="ACB6" s="390"/>
      <c r="ACC6" s="390"/>
      <c r="ACD6" s="390"/>
      <c r="ACE6" s="390"/>
      <c r="ACF6" s="390"/>
      <c r="ACG6" s="390"/>
      <c r="ACH6" s="390"/>
      <c r="ACI6" s="390"/>
    </row>
    <row r="7" spans="1:763" ht="13.95" customHeight="1" x14ac:dyDescent="0.3">
      <c r="A7" s="397" t="str">
        <f ca="1">Проект!$A$48</f>
        <v>коэффициент продаж периода</v>
      </c>
      <c r="B7" s="350"/>
      <c r="C7" s="350"/>
      <c r="D7" s="400">
        <f>IFERROR(AVERAGE(Проект!$G$48:$R$48),"-")</f>
        <v>0.25</v>
      </c>
      <c r="E7" s="400">
        <f>IFERROR(AVERAGE(Проект!$S$48:$AD$48),"-")</f>
        <v>0.69166666666666676</v>
      </c>
      <c r="F7" s="400">
        <f>IFERROR(AVERAGE(Проект!$AE$48:$AP$48),"-")</f>
        <v>0.69166666666666676</v>
      </c>
      <c r="G7" s="400">
        <f>IFERROR(AVERAGE(Проект!$AQ$48:$BB$48),"-")</f>
        <v>0.69166666666666676</v>
      </c>
      <c r="H7" s="396"/>
      <c r="I7" s="390"/>
      <c r="J7" s="390"/>
      <c r="K7" s="390"/>
      <c r="L7" s="390"/>
      <c r="M7" s="390"/>
      <c r="N7" s="390"/>
      <c r="O7" s="390"/>
      <c r="P7" s="390"/>
      <c r="Q7" s="390"/>
      <c r="R7" s="390"/>
      <c r="S7" s="390"/>
      <c r="T7" s="390"/>
      <c r="U7" s="390"/>
      <c r="V7" s="390"/>
      <c r="W7" s="390"/>
      <c r="X7" s="390"/>
      <c r="Y7" s="390"/>
      <c r="Z7" s="390"/>
      <c r="AA7" s="390"/>
      <c r="AB7" s="390"/>
      <c r="AC7" s="390"/>
      <c r="AD7" s="390"/>
      <c r="AE7" s="390"/>
      <c r="AF7" s="390"/>
      <c r="AG7" s="390"/>
      <c r="AH7" s="390"/>
      <c r="AI7" s="390"/>
      <c r="AJ7" s="390"/>
      <c r="AK7" s="390"/>
      <c r="AL7" s="390"/>
      <c r="AM7" s="390"/>
      <c r="AN7" s="390"/>
      <c r="AO7" s="390"/>
      <c r="AP7" s="390"/>
      <c r="AQ7" s="390"/>
      <c r="AR7" s="390"/>
      <c r="AS7" s="390"/>
      <c r="AT7" s="390"/>
      <c r="AU7" s="390"/>
      <c r="AV7" s="390"/>
      <c r="AW7" s="390"/>
      <c r="AX7" s="390"/>
      <c r="AY7" s="390"/>
      <c r="AZ7" s="390"/>
      <c r="BA7" s="390"/>
      <c r="BB7" s="390"/>
      <c r="BC7" s="390"/>
      <c r="BD7" s="390"/>
      <c r="BE7" s="390"/>
      <c r="BF7" s="390"/>
      <c r="BG7" s="390"/>
      <c r="BH7" s="390"/>
      <c r="BI7" s="390"/>
      <c r="BJ7" s="390"/>
      <c r="BK7" s="390"/>
      <c r="BL7" s="390"/>
      <c r="BM7" s="390"/>
      <c r="BN7" s="390"/>
      <c r="BO7" s="390"/>
      <c r="BP7" s="390"/>
      <c r="BQ7" s="390"/>
      <c r="BR7" s="390"/>
      <c r="BS7" s="390"/>
      <c r="BT7" s="390"/>
      <c r="BU7" s="390"/>
      <c r="BV7" s="390"/>
      <c r="BW7" s="390"/>
      <c r="BX7" s="390"/>
      <c r="BY7" s="390"/>
      <c r="BZ7" s="390"/>
      <c r="CA7" s="390"/>
      <c r="CB7" s="390"/>
      <c r="CC7" s="390"/>
      <c r="CD7" s="390"/>
      <c r="CE7" s="390"/>
      <c r="CF7" s="390"/>
      <c r="CG7" s="390"/>
      <c r="CH7" s="390"/>
      <c r="CI7" s="390"/>
      <c r="CJ7" s="390"/>
      <c r="CK7" s="390"/>
      <c r="CL7" s="390"/>
      <c r="CM7" s="390"/>
      <c r="CN7" s="390"/>
      <c r="CO7" s="390"/>
      <c r="CP7" s="390"/>
      <c r="CQ7" s="390"/>
      <c r="CR7" s="390"/>
      <c r="CS7" s="390"/>
      <c r="CT7" s="390"/>
      <c r="CU7" s="390"/>
      <c r="CV7" s="390"/>
      <c r="CW7" s="390"/>
      <c r="CX7" s="390"/>
      <c r="CY7" s="390"/>
      <c r="CZ7" s="390"/>
      <c r="DA7" s="390"/>
      <c r="DB7" s="390"/>
      <c r="DC7" s="390"/>
      <c r="DD7" s="390"/>
      <c r="DE7" s="390"/>
      <c r="DF7" s="390"/>
      <c r="DG7" s="390"/>
      <c r="DH7" s="390"/>
      <c r="DI7" s="390"/>
      <c r="DJ7" s="390"/>
      <c r="DK7" s="390"/>
      <c r="DL7" s="390"/>
      <c r="DM7" s="390"/>
      <c r="DN7" s="390"/>
      <c r="DO7" s="390"/>
      <c r="DP7" s="390"/>
      <c r="DQ7" s="390"/>
      <c r="DR7" s="390"/>
      <c r="DS7" s="390"/>
      <c r="DT7" s="390"/>
      <c r="DU7" s="390"/>
      <c r="DV7" s="390"/>
      <c r="DW7" s="390"/>
      <c r="DX7" s="390"/>
      <c r="DY7" s="390"/>
      <c r="DZ7" s="390"/>
      <c r="EA7" s="390"/>
      <c r="EB7" s="390"/>
      <c r="EC7" s="390"/>
      <c r="ED7" s="390"/>
      <c r="EE7" s="390"/>
      <c r="EF7" s="390"/>
      <c r="EG7" s="390"/>
      <c r="EH7" s="390"/>
      <c r="EI7" s="390"/>
      <c r="EJ7" s="390"/>
      <c r="EK7" s="390"/>
      <c r="EL7" s="390"/>
      <c r="EM7" s="390"/>
      <c r="EN7" s="390"/>
      <c r="EO7" s="390"/>
      <c r="EP7" s="390"/>
      <c r="EQ7" s="390"/>
      <c r="ER7" s="390"/>
      <c r="ES7" s="390"/>
      <c r="ET7" s="390"/>
      <c r="EU7" s="390"/>
      <c r="EV7" s="390"/>
      <c r="EW7" s="390"/>
      <c r="EX7" s="390"/>
      <c r="EY7" s="390"/>
      <c r="EZ7" s="390"/>
      <c r="FA7" s="390"/>
      <c r="FB7" s="390"/>
      <c r="FC7" s="390"/>
      <c r="FD7" s="390"/>
      <c r="FE7" s="390"/>
      <c r="FF7" s="390"/>
      <c r="FG7" s="390"/>
      <c r="FH7" s="390"/>
      <c r="FI7" s="390"/>
      <c r="FJ7" s="390"/>
      <c r="FK7" s="390"/>
      <c r="FL7" s="390"/>
      <c r="FM7" s="390"/>
      <c r="FN7" s="390"/>
      <c r="FO7" s="390"/>
      <c r="FP7" s="390"/>
      <c r="FQ7" s="390"/>
      <c r="FR7" s="390"/>
      <c r="FS7" s="390"/>
      <c r="FT7" s="390"/>
      <c r="FU7" s="390"/>
      <c r="FV7" s="390"/>
      <c r="FW7" s="390"/>
      <c r="FX7" s="390"/>
      <c r="FY7" s="390"/>
      <c r="FZ7" s="390"/>
      <c r="GA7" s="390"/>
      <c r="GB7" s="390"/>
      <c r="GC7" s="390"/>
      <c r="GD7" s="390"/>
      <c r="GE7" s="390"/>
      <c r="GF7" s="390"/>
      <c r="GG7" s="390"/>
      <c r="GH7" s="390"/>
      <c r="GI7" s="390"/>
      <c r="GJ7" s="390"/>
      <c r="GK7" s="390"/>
      <c r="GL7" s="390"/>
      <c r="GM7" s="390"/>
      <c r="GN7" s="390"/>
      <c r="GO7" s="390"/>
      <c r="GP7" s="390"/>
      <c r="GQ7" s="390"/>
      <c r="GR7" s="390"/>
      <c r="GS7" s="390"/>
      <c r="GT7" s="390"/>
      <c r="GU7" s="390"/>
      <c r="GV7" s="390"/>
      <c r="GW7" s="390"/>
      <c r="GX7" s="390"/>
      <c r="GY7" s="390"/>
      <c r="GZ7" s="390"/>
      <c r="HA7" s="390"/>
      <c r="HB7" s="390"/>
      <c r="HC7" s="390"/>
      <c r="HD7" s="390"/>
      <c r="HE7" s="390"/>
      <c r="HF7" s="390"/>
      <c r="HG7" s="390"/>
      <c r="HH7" s="390"/>
      <c r="HI7" s="390"/>
      <c r="HJ7" s="390"/>
      <c r="HK7" s="390"/>
      <c r="HL7" s="390"/>
      <c r="HM7" s="390"/>
      <c r="HN7" s="390"/>
      <c r="HO7" s="390"/>
      <c r="HP7" s="390"/>
      <c r="HQ7" s="390"/>
      <c r="HR7" s="390"/>
      <c r="HS7" s="390"/>
      <c r="HT7" s="390"/>
      <c r="HU7" s="390"/>
      <c r="HV7" s="390"/>
      <c r="HW7" s="390"/>
      <c r="HX7" s="390"/>
      <c r="HY7" s="390"/>
      <c r="HZ7" s="390"/>
      <c r="IA7" s="390"/>
      <c r="IB7" s="390"/>
      <c r="IC7" s="390"/>
      <c r="ID7" s="390"/>
      <c r="IE7" s="390"/>
      <c r="IF7" s="390"/>
      <c r="IG7" s="390"/>
      <c r="IH7" s="390"/>
      <c r="II7" s="390"/>
      <c r="IJ7" s="390"/>
      <c r="IK7" s="390"/>
      <c r="IL7" s="390"/>
      <c r="IM7" s="390"/>
      <c r="IN7" s="390"/>
      <c r="IO7" s="390"/>
      <c r="IP7" s="390"/>
      <c r="IQ7" s="390"/>
      <c r="IR7" s="390"/>
      <c r="IS7" s="390"/>
      <c r="IT7" s="390"/>
      <c r="IU7" s="390"/>
      <c r="IV7" s="390"/>
      <c r="IW7" s="390"/>
      <c r="IX7" s="390"/>
      <c r="IY7" s="390"/>
      <c r="IZ7" s="390"/>
      <c r="JA7" s="390"/>
      <c r="JB7" s="390"/>
      <c r="JC7" s="390"/>
      <c r="JD7" s="390"/>
      <c r="JE7" s="390"/>
      <c r="JF7" s="390"/>
      <c r="JG7" s="390"/>
      <c r="JH7" s="390"/>
      <c r="JI7" s="390"/>
      <c r="JJ7" s="390"/>
      <c r="JK7" s="390"/>
      <c r="JL7" s="390"/>
      <c r="JM7" s="390"/>
      <c r="JN7" s="390"/>
      <c r="JO7" s="390"/>
      <c r="JP7" s="390"/>
      <c r="JQ7" s="390"/>
      <c r="JR7" s="390"/>
      <c r="JS7" s="390"/>
      <c r="JT7" s="390"/>
      <c r="JU7" s="390"/>
      <c r="JV7" s="390"/>
      <c r="JW7" s="390"/>
      <c r="JX7" s="390"/>
      <c r="JY7" s="390"/>
      <c r="JZ7" s="390"/>
      <c r="KA7" s="390"/>
      <c r="KB7" s="390"/>
      <c r="KC7" s="390"/>
      <c r="KD7" s="390"/>
      <c r="KE7" s="390"/>
      <c r="KF7" s="390"/>
      <c r="KG7" s="390"/>
      <c r="KH7" s="390"/>
      <c r="KI7" s="390"/>
      <c r="KJ7" s="390"/>
      <c r="KK7" s="390"/>
      <c r="KL7" s="390"/>
      <c r="KM7" s="390"/>
      <c r="KN7" s="390"/>
      <c r="KO7" s="390"/>
      <c r="KP7" s="390"/>
      <c r="KQ7" s="390"/>
      <c r="KR7" s="390"/>
      <c r="KS7" s="390"/>
      <c r="KT7" s="390"/>
      <c r="KU7" s="390"/>
      <c r="KV7" s="390"/>
      <c r="KW7" s="390"/>
      <c r="KX7" s="390"/>
      <c r="KY7" s="390"/>
      <c r="KZ7" s="390"/>
      <c r="LA7" s="390"/>
      <c r="LB7" s="390"/>
      <c r="LC7" s="390"/>
      <c r="LD7" s="390"/>
      <c r="LE7" s="390"/>
      <c r="LF7" s="390"/>
      <c r="LG7" s="390"/>
      <c r="LH7" s="390"/>
      <c r="LI7" s="390"/>
      <c r="LJ7" s="390"/>
      <c r="LK7" s="390"/>
      <c r="LL7" s="390"/>
      <c r="LM7" s="390"/>
      <c r="LN7" s="390"/>
      <c r="LO7" s="390"/>
      <c r="LP7" s="390"/>
      <c r="LQ7" s="390"/>
      <c r="LR7" s="390"/>
      <c r="LS7" s="390"/>
      <c r="LT7" s="390"/>
      <c r="LU7" s="390"/>
      <c r="LV7" s="390"/>
      <c r="LW7" s="390"/>
      <c r="LX7" s="390"/>
      <c r="LY7" s="390"/>
      <c r="LZ7" s="390"/>
      <c r="MA7" s="390"/>
      <c r="MB7" s="390"/>
      <c r="MC7" s="390"/>
      <c r="MD7" s="390"/>
      <c r="ME7" s="390"/>
      <c r="MF7" s="390"/>
      <c r="MG7" s="390"/>
      <c r="MH7" s="390"/>
      <c r="MI7" s="390"/>
      <c r="MJ7" s="390"/>
      <c r="MK7" s="390"/>
      <c r="ML7" s="390"/>
      <c r="MM7" s="390"/>
      <c r="MN7" s="390"/>
      <c r="MO7" s="390"/>
      <c r="MP7" s="390"/>
      <c r="MQ7" s="390"/>
      <c r="MR7" s="390"/>
      <c r="MS7" s="390"/>
      <c r="MT7" s="390"/>
      <c r="MU7" s="390"/>
      <c r="MV7" s="390"/>
      <c r="MW7" s="390"/>
      <c r="MX7" s="390"/>
      <c r="MY7" s="390"/>
      <c r="MZ7" s="390"/>
      <c r="NA7" s="390"/>
      <c r="NB7" s="390"/>
      <c r="NC7" s="390"/>
      <c r="ND7" s="390"/>
      <c r="NE7" s="390"/>
      <c r="NF7" s="390"/>
      <c r="NG7" s="390"/>
      <c r="NH7" s="390"/>
      <c r="NI7" s="390"/>
      <c r="NJ7" s="390"/>
      <c r="NK7" s="390"/>
      <c r="NL7" s="390"/>
      <c r="NM7" s="390"/>
      <c r="NN7" s="390"/>
      <c r="NO7" s="390"/>
      <c r="NP7" s="390"/>
      <c r="NQ7" s="390"/>
      <c r="NR7" s="390"/>
      <c r="NS7" s="390"/>
      <c r="NT7" s="390"/>
      <c r="NU7" s="390"/>
      <c r="NV7" s="390"/>
      <c r="NW7" s="390"/>
      <c r="NX7" s="390"/>
      <c r="NY7" s="390"/>
      <c r="NZ7" s="390"/>
      <c r="OA7" s="390"/>
      <c r="OB7" s="390"/>
      <c r="OC7" s="390"/>
      <c r="OD7" s="390"/>
      <c r="OE7" s="390"/>
      <c r="OF7" s="390"/>
      <c r="OG7" s="390"/>
      <c r="OH7" s="390"/>
      <c r="OI7" s="390"/>
      <c r="OJ7" s="390"/>
      <c r="OK7" s="390"/>
      <c r="OL7" s="390"/>
      <c r="OM7" s="390"/>
      <c r="ON7" s="390"/>
      <c r="OO7" s="390"/>
      <c r="OP7" s="390"/>
      <c r="OQ7" s="390"/>
      <c r="OR7" s="390"/>
      <c r="OS7" s="390"/>
      <c r="OT7" s="390"/>
      <c r="OU7" s="390"/>
      <c r="OV7" s="390"/>
      <c r="OW7" s="390"/>
      <c r="OX7" s="390"/>
      <c r="OY7" s="390"/>
      <c r="OZ7" s="390"/>
      <c r="PA7" s="390"/>
      <c r="PB7" s="390"/>
      <c r="PC7" s="390"/>
      <c r="PD7" s="390"/>
      <c r="PE7" s="390"/>
      <c r="PF7" s="390"/>
      <c r="PG7" s="390"/>
      <c r="PH7" s="390"/>
      <c r="PI7" s="390"/>
      <c r="PJ7" s="390"/>
      <c r="PK7" s="390"/>
      <c r="PL7" s="390"/>
      <c r="PM7" s="390"/>
      <c r="PN7" s="390"/>
      <c r="PO7" s="390"/>
      <c r="PP7" s="390"/>
      <c r="PQ7" s="390"/>
      <c r="PR7" s="390"/>
      <c r="PS7" s="390"/>
      <c r="PT7" s="390"/>
      <c r="PU7" s="390"/>
      <c r="PV7" s="390"/>
      <c r="PW7" s="390"/>
      <c r="PX7" s="390"/>
      <c r="PY7" s="390"/>
      <c r="PZ7" s="390"/>
      <c r="QA7" s="390"/>
      <c r="QB7" s="390"/>
      <c r="QC7" s="390"/>
      <c r="QD7" s="390"/>
      <c r="QE7" s="390"/>
      <c r="QF7" s="390"/>
      <c r="QG7" s="390"/>
      <c r="QH7" s="390"/>
      <c r="QI7" s="390"/>
      <c r="QJ7" s="390"/>
      <c r="QK7" s="390"/>
      <c r="QL7" s="390"/>
      <c r="QM7" s="390"/>
      <c r="QN7" s="390"/>
      <c r="QO7" s="390"/>
      <c r="QP7" s="390"/>
      <c r="QQ7" s="390"/>
      <c r="QR7" s="390"/>
      <c r="QS7" s="390"/>
      <c r="QT7" s="390"/>
      <c r="QU7" s="390"/>
      <c r="QV7" s="390"/>
      <c r="QW7" s="390"/>
      <c r="QX7" s="390"/>
      <c r="QY7" s="390"/>
      <c r="QZ7" s="390"/>
      <c r="RA7" s="390"/>
      <c r="RB7" s="390"/>
      <c r="RC7" s="390"/>
      <c r="RD7" s="390"/>
      <c r="RE7" s="390"/>
      <c r="RF7" s="390"/>
      <c r="RG7" s="390"/>
      <c r="RH7" s="390"/>
      <c r="RI7" s="390"/>
      <c r="RJ7" s="390"/>
      <c r="RK7" s="390"/>
      <c r="RL7" s="390"/>
      <c r="RM7" s="390"/>
      <c r="RN7" s="390"/>
      <c r="RO7" s="390"/>
      <c r="RP7" s="390"/>
      <c r="RQ7" s="390"/>
      <c r="RR7" s="390"/>
      <c r="RS7" s="390"/>
      <c r="RT7" s="390"/>
      <c r="RU7" s="390"/>
      <c r="RV7" s="390"/>
      <c r="RW7" s="390"/>
      <c r="RX7" s="390"/>
      <c r="RY7" s="390"/>
      <c r="RZ7" s="390"/>
      <c r="SA7" s="390"/>
      <c r="SB7" s="390"/>
      <c r="SC7" s="390"/>
      <c r="SD7" s="390"/>
      <c r="SE7" s="390"/>
      <c r="SF7" s="390"/>
      <c r="SG7" s="390"/>
      <c r="SH7" s="390"/>
      <c r="SI7" s="390"/>
      <c r="SJ7" s="390"/>
      <c r="SK7" s="390"/>
      <c r="SL7" s="390"/>
      <c r="SM7" s="390"/>
      <c r="SN7" s="390"/>
      <c r="SO7" s="390"/>
      <c r="SP7" s="390"/>
      <c r="SQ7" s="390"/>
      <c r="SR7" s="390"/>
      <c r="SS7" s="390"/>
      <c r="ST7" s="390"/>
      <c r="SU7" s="390"/>
      <c r="SV7" s="390"/>
      <c r="SW7" s="390"/>
      <c r="SX7" s="390"/>
      <c r="SY7" s="390"/>
      <c r="SZ7" s="390"/>
      <c r="TA7" s="390"/>
      <c r="TB7" s="390"/>
      <c r="TC7" s="390"/>
      <c r="TD7" s="390"/>
      <c r="TE7" s="390"/>
      <c r="TF7" s="390"/>
      <c r="TG7" s="390"/>
      <c r="TH7" s="390"/>
      <c r="TI7" s="390"/>
      <c r="TJ7" s="390"/>
      <c r="TK7" s="390"/>
      <c r="TL7" s="390"/>
      <c r="TM7" s="390"/>
      <c r="TN7" s="390"/>
      <c r="TO7" s="390"/>
      <c r="TP7" s="390"/>
      <c r="TQ7" s="390"/>
      <c r="TR7" s="390"/>
      <c r="TS7" s="390"/>
      <c r="TT7" s="390"/>
      <c r="TU7" s="390"/>
      <c r="TV7" s="390"/>
      <c r="TW7" s="390"/>
      <c r="TX7" s="390"/>
      <c r="TY7" s="390"/>
      <c r="TZ7" s="390"/>
      <c r="UA7" s="390"/>
      <c r="UB7" s="390"/>
      <c r="UC7" s="390"/>
      <c r="UD7" s="390"/>
      <c r="UE7" s="390"/>
      <c r="UF7" s="390"/>
      <c r="UG7" s="390"/>
      <c r="UH7" s="390"/>
      <c r="UI7" s="390"/>
      <c r="UJ7" s="390"/>
      <c r="UK7" s="390"/>
      <c r="UL7" s="390"/>
      <c r="UM7" s="390"/>
      <c r="UN7" s="390"/>
      <c r="UO7" s="390"/>
      <c r="UP7" s="390"/>
      <c r="UQ7" s="390"/>
      <c r="UR7" s="390"/>
      <c r="US7" s="390"/>
      <c r="UT7" s="390"/>
      <c r="UU7" s="390"/>
      <c r="UV7" s="390"/>
      <c r="UW7" s="390"/>
      <c r="UX7" s="390"/>
      <c r="UY7" s="390"/>
      <c r="UZ7" s="390"/>
      <c r="VA7" s="390"/>
      <c r="VB7" s="390"/>
      <c r="VC7" s="390"/>
      <c r="VD7" s="390"/>
      <c r="VE7" s="390"/>
      <c r="VF7" s="390"/>
      <c r="VG7" s="390"/>
      <c r="VH7" s="390"/>
      <c r="VI7" s="390"/>
      <c r="VJ7" s="390"/>
      <c r="VK7" s="390"/>
      <c r="VL7" s="390"/>
      <c r="VM7" s="390"/>
      <c r="VN7" s="390"/>
      <c r="VO7" s="390"/>
      <c r="VP7" s="390"/>
      <c r="VQ7" s="390"/>
      <c r="VR7" s="390"/>
      <c r="VS7" s="390"/>
      <c r="VT7" s="390"/>
      <c r="VU7" s="390"/>
      <c r="VV7" s="390"/>
      <c r="VW7" s="390"/>
      <c r="VX7" s="390"/>
      <c r="VY7" s="390"/>
      <c r="VZ7" s="390"/>
      <c r="WA7" s="390"/>
      <c r="WB7" s="390"/>
      <c r="WC7" s="390"/>
      <c r="WD7" s="390"/>
      <c r="WE7" s="390"/>
      <c r="WF7" s="390"/>
      <c r="WG7" s="390"/>
      <c r="WH7" s="390"/>
      <c r="WI7" s="390"/>
      <c r="WJ7" s="390"/>
      <c r="WK7" s="390"/>
      <c r="WL7" s="390"/>
      <c r="WM7" s="390"/>
      <c r="WN7" s="390"/>
      <c r="WO7" s="390"/>
      <c r="WP7" s="390"/>
      <c r="WQ7" s="390"/>
      <c r="WR7" s="390"/>
      <c r="WS7" s="390"/>
      <c r="WT7" s="390"/>
      <c r="WU7" s="390"/>
      <c r="WV7" s="390"/>
      <c r="WW7" s="390"/>
      <c r="WX7" s="390"/>
      <c r="WY7" s="390"/>
      <c r="WZ7" s="390"/>
      <c r="XA7" s="390"/>
      <c r="XB7" s="390"/>
      <c r="XC7" s="390"/>
      <c r="XD7" s="390"/>
      <c r="XE7" s="390"/>
      <c r="XF7" s="390"/>
      <c r="XG7" s="390"/>
      <c r="XH7" s="390"/>
      <c r="XI7" s="390"/>
      <c r="XJ7" s="390"/>
      <c r="XK7" s="390"/>
      <c r="XL7" s="390"/>
      <c r="XM7" s="390"/>
      <c r="XN7" s="390"/>
      <c r="XO7" s="390"/>
      <c r="XP7" s="390"/>
      <c r="XQ7" s="390"/>
      <c r="XR7" s="390"/>
      <c r="XS7" s="390"/>
      <c r="XT7" s="390"/>
      <c r="XU7" s="390"/>
      <c r="XV7" s="390"/>
      <c r="XW7" s="390"/>
      <c r="XX7" s="390"/>
      <c r="XY7" s="390"/>
      <c r="XZ7" s="390"/>
      <c r="YA7" s="390"/>
      <c r="YB7" s="390"/>
      <c r="YC7" s="390"/>
      <c r="YD7" s="390"/>
      <c r="YE7" s="390"/>
      <c r="YF7" s="390"/>
      <c r="YG7" s="390"/>
      <c r="YH7" s="390"/>
      <c r="YI7" s="390"/>
      <c r="YJ7" s="390"/>
      <c r="YK7" s="390"/>
      <c r="YL7" s="390"/>
      <c r="YM7" s="390"/>
      <c r="YN7" s="390"/>
      <c r="YO7" s="390"/>
      <c r="YP7" s="390"/>
      <c r="YQ7" s="390"/>
      <c r="YR7" s="390"/>
      <c r="YS7" s="390"/>
      <c r="YT7" s="390"/>
      <c r="YU7" s="390"/>
      <c r="YV7" s="390"/>
      <c r="YW7" s="390"/>
      <c r="YX7" s="390"/>
      <c r="YY7" s="390"/>
      <c r="YZ7" s="390"/>
      <c r="ZA7" s="390"/>
      <c r="ZB7" s="390"/>
      <c r="ZC7" s="390"/>
      <c r="ZD7" s="390"/>
      <c r="ZE7" s="390"/>
      <c r="ZF7" s="390"/>
      <c r="ZG7" s="390"/>
      <c r="ZH7" s="390"/>
      <c r="ZI7" s="390"/>
      <c r="ZJ7" s="390"/>
      <c r="ZK7" s="390"/>
      <c r="ZL7" s="390"/>
      <c r="ZM7" s="390"/>
      <c r="ZN7" s="390"/>
      <c r="ZO7" s="390"/>
      <c r="ZP7" s="390"/>
      <c r="ZQ7" s="390"/>
      <c r="ZR7" s="390"/>
      <c r="ZS7" s="390"/>
      <c r="ZT7" s="390"/>
      <c r="ZU7" s="390"/>
      <c r="ZV7" s="390"/>
      <c r="ZW7" s="390"/>
      <c r="ZX7" s="390"/>
      <c r="ZY7" s="390"/>
      <c r="ZZ7" s="390"/>
      <c r="AAA7" s="390"/>
      <c r="AAB7" s="390"/>
      <c r="AAC7" s="390"/>
      <c r="AAD7" s="390"/>
      <c r="AAE7" s="390"/>
      <c r="AAF7" s="390"/>
      <c r="AAG7" s="390"/>
      <c r="AAH7" s="390"/>
      <c r="AAI7" s="390"/>
      <c r="AAJ7" s="390"/>
      <c r="AAK7" s="390"/>
      <c r="AAL7" s="390"/>
      <c r="AAM7" s="390"/>
      <c r="AAN7" s="390"/>
      <c r="AAO7" s="390"/>
      <c r="AAP7" s="390"/>
      <c r="AAQ7" s="390"/>
      <c r="AAR7" s="390"/>
      <c r="AAS7" s="390"/>
      <c r="AAT7" s="390"/>
      <c r="AAU7" s="390"/>
      <c r="AAV7" s="390"/>
      <c r="AAW7" s="390"/>
      <c r="AAX7" s="390"/>
      <c r="AAY7" s="390"/>
      <c r="AAZ7" s="390"/>
      <c r="ABA7" s="390"/>
      <c r="ABB7" s="390"/>
      <c r="ABC7" s="390"/>
      <c r="ABD7" s="390"/>
      <c r="ABE7" s="390"/>
      <c r="ABF7" s="390"/>
      <c r="ABG7" s="390"/>
      <c r="ABH7" s="390"/>
      <c r="ABI7" s="390"/>
      <c r="ABJ7" s="390"/>
      <c r="ABK7" s="390"/>
      <c r="ABL7" s="390"/>
      <c r="ABM7" s="390"/>
      <c r="ABN7" s="390"/>
      <c r="ABO7" s="390"/>
      <c r="ABP7" s="390"/>
      <c r="ABQ7" s="390"/>
      <c r="ABR7" s="390"/>
      <c r="ABS7" s="390"/>
      <c r="ABT7" s="390"/>
      <c r="ABU7" s="390"/>
      <c r="ABV7" s="390"/>
      <c r="ABW7" s="390"/>
      <c r="ABX7" s="390"/>
      <c r="ABY7" s="390"/>
      <c r="ABZ7" s="390"/>
      <c r="ACA7" s="390"/>
      <c r="ACB7" s="390"/>
      <c r="ACC7" s="390"/>
      <c r="ACD7" s="390"/>
      <c r="ACE7" s="390"/>
      <c r="ACF7" s="390"/>
      <c r="ACG7" s="390"/>
      <c r="ACH7" s="390"/>
      <c r="ACI7" s="390"/>
    </row>
    <row r="8" spans="1:763" ht="13.95" customHeight="1" x14ac:dyDescent="0.3">
      <c r="A8" s="401" t="str">
        <f ca="1">Проект!$A$49</f>
        <v>цена за единицу (ед.), без НДС</v>
      </c>
      <c r="B8" s="351">
        <f>Проект!$B$49</f>
        <v>4000</v>
      </c>
      <c r="C8" s="402" t="str">
        <f ca="1">Проект!$C$49</f>
        <v>руб.</v>
      </c>
      <c r="D8" s="403">
        <f ca="1">IFERROR(AVERAGE(Проект!$G$49:$R$49),"-")</f>
        <v>4108.8427806790578</v>
      </c>
      <c r="E8" s="403">
        <f ca="1">IFERROR(AVERAGE(Проект!$S$49:$AD$49),"-")</f>
        <v>4355.3733475198032</v>
      </c>
      <c r="F8" s="403">
        <f ca="1">IFERROR(AVERAGE(Проект!$AE$49:$AP$49),"-")</f>
        <v>4616.6957483709921</v>
      </c>
      <c r="G8" s="403">
        <f ca="1">IFERROR(AVERAGE(Проект!$AQ$49:$BB$49),"-")</f>
        <v>4893.6974932732546</v>
      </c>
      <c r="H8" s="396"/>
      <c r="I8" s="390"/>
      <c r="J8" s="390"/>
      <c r="K8" s="390"/>
      <c r="L8" s="390"/>
      <c r="M8" s="390"/>
      <c r="N8" s="390"/>
      <c r="O8" s="390"/>
      <c r="P8" s="390"/>
      <c r="Q8" s="390"/>
      <c r="R8" s="390"/>
      <c r="S8" s="390"/>
      <c r="T8" s="390"/>
      <c r="U8" s="390"/>
      <c r="V8" s="390"/>
      <c r="W8" s="390"/>
      <c r="X8" s="390"/>
      <c r="Y8" s="390"/>
      <c r="Z8" s="390"/>
      <c r="AA8" s="390"/>
      <c r="AB8" s="390"/>
      <c r="AC8" s="390"/>
      <c r="AD8" s="390"/>
      <c r="AE8" s="390"/>
      <c r="AF8" s="390"/>
      <c r="AG8" s="390"/>
      <c r="AH8" s="390"/>
      <c r="AI8" s="390"/>
      <c r="AJ8" s="390"/>
      <c r="AK8" s="390"/>
      <c r="AL8" s="390"/>
      <c r="AM8" s="390"/>
      <c r="AN8" s="390"/>
      <c r="AO8" s="390"/>
      <c r="AP8" s="390"/>
      <c r="AQ8" s="390"/>
      <c r="AR8" s="390"/>
      <c r="AS8" s="390"/>
      <c r="AT8" s="390"/>
      <c r="AU8" s="390"/>
      <c r="AV8" s="390"/>
      <c r="AW8" s="390"/>
      <c r="AX8" s="390"/>
      <c r="AY8" s="390"/>
      <c r="AZ8" s="390"/>
      <c r="BA8" s="390"/>
      <c r="BB8" s="390"/>
      <c r="BC8" s="390"/>
      <c r="BD8" s="390"/>
      <c r="BE8" s="390"/>
      <c r="BF8" s="390"/>
      <c r="BG8" s="390"/>
      <c r="BH8" s="390"/>
      <c r="BI8" s="390"/>
      <c r="BJ8" s="390"/>
      <c r="BK8" s="390"/>
      <c r="BL8" s="390"/>
      <c r="BM8" s="390"/>
      <c r="BN8" s="390"/>
      <c r="BO8" s="390"/>
      <c r="BP8" s="390"/>
      <c r="BQ8" s="390"/>
      <c r="BR8" s="390"/>
      <c r="BS8" s="390"/>
      <c r="BT8" s="390"/>
      <c r="BU8" s="390"/>
      <c r="BV8" s="390"/>
      <c r="BW8" s="390"/>
      <c r="BX8" s="390"/>
      <c r="BY8" s="390"/>
      <c r="BZ8" s="390"/>
      <c r="CA8" s="390"/>
      <c r="CB8" s="390"/>
      <c r="CC8" s="390"/>
      <c r="CD8" s="390"/>
      <c r="CE8" s="390"/>
      <c r="CF8" s="390"/>
      <c r="CG8" s="390"/>
      <c r="CH8" s="390"/>
      <c r="CI8" s="390"/>
      <c r="CJ8" s="390"/>
      <c r="CK8" s="390"/>
      <c r="CL8" s="390"/>
      <c r="CM8" s="390"/>
      <c r="CN8" s="390"/>
      <c r="CO8" s="390"/>
      <c r="CP8" s="390"/>
      <c r="CQ8" s="390"/>
      <c r="CR8" s="390"/>
      <c r="CS8" s="390"/>
      <c r="CT8" s="390"/>
      <c r="CU8" s="390"/>
      <c r="CV8" s="390"/>
      <c r="CW8" s="390"/>
      <c r="CX8" s="390"/>
      <c r="CY8" s="390"/>
      <c r="CZ8" s="390"/>
      <c r="DA8" s="390"/>
      <c r="DB8" s="390"/>
      <c r="DC8" s="390"/>
      <c r="DD8" s="390"/>
      <c r="DE8" s="390"/>
      <c r="DF8" s="390"/>
      <c r="DG8" s="390"/>
      <c r="DH8" s="390"/>
      <c r="DI8" s="390"/>
      <c r="DJ8" s="390"/>
      <c r="DK8" s="390"/>
      <c r="DL8" s="390"/>
      <c r="DM8" s="390"/>
      <c r="DN8" s="390"/>
      <c r="DO8" s="390"/>
      <c r="DP8" s="390"/>
      <c r="DQ8" s="390"/>
      <c r="DR8" s="390"/>
      <c r="DS8" s="390"/>
      <c r="DT8" s="390"/>
      <c r="DU8" s="390"/>
      <c r="DV8" s="390"/>
      <c r="DW8" s="390"/>
      <c r="DX8" s="390"/>
      <c r="DY8" s="390"/>
      <c r="DZ8" s="390"/>
      <c r="EA8" s="390"/>
      <c r="EB8" s="390"/>
      <c r="EC8" s="390"/>
      <c r="ED8" s="390"/>
      <c r="EE8" s="390"/>
      <c r="EF8" s="390"/>
      <c r="EG8" s="390"/>
      <c r="EH8" s="390"/>
      <c r="EI8" s="390"/>
      <c r="EJ8" s="390"/>
      <c r="EK8" s="390"/>
      <c r="EL8" s="390"/>
      <c r="EM8" s="390"/>
      <c r="EN8" s="390"/>
      <c r="EO8" s="390"/>
      <c r="EP8" s="390"/>
      <c r="EQ8" s="390"/>
      <c r="ER8" s="390"/>
      <c r="ES8" s="390"/>
      <c r="ET8" s="390"/>
      <c r="EU8" s="390"/>
      <c r="EV8" s="390"/>
      <c r="EW8" s="390"/>
      <c r="EX8" s="390"/>
      <c r="EY8" s="390"/>
      <c r="EZ8" s="390"/>
      <c r="FA8" s="390"/>
      <c r="FB8" s="390"/>
      <c r="FC8" s="390"/>
      <c r="FD8" s="390"/>
      <c r="FE8" s="390"/>
      <c r="FF8" s="390"/>
      <c r="FG8" s="390"/>
      <c r="FH8" s="390"/>
      <c r="FI8" s="390"/>
      <c r="FJ8" s="390"/>
      <c r="FK8" s="390"/>
      <c r="FL8" s="390"/>
      <c r="FM8" s="390"/>
      <c r="FN8" s="390"/>
      <c r="FO8" s="390"/>
      <c r="FP8" s="390"/>
      <c r="FQ8" s="390"/>
      <c r="FR8" s="390"/>
      <c r="FS8" s="390"/>
      <c r="FT8" s="390"/>
      <c r="FU8" s="390"/>
      <c r="FV8" s="390"/>
      <c r="FW8" s="390"/>
      <c r="FX8" s="390"/>
      <c r="FY8" s="390"/>
      <c r="FZ8" s="390"/>
      <c r="GA8" s="390"/>
      <c r="GB8" s="390"/>
      <c r="GC8" s="390"/>
      <c r="GD8" s="390"/>
      <c r="GE8" s="390"/>
      <c r="GF8" s="390"/>
      <c r="GG8" s="390"/>
      <c r="GH8" s="390"/>
      <c r="GI8" s="390"/>
      <c r="GJ8" s="390"/>
      <c r="GK8" s="390"/>
      <c r="GL8" s="390"/>
      <c r="GM8" s="390"/>
      <c r="GN8" s="390"/>
      <c r="GO8" s="390"/>
      <c r="GP8" s="390"/>
      <c r="GQ8" s="390"/>
      <c r="GR8" s="390"/>
      <c r="GS8" s="390"/>
      <c r="GT8" s="390"/>
      <c r="GU8" s="390"/>
      <c r="GV8" s="390"/>
      <c r="GW8" s="390"/>
      <c r="GX8" s="390"/>
      <c r="GY8" s="390"/>
      <c r="GZ8" s="390"/>
      <c r="HA8" s="390"/>
      <c r="HB8" s="390"/>
      <c r="HC8" s="390"/>
      <c r="HD8" s="390"/>
      <c r="HE8" s="390"/>
      <c r="HF8" s="390"/>
      <c r="HG8" s="390"/>
      <c r="HH8" s="390"/>
      <c r="HI8" s="390"/>
      <c r="HJ8" s="390"/>
      <c r="HK8" s="390"/>
      <c r="HL8" s="390"/>
      <c r="HM8" s="390"/>
      <c r="HN8" s="390"/>
      <c r="HO8" s="390"/>
      <c r="HP8" s="390"/>
      <c r="HQ8" s="390"/>
      <c r="HR8" s="390"/>
      <c r="HS8" s="390"/>
      <c r="HT8" s="390"/>
      <c r="HU8" s="390"/>
      <c r="HV8" s="390"/>
      <c r="HW8" s="390"/>
      <c r="HX8" s="390"/>
      <c r="HY8" s="390"/>
      <c r="HZ8" s="390"/>
      <c r="IA8" s="390"/>
      <c r="IB8" s="390"/>
      <c r="IC8" s="390"/>
      <c r="ID8" s="390"/>
      <c r="IE8" s="390"/>
      <c r="IF8" s="390"/>
      <c r="IG8" s="390"/>
      <c r="IH8" s="390"/>
      <c r="II8" s="390"/>
      <c r="IJ8" s="390"/>
      <c r="IK8" s="390"/>
      <c r="IL8" s="390"/>
      <c r="IM8" s="390"/>
      <c r="IN8" s="390"/>
      <c r="IO8" s="390"/>
      <c r="IP8" s="390"/>
      <c r="IQ8" s="390"/>
      <c r="IR8" s="390"/>
      <c r="IS8" s="390"/>
      <c r="IT8" s="390"/>
      <c r="IU8" s="390"/>
      <c r="IV8" s="390"/>
      <c r="IW8" s="390"/>
      <c r="IX8" s="390"/>
      <c r="IY8" s="390"/>
      <c r="IZ8" s="390"/>
      <c r="JA8" s="390"/>
      <c r="JB8" s="390"/>
      <c r="JC8" s="390"/>
      <c r="JD8" s="390"/>
      <c r="JE8" s="390"/>
      <c r="JF8" s="390"/>
      <c r="JG8" s="390"/>
      <c r="JH8" s="390"/>
      <c r="JI8" s="390"/>
      <c r="JJ8" s="390"/>
      <c r="JK8" s="390"/>
      <c r="JL8" s="390"/>
      <c r="JM8" s="390"/>
      <c r="JN8" s="390"/>
      <c r="JO8" s="390"/>
      <c r="JP8" s="390"/>
      <c r="JQ8" s="390"/>
      <c r="JR8" s="390"/>
      <c r="JS8" s="390"/>
      <c r="JT8" s="390"/>
      <c r="JU8" s="390"/>
      <c r="JV8" s="390"/>
      <c r="JW8" s="390"/>
      <c r="JX8" s="390"/>
      <c r="JY8" s="390"/>
      <c r="JZ8" s="390"/>
      <c r="KA8" s="390"/>
      <c r="KB8" s="390"/>
      <c r="KC8" s="390"/>
      <c r="KD8" s="390"/>
      <c r="KE8" s="390"/>
      <c r="KF8" s="390"/>
      <c r="KG8" s="390"/>
      <c r="KH8" s="390"/>
      <c r="KI8" s="390"/>
      <c r="KJ8" s="390"/>
      <c r="KK8" s="390"/>
      <c r="KL8" s="390"/>
      <c r="KM8" s="390"/>
      <c r="KN8" s="390"/>
      <c r="KO8" s="390"/>
      <c r="KP8" s="390"/>
      <c r="KQ8" s="390"/>
      <c r="KR8" s="390"/>
      <c r="KS8" s="390"/>
      <c r="KT8" s="390"/>
      <c r="KU8" s="390"/>
      <c r="KV8" s="390"/>
      <c r="KW8" s="390"/>
      <c r="KX8" s="390"/>
      <c r="KY8" s="390"/>
      <c r="KZ8" s="390"/>
      <c r="LA8" s="390"/>
      <c r="LB8" s="390"/>
      <c r="LC8" s="390"/>
      <c r="LD8" s="390"/>
      <c r="LE8" s="390"/>
      <c r="LF8" s="390"/>
      <c r="LG8" s="390"/>
      <c r="LH8" s="390"/>
      <c r="LI8" s="390"/>
      <c r="LJ8" s="390"/>
      <c r="LK8" s="390"/>
      <c r="LL8" s="390"/>
      <c r="LM8" s="390"/>
      <c r="LN8" s="390"/>
      <c r="LO8" s="390"/>
      <c r="LP8" s="390"/>
      <c r="LQ8" s="390"/>
      <c r="LR8" s="390"/>
      <c r="LS8" s="390"/>
      <c r="LT8" s="390"/>
      <c r="LU8" s="390"/>
      <c r="LV8" s="390"/>
      <c r="LW8" s="390"/>
      <c r="LX8" s="390"/>
      <c r="LY8" s="390"/>
      <c r="LZ8" s="390"/>
      <c r="MA8" s="390"/>
      <c r="MB8" s="390"/>
      <c r="MC8" s="390"/>
      <c r="MD8" s="390"/>
      <c r="ME8" s="390"/>
      <c r="MF8" s="390"/>
      <c r="MG8" s="390"/>
      <c r="MH8" s="390"/>
      <c r="MI8" s="390"/>
      <c r="MJ8" s="390"/>
      <c r="MK8" s="390"/>
      <c r="ML8" s="390"/>
      <c r="MM8" s="390"/>
      <c r="MN8" s="390"/>
      <c r="MO8" s="390"/>
      <c r="MP8" s="390"/>
      <c r="MQ8" s="390"/>
      <c r="MR8" s="390"/>
      <c r="MS8" s="390"/>
      <c r="MT8" s="390"/>
      <c r="MU8" s="390"/>
      <c r="MV8" s="390"/>
      <c r="MW8" s="390"/>
      <c r="MX8" s="390"/>
      <c r="MY8" s="390"/>
      <c r="MZ8" s="390"/>
      <c r="NA8" s="390"/>
      <c r="NB8" s="390"/>
      <c r="NC8" s="390"/>
      <c r="ND8" s="390"/>
      <c r="NE8" s="390"/>
      <c r="NF8" s="390"/>
      <c r="NG8" s="390"/>
      <c r="NH8" s="390"/>
      <c r="NI8" s="390"/>
      <c r="NJ8" s="390"/>
      <c r="NK8" s="390"/>
      <c r="NL8" s="390"/>
      <c r="NM8" s="390"/>
      <c r="NN8" s="390"/>
      <c r="NO8" s="390"/>
      <c r="NP8" s="390"/>
      <c r="NQ8" s="390"/>
      <c r="NR8" s="390"/>
      <c r="NS8" s="390"/>
      <c r="NT8" s="390"/>
      <c r="NU8" s="390"/>
      <c r="NV8" s="390"/>
      <c r="NW8" s="390"/>
      <c r="NX8" s="390"/>
      <c r="NY8" s="390"/>
      <c r="NZ8" s="390"/>
      <c r="OA8" s="390"/>
      <c r="OB8" s="390"/>
      <c r="OC8" s="390"/>
      <c r="OD8" s="390"/>
      <c r="OE8" s="390"/>
      <c r="OF8" s="390"/>
      <c r="OG8" s="390"/>
      <c r="OH8" s="390"/>
      <c r="OI8" s="390"/>
      <c r="OJ8" s="390"/>
      <c r="OK8" s="390"/>
      <c r="OL8" s="390"/>
      <c r="OM8" s="390"/>
      <c r="ON8" s="390"/>
      <c r="OO8" s="390"/>
      <c r="OP8" s="390"/>
      <c r="OQ8" s="390"/>
      <c r="OR8" s="390"/>
      <c r="OS8" s="390"/>
      <c r="OT8" s="390"/>
      <c r="OU8" s="390"/>
      <c r="OV8" s="390"/>
      <c r="OW8" s="390"/>
      <c r="OX8" s="390"/>
      <c r="OY8" s="390"/>
      <c r="OZ8" s="390"/>
      <c r="PA8" s="390"/>
      <c r="PB8" s="390"/>
      <c r="PC8" s="390"/>
      <c r="PD8" s="390"/>
      <c r="PE8" s="390"/>
      <c r="PF8" s="390"/>
      <c r="PG8" s="390"/>
      <c r="PH8" s="390"/>
      <c r="PI8" s="390"/>
      <c r="PJ8" s="390"/>
      <c r="PK8" s="390"/>
      <c r="PL8" s="390"/>
      <c r="PM8" s="390"/>
      <c r="PN8" s="390"/>
      <c r="PO8" s="390"/>
      <c r="PP8" s="390"/>
      <c r="PQ8" s="390"/>
      <c r="PR8" s="390"/>
      <c r="PS8" s="390"/>
      <c r="PT8" s="390"/>
      <c r="PU8" s="390"/>
      <c r="PV8" s="390"/>
      <c r="PW8" s="390"/>
      <c r="PX8" s="390"/>
      <c r="PY8" s="390"/>
      <c r="PZ8" s="390"/>
      <c r="QA8" s="390"/>
      <c r="QB8" s="390"/>
      <c r="QC8" s="390"/>
      <c r="QD8" s="390"/>
      <c r="QE8" s="390"/>
      <c r="QF8" s="390"/>
      <c r="QG8" s="390"/>
      <c r="QH8" s="390"/>
      <c r="QI8" s="390"/>
      <c r="QJ8" s="390"/>
      <c r="QK8" s="390"/>
      <c r="QL8" s="390"/>
      <c r="QM8" s="390"/>
      <c r="QN8" s="390"/>
      <c r="QO8" s="390"/>
      <c r="QP8" s="390"/>
      <c r="QQ8" s="390"/>
      <c r="QR8" s="390"/>
      <c r="QS8" s="390"/>
      <c r="QT8" s="390"/>
      <c r="QU8" s="390"/>
      <c r="QV8" s="390"/>
      <c r="QW8" s="390"/>
      <c r="QX8" s="390"/>
      <c r="QY8" s="390"/>
      <c r="QZ8" s="390"/>
      <c r="RA8" s="390"/>
      <c r="RB8" s="390"/>
      <c r="RC8" s="390"/>
      <c r="RD8" s="390"/>
      <c r="RE8" s="390"/>
      <c r="RF8" s="390"/>
      <c r="RG8" s="390"/>
      <c r="RH8" s="390"/>
      <c r="RI8" s="390"/>
      <c r="RJ8" s="390"/>
      <c r="RK8" s="390"/>
      <c r="RL8" s="390"/>
      <c r="RM8" s="390"/>
      <c r="RN8" s="390"/>
      <c r="RO8" s="390"/>
      <c r="RP8" s="390"/>
      <c r="RQ8" s="390"/>
      <c r="RR8" s="390"/>
      <c r="RS8" s="390"/>
      <c r="RT8" s="390"/>
      <c r="RU8" s="390"/>
      <c r="RV8" s="390"/>
      <c r="RW8" s="390"/>
      <c r="RX8" s="390"/>
      <c r="RY8" s="390"/>
      <c r="RZ8" s="390"/>
      <c r="SA8" s="390"/>
      <c r="SB8" s="390"/>
      <c r="SC8" s="390"/>
      <c r="SD8" s="390"/>
      <c r="SE8" s="390"/>
      <c r="SF8" s="390"/>
      <c r="SG8" s="390"/>
      <c r="SH8" s="390"/>
      <c r="SI8" s="390"/>
      <c r="SJ8" s="390"/>
      <c r="SK8" s="390"/>
      <c r="SL8" s="390"/>
      <c r="SM8" s="390"/>
      <c r="SN8" s="390"/>
      <c r="SO8" s="390"/>
      <c r="SP8" s="390"/>
      <c r="SQ8" s="390"/>
      <c r="SR8" s="390"/>
      <c r="SS8" s="390"/>
      <c r="ST8" s="390"/>
      <c r="SU8" s="390"/>
      <c r="SV8" s="390"/>
      <c r="SW8" s="390"/>
      <c r="SX8" s="390"/>
      <c r="SY8" s="390"/>
      <c r="SZ8" s="390"/>
      <c r="TA8" s="390"/>
      <c r="TB8" s="390"/>
      <c r="TC8" s="390"/>
      <c r="TD8" s="390"/>
      <c r="TE8" s="390"/>
      <c r="TF8" s="390"/>
      <c r="TG8" s="390"/>
      <c r="TH8" s="390"/>
      <c r="TI8" s="390"/>
      <c r="TJ8" s="390"/>
      <c r="TK8" s="390"/>
      <c r="TL8" s="390"/>
      <c r="TM8" s="390"/>
      <c r="TN8" s="390"/>
      <c r="TO8" s="390"/>
      <c r="TP8" s="390"/>
      <c r="TQ8" s="390"/>
      <c r="TR8" s="390"/>
      <c r="TS8" s="390"/>
      <c r="TT8" s="390"/>
      <c r="TU8" s="390"/>
      <c r="TV8" s="390"/>
      <c r="TW8" s="390"/>
      <c r="TX8" s="390"/>
      <c r="TY8" s="390"/>
      <c r="TZ8" s="390"/>
      <c r="UA8" s="390"/>
      <c r="UB8" s="390"/>
      <c r="UC8" s="390"/>
      <c r="UD8" s="390"/>
      <c r="UE8" s="390"/>
      <c r="UF8" s="390"/>
      <c r="UG8" s="390"/>
      <c r="UH8" s="390"/>
      <c r="UI8" s="390"/>
      <c r="UJ8" s="390"/>
      <c r="UK8" s="390"/>
      <c r="UL8" s="390"/>
      <c r="UM8" s="390"/>
      <c r="UN8" s="390"/>
      <c r="UO8" s="390"/>
      <c r="UP8" s="390"/>
      <c r="UQ8" s="390"/>
      <c r="UR8" s="390"/>
      <c r="US8" s="390"/>
      <c r="UT8" s="390"/>
      <c r="UU8" s="390"/>
      <c r="UV8" s="390"/>
      <c r="UW8" s="390"/>
      <c r="UX8" s="390"/>
      <c r="UY8" s="390"/>
      <c r="UZ8" s="390"/>
      <c r="VA8" s="390"/>
      <c r="VB8" s="390"/>
      <c r="VC8" s="390"/>
      <c r="VD8" s="390"/>
      <c r="VE8" s="390"/>
      <c r="VF8" s="390"/>
      <c r="VG8" s="390"/>
      <c r="VH8" s="390"/>
      <c r="VI8" s="390"/>
      <c r="VJ8" s="390"/>
      <c r="VK8" s="390"/>
      <c r="VL8" s="390"/>
      <c r="VM8" s="390"/>
      <c r="VN8" s="390"/>
      <c r="VO8" s="390"/>
      <c r="VP8" s="390"/>
      <c r="VQ8" s="390"/>
      <c r="VR8" s="390"/>
      <c r="VS8" s="390"/>
      <c r="VT8" s="390"/>
      <c r="VU8" s="390"/>
      <c r="VV8" s="390"/>
      <c r="VW8" s="390"/>
      <c r="VX8" s="390"/>
      <c r="VY8" s="390"/>
      <c r="VZ8" s="390"/>
      <c r="WA8" s="390"/>
      <c r="WB8" s="390"/>
      <c r="WC8" s="390"/>
      <c r="WD8" s="390"/>
      <c r="WE8" s="390"/>
      <c r="WF8" s="390"/>
      <c r="WG8" s="390"/>
      <c r="WH8" s="390"/>
      <c r="WI8" s="390"/>
      <c r="WJ8" s="390"/>
      <c r="WK8" s="390"/>
      <c r="WL8" s="390"/>
      <c r="WM8" s="390"/>
      <c r="WN8" s="390"/>
      <c r="WO8" s="390"/>
      <c r="WP8" s="390"/>
      <c r="WQ8" s="390"/>
      <c r="WR8" s="390"/>
      <c r="WS8" s="390"/>
      <c r="WT8" s="390"/>
      <c r="WU8" s="390"/>
      <c r="WV8" s="390"/>
      <c r="WW8" s="390"/>
      <c r="WX8" s="390"/>
      <c r="WY8" s="390"/>
      <c r="WZ8" s="390"/>
      <c r="XA8" s="390"/>
      <c r="XB8" s="390"/>
      <c r="XC8" s="390"/>
      <c r="XD8" s="390"/>
      <c r="XE8" s="390"/>
      <c r="XF8" s="390"/>
      <c r="XG8" s="390"/>
      <c r="XH8" s="390"/>
      <c r="XI8" s="390"/>
      <c r="XJ8" s="390"/>
      <c r="XK8" s="390"/>
      <c r="XL8" s="390"/>
      <c r="XM8" s="390"/>
      <c r="XN8" s="390"/>
      <c r="XO8" s="390"/>
      <c r="XP8" s="390"/>
      <c r="XQ8" s="390"/>
      <c r="XR8" s="390"/>
      <c r="XS8" s="390"/>
      <c r="XT8" s="390"/>
      <c r="XU8" s="390"/>
      <c r="XV8" s="390"/>
      <c r="XW8" s="390"/>
      <c r="XX8" s="390"/>
      <c r="XY8" s="390"/>
      <c r="XZ8" s="390"/>
      <c r="YA8" s="390"/>
      <c r="YB8" s="390"/>
      <c r="YC8" s="390"/>
      <c r="YD8" s="390"/>
      <c r="YE8" s="390"/>
      <c r="YF8" s="390"/>
      <c r="YG8" s="390"/>
      <c r="YH8" s="390"/>
      <c r="YI8" s="390"/>
      <c r="YJ8" s="390"/>
      <c r="YK8" s="390"/>
      <c r="YL8" s="390"/>
      <c r="YM8" s="390"/>
      <c r="YN8" s="390"/>
      <c r="YO8" s="390"/>
      <c r="YP8" s="390"/>
      <c r="YQ8" s="390"/>
      <c r="YR8" s="390"/>
      <c r="YS8" s="390"/>
      <c r="YT8" s="390"/>
      <c r="YU8" s="390"/>
      <c r="YV8" s="390"/>
      <c r="YW8" s="390"/>
      <c r="YX8" s="390"/>
      <c r="YY8" s="390"/>
      <c r="YZ8" s="390"/>
      <c r="ZA8" s="390"/>
      <c r="ZB8" s="390"/>
      <c r="ZC8" s="390"/>
      <c r="ZD8" s="390"/>
      <c r="ZE8" s="390"/>
      <c r="ZF8" s="390"/>
      <c r="ZG8" s="390"/>
      <c r="ZH8" s="390"/>
      <c r="ZI8" s="390"/>
      <c r="ZJ8" s="390"/>
      <c r="ZK8" s="390"/>
      <c r="ZL8" s="390"/>
      <c r="ZM8" s="390"/>
      <c r="ZN8" s="390"/>
      <c r="ZO8" s="390"/>
      <c r="ZP8" s="390"/>
      <c r="ZQ8" s="390"/>
      <c r="ZR8" s="390"/>
      <c r="ZS8" s="390"/>
      <c r="ZT8" s="390"/>
      <c r="ZU8" s="390"/>
      <c r="ZV8" s="390"/>
      <c r="ZW8" s="390"/>
      <c r="ZX8" s="390"/>
      <c r="ZY8" s="390"/>
      <c r="ZZ8" s="390"/>
      <c r="AAA8" s="390"/>
      <c r="AAB8" s="390"/>
      <c r="AAC8" s="390"/>
      <c r="AAD8" s="390"/>
      <c r="AAE8" s="390"/>
      <c r="AAF8" s="390"/>
      <c r="AAG8" s="390"/>
      <c r="AAH8" s="390"/>
      <c r="AAI8" s="390"/>
      <c r="AAJ8" s="390"/>
      <c r="AAK8" s="390"/>
      <c r="AAL8" s="390"/>
      <c r="AAM8" s="390"/>
      <c r="AAN8" s="390"/>
      <c r="AAO8" s="390"/>
      <c r="AAP8" s="390"/>
      <c r="AAQ8" s="390"/>
      <c r="AAR8" s="390"/>
      <c r="AAS8" s="390"/>
      <c r="AAT8" s="390"/>
      <c r="AAU8" s="390"/>
      <c r="AAV8" s="390"/>
      <c r="AAW8" s="390"/>
      <c r="AAX8" s="390"/>
      <c r="AAY8" s="390"/>
      <c r="AAZ8" s="390"/>
      <c r="ABA8" s="390"/>
      <c r="ABB8" s="390"/>
      <c r="ABC8" s="390"/>
      <c r="ABD8" s="390"/>
      <c r="ABE8" s="390"/>
      <c r="ABF8" s="390"/>
      <c r="ABG8" s="390"/>
      <c r="ABH8" s="390"/>
      <c r="ABI8" s="390"/>
      <c r="ABJ8" s="390"/>
      <c r="ABK8" s="390"/>
      <c r="ABL8" s="390"/>
      <c r="ABM8" s="390"/>
      <c r="ABN8" s="390"/>
      <c r="ABO8" s="390"/>
      <c r="ABP8" s="390"/>
      <c r="ABQ8" s="390"/>
      <c r="ABR8" s="390"/>
      <c r="ABS8" s="390"/>
      <c r="ABT8" s="390"/>
      <c r="ABU8" s="390"/>
      <c r="ABV8" s="390"/>
      <c r="ABW8" s="390"/>
      <c r="ABX8" s="390"/>
      <c r="ABY8" s="390"/>
      <c r="ABZ8" s="390"/>
      <c r="ACA8" s="390"/>
      <c r="ACB8" s="390"/>
      <c r="ACC8" s="390"/>
      <c r="ACD8" s="390"/>
      <c r="ACE8" s="390"/>
      <c r="ACF8" s="390"/>
      <c r="ACG8" s="390"/>
      <c r="ACH8" s="390"/>
      <c r="ACI8" s="390"/>
    </row>
    <row r="9" spans="1:763" ht="13.95" customHeight="1" x14ac:dyDescent="0.3">
      <c r="A9" s="401" t="str">
        <f ca="1">Проект!$A$50</f>
        <v>выручка от реализации, без НДС</v>
      </c>
      <c r="B9" s="402"/>
      <c r="C9" s="402" t="str">
        <f ca="1">Проект!$C$50</f>
        <v>руб.</v>
      </c>
      <c r="D9" s="404">
        <f ca="1">SUM(Проект!$G$50:$R$50)</f>
        <v>60135914.222691894</v>
      </c>
      <c r="E9" s="404">
        <f ca="1">SUM(Проект!$S$50:$AD$50)</f>
        <v>173389495.65618831</v>
      </c>
      <c r="F9" s="404">
        <f ca="1">SUM(Проект!$AE$50:$AP$50)</f>
        <v>183792865.39555964</v>
      </c>
      <c r="G9" s="404">
        <f ca="1">SUM(Проект!$AQ$50:$BB$50)</f>
        <v>194820437.31929329</v>
      </c>
      <c r="H9" s="405">
        <f ca="1">Проект!$BD$50</f>
        <v>612138712.59373331</v>
      </c>
      <c r="I9" s="390"/>
      <c r="J9" s="390"/>
      <c r="K9" s="390"/>
      <c r="L9" s="390"/>
      <c r="M9" s="390"/>
      <c r="N9" s="390"/>
      <c r="O9" s="390"/>
      <c r="P9" s="390"/>
      <c r="Q9" s="390"/>
      <c r="R9" s="390"/>
      <c r="S9" s="390"/>
      <c r="T9" s="390"/>
      <c r="U9" s="390"/>
      <c r="V9" s="390"/>
      <c r="W9" s="390"/>
      <c r="X9" s="390"/>
      <c r="Y9" s="390"/>
      <c r="Z9" s="390"/>
      <c r="AA9" s="390"/>
      <c r="AB9" s="390"/>
      <c r="AC9" s="390"/>
      <c r="AD9" s="390"/>
      <c r="AE9" s="390"/>
      <c r="AF9" s="390"/>
      <c r="AG9" s="390"/>
      <c r="AH9" s="390"/>
      <c r="AI9" s="390"/>
      <c r="AJ9" s="390"/>
      <c r="AK9" s="390"/>
      <c r="AL9" s="390"/>
      <c r="AM9" s="390"/>
      <c r="AN9" s="390"/>
      <c r="AO9" s="390"/>
      <c r="AP9" s="390"/>
      <c r="AQ9" s="390"/>
      <c r="AR9" s="390"/>
      <c r="AS9" s="390"/>
      <c r="AT9" s="390"/>
      <c r="AU9" s="390"/>
      <c r="AV9" s="390"/>
      <c r="AW9" s="390"/>
      <c r="AX9" s="390"/>
      <c r="AY9" s="390"/>
      <c r="AZ9" s="390"/>
      <c r="BA9" s="390"/>
      <c r="BB9" s="390"/>
      <c r="BC9" s="390"/>
      <c r="BD9" s="390"/>
      <c r="BE9" s="390"/>
      <c r="BF9" s="390"/>
      <c r="BG9" s="390"/>
      <c r="BH9" s="390"/>
      <c r="BI9" s="390"/>
      <c r="BJ9" s="390"/>
      <c r="BK9" s="390"/>
      <c r="BL9" s="390"/>
      <c r="BM9" s="390"/>
      <c r="BN9" s="390"/>
      <c r="BO9" s="390"/>
      <c r="BP9" s="390"/>
      <c r="BQ9" s="390"/>
      <c r="BR9" s="390"/>
      <c r="BS9" s="390"/>
      <c r="BT9" s="390"/>
      <c r="BU9" s="390"/>
      <c r="BV9" s="390"/>
      <c r="BW9" s="390"/>
      <c r="BX9" s="390"/>
      <c r="BY9" s="390"/>
      <c r="BZ9" s="390"/>
      <c r="CA9" s="390"/>
      <c r="CB9" s="390"/>
      <c r="CC9" s="390"/>
      <c r="CD9" s="390"/>
      <c r="CE9" s="390"/>
      <c r="CF9" s="390"/>
      <c r="CG9" s="390"/>
      <c r="CH9" s="390"/>
      <c r="CI9" s="390"/>
      <c r="CJ9" s="390"/>
      <c r="CK9" s="390"/>
      <c r="CL9" s="390"/>
      <c r="CM9" s="390"/>
      <c r="CN9" s="390"/>
      <c r="CO9" s="390"/>
      <c r="CP9" s="390"/>
      <c r="CQ9" s="390"/>
      <c r="CR9" s="390"/>
      <c r="CS9" s="390"/>
      <c r="CT9" s="390"/>
      <c r="CU9" s="390"/>
      <c r="CV9" s="390"/>
      <c r="CW9" s="390"/>
      <c r="CX9" s="390"/>
      <c r="CY9" s="390"/>
      <c r="CZ9" s="390"/>
      <c r="DA9" s="390"/>
      <c r="DB9" s="390"/>
      <c r="DC9" s="390"/>
      <c r="DD9" s="390"/>
      <c r="DE9" s="390"/>
      <c r="DF9" s="390"/>
      <c r="DG9" s="390"/>
      <c r="DH9" s="390"/>
      <c r="DI9" s="390"/>
      <c r="DJ9" s="390"/>
      <c r="DK9" s="390"/>
      <c r="DL9" s="390"/>
      <c r="DM9" s="390"/>
      <c r="DN9" s="390"/>
      <c r="DO9" s="390"/>
      <c r="DP9" s="390"/>
      <c r="DQ9" s="390"/>
      <c r="DR9" s="390"/>
      <c r="DS9" s="390"/>
      <c r="DT9" s="390"/>
      <c r="DU9" s="390"/>
      <c r="DV9" s="390"/>
      <c r="DW9" s="390"/>
      <c r="DX9" s="390"/>
      <c r="DY9" s="390"/>
      <c r="DZ9" s="390"/>
      <c r="EA9" s="390"/>
      <c r="EB9" s="390"/>
      <c r="EC9" s="390"/>
      <c r="ED9" s="390"/>
      <c r="EE9" s="390"/>
      <c r="EF9" s="390"/>
      <c r="EG9" s="390"/>
      <c r="EH9" s="390"/>
      <c r="EI9" s="390"/>
      <c r="EJ9" s="390"/>
      <c r="EK9" s="390"/>
      <c r="EL9" s="390"/>
      <c r="EM9" s="390"/>
      <c r="EN9" s="390"/>
      <c r="EO9" s="390"/>
      <c r="EP9" s="390"/>
      <c r="EQ9" s="390"/>
      <c r="ER9" s="390"/>
      <c r="ES9" s="390"/>
      <c r="ET9" s="390"/>
      <c r="EU9" s="390"/>
      <c r="EV9" s="390"/>
      <c r="EW9" s="390"/>
      <c r="EX9" s="390"/>
      <c r="EY9" s="390"/>
      <c r="EZ9" s="390"/>
      <c r="FA9" s="390"/>
      <c r="FB9" s="390"/>
      <c r="FC9" s="390"/>
      <c r="FD9" s="390"/>
      <c r="FE9" s="390"/>
      <c r="FF9" s="390"/>
      <c r="FG9" s="390"/>
      <c r="FH9" s="390"/>
      <c r="FI9" s="390"/>
      <c r="FJ9" s="390"/>
      <c r="FK9" s="390"/>
      <c r="FL9" s="390"/>
      <c r="FM9" s="390"/>
      <c r="FN9" s="390"/>
      <c r="FO9" s="390"/>
      <c r="FP9" s="390"/>
      <c r="FQ9" s="390"/>
      <c r="FR9" s="390"/>
      <c r="FS9" s="390"/>
      <c r="FT9" s="390"/>
      <c r="FU9" s="390"/>
      <c r="FV9" s="390"/>
      <c r="FW9" s="390"/>
      <c r="FX9" s="390"/>
      <c r="FY9" s="390"/>
      <c r="FZ9" s="390"/>
      <c r="GA9" s="390"/>
      <c r="GB9" s="390"/>
      <c r="GC9" s="390"/>
      <c r="GD9" s="390"/>
      <c r="GE9" s="390"/>
      <c r="GF9" s="390"/>
      <c r="GG9" s="390"/>
      <c r="GH9" s="390"/>
      <c r="GI9" s="390"/>
      <c r="GJ9" s="390"/>
      <c r="GK9" s="390"/>
      <c r="GL9" s="390"/>
      <c r="GM9" s="390"/>
      <c r="GN9" s="390"/>
      <c r="GO9" s="390"/>
      <c r="GP9" s="390"/>
      <c r="GQ9" s="390"/>
      <c r="GR9" s="390"/>
      <c r="GS9" s="390"/>
      <c r="GT9" s="390"/>
      <c r="GU9" s="390"/>
      <c r="GV9" s="390"/>
      <c r="GW9" s="390"/>
      <c r="GX9" s="390"/>
      <c r="GY9" s="390"/>
      <c r="GZ9" s="390"/>
      <c r="HA9" s="390"/>
      <c r="HB9" s="390"/>
      <c r="HC9" s="390"/>
      <c r="HD9" s="390"/>
      <c r="HE9" s="390"/>
      <c r="HF9" s="390"/>
      <c r="HG9" s="390"/>
      <c r="HH9" s="390"/>
      <c r="HI9" s="390"/>
      <c r="HJ9" s="390"/>
      <c r="HK9" s="390"/>
      <c r="HL9" s="390"/>
      <c r="HM9" s="390"/>
      <c r="HN9" s="390"/>
      <c r="HO9" s="390"/>
      <c r="HP9" s="390"/>
      <c r="HQ9" s="390"/>
      <c r="HR9" s="390"/>
      <c r="HS9" s="390"/>
      <c r="HT9" s="390"/>
      <c r="HU9" s="390"/>
      <c r="HV9" s="390"/>
      <c r="HW9" s="390"/>
      <c r="HX9" s="390"/>
      <c r="HY9" s="390"/>
      <c r="HZ9" s="390"/>
      <c r="IA9" s="390"/>
      <c r="IB9" s="390"/>
      <c r="IC9" s="390"/>
      <c r="ID9" s="390"/>
      <c r="IE9" s="390"/>
      <c r="IF9" s="390"/>
      <c r="IG9" s="390"/>
      <c r="IH9" s="390"/>
      <c r="II9" s="390"/>
      <c r="IJ9" s="390"/>
      <c r="IK9" s="390"/>
      <c r="IL9" s="390"/>
      <c r="IM9" s="390"/>
      <c r="IN9" s="390"/>
      <c r="IO9" s="390"/>
      <c r="IP9" s="390"/>
      <c r="IQ9" s="390"/>
      <c r="IR9" s="390"/>
      <c r="IS9" s="390"/>
      <c r="IT9" s="390"/>
      <c r="IU9" s="390"/>
      <c r="IV9" s="390"/>
      <c r="IW9" s="390"/>
      <c r="IX9" s="390"/>
      <c r="IY9" s="390"/>
      <c r="IZ9" s="390"/>
      <c r="JA9" s="390"/>
      <c r="JB9" s="390"/>
      <c r="JC9" s="390"/>
      <c r="JD9" s="390"/>
      <c r="JE9" s="390"/>
      <c r="JF9" s="390"/>
      <c r="JG9" s="390"/>
      <c r="JH9" s="390"/>
      <c r="JI9" s="390"/>
      <c r="JJ9" s="390"/>
      <c r="JK9" s="390"/>
      <c r="JL9" s="390"/>
      <c r="JM9" s="390"/>
      <c r="JN9" s="390"/>
      <c r="JO9" s="390"/>
      <c r="JP9" s="390"/>
      <c r="JQ9" s="390"/>
      <c r="JR9" s="390"/>
      <c r="JS9" s="390"/>
      <c r="JT9" s="390"/>
      <c r="JU9" s="390"/>
      <c r="JV9" s="390"/>
      <c r="JW9" s="390"/>
      <c r="JX9" s="390"/>
      <c r="JY9" s="390"/>
      <c r="JZ9" s="390"/>
      <c r="KA9" s="390"/>
      <c r="KB9" s="390"/>
      <c r="KC9" s="390"/>
      <c r="KD9" s="390"/>
      <c r="KE9" s="390"/>
      <c r="KF9" s="390"/>
      <c r="KG9" s="390"/>
      <c r="KH9" s="390"/>
      <c r="KI9" s="390"/>
      <c r="KJ9" s="390"/>
      <c r="KK9" s="390"/>
      <c r="KL9" s="390"/>
      <c r="KM9" s="390"/>
      <c r="KN9" s="390"/>
      <c r="KO9" s="390"/>
      <c r="KP9" s="390"/>
      <c r="KQ9" s="390"/>
      <c r="KR9" s="390"/>
      <c r="KS9" s="390"/>
      <c r="KT9" s="390"/>
      <c r="KU9" s="390"/>
      <c r="KV9" s="390"/>
      <c r="KW9" s="390"/>
      <c r="KX9" s="390"/>
      <c r="KY9" s="390"/>
      <c r="KZ9" s="390"/>
      <c r="LA9" s="390"/>
      <c r="LB9" s="390"/>
      <c r="LC9" s="390"/>
      <c r="LD9" s="390"/>
      <c r="LE9" s="390"/>
      <c r="LF9" s="390"/>
      <c r="LG9" s="390"/>
      <c r="LH9" s="390"/>
      <c r="LI9" s="390"/>
      <c r="LJ9" s="390"/>
      <c r="LK9" s="390"/>
      <c r="LL9" s="390"/>
      <c r="LM9" s="390"/>
      <c r="LN9" s="390"/>
      <c r="LO9" s="390"/>
      <c r="LP9" s="390"/>
      <c r="LQ9" s="390"/>
      <c r="LR9" s="390"/>
      <c r="LS9" s="390"/>
      <c r="LT9" s="390"/>
      <c r="LU9" s="390"/>
      <c r="LV9" s="390"/>
      <c r="LW9" s="390"/>
      <c r="LX9" s="390"/>
      <c r="LY9" s="390"/>
      <c r="LZ9" s="390"/>
      <c r="MA9" s="390"/>
      <c r="MB9" s="390"/>
      <c r="MC9" s="390"/>
      <c r="MD9" s="390"/>
      <c r="ME9" s="390"/>
      <c r="MF9" s="390"/>
      <c r="MG9" s="390"/>
      <c r="MH9" s="390"/>
      <c r="MI9" s="390"/>
      <c r="MJ9" s="390"/>
      <c r="MK9" s="390"/>
      <c r="ML9" s="390"/>
      <c r="MM9" s="390"/>
      <c r="MN9" s="390"/>
      <c r="MO9" s="390"/>
      <c r="MP9" s="390"/>
      <c r="MQ9" s="390"/>
      <c r="MR9" s="390"/>
      <c r="MS9" s="390"/>
      <c r="MT9" s="390"/>
      <c r="MU9" s="390"/>
      <c r="MV9" s="390"/>
      <c r="MW9" s="390"/>
      <c r="MX9" s="390"/>
      <c r="MY9" s="390"/>
      <c r="MZ9" s="390"/>
      <c r="NA9" s="390"/>
      <c r="NB9" s="390"/>
      <c r="NC9" s="390"/>
      <c r="ND9" s="390"/>
      <c r="NE9" s="390"/>
      <c r="NF9" s="390"/>
      <c r="NG9" s="390"/>
      <c r="NH9" s="390"/>
      <c r="NI9" s="390"/>
      <c r="NJ9" s="390"/>
      <c r="NK9" s="390"/>
      <c r="NL9" s="390"/>
      <c r="NM9" s="390"/>
      <c r="NN9" s="390"/>
      <c r="NO9" s="390"/>
      <c r="NP9" s="390"/>
      <c r="NQ9" s="390"/>
      <c r="NR9" s="390"/>
      <c r="NS9" s="390"/>
      <c r="NT9" s="390"/>
      <c r="NU9" s="390"/>
      <c r="NV9" s="390"/>
      <c r="NW9" s="390"/>
      <c r="NX9" s="390"/>
      <c r="NY9" s="390"/>
      <c r="NZ9" s="390"/>
      <c r="OA9" s="390"/>
      <c r="OB9" s="390"/>
      <c r="OC9" s="390"/>
      <c r="OD9" s="390"/>
      <c r="OE9" s="390"/>
      <c r="OF9" s="390"/>
      <c r="OG9" s="390"/>
      <c r="OH9" s="390"/>
      <c r="OI9" s="390"/>
      <c r="OJ9" s="390"/>
      <c r="OK9" s="390"/>
      <c r="OL9" s="390"/>
      <c r="OM9" s="390"/>
      <c r="ON9" s="390"/>
      <c r="OO9" s="390"/>
      <c r="OP9" s="390"/>
      <c r="OQ9" s="390"/>
      <c r="OR9" s="390"/>
      <c r="OS9" s="390"/>
      <c r="OT9" s="390"/>
      <c r="OU9" s="390"/>
      <c r="OV9" s="390"/>
      <c r="OW9" s="390"/>
      <c r="OX9" s="390"/>
      <c r="OY9" s="390"/>
      <c r="OZ9" s="390"/>
      <c r="PA9" s="390"/>
      <c r="PB9" s="390"/>
      <c r="PC9" s="390"/>
      <c r="PD9" s="390"/>
      <c r="PE9" s="390"/>
      <c r="PF9" s="390"/>
      <c r="PG9" s="390"/>
      <c r="PH9" s="390"/>
      <c r="PI9" s="390"/>
      <c r="PJ9" s="390"/>
      <c r="PK9" s="390"/>
      <c r="PL9" s="390"/>
      <c r="PM9" s="390"/>
      <c r="PN9" s="390"/>
      <c r="PO9" s="390"/>
      <c r="PP9" s="390"/>
      <c r="PQ9" s="390"/>
      <c r="PR9" s="390"/>
      <c r="PS9" s="390"/>
      <c r="PT9" s="390"/>
      <c r="PU9" s="390"/>
      <c r="PV9" s="390"/>
      <c r="PW9" s="390"/>
      <c r="PX9" s="390"/>
      <c r="PY9" s="390"/>
      <c r="PZ9" s="390"/>
      <c r="QA9" s="390"/>
      <c r="QB9" s="390"/>
      <c r="QC9" s="390"/>
      <c r="QD9" s="390"/>
      <c r="QE9" s="390"/>
      <c r="QF9" s="390"/>
      <c r="QG9" s="390"/>
      <c r="QH9" s="390"/>
      <c r="QI9" s="390"/>
      <c r="QJ9" s="390"/>
      <c r="QK9" s="390"/>
      <c r="QL9" s="390"/>
      <c r="QM9" s="390"/>
      <c r="QN9" s="390"/>
      <c r="QO9" s="390"/>
      <c r="QP9" s="390"/>
      <c r="QQ9" s="390"/>
      <c r="QR9" s="390"/>
      <c r="QS9" s="390"/>
      <c r="QT9" s="390"/>
      <c r="QU9" s="390"/>
      <c r="QV9" s="390"/>
      <c r="QW9" s="390"/>
      <c r="QX9" s="390"/>
      <c r="QY9" s="390"/>
      <c r="QZ9" s="390"/>
      <c r="RA9" s="390"/>
      <c r="RB9" s="390"/>
      <c r="RC9" s="390"/>
      <c r="RD9" s="390"/>
      <c r="RE9" s="390"/>
      <c r="RF9" s="390"/>
      <c r="RG9" s="390"/>
      <c r="RH9" s="390"/>
      <c r="RI9" s="390"/>
      <c r="RJ9" s="390"/>
      <c r="RK9" s="390"/>
      <c r="RL9" s="390"/>
      <c r="RM9" s="390"/>
      <c r="RN9" s="390"/>
      <c r="RO9" s="390"/>
      <c r="RP9" s="390"/>
      <c r="RQ9" s="390"/>
      <c r="RR9" s="390"/>
      <c r="RS9" s="390"/>
      <c r="RT9" s="390"/>
      <c r="RU9" s="390"/>
      <c r="RV9" s="390"/>
      <c r="RW9" s="390"/>
      <c r="RX9" s="390"/>
      <c r="RY9" s="390"/>
      <c r="RZ9" s="390"/>
      <c r="SA9" s="390"/>
      <c r="SB9" s="390"/>
      <c r="SC9" s="390"/>
      <c r="SD9" s="390"/>
      <c r="SE9" s="390"/>
      <c r="SF9" s="390"/>
      <c r="SG9" s="390"/>
      <c r="SH9" s="390"/>
      <c r="SI9" s="390"/>
      <c r="SJ9" s="390"/>
      <c r="SK9" s="390"/>
      <c r="SL9" s="390"/>
      <c r="SM9" s="390"/>
      <c r="SN9" s="390"/>
      <c r="SO9" s="390"/>
      <c r="SP9" s="390"/>
      <c r="SQ9" s="390"/>
      <c r="SR9" s="390"/>
      <c r="SS9" s="390"/>
      <c r="ST9" s="390"/>
      <c r="SU9" s="390"/>
      <c r="SV9" s="390"/>
      <c r="SW9" s="390"/>
      <c r="SX9" s="390"/>
      <c r="SY9" s="390"/>
      <c r="SZ9" s="390"/>
      <c r="TA9" s="390"/>
      <c r="TB9" s="390"/>
      <c r="TC9" s="390"/>
      <c r="TD9" s="390"/>
      <c r="TE9" s="390"/>
      <c r="TF9" s="390"/>
      <c r="TG9" s="390"/>
      <c r="TH9" s="390"/>
      <c r="TI9" s="390"/>
      <c r="TJ9" s="390"/>
      <c r="TK9" s="390"/>
      <c r="TL9" s="390"/>
      <c r="TM9" s="390"/>
      <c r="TN9" s="390"/>
      <c r="TO9" s="390"/>
      <c r="TP9" s="390"/>
      <c r="TQ9" s="390"/>
      <c r="TR9" s="390"/>
      <c r="TS9" s="390"/>
      <c r="TT9" s="390"/>
      <c r="TU9" s="390"/>
      <c r="TV9" s="390"/>
      <c r="TW9" s="390"/>
      <c r="TX9" s="390"/>
      <c r="TY9" s="390"/>
      <c r="TZ9" s="390"/>
      <c r="UA9" s="390"/>
      <c r="UB9" s="390"/>
      <c r="UC9" s="390"/>
      <c r="UD9" s="390"/>
      <c r="UE9" s="390"/>
      <c r="UF9" s="390"/>
      <c r="UG9" s="390"/>
      <c r="UH9" s="390"/>
      <c r="UI9" s="390"/>
      <c r="UJ9" s="390"/>
      <c r="UK9" s="390"/>
      <c r="UL9" s="390"/>
      <c r="UM9" s="390"/>
      <c r="UN9" s="390"/>
      <c r="UO9" s="390"/>
      <c r="UP9" s="390"/>
      <c r="UQ9" s="390"/>
      <c r="UR9" s="390"/>
      <c r="US9" s="390"/>
      <c r="UT9" s="390"/>
      <c r="UU9" s="390"/>
      <c r="UV9" s="390"/>
      <c r="UW9" s="390"/>
      <c r="UX9" s="390"/>
      <c r="UY9" s="390"/>
      <c r="UZ9" s="390"/>
      <c r="VA9" s="390"/>
      <c r="VB9" s="390"/>
      <c r="VC9" s="390"/>
      <c r="VD9" s="390"/>
      <c r="VE9" s="390"/>
      <c r="VF9" s="390"/>
      <c r="VG9" s="390"/>
      <c r="VH9" s="390"/>
      <c r="VI9" s="390"/>
      <c r="VJ9" s="390"/>
      <c r="VK9" s="390"/>
      <c r="VL9" s="390"/>
      <c r="VM9" s="390"/>
      <c r="VN9" s="390"/>
      <c r="VO9" s="390"/>
      <c r="VP9" s="390"/>
      <c r="VQ9" s="390"/>
      <c r="VR9" s="390"/>
      <c r="VS9" s="390"/>
      <c r="VT9" s="390"/>
      <c r="VU9" s="390"/>
      <c r="VV9" s="390"/>
      <c r="VW9" s="390"/>
      <c r="VX9" s="390"/>
      <c r="VY9" s="390"/>
      <c r="VZ9" s="390"/>
      <c r="WA9" s="390"/>
      <c r="WB9" s="390"/>
      <c r="WC9" s="390"/>
      <c r="WD9" s="390"/>
      <c r="WE9" s="390"/>
      <c r="WF9" s="390"/>
      <c r="WG9" s="390"/>
      <c r="WH9" s="390"/>
      <c r="WI9" s="390"/>
      <c r="WJ9" s="390"/>
      <c r="WK9" s="390"/>
      <c r="WL9" s="390"/>
      <c r="WM9" s="390"/>
      <c r="WN9" s="390"/>
      <c r="WO9" s="390"/>
      <c r="WP9" s="390"/>
      <c r="WQ9" s="390"/>
      <c r="WR9" s="390"/>
      <c r="WS9" s="390"/>
      <c r="WT9" s="390"/>
      <c r="WU9" s="390"/>
      <c r="WV9" s="390"/>
      <c r="WW9" s="390"/>
      <c r="WX9" s="390"/>
      <c r="WY9" s="390"/>
      <c r="WZ9" s="390"/>
      <c r="XA9" s="390"/>
      <c r="XB9" s="390"/>
      <c r="XC9" s="390"/>
      <c r="XD9" s="390"/>
      <c r="XE9" s="390"/>
      <c r="XF9" s="390"/>
      <c r="XG9" s="390"/>
      <c r="XH9" s="390"/>
      <c r="XI9" s="390"/>
      <c r="XJ9" s="390"/>
      <c r="XK9" s="390"/>
      <c r="XL9" s="390"/>
      <c r="XM9" s="390"/>
      <c r="XN9" s="390"/>
      <c r="XO9" s="390"/>
      <c r="XP9" s="390"/>
      <c r="XQ9" s="390"/>
      <c r="XR9" s="390"/>
      <c r="XS9" s="390"/>
      <c r="XT9" s="390"/>
      <c r="XU9" s="390"/>
      <c r="XV9" s="390"/>
      <c r="XW9" s="390"/>
      <c r="XX9" s="390"/>
      <c r="XY9" s="390"/>
      <c r="XZ9" s="390"/>
      <c r="YA9" s="390"/>
      <c r="YB9" s="390"/>
      <c r="YC9" s="390"/>
      <c r="YD9" s="390"/>
      <c r="YE9" s="390"/>
      <c r="YF9" s="390"/>
      <c r="YG9" s="390"/>
      <c r="YH9" s="390"/>
      <c r="YI9" s="390"/>
      <c r="YJ9" s="390"/>
      <c r="YK9" s="390"/>
      <c r="YL9" s="390"/>
      <c r="YM9" s="390"/>
      <c r="YN9" s="390"/>
      <c r="YO9" s="390"/>
      <c r="YP9" s="390"/>
      <c r="YQ9" s="390"/>
      <c r="YR9" s="390"/>
      <c r="YS9" s="390"/>
      <c r="YT9" s="390"/>
      <c r="YU9" s="390"/>
      <c r="YV9" s="390"/>
      <c r="YW9" s="390"/>
      <c r="YX9" s="390"/>
      <c r="YY9" s="390"/>
      <c r="YZ9" s="390"/>
      <c r="ZA9" s="390"/>
      <c r="ZB9" s="390"/>
      <c r="ZC9" s="390"/>
      <c r="ZD9" s="390"/>
      <c r="ZE9" s="390"/>
      <c r="ZF9" s="390"/>
      <c r="ZG9" s="390"/>
      <c r="ZH9" s="390"/>
      <c r="ZI9" s="390"/>
      <c r="ZJ9" s="390"/>
      <c r="ZK9" s="390"/>
      <c r="ZL9" s="390"/>
      <c r="ZM9" s="390"/>
      <c r="ZN9" s="390"/>
      <c r="ZO9" s="390"/>
      <c r="ZP9" s="390"/>
      <c r="ZQ9" s="390"/>
      <c r="ZR9" s="390"/>
      <c r="ZS9" s="390"/>
      <c r="ZT9" s="390"/>
      <c r="ZU9" s="390"/>
      <c r="ZV9" s="390"/>
      <c r="ZW9" s="390"/>
      <c r="ZX9" s="390"/>
      <c r="ZY9" s="390"/>
      <c r="ZZ9" s="390"/>
      <c r="AAA9" s="390"/>
      <c r="AAB9" s="390"/>
      <c r="AAC9" s="390"/>
      <c r="AAD9" s="390"/>
      <c r="AAE9" s="390"/>
      <c r="AAF9" s="390"/>
      <c r="AAG9" s="390"/>
      <c r="AAH9" s="390"/>
      <c r="AAI9" s="390"/>
      <c r="AAJ9" s="390"/>
      <c r="AAK9" s="390"/>
      <c r="AAL9" s="390"/>
      <c r="AAM9" s="390"/>
      <c r="AAN9" s="390"/>
      <c r="AAO9" s="390"/>
      <c r="AAP9" s="390"/>
      <c r="AAQ9" s="390"/>
      <c r="AAR9" s="390"/>
      <c r="AAS9" s="390"/>
      <c r="AAT9" s="390"/>
      <c r="AAU9" s="390"/>
      <c r="AAV9" s="390"/>
      <c r="AAW9" s="390"/>
      <c r="AAX9" s="390"/>
      <c r="AAY9" s="390"/>
      <c r="AAZ9" s="390"/>
      <c r="ABA9" s="390"/>
      <c r="ABB9" s="390"/>
      <c r="ABC9" s="390"/>
      <c r="ABD9" s="390"/>
      <c r="ABE9" s="390"/>
      <c r="ABF9" s="390"/>
      <c r="ABG9" s="390"/>
      <c r="ABH9" s="390"/>
      <c r="ABI9" s="390"/>
      <c r="ABJ9" s="390"/>
      <c r="ABK9" s="390"/>
      <c r="ABL9" s="390"/>
      <c r="ABM9" s="390"/>
      <c r="ABN9" s="390"/>
      <c r="ABO9" s="390"/>
      <c r="ABP9" s="390"/>
      <c r="ABQ9" s="390"/>
      <c r="ABR9" s="390"/>
      <c r="ABS9" s="390"/>
      <c r="ABT9" s="390"/>
      <c r="ABU9" s="390"/>
      <c r="ABV9" s="390"/>
      <c r="ABW9" s="390"/>
      <c r="ABX9" s="390"/>
      <c r="ABY9" s="390"/>
      <c r="ABZ9" s="390"/>
      <c r="ACA9" s="390"/>
      <c r="ACB9" s="390"/>
      <c r="ACC9" s="390"/>
      <c r="ACD9" s="390"/>
      <c r="ACE9" s="390"/>
      <c r="ACF9" s="390"/>
      <c r="ACG9" s="390"/>
      <c r="ACH9" s="390"/>
      <c r="ACI9" s="390"/>
    </row>
    <row r="10" spans="1:763" ht="13.95" customHeight="1" x14ac:dyDescent="0.3">
      <c r="A10" s="390" t="str">
        <f>Проект!$A$66</f>
        <v>Питание гостей</v>
      </c>
      <c r="B10" s="394"/>
      <c r="C10" s="395"/>
      <c r="D10" s="390"/>
      <c r="E10" s="390"/>
      <c r="F10" s="390"/>
      <c r="G10" s="390"/>
      <c r="H10" s="396"/>
      <c r="I10" s="390"/>
      <c r="J10" s="390"/>
      <c r="K10" s="390"/>
      <c r="L10" s="390"/>
      <c r="M10" s="390"/>
      <c r="N10" s="390"/>
      <c r="O10" s="390"/>
      <c r="P10" s="390"/>
      <c r="Q10" s="390"/>
      <c r="R10" s="390"/>
      <c r="S10" s="390"/>
      <c r="T10" s="390"/>
      <c r="U10" s="390"/>
      <c r="V10" s="390"/>
      <c r="W10" s="390"/>
      <c r="X10" s="390"/>
      <c r="Y10" s="390"/>
      <c r="Z10" s="390"/>
      <c r="AA10" s="390"/>
      <c r="AB10" s="390"/>
      <c r="AC10" s="390"/>
      <c r="AD10" s="390"/>
      <c r="AE10" s="390"/>
      <c r="AF10" s="390"/>
      <c r="AG10" s="390"/>
      <c r="AH10" s="390"/>
      <c r="AI10" s="390"/>
      <c r="AJ10" s="390"/>
      <c r="AK10" s="390"/>
      <c r="AL10" s="390"/>
      <c r="AM10" s="390"/>
      <c r="AN10" s="390"/>
      <c r="AO10" s="390"/>
      <c r="AP10" s="390"/>
      <c r="AQ10" s="390"/>
      <c r="AR10" s="390"/>
      <c r="AS10" s="390"/>
      <c r="AT10" s="390"/>
      <c r="AU10" s="390"/>
      <c r="AV10" s="390"/>
      <c r="AW10" s="390"/>
      <c r="AX10" s="390"/>
      <c r="AY10" s="390"/>
      <c r="AZ10" s="390"/>
      <c r="BA10" s="390"/>
      <c r="BB10" s="390"/>
      <c r="BC10" s="390"/>
      <c r="BD10" s="390"/>
      <c r="BE10" s="390"/>
      <c r="BF10" s="390"/>
      <c r="BG10" s="390"/>
      <c r="BH10" s="390"/>
      <c r="BI10" s="390"/>
      <c r="BJ10" s="390"/>
      <c r="BK10" s="390"/>
      <c r="BL10" s="390"/>
      <c r="BM10" s="390"/>
      <c r="BN10" s="390"/>
      <c r="BO10" s="390"/>
      <c r="BP10" s="390"/>
      <c r="BQ10" s="390"/>
      <c r="BR10" s="390"/>
      <c r="BS10" s="390"/>
      <c r="BT10" s="390"/>
      <c r="BU10" s="390"/>
      <c r="BV10" s="390"/>
      <c r="BW10" s="390"/>
      <c r="BX10" s="390"/>
      <c r="BY10" s="390"/>
      <c r="BZ10" s="390"/>
      <c r="CA10" s="390"/>
      <c r="CB10" s="390"/>
      <c r="CC10" s="390"/>
      <c r="CD10" s="390"/>
      <c r="CE10" s="390"/>
      <c r="CF10" s="390"/>
      <c r="CG10" s="390"/>
      <c r="CH10" s="390"/>
      <c r="CI10" s="390"/>
      <c r="CJ10" s="390"/>
      <c r="CK10" s="390"/>
      <c r="CL10" s="390"/>
      <c r="CM10" s="390"/>
      <c r="CN10" s="390"/>
      <c r="CO10" s="390"/>
      <c r="CP10" s="390"/>
      <c r="CQ10" s="390"/>
      <c r="CR10" s="390"/>
      <c r="CS10" s="390"/>
      <c r="CT10" s="390"/>
      <c r="CU10" s="390"/>
      <c r="CV10" s="390"/>
      <c r="CW10" s="390"/>
      <c r="CX10" s="390"/>
      <c r="CY10" s="390"/>
      <c r="CZ10" s="390"/>
      <c r="DA10" s="390"/>
      <c r="DB10" s="390"/>
      <c r="DC10" s="390"/>
      <c r="DD10" s="390"/>
      <c r="DE10" s="390"/>
      <c r="DF10" s="390"/>
      <c r="DG10" s="390"/>
      <c r="DH10" s="390"/>
      <c r="DI10" s="390"/>
      <c r="DJ10" s="390"/>
      <c r="DK10" s="390"/>
      <c r="DL10" s="390"/>
      <c r="DM10" s="390"/>
      <c r="DN10" s="390"/>
      <c r="DO10" s="390"/>
      <c r="DP10" s="390"/>
      <c r="DQ10" s="390"/>
      <c r="DR10" s="390"/>
      <c r="DS10" s="390"/>
      <c r="DT10" s="390"/>
      <c r="DU10" s="390"/>
      <c r="DV10" s="390"/>
      <c r="DW10" s="390"/>
      <c r="DX10" s="390"/>
      <c r="DY10" s="390"/>
      <c r="DZ10" s="390"/>
      <c r="EA10" s="390"/>
      <c r="EB10" s="390"/>
      <c r="EC10" s="390"/>
      <c r="ED10" s="390"/>
      <c r="EE10" s="390"/>
      <c r="EF10" s="390"/>
      <c r="EG10" s="390"/>
      <c r="EH10" s="390"/>
      <c r="EI10" s="390"/>
      <c r="EJ10" s="390"/>
      <c r="EK10" s="390"/>
      <c r="EL10" s="390"/>
      <c r="EM10" s="390"/>
      <c r="EN10" s="390"/>
      <c r="EO10" s="390"/>
      <c r="EP10" s="390"/>
      <c r="EQ10" s="390"/>
      <c r="ER10" s="390"/>
      <c r="ES10" s="390"/>
      <c r="ET10" s="390"/>
      <c r="EU10" s="390"/>
      <c r="EV10" s="390"/>
      <c r="EW10" s="390"/>
      <c r="EX10" s="390"/>
      <c r="EY10" s="390"/>
      <c r="EZ10" s="390"/>
      <c r="FA10" s="390"/>
      <c r="FB10" s="390"/>
      <c r="FC10" s="390"/>
      <c r="FD10" s="390"/>
      <c r="FE10" s="390"/>
      <c r="FF10" s="390"/>
      <c r="FG10" s="390"/>
      <c r="FH10" s="390"/>
      <c r="FI10" s="390"/>
      <c r="FJ10" s="390"/>
      <c r="FK10" s="390"/>
      <c r="FL10" s="390"/>
      <c r="FM10" s="390"/>
      <c r="FN10" s="390"/>
      <c r="FO10" s="390"/>
      <c r="FP10" s="390"/>
      <c r="FQ10" s="390"/>
      <c r="FR10" s="390"/>
      <c r="FS10" s="390"/>
      <c r="FT10" s="390"/>
      <c r="FU10" s="390"/>
      <c r="FV10" s="390"/>
      <c r="FW10" s="390"/>
      <c r="FX10" s="390"/>
      <c r="FY10" s="390"/>
      <c r="FZ10" s="390"/>
      <c r="GA10" s="390"/>
      <c r="GB10" s="390"/>
      <c r="GC10" s="390"/>
      <c r="GD10" s="390"/>
      <c r="GE10" s="390"/>
      <c r="GF10" s="390"/>
      <c r="GG10" s="390"/>
      <c r="GH10" s="390"/>
      <c r="GI10" s="390"/>
      <c r="GJ10" s="390"/>
      <c r="GK10" s="390"/>
      <c r="GL10" s="390"/>
      <c r="GM10" s="390"/>
      <c r="GN10" s="390"/>
      <c r="GO10" s="390"/>
      <c r="GP10" s="390"/>
      <c r="GQ10" s="390"/>
      <c r="GR10" s="390"/>
      <c r="GS10" s="390"/>
      <c r="GT10" s="390"/>
      <c r="GU10" s="390"/>
      <c r="GV10" s="390"/>
      <c r="GW10" s="390"/>
      <c r="GX10" s="390"/>
      <c r="GY10" s="390"/>
      <c r="GZ10" s="390"/>
      <c r="HA10" s="390"/>
      <c r="HB10" s="390"/>
      <c r="HC10" s="390"/>
      <c r="HD10" s="390"/>
      <c r="HE10" s="390"/>
      <c r="HF10" s="390"/>
      <c r="HG10" s="390"/>
      <c r="HH10" s="390"/>
      <c r="HI10" s="390"/>
      <c r="HJ10" s="390"/>
      <c r="HK10" s="390"/>
      <c r="HL10" s="390"/>
      <c r="HM10" s="390"/>
      <c r="HN10" s="390"/>
      <c r="HO10" s="390"/>
      <c r="HP10" s="390"/>
      <c r="HQ10" s="390"/>
      <c r="HR10" s="390"/>
      <c r="HS10" s="390"/>
      <c r="HT10" s="390"/>
      <c r="HU10" s="390"/>
      <c r="HV10" s="390"/>
      <c r="HW10" s="390"/>
      <c r="HX10" s="390"/>
      <c r="HY10" s="390"/>
      <c r="HZ10" s="390"/>
      <c r="IA10" s="390"/>
      <c r="IB10" s="390"/>
      <c r="IC10" s="390"/>
      <c r="ID10" s="390"/>
      <c r="IE10" s="390"/>
      <c r="IF10" s="390"/>
      <c r="IG10" s="390"/>
      <c r="IH10" s="390"/>
      <c r="II10" s="390"/>
      <c r="IJ10" s="390"/>
      <c r="IK10" s="390"/>
      <c r="IL10" s="390"/>
      <c r="IM10" s="390"/>
      <c r="IN10" s="390"/>
      <c r="IO10" s="390"/>
      <c r="IP10" s="390"/>
      <c r="IQ10" s="390"/>
      <c r="IR10" s="390"/>
      <c r="IS10" s="390"/>
      <c r="IT10" s="390"/>
      <c r="IU10" s="390"/>
      <c r="IV10" s="390"/>
      <c r="IW10" s="390"/>
      <c r="IX10" s="390"/>
      <c r="IY10" s="390"/>
      <c r="IZ10" s="390"/>
      <c r="JA10" s="390"/>
      <c r="JB10" s="390"/>
      <c r="JC10" s="390"/>
      <c r="JD10" s="390"/>
      <c r="JE10" s="390"/>
      <c r="JF10" s="390"/>
      <c r="JG10" s="390"/>
      <c r="JH10" s="390"/>
      <c r="JI10" s="390"/>
      <c r="JJ10" s="390"/>
      <c r="JK10" s="390"/>
      <c r="JL10" s="390"/>
      <c r="JM10" s="390"/>
      <c r="JN10" s="390"/>
      <c r="JO10" s="390"/>
      <c r="JP10" s="390"/>
      <c r="JQ10" s="390"/>
      <c r="JR10" s="390"/>
      <c r="JS10" s="390"/>
      <c r="JT10" s="390"/>
      <c r="JU10" s="390"/>
      <c r="JV10" s="390"/>
      <c r="JW10" s="390"/>
      <c r="JX10" s="390"/>
      <c r="JY10" s="390"/>
      <c r="JZ10" s="390"/>
      <c r="KA10" s="390"/>
      <c r="KB10" s="390"/>
      <c r="KC10" s="390"/>
      <c r="KD10" s="390"/>
      <c r="KE10" s="390"/>
      <c r="KF10" s="390"/>
      <c r="KG10" s="390"/>
      <c r="KH10" s="390"/>
      <c r="KI10" s="390"/>
      <c r="KJ10" s="390"/>
      <c r="KK10" s="390"/>
      <c r="KL10" s="390"/>
      <c r="KM10" s="390"/>
      <c r="KN10" s="390"/>
      <c r="KO10" s="390"/>
      <c r="KP10" s="390"/>
      <c r="KQ10" s="390"/>
      <c r="KR10" s="390"/>
      <c r="KS10" s="390"/>
      <c r="KT10" s="390"/>
      <c r="KU10" s="390"/>
      <c r="KV10" s="390"/>
      <c r="KW10" s="390"/>
      <c r="KX10" s="390"/>
      <c r="KY10" s="390"/>
      <c r="KZ10" s="390"/>
      <c r="LA10" s="390"/>
      <c r="LB10" s="390"/>
      <c r="LC10" s="390"/>
      <c r="LD10" s="390"/>
      <c r="LE10" s="390"/>
      <c r="LF10" s="390"/>
      <c r="LG10" s="390"/>
      <c r="LH10" s="390"/>
      <c r="LI10" s="390"/>
      <c r="LJ10" s="390"/>
      <c r="LK10" s="390"/>
      <c r="LL10" s="390"/>
      <c r="LM10" s="390"/>
      <c r="LN10" s="390"/>
      <c r="LO10" s="390"/>
      <c r="LP10" s="390"/>
      <c r="LQ10" s="390"/>
      <c r="LR10" s="390"/>
      <c r="LS10" s="390"/>
      <c r="LT10" s="390"/>
      <c r="LU10" s="390"/>
      <c r="LV10" s="390"/>
      <c r="LW10" s="390"/>
      <c r="LX10" s="390"/>
      <c r="LY10" s="390"/>
      <c r="LZ10" s="390"/>
      <c r="MA10" s="390"/>
      <c r="MB10" s="390"/>
      <c r="MC10" s="390"/>
      <c r="MD10" s="390"/>
      <c r="ME10" s="390"/>
      <c r="MF10" s="390"/>
      <c r="MG10" s="390"/>
      <c r="MH10" s="390"/>
      <c r="MI10" s="390"/>
      <c r="MJ10" s="390"/>
      <c r="MK10" s="390"/>
      <c r="ML10" s="390"/>
      <c r="MM10" s="390"/>
      <c r="MN10" s="390"/>
      <c r="MO10" s="390"/>
      <c r="MP10" s="390"/>
      <c r="MQ10" s="390"/>
      <c r="MR10" s="390"/>
      <c r="MS10" s="390"/>
      <c r="MT10" s="390"/>
      <c r="MU10" s="390"/>
      <c r="MV10" s="390"/>
      <c r="MW10" s="390"/>
      <c r="MX10" s="390"/>
      <c r="MY10" s="390"/>
      <c r="MZ10" s="390"/>
      <c r="NA10" s="390"/>
      <c r="NB10" s="390"/>
      <c r="NC10" s="390"/>
      <c r="ND10" s="390"/>
      <c r="NE10" s="390"/>
      <c r="NF10" s="390"/>
      <c r="NG10" s="390"/>
      <c r="NH10" s="390"/>
      <c r="NI10" s="390"/>
      <c r="NJ10" s="390"/>
      <c r="NK10" s="390"/>
      <c r="NL10" s="390"/>
      <c r="NM10" s="390"/>
      <c r="NN10" s="390"/>
      <c r="NO10" s="390"/>
      <c r="NP10" s="390"/>
      <c r="NQ10" s="390"/>
      <c r="NR10" s="390"/>
      <c r="NS10" s="390"/>
      <c r="NT10" s="390"/>
      <c r="NU10" s="390"/>
      <c r="NV10" s="390"/>
      <c r="NW10" s="390"/>
      <c r="NX10" s="390"/>
      <c r="NY10" s="390"/>
      <c r="NZ10" s="390"/>
      <c r="OA10" s="390"/>
      <c r="OB10" s="390"/>
      <c r="OC10" s="390"/>
      <c r="OD10" s="390"/>
      <c r="OE10" s="390"/>
      <c r="OF10" s="390"/>
      <c r="OG10" s="390"/>
      <c r="OH10" s="390"/>
      <c r="OI10" s="390"/>
      <c r="OJ10" s="390"/>
      <c r="OK10" s="390"/>
      <c r="OL10" s="390"/>
      <c r="OM10" s="390"/>
      <c r="ON10" s="390"/>
      <c r="OO10" s="390"/>
      <c r="OP10" s="390"/>
      <c r="OQ10" s="390"/>
      <c r="OR10" s="390"/>
      <c r="OS10" s="390"/>
      <c r="OT10" s="390"/>
      <c r="OU10" s="390"/>
      <c r="OV10" s="390"/>
      <c r="OW10" s="390"/>
      <c r="OX10" s="390"/>
      <c r="OY10" s="390"/>
      <c r="OZ10" s="390"/>
      <c r="PA10" s="390"/>
      <c r="PB10" s="390"/>
      <c r="PC10" s="390"/>
      <c r="PD10" s="390"/>
      <c r="PE10" s="390"/>
      <c r="PF10" s="390"/>
      <c r="PG10" s="390"/>
      <c r="PH10" s="390"/>
      <c r="PI10" s="390"/>
      <c r="PJ10" s="390"/>
      <c r="PK10" s="390"/>
      <c r="PL10" s="390"/>
      <c r="PM10" s="390"/>
      <c r="PN10" s="390"/>
      <c r="PO10" s="390"/>
      <c r="PP10" s="390"/>
      <c r="PQ10" s="390"/>
      <c r="PR10" s="390"/>
      <c r="PS10" s="390"/>
      <c r="PT10" s="390"/>
      <c r="PU10" s="390"/>
      <c r="PV10" s="390"/>
      <c r="PW10" s="390"/>
      <c r="PX10" s="390"/>
      <c r="PY10" s="390"/>
      <c r="PZ10" s="390"/>
      <c r="QA10" s="390"/>
      <c r="QB10" s="390"/>
      <c r="QC10" s="390"/>
      <c r="QD10" s="390"/>
      <c r="QE10" s="390"/>
      <c r="QF10" s="390"/>
      <c r="QG10" s="390"/>
      <c r="QH10" s="390"/>
      <c r="QI10" s="390"/>
      <c r="QJ10" s="390"/>
      <c r="QK10" s="390"/>
      <c r="QL10" s="390"/>
      <c r="QM10" s="390"/>
      <c r="QN10" s="390"/>
      <c r="QO10" s="390"/>
      <c r="QP10" s="390"/>
      <c r="QQ10" s="390"/>
      <c r="QR10" s="390"/>
      <c r="QS10" s="390"/>
      <c r="QT10" s="390"/>
      <c r="QU10" s="390"/>
      <c r="QV10" s="390"/>
      <c r="QW10" s="390"/>
      <c r="QX10" s="390"/>
      <c r="QY10" s="390"/>
      <c r="QZ10" s="390"/>
      <c r="RA10" s="390"/>
      <c r="RB10" s="390"/>
      <c r="RC10" s="390"/>
      <c r="RD10" s="390"/>
      <c r="RE10" s="390"/>
      <c r="RF10" s="390"/>
      <c r="RG10" s="390"/>
      <c r="RH10" s="390"/>
      <c r="RI10" s="390"/>
      <c r="RJ10" s="390"/>
      <c r="RK10" s="390"/>
      <c r="RL10" s="390"/>
      <c r="RM10" s="390"/>
      <c r="RN10" s="390"/>
      <c r="RO10" s="390"/>
      <c r="RP10" s="390"/>
      <c r="RQ10" s="390"/>
      <c r="RR10" s="390"/>
      <c r="RS10" s="390"/>
      <c r="RT10" s="390"/>
      <c r="RU10" s="390"/>
      <c r="RV10" s="390"/>
      <c r="RW10" s="390"/>
      <c r="RX10" s="390"/>
      <c r="RY10" s="390"/>
      <c r="RZ10" s="390"/>
      <c r="SA10" s="390"/>
      <c r="SB10" s="390"/>
      <c r="SC10" s="390"/>
      <c r="SD10" s="390"/>
      <c r="SE10" s="390"/>
      <c r="SF10" s="390"/>
      <c r="SG10" s="390"/>
      <c r="SH10" s="390"/>
      <c r="SI10" s="390"/>
      <c r="SJ10" s="390"/>
      <c r="SK10" s="390"/>
      <c r="SL10" s="390"/>
      <c r="SM10" s="390"/>
      <c r="SN10" s="390"/>
      <c r="SO10" s="390"/>
      <c r="SP10" s="390"/>
      <c r="SQ10" s="390"/>
      <c r="SR10" s="390"/>
      <c r="SS10" s="390"/>
      <c r="ST10" s="390"/>
      <c r="SU10" s="390"/>
      <c r="SV10" s="390"/>
      <c r="SW10" s="390"/>
      <c r="SX10" s="390"/>
      <c r="SY10" s="390"/>
      <c r="SZ10" s="390"/>
      <c r="TA10" s="390"/>
      <c r="TB10" s="390"/>
      <c r="TC10" s="390"/>
      <c r="TD10" s="390"/>
      <c r="TE10" s="390"/>
      <c r="TF10" s="390"/>
      <c r="TG10" s="390"/>
      <c r="TH10" s="390"/>
      <c r="TI10" s="390"/>
      <c r="TJ10" s="390"/>
      <c r="TK10" s="390"/>
      <c r="TL10" s="390"/>
      <c r="TM10" s="390"/>
      <c r="TN10" s="390"/>
      <c r="TO10" s="390"/>
      <c r="TP10" s="390"/>
      <c r="TQ10" s="390"/>
      <c r="TR10" s="390"/>
      <c r="TS10" s="390"/>
      <c r="TT10" s="390"/>
      <c r="TU10" s="390"/>
      <c r="TV10" s="390"/>
      <c r="TW10" s="390"/>
      <c r="TX10" s="390"/>
      <c r="TY10" s="390"/>
      <c r="TZ10" s="390"/>
      <c r="UA10" s="390"/>
      <c r="UB10" s="390"/>
      <c r="UC10" s="390"/>
      <c r="UD10" s="390"/>
      <c r="UE10" s="390"/>
      <c r="UF10" s="390"/>
      <c r="UG10" s="390"/>
      <c r="UH10" s="390"/>
      <c r="UI10" s="390"/>
      <c r="UJ10" s="390"/>
      <c r="UK10" s="390"/>
      <c r="UL10" s="390"/>
      <c r="UM10" s="390"/>
      <c r="UN10" s="390"/>
      <c r="UO10" s="390"/>
      <c r="UP10" s="390"/>
      <c r="UQ10" s="390"/>
      <c r="UR10" s="390"/>
      <c r="US10" s="390"/>
      <c r="UT10" s="390"/>
      <c r="UU10" s="390"/>
      <c r="UV10" s="390"/>
      <c r="UW10" s="390"/>
      <c r="UX10" s="390"/>
      <c r="UY10" s="390"/>
      <c r="UZ10" s="390"/>
      <c r="VA10" s="390"/>
      <c r="VB10" s="390"/>
      <c r="VC10" s="390"/>
      <c r="VD10" s="390"/>
      <c r="VE10" s="390"/>
      <c r="VF10" s="390"/>
      <c r="VG10" s="390"/>
      <c r="VH10" s="390"/>
      <c r="VI10" s="390"/>
      <c r="VJ10" s="390"/>
      <c r="VK10" s="390"/>
      <c r="VL10" s="390"/>
      <c r="VM10" s="390"/>
      <c r="VN10" s="390"/>
      <c r="VO10" s="390"/>
      <c r="VP10" s="390"/>
      <c r="VQ10" s="390"/>
      <c r="VR10" s="390"/>
      <c r="VS10" s="390"/>
      <c r="VT10" s="390"/>
      <c r="VU10" s="390"/>
      <c r="VV10" s="390"/>
      <c r="VW10" s="390"/>
      <c r="VX10" s="390"/>
      <c r="VY10" s="390"/>
      <c r="VZ10" s="390"/>
      <c r="WA10" s="390"/>
      <c r="WB10" s="390"/>
      <c r="WC10" s="390"/>
      <c r="WD10" s="390"/>
      <c r="WE10" s="390"/>
      <c r="WF10" s="390"/>
      <c r="WG10" s="390"/>
      <c r="WH10" s="390"/>
      <c r="WI10" s="390"/>
      <c r="WJ10" s="390"/>
      <c r="WK10" s="390"/>
      <c r="WL10" s="390"/>
      <c r="WM10" s="390"/>
      <c r="WN10" s="390"/>
      <c r="WO10" s="390"/>
      <c r="WP10" s="390"/>
      <c r="WQ10" s="390"/>
      <c r="WR10" s="390"/>
      <c r="WS10" s="390"/>
      <c r="WT10" s="390"/>
      <c r="WU10" s="390"/>
      <c r="WV10" s="390"/>
      <c r="WW10" s="390"/>
      <c r="WX10" s="390"/>
      <c r="WY10" s="390"/>
      <c r="WZ10" s="390"/>
      <c r="XA10" s="390"/>
      <c r="XB10" s="390"/>
      <c r="XC10" s="390"/>
      <c r="XD10" s="390"/>
      <c r="XE10" s="390"/>
      <c r="XF10" s="390"/>
      <c r="XG10" s="390"/>
      <c r="XH10" s="390"/>
      <c r="XI10" s="390"/>
      <c r="XJ10" s="390"/>
      <c r="XK10" s="390"/>
      <c r="XL10" s="390"/>
      <c r="XM10" s="390"/>
      <c r="XN10" s="390"/>
      <c r="XO10" s="390"/>
      <c r="XP10" s="390"/>
      <c r="XQ10" s="390"/>
      <c r="XR10" s="390"/>
      <c r="XS10" s="390"/>
      <c r="XT10" s="390"/>
      <c r="XU10" s="390"/>
      <c r="XV10" s="390"/>
      <c r="XW10" s="390"/>
      <c r="XX10" s="390"/>
      <c r="XY10" s="390"/>
      <c r="XZ10" s="390"/>
      <c r="YA10" s="390"/>
      <c r="YB10" s="390"/>
      <c r="YC10" s="390"/>
      <c r="YD10" s="390"/>
      <c r="YE10" s="390"/>
      <c r="YF10" s="390"/>
      <c r="YG10" s="390"/>
      <c r="YH10" s="390"/>
      <c r="YI10" s="390"/>
      <c r="YJ10" s="390"/>
      <c r="YK10" s="390"/>
      <c r="YL10" s="390"/>
      <c r="YM10" s="390"/>
      <c r="YN10" s="390"/>
      <c r="YO10" s="390"/>
      <c r="YP10" s="390"/>
      <c r="YQ10" s="390"/>
      <c r="YR10" s="390"/>
      <c r="YS10" s="390"/>
      <c r="YT10" s="390"/>
      <c r="YU10" s="390"/>
      <c r="YV10" s="390"/>
      <c r="YW10" s="390"/>
      <c r="YX10" s="390"/>
      <c r="YY10" s="390"/>
      <c r="YZ10" s="390"/>
      <c r="ZA10" s="390"/>
      <c r="ZB10" s="390"/>
      <c r="ZC10" s="390"/>
      <c r="ZD10" s="390"/>
      <c r="ZE10" s="390"/>
      <c r="ZF10" s="390"/>
      <c r="ZG10" s="390"/>
      <c r="ZH10" s="390"/>
      <c r="ZI10" s="390"/>
      <c r="ZJ10" s="390"/>
      <c r="ZK10" s="390"/>
      <c r="ZL10" s="390"/>
      <c r="ZM10" s="390"/>
      <c r="ZN10" s="390"/>
      <c r="ZO10" s="390"/>
      <c r="ZP10" s="390"/>
      <c r="ZQ10" s="390"/>
      <c r="ZR10" s="390"/>
      <c r="ZS10" s="390"/>
      <c r="ZT10" s="390"/>
      <c r="ZU10" s="390"/>
      <c r="ZV10" s="390"/>
      <c r="ZW10" s="390"/>
      <c r="ZX10" s="390"/>
      <c r="ZY10" s="390"/>
      <c r="ZZ10" s="390"/>
      <c r="AAA10" s="390"/>
      <c r="AAB10" s="390"/>
      <c r="AAC10" s="390"/>
      <c r="AAD10" s="390"/>
      <c r="AAE10" s="390"/>
      <c r="AAF10" s="390"/>
      <c r="AAG10" s="390"/>
      <c r="AAH10" s="390"/>
      <c r="AAI10" s="390"/>
      <c r="AAJ10" s="390"/>
      <c r="AAK10" s="390"/>
      <c r="AAL10" s="390"/>
      <c r="AAM10" s="390"/>
      <c r="AAN10" s="390"/>
      <c r="AAO10" s="390"/>
      <c r="AAP10" s="390"/>
      <c r="AAQ10" s="390"/>
      <c r="AAR10" s="390"/>
      <c r="AAS10" s="390"/>
      <c r="AAT10" s="390"/>
      <c r="AAU10" s="390"/>
      <c r="AAV10" s="390"/>
      <c r="AAW10" s="390"/>
      <c r="AAX10" s="390"/>
      <c r="AAY10" s="390"/>
      <c r="AAZ10" s="390"/>
      <c r="ABA10" s="390"/>
      <c r="ABB10" s="390"/>
      <c r="ABC10" s="390"/>
      <c r="ABD10" s="390"/>
      <c r="ABE10" s="390"/>
      <c r="ABF10" s="390"/>
      <c r="ABG10" s="390"/>
      <c r="ABH10" s="390"/>
      <c r="ABI10" s="390"/>
      <c r="ABJ10" s="390"/>
      <c r="ABK10" s="390"/>
      <c r="ABL10" s="390"/>
      <c r="ABM10" s="390"/>
      <c r="ABN10" s="390"/>
      <c r="ABO10" s="390"/>
      <c r="ABP10" s="390"/>
      <c r="ABQ10" s="390"/>
      <c r="ABR10" s="390"/>
      <c r="ABS10" s="390"/>
      <c r="ABT10" s="390"/>
      <c r="ABU10" s="390"/>
      <c r="ABV10" s="390"/>
      <c r="ABW10" s="390"/>
      <c r="ABX10" s="390"/>
      <c r="ABY10" s="390"/>
      <c r="ABZ10" s="390"/>
      <c r="ACA10" s="390"/>
      <c r="ACB10" s="390"/>
      <c r="ACC10" s="390"/>
      <c r="ACD10" s="390"/>
      <c r="ACE10" s="390"/>
      <c r="ACF10" s="390"/>
      <c r="ACG10" s="390"/>
      <c r="ACH10" s="390"/>
      <c r="ACI10" s="390"/>
    </row>
    <row r="11" spans="1:763" ht="13.95" customHeight="1" x14ac:dyDescent="0.3">
      <c r="A11" s="397" t="str">
        <f ca="1">Проект!$A$67</f>
        <v>объем продаж за период</v>
      </c>
      <c r="B11" s="394"/>
      <c r="C11" s="398" t="str">
        <f>Проект!$C$67</f>
        <v>ед.</v>
      </c>
      <c r="D11" s="399">
        <f>SUM(Проект!$G$67:$R$67)</f>
        <v>7200</v>
      </c>
      <c r="E11" s="399">
        <f>SUM(Проект!$S$67:$AD$67)</f>
        <v>19920</v>
      </c>
      <c r="F11" s="399">
        <f>SUM(Проект!$AE$67:$AP$67)</f>
        <v>19920</v>
      </c>
      <c r="G11" s="399">
        <f>SUM(Проект!$AQ$67:$BB$67)</f>
        <v>19920</v>
      </c>
      <c r="H11" s="392">
        <f>Проект!$BD$67</f>
        <v>66960</v>
      </c>
      <c r="I11" s="390"/>
      <c r="J11" s="390"/>
      <c r="K11" s="390"/>
      <c r="L11" s="390"/>
      <c r="M11" s="390"/>
      <c r="N11" s="390"/>
      <c r="O11" s="390"/>
      <c r="P11" s="390"/>
      <c r="Q11" s="390"/>
      <c r="R11" s="390"/>
      <c r="S11" s="390"/>
      <c r="T11" s="390"/>
      <c r="U11" s="390"/>
      <c r="V11" s="390"/>
      <c r="W11" s="390"/>
      <c r="X11" s="390"/>
      <c r="Y11" s="390"/>
      <c r="Z11" s="390"/>
      <c r="AA11" s="390"/>
      <c r="AB11" s="390"/>
      <c r="AC11" s="390"/>
      <c r="AD11" s="390"/>
      <c r="AE11" s="390"/>
      <c r="AF11" s="390"/>
      <c r="AG11" s="390"/>
      <c r="AH11" s="390"/>
      <c r="AI11" s="390"/>
      <c r="AJ11" s="390"/>
      <c r="AK11" s="390"/>
      <c r="AL11" s="390"/>
      <c r="AM11" s="390"/>
      <c r="AN11" s="390"/>
      <c r="AO11" s="390"/>
      <c r="AP11" s="390"/>
      <c r="AQ11" s="390"/>
      <c r="AR11" s="390"/>
      <c r="AS11" s="390"/>
      <c r="AT11" s="390"/>
      <c r="AU11" s="390"/>
      <c r="AV11" s="390"/>
      <c r="AW11" s="390"/>
      <c r="AX11" s="390"/>
      <c r="AY11" s="390"/>
      <c r="AZ11" s="390"/>
      <c r="BA11" s="390"/>
      <c r="BB11" s="390"/>
      <c r="BC11" s="390"/>
      <c r="BD11" s="390"/>
      <c r="BE11" s="390"/>
      <c r="BF11" s="390"/>
      <c r="BG11" s="390"/>
      <c r="BH11" s="390"/>
      <c r="BI11" s="390"/>
      <c r="BJ11" s="390"/>
      <c r="BK11" s="390"/>
      <c r="BL11" s="390"/>
      <c r="BM11" s="390"/>
      <c r="BN11" s="390"/>
      <c r="BO11" s="390"/>
      <c r="BP11" s="390"/>
      <c r="BQ11" s="390"/>
      <c r="BR11" s="390"/>
      <c r="BS11" s="390"/>
      <c r="BT11" s="390"/>
      <c r="BU11" s="390"/>
      <c r="BV11" s="390"/>
      <c r="BW11" s="390"/>
      <c r="BX11" s="390"/>
      <c r="BY11" s="390"/>
      <c r="BZ11" s="390"/>
      <c r="CA11" s="390"/>
      <c r="CB11" s="390"/>
      <c r="CC11" s="390"/>
      <c r="CD11" s="390"/>
      <c r="CE11" s="390"/>
      <c r="CF11" s="390"/>
      <c r="CG11" s="390"/>
      <c r="CH11" s="390"/>
      <c r="CI11" s="390"/>
      <c r="CJ11" s="390"/>
      <c r="CK11" s="390"/>
      <c r="CL11" s="390"/>
      <c r="CM11" s="390"/>
      <c r="CN11" s="390"/>
      <c r="CO11" s="390"/>
      <c r="CP11" s="390"/>
      <c r="CQ11" s="390"/>
      <c r="CR11" s="390"/>
      <c r="CS11" s="390"/>
      <c r="CT11" s="390"/>
      <c r="CU11" s="390"/>
      <c r="CV11" s="390"/>
      <c r="CW11" s="390"/>
      <c r="CX11" s="390"/>
      <c r="CY11" s="390"/>
      <c r="CZ11" s="390"/>
      <c r="DA11" s="390"/>
      <c r="DB11" s="390"/>
      <c r="DC11" s="390"/>
      <c r="DD11" s="390"/>
      <c r="DE11" s="390"/>
      <c r="DF11" s="390"/>
      <c r="DG11" s="390"/>
      <c r="DH11" s="390"/>
      <c r="DI11" s="390"/>
      <c r="DJ11" s="390"/>
      <c r="DK11" s="390"/>
      <c r="DL11" s="390"/>
      <c r="DM11" s="390"/>
      <c r="DN11" s="390"/>
      <c r="DO11" s="390"/>
      <c r="DP11" s="390"/>
      <c r="DQ11" s="390"/>
      <c r="DR11" s="390"/>
      <c r="DS11" s="390"/>
      <c r="DT11" s="390"/>
      <c r="DU11" s="390"/>
      <c r="DV11" s="390"/>
      <c r="DW11" s="390"/>
      <c r="DX11" s="390"/>
      <c r="DY11" s="390"/>
      <c r="DZ11" s="390"/>
      <c r="EA11" s="390"/>
      <c r="EB11" s="390"/>
      <c r="EC11" s="390"/>
      <c r="ED11" s="390"/>
      <c r="EE11" s="390"/>
      <c r="EF11" s="390"/>
      <c r="EG11" s="390"/>
      <c r="EH11" s="390"/>
      <c r="EI11" s="390"/>
      <c r="EJ11" s="390"/>
      <c r="EK11" s="390"/>
      <c r="EL11" s="390"/>
      <c r="EM11" s="390"/>
      <c r="EN11" s="390"/>
      <c r="EO11" s="390"/>
      <c r="EP11" s="390"/>
      <c r="EQ11" s="390"/>
      <c r="ER11" s="390"/>
      <c r="ES11" s="390"/>
      <c r="ET11" s="390"/>
      <c r="EU11" s="390"/>
      <c r="EV11" s="390"/>
      <c r="EW11" s="390"/>
      <c r="EX11" s="390"/>
      <c r="EY11" s="390"/>
      <c r="EZ11" s="390"/>
      <c r="FA11" s="390"/>
      <c r="FB11" s="390"/>
      <c r="FC11" s="390"/>
      <c r="FD11" s="390"/>
      <c r="FE11" s="390"/>
      <c r="FF11" s="390"/>
      <c r="FG11" s="390"/>
      <c r="FH11" s="390"/>
      <c r="FI11" s="390"/>
      <c r="FJ11" s="390"/>
      <c r="FK11" s="390"/>
      <c r="FL11" s="390"/>
      <c r="FM11" s="390"/>
      <c r="FN11" s="390"/>
      <c r="FO11" s="390"/>
      <c r="FP11" s="390"/>
      <c r="FQ11" s="390"/>
      <c r="FR11" s="390"/>
      <c r="FS11" s="390"/>
      <c r="FT11" s="390"/>
      <c r="FU11" s="390"/>
      <c r="FV11" s="390"/>
      <c r="FW11" s="390"/>
      <c r="FX11" s="390"/>
      <c r="FY11" s="390"/>
      <c r="FZ11" s="390"/>
      <c r="GA11" s="390"/>
      <c r="GB11" s="390"/>
      <c r="GC11" s="390"/>
      <c r="GD11" s="390"/>
      <c r="GE11" s="390"/>
      <c r="GF11" s="390"/>
      <c r="GG11" s="390"/>
      <c r="GH11" s="390"/>
      <c r="GI11" s="390"/>
      <c r="GJ11" s="390"/>
      <c r="GK11" s="390"/>
      <c r="GL11" s="390"/>
      <c r="GM11" s="390"/>
      <c r="GN11" s="390"/>
      <c r="GO11" s="390"/>
      <c r="GP11" s="390"/>
      <c r="GQ11" s="390"/>
      <c r="GR11" s="390"/>
      <c r="GS11" s="390"/>
      <c r="GT11" s="390"/>
      <c r="GU11" s="390"/>
      <c r="GV11" s="390"/>
      <c r="GW11" s="390"/>
      <c r="GX11" s="390"/>
      <c r="GY11" s="390"/>
      <c r="GZ11" s="390"/>
      <c r="HA11" s="390"/>
      <c r="HB11" s="390"/>
      <c r="HC11" s="390"/>
      <c r="HD11" s="390"/>
      <c r="HE11" s="390"/>
      <c r="HF11" s="390"/>
      <c r="HG11" s="390"/>
      <c r="HH11" s="390"/>
      <c r="HI11" s="390"/>
      <c r="HJ11" s="390"/>
      <c r="HK11" s="390"/>
      <c r="HL11" s="390"/>
      <c r="HM11" s="390"/>
      <c r="HN11" s="390"/>
      <c r="HO11" s="390"/>
      <c r="HP11" s="390"/>
      <c r="HQ11" s="390"/>
      <c r="HR11" s="390"/>
      <c r="HS11" s="390"/>
      <c r="HT11" s="390"/>
      <c r="HU11" s="390"/>
      <c r="HV11" s="390"/>
      <c r="HW11" s="390"/>
      <c r="HX11" s="390"/>
      <c r="HY11" s="390"/>
      <c r="HZ11" s="390"/>
      <c r="IA11" s="390"/>
      <c r="IB11" s="390"/>
      <c r="IC11" s="390"/>
      <c r="ID11" s="390"/>
      <c r="IE11" s="390"/>
      <c r="IF11" s="390"/>
      <c r="IG11" s="390"/>
      <c r="IH11" s="390"/>
      <c r="II11" s="390"/>
      <c r="IJ11" s="390"/>
      <c r="IK11" s="390"/>
      <c r="IL11" s="390"/>
      <c r="IM11" s="390"/>
      <c r="IN11" s="390"/>
      <c r="IO11" s="390"/>
      <c r="IP11" s="390"/>
      <c r="IQ11" s="390"/>
      <c r="IR11" s="390"/>
      <c r="IS11" s="390"/>
      <c r="IT11" s="390"/>
      <c r="IU11" s="390"/>
      <c r="IV11" s="390"/>
      <c r="IW11" s="390"/>
      <c r="IX11" s="390"/>
      <c r="IY11" s="390"/>
      <c r="IZ11" s="390"/>
      <c r="JA11" s="390"/>
      <c r="JB11" s="390"/>
      <c r="JC11" s="390"/>
      <c r="JD11" s="390"/>
      <c r="JE11" s="390"/>
      <c r="JF11" s="390"/>
      <c r="JG11" s="390"/>
      <c r="JH11" s="390"/>
      <c r="JI11" s="390"/>
      <c r="JJ11" s="390"/>
      <c r="JK11" s="390"/>
      <c r="JL11" s="390"/>
      <c r="JM11" s="390"/>
      <c r="JN11" s="390"/>
      <c r="JO11" s="390"/>
      <c r="JP11" s="390"/>
      <c r="JQ11" s="390"/>
      <c r="JR11" s="390"/>
      <c r="JS11" s="390"/>
      <c r="JT11" s="390"/>
      <c r="JU11" s="390"/>
      <c r="JV11" s="390"/>
      <c r="JW11" s="390"/>
      <c r="JX11" s="390"/>
      <c r="JY11" s="390"/>
      <c r="JZ11" s="390"/>
      <c r="KA11" s="390"/>
      <c r="KB11" s="390"/>
      <c r="KC11" s="390"/>
      <c r="KD11" s="390"/>
      <c r="KE11" s="390"/>
      <c r="KF11" s="390"/>
      <c r="KG11" s="390"/>
      <c r="KH11" s="390"/>
      <c r="KI11" s="390"/>
      <c r="KJ11" s="390"/>
      <c r="KK11" s="390"/>
      <c r="KL11" s="390"/>
      <c r="KM11" s="390"/>
      <c r="KN11" s="390"/>
      <c r="KO11" s="390"/>
      <c r="KP11" s="390"/>
      <c r="KQ11" s="390"/>
      <c r="KR11" s="390"/>
      <c r="KS11" s="390"/>
      <c r="KT11" s="390"/>
      <c r="KU11" s="390"/>
      <c r="KV11" s="390"/>
      <c r="KW11" s="390"/>
      <c r="KX11" s="390"/>
      <c r="KY11" s="390"/>
      <c r="KZ11" s="390"/>
      <c r="LA11" s="390"/>
      <c r="LB11" s="390"/>
      <c r="LC11" s="390"/>
      <c r="LD11" s="390"/>
      <c r="LE11" s="390"/>
      <c r="LF11" s="390"/>
      <c r="LG11" s="390"/>
      <c r="LH11" s="390"/>
      <c r="LI11" s="390"/>
      <c r="LJ11" s="390"/>
      <c r="LK11" s="390"/>
      <c r="LL11" s="390"/>
      <c r="LM11" s="390"/>
      <c r="LN11" s="390"/>
      <c r="LO11" s="390"/>
      <c r="LP11" s="390"/>
      <c r="LQ11" s="390"/>
      <c r="LR11" s="390"/>
      <c r="LS11" s="390"/>
      <c r="LT11" s="390"/>
      <c r="LU11" s="390"/>
      <c r="LV11" s="390"/>
      <c r="LW11" s="390"/>
      <c r="LX11" s="390"/>
      <c r="LY11" s="390"/>
      <c r="LZ11" s="390"/>
      <c r="MA11" s="390"/>
      <c r="MB11" s="390"/>
      <c r="MC11" s="390"/>
      <c r="MD11" s="390"/>
      <c r="ME11" s="390"/>
      <c r="MF11" s="390"/>
      <c r="MG11" s="390"/>
      <c r="MH11" s="390"/>
      <c r="MI11" s="390"/>
      <c r="MJ11" s="390"/>
      <c r="MK11" s="390"/>
      <c r="ML11" s="390"/>
      <c r="MM11" s="390"/>
      <c r="MN11" s="390"/>
      <c r="MO11" s="390"/>
      <c r="MP11" s="390"/>
      <c r="MQ11" s="390"/>
      <c r="MR11" s="390"/>
      <c r="MS11" s="390"/>
      <c r="MT11" s="390"/>
      <c r="MU11" s="390"/>
      <c r="MV11" s="390"/>
      <c r="MW11" s="390"/>
      <c r="MX11" s="390"/>
      <c r="MY11" s="390"/>
      <c r="MZ11" s="390"/>
      <c r="NA11" s="390"/>
      <c r="NB11" s="390"/>
      <c r="NC11" s="390"/>
      <c r="ND11" s="390"/>
      <c r="NE11" s="390"/>
      <c r="NF11" s="390"/>
      <c r="NG11" s="390"/>
      <c r="NH11" s="390"/>
      <c r="NI11" s="390"/>
      <c r="NJ11" s="390"/>
      <c r="NK11" s="390"/>
      <c r="NL11" s="390"/>
      <c r="NM11" s="390"/>
      <c r="NN11" s="390"/>
      <c r="NO11" s="390"/>
      <c r="NP11" s="390"/>
      <c r="NQ11" s="390"/>
      <c r="NR11" s="390"/>
      <c r="NS11" s="390"/>
      <c r="NT11" s="390"/>
      <c r="NU11" s="390"/>
      <c r="NV11" s="390"/>
      <c r="NW11" s="390"/>
      <c r="NX11" s="390"/>
      <c r="NY11" s="390"/>
      <c r="NZ11" s="390"/>
      <c r="OA11" s="390"/>
      <c r="OB11" s="390"/>
      <c r="OC11" s="390"/>
      <c r="OD11" s="390"/>
      <c r="OE11" s="390"/>
      <c r="OF11" s="390"/>
      <c r="OG11" s="390"/>
      <c r="OH11" s="390"/>
      <c r="OI11" s="390"/>
      <c r="OJ11" s="390"/>
      <c r="OK11" s="390"/>
      <c r="OL11" s="390"/>
      <c r="OM11" s="390"/>
      <c r="ON11" s="390"/>
      <c r="OO11" s="390"/>
      <c r="OP11" s="390"/>
      <c r="OQ11" s="390"/>
      <c r="OR11" s="390"/>
      <c r="OS11" s="390"/>
      <c r="OT11" s="390"/>
      <c r="OU11" s="390"/>
      <c r="OV11" s="390"/>
      <c r="OW11" s="390"/>
      <c r="OX11" s="390"/>
      <c r="OY11" s="390"/>
      <c r="OZ11" s="390"/>
      <c r="PA11" s="390"/>
      <c r="PB11" s="390"/>
      <c r="PC11" s="390"/>
      <c r="PD11" s="390"/>
      <c r="PE11" s="390"/>
      <c r="PF11" s="390"/>
      <c r="PG11" s="390"/>
      <c r="PH11" s="390"/>
      <c r="PI11" s="390"/>
      <c r="PJ11" s="390"/>
      <c r="PK11" s="390"/>
      <c r="PL11" s="390"/>
      <c r="PM11" s="390"/>
      <c r="PN11" s="390"/>
      <c r="PO11" s="390"/>
      <c r="PP11" s="390"/>
      <c r="PQ11" s="390"/>
      <c r="PR11" s="390"/>
      <c r="PS11" s="390"/>
      <c r="PT11" s="390"/>
      <c r="PU11" s="390"/>
      <c r="PV11" s="390"/>
      <c r="PW11" s="390"/>
      <c r="PX11" s="390"/>
      <c r="PY11" s="390"/>
      <c r="PZ11" s="390"/>
      <c r="QA11" s="390"/>
      <c r="QB11" s="390"/>
      <c r="QC11" s="390"/>
      <c r="QD11" s="390"/>
      <c r="QE11" s="390"/>
      <c r="QF11" s="390"/>
      <c r="QG11" s="390"/>
      <c r="QH11" s="390"/>
      <c r="QI11" s="390"/>
      <c r="QJ11" s="390"/>
      <c r="QK11" s="390"/>
      <c r="QL11" s="390"/>
      <c r="QM11" s="390"/>
      <c r="QN11" s="390"/>
      <c r="QO11" s="390"/>
      <c r="QP11" s="390"/>
      <c r="QQ11" s="390"/>
      <c r="QR11" s="390"/>
      <c r="QS11" s="390"/>
      <c r="QT11" s="390"/>
      <c r="QU11" s="390"/>
      <c r="QV11" s="390"/>
      <c r="QW11" s="390"/>
      <c r="QX11" s="390"/>
      <c r="QY11" s="390"/>
      <c r="QZ11" s="390"/>
      <c r="RA11" s="390"/>
      <c r="RB11" s="390"/>
      <c r="RC11" s="390"/>
      <c r="RD11" s="390"/>
      <c r="RE11" s="390"/>
      <c r="RF11" s="390"/>
      <c r="RG11" s="390"/>
      <c r="RH11" s="390"/>
      <c r="RI11" s="390"/>
      <c r="RJ11" s="390"/>
      <c r="RK11" s="390"/>
      <c r="RL11" s="390"/>
      <c r="RM11" s="390"/>
      <c r="RN11" s="390"/>
      <c r="RO11" s="390"/>
      <c r="RP11" s="390"/>
      <c r="RQ11" s="390"/>
      <c r="RR11" s="390"/>
      <c r="RS11" s="390"/>
      <c r="RT11" s="390"/>
      <c r="RU11" s="390"/>
      <c r="RV11" s="390"/>
      <c r="RW11" s="390"/>
      <c r="RX11" s="390"/>
      <c r="RY11" s="390"/>
      <c r="RZ11" s="390"/>
      <c r="SA11" s="390"/>
      <c r="SB11" s="390"/>
      <c r="SC11" s="390"/>
      <c r="SD11" s="390"/>
      <c r="SE11" s="390"/>
      <c r="SF11" s="390"/>
      <c r="SG11" s="390"/>
      <c r="SH11" s="390"/>
      <c r="SI11" s="390"/>
      <c r="SJ11" s="390"/>
      <c r="SK11" s="390"/>
      <c r="SL11" s="390"/>
      <c r="SM11" s="390"/>
      <c r="SN11" s="390"/>
      <c r="SO11" s="390"/>
      <c r="SP11" s="390"/>
      <c r="SQ11" s="390"/>
      <c r="SR11" s="390"/>
      <c r="SS11" s="390"/>
      <c r="ST11" s="390"/>
      <c r="SU11" s="390"/>
      <c r="SV11" s="390"/>
      <c r="SW11" s="390"/>
      <c r="SX11" s="390"/>
      <c r="SY11" s="390"/>
      <c r="SZ11" s="390"/>
      <c r="TA11" s="390"/>
      <c r="TB11" s="390"/>
      <c r="TC11" s="390"/>
      <c r="TD11" s="390"/>
      <c r="TE11" s="390"/>
      <c r="TF11" s="390"/>
      <c r="TG11" s="390"/>
      <c r="TH11" s="390"/>
      <c r="TI11" s="390"/>
      <c r="TJ11" s="390"/>
      <c r="TK11" s="390"/>
      <c r="TL11" s="390"/>
      <c r="TM11" s="390"/>
      <c r="TN11" s="390"/>
      <c r="TO11" s="390"/>
      <c r="TP11" s="390"/>
      <c r="TQ11" s="390"/>
      <c r="TR11" s="390"/>
      <c r="TS11" s="390"/>
      <c r="TT11" s="390"/>
      <c r="TU11" s="390"/>
      <c r="TV11" s="390"/>
      <c r="TW11" s="390"/>
      <c r="TX11" s="390"/>
      <c r="TY11" s="390"/>
      <c r="TZ11" s="390"/>
      <c r="UA11" s="390"/>
      <c r="UB11" s="390"/>
      <c r="UC11" s="390"/>
      <c r="UD11" s="390"/>
      <c r="UE11" s="390"/>
      <c r="UF11" s="390"/>
      <c r="UG11" s="390"/>
      <c r="UH11" s="390"/>
      <c r="UI11" s="390"/>
      <c r="UJ11" s="390"/>
      <c r="UK11" s="390"/>
      <c r="UL11" s="390"/>
      <c r="UM11" s="390"/>
      <c r="UN11" s="390"/>
      <c r="UO11" s="390"/>
      <c r="UP11" s="390"/>
      <c r="UQ11" s="390"/>
      <c r="UR11" s="390"/>
      <c r="US11" s="390"/>
      <c r="UT11" s="390"/>
      <c r="UU11" s="390"/>
      <c r="UV11" s="390"/>
      <c r="UW11" s="390"/>
      <c r="UX11" s="390"/>
      <c r="UY11" s="390"/>
      <c r="UZ11" s="390"/>
      <c r="VA11" s="390"/>
      <c r="VB11" s="390"/>
      <c r="VC11" s="390"/>
      <c r="VD11" s="390"/>
      <c r="VE11" s="390"/>
      <c r="VF11" s="390"/>
      <c r="VG11" s="390"/>
      <c r="VH11" s="390"/>
      <c r="VI11" s="390"/>
      <c r="VJ11" s="390"/>
      <c r="VK11" s="390"/>
      <c r="VL11" s="390"/>
      <c r="VM11" s="390"/>
      <c r="VN11" s="390"/>
      <c r="VO11" s="390"/>
      <c r="VP11" s="390"/>
      <c r="VQ11" s="390"/>
      <c r="VR11" s="390"/>
      <c r="VS11" s="390"/>
      <c r="VT11" s="390"/>
      <c r="VU11" s="390"/>
      <c r="VV11" s="390"/>
      <c r="VW11" s="390"/>
      <c r="VX11" s="390"/>
      <c r="VY11" s="390"/>
      <c r="VZ11" s="390"/>
      <c r="WA11" s="390"/>
      <c r="WB11" s="390"/>
      <c r="WC11" s="390"/>
      <c r="WD11" s="390"/>
      <c r="WE11" s="390"/>
      <c r="WF11" s="390"/>
      <c r="WG11" s="390"/>
      <c r="WH11" s="390"/>
      <c r="WI11" s="390"/>
      <c r="WJ11" s="390"/>
      <c r="WK11" s="390"/>
      <c r="WL11" s="390"/>
      <c r="WM11" s="390"/>
      <c r="WN11" s="390"/>
      <c r="WO11" s="390"/>
      <c r="WP11" s="390"/>
      <c r="WQ11" s="390"/>
      <c r="WR11" s="390"/>
      <c r="WS11" s="390"/>
      <c r="WT11" s="390"/>
      <c r="WU11" s="390"/>
      <c r="WV11" s="390"/>
      <c r="WW11" s="390"/>
      <c r="WX11" s="390"/>
      <c r="WY11" s="390"/>
      <c r="WZ11" s="390"/>
      <c r="XA11" s="390"/>
      <c r="XB11" s="390"/>
      <c r="XC11" s="390"/>
      <c r="XD11" s="390"/>
      <c r="XE11" s="390"/>
      <c r="XF11" s="390"/>
      <c r="XG11" s="390"/>
      <c r="XH11" s="390"/>
      <c r="XI11" s="390"/>
      <c r="XJ11" s="390"/>
      <c r="XK11" s="390"/>
      <c r="XL11" s="390"/>
      <c r="XM11" s="390"/>
      <c r="XN11" s="390"/>
      <c r="XO11" s="390"/>
      <c r="XP11" s="390"/>
      <c r="XQ11" s="390"/>
      <c r="XR11" s="390"/>
      <c r="XS11" s="390"/>
      <c r="XT11" s="390"/>
      <c r="XU11" s="390"/>
      <c r="XV11" s="390"/>
      <c r="XW11" s="390"/>
      <c r="XX11" s="390"/>
      <c r="XY11" s="390"/>
      <c r="XZ11" s="390"/>
      <c r="YA11" s="390"/>
      <c r="YB11" s="390"/>
      <c r="YC11" s="390"/>
      <c r="YD11" s="390"/>
      <c r="YE11" s="390"/>
      <c r="YF11" s="390"/>
      <c r="YG11" s="390"/>
      <c r="YH11" s="390"/>
      <c r="YI11" s="390"/>
      <c r="YJ11" s="390"/>
      <c r="YK11" s="390"/>
      <c r="YL11" s="390"/>
      <c r="YM11" s="390"/>
      <c r="YN11" s="390"/>
      <c r="YO11" s="390"/>
      <c r="YP11" s="390"/>
      <c r="YQ11" s="390"/>
      <c r="YR11" s="390"/>
      <c r="YS11" s="390"/>
      <c r="YT11" s="390"/>
      <c r="YU11" s="390"/>
      <c r="YV11" s="390"/>
      <c r="YW11" s="390"/>
      <c r="YX11" s="390"/>
      <c r="YY11" s="390"/>
      <c r="YZ11" s="390"/>
      <c r="ZA11" s="390"/>
      <c r="ZB11" s="390"/>
      <c r="ZC11" s="390"/>
      <c r="ZD11" s="390"/>
      <c r="ZE11" s="390"/>
      <c r="ZF11" s="390"/>
      <c r="ZG11" s="390"/>
      <c r="ZH11" s="390"/>
      <c r="ZI11" s="390"/>
      <c r="ZJ11" s="390"/>
      <c r="ZK11" s="390"/>
      <c r="ZL11" s="390"/>
      <c r="ZM11" s="390"/>
      <c r="ZN11" s="390"/>
      <c r="ZO11" s="390"/>
      <c r="ZP11" s="390"/>
      <c r="ZQ11" s="390"/>
      <c r="ZR11" s="390"/>
      <c r="ZS11" s="390"/>
      <c r="ZT11" s="390"/>
      <c r="ZU11" s="390"/>
      <c r="ZV11" s="390"/>
      <c r="ZW11" s="390"/>
      <c r="ZX11" s="390"/>
      <c r="ZY11" s="390"/>
      <c r="ZZ11" s="390"/>
      <c r="AAA11" s="390"/>
      <c r="AAB11" s="390"/>
      <c r="AAC11" s="390"/>
      <c r="AAD11" s="390"/>
      <c r="AAE11" s="390"/>
      <c r="AAF11" s="390"/>
      <c r="AAG11" s="390"/>
      <c r="AAH11" s="390"/>
      <c r="AAI11" s="390"/>
      <c r="AAJ11" s="390"/>
      <c r="AAK11" s="390"/>
      <c r="AAL11" s="390"/>
      <c r="AAM11" s="390"/>
      <c r="AAN11" s="390"/>
      <c r="AAO11" s="390"/>
      <c r="AAP11" s="390"/>
      <c r="AAQ11" s="390"/>
      <c r="AAR11" s="390"/>
      <c r="AAS11" s="390"/>
      <c r="AAT11" s="390"/>
      <c r="AAU11" s="390"/>
      <c r="AAV11" s="390"/>
      <c r="AAW11" s="390"/>
      <c r="AAX11" s="390"/>
      <c r="AAY11" s="390"/>
      <c r="AAZ11" s="390"/>
      <c r="ABA11" s="390"/>
      <c r="ABB11" s="390"/>
      <c r="ABC11" s="390"/>
      <c r="ABD11" s="390"/>
      <c r="ABE11" s="390"/>
      <c r="ABF11" s="390"/>
      <c r="ABG11" s="390"/>
      <c r="ABH11" s="390"/>
      <c r="ABI11" s="390"/>
      <c r="ABJ11" s="390"/>
      <c r="ABK11" s="390"/>
      <c r="ABL11" s="390"/>
      <c r="ABM11" s="390"/>
      <c r="ABN11" s="390"/>
      <c r="ABO11" s="390"/>
      <c r="ABP11" s="390"/>
      <c r="ABQ11" s="390"/>
      <c r="ABR11" s="390"/>
      <c r="ABS11" s="390"/>
      <c r="ABT11" s="390"/>
      <c r="ABU11" s="390"/>
      <c r="ABV11" s="390"/>
      <c r="ABW11" s="390"/>
      <c r="ABX11" s="390"/>
      <c r="ABY11" s="390"/>
      <c r="ABZ11" s="390"/>
      <c r="ACA11" s="390"/>
      <c r="ACB11" s="390"/>
      <c r="ACC11" s="390"/>
      <c r="ACD11" s="390"/>
      <c r="ACE11" s="390"/>
      <c r="ACF11" s="390"/>
      <c r="ACG11" s="390"/>
      <c r="ACH11" s="390"/>
      <c r="ACI11" s="390"/>
    </row>
    <row r="12" spans="1:763" ht="13.95" customHeight="1" x14ac:dyDescent="0.3">
      <c r="A12" s="397" t="str">
        <f ca="1">Проект!$A$68</f>
        <v>коэффициент продаж периода</v>
      </c>
      <c r="B12" s="350"/>
      <c r="C12" s="350"/>
      <c r="D12" s="400">
        <f>IFERROR(AVERAGE(Проект!$G$68:$R$68),"-")</f>
        <v>0.85</v>
      </c>
      <c r="E12" s="400">
        <f>IFERROR(AVERAGE(Проект!$S$68:$AD$68),"-")</f>
        <v>1</v>
      </c>
      <c r="F12" s="400">
        <f>IFERROR(AVERAGE(Проект!$AE$68:$AP$68),"-")</f>
        <v>1</v>
      </c>
      <c r="G12" s="400">
        <f>IFERROR(AVERAGE(Проект!$AQ$68:$BB$68),"-")</f>
        <v>1</v>
      </c>
      <c r="H12" s="396"/>
      <c r="I12" s="390"/>
      <c r="J12" s="390"/>
      <c r="K12" s="390"/>
      <c r="L12" s="390"/>
      <c r="M12" s="390"/>
      <c r="N12" s="390"/>
      <c r="O12" s="390"/>
      <c r="P12" s="390"/>
      <c r="Q12" s="390"/>
      <c r="R12" s="390"/>
      <c r="S12" s="390"/>
      <c r="T12" s="390"/>
      <c r="U12" s="390"/>
      <c r="V12" s="390"/>
      <c r="W12" s="390"/>
      <c r="X12" s="390"/>
      <c r="Y12" s="390"/>
      <c r="Z12" s="390"/>
      <c r="AA12" s="390"/>
      <c r="AB12" s="390"/>
      <c r="AC12" s="390"/>
      <c r="AD12" s="390"/>
      <c r="AE12" s="390"/>
      <c r="AF12" s="390"/>
      <c r="AG12" s="390"/>
      <c r="AH12" s="390"/>
      <c r="AI12" s="390"/>
      <c r="AJ12" s="390"/>
      <c r="AK12" s="390"/>
      <c r="AL12" s="390"/>
      <c r="AM12" s="390"/>
      <c r="AN12" s="390"/>
      <c r="AO12" s="390"/>
      <c r="AP12" s="390"/>
      <c r="AQ12" s="390"/>
      <c r="AR12" s="390"/>
      <c r="AS12" s="390"/>
      <c r="AT12" s="390"/>
      <c r="AU12" s="390"/>
      <c r="AV12" s="390"/>
      <c r="AW12" s="390"/>
      <c r="AX12" s="390"/>
      <c r="AY12" s="390"/>
      <c r="AZ12" s="390"/>
      <c r="BA12" s="390"/>
      <c r="BB12" s="390"/>
      <c r="BC12" s="390"/>
      <c r="BD12" s="390"/>
      <c r="BE12" s="390"/>
      <c r="BF12" s="390"/>
      <c r="BG12" s="390"/>
      <c r="BH12" s="390"/>
      <c r="BI12" s="390"/>
      <c r="BJ12" s="390"/>
      <c r="BK12" s="390"/>
      <c r="BL12" s="390"/>
      <c r="BM12" s="390"/>
      <c r="BN12" s="390"/>
      <c r="BO12" s="390"/>
      <c r="BP12" s="390"/>
      <c r="BQ12" s="390"/>
      <c r="BR12" s="390"/>
      <c r="BS12" s="390"/>
      <c r="BT12" s="390"/>
      <c r="BU12" s="390"/>
      <c r="BV12" s="390"/>
      <c r="BW12" s="390"/>
      <c r="BX12" s="390"/>
      <c r="BY12" s="390"/>
      <c r="BZ12" s="390"/>
      <c r="CA12" s="390"/>
      <c r="CB12" s="390"/>
      <c r="CC12" s="390"/>
      <c r="CD12" s="390"/>
      <c r="CE12" s="390"/>
      <c r="CF12" s="390"/>
      <c r="CG12" s="390"/>
      <c r="CH12" s="390"/>
      <c r="CI12" s="390"/>
      <c r="CJ12" s="390"/>
      <c r="CK12" s="390"/>
      <c r="CL12" s="390"/>
      <c r="CM12" s="390"/>
      <c r="CN12" s="390"/>
      <c r="CO12" s="390"/>
      <c r="CP12" s="390"/>
      <c r="CQ12" s="390"/>
      <c r="CR12" s="390"/>
      <c r="CS12" s="390"/>
      <c r="CT12" s="390"/>
      <c r="CU12" s="390"/>
      <c r="CV12" s="390"/>
      <c r="CW12" s="390"/>
      <c r="CX12" s="390"/>
      <c r="CY12" s="390"/>
      <c r="CZ12" s="390"/>
      <c r="DA12" s="390"/>
      <c r="DB12" s="390"/>
      <c r="DC12" s="390"/>
      <c r="DD12" s="390"/>
      <c r="DE12" s="390"/>
      <c r="DF12" s="390"/>
      <c r="DG12" s="390"/>
      <c r="DH12" s="390"/>
      <c r="DI12" s="390"/>
      <c r="DJ12" s="390"/>
      <c r="DK12" s="390"/>
      <c r="DL12" s="390"/>
      <c r="DM12" s="390"/>
      <c r="DN12" s="390"/>
      <c r="DO12" s="390"/>
      <c r="DP12" s="390"/>
      <c r="DQ12" s="390"/>
      <c r="DR12" s="390"/>
      <c r="DS12" s="390"/>
      <c r="DT12" s="390"/>
      <c r="DU12" s="390"/>
      <c r="DV12" s="390"/>
      <c r="DW12" s="390"/>
      <c r="DX12" s="390"/>
      <c r="DY12" s="390"/>
      <c r="DZ12" s="390"/>
      <c r="EA12" s="390"/>
      <c r="EB12" s="390"/>
      <c r="EC12" s="390"/>
      <c r="ED12" s="390"/>
      <c r="EE12" s="390"/>
      <c r="EF12" s="390"/>
      <c r="EG12" s="390"/>
      <c r="EH12" s="390"/>
      <c r="EI12" s="390"/>
      <c r="EJ12" s="390"/>
      <c r="EK12" s="390"/>
      <c r="EL12" s="390"/>
      <c r="EM12" s="390"/>
      <c r="EN12" s="390"/>
      <c r="EO12" s="390"/>
      <c r="EP12" s="390"/>
      <c r="EQ12" s="390"/>
      <c r="ER12" s="390"/>
      <c r="ES12" s="390"/>
      <c r="ET12" s="390"/>
      <c r="EU12" s="390"/>
      <c r="EV12" s="390"/>
      <c r="EW12" s="390"/>
      <c r="EX12" s="390"/>
      <c r="EY12" s="390"/>
      <c r="EZ12" s="390"/>
      <c r="FA12" s="390"/>
      <c r="FB12" s="390"/>
      <c r="FC12" s="390"/>
      <c r="FD12" s="390"/>
      <c r="FE12" s="390"/>
      <c r="FF12" s="390"/>
      <c r="FG12" s="390"/>
      <c r="FH12" s="390"/>
      <c r="FI12" s="390"/>
      <c r="FJ12" s="390"/>
      <c r="FK12" s="390"/>
      <c r="FL12" s="390"/>
      <c r="FM12" s="390"/>
      <c r="FN12" s="390"/>
      <c r="FO12" s="390"/>
      <c r="FP12" s="390"/>
      <c r="FQ12" s="390"/>
      <c r="FR12" s="390"/>
      <c r="FS12" s="390"/>
      <c r="FT12" s="390"/>
      <c r="FU12" s="390"/>
      <c r="FV12" s="390"/>
      <c r="FW12" s="390"/>
      <c r="FX12" s="390"/>
      <c r="FY12" s="390"/>
      <c r="FZ12" s="390"/>
      <c r="GA12" s="390"/>
      <c r="GB12" s="390"/>
      <c r="GC12" s="390"/>
      <c r="GD12" s="390"/>
      <c r="GE12" s="390"/>
      <c r="GF12" s="390"/>
      <c r="GG12" s="390"/>
      <c r="GH12" s="390"/>
      <c r="GI12" s="390"/>
      <c r="GJ12" s="390"/>
      <c r="GK12" s="390"/>
      <c r="GL12" s="390"/>
      <c r="GM12" s="390"/>
      <c r="GN12" s="390"/>
      <c r="GO12" s="390"/>
      <c r="GP12" s="390"/>
      <c r="GQ12" s="390"/>
      <c r="GR12" s="390"/>
      <c r="GS12" s="390"/>
      <c r="GT12" s="390"/>
      <c r="GU12" s="390"/>
      <c r="GV12" s="390"/>
      <c r="GW12" s="390"/>
      <c r="GX12" s="390"/>
      <c r="GY12" s="390"/>
      <c r="GZ12" s="390"/>
      <c r="HA12" s="390"/>
      <c r="HB12" s="390"/>
      <c r="HC12" s="390"/>
      <c r="HD12" s="390"/>
      <c r="HE12" s="390"/>
      <c r="HF12" s="390"/>
      <c r="HG12" s="390"/>
      <c r="HH12" s="390"/>
      <c r="HI12" s="390"/>
      <c r="HJ12" s="390"/>
      <c r="HK12" s="390"/>
      <c r="HL12" s="390"/>
      <c r="HM12" s="390"/>
      <c r="HN12" s="390"/>
      <c r="HO12" s="390"/>
      <c r="HP12" s="390"/>
      <c r="HQ12" s="390"/>
      <c r="HR12" s="390"/>
      <c r="HS12" s="390"/>
      <c r="HT12" s="390"/>
      <c r="HU12" s="390"/>
      <c r="HV12" s="390"/>
      <c r="HW12" s="390"/>
      <c r="HX12" s="390"/>
      <c r="HY12" s="390"/>
      <c r="HZ12" s="390"/>
      <c r="IA12" s="390"/>
      <c r="IB12" s="390"/>
      <c r="IC12" s="390"/>
      <c r="ID12" s="390"/>
      <c r="IE12" s="390"/>
      <c r="IF12" s="390"/>
      <c r="IG12" s="390"/>
      <c r="IH12" s="390"/>
      <c r="II12" s="390"/>
      <c r="IJ12" s="390"/>
      <c r="IK12" s="390"/>
      <c r="IL12" s="390"/>
      <c r="IM12" s="390"/>
      <c r="IN12" s="390"/>
      <c r="IO12" s="390"/>
      <c r="IP12" s="390"/>
      <c r="IQ12" s="390"/>
      <c r="IR12" s="390"/>
      <c r="IS12" s="390"/>
      <c r="IT12" s="390"/>
      <c r="IU12" s="390"/>
      <c r="IV12" s="390"/>
      <c r="IW12" s="390"/>
      <c r="IX12" s="390"/>
      <c r="IY12" s="390"/>
      <c r="IZ12" s="390"/>
      <c r="JA12" s="390"/>
      <c r="JB12" s="390"/>
      <c r="JC12" s="390"/>
      <c r="JD12" s="390"/>
      <c r="JE12" s="390"/>
      <c r="JF12" s="390"/>
      <c r="JG12" s="390"/>
      <c r="JH12" s="390"/>
      <c r="JI12" s="390"/>
      <c r="JJ12" s="390"/>
      <c r="JK12" s="390"/>
      <c r="JL12" s="390"/>
      <c r="JM12" s="390"/>
      <c r="JN12" s="390"/>
      <c r="JO12" s="390"/>
      <c r="JP12" s="390"/>
      <c r="JQ12" s="390"/>
      <c r="JR12" s="390"/>
      <c r="JS12" s="390"/>
      <c r="JT12" s="390"/>
      <c r="JU12" s="390"/>
      <c r="JV12" s="390"/>
      <c r="JW12" s="390"/>
      <c r="JX12" s="390"/>
      <c r="JY12" s="390"/>
      <c r="JZ12" s="390"/>
      <c r="KA12" s="390"/>
      <c r="KB12" s="390"/>
      <c r="KC12" s="390"/>
      <c r="KD12" s="390"/>
      <c r="KE12" s="390"/>
      <c r="KF12" s="390"/>
      <c r="KG12" s="390"/>
      <c r="KH12" s="390"/>
      <c r="KI12" s="390"/>
      <c r="KJ12" s="390"/>
      <c r="KK12" s="390"/>
      <c r="KL12" s="390"/>
      <c r="KM12" s="390"/>
      <c r="KN12" s="390"/>
      <c r="KO12" s="390"/>
      <c r="KP12" s="390"/>
      <c r="KQ12" s="390"/>
      <c r="KR12" s="390"/>
      <c r="KS12" s="390"/>
      <c r="KT12" s="390"/>
      <c r="KU12" s="390"/>
      <c r="KV12" s="390"/>
      <c r="KW12" s="390"/>
      <c r="KX12" s="390"/>
      <c r="KY12" s="390"/>
      <c r="KZ12" s="390"/>
      <c r="LA12" s="390"/>
      <c r="LB12" s="390"/>
      <c r="LC12" s="390"/>
      <c r="LD12" s="390"/>
      <c r="LE12" s="390"/>
      <c r="LF12" s="390"/>
      <c r="LG12" s="390"/>
      <c r="LH12" s="390"/>
      <c r="LI12" s="390"/>
      <c r="LJ12" s="390"/>
      <c r="LK12" s="390"/>
      <c r="LL12" s="390"/>
      <c r="LM12" s="390"/>
      <c r="LN12" s="390"/>
      <c r="LO12" s="390"/>
      <c r="LP12" s="390"/>
      <c r="LQ12" s="390"/>
      <c r="LR12" s="390"/>
      <c r="LS12" s="390"/>
      <c r="LT12" s="390"/>
      <c r="LU12" s="390"/>
      <c r="LV12" s="390"/>
      <c r="LW12" s="390"/>
      <c r="LX12" s="390"/>
      <c r="LY12" s="390"/>
      <c r="LZ12" s="390"/>
      <c r="MA12" s="390"/>
      <c r="MB12" s="390"/>
      <c r="MC12" s="390"/>
      <c r="MD12" s="390"/>
      <c r="ME12" s="390"/>
      <c r="MF12" s="390"/>
      <c r="MG12" s="390"/>
      <c r="MH12" s="390"/>
      <c r="MI12" s="390"/>
      <c r="MJ12" s="390"/>
      <c r="MK12" s="390"/>
      <c r="ML12" s="390"/>
      <c r="MM12" s="390"/>
      <c r="MN12" s="390"/>
      <c r="MO12" s="390"/>
      <c r="MP12" s="390"/>
      <c r="MQ12" s="390"/>
      <c r="MR12" s="390"/>
      <c r="MS12" s="390"/>
      <c r="MT12" s="390"/>
      <c r="MU12" s="390"/>
      <c r="MV12" s="390"/>
      <c r="MW12" s="390"/>
      <c r="MX12" s="390"/>
      <c r="MY12" s="390"/>
      <c r="MZ12" s="390"/>
      <c r="NA12" s="390"/>
      <c r="NB12" s="390"/>
      <c r="NC12" s="390"/>
      <c r="ND12" s="390"/>
      <c r="NE12" s="390"/>
      <c r="NF12" s="390"/>
      <c r="NG12" s="390"/>
      <c r="NH12" s="390"/>
      <c r="NI12" s="390"/>
      <c r="NJ12" s="390"/>
      <c r="NK12" s="390"/>
      <c r="NL12" s="390"/>
      <c r="NM12" s="390"/>
      <c r="NN12" s="390"/>
      <c r="NO12" s="390"/>
      <c r="NP12" s="390"/>
      <c r="NQ12" s="390"/>
      <c r="NR12" s="390"/>
      <c r="NS12" s="390"/>
      <c r="NT12" s="390"/>
      <c r="NU12" s="390"/>
      <c r="NV12" s="390"/>
      <c r="NW12" s="390"/>
      <c r="NX12" s="390"/>
      <c r="NY12" s="390"/>
      <c r="NZ12" s="390"/>
      <c r="OA12" s="390"/>
      <c r="OB12" s="390"/>
      <c r="OC12" s="390"/>
      <c r="OD12" s="390"/>
      <c r="OE12" s="390"/>
      <c r="OF12" s="390"/>
      <c r="OG12" s="390"/>
      <c r="OH12" s="390"/>
      <c r="OI12" s="390"/>
      <c r="OJ12" s="390"/>
      <c r="OK12" s="390"/>
      <c r="OL12" s="390"/>
      <c r="OM12" s="390"/>
      <c r="ON12" s="390"/>
      <c r="OO12" s="390"/>
      <c r="OP12" s="390"/>
      <c r="OQ12" s="390"/>
      <c r="OR12" s="390"/>
      <c r="OS12" s="390"/>
      <c r="OT12" s="390"/>
      <c r="OU12" s="390"/>
      <c r="OV12" s="390"/>
      <c r="OW12" s="390"/>
      <c r="OX12" s="390"/>
      <c r="OY12" s="390"/>
      <c r="OZ12" s="390"/>
      <c r="PA12" s="390"/>
      <c r="PB12" s="390"/>
      <c r="PC12" s="390"/>
      <c r="PD12" s="390"/>
      <c r="PE12" s="390"/>
      <c r="PF12" s="390"/>
      <c r="PG12" s="390"/>
      <c r="PH12" s="390"/>
      <c r="PI12" s="390"/>
      <c r="PJ12" s="390"/>
      <c r="PK12" s="390"/>
      <c r="PL12" s="390"/>
      <c r="PM12" s="390"/>
      <c r="PN12" s="390"/>
      <c r="PO12" s="390"/>
      <c r="PP12" s="390"/>
      <c r="PQ12" s="390"/>
      <c r="PR12" s="390"/>
      <c r="PS12" s="390"/>
      <c r="PT12" s="390"/>
      <c r="PU12" s="390"/>
      <c r="PV12" s="390"/>
      <c r="PW12" s="390"/>
      <c r="PX12" s="390"/>
      <c r="PY12" s="390"/>
      <c r="PZ12" s="390"/>
      <c r="QA12" s="390"/>
      <c r="QB12" s="390"/>
      <c r="QC12" s="390"/>
      <c r="QD12" s="390"/>
      <c r="QE12" s="390"/>
      <c r="QF12" s="390"/>
      <c r="QG12" s="390"/>
      <c r="QH12" s="390"/>
      <c r="QI12" s="390"/>
      <c r="QJ12" s="390"/>
      <c r="QK12" s="390"/>
      <c r="QL12" s="390"/>
      <c r="QM12" s="390"/>
      <c r="QN12" s="390"/>
      <c r="QO12" s="390"/>
      <c r="QP12" s="390"/>
      <c r="QQ12" s="390"/>
      <c r="QR12" s="390"/>
      <c r="QS12" s="390"/>
      <c r="QT12" s="390"/>
      <c r="QU12" s="390"/>
      <c r="QV12" s="390"/>
      <c r="QW12" s="390"/>
      <c r="QX12" s="390"/>
      <c r="QY12" s="390"/>
      <c r="QZ12" s="390"/>
      <c r="RA12" s="390"/>
      <c r="RB12" s="390"/>
      <c r="RC12" s="390"/>
      <c r="RD12" s="390"/>
      <c r="RE12" s="390"/>
      <c r="RF12" s="390"/>
      <c r="RG12" s="390"/>
      <c r="RH12" s="390"/>
      <c r="RI12" s="390"/>
      <c r="RJ12" s="390"/>
      <c r="RK12" s="390"/>
      <c r="RL12" s="390"/>
      <c r="RM12" s="390"/>
      <c r="RN12" s="390"/>
      <c r="RO12" s="390"/>
      <c r="RP12" s="390"/>
      <c r="RQ12" s="390"/>
      <c r="RR12" s="390"/>
      <c r="RS12" s="390"/>
      <c r="RT12" s="390"/>
      <c r="RU12" s="390"/>
      <c r="RV12" s="390"/>
      <c r="RW12" s="390"/>
      <c r="RX12" s="390"/>
      <c r="RY12" s="390"/>
      <c r="RZ12" s="390"/>
      <c r="SA12" s="390"/>
      <c r="SB12" s="390"/>
      <c r="SC12" s="390"/>
      <c r="SD12" s="390"/>
      <c r="SE12" s="390"/>
      <c r="SF12" s="390"/>
      <c r="SG12" s="390"/>
      <c r="SH12" s="390"/>
      <c r="SI12" s="390"/>
      <c r="SJ12" s="390"/>
      <c r="SK12" s="390"/>
      <c r="SL12" s="390"/>
      <c r="SM12" s="390"/>
      <c r="SN12" s="390"/>
      <c r="SO12" s="390"/>
      <c r="SP12" s="390"/>
      <c r="SQ12" s="390"/>
      <c r="SR12" s="390"/>
      <c r="SS12" s="390"/>
      <c r="ST12" s="390"/>
      <c r="SU12" s="390"/>
      <c r="SV12" s="390"/>
      <c r="SW12" s="390"/>
      <c r="SX12" s="390"/>
      <c r="SY12" s="390"/>
      <c r="SZ12" s="390"/>
      <c r="TA12" s="390"/>
      <c r="TB12" s="390"/>
      <c r="TC12" s="390"/>
      <c r="TD12" s="390"/>
      <c r="TE12" s="390"/>
      <c r="TF12" s="390"/>
      <c r="TG12" s="390"/>
      <c r="TH12" s="390"/>
      <c r="TI12" s="390"/>
      <c r="TJ12" s="390"/>
      <c r="TK12" s="390"/>
      <c r="TL12" s="390"/>
      <c r="TM12" s="390"/>
      <c r="TN12" s="390"/>
      <c r="TO12" s="390"/>
      <c r="TP12" s="390"/>
      <c r="TQ12" s="390"/>
      <c r="TR12" s="390"/>
      <c r="TS12" s="390"/>
      <c r="TT12" s="390"/>
      <c r="TU12" s="390"/>
      <c r="TV12" s="390"/>
      <c r="TW12" s="390"/>
      <c r="TX12" s="390"/>
      <c r="TY12" s="390"/>
      <c r="TZ12" s="390"/>
      <c r="UA12" s="390"/>
      <c r="UB12" s="390"/>
      <c r="UC12" s="390"/>
      <c r="UD12" s="390"/>
      <c r="UE12" s="390"/>
      <c r="UF12" s="390"/>
      <c r="UG12" s="390"/>
      <c r="UH12" s="390"/>
      <c r="UI12" s="390"/>
      <c r="UJ12" s="390"/>
      <c r="UK12" s="390"/>
      <c r="UL12" s="390"/>
      <c r="UM12" s="390"/>
      <c r="UN12" s="390"/>
      <c r="UO12" s="390"/>
      <c r="UP12" s="390"/>
      <c r="UQ12" s="390"/>
      <c r="UR12" s="390"/>
      <c r="US12" s="390"/>
      <c r="UT12" s="390"/>
      <c r="UU12" s="390"/>
      <c r="UV12" s="390"/>
      <c r="UW12" s="390"/>
      <c r="UX12" s="390"/>
      <c r="UY12" s="390"/>
      <c r="UZ12" s="390"/>
      <c r="VA12" s="390"/>
      <c r="VB12" s="390"/>
      <c r="VC12" s="390"/>
      <c r="VD12" s="390"/>
      <c r="VE12" s="390"/>
      <c r="VF12" s="390"/>
      <c r="VG12" s="390"/>
      <c r="VH12" s="390"/>
      <c r="VI12" s="390"/>
      <c r="VJ12" s="390"/>
      <c r="VK12" s="390"/>
      <c r="VL12" s="390"/>
      <c r="VM12" s="390"/>
      <c r="VN12" s="390"/>
      <c r="VO12" s="390"/>
      <c r="VP12" s="390"/>
      <c r="VQ12" s="390"/>
      <c r="VR12" s="390"/>
      <c r="VS12" s="390"/>
      <c r="VT12" s="390"/>
      <c r="VU12" s="390"/>
      <c r="VV12" s="390"/>
      <c r="VW12" s="390"/>
      <c r="VX12" s="390"/>
      <c r="VY12" s="390"/>
      <c r="VZ12" s="390"/>
      <c r="WA12" s="390"/>
      <c r="WB12" s="390"/>
      <c r="WC12" s="390"/>
      <c r="WD12" s="390"/>
      <c r="WE12" s="390"/>
      <c r="WF12" s="390"/>
      <c r="WG12" s="390"/>
      <c r="WH12" s="390"/>
      <c r="WI12" s="390"/>
      <c r="WJ12" s="390"/>
      <c r="WK12" s="390"/>
      <c r="WL12" s="390"/>
      <c r="WM12" s="390"/>
      <c r="WN12" s="390"/>
      <c r="WO12" s="390"/>
      <c r="WP12" s="390"/>
      <c r="WQ12" s="390"/>
      <c r="WR12" s="390"/>
      <c r="WS12" s="390"/>
      <c r="WT12" s="390"/>
      <c r="WU12" s="390"/>
      <c r="WV12" s="390"/>
      <c r="WW12" s="390"/>
      <c r="WX12" s="390"/>
      <c r="WY12" s="390"/>
      <c r="WZ12" s="390"/>
      <c r="XA12" s="390"/>
      <c r="XB12" s="390"/>
      <c r="XC12" s="390"/>
      <c r="XD12" s="390"/>
      <c r="XE12" s="390"/>
      <c r="XF12" s="390"/>
      <c r="XG12" s="390"/>
      <c r="XH12" s="390"/>
      <c r="XI12" s="390"/>
      <c r="XJ12" s="390"/>
      <c r="XK12" s="390"/>
      <c r="XL12" s="390"/>
      <c r="XM12" s="390"/>
      <c r="XN12" s="390"/>
      <c r="XO12" s="390"/>
      <c r="XP12" s="390"/>
      <c r="XQ12" s="390"/>
      <c r="XR12" s="390"/>
      <c r="XS12" s="390"/>
      <c r="XT12" s="390"/>
      <c r="XU12" s="390"/>
      <c r="XV12" s="390"/>
      <c r="XW12" s="390"/>
      <c r="XX12" s="390"/>
      <c r="XY12" s="390"/>
      <c r="XZ12" s="390"/>
      <c r="YA12" s="390"/>
      <c r="YB12" s="390"/>
      <c r="YC12" s="390"/>
      <c r="YD12" s="390"/>
      <c r="YE12" s="390"/>
      <c r="YF12" s="390"/>
      <c r="YG12" s="390"/>
      <c r="YH12" s="390"/>
      <c r="YI12" s="390"/>
      <c r="YJ12" s="390"/>
      <c r="YK12" s="390"/>
      <c r="YL12" s="390"/>
      <c r="YM12" s="390"/>
      <c r="YN12" s="390"/>
      <c r="YO12" s="390"/>
      <c r="YP12" s="390"/>
      <c r="YQ12" s="390"/>
      <c r="YR12" s="390"/>
      <c r="YS12" s="390"/>
      <c r="YT12" s="390"/>
      <c r="YU12" s="390"/>
      <c r="YV12" s="390"/>
      <c r="YW12" s="390"/>
      <c r="YX12" s="390"/>
      <c r="YY12" s="390"/>
      <c r="YZ12" s="390"/>
      <c r="ZA12" s="390"/>
      <c r="ZB12" s="390"/>
      <c r="ZC12" s="390"/>
      <c r="ZD12" s="390"/>
      <c r="ZE12" s="390"/>
      <c r="ZF12" s="390"/>
      <c r="ZG12" s="390"/>
      <c r="ZH12" s="390"/>
      <c r="ZI12" s="390"/>
      <c r="ZJ12" s="390"/>
      <c r="ZK12" s="390"/>
      <c r="ZL12" s="390"/>
      <c r="ZM12" s="390"/>
      <c r="ZN12" s="390"/>
      <c r="ZO12" s="390"/>
      <c r="ZP12" s="390"/>
      <c r="ZQ12" s="390"/>
      <c r="ZR12" s="390"/>
      <c r="ZS12" s="390"/>
      <c r="ZT12" s="390"/>
      <c r="ZU12" s="390"/>
      <c r="ZV12" s="390"/>
      <c r="ZW12" s="390"/>
      <c r="ZX12" s="390"/>
      <c r="ZY12" s="390"/>
      <c r="ZZ12" s="390"/>
      <c r="AAA12" s="390"/>
      <c r="AAB12" s="390"/>
      <c r="AAC12" s="390"/>
      <c r="AAD12" s="390"/>
      <c r="AAE12" s="390"/>
      <c r="AAF12" s="390"/>
      <c r="AAG12" s="390"/>
      <c r="AAH12" s="390"/>
      <c r="AAI12" s="390"/>
      <c r="AAJ12" s="390"/>
      <c r="AAK12" s="390"/>
      <c r="AAL12" s="390"/>
      <c r="AAM12" s="390"/>
      <c r="AAN12" s="390"/>
      <c r="AAO12" s="390"/>
      <c r="AAP12" s="390"/>
      <c r="AAQ12" s="390"/>
      <c r="AAR12" s="390"/>
      <c r="AAS12" s="390"/>
      <c r="AAT12" s="390"/>
      <c r="AAU12" s="390"/>
      <c r="AAV12" s="390"/>
      <c r="AAW12" s="390"/>
      <c r="AAX12" s="390"/>
      <c r="AAY12" s="390"/>
      <c r="AAZ12" s="390"/>
      <c r="ABA12" s="390"/>
      <c r="ABB12" s="390"/>
      <c r="ABC12" s="390"/>
      <c r="ABD12" s="390"/>
      <c r="ABE12" s="390"/>
      <c r="ABF12" s="390"/>
      <c r="ABG12" s="390"/>
      <c r="ABH12" s="390"/>
      <c r="ABI12" s="390"/>
      <c r="ABJ12" s="390"/>
      <c r="ABK12" s="390"/>
      <c r="ABL12" s="390"/>
      <c r="ABM12" s="390"/>
      <c r="ABN12" s="390"/>
      <c r="ABO12" s="390"/>
      <c r="ABP12" s="390"/>
      <c r="ABQ12" s="390"/>
      <c r="ABR12" s="390"/>
      <c r="ABS12" s="390"/>
      <c r="ABT12" s="390"/>
      <c r="ABU12" s="390"/>
      <c r="ABV12" s="390"/>
      <c r="ABW12" s="390"/>
      <c r="ABX12" s="390"/>
      <c r="ABY12" s="390"/>
      <c r="ABZ12" s="390"/>
      <c r="ACA12" s="390"/>
      <c r="ACB12" s="390"/>
      <c r="ACC12" s="390"/>
      <c r="ACD12" s="390"/>
      <c r="ACE12" s="390"/>
      <c r="ACF12" s="390"/>
      <c r="ACG12" s="390"/>
      <c r="ACH12" s="390"/>
      <c r="ACI12" s="390"/>
    </row>
    <row r="13" spans="1:763" ht="13.95" customHeight="1" x14ac:dyDescent="0.3">
      <c r="A13" s="401" t="str">
        <f ca="1">Проект!$A$69</f>
        <v>цена за единицу (ед.), без НДС</v>
      </c>
      <c r="B13" s="351">
        <f>Проект!$B$69</f>
        <v>1400</v>
      </c>
      <c r="C13" s="402" t="str">
        <f ca="1">Проект!$C$69</f>
        <v>руб.</v>
      </c>
      <c r="D13" s="403">
        <f ca="1">IFERROR(AVERAGE(Проект!$G$69:$R$69),"-")</f>
        <v>1438.09497323767</v>
      </c>
      <c r="E13" s="403">
        <f ca="1">IFERROR(AVERAGE(Проект!$S$69:$AD$69),"-")</f>
        <v>1524.3806716319298</v>
      </c>
      <c r="F13" s="403">
        <f ca="1">IFERROR(AVERAGE(Проект!$AE$69:$AP$69),"-")</f>
        <v>1615.8435119298458</v>
      </c>
      <c r="G13" s="403">
        <f ca="1">IFERROR(AVERAGE(Проект!$AQ$69:$BB$69),"-")</f>
        <v>1712.7941226456369</v>
      </c>
      <c r="H13" s="396"/>
      <c r="I13" s="390"/>
      <c r="J13" s="390"/>
      <c r="K13" s="390"/>
      <c r="L13" s="390"/>
      <c r="M13" s="390"/>
      <c r="N13" s="390"/>
      <c r="O13" s="390"/>
      <c r="P13" s="390"/>
      <c r="Q13" s="390"/>
      <c r="R13" s="390"/>
      <c r="S13" s="390"/>
      <c r="T13" s="390"/>
      <c r="U13" s="390"/>
      <c r="V13" s="390"/>
      <c r="W13" s="390"/>
      <c r="X13" s="390"/>
      <c r="Y13" s="390"/>
      <c r="Z13" s="390"/>
      <c r="AA13" s="390"/>
      <c r="AB13" s="390"/>
      <c r="AC13" s="390"/>
      <c r="AD13" s="390"/>
      <c r="AE13" s="390"/>
      <c r="AF13" s="390"/>
      <c r="AG13" s="390"/>
      <c r="AH13" s="390"/>
      <c r="AI13" s="390"/>
      <c r="AJ13" s="390"/>
      <c r="AK13" s="390"/>
      <c r="AL13" s="390"/>
      <c r="AM13" s="390"/>
      <c r="AN13" s="390"/>
      <c r="AO13" s="390"/>
      <c r="AP13" s="390"/>
      <c r="AQ13" s="390"/>
      <c r="AR13" s="390"/>
      <c r="AS13" s="390"/>
      <c r="AT13" s="390"/>
      <c r="AU13" s="390"/>
      <c r="AV13" s="390"/>
      <c r="AW13" s="390"/>
      <c r="AX13" s="390"/>
      <c r="AY13" s="390"/>
      <c r="AZ13" s="390"/>
      <c r="BA13" s="390"/>
      <c r="BB13" s="390"/>
      <c r="BC13" s="390"/>
      <c r="BD13" s="390"/>
      <c r="BE13" s="390"/>
      <c r="BF13" s="390"/>
      <c r="BG13" s="390"/>
      <c r="BH13" s="390"/>
      <c r="BI13" s="390"/>
      <c r="BJ13" s="390"/>
      <c r="BK13" s="390"/>
      <c r="BL13" s="390"/>
      <c r="BM13" s="390"/>
      <c r="BN13" s="390"/>
      <c r="BO13" s="390"/>
      <c r="BP13" s="390"/>
      <c r="BQ13" s="390"/>
      <c r="BR13" s="390"/>
      <c r="BS13" s="390"/>
      <c r="BT13" s="390"/>
      <c r="BU13" s="390"/>
      <c r="BV13" s="390"/>
      <c r="BW13" s="390"/>
      <c r="BX13" s="390"/>
      <c r="BY13" s="390"/>
      <c r="BZ13" s="390"/>
      <c r="CA13" s="390"/>
      <c r="CB13" s="390"/>
      <c r="CC13" s="390"/>
      <c r="CD13" s="390"/>
      <c r="CE13" s="390"/>
      <c r="CF13" s="390"/>
      <c r="CG13" s="390"/>
      <c r="CH13" s="390"/>
      <c r="CI13" s="390"/>
      <c r="CJ13" s="390"/>
      <c r="CK13" s="390"/>
      <c r="CL13" s="390"/>
      <c r="CM13" s="390"/>
      <c r="CN13" s="390"/>
      <c r="CO13" s="390"/>
      <c r="CP13" s="390"/>
      <c r="CQ13" s="390"/>
      <c r="CR13" s="390"/>
      <c r="CS13" s="390"/>
      <c r="CT13" s="390"/>
      <c r="CU13" s="390"/>
      <c r="CV13" s="390"/>
      <c r="CW13" s="390"/>
      <c r="CX13" s="390"/>
      <c r="CY13" s="390"/>
      <c r="CZ13" s="390"/>
      <c r="DA13" s="390"/>
      <c r="DB13" s="390"/>
      <c r="DC13" s="390"/>
      <c r="DD13" s="390"/>
      <c r="DE13" s="390"/>
      <c r="DF13" s="390"/>
      <c r="DG13" s="390"/>
      <c r="DH13" s="390"/>
      <c r="DI13" s="390"/>
      <c r="DJ13" s="390"/>
      <c r="DK13" s="390"/>
      <c r="DL13" s="390"/>
      <c r="DM13" s="390"/>
      <c r="DN13" s="390"/>
      <c r="DO13" s="390"/>
      <c r="DP13" s="390"/>
      <c r="DQ13" s="390"/>
      <c r="DR13" s="390"/>
      <c r="DS13" s="390"/>
      <c r="DT13" s="390"/>
      <c r="DU13" s="390"/>
      <c r="DV13" s="390"/>
      <c r="DW13" s="390"/>
      <c r="DX13" s="390"/>
      <c r="DY13" s="390"/>
      <c r="DZ13" s="390"/>
      <c r="EA13" s="390"/>
      <c r="EB13" s="390"/>
      <c r="EC13" s="390"/>
      <c r="ED13" s="390"/>
      <c r="EE13" s="390"/>
      <c r="EF13" s="390"/>
      <c r="EG13" s="390"/>
      <c r="EH13" s="390"/>
      <c r="EI13" s="390"/>
      <c r="EJ13" s="390"/>
      <c r="EK13" s="390"/>
      <c r="EL13" s="390"/>
      <c r="EM13" s="390"/>
      <c r="EN13" s="390"/>
      <c r="EO13" s="390"/>
      <c r="EP13" s="390"/>
      <c r="EQ13" s="390"/>
      <c r="ER13" s="390"/>
      <c r="ES13" s="390"/>
      <c r="ET13" s="390"/>
      <c r="EU13" s="390"/>
      <c r="EV13" s="390"/>
      <c r="EW13" s="390"/>
      <c r="EX13" s="390"/>
      <c r="EY13" s="390"/>
      <c r="EZ13" s="390"/>
      <c r="FA13" s="390"/>
      <c r="FB13" s="390"/>
      <c r="FC13" s="390"/>
      <c r="FD13" s="390"/>
      <c r="FE13" s="390"/>
      <c r="FF13" s="390"/>
      <c r="FG13" s="390"/>
      <c r="FH13" s="390"/>
      <c r="FI13" s="390"/>
      <c r="FJ13" s="390"/>
      <c r="FK13" s="390"/>
      <c r="FL13" s="390"/>
      <c r="FM13" s="390"/>
      <c r="FN13" s="390"/>
      <c r="FO13" s="390"/>
      <c r="FP13" s="390"/>
      <c r="FQ13" s="390"/>
      <c r="FR13" s="390"/>
      <c r="FS13" s="390"/>
      <c r="FT13" s="390"/>
      <c r="FU13" s="390"/>
      <c r="FV13" s="390"/>
      <c r="FW13" s="390"/>
      <c r="FX13" s="390"/>
      <c r="FY13" s="390"/>
      <c r="FZ13" s="390"/>
      <c r="GA13" s="390"/>
      <c r="GB13" s="390"/>
      <c r="GC13" s="390"/>
      <c r="GD13" s="390"/>
      <c r="GE13" s="390"/>
      <c r="GF13" s="390"/>
      <c r="GG13" s="390"/>
      <c r="GH13" s="390"/>
      <c r="GI13" s="390"/>
      <c r="GJ13" s="390"/>
      <c r="GK13" s="390"/>
      <c r="GL13" s="390"/>
      <c r="GM13" s="390"/>
      <c r="GN13" s="390"/>
      <c r="GO13" s="390"/>
      <c r="GP13" s="390"/>
      <c r="GQ13" s="390"/>
      <c r="GR13" s="390"/>
      <c r="GS13" s="390"/>
      <c r="GT13" s="390"/>
      <c r="GU13" s="390"/>
      <c r="GV13" s="390"/>
      <c r="GW13" s="390"/>
      <c r="GX13" s="390"/>
      <c r="GY13" s="390"/>
      <c r="GZ13" s="390"/>
      <c r="HA13" s="390"/>
      <c r="HB13" s="390"/>
      <c r="HC13" s="390"/>
      <c r="HD13" s="390"/>
      <c r="HE13" s="390"/>
      <c r="HF13" s="390"/>
      <c r="HG13" s="390"/>
      <c r="HH13" s="390"/>
      <c r="HI13" s="390"/>
      <c r="HJ13" s="390"/>
      <c r="HK13" s="390"/>
      <c r="HL13" s="390"/>
      <c r="HM13" s="390"/>
      <c r="HN13" s="390"/>
      <c r="HO13" s="390"/>
      <c r="HP13" s="390"/>
      <c r="HQ13" s="390"/>
      <c r="HR13" s="390"/>
      <c r="HS13" s="390"/>
      <c r="HT13" s="390"/>
      <c r="HU13" s="390"/>
      <c r="HV13" s="390"/>
      <c r="HW13" s="390"/>
      <c r="HX13" s="390"/>
      <c r="HY13" s="390"/>
      <c r="HZ13" s="390"/>
      <c r="IA13" s="390"/>
      <c r="IB13" s="390"/>
      <c r="IC13" s="390"/>
      <c r="ID13" s="390"/>
      <c r="IE13" s="390"/>
      <c r="IF13" s="390"/>
      <c r="IG13" s="390"/>
      <c r="IH13" s="390"/>
      <c r="II13" s="390"/>
      <c r="IJ13" s="390"/>
      <c r="IK13" s="390"/>
      <c r="IL13" s="390"/>
      <c r="IM13" s="390"/>
      <c r="IN13" s="390"/>
      <c r="IO13" s="390"/>
      <c r="IP13" s="390"/>
      <c r="IQ13" s="390"/>
      <c r="IR13" s="390"/>
      <c r="IS13" s="390"/>
      <c r="IT13" s="390"/>
      <c r="IU13" s="390"/>
      <c r="IV13" s="390"/>
      <c r="IW13" s="390"/>
      <c r="IX13" s="390"/>
      <c r="IY13" s="390"/>
      <c r="IZ13" s="390"/>
      <c r="JA13" s="390"/>
      <c r="JB13" s="390"/>
      <c r="JC13" s="390"/>
      <c r="JD13" s="390"/>
      <c r="JE13" s="390"/>
      <c r="JF13" s="390"/>
      <c r="JG13" s="390"/>
      <c r="JH13" s="390"/>
      <c r="JI13" s="390"/>
      <c r="JJ13" s="390"/>
      <c r="JK13" s="390"/>
      <c r="JL13" s="390"/>
      <c r="JM13" s="390"/>
      <c r="JN13" s="390"/>
      <c r="JO13" s="390"/>
      <c r="JP13" s="390"/>
      <c r="JQ13" s="390"/>
      <c r="JR13" s="390"/>
      <c r="JS13" s="390"/>
      <c r="JT13" s="390"/>
      <c r="JU13" s="390"/>
      <c r="JV13" s="390"/>
      <c r="JW13" s="390"/>
      <c r="JX13" s="390"/>
      <c r="JY13" s="390"/>
      <c r="JZ13" s="390"/>
      <c r="KA13" s="390"/>
      <c r="KB13" s="390"/>
      <c r="KC13" s="390"/>
      <c r="KD13" s="390"/>
      <c r="KE13" s="390"/>
      <c r="KF13" s="390"/>
      <c r="KG13" s="390"/>
      <c r="KH13" s="390"/>
      <c r="KI13" s="390"/>
      <c r="KJ13" s="390"/>
      <c r="KK13" s="390"/>
      <c r="KL13" s="390"/>
      <c r="KM13" s="390"/>
      <c r="KN13" s="390"/>
      <c r="KO13" s="390"/>
      <c r="KP13" s="390"/>
      <c r="KQ13" s="390"/>
      <c r="KR13" s="390"/>
      <c r="KS13" s="390"/>
      <c r="KT13" s="390"/>
      <c r="KU13" s="390"/>
      <c r="KV13" s="390"/>
      <c r="KW13" s="390"/>
      <c r="KX13" s="390"/>
      <c r="KY13" s="390"/>
      <c r="KZ13" s="390"/>
      <c r="LA13" s="390"/>
      <c r="LB13" s="390"/>
      <c r="LC13" s="390"/>
      <c r="LD13" s="390"/>
      <c r="LE13" s="390"/>
      <c r="LF13" s="390"/>
      <c r="LG13" s="390"/>
      <c r="LH13" s="390"/>
      <c r="LI13" s="390"/>
      <c r="LJ13" s="390"/>
      <c r="LK13" s="390"/>
      <c r="LL13" s="390"/>
      <c r="LM13" s="390"/>
      <c r="LN13" s="390"/>
      <c r="LO13" s="390"/>
      <c r="LP13" s="390"/>
      <c r="LQ13" s="390"/>
      <c r="LR13" s="390"/>
      <c r="LS13" s="390"/>
      <c r="LT13" s="390"/>
      <c r="LU13" s="390"/>
      <c r="LV13" s="390"/>
      <c r="LW13" s="390"/>
      <c r="LX13" s="390"/>
      <c r="LY13" s="390"/>
      <c r="LZ13" s="390"/>
      <c r="MA13" s="390"/>
      <c r="MB13" s="390"/>
      <c r="MC13" s="390"/>
      <c r="MD13" s="390"/>
      <c r="ME13" s="390"/>
      <c r="MF13" s="390"/>
      <c r="MG13" s="390"/>
      <c r="MH13" s="390"/>
      <c r="MI13" s="390"/>
      <c r="MJ13" s="390"/>
      <c r="MK13" s="390"/>
      <c r="ML13" s="390"/>
      <c r="MM13" s="390"/>
      <c r="MN13" s="390"/>
      <c r="MO13" s="390"/>
      <c r="MP13" s="390"/>
      <c r="MQ13" s="390"/>
      <c r="MR13" s="390"/>
      <c r="MS13" s="390"/>
      <c r="MT13" s="390"/>
      <c r="MU13" s="390"/>
      <c r="MV13" s="390"/>
      <c r="MW13" s="390"/>
      <c r="MX13" s="390"/>
      <c r="MY13" s="390"/>
      <c r="MZ13" s="390"/>
      <c r="NA13" s="390"/>
      <c r="NB13" s="390"/>
      <c r="NC13" s="390"/>
      <c r="ND13" s="390"/>
      <c r="NE13" s="390"/>
      <c r="NF13" s="390"/>
      <c r="NG13" s="390"/>
      <c r="NH13" s="390"/>
      <c r="NI13" s="390"/>
      <c r="NJ13" s="390"/>
      <c r="NK13" s="390"/>
      <c r="NL13" s="390"/>
      <c r="NM13" s="390"/>
      <c r="NN13" s="390"/>
      <c r="NO13" s="390"/>
      <c r="NP13" s="390"/>
      <c r="NQ13" s="390"/>
      <c r="NR13" s="390"/>
      <c r="NS13" s="390"/>
      <c r="NT13" s="390"/>
      <c r="NU13" s="390"/>
      <c r="NV13" s="390"/>
      <c r="NW13" s="390"/>
      <c r="NX13" s="390"/>
      <c r="NY13" s="390"/>
      <c r="NZ13" s="390"/>
      <c r="OA13" s="390"/>
      <c r="OB13" s="390"/>
      <c r="OC13" s="390"/>
      <c r="OD13" s="390"/>
      <c r="OE13" s="390"/>
      <c r="OF13" s="390"/>
      <c r="OG13" s="390"/>
      <c r="OH13" s="390"/>
      <c r="OI13" s="390"/>
      <c r="OJ13" s="390"/>
      <c r="OK13" s="390"/>
      <c r="OL13" s="390"/>
      <c r="OM13" s="390"/>
      <c r="ON13" s="390"/>
      <c r="OO13" s="390"/>
      <c r="OP13" s="390"/>
      <c r="OQ13" s="390"/>
      <c r="OR13" s="390"/>
      <c r="OS13" s="390"/>
      <c r="OT13" s="390"/>
      <c r="OU13" s="390"/>
      <c r="OV13" s="390"/>
      <c r="OW13" s="390"/>
      <c r="OX13" s="390"/>
      <c r="OY13" s="390"/>
      <c r="OZ13" s="390"/>
      <c r="PA13" s="390"/>
      <c r="PB13" s="390"/>
      <c r="PC13" s="390"/>
      <c r="PD13" s="390"/>
      <c r="PE13" s="390"/>
      <c r="PF13" s="390"/>
      <c r="PG13" s="390"/>
      <c r="PH13" s="390"/>
      <c r="PI13" s="390"/>
      <c r="PJ13" s="390"/>
      <c r="PK13" s="390"/>
      <c r="PL13" s="390"/>
      <c r="PM13" s="390"/>
      <c r="PN13" s="390"/>
      <c r="PO13" s="390"/>
      <c r="PP13" s="390"/>
      <c r="PQ13" s="390"/>
      <c r="PR13" s="390"/>
      <c r="PS13" s="390"/>
      <c r="PT13" s="390"/>
      <c r="PU13" s="390"/>
      <c r="PV13" s="390"/>
      <c r="PW13" s="390"/>
      <c r="PX13" s="390"/>
      <c r="PY13" s="390"/>
      <c r="PZ13" s="390"/>
      <c r="QA13" s="390"/>
      <c r="QB13" s="390"/>
      <c r="QC13" s="390"/>
      <c r="QD13" s="390"/>
      <c r="QE13" s="390"/>
      <c r="QF13" s="390"/>
      <c r="QG13" s="390"/>
      <c r="QH13" s="390"/>
      <c r="QI13" s="390"/>
      <c r="QJ13" s="390"/>
      <c r="QK13" s="390"/>
      <c r="QL13" s="390"/>
      <c r="QM13" s="390"/>
      <c r="QN13" s="390"/>
      <c r="QO13" s="390"/>
      <c r="QP13" s="390"/>
      <c r="QQ13" s="390"/>
      <c r="QR13" s="390"/>
      <c r="QS13" s="390"/>
      <c r="QT13" s="390"/>
      <c r="QU13" s="390"/>
      <c r="QV13" s="390"/>
      <c r="QW13" s="390"/>
      <c r="QX13" s="390"/>
      <c r="QY13" s="390"/>
      <c r="QZ13" s="390"/>
      <c r="RA13" s="390"/>
      <c r="RB13" s="390"/>
      <c r="RC13" s="390"/>
      <c r="RD13" s="390"/>
      <c r="RE13" s="390"/>
      <c r="RF13" s="390"/>
      <c r="RG13" s="390"/>
      <c r="RH13" s="390"/>
      <c r="RI13" s="390"/>
      <c r="RJ13" s="390"/>
      <c r="RK13" s="390"/>
      <c r="RL13" s="390"/>
      <c r="RM13" s="390"/>
      <c r="RN13" s="390"/>
      <c r="RO13" s="390"/>
      <c r="RP13" s="390"/>
      <c r="RQ13" s="390"/>
      <c r="RR13" s="390"/>
      <c r="RS13" s="390"/>
      <c r="RT13" s="390"/>
      <c r="RU13" s="390"/>
      <c r="RV13" s="390"/>
      <c r="RW13" s="390"/>
      <c r="RX13" s="390"/>
      <c r="RY13" s="390"/>
      <c r="RZ13" s="390"/>
      <c r="SA13" s="390"/>
      <c r="SB13" s="390"/>
      <c r="SC13" s="390"/>
      <c r="SD13" s="390"/>
      <c r="SE13" s="390"/>
      <c r="SF13" s="390"/>
      <c r="SG13" s="390"/>
      <c r="SH13" s="390"/>
      <c r="SI13" s="390"/>
      <c r="SJ13" s="390"/>
      <c r="SK13" s="390"/>
      <c r="SL13" s="390"/>
      <c r="SM13" s="390"/>
      <c r="SN13" s="390"/>
      <c r="SO13" s="390"/>
      <c r="SP13" s="390"/>
      <c r="SQ13" s="390"/>
      <c r="SR13" s="390"/>
      <c r="SS13" s="390"/>
      <c r="ST13" s="390"/>
      <c r="SU13" s="390"/>
      <c r="SV13" s="390"/>
      <c r="SW13" s="390"/>
      <c r="SX13" s="390"/>
      <c r="SY13" s="390"/>
      <c r="SZ13" s="390"/>
      <c r="TA13" s="390"/>
      <c r="TB13" s="390"/>
      <c r="TC13" s="390"/>
      <c r="TD13" s="390"/>
      <c r="TE13" s="390"/>
      <c r="TF13" s="390"/>
      <c r="TG13" s="390"/>
      <c r="TH13" s="390"/>
      <c r="TI13" s="390"/>
      <c r="TJ13" s="390"/>
      <c r="TK13" s="390"/>
      <c r="TL13" s="390"/>
      <c r="TM13" s="390"/>
      <c r="TN13" s="390"/>
      <c r="TO13" s="390"/>
      <c r="TP13" s="390"/>
      <c r="TQ13" s="390"/>
      <c r="TR13" s="390"/>
      <c r="TS13" s="390"/>
      <c r="TT13" s="390"/>
      <c r="TU13" s="390"/>
      <c r="TV13" s="390"/>
      <c r="TW13" s="390"/>
      <c r="TX13" s="390"/>
      <c r="TY13" s="390"/>
      <c r="TZ13" s="390"/>
      <c r="UA13" s="390"/>
      <c r="UB13" s="390"/>
      <c r="UC13" s="390"/>
      <c r="UD13" s="390"/>
      <c r="UE13" s="390"/>
      <c r="UF13" s="390"/>
      <c r="UG13" s="390"/>
      <c r="UH13" s="390"/>
      <c r="UI13" s="390"/>
      <c r="UJ13" s="390"/>
      <c r="UK13" s="390"/>
      <c r="UL13" s="390"/>
      <c r="UM13" s="390"/>
      <c r="UN13" s="390"/>
      <c r="UO13" s="390"/>
      <c r="UP13" s="390"/>
      <c r="UQ13" s="390"/>
      <c r="UR13" s="390"/>
      <c r="US13" s="390"/>
      <c r="UT13" s="390"/>
      <c r="UU13" s="390"/>
      <c r="UV13" s="390"/>
      <c r="UW13" s="390"/>
      <c r="UX13" s="390"/>
      <c r="UY13" s="390"/>
      <c r="UZ13" s="390"/>
      <c r="VA13" s="390"/>
      <c r="VB13" s="390"/>
      <c r="VC13" s="390"/>
      <c r="VD13" s="390"/>
      <c r="VE13" s="390"/>
      <c r="VF13" s="390"/>
      <c r="VG13" s="390"/>
      <c r="VH13" s="390"/>
      <c r="VI13" s="390"/>
      <c r="VJ13" s="390"/>
      <c r="VK13" s="390"/>
      <c r="VL13" s="390"/>
      <c r="VM13" s="390"/>
      <c r="VN13" s="390"/>
      <c r="VO13" s="390"/>
      <c r="VP13" s="390"/>
      <c r="VQ13" s="390"/>
      <c r="VR13" s="390"/>
      <c r="VS13" s="390"/>
      <c r="VT13" s="390"/>
      <c r="VU13" s="390"/>
      <c r="VV13" s="390"/>
      <c r="VW13" s="390"/>
      <c r="VX13" s="390"/>
      <c r="VY13" s="390"/>
      <c r="VZ13" s="390"/>
      <c r="WA13" s="390"/>
      <c r="WB13" s="390"/>
      <c r="WC13" s="390"/>
      <c r="WD13" s="390"/>
      <c r="WE13" s="390"/>
      <c r="WF13" s="390"/>
      <c r="WG13" s="390"/>
      <c r="WH13" s="390"/>
      <c r="WI13" s="390"/>
      <c r="WJ13" s="390"/>
      <c r="WK13" s="390"/>
      <c r="WL13" s="390"/>
      <c r="WM13" s="390"/>
      <c r="WN13" s="390"/>
      <c r="WO13" s="390"/>
      <c r="WP13" s="390"/>
      <c r="WQ13" s="390"/>
      <c r="WR13" s="390"/>
      <c r="WS13" s="390"/>
      <c r="WT13" s="390"/>
      <c r="WU13" s="390"/>
      <c r="WV13" s="390"/>
      <c r="WW13" s="390"/>
      <c r="WX13" s="390"/>
      <c r="WY13" s="390"/>
      <c r="WZ13" s="390"/>
      <c r="XA13" s="390"/>
      <c r="XB13" s="390"/>
      <c r="XC13" s="390"/>
      <c r="XD13" s="390"/>
      <c r="XE13" s="390"/>
      <c r="XF13" s="390"/>
      <c r="XG13" s="390"/>
      <c r="XH13" s="390"/>
      <c r="XI13" s="390"/>
      <c r="XJ13" s="390"/>
      <c r="XK13" s="390"/>
      <c r="XL13" s="390"/>
      <c r="XM13" s="390"/>
      <c r="XN13" s="390"/>
      <c r="XO13" s="390"/>
      <c r="XP13" s="390"/>
      <c r="XQ13" s="390"/>
      <c r="XR13" s="390"/>
      <c r="XS13" s="390"/>
      <c r="XT13" s="390"/>
      <c r="XU13" s="390"/>
      <c r="XV13" s="390"/>
      <c r="XW13" s="390"/>
      <c r="XX13" s="390"/>
      <c r="XY13" s="390"/>
      <c r="XZ13" s="390"/>
      <c r="YA13" s="390"/>
      <c r="YB13" s="390"/>
      <c r="YC13" s="390"/>
      <c r="YD13" s="390"/>
      <c r="YE13" s="390"/>
      <c r="YF13" s="390"/>
      <c r="YG13" s="390"/>
      <c r="YH13" s="390"/>
      <c r="YI13" s="390"/>
      <c r="YJ13" s="390"/>
      <c r="YK13" s="390"/>
      <c r="YL13" s="390"/>
      <c r="YM13" s="390"/>
      <c r="YN13" s="390"/>
      <c r="YO13" s="390"/>
      <c r="YP13" s="390"/>
      <c r="YQ13" s="390"/>
      <c r="YR13" s="390"/>
      <c r="YS13" s="390"/>
      <c r="YT13" s="390"/>
      <c r="YU13" s="390"/>
      <c r="YV13" s="390"/>
      <c r="YW13" s="390"/>
      <c r="YX13" s="390"/>
      <c r="YY13" s="390"/>
      <c r="YZ13" s="390"/>
      <c r="ZA13" s="390"/>
      <c r="ZB13" s="390"/>
      <c r="ZC13" s="390"/>
      <c r="ZD13" s="390"/>
      <c r="ZE13" s="390"/>
      <c r="ZF13" s="390"/>
      <c r="ZG13" s="390"/>
      <c r="ZH13" s="390"/>
      <c r="ZI13" s="390"/>
      <c r="ZJ13" s="390"/>
      <c r="ZK13" s="390"/>
      <c r="ZL13" s="390"/>
      <c r="ZM13" s="390"/>
      <c r="ZN13" s="390"/>
      <c r="ZO13" s="390"/>
      <c r="ZP13" s="390"/>
      <c r="ZQ13" s="390"/>
      <c r="ZR13" s="390"/>
      <c r="ZS13" s="390"/>
      <c r="ZT13" s="390"/>
      <c r="ZU13" s="390"/>
      <c r="ZV13" s="390"/>
      <c r="ZW13" s="390"/>
      <c r="ZX13" s="390"/>
      <c r="ZY13" s="390"/>
      <c r="ZZ13" s="390"/>
      <c r="AAA13" s="390"/>
      <c r="AAB13" s="390"/>
      <c r="AAC13" s="390"/>
      <c r="AAD13" s="390"/>
      <c r="AAE13" s="390"/>
      <c r="AAF13" s="390"/>
      <c r="AAG13" s="390"/>
      <c r="AAH13" s="390"/>
      <c r="AAI13" s="390"/>
      <c r="AAJ13" s="390"/>
      <c r="AAK13" s="390"/>
      <c r="AAL13" s="390"/>
      <c r="AAM13" s="390"/>
      <c r="AAN13" s="390"/>
      <c r="AAO13" s="390"/>
      <c r="AAP13" s="390"/>
      <c r="AAQ13" s="390"/>
      <c r="AAR13" s="390"/>
      <c r="AAS13" s="390"/>
      <c r="AAT13" s="390"/>
      <c r="AAU13" s="390"/>
      <c r="AAV13" s="390"/>
      <c r="AAW13" s="390"/>
      <c r="AAX13" s="390"/>
      <c r="AAY13" s="390"/>
      <c r="AAZ13" s="390"/>
      <c r="ABA13" s="390"/>
      <c r="ABB13" s="390"/>
      <c r="ABC13" s="390"/>
      <c r="ABD13" s="390"/>
      <c r="ABE13" s="390"/>
      <c r="ABF13" s="390"/>
      <c r="ABG13" s="390"/>
      <c r="ABH13" s="390"/>
      <c r="ABI13" s="390"/>
      <c r="ABJ13" s="390"/>
      <c r="ABK13" s="390"/>
      <c r="ABL13" s="390"/>
      <c r="ABM13" s="390"/>
      <c r="ABN13" s="390"/>
      <c r="ABO13" s="390"/>
      <c r="ABP13" s="390"/>
      <c r="ABQ13" s="390"/>
      <c r="ABR13" s="390"/>
      <c r="ABS13" s="390"/>
      <c r="ABT13" s="390"/>
      <c r="ABU13" s="390"/>
      <c r="ABV13" s="390"/>
      <c r="ABW13" s="390"/>
      <c r="ABX13" s="390"/>
      <c r="ABY13" s="390"/>
      <c r="ABZ13" s="390"/>
      <c r="ACA13" s="390"/>
      <c r="ACB13" s="390"/>
      <c r="ACC13" s="390"/>
      <c r="ACD13" s="390"/>
      <c r="ACE13" s="390"/>
      <c r="ACF13" s="390"/>
      <c r="ACG13" s="390"/>
      <c r="ACH13" s="390"/>
      <c r="ACI13" s="390"/>
    </row>
    <row r="14" spans="1:763" ht="13.95" customHeight="1" x14ac:dyDescent="0.3">
      <c r="A14" s="401" t="str">
        <f ca="1">Проект!$A$70</f>
        <v>выручка от реализации, без НДС</v>
      </c>
      <c r="B14" s="402"/>
      <c r="C14" s="402" t="str">
        <f ca="1">Проект!$C$70</f>
        <v>руб.</v>
      </c>
      <c r="D14" s="404">
        <f ca="1">SUM(Проект!$G$70:$R$70)</f>
        <v>10523784.988971079</v>
      </c>
      <c r="E14" s="404">
        <f ca="1">SUM(Проект!$S$70:$AD$70)</f>
        <v>30343161.739832934</v>
      </c>
      <c r="F14" s="404">
        <f ca="1">SUM(Проект!$AE$70:$AP$70)</f>
        <v>32163751.444222912</v>
      </c>
      <c r="G14" s="404">
        <f ca="1">SUM(Проект!$AQ$70:$BB$70)</f>
        <v>34093576.530876279</v>
      </c>
      <c r="H14" s="405">
        <f ca="1">Проект!$BD$70</f>
        <v>107124274.70390318</v>
      </c>
      <c r="I14" s="390"/>
      <c r="J14" s="390"/>
      <c r="K14" s="390"/>
      <c r="L14" s="390"/>
      <c r="M14" s="390"/>
      <c r="N14" s="390"/>
      <c r="O14" s="390"/>
      <c r="P14" s="390"/>
      <c r="Q14" s="390"/>
      <c r="R14" s="390"/>
      <c r="S14" s="390"/>
      <c r="T14" s="390"/>
      <c r="U14" s="390"/>
      <c r="V14" s="390"/>
      <c r="W14" s="390"/>
      <c r="X14" s="390"/>
      <c r="Y14" s="390"/>
      <c r="Z14" s="390"/>
      <c r="AA14" s="390"/>
      <c r="AB14" s="390"/>
      <c r="AC14" s="390"/>
      <c r="AD14" s="390"/>
      <c r="AE14" s="390"/>
      <c r="AF14" s="390"/>
      <c r="AG14" s="390"/>
      <c r="AH14" s="390"/>
      <c r="AI14" s="390"/>
      <c r="AJ14" s="390"/>
      <c r="AK14" s="390"/>
      <c r="AL14" s="390"/>
      <c r="AM14" s="390"/>
      <c r="AN14" s="390"/>
      <c r="AO14" s="390"/>
      <c r="AP14" s="390"/>
      <c r="AQ14" s="390"/>
      <c r="AR14" s="390"/>
      <c r="AS14" s="390"/>
      <c r="AT14" s="390"/>
      <c r="AU14" s="390"/>
      <c r="AV14" s="390"/>
      <c r="AW14" s="390"/>
      <c r="AX14" s="390"/>
      <c r="AY14" s="390"/>
      <c r="AZ14" s="390"/>
      <c r="BA14" s="390"/>
      <c r="BB14" s="390"/>
      <c r="BC14" s="390"/>
      <c r="BD14" s="390"/>
      <c r="BE14" s="390"/>
      <c r="BF14" s="390"/>
      <c r="BG14" s="390"/>
      <c r="BH14" s="390"/>
      <c r="BI14" s="390"/>
      <c r="BJ14" s="390"/>
      <c r="BK14" s="390"/>
      <c r="BL14" s="390"/>
      <c r="BM14" s="390"/>
      <c r="BN14" s="390"/>
      <c r="BO14" s="390"/>
      <c r="BP14" s="390"/>
      <c r="BQ14" s="390"/>
      <c r="BR14" s="390"/>
      <c r="BS14" s="390"/>
      <c r="BT14" s="390"/>
      <c r="BU14" s="390"/>
      <c r="BV14" s="390"/>
      <c r="BW14" s="390"/>
      <c r="BX14" s="390"/>
      <c r="BY14" s="390"/>
      <c r="BZ14" s="390"/>
      <c r="CA14" s="390"/>
      <c r="CB14" s="390"/>
      <c r="CC14" s="390"/>
      <c r="CD14" s="390"/>
      <c r="CE14" s="390"/>
      <c r="CF14" s="390"/>
      <c r="CG14" s="390"/>
      <c r="CH14" s="390"/>
      <c r="CI14" s="390"/>
      <c r="CJ14" s="390"/>
      <c r="CK14" s="390"/>
      <c r="CL14" s="390"/>
      <c r="CM14" s="390"/>
      <c r="CN14" s="390"/>
      <c r="CO14" s="390"/>
      <c r="CP14" s="390"/>
      <c r="CQ14" s="390"/>
      <c r="CR14" s="390"/>
      <c r="CS14" s="390"/>
      <c r="CT14" s="390"/>
      <c r="CU14" s="390"/>
      <c r="CV14" s="390"/>
      <c r="CW14" s="390"/>
      <c r="CX14" s="390"/>
      <c r="CY14" s="390"/>
      <c r="CZ14" s="390"/>
      <c r="DA14" s="390"/>
      <c r="DB14" s="390"/>
      <c r="DC14" s="390"/>
      <c r="DD14" s="390"/>
      <c r="DE14" s="390"/>
      <c r="DF14" s="390"/>
      <c r="DG14" s="390"/>
      <c r="DH14" s="390"/>
      <c r="DI14" s="390"/>
      <c r="DJ14" s="390"/>
      <c r="DK14" s="390"/>
      <c r="DL14" s="390"/>
      <c r="DM14" s="390"/>
      <c r="DN14" s="390"/>
      <c r="DO14" s="390"/>
      <c r="DP14" s="390"/>
      <c r="DQ14" s="390"/>
      <c r="DR14" s="390"/>
      <c r="DS14" s="390"/>
      <c r="DT14" s="390"/>
      <c r="DU14" s="390"/>
      <c r="DV14" s="390"/>
      <c r="DW14" s="390"/>
      <c r="DX14" s="390"/>
      <c r="DY14" s="390"/>
      <c r="DZ14" s="390"/>
      <c r="EA14" s="390"/>
      <c r="EB14" s="390"/>
      <c r="EC14" s="390"/>
      <c r="ED14" s="390"/>
      <c r="EE14" s="390"/>
      <c r="EF14" s="390"/>
      <c r="EG14" s="390"/>
      <c r="EH14" s="390"/>
      <c r="EI14" s="390"/>
      <c r="EJ14" s="390"/>
      <c r="EK14" s="390"/>
      <c r="EL14" s="390"/>
      <c r="EM14" s="390"/>
      <c r="EN14" s="390"/>
      <c r="EO14" s="390"/>
      <c r="EP14" s="390"/>
      <c r="EQ14" s="390"/>
      <c r="ER14" s="390"/>
      <c r="ES14" s="390"/>
      <c r="ET14" s="390"/>
      <c r="EU14" s="390"/>
      <c r="EV14" s="390"/>
      <c r="EW14" s="390"/>
      <c r="EX14" s="390"/>
      <c r="EY14" s="390"/>
      <c r="EZ14" s="390"/>
      <c r="FA14" s="390"/>
      <c r="FB14" s="390"/>
      <c r="FC14" s="390"/>
      <c r="FD14" s="390"/>
      <c r="FE14" s="390"/>
      <c r="FF14" s="390"/>
      <c r="FG14" s="390"/>
      <c r="FH14" s="390"/>
      <c r="FI14" s="390"/>
      <c r="FJ14" s="390"/>
      <c r="FK14" s="390"/>
      <c r="FL14" s="390"/>
      <c r="FM14" s="390"/>
      <c r="FN14" s="390"/>
      <c r="FO14" s="390"/>
      <c r="FP14" s="390"/>
      <c r="FQ14" s="390"/>
      <c r="FR14" s="390"/>
      <c r="FS14" s="390"/>
      <c r="FT14" s="390"/>
      <c r="FU14" s="390"/>
      <c r="FV14" s="390"/>
      <c r="FW14" s="390"/>
      <c r="FX14" s="390"/>
      <c r="FY14" s="390"/>
      <c r="FZ14" s="390"/>
      <c r="GA14" s="390"/>
      <c r="GB14" s="390"/>
      <c r="GC14" s="390"/>
      <c r="GD14" s="390"/>
      <c r="GE14" s="390"/>
      <c r="GF14" s="390"/>
      <c r="GG14" s="390"/>
      <c r="GH14" s="390"/>
      <c r="GI14" s="390"/>
      <c r="GJ14" s="390"/>
      <c r="GK14" s="390"/>
      <c r="GL14" s="390"/>
      <c r="GM14" s="390"/>
      <c r="GN14" s="390"/>
      <c r="GO14" s="390"/>
      <c r="GP14" s="390"/>
      <c r="GQ14" s="390"/>
      <c r="GR14" s="390"/>
      <c r="GS14" s="390"/>
      <c r="GT14" s="390"/>
      <c r="GU14" s="390"/>
      <c r="GV14" s="390"/>
      <c r="GW14" s="390"/>
      <c r="GX14" s="390"/>
      <c r="GY14" s="390"/>
      <c r="GZ14" s="390"/>
      <c r="HA14" s="390"/>
      <c r="HB14" s="390"/>
      <c r="HC14" s="390"/>
      <c r="HD14" s="390"/>
      <c r="HE14" s="390"/>
      <c r="HF14" s="390"/>
      <c r="HG14" s="390"/>
      <c r="HH14" s="390"/>
      <c r="HI14" s="390"/>
      <c r="HJ14" s="390"/>
      <c r="HK14" s="390"/>
      <c r="HL14" s="390"/>
      <c r="HM14" s="390"/>
      <c r="HN14" s="390"/>
      <c r="HO14" s="390"/>
      <c r="HP14" s="390"/>
      <c r="HQ14" s="390"/>
      <c r="HR14" s="390"/>
      <c r="HS14" s="390"/>
      <c r="HT14" s="390"/>
      <c r="HU14" s="390"/>
      <c r="HV14" s="390"/>
      <c r="HW14" s="390"/>
      <c r="HX14" s="390"/>
      <c r="HY14" s="390"/>
      <c r="HZ14" s="390"/>
      <c r="IA14" s="390"/>
      <c r="IB14" s="390"/>
      <c r="IC14" s="390"/>
      <c r="ID14" s="390"/>
      <c r="IE14" s="390"/>
      <c r="IF14" s="390"/>
      <c r="IG14" s="390"/>
      <c r="IH14" s="390"/>
      <c r="II14" s="390"/>
      <c r="IJ14" s="390"/>
      <c r="IK14" s="390"/>
      <c r="IL14" s="390"/>
      <c r="IM14" s="390"/>
      <c r="IN14" s="390"/>
      <c r="IO14" s="390"/>
      <c r="IP14" s="390"/>
      <c r="IQ14" s="390"/>
      <c r="IR14" s="390"/>
      <c r="IS14" s="390"/>
      <c r="IT14" s="390"/>
      <c r="IU14" s="390"/>
      <c r="IV14" s="390"/>
      <c r="IW14" s="390"/>
      <c r="IX14" s="390"/>
      <c r="IY14" s="390"/>
      <c r="IZ14" s="390"/>
      <c r="JA14" s="390"/>
      <c r="JB14" s="390"/>
      <c r="JC14" s="390"/>
      <c r="JD14" s="390"/>
      <c r="JE14" s="390"/>
      <c r="JF14" s="390"/>
      <c r="JG14" s="390"/>
      <c r="JH14" s="390"/>
      <c r="JI14" s="390"/>
      <c r="JJ14" s="390"/>
      <c r="JK14" s="390"/>
      <c r="JL14" s="390"/>
      <c r="JM14" s="390"/>
      <c r="JN14" s="390"/>
      <c r="JO14" s="390"/>
      <c r="JP14" s="390"/>
      <c r="JQ14" s="390"/>
      <c r="JR14" s="390"/>
      <c r="JS14" s="390"/>
      <c r="JT14" s="390"/>
      <c r="JU14" s="390"/>
      <c r="JV14" s="390"/>
      <c r="JW14" s="390"/>
      <c r="JX14" s="390"/>
      <c r="JY14" s="390"/>
      <c r="JZ14" s="390"/>
      <c r="KA14" s="390"/>
      <c r="KB14" s="390"/>
      <c r="KC14" s="390"/>
      <c r="KD14" s="390"/>
      <c r="KE14" s="390"/>
      <c r="KF14" s="390"/>
      <c r="KG14" s="390"/>
      <c r="KH14" s="390"/>
      <c r="KI14" s="390"/>
      <c r="KJ14" s="390"/>
      <c r="KK14" s="390"/>
      <c r="KL14" s="390"/>
      <c r="KM14" s="390"/>
      <c r="KN14" s="390"/>
      <c r="KO14" s="390"/>
      <c r="KP14" s="390"/>
      <c r="KQ14" s="390"/>
      <c r="KR14" s="390"/>
      <c r="KS14" s="390"/>
      <c r="KT14" s="390"/>
      <c r="KU14" s="390"/>
      <c r="KV14" s="390"/>
      <c r="KW14" s="390"/>
      <c r="KX14" s="390"/>
      <c r="KY14" s="390"/>
      <c r="KZ14" s="390"/>
      <c r="LA14" s="390"/>
      <c r="LB14" s="390"/>
      <c r="LC14" s="390"/>
      <c r="LD14" s="390"/>
      <c r="LE14" s="390"/>
      <c r="LF14" s="390"/>
      <c r="LG14" s="390"/>
      <c r="LH14" s="390"/>
      <c r="LI14" s="390"/>
      <c r="LJ14" s="390"/>
      <c r="LK14" s="390"/>
      <c r="LL14" s="390"/>
      <c r="LM14" s="390"/>
      <c r="LN14" s="390"/>
      <c r="LO14" s="390"/>
      <c r="LP14" s="390"/>
      <c r="LQ14" s="390"/>
      <c r="LR14" s="390"/>
      <c r="LS14" s="390"/>
      <c r="LT14" s="390"/>
      <c r="LU14" s="390"/>
      <c r="LV14" s="390"/>
      <c r="LW14" s="390"/>
      <c r="LX14" s="390"/>
      <c r="LY14" s="390"/>
      <c r="LZ14" s="390"/>
      <c r="MA14" s="390"/>
      <c r="MB14" s="390"/>
      <c r="MC14" s="390"/>
      <c r="MD14" s="390"/>
      <c r="ME14" s="390"/>
      <c r="MF14" s="390"/>
      <c r="MG14" s="390"/>
      <c r="MH14" s="390"/>
      <c r="MI14" s="390"/>
      <c r="MJ14" s="390"/>
      <c r="MK14" s="390"/>
      <c r="ML14" s="390"/>
      <c r="MM14" s="390"/>
      <c r="MN14" s="390"/>
      <c r="MO14" s="390"/>
      <c r="MP14" s="390"/>
      <c r="MQ14" s="390"/>
      <c r="MR14" s="390"/>
      <c r="MS14" s="390"/>
      <c r="MT14" s="390"/>
      <c r="MU14" s="390"/>
      <c r="MV14" s="390"/>
      <c r="MW14" s="390"/>
      <c r="MX14" s="390"/>
      <c r="MY14" s="390"/>
      <c r="MZ14" s="390"/>
      <c r="NA14" s="390"/>
      <c r="NB14" s="390"/>
      <c r="NC14" s="390"/>
      <c r="ND14" s="390"/>
      <c r="NE14" s="390"/>
      <c r="NF14" s="390"/>
      <c r="NG14" s="390"/>
      <c r="NH14" s="390"/>
      <c r="NI14" s="390"/>
      <c r="NJ14" s="390"/>
      <c r="NK14" s="390"/>
      <c r="NL14" s="390"/>
      <c r="NM14" s="390"/>
      <c r="NN14" s="390"/>
      <c r="NO14" s="390"/>
      <c r="NP14" s="390"/>
      <c r="NQ14" s="390"/>
      <c r="NR14" s="390"/>
      <c r="NS14" s="390"/>
      <c r="NT14" s="390"/>
      <c r="NU14" s="390"/>
      <c r="NV14" s="390"/>
      <c r="NW14" s="390"/>
      <c r="NX14" s="390"/>
      <c r="NY14" s="390"/>
      <c r="NZ14" s="390"/>
      <c r="OA14" s="390"/>
      <c r="OB14" s="390"/>
      <c r="OC14" s="390"/>
      <c r="OD14" s="390"/>
      <c r="OE14" s="390"/>
      <c r="OF14" s="390"/>
      <c r="OG14" s="390"/>
      <c r="OH14" s="390"/>
      <c r="OI14" s="390"/>
      <c r="OJ14" s="390"/>
      <c r="OK14" s="390"/>
      <c r="OL14" s="390"/>
      <c r="OM14" s="390"/>
      <c r="ON14" s="390"/>
      <c r="OO14" s="390"/>
      <c r="OP14" s="390"/>
      <c r="OQ14" s="390"/>
      <c r="OR14" s="390"/>
      <c r="OS14" s="390"/>
      <c r="OT14" s="390"/>
      <c r="OU14" s="390"/>
      <c r="OV14" s="390"/>
      <c r="OW14" s="390"/>
      <c r="OX14" s="390"/>
      <c r="OY14" s="390"/>
      <c r="OZ14" s="390"/>
      <c r="PA14" s="390"/>
      <c r="PB14" s="390"/>
      <c r="PC14" s="390"/>
      <c r="PD14" s="390"/>
      <c r="PE14" s="390"/>
      <c r="PF14" s="390"/>
      <c r="PG14" s="390"/>
      <c r="PH14" s="390"/>
      <c r="PI14" s="390"/>
      <c r="PJ14" s="390"/>
      <c r="PK14" s="390"/>
      <c r="PL14" s="390"/>
      <c r="PM14" s="390"/>
      <c r="PN14" s="390"/>
      <c r="PO14" s="390"/>
      <c r="PP14" s="390"/>
      <c r="PQ14" s="390"/>
      <c r="PR14" s="390"/>
      <c r="PS14" s="390"/>
      <c r="PT14" s="390"/>
      <c r="PU14" s="390"/>
      <c r="PV14" s="390"/>
      <c r="PW14" s="390"/>
      <c r="PX14" s="390"/>
      <c r="PY14" s="390"/>
      <c r="PZ14" s="390"/>
      <c r="QA14" s="390"/>
      <c r="QB14" s="390"/>
      <c r="QC14" s="390"/>
      <c r="QD14" s="390"/>
      <c r="QE14" s="390"/>
      <c r="QF14" s="390"/>
      <c r="QG14" s="390"/>
      <c r="QH14" s="390"/>
      <c r="QI14" s="390"/>
      <c r="QJ14" s="390"/>
      <c r="QK14" s="390"/>
      <c r="QL14" s="390"/>
      <c r="QM14" s="390"/>
      <c r="QN14" s="390"/>
      <c r="QO14" s="390"/>
      <c r="QP14" s="390"/>
      <c r="QQ14" s="390"/>
      <c r="QR14" s="390"/>
      <c r="QS14" s="390"/>
      <c r="QT14" s="390"/>
      <c r="QU14" s="390"/>
      <c r="QV14" s="390"/>
      <c r="QW14" s="390"/>
      <c r="QX14" s="390"/>
      <c r="QY14" s="390"/>
      <c r="QZ14" s="390"/>
      <c r="RA14" s="390"/>
      <c r="RB14" s="390"/>
      <c r="RC14" s="390"/>
      <c r="RD14" s="390"/>
      <c r="RE14" s="390"/>
      <c r="RF14" s="390"/>
      <c r="RG14" s="390"/>
      <c r="RH14" s="390"/>
      <c r="RI14" s="390"/>
      <c r="RJ14" s="390"/>
      <c r="RK14" s="390"/>
      <c r="RL14" s="390"/>
      <c r="RM14" s="390"/>
      <c r="RN14" s="390"/>
      <c r="RO14" s="390"/>
      <c r="RP14" s="390"/>
      <c r="RQ14" s="390"/>
      <c r="RR14" s="390"/>
      <c r="RS14" s="390"/>
      <c r="RT14" s="390"/>
      <c r="RU14" s="390"/>
      <c r="RV14" s="390"/>
      <c r="RW14" s="390"/>
      <c r="RX14" s="390"/>
      <c r="RY14" s="390"/>
      <c r="RZ14" s="390"/>
      <c r="SA14" s="390"/>
      <c r="SB14" s="390"/>
      <c r="SC14" s="390"/>
      <c r="SD14" s="390"/>
      <c r="SE14" s="390"/>
      <c r="SF14" s="390"/>
      <c r="SG14" s="390"/>
      <c r="SH14" s="390"/>
      <c r="SI14" s="390"/>
      <c r="SJ14" s="390"/>
      <c r="SK14" s="390"/>
      <c r="SL14" s="390"/>
      <c r="SM14" s="390"/>
      <c r="SN14" s="390"/>
      <c r="SO14" s="390"/>
      <c r="SP14" s="390"/>
      <c r="SQ14" s="390"/>
      <c r="SR14" s="390"/>
      <c r="SS14" s="390"/>
      <c r="ST14" s="390"/>
      <c r="SU14" s="390"/>
      <c r="SV14" s="390"/>
      <c r="SW14" s="390"/>
      <c r="SX14" s="390"/>
      <c r="SY14" s="390"/>
      <c r="SZ14" s="390"/>
      <c r="TA14" s="390"/>
      <c r="TB14" s="390"/>
      <c r="TC14" s="390"/>
      <c r="TD14" s="390"/>
      <c r="TE14" s="390"/>
      <c r="TF14" s="390"/>
      <c r="TG14" s="390"/>
      <c r="TH14" s="390"/>
      <c r="TI14" s="390"/>
      <c r="TJ14" s="390"/>
      <c r="TK14" s="390"/>
      <c r="TL14" s="390"/>
      <c r="TM14" s="390"/>
      <c r="TN14" s="390"/>
      <c r="TO14" s="390"/>
      <c r="TP14" s="390"/>
      <c r="TQ14" s="390"/>
      <c r="TR14" s="390"/>
      <c r="TS14" s="390"/>
      <c r="TT14" s="390"/>
      <c r="TU14" s="390"/>
      <c r="TV14" s="390"/>
      <c r="TW14" s="390"/>
      <c r="TX14" s="390"/>
      <c r="TY14" s="390"/>
      <c r="TZ14" s="390"/>
      <c r="UA14" s="390"/>
      <c r="UB14" s="390"/>
      <c r="UC14" s="390"/>
      <c r="UD14" s="390"/>
      <c r="UE14" s="390"/>
      <c r="UF14" s="390"/>
      <c r="UG14" s="390"/>
      <c r="UH14" s="390"/>
      <c r="UI14" s="390"/>
      <c r="UJ14" s="390"/>
      <c r="UK14" s="390"/>
      <c r="UL14" s="390"/>
      <c r="UM14" s="390"/>
      <c r="UN14" s="390"/>
      <c r="UO14" s="390"/>
      <c r="UP14" s="390"/>
      <c r="UQ14" s="390"/>
      <c r="UR14" s="390"/>
      <c r="US14" s="390"/>
      <c r="UT14" s="390"/>
      <c r="UU14" s="390"/>
      <c r="UV14" s="390"/>
      <c r="UW14" s="390"/>
      <c r="UX14" s="390"/>
      <c r="UY14" s="390"/>
      <c r="UZ14" s="390"/>
      <c r="VA14" s="390"/>
      <c r="VB14" s="390"/>
      <c r="VC14" s="390"/>
      <c r="VD14" s="390"/>
      <c r="VE14" s="390"/>
      <c r="VF14" s="390"/>
      <c r="VG14" s="390"/>
      <c r="VH14" s="390"/>
      <c r="VI14" s="390"/>
      <c r="VJ14" s="390"/>
      <c r="VK14" s="390"/>
      <c r="VL14" s="390"/>
      <c r="VM14" s="390"/>
      <c r="VN14" s="390"/>
      <c r="VO14" s="390"/>
      <c r="VP14" s="390"/>
      <c r="VQ14" s="390"/>
      <c r="VR14" s="390"/>
      <c r="VS14" s="390"/>
      <c r="VT14" s="390"/>
      <c r="VU14" s="390"/>
      <c r="VV14" s="390"/>
      <c r="VW14" s="390"/>
      <c r="VX14" s="390"/>
      <c r="VY14" s="390"/>
      <c r="VZ14" s="390"/>
      <c r="WA14" s="390"/>
      <c r="WB14" s="390"/>
      <c r="WC14" s="390"/>
      <c r="WD14" s="390"/>
      <c r="WE14" s="390"/>
      <c r="WF14" s="390"/>
      <c r="WG14" s="390"/>
      <c r="WH14" s="390"/>
      <c r="WI14" s="390"/>
      <c r="WJ14" s="390"/>
      <c r="WK14" s="390"/>
      <c r="WL14" s="390"/>
      <c r="WM14" s="390"/>
      <c r="WN14" s="390"/>
      <c r="WO14" s="390"/>
      <c r="WP14" s="390"/>
      <c r="WQ14" s="390"/>
      <c r="WR14" s="390"/>
      <c r="WS14" s="390"/>
      <c r="WT14" s="390"/>
      <c r="WU14" s="390"/>
      <c r="WV14" s="390"/>
      <c r="WW14" s="390"/>
      <c r="WX14" s="390"/>
      <c r="WY14" s="390"/>
      <c r="WZ14" s="390"/>
      <c r="XA14" s="390"/>
      <c r="XB14" s="390"/>
      <c r="XC14" s="390"/>
      <c r="XD14" s="390"/>
      <c r="XE14" s="390"/>
      <c r="XF14" s="390"/>
      <c r="XG14" s="390"/>
      <c r="XH14" s="390"/>
      <c r="XI14" s="390"/>
      <c r="XJ14" s="390"/>
      <c r="XK14" s="390"/>
      <c r="XL14" s="390"/>
      <c r="XM14" s="390"/>
      <c r="XN14" s="390"/>
      <c r="XO14" s="390"/>
      <c r="XP14" s="390"/>
      <c r="XQ14" s="390"/>
      <c r="XR14" s="390"/>
      <c r="XS14" s="390"/>
      <c r="XT14" s="390"/>
      <c r="XU14" s="390"/>
      <c r="XV14" s="390"/>
      <c r="XW14" s="390"/>
      <c r="XX14" s="390"/>
      <c r="XY14" s="390"/>
      <c r="XZ14" s="390"/>
      <c r="YA14" s="390"/>
      <c r="YB14" s="390"/>
      <c r="YC14" s="390"/>
      <c r="YD14" s="390"/>
      <c r="YE14" s="390"/>
      <c r="YF14" s="390"/>
      <c r="YG14" s="390"/>
      <c r="YH14" s="390"/>
      <c r="YI14" s="390"/>
      <c r="YJ14" s="390"/>
      <c r="YK14" s="390"/>
      <c r="YL14" s="390"/>
      <c r="YM14" s="390"/>
      <c r="YN14" s="390"/>
      <c r="YO14" s="390"/>
      <c r="YP14" s="390"/>
      <c r="YQ14" s="390"/>
      <c r="YR14" s="390"/>
      <c r="YS14" s="390"/>
      <c r="YT14" s="390"/>
      <c r="YU14" s="390"/>
      <c r="YV14" s="390"/>
      <c r="YW14" s="390"/>
      <c r="YX14" s="390"/>
      <c r="YY14" s="390"/>
      <c r="YZ14" s="390"/>
      <c r="ZA14" s="390"/>
      <c r="ZB14" s="390"/>
      <c r="ZC14" s="390"/>
      <c r="ZD14" s="390"/>
      <c r="ZE14" s="390"/>
      <c r="ZF14" s="390"/>
      <c r="ZG14" s="390"/>
      <c r="ZH14" s="390"/>
      <c r="ZI14" s="390"/>
      <c r="ZJ14" s="390"/>
      <c r="ZK14" s="390"/>
      <c r="ZL14" s="390"/>
      <c r="ZM14" s="390"/>
      <c r="ZN14" s="390"/>
      <c r="ZO14" s="390"/>
      <c r="ZP14" s="390"/>
      <c r="ZQ14" s="390"/>
      <c r="ZR14" s="390"/>
      <c r="ZS14" s="390"/>
      <c r="ZT14" s="390"/>
      <c r="ZU14" s="390"/>
      <c r="ZV14" s="390"/>
      <c r="ZW14" s="390"/>
      <c r="ZX14" s="390"/>
      <c r="ZY14" s="390"/>
      <c r="ZZ14" s="390"/>
      <c r="AAA14" s="390"/>
      <c r="AAB14" s="390"/>
      <c r="AAC14" s="390"/>
      <c r="AAD14" s="390"/>
      <c r="AAE14" s="390"/>
      <c r="AAF14" s="390"/>
      <c r="AAG14" s="390"/>
      <c r="AAH14" s="390"/>
      <c r="AAI14" s="390"/>
      <c r="AAJ14" s="390"/>
      <c r="AAK14" s="390"/>
      <c r="AAL14" s="390"/>
      <c r="AAM14" s="390"/>
      <c r="AAN14" s="390"/>
      <c r="AAO14" s="390"/>
      <c r="AAP14" s="390"/>
      <c r="AAQ14" s="390"/>
      <c r="AAR14" s="390"/>
      <c r="AAS14" s="390"/>
      <c r="AAT14" s="390"/>
      <c r="AAU14" s="390"/>
      <c r="AAV14" s="390"/>
      <c r="AAW14" s="390"/>
      <c r="AAX14" s="390"/>
      <c r="AAY14" s="390"/>
      <c r="AAZ14" s="390"/>
      <c r="ABA14" s="390"/>
      <c r="ABB14" s="390"/>
      <c r="ABC14" s="390"/>
      <c r="ABD14" s="390"/>
      <c r="ABE14" s="390"/>
      <c r="ABF14" s="390"/>
      <c r="ABG14" s="390"/>
      <c r="ABH14" s="390"/>
      <c r="ABI14" s="390"/>
      <c r="ABJ14" s="390"/>
      <c r="ABK14" s="390"/>
      <c r="ABL14" s="390"/>
      <c r="ABM14" s="390"/>
      <c r="ABN14" s="390"/>
      <c r="ABO14" s="390"/>
      <c r="ABP14" s="390"/>
      <c r="ABQ14" s="390"/>
      <c r="ABR14" s="390"/>
      <c r="ABS14" s="390"/>
      <c r="ABT14" s="390"/>
      <c r="ABU14" s="390"/>
      <c r="ABV14" s="390"/>
      <c r="ABW14" s="390"/>
      <c r="ABX14" s="390"/>
      <c r="ABY14" s="390"/>
      <c r="ABZ14" s="390"/>
      <c r="ACA14" s="390"/>
      <c r="ACB14" s="390"/>
      <c r="ACC14" s="390"/>
      <c r="ACD14" s="390"/>
      <c r="ACE14" s="390"/>
      <c r="ACF14" s="390"/>
      <c r="ACG14" s="390"/>
      <c r="ACH14" s="390"/>
      <c r="ACI14" s="390"/>
    </row>
    <row r="15" spans="1:763" ht="13.95" customHeight="1" x14ac:dyDescent="0.3">
      <c r="A15" s="390" t="str">
        <f>Проект!$A$86</f>
        <v>Дополнительные услуги и аренда</v>
      </c>
      <c r="B15" s="394"/>
      <c r="C15" s="395"/>
      <c r="D15" s="390"/>
      <c r="E15" s="390"/>
      <c r="F15" s="390"/>
      <c r="G15" s="390"/>
      <c r="H15" s="396"/>
      <c r="I15" s="390"/>
      <c r="J15" s="390"/>
      <c r="K15" s="390"/>
      <c r="L15" s="390"/>
      <c r="M15" s="390"/>
      <c r="N15" s="390"/>
      <c r="O15" s="390"/>
      <c r="P15" s="390"/>
      <c r="Q15" s="390"/>
      <c r="R15" s="390"/>
      <c r="S15" s="390"/>
      <c r="T15" s="390"/>
      <c r="U15" s="390"/>
      <c r="V15" s="390"/>
      <c r="W15" s="390"/>
      <c r="X15" s="390"/>
      <c r="Y15" s="390"/>
      <c r="Z15" s="390"/>
      <c r="AA15" s="390"/>
      <c r="AB15" s="390"/>
      <c r="AC15" s="390"/>
      <c r="AD15" s="390"/>
      <c r="AE15" s="390"/>
      <c r="AF15" s="390"/>
      <c r="AG15" s="390"/>
      <c r="AH15" s="390"/>
      <c r="AI15" s="390"/>
      <c r="AJ15" s="390"/>
      <c r="AK15" s="390"/>
      <c r="AL15" s="390"/>
      <c r="AM15" s="390"/>
      <c r="AN15" s="390"/>
      <c r="AO15" s="390"/>
      <c r="AP15" s="390"/>
      <c r="AQ15" s="390"/>
      <c r="AR15" s="390"/>
      <c r="AS15" s="390"/>
      <c r="AT15" s="390"/>
      <c r="AU15" s="390"/>
      <c r="AV15" s="390"/>
      <c r="AW15" s="390"/>
      <c r="AX15" s="390"/>
      <c r="AY15" s="390"/>
      <c r="AZ15" s="390"/>
      <c r="BA15" s="390"/>
      <c r="BB15" s="390"/>
      <c r="BC15" s="390"/>
      <c r="BD15" s="390"/>
      <c r="BE15" s="390"/>
      <c r="BF15" s="390"/>
      <c r="BG15" s="390"/>
      <c r="BH15" s="390"/>
      <c r="BI15" s="390"/>
      <c r="BJ15" s="390"/>
      <c r="BK15" s="390"/>
      <c r="BL15" s="390"/>
      <c r="BM15" s="390"/>
      <c r="BN15" s="390"/>
      <c r="BO15" s="390"/>
      <c r="BP15" s="390"/>
      <c r="BQ15" s="390"/>
      <c r="BR15" s="390"/>
      <c r="BS15" s="390"/>
      <c r="BT15" s="390"/>
      <c r="BU15" s="390"/>
      <c r="BV15" s="390"/>
      <c r="BW15" s="390"/>
      <c r="BX15" s="390"/>
      <c r="BY15" s="390"/>
      <c r="BZ15" s="390"/>
      <c r="CA15" s="390"/>
      <c r="CB15" s="390"/>
      <c r="CC15" s="390"/>
      <c r="CD15" s="390"/>
      <c r="CE15" s="390"/>
      <c r="CF15" s="390"/>
      <c r="CG15" s="390"/>
      <c r="CH15" s="390"/>
      <c r="CI15" s="390"/>
      <c r="CJ15" s="390"/>
      <c r="CK15" s="390"/>
      <c r="CL15" s="390"/>
      <c r="CM15" s="390"/>
      <c r="CN15" s="390"/>
      <c r="CO15" s="390"/>
      <c r="CP15" s="390"/>
      <c r="CQ15" s="390"/>
      <c r="CR15" s="390"/>
      <c r="CS15" s="390"/>
      <c r="CT15" s="390"/>
      <c r="CU15" s="390"/>
      <c r="CV15" s="390"/>
      <c r="CW15" s="390"/>
      <c r="CX15" s="390"/>
      <c r="CY15" s="390"/>
      <c r="CZ15" s="390"/>
      <c r="DA15" s="390"/>
      <c r="DB15" s="390"/>
      <c r="DC15" s="390"/>
      <c r="DD15" s="390"/>
      <c r="DE15" s="390"/>
      <c r="DF15" s="390"/>
      <c r="DG15" s="390"/>
      <c r="DH15" s="390"/>
      <c r="DI15" s="390"/>
      <c r="DJ15" s="390"/>
      <c r="DK15" s="390"/>
      <c r="DL15" s="390"/>
      <c r="DM15" s="390"/>
      <c r="DN15" s="390"/>
      <c r="DO15" s="390"/>
      <c r="DP15" s="390"/>
      <c r="DQ15" s="390"/>
      <c r="DR15" s="390"/>
      <c r="DS15" s="390"/>
      <c r="DT15" s="390"/>
      <c r="DU15" s="390"/>
      <c r="DV15" s="390"/>
      <c r="DW15" s="390"/>
      <c r="DX15" s="390"/>
      <c r="DY15" s="390"/>
      <c r="DZ15" s="390"/>
      <c r="EA15" s="390"/>
      <c r="EB15" s="390"/>
      <c r="EC15" s="390"/>
      <c r="ED15" s="390"/>
      <c r="EE15" s="390"/>
      <c r="EF15" s="390"/>
      <c r="EG15" s="390"/>
      <c r="EH15" s="390"/>
      <c r="EI15" s="390"/>
      <c r="EJ15" s="390"/>
      <c r="EK15" s="390"/>
      <c r="EL15" s="390"/>
      <c r="EM15" s="390"/>
      <c r="EN15" s="390"/>
      <c r="EO15" s="390"/>
      <c r="EP15" s="390"/>
      <c r="EQ15" s="390"/>
      <c r="ER15" s="390"/>
      <c r="ES15" s="390"/>
      <c r="ET15" s="390"/>
      <c r="EU15" s="390"/>
      <c r="EV15" s="390"/>
      <c r="EW15" s="390"/>
      <c r="EX15" s="390"/>
      <c r="EY15" s="390"/>
      <c r="EZ15" s="390"/>
      <c r="FA15" s="390"/>
      <c r="FB15" s="390"/>
      <c r="FC15" s="390"/>
      <c r="FD15" s="390"/>
      <c r="FE15" s="390"/>
      <c r="FF15" s="390"/>
      <c r="FG15" s="390"/>
      <c r="FH15" s="390"/>
      <c r="FI15" s="390"/>
      <c r="FJ15" s="390"/>
      <c r="FK15" s="390"/>
      <c r="FL15" s="390"/>
      <c r="FM15" s="390"/>
      <c r="FN15" s="390"/>
      <c r="FO15" s="390"/>
      <c r="FP15" s="390"/>
      <c r="FQ15" s="390"/>
      <c r="FR15" s="390"/>
      <c r="FS15" s="390"/>
      <c r="FT15" s="390"/>
      <c r="FU15" s="390"/>
      <c r="FV15" s="390"/>
      <c r="FW15" s="390"/>
      <c r="FX15" s="390"/>
      <c r="FY15" s="390"/>
      <c r="FZ15" s="390"/>
      <c r="GA15" s="390"/>
      <c r="GB15" s="390"/>
      <c r="GC15" s="390"/>
      <c r="GD15" s="390"/>
      <c r="GE15" s="390"/>
      <c r="GF15" s="390"/>
      <c r="GG15" s="390"/>
      <c r="GH15" s="390"/>
      <c r="GI15" s="390"/>
      <c r="GJ15" s="390"/>
      <c r="GK15" s="390"/>
      <c r="GL15" s="390"/>
      <c r="GM15" s="390"/>
      <c r="GN15" s="390"/>
      <c r="GO15" s="390"/>
      <c r="GP15" s="390"/>
      <c r="GQ15" s="390"/>
      <c r="GR15" s="390"/>
      <c r="GS15" s="390"/>
      <c r="GT15" s="390"/>
      <c r="GU15" s="390"/>
      <c r="GV15" s="390"/>
      <c r="GW15" s="390"/>
      <c r="GX15" s="390"/>
      <c r="GY15" s="390"/>
      <c r="GZ15" s="390"/>
      <c r="HA15" s="390"/>
      <c r="HB15" s="390"/>
      <c r="HC15" s="390"/>
      <c r="HD15" s="390"/>
      <c r="HE15" s="390"/>
      <c r="HF15" s="390"/>
      <c r="HG15" s="390"/>
      <c r="HH15" s="390"/>
      <c r="HI15" s="390"/>
      <c r="HJ15" s="390"/>
      <c r="HK15" s="390"/>
      <c r="HL15" s="390"/>
      <c r="HM15" s="390"/>
      <c r="HN15" s="390"/>
      <c r="HO15" s="390"/>
      <c r="HP15" s="390"/>
      <c r="HQ15" s="390"/>
      <c r="HR15" s="390"/>
      <c r="HS15" s="390"/>
      <c r="HT15" s="390"/>
      <c r="HU15" s="390"/>
      <c r="HV15" s="390"/>
      <c r="HW15" s="390"/>
      <c r="HX15" s="390"/>
      <c r="HY15" s="390"/>
      <c r="HZ15" s="390"/>
      <c r="IA15" s="390"/>
      <c r="IB15" s="390"/>
      <c r="IC15" s="390"/>
      <c r="ID15" s="390"/>
      <c r="IE15" s="390"/>
      <c r="IF15" s="390"/>
      <c r="IG15" s="390"/>
      <c r="IH15" s="390"/>
      <c r="II15" s="390"/>
      <c r="IJ15" s="390"/>
      <c r="IK15" s="390"/>
      <c r="IL15" s="390"/>
      <c r="IM15" s="390"/>
      <c r="IN15" s="390"/>
      <c r="IO15" s="390"/>
      <c r="IP15" s="390"/>
      <c r="IQ15" s="390"/>
      <c r="IR15" s="390"/>
      <c r="IS15" s="390"/>
      <c r="IT15" s="390"/>
      <c r="IU15" s="390"/>
      <c r="IV15" s="390"/>
      <c r="IW15" s="390"/>
      <c r="IX15" s="390"/>
      <c r="IY15" s="390"/>
      <c r="IZ15" s="390"/>
      <c r="JA15" s="390"/>
      <c r="JB15" s="390"/>
      <c r="JC15" s="390"/>
      <c r="JD15" s="390"/>
      <c r="JE15" s="390"/>
      <c r="JF15" s="390"/>
      <c r="JG15" s="390"/>
      <c r="JH15" s="390"/>
      <c r="JI15" s="390"/>
      <c r="JJ15" s="390"/>
      <c r="JK15" s="390"/>
      <c r="JL15" s="390"/>
      <c r="JM15" s="390"/>
      <c r="JN15" s="390"/>
      <c r="JO15" s="390"/>
      <c r="JP15" s="390"/>
      <c r="JQ15" s="390"/>
      <c r="JR15" s="390"/>
      <c r="JS15" s="390"/>
      <c r="JT15" s="390"/>
      <c r="JU15" s="390"/>
      <c r="JV15" s="390"/>
      <c r="JW15" s="390"/>
      <c r="JX15" s="390"/>
      <c r="JY15" s="390"/>
      <c r="JZ15" s="390"/>
      <c r="KA15" s="390"/>
      <c r="KB15" s="390"/>
      <c r="KC15" s="390"/>
      <c r="KD15" s="390"/>
      <c r="KE15" s="390"/>
      <c r="KF15" s="390"/>
      <c r="KG15" s="390"/>
      <c r="KH15" s="390"/>
      <c r="KI15" s="390"/>
      <c r="KJ15" s="390"/>
      <c r="KK15" s="390"/>
      <c r="KL15" s="390"/>
      <c r="KM15" s="390"/>
      <c r="KN15" s="390"/>
      <c r="KO15" s="390"/>
      <c r="KP15" s="390"/>
      <c r="KQ15" s="390"/>
      <c r="KR15" s="390"/>
      <c r="KS15" s="390"/>
      <c r="KT15" s="390"/>
      <c r="KU15" s="390"/>
      <c r="KV15" s="390"/>
      <c r="KW15" s="390"/>
      <c r="KX15" s="390"/>
      <c r="KY15" s="390"/>
      <c r="KZ15" s="390"/>
      <c r="LA15" s="390"/>
      <c r="LB15" s="390"/>
      <c r="LC15" s="390"/>
      <c r="LD15" s="390"/>
      <c r="LE15" s="390"/>
      <c r="LF15" s="390"/>
      <c r="LG15" s="390"/>
      <c r="LH15" s="390"/>
      <c r="LI15" s="390"/>
      <c r="LJ15" s="390"/>
      <c r="LK15" s="390"/>
      <c r="LL15" s="390"/>
      <c r="LM15" s="390"/>
      <c r="LN15" s="390"/>
      <c r="LO15" s="390"/>
      <c r="LP15" s="390"/>
      <c r="LQ15" s="390"/>
      <c r="LR15" s="390"/>
      <c r="LS15" s="390"/>
      <c r="LT15" s="390"/>
      <c r="LU15" s="390"/>
      <c r="LV15" s="390"/>
      <c r="LW15" s="390"/>
      <c r="LX15" s="390"/>
      <c r="LY15" s="390"/>
      <c r="LZ15" s="390"/>
      <c r="MA15" s="390"/>
      <c r="MB15" s="390"/>
      <c r="MC15" s="390"/>
      <c r="MD15" s="390"/>
      <c r="ME15" s="390"/>
      <c r="MF15" s="390"/>
      <c r="MG15" s="390"/>
      <c r="MH15" s="390"/>
      <c r="MI15" s="390"/>
      <c r="MJ15" s="390"/>
      <c r="MK15" s="390"/>
      <c r="ML15" s="390"/>
      <c r="MM15" s="390"/>
      <c r="MN15" s="390"/>
      <c r="MO15" s="390"/>
      <c r="MP15" s="390"/>
      <c r="MQ15" s="390"/>
      <c r="MR15" s="390"/>
      <c r="MS15" s="390"/>
      <c r="MT15" s="390"/>
      <c r="MU15" s="390"/>
      <c r="MV15" s="390"/>
      <c r="MW15" s="390"/>
      <c r="MX15" s="390"/>
      <c r="MY15" s="390"/>
      <c r="MZ15" s="390"/>
      <c r="NA15" s="390"/>
      <c r="NB15" s="390"/>
      <c r="NC15" s="390"/>
      <c r="ND15" s="390"/>
      <c r="NE15" s="390"/>
      <c r="NF15" s="390"/>
      <c r="NG15" s="390"/>
      <c r="NH15" s="390"/>
      <c r="NI15" s="390"/>
      <c r="NJ15" s="390"/>
      <c r="NK15" s="390"/>
      <c r="NL15" s="390"/>
      <c r="NM15" s="390"/>
      <c r="NN15" s="390"/>
      <c r="NO15" s="390"/>
      <c r="NP15" s="390"/>
      <c r="NQ15" s="390"/>
      <c r="NR15" s="390"/>
      <c r="NS15" s="390"/>
      <c r="NT15" s="390"/>
      <c r="NU15" s="390"/>
      <c r="NV15" s="390"/>
      <c r="NW15" s="390"/>
      <c r="NX15" s="390"/>
      <c r="NY15" s="390"/>
      <c r="NZ15" s="390"/>
      <c r="OA15" s="390"/>
      <c r="OB15" s="390"/>
      <c r="OC15" s="390"/>
      <c r="OD15" s="390"/>
      <c r="OE15" s="390"/>
      <c r="OF15" s="390"/>
      <c r="OG15" s="390"/>
      <c r="OH15" s="390"/>
      <c r="OI15" s="390"/>
      <c r="OJ15" s="390"/>
      <c r="OK15" s="390"/>
      <c r="OL15" s="390"/>
      <c r="OM15" s="390"/>
      <c r="ON15" s="390"/>
      <c r="OO15" s="390"/>
      <c r="OP15" s="390"/>
      <c r="OQ15" s="390"/>
      <c r="OR15" s="390"/>
      <c r="OS15" s="390"/>
      <c r="OT15" s="390"/>
      <c r="OU15" s="390"/>
      <c r="OV15" s="390"/>
      <c r="OW15" s="390"/>
      <c r="OX15" s="390"/>
      <c r="OY15" s="390"/>
      <c r="OZ15" s="390"/>
      <c r="PA15" s="390"/>
      <c r="PB15" s="390"/>
      <c r="PC15" s="390"/>
      <c r="PD15" s="390"/>
      <c r="PE15" s="390"/>
      <c r="PF15" s="390"/>
      <c r="PG15" s="390"/>
      <c r="PH15" s="390"/>
      <c r="PI15" s="390"/>
      <c r="PJ15" s="390"/>
      <c r="PK15" s="390"/>
      <c r="PL15" s="390"/>
      <c r="PM15" s="390"/>
      <c r="PN15" s="390"/>
      <c r="PO15" s="390"/>
      <c r="PP15" s="390"/>
      <c r="PQ15" s="390"/>
      <c r="PR15" s="390"/>
      <c r="PS15" s="390"/>
      <c r="PT15" s="390"/>
      <c r="PU15" s="390"/>
      <c r="PV15" s="390"/>
      <c r="PW15" s="390"/>
      <c r="PX15" s="390"/>
      <c r="PY15" s="390"/>
      <c r="PZ15" s="390"/>
      <c r="QA15" s="390"/>
      <c r="QB15" s="390"/>
      <c r="QC15" s="390"/>
      <c r="QD15" s="390"/>
      <c r="QE15" s="390"/>
      <c r="QF15" s="390"/>
      <c r="QG15" s="390"/>
      <c r="QH15" s="390"/>
      <c r="QI15" s="390"/>
      <c r="QJ15" s="390"/>
      <c r="QK15" s="390"/>
      <c r="QL15" s="390"/>
      <c r="QM15" s="390"/>
      <c r="QN15" s="390"/>
      <c r="QO15" s="390"/>
      <c r="QP15" s="390"/>
      <c r="QQ15" s="390"/>
      <c r="QR15" s="390"/>
      <c r="QS15" s="390"/>
      <c r="QT15" s="390"/>
      <c r="QU15" s="390"/>
      <c r="QV15" s="390"/>
      <c r="QW15" s="390"/>
      <c r="QX15" s="390"/>
      <c r="QY15" s="390"/>
      <c r="QZ15" s="390"/>
      <c r="RA15" s="390"/>
      <c r="RB15" s="390"/>
      <c r="RC15" s="390"/>
      <c r="RD15" s="390"/>
      <c r="RE15" s="390"/>
      <c r="RF15" s="390"/>
      <c r="RG15" s="390"/>
      <c r="RH15" s="390"/>
      <c r="RI15" s="390"/>
      <c r="RJ15" s="390"/>
      <c r="RK15" s="390"/>
      <c r="RL15" s="390"/>
      <c r="RM15" s="390"/>
      <c r="RN15" s="390"/>
      <c r="RO15" s="390"/>
      <c r="RP15" s="390"/>
      <c r="RQ15" s="390"/>
      <c r="RR15" s="390"/>
      <c r="RS15" s="390"/>
      <c r="RT15" s="390"/>
      <c r="RU15" s="390"/>
      <c r="RV15" s="390"/>
      <c r="RW15" s="390"/>
      <c r="RX15" s="390"/>
      <c r="RY15" s="390"/>
      <c r="RZ15" s="390"/>
      <c r="SA15" s="390"/>
      <c r="SB15" s="390"/>
      <c r="SC15" s="390"/>
      <c r="SD15" s="390"/>
      <c r="SE15" s="390"/>
      <c r="SF15" s="390"/>
      <c r="SG15" s="390"/>
      <c r="SH15" s="390"/>
      <c r="SI15" s="390"/>
      <c r="SJ15" s="390"/>
      <c r="SK15" s="390"/>
      <c r="SL15" s="390"/>
      <c r="SM15" s="390"/>
      <c r="SN15" s="390"/>
      <c r="SO15" s="390"/>
      <c r="SP15" s="390"/>
      <c r="SQ15" s="390"/>
      <c r="SR15" s="390"/>
      <c r="SS15" s="390"/>
      <c r="ST15" s="390"/>
      <c r="SU15" s="390"/>
      <c r="SV15" s="390"/>
      <c r="SW15" s="390"/>
      <c r="SX15" s="390"/>
      <c r="SY15" s="390"/>
      <c r="SZ15" s="390"/>
      <c r="TA15" s="390"/>
      <c r="TB15" s="390"/>
      <c r="TC15" s="390"/>
      <c r="TD15" s="390"/>
      <c r="TE15" s="390"/>
      <c r="TF15" s="390"/>
      <c r="TG15" s="390"/>
      <c r="TH15" s="390"/>
      <c r="TI15" s="390"/>
      <c r="TJ15" s="390"/>
      <c r="TK15" s="390"/>
      <c r="TL15" s="390"/>
      <c r="TM15" s="390"/>
      <c r="TN15" s="390"/>
      <c r="TO15" s="390"/>
      <c r="TP15" s="390"/>
      <c r="TQ15" s="390"/>
      <c r="TR15" s="390"/>
      <c r="TS15" s="390"/>
      <c r="TT15" s="390"/>
      <c r="TU15" s="390"/>
      <c r="TV15" s="390"/>
      <c r="TW15" s="390"/>
      <c r="TX15" s="390"/>
      <c r="TY15" s="390"/>
      <c r="TZ15" s="390"/>
      <c r="UA15" s="390"/>
      <c r="UB15" s="390"/>
      <c r="UC15" s="390"/>
      <c r="UD15" s="390"/>
      <c r="UE15" s="390"/>
      <c r="UF15" s="390"/>
      <c r="UG15" s="390"/>
      <c r="UH15" s="390"/>
      <c r="UI15" s="390"/>
      <c r="UJ15" s="390"/>
      <c r="UK15" s="390"/>
      <c r="UL15" s="390"/>
      <c r="UM15" s="390"/>
      <c r="UN15" s="390"/>
      <c r="UO15" s="390"/>
      <c r="UP15" s="390"/>
      <c r="UQ15" s="390"/>
      <c r="UR15" s="390"/>
      <c r="US15" s="390"/>
      <c r="UT15" s="390"/>
      <c r="UU15" s="390"/>
      <c r="UV15" s="390"/>
      <c r="UW15" s="390"/>
      <c r="UX15" s="390"/>
      <c r="UY15" s="390"/>
      <c r="UZ15" s="390"/>
      <c r="VA15" s="390"/>
      <c r="VB15" s="390"/>
      <c r="VC15" s="390"/>
      <c r="VD15" s="390"/>
      <c r="VE15" s="390"/>
      <c r="VF15" s="390"/>
      <c r="VG15" s="390"/>
      <c r="VH15" s="390"/>
      <c r="VI15" s="390"/>
      <c r="VJ15" s="390"/>
      <c r="VK15" s="390"/>
      <c r="VL15" s="390"/>
      <c r="VM15" s="390"/>
      <c r="VN15" s="390"/>
      <c r="VO15" s="390"/>
      <c r="VP15" s="390"/>
      <c r="VQ15" s="390"/>
      <c r="VR15" s="390"/>
      <c r="VS15" s="390"/>
      <c r="VT15" s="390"/>
      <c r="VU15" s="390"/>
      <c r="VV15" s="390"/>
      <c r="VW15" s="390"/>
      <c r="VX15" s="390"/>
      <c r="VY15" s="390"/>
      <c r="VZ15" s="390"/>
      <c r="WA15" s="390"/>
      <c r="WB15" s="390"/>
      <c r="WC15" s="390"/>
      <c r="WD15" s="390"/>
      <c r="WE15" s="390"/>
      <c r="WF15" s="390"/>
      <c r="WG15" s="390"/>
      <c r="WH15" s="390"/>
      <c r="WI15" s="390"/>
      <c r="WJ15" s="390"/>
      <c r="WK15" s="390"/>
      <c r="WL15" s="390"/>
      <c r="WM15" s="390"/>
      <c r="WN15" s="390"/>
      <c r="WO15" s="390"/>
      <c r="WP15" s="390"/>
      <c r="WQ15" s="390"/>
      <c r="WR15" s="390"/>
      <c r="WS15" s="390"/>
      <c r="WT15" s="390"/>
      <c r="WU15" s="390"/>
      <c r="WV15" s="390"/>
      <c r="WW15" s="390"/>
      <c r="WX15" s="390"/>
      <c r="WY15" s="390"/>
      <c r="WZ15" s="390"/>
      <c r="XA15" s="390"/>
      <c r="XB15" s="390"/>
      <c r="XC15" s="390"/>
      <c r="XD15" s="390"/>
      <c r="XE15" s="390"/>
      <c r="XF15" s="390"/>
      <c r="XG15" s="390"/>
      <c r="XH15" s="390"/>
      <c r="XI15" s="390"/>
      <c r="XJ15" s="390"/>
      <c r="XK15" s="390"/>
      <c r="XL15" s="390"/>
      <c r="XM15" s="390"/>
      <c r="XN15" s="390"/>
      <c r="XO15" s="390"/>
      <c r="XP15" s="390"/>
      <c r="XQ15" s="390"/>
      <c r="XR15" s="390"/>
      <c r="XS15" s="390"/>
      <c r="XT15" s="390"/>
      <c r="XU15" s="390"/>
      <c r="XV15" s="390"/>
      <c r="XW15" s="390"/>
      <c r="XX15" s="390"/>
      <c r="XY15" s="390"/>
      <c r="XZ15" s="390"/>
      <c r="YA15" s="390"/>
      <c r="YB15" s="390"/>
      <c r="YC15" s="390"/>
      <c r="YD15" s="390"/>
      <c r="YE15" s="390"/>
      <c r="YF15" s="390"/>
      <c r="YG15" s="390"/>
      <c r="YH15" s="390"/>
      <c r="YI15" s="390"/>
      <c r="YJ15" s="390"/>
      <c r="YK15" s="390"/>
      <c r="YL15" s="390"/>
      <c r="YM15" s="390"/>
      <c r="YN15" s="390"/>
      <c r="YO15" s="390"/>
      <c r="YP15" s="390"/>
      <c r="YQ15" s="390"/>
      <c r="YR15" s="390"/>
      <c r="YS15" s="390"/>
      <c r="YT15" s="390"/>
      <c r="YU15" s="390"/>
      <c r="YV15" s="390"/>
      <c r="YW15" s="390"/>
      <c r="YX15" s="390"/>
      <c r="YY15" s="390"/>
      <c r="YZ15" s="390"/>
      <c r="ZA15" s="390"/>
      <c r="ZB15" s="390"/>
      <c r="ZC15" s="390"/>
      <c r="ZD15" s="390"/>
      <c r="ZE15" s="390"/>
      <c r="ZF15" s="390"/>
      <c r="ZG15" s="390"/>
      <c r="ZH15" s="390"/>
      <c r="ZI15" s="390"/>
      <c r="ZJ15" s="390"/>
      <c r="ZK15" s="390"/>
      <c r="ZL15" s="390"/>
      <c r="ZM15" s="390"/>
      <c r="ZN15" s="390"/>
      <c r="ZO15" s="390"/>
      <c r="ZP15" s="390"/>
      <c r="ZQ15" s="390"/>
      <c r="ZR15" s="390"/>
      <c r="ZS15" s="390"/>
      <c r="ZT15" s="390"/>
      <c r="ZU15" s="390"/>
      <c r="ZV15" s="390"/>
      <c r="ZW15" s="390"/>
      <c r="ZX15" s="390"/>
      <c r="ZY15" s="390"/>
      <c r="ZZ15" s="390"/>
      <c r="AAA15" s="390"/>
      <c r="AAB15" s="390"/>
      <c r="AAC15" s="390"/>
      <c r="AAD15" s="390"/>
      <c r="AAE15" s="390"/>
      <c r="AAF15" s="390"/>
      <c r="AAG15" s="390"/>
      <c r="AAH15" s="390"/>
      <c r="AAI15" s="390"/>
      <c r="AAJ15" s="390"/>
      <c r="AAK15" s="390"/>
      <c r="AAL15" s="390"/>
      <c r="AAM15" s="390"/>
      <c r="AAN15" s="390"/>
      <c r="AAO15" s="390"/>
      <c r="AAP15" s="390"/>
      <c r="AAQ15" s="390"/>
      <c r="AAR15" s="390"/>
      <c r="AAS15" s="390"/>
      <c r="AAT15" s="390"/>
      <c r="AAU15" s="390"/>
      <c r="AAV15" s="390"/>
      <c r="AAW15" s="390"/>
      <c r="AAX15" s="390"/>
      <c r="AAY15" s="390"/>
      <c r="AAZ15" s="390"/>
      <c r="ABA15" s="390"/>
      <c r="ABB15" s="390"/>
      <c r="ABC15" s="390"/>
      <c r="ABD15" s="390"/>
      <c r="ABE15" s="390"/>
      <c r="ABF15" s="390"/>
      <c r="ABG15" s="390"/>
      <c r="ABH15" s="390"/>
      <c r="ABI15" s="390"/>
      <c r="ABJ15" s="390"/>
      <c r="ABK15" s="390"/>
      <c r="ABL15" s="390"/>
      <c r="ABM15" s="390"/>
      <c r="ABN15" s="390"/>
      <c r="ABO15" s="390"/>
      <c r="ABP15" s="390"/>
      <c r="ABQ15" s="390"/>
      <c r="ABR15" s="390"/>
      <c r="ABS15" s="390"/>
      <c r="ABT15" s="390"/>
      <c r="ABU15" s="390"/>
      <c r="ABV15" s="390"/>
      <c r="ABW15" s="390"/>
      <c r="ABX15" s="390"/>
      <c r="ABY15" s="390"/>
      <c r="ABZ15" s="390"/>
      <c r="ACA15" s="390"/>
      <c r="ACB15" s="390"/>
      <c r="ACC15" s="390"/>
      <c r="ACD15" s="390"/>
      <c r="ACE15" s="390"/>
      <c r="ACF15" s="390"/>
      <c r="ACG15" s="390"/>
      <c r="ACH15" s="390"/>
      <c r="ACI15" s="390"/>
    </row>
    <row r="16" spans="1:763" ht="13.95" customHeight="1" x14ac:dyDescent="0.3">
      <c r="A16" s="397" t="str">
        <f ca="1">Проект!$A$87</f>
        <v>объем продаж за период</v>
      </c>
      <c r="B16" s="394"/>
      <c r="C16" s="398" t="str">
        <f>Проект!$C$87</f>
        <v>ед.</v>
      </c>
      <c r="D16" s="399">
        <f>SUM(Проект!$G$87:$R$87)</f>
        <v>2880</v>
      </c>
      <c r="E16" s="399">
        <f>SUM(Проект!$S$87:$AD$87)</f>
        <v>7968</v>
      </c>
      <c r="F16" s="399">
        <f>SUM(Проект!$AE$87:$AP$87)</f>
        <v>7968</v>
      </c>
      <c r="G16" s="399">
        <f>SUM(Проект!$AQ$87:$BB$87)</f>
        <v>7968</v>
      </c>
      <c r="H16" s="392">
        <f>Проект!$BD$87</f>
        <v>26784</v>
      </c>
      <c r="I16" s="390"/>
      <c r="J16" s="390"/>
      <c r="K16" s="390"/>
      <c r="L16" s="390"/>
      <c r="M16" s="390"/>
      <c r="N16" s="390"/>
      <c r="O16" s="390"/>
      <c r="P16" s="390"/>
      <c r="Q16" s="390"/>
      <c r="R16" s="390"/>
      <c r="S16" s="390"/>
      <c r="T16" s="390"/>
      <c r="U16" s="390"/>
      <c r="V16" s="390"/>
      <c r="W16" s="390"/>
      <c r="X16" s="390"/>
      <c r="Y16" s="390"/>
      <c r="Z16" s="390"/>
      <c r="AA16" s="390"/>
      <c r="AB16" s="390"/>
      <c r="AC16" s="390"/>
      <c r="AD16" s="390"/>
      <c r="AE16" s="390"/>
      <c r="AF16" s="390"/>
      <c r="AG16" s="390"/>
      <c r="AH16" s="390"/>
      <c r="AI16" s="390"/>
      <c r="AJ16" s="390"/>
      <c r="AK16" s="390"/>
      <c r="AL16" s="390"/>
      <c r="AM16" s="390"/>
      <c r="AN16" s="390"/>
      <c r="AO16" s="390"/>
      <c r="AP16" s="390"/>
      <c r="AQ16" s="390"/>
      <c r="AR16" s="390"/>
      <c r="AS16" s="390"/>
      <c r="AT16" s="390"/>
      <c r="AU16" s="390"/>
      <c r="AV16" s="390"/>
      <c r="AW16" s="390"/>
      <c r="AX16" s="390"/>
      <c r="AY16" s="390"/>
      <c r="AZ16" s="390"/>
      <c r="BA16" s="390"/>
      <c r="BB16" s="390"/>
      <c r="BC16" s="390"/>
      <c r="BD16" s="390"/>
      <c r="BE16" s="390"/>
      <c r="BF16" s="390"/>
      <c r="BG16" s="390"/>
      <c r="BH16" s="390"/>
      <c r="BI16" s="390"/>
      <c r="BJ16" s="390"/>
      <c r="BK16" s="390"/>
      <c r="BL16" s="390"/>
      <c r="BM16" s="390"/>
      <c r="BN16" s="390"/>
      <c r="BO16" s="390"/>
      <c r="BP16" s="390"/>
      <c r="BQ16" s="390"/>
      <c r="BR16" s="390"/>
      <c r="BS16" s="390"/>
      <c r="BT16" s="390"/>
      <c r="BU16" s="390"/>
      <c r="BV16" s="390"/>
      <c r="BW16" s="390"/>
      <c r="BX16" s="390"/>
      <c r="BY16" s="390"/>
      <c r="BZ16" s="390"/>
      <c r="CA16" s="390"/>
      <c r="CB16" s="390"/>
      <c r="CC16" s="390"/>
      <c r="CD16" s="390"/>
      <c r="CE16" s="390"/>
      <c r="CF16" s="390"/>
      <c r="CG16" s="390"/>
      <c r="CH16" s="390"/>
      <c r="CI16" s="390"/>
      <c r="CJ16" s="390"/>
      <c r="CK16" s="390"/>
      <c r="CL16" s="390"/>
      <c r="CM16" s="390"/>
      <c r="CN16" s="390"/>
      <c r="CO16" s="390"/>
      <c r="CP16" s="390"/>
      <c r="CQ16" s="390"/>
      <c r="CR16" s="390"/>
      <c r="CS16" s="390"/>
      <c r="CT16" s="390"/>
      <c r="CU16" s="390"/>
      <c r="CV16" s="390"/>
      <c r="CW16" s="390"/>
      <c r="CX16" s="390"/>
      <c r="CY16" s="390"/>
      <c r="CZ16" s="390"/>
      <c r="DA16" s="390"/>
      <c r="DB16" s="390"/>
      <c r="DC16" s="390"/>
      <c r="DD16" s="390"/>
      <c r="DE16" s="390"/>
      <c r="DF16" s="390"/>
      <c r="DG16" s="390"/>
      <c r="DH16" s="390"/>
      <c r="DI16" s="390"/>
      <c r="DJ16" s="390"/>
      <c r="DK16" s="390"/>
      <c r="DL16" s="390"/>
      <c r="DM16" s="390"/>
      <c r="DN16" s="390"/>
      <c r="DO16" s="390"/>
      <c r="DP16" s="390"/>
      <c r="DQ16" s="390"/>
      <c r="DR16" s="390"/>
      <c r="DS16" s="390"/>
      <c r="DT16" s="390"/>
      <c r="DU16" s="390"/>
      <c r="DV16" s="390"/>
      <c r="DW16" s="390"/>
      <c r="DX16" s="390"/>
      <c r="DY16" s="390"/>
      <c r="DZ16" s="390"/>
      <c r="EA16" s="390"/>
      <c r="EB16" s="390"/>
      <c r="EC16" s="390"/>
      <c r="ED16" s="390"/>
      <c r="EE16" s="390"/>
      <c r="EF16" s="390"/>
      <c r="EG16" s="390"/>
      <c r="EH16" s="390"/>
      <c r="EI16" s="390"/>
      <c r="EJ16" s="390"/>
      <c r="EK16" s="390"/>
      <c r="EL16" s="390"/>
      <c r="EM16" s="390"/>
      <c r="EN16" s="390"/>
      <c r="EO16" s="390"/>
      <c r="EP16" s="390"/>
      <c r="EQ16" s="390"/>
      <c r="ER16" s="390"/>
      <c r="ES16" s="390"/>
      <c r="ET16" s="390"/>
      <c r="EU16" s="390"/>
      <c r="EV16" s="390"/>
      <c r="EW16" s="390"/>
      <c r="EX16" s="390"/>
      <c r="EY16" s="390"/>
      <c r="EZ16" s="390"/>
      <c r="FA16" s="390"/>
      <c r="FB16" s="390"/>
      <c r="FC16" s="390"/>
      <c r="FD16" s="390"/>
      <c r="FE16" s="390"/>
      <c r="FF16" s="390"/>
      <c r="FG16" s="390"/>
      <c r="FH16" s="390"/>
      <c r="FI16" s="390"/>
      <c r="FJ16" s="390"/>
      <c r="FK16" s="390"/>
      <c r="FL16" s="390"/>
      <c r="FM16" s="390"/>
      <c r="FN16" s="390"/>
      <c r="FO16" s="390"/>
      <c r="FP16" s="390"/>
      <c r="FQ16" s="390"/>
      <c r="FR16" s="390"/>
      <c r="FS16" s="390"/>
      <c r="FT16" s="390"/>
      <c r="FU16" s="390"/>
      <c r="FV16" s="390"/>
      <c r="FW16" s="390"/>
      <c r="FX16" s="390"/>
      <c r="FY16" s="390"/>
      <c r="FZ16" s="390"/>
      <c r="GA16" s="390"/>
      <c r="GB16" s="390"/>
      <c r="GC16" s="390"/>
      <c r="GD16" s="390"/>
      <c r="GE16" s="390"/>
      <c r="GF16" s="390"/>
      <c r="GG16" s="390"/>
      <c r="GH16" s="390"/>
      <c r="GI16" s="390"/>
      <c r="GJ16" s="390"/>
      <c r="GK16" s="390"/>
      <c r="GL16" s="390"/>
      <c r="GM16" s="390"/>
      <c r="GN16" s="390"/>
      <c r="GO16" s="390"/>
      <c r="GP16" s="390"/>
      <c r="GQ16" s="390"/>
      <c r="GR16" s="390"/>
      <c r="GS16" s="390"/>
      <c r="GT16" s="390"/>
      <c r="GU16" s="390"/>
      <c r="GV16" s="390"/>
      <c r="GW16" s="390"/>
      <c r="GX16" s="390"/>
      <c r="GY16" s="390"/>
      <c r="GZ16" s="390"/>
      <c r="HA16" s="390"/>
      <c r="HB16" s="390"/>
      <c r="HC16" s="390"/>
      <c r="HD16" s="390"/>
      <c r="HE16" s="390"/>
      <c r="HF16" s="390"/>
      <c r="HG16" s="390"/>
      <c r="HH16" s="390"/>
      <c r="HI16" s="390"/>
      <c r="HJ16" s="390"/>
      <c r="HK16" s="390"/>
      <c r="HL16" s="390"/>
      <c r="HM16" s="390"/>
      <c r="HN16" s="390"/>
      <c r="HO16" s="390"/>
      <c r="HP16" s="390"/>
      <c r="HQ16" s="390"/>
      <c r="HR16" s="390"/>
      <c r="HS16" s="390"/>
      <c r="HT16" s="390"/>
      <c r="HU16" s="390"/>
      <c r="HV16" s="390"/>
      <c r="HW16" s="390"/>
      <c r="HX16" s="390"/>
      <c r="HY16" s="390"/>
      <c r="HZ16" s="390"/>
      <c r="IA16" s="390"/>
      <c r="IB16" s="390"/>
      <c r="IC16" s="390"/>
      <c r="ID16" s="390"/>
      <c r="IE16" s="390"/>
      <c r="IF16" s="390"/>
      <c r="IG16" s="390"/>
      <c r="IH16" s="390"/>
      <c r="II16" s="390"/>
      <c r="IJ16" s="390"/>
      <c r="IK16" s="390"/>
      <c r="IL16" s="390"/>
      <c r="IM16" s="390"/>
      <c r="IN16" s="390"/>
      <c r="IO16" s="390"/>
      <c r="IP16" s="390"/>
      <c r="IQ16" s="390"/>
      <c r="IR16" s="390"/>
      <c r="IS16" s="390"/>
      <c r="IT16" s="390"/>
      <c r="IU16" s="390"/>
      <c r="IV16" s="390"/>
      <c r="IW16" s="390"/>
      <c r="IX16" s="390"/>
      <c r="IY16" s="390"/>
      <c r="IZ16" s="390"/>
      <c r="JA16" s="390"/>
      <c r="JB16" s="390"/>
      <c r="JC16" s="390"/>
      <c r="JD16" s="390"/>
      <c r="JE16" s="390"/>
      <c r="JF16" s="390"/>
      <c r="JG16" s="390"/>
      <c r="JH16" s="390"/>
      <c r="JI16" s="390"/>
      <c r="JJ16" s="390"/>
      <c r="JK16" s="390"/>
      <c r="JL16" s="390"/>
      <c r="JM16" s="390"/>
      <c r="JN16" s="390"/>
      <c r="JO16" s="390"/>
      <c r="JP16" s="390"/>
      <c r="JQ16" s="390"/>
      <c r="JR16" s="390"/>
      <c r="JS16" s="390"/>
      <c r="JT16" s="390"/>
      <c r="JU16" s="390"/>
      <c r="JV16" s="390"/>
      <c r="JW16" s="390"/>
      <c r="JX16" s="390"/>
      <c r="JY16" s="390"/>
      <c r="JZ16" s="390"/>
      <c r="KA16" s="390"/>
      <c r="KB16" s="390"/>
      <c r="KC16" s="390"/>
      <c r="KD16" s="390"/>
      <c r="KE16" s="390"/>
      <c r="KF16" s="390"/>
      <c r="KG16" s="390"/>
      <c r="KH16" s="390"/>
      <c r="KI16" s="390"/>
      <c r="KJ16" s="390"/>
      <c r="KK16" s="390"/>
      <c r="KL16" s="390"/>
      <c r="KM16" s="390"/>
      <c r="KN16" s="390"/>
      <c r="KO16" s="390"/>
      <c r="KP16" s="390"/>
      <c r="KQ16" s="390"/>
      <c r="KR16" s="390"/>
      <c r="KS16" s="390"/>
      <c r="KT16" s="390"/>
      <c r="KU16" s="390"/>
      <c r="KV16" s="390"/>
      <c r="KW16" s="390"/>
      <c r="KX16" s="390"/>
      <c r="KY16" s="390"/>
      <c r="KZ16" s="390"/>
      <c r="LA16" s="390"/>
      <c r="LB16" s="390"/>
      <c r="LC16" s="390"/>
      <c r="LD16" s="390"/>
      <c r="LE16" s="390"/>
      <c r="LF16" s="390"/>
      <c r="LG16" s="390"/>
      <c r="LH16" s="390"/>
      <c r="LI16" s="390"/>
      <c r="LJ16" s="390"/>
      <c r="LK16" s="390"/>
      <c r="LL16" s="390"/>
      <c r="LM16" s="390"/>
      <c r="LN16" s="390"/>
      <c r="LO16" s="390"/>
      <c r="LP16" s="390"/>
      <c r="LQ16" s="390"/>
      <c r="LR16" s="390"/>
      <c r="LS16" s="390"/>
      <c r="LT16" s="390"/>
      <c r="LU16" s="390"/>
      <c r="LV16" s="390"/>
      <c r="LW16" s="390"/>
      <c r="LX16" s="390"/>
      <c r="LY16" s="390"/>
      <c r="LZ16" s="390"/>
      <c r="MA16" s="390"/>
      <c r="MB16" s="390"/>
      <c r="MC16" s="390"/>
      <c r="MD16" s="390"/>
      <c r="ME16" s="390"/>
      <c r="MF16" s="390"/>
      <c r="MG16" s="390"/>
      <c r="MH16" s="390"/>
      <c r="MI16" s="390"/>
      <c r="MJ16" s="390"/>
      <c r="MK16" s="390"/>
      <c r="ML16" s="390"/>
      <c r="MM16" s="390"/>
      <c r="MN16" s="390"/>
      <c r="MO16" s="390"/>
      <c r="MP16" s="390"/>
      <c r="MQ16" s="390"/>
      <c r="MR16" s="390"/>
      <c r="MS16" s="390"/>
      <c r="MT16" s="390"/>
      <c r="MU16" s="390"/>
      <c r="MV16" s="390"/>
      <c r="MW16" s="390"/>
      <c r="MX16" s="390"/>
      <c r="MY16" s="390"/>
      <c r="MZ16" s="390"/>
      <c r="NA16" s="390"/>
      <c r="NB16" s="390"/>
      <c r="NC16" s="390"/>
      <c r="ND16" s="390"/>
      <c r="NE16" s="390"/>
      <c r="NF16" s="390"/>
      <c r="NG16" s="390"/>
      <c r="NH16" s="390"/>
      <c r="NI16" s="390"/>
      <c r="NJ16" s="390"/>
      <c r="NK16" s="390"/>
      <c r="NL16" s="390"/>
      <c r="NM16" s="390"/>
      <c r="NN16" s="390"/>
      <c r="NO16" s="390"/>
      <c r="NP16" s="390"/>
      <c r="NQ16" s="390"/>
      <c r="NR16" s="390"/>
      <c r="NS16" s="390"/>
      <c r="NT16" s="390"/>
      <c r="NU16" s="390"/>
      <c r="NV16" s="390"/>
      <c r="NW16" s="390"/>
      <c r="NX16" s="390"/>
      <c r="NY16" s="390"/>
      <c r="NZ16" s="390"/>
      <c r="OA16" s="390"/>
      <c r="OB16" s="390"/>
      <c r="OC16" s="390"/>
      <c r="OD16" s="390"/>
      <c r="OE16" s="390"/>
      <c r="OF16" s="390"/>
      <c r="OG16" s="390"/>
      <c r="OH16" s="390"/>
      <c r="OI16" s="390"/>
      <c r="OJ16" s="390"/>
      <c r="OK16" s="390"/>
      <c r="OL16" s="390"/>
      <c r="OM16" s="390"/>
      <c r="ON16" s="390"/>
      <c r="OO16" s="390"/>
      <c r="OP16" s="390"/>
      <c r="OQ16" s="390"/>
      <c r="OR16" s="390"/>
      <c r="OS16" s="390"/>
      <c r="OT16" s="390"/>
      <c r="OU16" s="390"/>
      <c r="OV16" s="390"/>
      <c r="OW16" s="390"/>
      <c r="OX16" s="390"/>
      <c r="OY16" s="390"/>
      <c r="OZ16" s="390"/>
      <c r="PA16" s="390"/>
      <c r="PB16" s="390"/>
      <c r="PC16" s="390"/>
      <c r="PD16" s="390"/>
      <c r="PE16" s="390"/>
      <c r="PF16" s="390"/>
      <c r="PG16" s="390"/>
      <c r="PH16" s="390"/>
      <c r="PI16" s="390"/>
      <c r="PJ16" s="390"/>
      <c r="PK16" s="390"/>
      <c r="PL16" s="390"/>
      <c r="PM16" s="390"/>
      <c r="PN16" s="390"/>
      <c r="PO16" s="390"/>
      <c r="PP16" s="390"/>
      <c r="PQ16" s="390"/>
      <c r="PR16" s="390"/>
      <c r="PS16" s="390"/>
      <c r="PT16" s="390"/>
      <c r="PU16" s="390"/>
      <c r="PV16" s="390"/>
      <c r="PW16" s="390"/>
      <c r="PX16" s="390"/>
      <c r="PY16" s="390"/>
      <c r="PZ16" s="390"/>
      <c r="QA16" s="390"/>
      <c r="QB16" s="390"/>
      <c r="QC16" s="390"/>
      <c r="QD16" s="390"/>
      <c r="QE16" s="390"/>
      <c r="QF16" s="390"/>
      <c r="QG16" s="390"/>
      <c r="QH16" s="390"/>
      <c r="QI16" s="390"/>
      <c r="QJ16" s="390"/>
      <c r="QK16" s="390"/>
      <c r="QL16" s="390"/>
      <c r="QM16" s="390"/>
      <c r="QN16" s="390"/>
      <c r="QO16" s="390"/>
      <c r="QP16" s="390"/>
      <c r="QQ16" s="390"/>
      <c r="QR16" s="390"/>
      <c r="QS16" s="390"/>
      <c r="QT16" s="390"/>
      <c r="QU16" s="390"/>
      <c r="QV16" s="390"/>
      <c r="QW16" s="390"/>
      <c r="QX16" s="390"/>
      <c r="QY16" s="390"/>
      <c r="QZ16" s="390"/>
      <c r="RA16" s="390"/>
      <c r="RB16" s="390"/>
      <c r="RC16" s="390"/>
      <c r="RD16" s="390"/>
      <c r="RE16" s="390"/>
      <c r="RF16" s="390"/>
      <c r="RG16" s="390"/>
      <c r="RH16" s="390"/>
      <c r="RI16" s="390"/>
      <c r="RJ16" s="390"/>
      <c r="RK16" s="390"/>
      <c r="RL16" s="390"/>
      <c r="RM16" s="390"/>
      <c r="RN16" s="390"/>
      <c r="RO16" s="390"/>
      <c r="RP16" s="390"/>
      <c r="RQ16" s="390"/>
      <c r="RR16" s="390"/>
      <c r="RS16" s="390"/>
      <c r="RT16" s="390"/>
      <c r="RU16" s="390"/>
      <c r="RV16" s="390"/>
      <c r="RW16" s="390"/>
      <c r="RX16" s="390"/>
      <c r="RY16" s="390"/>
      <c r="RZ16" s="390"/>
      <c r="SA16" s="390"/>
      <c r="SB16" s="390"/>
      <c r="SC16" s="390"/>
      <c r="SD16" s="390"/>
      <c r="SE16" s="390"/>
      <c r="SF16" s="390"/>
      <c r="SG16" s="390"/>
      <c r="SH16" s="390"/>
      <c r="SI16" s="390"/>
      <c r="SJ16" s="390"/>
      <c r="SK16" s="390"/>
      <c r="SL16" s="390"/>
      <c r="SM16" s="390"/>
      <c r="SN16" s="390"/>
      <c r="SO16" s="390"/>
      <c r="SP16" s="390"/>
      <c r="SQ16" s="390"/>
      <c r="SR16" s="390"/>
      <c r="SS16" s="390"/>
      <c r="ST16" s="390"/>
      <c r="SU16" s="390"/>
      <c r="SV16" s="390"/>
      <c r="SW16" s="390"/>
      <c r="SX16" s="390"/>
      <c r="SY16" s="390"/>
      <c r="SZ16" s="390"/>
      <c r="TA16" s="390"/>
      <c r="TB16" s="390"/>
      <c r="TC16" s="390"/>
      <c r="TD16" s="390"/>
      <c r="TE16" s="390"/>
      <c r="TF16" s="390"/>
      <c r="TG16" s="390"/>
      <c r="TH16" s="390"/>
      <c r="TI16" s="390"/>
      <c r="TJ16" s="390"/>
      <c r="TK16" s="390"/>
      <c r="TL16" s="390"/>
      <c r="TM16" s="390"/>
      <c r="TN16" s="390"/>
      <c r="TO16" s="390"/>
      <c r="TP16" s="390"/>
      <c r="TQ16" s="390"/>
      <c r="TR16" s="390"/>
      <c r="TS16" s="390"/>
      <c r="TT16" s="390"/>
      <c r="TU16" s="390"/>
      <c r="TV16" s="390"/>
      <c r="TW16" s="390"/>
      <c r="TX16" s="390"/>
      <c r="TY16" s="390"/>
      <c r="TZ16" s="390"/>
      <c r="UA16" s="390"/>
      <c r="UB16" s="390"/>
      <c r="UC16" s="390"/>
      <c r="UD16" s="390"/>
      <c r="UE16" s="390"/>
      <c r="UF16" s="390"/>
      <c r="UG16" s="390"/>
      <c r="UH16" s="390"/>
      <c r="UI16" s="390"/>
      <c r="UJ16" s="390"/>
      <c r="UK16" s="390"/>
      <c r="UL16" s="390"/>
      <c r="UM16" s="390"/>
      <c r="UN16" s="390"/>
      <c r="UO16" s="390"/>
      <c r="UP16" s="390"/>
      <c r="UQ16" s="390"/>
      <c r="UR16" s="390"/>
      <c r="US16" s="390"/>
      <c r="UT16" s="390"/>
      <c r="UU16" s="390"/>
      <c r="UV16" s="390"/>
      <c r="UW16" s="390"/>
      <c r="UX16" s="390"/>
      <c r="UY16" s="390"/>
      <c r="UZ16" s="390"/>
      <c r="VA16" s="390"/>
      <c r="VB16" s="390"/>
      <c r="VC16" s="390"/>
      <c r="VD16" s="390"/>
      <c r="VE16" s="390"/>
      <c r="VF16" s="390"/>
      <c r="VG16" s="390"/>
      <c r="VH16" s="390"/>
      <c r="VI16" s="390"/>
      <c r="VJ16" s="390"/>
      <c r="VK16" s="390"/>
      <c r="VL16" s="390"/>
      <c r="VM16" s="390"/>
      <c r="VN16" s="390"/>
      <c r="VO16" s="390"/>
      <c r="VP16" s="390"/>
      <c r="VQ16" s="390"/>
      <c r="VR16" s="390"/>
      <c r="VS16" s="390"/>
      <c r="VT16" s="390"/>
      <c r="VU16" s="390"/>
      <c r="VV16" s="390"/>
      <c r="VW16" s="390"/>
      <c r="VX16" s="390"/>
      <c r="VY16" s="390"/>
      <c r="VZ16" s="390"/>
      <c r="WA16" s="390"/>
      <c r="WB16" s="390"/>
      <c r="WC16" s="390"/>
      <c r="WD16" s="390"/>
      <c r="WE16" s="390"/>
      <c r="WF16" s="390"/>
      <c r="WG16" s="390"/>
      <c r="WH16" s="390"/>
      <c r="WI16" s="390"/>
      <c r="WJ16" s="390"/>
      <c r="WK16" s="390"/>
      <c r="WL16" s="390"/>
      <c r="WM16" s="390"/>
      <c r="WN16" s="390"/>
      <c r="WO16" s="390"/>
      <c r="WP16" s="390"/>
      <c r="WQ16" s="390"/>
      <c r="WR16" s="390"/>
      <c r="WS16" s="390"/>
      <c r="WT16" s="390"/>
      <c r="WU16" s="390"/>
      <c r="WV16" s="390"/>
      <c r="WW16" s="390"/>
      <c r="WX16" s="390"/>
      <c r="WY16" s="390"/>
      <c r="WZ16" s="390"/>
      <c r="XA16" s="390"/>
      <c r="XB16" s="390"/>
      <c r="XC16" s="390"/>
      <c r="XD16" s="390"/>
      <c r="XE16" s="390"/>
      <c r="XF16" s="390"/>
      <c r="XG16" s="390"/>
      <c r="XH16" s="390"/>
      <c r="XI16" s="390"/>
      <c r="XJ16" s="390"/>
      <c r="XK16" s="390"/>
      <c r="XL16" s="390"/>
      <c r="XM16" s="390"/>
      <c r="XN16" s="390"/>
      <c r="XO16" s="390"/>
      <c r="XP16" s="390"/>
      <c r="XQ16" s="390"/>
      <c r="XR16" s="390"/>
      <c r="XS16" s="390"/>
      <c r="XT16" s="390"/>
      <c r="XU16" s="390"/>
      <c r="XV16" s="390"/>
      <c r="XW16" s="390"/>
      <c r="XX16" s="390"/>
      <c r="XY16" s="390"/>
      <c r="XZ16" s="390"/>
      <c r="YA16" s="390"/>
      <c r="YB16" s="390"/>
      <c r="YC16" s="390"/>
      <c r="YD16" s="390"/>
      <c r="YE16" s="390"/>
      <c r="YF16" s="390"/>
      <c r="YG16" s="390"/>
      <c r="YH16" s="390"/>
      <c r="YI16" s="390"/>
      <c r="YJ16" s="390"/>
      <c r="YK16" s="390"/>
      <c r="YL16" s="390"/>
      <c r="YM16" s="390"/>
      <c r="YN16" s="390"/>
      <c r="YO16" s="390"/>
      <c r="YP16" s="390"/>
      <c r="YQ16" s="390"/>
      <c r="YR16" s="390"/>
      <c r="YS16" s="390"/>
      <c r="YT16" s="390"/>
      <c r="YU16" s="390"/>
      <c r="YV16" s="390"/>
      <c r="YW16" s="390"/>
      <c r="YX16" s="390"/>
      <c r="YY16" s="390"/>
      <c r="YZ16" s="390"/>
      <c r="ZA16" s="390"/>
      <c r="ZB16" s="390"/>
      <c r="ZC16" s="390"/>
      <c r="ZD16" s="390"/>
      <c r="ZE16" s="390"/>
      <c r="ZF16" s="390"/>
      <c r="ZG16" s="390"/>
      <c r="ZH16" s="390"/>
      <c r="ZI16" s="390"/>
      <c r="ZJ16" s="390"/>
      <c r="ZK16" s="390"/>
      <c r="ZL16" s="390"/>
      <c r="ZM16" s="390"/>
      <c r="ZN16" s="390"/>
      <c r="ZO16" s="390"/>
      <c r="ZP16" s="390"/>
      <c r="ZQ16" s="390"/>
      <c r="ZR16" s="390"/>
      <c r="ZS16" s="390"/>
      <c r="ZT16" s="390"/>
      <c r="ZU16" s="390"/>
      <c r="ZV16" s="390"/>
      <c r="ZW16" s="390"/>
      <c r="ZX16" s="390"/>
      <c r="ZY16" s="390"/>
      <c r="ZZ16" s="390"/>
      <c r="AAA16" s="390"/>
      <c r="AAB16" s="390"/>
      <c r="AAC16" s="390"/>
      <c r="AAD16" s="390"/>
      <c r="AAE16" s="390"/>
      <c r="AAF16" s="390"/>
      <c r="AAG16" s="390"/>
      <c r="AAH16" s="390"/>
      <c r="AAI16" s="390"/>
      <c r="AAJ16" s="390"/>
      <c r="AAK16" s="390"/>
      <c r="AAL16" s="390"/>
      <c r="AAM16" s="390"/>
      <c r="AAN16" s="390"/>
      <c r="AAO16" s="390"/>
      <c r="AAP16" s="390"/>
      <c r="AAQ16" s="390"/>
      <c r="AAR16" s="390"/>
      <c r="AAS16" s="390"/>
      <c r="AAT16" s="390"/>
      <c r="AAU16" s="390"/>
      <c r="AAV16" s="390"/>
      <c r="AAW16" s="390"/>
      <c r="AAX16" s="390"/>
      <c r="AAY16" s="390"/>
      <c r="AAZ16" s="390"/>
      <c r="ABA16" s="390"/>
      <c r="ABB16" s="390"/>
      <c r="ABC16" s="390"/>
      <c r="ABD16" s="390"/>
      <c r="ABE16" s="390"/>
      <c r="ABF16" s="390"/>
      <c r="ABG16" s="390"/>
      <c r="ABH16" s="390"/>
      <c r="ABI16" s="390"/>
      <c r="ABJ16" s="390"/>
      <c r="ABK16" s="390"/>
      <c r="ABL16" s="390"/>
      <c r="ABM16" s="390"/>
      <c r="ABN16" s="390"/>
      <c r="ABO16" s="390"/>
      <c r="ABP16" s="390"/>
      <c r="ABQ16" s="390"/>
      <c r="ABR16" s="390"/>
      <c r="ABS16" s="390"/>
      <c r="ABT16" s="390"/>
      <c r="ABU16" s="390"/>
      <c r="ABV16" s="390"/>
      <c r="ABW16" s="390"/>
      <c r="ABX16" s="390"/>
      <c r="ABY16" s="390"/>
      <c r="ABZ16" s="390"/>
      <c r="ACA16" s="390"/>
      <c r="ACB16" s="390"/>
      <c r="ACC16" s="390"/>
      <c r="ACD16" s="390"/>
      <c r="ACE16" s="390"/>
      <c r="ACF16" s="390"/>
      <c r="ACG16" s="390"/>
      <c r="ACH16" s="390"/>
      <c r="ACI16" s="390"/>
    </row>
    <row r="17" spans="1:763" ht="13.95" customHeight="1" x14ac:dyDescent="0.3">
      <c r="A17" s="397" t="str">
        <f ca="1">Проект!$A$88</f>
        <v>коэффициент продаж периода</v>
      </c>
      <c r="B17" s="350"/>
      <c r="C17" s="350"/>
      <c r="D17" s="400">
        <f>IFERROR(AVERAGE(Проект!$G$88:$R$88),"-")</f>
        <v>0.5</v>
      </c>
      <c r="E17" s="400">
        <f>IFERROR(AVERAGE(Проект!$S$88:$AD$88),"-")</f>
        <v>1</v>
      </c>
      <c r="F17" s="400">
        <f>IFERROR(AVERAGE(Проект!$AE$88:$AP$88),"-")</f>
        <v>1</v>
      </c>
      <c r="G17" s="400">
        <f>IFERROR(AVERAGE(Проект!$AQ$88:$BB$88),"-")</f>
        <v>1</v>
      </c>
      <c r="H17" s="396"/>
      <c r="I17" s="390"/>
      <c r="J17" s="390"/>
      <c r="K17" s="390"/>
      <c r="L17" s="390"/>
      <c r="M17" s="390"/>
      <c r="N17" s="390"/>
      <c r="O17" s="390"/>
      <c r="P17" s="390"/>
      <c r="Q17" s="390"/>
      <c r="R17" s="390"/>
      <c r="S17" s="390"/>
      <c r="T17" s="390"/>
      <c r="U17" s="390"/>
      <c r="V17" s="390"/>
      <c r="W17" s="390"/>
      <c r="X17" s="390"/>
      <c r="Y17" s="390"/>
      <c r="Z17" s="390"/>
      <c r="AA17" s="390"/>
      <c r="AB17" s="390"/>
      <c r="AC17" s="390"/>
      <c r="AD17" s="390"/>
      <c r="AE17" s="390"/>
      <c r="AF17" s="390"/>
      <c r="AG17" s="390"/>
      <c r="AH17" s="390"/>
      <c r="AI17" s="390"/>
      <c r="AJ17" s="390"/>
      <c r="AK17" s="390"/>
      <c r="AL17" s="390"/>
      <c r="AM17" s="390"/>
      <c r="AN17" s="390"/>
      <c r="AO17" s="390"/>
      <c r="AP17" s="390"/>
      <c r="AQ17" s="390"/>
      <c r="AR17" s="390"/>
      <c r="AS17" s="390"/>
      <c r="AT17" s="390"/>
      <c r="AU17" s="390"/>
      <c r="AV17" s="390"/>
      <c r="AW17" s="390"/>
      <c r="AX17" s="390"/>
      <c r="AY17" s="390"/>
      <c r="AZ17" s="390"/>
      <c r="BA17" s="390"/>
      <c r="BB17" s="390"/>
      <c r="BC17" s="390"/>
      <c r="BD17" s="390"/>
      <c r="BE17" s="390"/>
      <c r="BF17" s="390"/>
      <c r="BG17" s="390"/>
      <c r="BH17" s="390"/>
      <c r="BI17" s="390"/>
      <c r="BJ17" s="390"/>
      <c r="BK17" s="390"/>
      <c r="BL17" s="390"/>
      <c r="BM17" s="390"/>
      <c r="BN17" s="390"/>
      <c r="BO17" s="390"/>
      <c r="BP17" s="390"/>
      <c r="BQ17" s="390"/>
      <c r="BR17" s="390"/>
      <c r="BS17" s="390"/>
      <c r="BT17" s="390"/>
      <c r="BU17" s="390"/>
      <c r="BV17" s="390"/>
      <c r="BW17" s="390"/>
      <c r="BX17" s="390"/>
      <c r="BY17" s="390"/>
      <c r="BZ17" s="390"/>
      <c r="CA17" s="390"/>
      <c r="CB17" s="390"/>
      <c r="CC17" s="390"/>
      <c r="CD17" s="390"/>
      <c r="CE17" s="390"/>
      <c r="CF17" s="390"/>
      <c r="CG17" s="390"/>
      <c r="CH17" s="390"/>
      <c r="CI17" s="390"/>
      <c r="CJ17" s="390"/>
      <c r="CK17" s="390"/>
      <c r="CL17" s="390"/>
      <c r="CM17" s="390"/>
      <c r="CN17" s="390"/>
      <c r="CO17" s="390"/>
      <c r="CP17" s="390"/>
      <c r="CQ17" s="390"/>
      <c r="CR17" s="390"/>
      <c r="CS17" s="390"/>
      <c r="CT17" s="390"/>
      <c r="CU17" s="390"/>
      <c r="CV17" s="390"/>
      <c r="CW17" s="390"/>
      <c r="CX17" s="390"/>
      <c r="CY17" s="390"/>
      <c r="CZ17" s="390"/>
      <c r="DA17" s="390"/>
      <c r="DB17" s="390"/>
      <c r="DC17" s="390"/>
      <c r="DD17" s="390"/>
      <c r="DE17" s="390"/>
      <c r="DF17" s="390"/>
      <c r="DG17" s="390"/>
      <c r="DH17" s="390"/>
      <c r="DI17" s="390"/>
      <c r="DJ17" s="390"/>
      <c r="DK17" s="390"/>
      <c r="DL17" s="390"/>
      <c r="DM17" s="390"/>
      <c r="DN17" s="390"/>
      <c r="DO17" s="390"/>
      <c r="DP17" s="390"/>
      <c r="DQ17" s="390"/>
      <c r="DR17" s="390"/>
      <c r="DS17" s="390"/>
      <c r="DT17" s="390"/>
      <c r="DU17" s="390"/>
      <c r="DV17" s="390"/>
      <c r="DW17" s="390"/>
      <c r="DX17" s="390"/>
      <c r="DY17" s="390"/>
      <c r="DZ17" s="390"/>
      <c r="EA17" s="390"/>
      <c r="EB17" s="390"/>
      <c r="EC17" s="390"/>
      <c r="ED17" s="390"/>
      <c r="EE17" s="390"/>
      <c r="EF17" s="390"/>
      <c r="EG17" s="390"/>
      <c r="EH17" s="390"/>
      <c r="EI17" s="390"/>
      <c r="EJ17" s="390"/>
      <c r="EK17" s="390"/>
      <c r="EL17" s="390"/>
      <c r="EM17" s="390"/>
      <c r="EN17" s="390"/>
      <c r="EO17" s="390"/>
      <c r="EP17" s="390"/>
      <c r="EQ17" s="390"/>
      <c r="ER17" s="390"/>
      <c r="ES17" s="390"/>
      <c r="ET17" s="390"/>
      <c r="EU17" s="390"/>
      <c r="EV17" s="390"/>
      <c r="EW17" s="390"/>
      <c r="EX17" s="390"/>
      <c r="EY17" s="390"/>
      <c r="EZ17" s="390"/>
      <c r="FA17" s="390"/>
      <c r="FB17" s="390"/>
      <c r="FC17" s="390"/>
      <c r="FD17" s="390"/>
      <c r="FE17" s="390"/>
      <c r="FF17" s="390"/>
      <c r="FG17" s="390"/>
      <c r="FH17" s="390"/>
      <c r="FI17" s="390"/>
      <c r="FJ17" s="390"/>
      <c r="FK17" s="390"/>
      <c r="FL17" s="390"/>
      <c r="FM17" s="390"/>
      <c r="FN17" s="390"/>
      <c r="FO17" s="390"/>
      <c r="FP17" s="390"/>
      <c r="FQ17" s="390"/>
      <c r="FR17" s="390"/>
      <c r="FS17" s="390"/>
      <c r="FT17" s="390"/>
      <c r="FU17" s="390"/>
      <c r="FV17" s="390"/>
      <c r="FW17" s="390"/>
      <c r="FX17" s="390"/>
      <c r="FY17" s="390"/>
      <c r="FZ17" s="390"/>
      <c r="GA17" s="390"/>
      <c r="GB17" s="390"/>
      <c r="GC17" s="390"/>
      <c r="GD17" s="390"/>
      <c r="GE17" s="390"/>
      <c r="GF17" s="390"/>
      <c r="GG17" s="390"/>
      <c r="GH17" s="390"/>
      <c r="GI17" s="390"/>
      <c r="GJ17" s="390"/>
      <c r="GK17" s="390"/>
      <c r="GL17" s="390"/>
      <c r="GM17" s="390"/>
      <c r="GN17" s="390"/>
      <c r="GO17" s="390"/>
      <c r="GP17" s="390"/>
      <c r="GQ17" s="390"/>
      <c r="GR17" s="390"/>
      <c r="GS17" s="390"/>
      <c r="GT17" s="390"/>
      <c r="GU17" s="390"/>
      <c r="GV17" s="390"/>
      <c r="GW17" s="390"/>
      <c r="GX17" s="390"/>
      <c r="GY17" s="390"/>
      <c r="GZ17" s="390"/>
      <c r="HA17" s="390"/>
      <c r="HB17" s="390"/>
      <c r="HC17" s="390"/>
      <c r="HD17" s="390"/>
      <c r="HE17" s="390"/>
      <c r="HF17" s="390"/>
      <c r="HG17" s="390"/>
      <c r="HH17" s="390"/>
      <c r="HI17" s="390"/>
      <c r="HJ17" s="390"/>
      <c r="HK17" s="390"/>
      <c r="HL17" s="390"/>
      <c r="HM17" s="390"/>
      <c r="HN17" s="390"/>
      <c r="HO17" s="390"/>
      <c r="HP17" s="390"/>
      <c r="HQ17" s="390"/>
      <c r="HR17" s="390"/>
      <c r="HS17" s="390"/>
      <c r="HT17" s="390"/>
      <c r="HU17" s="390"/>
      <c r="HV17" s="390"/>
      <c r="HW17" s="390"/>
      <c r="HX17" s="390"/>
      <c r="HY17" s="390"/>
      <c r="HZ17" s="390"/>
      <c r="IA17" s="390"/>
      <c r="IB17" s="390"/>
      <c r="IC17" s="390"/>
      <c r="ID17" s="390"/>
      <c r="IE17" s="390"/>
      <c r="IF17" s="390"/>
      <c r="IG17" s="390"/>
      <c r="IH17" s="390"/>
      <c r="II17" s="390"/>
      <c r="IJ17" s="390"/>
      <c r="IK17" s="390"/>
      <c r="IL17" s="390"/>
      <c r="IM17" s="390"/>
      <c r="IN17" s="390"/>
      <c r="IO17" s="390"/>
      <c r="IP17" s="390"/>
      <c r="IQ17" s="390"/>
      <c r="IR17" s="390"/>
      <c r="IS17" s="390"/>
      <c r="IT17" s="390"/>
      <c r="IU17" s="390"/>
      <c r="IV17" s="390"/>
      <c r="IW17" s="390"/>
      <c r="IX17" s="390"/>
      <c r="IY17" s="390"/>
      <c r="IZ17" s="390"/>
      <c r="JA17" s="390"/>
      <c r="JB17" s="390"/>
      <c r="JC17" s="390"/>
      <c r="JD17" s="390"/>
      <c r="JE17" s="390"/>
      <c r="JF17" s="390"/>
      <c r="JG17" s="390"/>
      <c r="JH17" s="390"/>
      <c r="JI17" s="390"/>
      <c r="JJ17" s="390"/>
      <c r="JK17" s="390"/>
      <c r="JL17" s="390"/>
      <c r="JM17" s="390"/>
      <c r="JN17" s="390"/>
      <c r="JO17" s="390"/>
      <c r="JP17" s="390"/>
      <c r="JQ17" s="390"/>
      <c r="JR17" s="390"/>
      <c r="JS17" s="390"/>
      <c r="JT17" s="390"/>
      <c r="JU17" s="390"/>
      <c r="JV17" s="390"/>
      <c r="JW17" s="390"/>
      <c r="JX17" s="390"/>
      <c r="JY17" s="390"/>
      <c r="JZ17" s="390"/>
      <c r="KA17" s="390"/>
      <c r="KB17" s="390"/>
      <c r="KC17" s="390"/>
      <c r="KD17" s="390"/>
      <c r="KE17" s="390"/>
      <c r="KF17" s="390"/>
      <c r="KG17" s="390"/>
      <c r="KH17" s="390"/>
      <c r="KI17" s="390"/>
      <c r="KJ17" s="390"/>
      <c r="KK17" s="390"/>
      <c r="KL17" s="390"/>
      <c r="KM17" s="390"/>
      <c r="KN17" s="390"/>
      <c r="KO17" s="390"/>
      <c r="KP17" s="390"/>
      <c r="KQ17" s="390"/>
      <c r="KR17" s="390"/>
      <c r="KS17" s="390"/>
      <c r="KT17" s="390"/>
      <c r="KU17" s="390"/>
      <c r="KV17" s="390"/>
      <c r="KW17" s="390"/>
      <c r="KX17" s="390"/>
      <c r="KY17" s="390"/>
      <c r="KZ17" s="390"/>
      <c r="LA17" s="390"/>
      <c r="LB17" s="390"/>
      <c r="LC17" s="390"/>
      <c r="LD17" s="390"/>
      <c r="LE17" s="390"/>
      <c r="LF17" s="390"/>
      <c r="LG17" s="390"/>
      <c r="LH17" s="390"/>
      <c r="LI17" s="390"/>
      <c r="LJ17" s="390"/>
      <c r="LK17" s="390"/>
      <c r="LL17" s="390"/>
      <c r="LM17" s="390"/>
      <c r="LN17" s="390"/>
      <c r="LO17" s="390"/>
      <c r="LP17" s="390"/>
      <c r="LQ17" s="390"/>
      <c r="LR17" s="390"/>
      <c r="LS17" s="390"/>
      <c r="LT17" s="390"/>
      <c r="LU17" s="390"/>
      <c r="LV17" s="390"/>
      <c r="LW17" s="390"/>
      <c r="LX17" s="390"/>
      <c r="LY17" s="390"/>
      <c r="LZ17" s="390"/>
      <c r="MA17" s="390"/>
      <c r="MB17" s="390"/>
      <c r="MC17" s="390"/>
      <c r="MD17" s="390"/>
      <c r="ME17" s="390"/>
      <c r="MF17" s="390"/>
      <c r="MG17" s="390"/>
      <c r="MH17" s="390"/>
      <c r="MI17" s="390"/>
      <c r="MJ17" s="390"/>
      <c r="MK17" s="390"/>
      <c r="ML17" s="390"/>
      <c r="MM17" s="390"/>
      <c r="MN17" s="390"/>
      <c r="MO17" s="390"/>
      <c r="MP17" s="390"/>
      <c r="MQ17" s="390"/>
      <c r="MR17" s="390"/>
      <c r="MS17" s="390"/>
      <c r="MT17" s="390"/>
      <c r="MU17" s="390"/>
      <c r="MV17" s="390"/>
      <c r="MW17" s="390"/>
      <c r="MX17" s="390"/>
      <c r="MY17" s="390"/>
      <c r="MZ17" s="390"/>
      <c r="NA17" s="390"/>
      <c r="NB17" s="390"/>
      <c r="NC17" s="390"/>
      <c r="ND17" s="390"/>
      <c r="NE17" s="390"/>
      <c r="NF17" s="390"/>
      <c r="NG17" s="390"/>
      <c r="NH17" s="390"/>
      <c r="NI17" s="390"/>
      <c r="NJ17" s="390"/>
      <c r="NK17" s="390"/>
      <c r="NL17" s="390"/>
      <c r="NM17" s="390"/>
      <c r="NN17" s="390"/>
      <c r="NO17" s="390"/>
      <c r="NP17" s="390"/>
      <c r="NQ17" s="390"/>
      <c r="NR17" s="390"/>
      <c r="NS17" s="390"/>
      <c r="NT17" s="390"/>
      <c r="NU17" s="390"/>
      <c r="NV17" s="390"/>
      <c r="NW17" s="390"/>
      <c r="NX17" s="390"/>
      <c r="NY17" s="390"/>
      <c r="NZ17" s="390"/>
      <c r="OA17" s="390"/>
      <c r="OB17" s="390"/>
      <c r="OC17" s="390"/>
      <c r="OD17" s="390"/>
      <c r="OE17" s="390"/>
      <c r="OF17" s="390"/>
      <c r="OG17" s="390"/>
      <c r="OH17" s="390"/>
      <c r="OI17" s="390"/>
      <c r="OJ17" s="390"/>
      <c r="OK17" s="390"/>
      <c r="OL17" s="390"/>
      <c r="OM17" s="390"/>
      <c r="ON17" s="390"/>
      <c r="OO17" s="390"/>
      <c r="OP17" s="390"/>
      <c r="OQ17" s="390"/>
      <c r="OR17" s="390"/>
      <c r="OS17" s="390"/>
      <c r="OT17" s="390"/>
      <c r="OU17" s="390"/>
      <c r="OV17" s="390"/>
      <c r="OW17" s="390"/>
      <c r="OX17" s="390"/>
      <c r="OY17" s="390"/>
      <c r="OZ17" s="390"/>
      <c r="PA17" s="390"/>
      <c r="PB17" s="390"/>
      <c r="PC17" s="390"/>
      <c r="PD17" s="390"/>
      <c r="PE17" s="390"/>
      <c r="PF17" s="390"/>
      <c r="PG17" s="390"/>
      <c r="PH17" s="390"/>
      <c r="PI17" s="390"/>
      <c r="PJ17" s="390"/>
      <c r="PK17" s="390"/>
      <c r="PL17" s="390"/>
      <c r="PM17" s="390"/>
      <c r="PN17" s="390"/>
      <c r="PO17" s="390"/>
      <c r="PP17" s="390"/>
      <c r="PQ17" s="390"/>
      <c r="PR17" s="390"/>
      <c r="PS17" s="390"/>
      <c r="PT17" s="390"/>
      <c r="PU17" s="390"/>
      <c r="PV17" s="390"/>
      <c r="PW17" s="390"/>
      <c r="PX17" s="390"/>
      <c r="PY17" s="390"/>
      <c r="PZ17" s="390"/>
      <c r="QA17" s="390"/>
      <c r="QB17" s="390"/>
      <c r="QC17" s="390"/>
      <c r="QD17" s="390"/>
      <c r="QE17" s="390"/>
      <c r="QF17" s="390"/>
      <c r="QG17" s="390"/>
      <c r="QH17" s="390"/>
      <c r="QI17" s="390"/>
      <c r="QJ17" s="390"/>
      <c r="QK17" s="390"/>
      <c r="QL17" s="390"/>
      <c r="QM17" s="390"/>
      <c r="QN17" s="390"/>
      <c r="QO17" s="390"/>
      <c r="QP17" s="390"/>
      <c r="QQ17" s="390"/>
      <c r="QR17" s="390"/>
      <c r="QS17" s="390"/>
      <c r="QT17" s="390"/>
      <c r="QU17" s="390"/>
      <c r="QV17" s="390"/>
      <c r="QW17" s="390"/>
      <c r="QX17" s="390"/>
      <c r="QY17" s="390"/>
      <c r="QZ17" s="390"/>
      <c r="RA17" s="390"/>
      <c r="RB17" s="390"/>
      <c r="RC17" s="390"/>
      <c r="RD17" s="390"/>
      <c r="RE17" s="390"/>
      <c r="RF17" s="390"/>
      <c r="RG17" s="390"/>
      <c r="RH17" s="390"/>
      <c r="RI17" s="390"/>
      <c r="RJ17" s="390"/>
      <c r="RK17" s="390"/>
      <c r="RL17" s="390"/>
      <c r="RM17" s="390"/>
      <c r="RN17" s="390"/>
      <c r="RO17" s="390"/>
      <c r="RP17" s="390"/>
      <c r="RQ17" s="390"/>
      <c r="RR17" s="390"/>
      <c r="RS17" s="390"/>
      <c r="RT17" s="390"/>
      <c r="RU17" s="390"/>
      <c r="RV17" s="390"/>
      <c r="RW17" s="390"/>
      <c r="RX17" s="390"/>
      <c r="RY17" s="390"/>
      <c r="RZ17" s="390"/>
      <c r="SA17" s="390"/>
      <c r="SB17" s="390"/>
      <c r="SC17" s="390"/>
      <c r="SD17" s="390"/>
      <c r="SE17" s="390"/>
      <c r="SF17" s="390"/>
      <c r="SG17" s="390"/>
      <c r="SH17" s="390"/>
      <c r="SI17" s="390"/>
      <c r="SJ17" s="390"/>
      <c r="SK17" s="390"/>
      <c r="SL17" s="390"/>
      <c r="SM17" s="390"/>
      <c r="SN17" s="390"/>
      <c r="SO17" s="390"/>
      <c r="SP17" s="390"/>
      <c r="SQ17" s="390"/>
      <c r="SR17" s="390"/>
      <c r="SS17" s="390"/>
      <c r="ST17" s="390"/>
      <c r="SU17" s="390"/>
      <c r="SV17" s="390"/>
      <c r="SW17" s="390"/>
      <c r="SX17" s="390"/>
      <c r="SY17" s="390"/>
      <c r="SZ17" s="390"/>
      <c r="TA17" s="390"/>
      <c r="TB17" s="390"/>
      <c r="TC17" s="390"/>
      <c r="TD17" s="390"/>
      <c r="TE17" s="390"/>
      <c r="TF17" s="390"/>
      <c r="TG17" s="390"/>
      <c r="TH17" s="390"/>
      <c r="TI17" s="390"/>
      <c r="TJ17" s="390"/>
      <c r="TK17" s="390"/>
      <c r="TL17" s="390"/>
      <c r="TM17" s="390"/>
      <c r="TN17" s="390"/>
      <c r="TO17" s="390"/>
      <c r="TP17" s="390"/>
      <c r="TQ17" s="390"/>
      <c r="TR17" s="390"/>
      <c r="TS17" s="390"/>
      <c r="TT17" s="390"/>
      <c r="TU17" s="390"/>
      <c r="TV17" s="390"/>
      <c r="TW17" s="390"/>
      <c r="TX17" s="390"/>
      <c r="TY17" s="390"/>
      <c r="TZ17" s="390"/>
      <c r="UA17" s="390"/>
      <c r="UB17" s="390"/>
      <c r="UC17" s="390"/>
      <c r="UD17" s="390"/>
      <c r="UE17" s="390"/>
      <c r="UF17" s="390"/>
      <c r="UG17" s="390"/>
      <c r="UH17" s="390"/>
      <c r="UI17" s="390"/>
      <c r="UJ17" s="390"/>
      <c r="UK17" s="390"/>
      <c r="UL17" s="390"/>
      <c r="UM17" s="390"/>
      <c r="UN17" s="390"/>
      <c r="UO17" s="390"/>
      <c r="UP17" s="390"/>
      <c r="UQ17" s="390"/>
      <c r="UR17" s="390"/>
      <c r="US17" s="390"/>
      <c r="UT17" s="390"/>
      <c r="UU17" s="390"/>
      <c r="UV17" s="390"/>
      <c r="UW17" s="390"/>
      <c r="UX17" s="390"/>
      <c r="UY17" s="390"/>
      <c r="UZ17" s="390"/>
      <c r="VA17" s="390"/>
      <c r="VB17" s="390"/>
      <c r="VC17" s="390"/>
      <c r="VD17" s="390"/>
      <c r="VE17" s="390"/>
      <c r="VF17" s="390"/>
      <c r="VG17" s="390"/>
      <c r="VH17" s="390"/>
      <c r="VI17" s="390"/>
      <c r="VJ17" s="390"/>
      <c r="VK17" s="390"/>
      <c r="VL17" s="390"/>
      <c r="VM17" s="390"/>
      <c r="VN17" s="390"/>
      <c r="VO17" s="390"/>
      <c r="VP17" s="390"/>
      <c r="VQ17" s="390"/>
      <c r="VR17" s="390"/>
      <c r="VS17" s="390"/>
      <c r="VT17" s="390"/>
      <c r="VU17" s="390"/>
      <c r="VV17" s="390"/>
      <c r="VW17" s="390"/>
      <c r="VX17" s="390"/>
      <c r="VY17" s="390"/>
      <c r="VZ17" s="390"/>
      <c r="WA17" s="390"/>
      <c r="WB17" s="390"/>
      <c r="WC17" s="390"/>
      <c r="WD17" s="390"/>
      <c r="WE17" s="390"/>
      <c r="WF17" s="390"/>
      <c r="WG17" s="390"/>
      <c r="WH17" s="390"/>
      <c r="WI17" s="390"/>
      <c r="WJ17" s="390"/>
      <c r="WK17" s="390"/>
      <c r="WL17" s="390"/>
      <c r="WM17" s="390"/>
      <c r="WN17" s="390"/>
      <c r="WO17" s="390"/>
      <c r="WP17" s="390"/>
      <c r="WQ17" s="390"/>
      <c r="WR17" s="390"/>
      <c r="WS17" s="390"/>
      <c r="WT17" s="390"/>
      <c r="WU17" s="390"/>
      <c r="WV17" s="390"/>
      <c r="WW17" s="390"/>
      <c r="WX17" s="390"/>
      <c r="WY17" s="390"/>
      <c r="WZ17" s="390"/>
      <c r="XA17" s="390"/>
      <c r="XB17" s="390"/>
      <c r="XC17" s="390"/>
      <c r="XD17" s="390"/>
      <c r="XE17" s="390"/>
      <c r="XF17" s="390"/>
      <c r="XG17" s="390"/>
      <c r="XH17" s="390"/>
      <c r="XI17" s="390"/>
      <c r="XJ17" s="390"/>
      <c r="XK17" s="390"/>
      <c r="XL17" s="390"/>
      <c r="XM17" s="390"/>
      <c r="XN17" s="390"/>
      <c r="XO17" s="390"/>
      <c r="XP17" s="390"/>
      <c r="XQ17" s="390"/>
      <c r="XR17" s="390"/>
      <c r="XS17" s="390"/>
      <c r="XT17" s="390"/>
      <c r="XU17" s="390"/>
      <c r="XV17" s="390"/>
      <c r="XW17" s="390"/>
      <c r="XX17" s="390"/>
      <c r="XY17" s="390"/>
      <c r="XZ17" s="390"/>
      <c r="YA17" s="390"/>
      <c r="YB17" s="390"/>
      <c r="YC17" s="390"/>
      <c r="YD17" s="390"/>
      <c r="YE17" s="390"/>
      <c r="YF17" s="390"/>
      <c r="YG17" s="390"/>
      <c r="YH17" s="390"/>
      <c r="YI17" s="390"/>
      <c r="YJ17" s="390"/>
      <c r="YK17" s="390"/>
      <c r="YL17" s="390"/>
      <c r="YM17" s="390"/>
      <c r="YN17" s="390"/>
      <c r="YO17" s="390"/>
      <c r="YP17" s="390"/>
      <c r="YQ17" s="390"/>
      <c r="YR17" s="390"/>
      <c r="YS17" s="390"/>
      <c r="YT17" s="390"/>
      <c r="YU17" s="390"/>
      <c r="YV17" s="390"/>
      <c r="YW17" s="390"/>
      <c r="YX17" s="390"/>
      <c r="YY17" s="390"/>
      <c r="YZ17" s="390"/>
      <c r="ZA17" s="390"/>
      <c r="ZB17" s="390"/>
      <c r="ZC17" s="390"/>
      <c r="ZD17" s="390"/>
      <c r="ZE17" s="390"/>
      <c r="ZF17" s="390"/>
      <c r="ZG17" s="390"/>
      <c r="ZH17" s="390"/>
      <c r="ZI17" s="390"/>
      <c r="ZJ17" s="390"/>
      <c r="ZK17" s="390"/>
      <c r="ZL17" s="390"/>
      <c r="ZM17" s="390"/>
      <c r="ZN17" s="390"/>
      <c r="ZO17" s="390"/>
      <c r="ZP17" s="390"/>
      <c r="ZQ17" s="390"/>
      <c r="ZR17" s="390"/>
      <c r="ZS17" s="390"/>
      <c r="ZT17" s="390"/>
      <c r="ZU17" s="390"/>
      <c r="ZV17" s="390"/>
      <c r="ZW17" s="390"/>
      <c r="ZX17" s="390"/>
      <c r="ZY17" s="390"/>
      <c r="ZZ17" s="390"/>
      <c r="AAA17" s="390"/>
      <c r="AAB17" s="390"/>
      <c r="AAC17" s="390"/>
      <c r="AAD17" s="390"/>
      <c r="AAE17" s="390"/>
      <c r="AAF17" s="390"/>
      <c r="AAG17" s="390"/>
      <c r="AAH17" s="390"/>
      <c r="AAI17" s="390"/>
      <c r="AAJ17" s="390"/>
      <c r="AAK17" s="390"/>
      <c r="AAL17" s="390"/>
      <c r="AAM17" s="390"/>
      <c r="AAN17" s="390"/>
      <c r="AAO17" s="390"/>
      <c r="AAP17" s="390"/>
      <c r="AAQ17" s="390"/>
      <c r="AAR17" s="390"/>
      <c r="AAS17" s="390"/>
      <c r="AAT17" s="390"/>
      <c r="AAU17" s="390"/>
      <c r="AAV17" s="390"/>
      <c r="AAW17" s="390"/>
      <c r="AAX17" s="390"/>
      <c r="AAY17" s="390"/>
      <c r="AAZ17" s="390"/>
      <c r="ABA17" s="390"/>
      <c r="ABB17" s="390"/>
      <c r="ABC17" s="390"/>
      <c r="ABD17" s="390"/>
      <c r="ABE17" s="390"/>
      <c r="ABF17" s="390"/>
      <c r="ABG17" s="390"/>
      <c r="ABH17" s="390"/>
      <c r="ABI17" s="390"/>
      <c r="ABJ17" s="390"/>
      <c r="ABK17" s="390"/>
      <c r="ABL17" s="390"/>
      <c r="ABM17" s="390"/>
      <c r="ABN17" s="390"/>
      <c r="ABO17" s="390"/>
      <c r="ABP17" s="390"/>
      <c r="ABQ17" s="390"/>
      <c r="ABR17" s="390"/>
      <c r="ABS17" s="390"/>
      <c r="ABT17" s="390"/>
      <c r="ABU17" s="390"/>
      <c r="ABV17" s="390"/>
      <c r="ABW17" s="390"/>
      <c r="ABX17" s="390"/>
      <c r="ABY17" s="390"/>
      <c r="ABZ17" s="390"/>
      <c r="ACA17" s="390"/>
      <c r="ACB17" s="390"/>
      <c r="ACC17" s="390"/>
      <c r="ACD17" s="390"/>
      <c r="ACE17" s="390"/>
      <c r="ACF17" s="390"/>
      <c r="ACG17" s="390"/>
      <c r="ACH17" s="390"/>
      <c r="ACI17" s="390"/>
    </row>
    <row r="18" spans="1:763" ht="13.95" customHeight="1" x14ac:dyDescent="0.3">
      <c r="A18" s="401" t="str">
        <f ca="1">Проект!$A$89</f>
        <v>цена за единицу (ед.), без НДС</v>
      </c>
      <c r="B18" s="351">
        <f>Проект!$B$89</f>
        <v>1000</v>
      </c>
      <c r="C18" s="402" t="str">
        <f ca="1">Проект!$C$89</f>
        <v>руб.</v>
      </c>
      <c r="D18" s="403">
        <f ca="1">IFERROR(AVERAGE(Проект!$G$89:$R$89),"-")</f>
        <v>1027.2106951697644</v>
      </c>
      <c r="E18" s="403">
        <f ca="1">IFERROR(AVERAGE(Проект!$S$89:$AD$89),"-")</f>
        <v>1088.8433368799508</v>
      </c>
      <c r="F18" s="403">
        <f ca="1">IFERROR(AVERAGE(Проект!$AE$89:$AP$89),"-")</f>
        <v>1154.173937092748</v>
      </c>
      <c r="G18" s="403">
        <f ca="1">IFERROR(AVERAGE(Проект!$AQ$89:$BB$89),"-")</f>
        <v>1223.4243733183137</v>
      </c>
      <c r="H18" s="396"/>
      <c r="I18" s="390"/>
      <c r="J18" s="390"/>
      <c r="K18" s="390"/>
      <c r="L18" s="390"/>
      <c r="M18" s="390"/>
      <c r="N18" s="390"/>
      <c r="O18" s="390"/>
      <c r="P18" s="390"/>
      <c r="Q18" s="390"/>
      <c r="R18" s="390"/>
      <c r="S18" s="390"/>
      <c r="T18" s="390"/>
      <c r="U18" s="390"/>
      <c r="V18" s="390"/>
      <c r="W18" s="390"/>
      <c r="X18" s="390"/>
      <c r="Y18" s="390"/>
      <c r="Z18" s="390"/>
      <c r="AA18" s="390"/>
      <c r="AB18" s="390"/>
      <c r="AC18" s="390"/>
      <c r="AD18" s="390"/>
      <c r="AE18" s="390"/>
      <c r="AF18" s="390"/>
      <c r="AG18" s="390"/>
      <c r="AH18" s="390"/>
      <c r="AI18" s="390"/>
      <c r="AJ18" s="390"/>
      <c r="AK18" s="390"/>
      <c r="AL18" s="390"/>
      <c r="AM18" s="390"/>
      <c r="AN18" s="390"/>
      <c r="AO18" s="390"/>
      <c r="AP18" s="390"/>
      <c r="AQ18" s="390"/>
      <c r="AR18" s="390"/>
      <c r="AS18" s="390"/>
      <c r="AT18" s="390"/>
      <c r="AU18" s="390"/>
      <c r="AV18" s="390"/>
      <c r="AW18" s="390"/>
      <c r="AX18" s="390"/>
      <c r="AY18" s="390"/>
      <c r="AZ18" s="390"/>
      <c r="BA18" s="390"/>
      <c r="BB18" s="390"/>
      <c r="BC18" s="390"/>
      <c r="BD18" s="390"/>
      <c r="BE18" s="390"/>
      <c r="BF18" s="390"/>
      <c r="BG18" s="390"/>
      <c r="BH18" s="390"/>
      <c r="BI18" s="390"/>
      <c r="BJ18" s="390"/>
      <c r="BK18" s="390"/>
      <c r="BL18" s="390"/>
      <c r="BM18" s="390"/>
      <c r="BN18" s="390"/>
      <c r="BO18" s="390"/>
      <c r="BP18" s="390"/>
      <c r="BQ18" s="390"/>
      <c r="BR18" s="390"/>
      <c r="BS18" s="390"/>
      <c r="BT18" s="390"/>
      <c r="BU18" s="390"/>
      <c r="BV18" s="390"/>
      <c r="BW18" s="390"/>
      <c r="BX18" s="390"/>
      <c r="BY18" s="390"/>
      <c r="BZ18" s="390"/>
      <c r="CA18" s="390"/>
      <c r="CB18" s="390"/>
      <c r="CC18" s="390"/>
      <c r="CD18" s="390"/>
      <c r="CE18" s="390"/>
      <c r="CF18" s="390"/>
      <c r="CG18" s="390"/>
      <c r="CH18" s="390"/>
      <c r="CI18" s="390"/>
      <c r="CJ18" s="390"/>
      <c r="CK18" s="390"/>
      <c r="CL18" s="390"/>
      <c r="CM18" s="390"/>
      <c r="CN18" s="390"/>
      <c r="CO18" s="390"/>
      <c r="CP18" s="390"/>
      <c r="CQ18" s="390"/>
      <c r="CR18" s="390"/>
      <c r="CS18" s="390"/>
      <c r="CT18" s="390"/>
      <c r="CU18" s="390"/>
      <c r="CV18" s="390"/>
      <c r="CW18" s="390"/>
      <c r="CX18" s="390"/>
      <c r="CY18" s="390"/>
      <c r="CZ18" s="390"/>
      <c r="DA18" s="390"/>
      <c r="DB18" s="390"/>
      <c r="DC18" s="390"/>
      <c r="DD18" s="390"/>
      <c r="DE18" s="390"/>
      <c r="DF18" s="390"/>
      <c r="DG18" s="390"/>
      <c r="DH18" s="390"/>
      <c r="DI18" s="390"/>
      <c r="DJ18" s="390"/>
      <c r="DK18" s="390"/>
      <c r="DL18" s="390"/>
      <c r="DM18" s="390"/>
      <c r="DN18" s="390"/>
      <c r="DO18" s="390"/>
      <c r="DP18" s="390"/>
      <c r="DQ18" s="390"/>
      <c r="DR18" s="390"/>
      <c r="DS18" s="390"/>
      <c r="DT18" s="390"/>
      <c r="DU18" s="390"/>
      <c r="DV18" s="390"/>
      <c r="DW18" s="390"/>
      <c r="DX18" s="390"/>
      <c r="DY18" s="390"/>
      <c r="DZ18" s="390"/>
      <c r="EA18" s="390"/>
      <c r="EB18" s="390"/>
      <c r="EC18" s="390"/>
      <c r="ED18" s="390"/>
      <c r="EE18" s="390"/>
      <c r="EF18" s="390"/>
      <c r="EG18" s="390"/>
      <c r="EH18" s="390"/>
      <c r="EI18" s="390"/>
      <c r="EJ18" s="390"/>
      <c r="EK18" s="390"/>
      <c r="EL18" s="390"/>
      <c r="EM18" s="390"/>
      <c r="EN18" s="390"/>
      <c r="EO18" s="390"/>
      <c r="EP18" s="390"/>
      <c r="EQ18" s="390"/>
      <c r="ER18" s="390"/>
      <c r="ES18" s="390"/>
      <c r="ET18" s="390"/>
      <c r="EU18" s="390"/>
      <c r="EV18" s="390"/>
      <c r="EW18" s="390"/>
      <c r="EX18" s="390"/>
      <c r="EY18" s="390"/>
      <c r="EZ18" s="390"/>
      <c r="FA18" s="390"/>
      <c r="FB18" s="390"/>
      <c r="FC18" s="390"/>
      <c r="FD18" s="390"/>
      <c r="FE18" s="390"/>
      <c r="FF18" s="390"/>
      <c r="FG18" s="390"/>
      <c r="FH18" s="390"/>
      <c r="FI18" s="390"/>
      <c r="FJ18" s="390"/>
      <c r="FK18" s="390"/>
      <c r="FL18" s="390"/>
      <c r="FM18" s="390"/>
      <c r="FN18" s="390"/>
      <c r="FO18" s="390"/>
      <c r="FP18" s="390"/>
      <c r="FQ18" s="390"/>
      <c r="FR18" s="390"/>
      <c r="FS18" s="390"/>
      <c r="FT18" s="390"/>
      <c r="FU18" s="390"/>
      <c r="FV18" s="390"/>
      <c r="FW18" s="390"/>
      <c r="FX18" s="390"/>
      <c r="FY18" s="390"/>
      <c r="FZ18" s="390"/>
      <c r="GA18" s="390"/>
      <c r="GB18" s="390"/>
      <c r="GC18" s="390"/>
      <c r="GD18" s="390"/>
      <c r="GE18" s="390"/>
      <c r="GF18" s="390"/>
      <c r="GG18" s="390"/>
      <c r="GH18" s="390"/>
      <c r="GI18" s="390"/>
      <c r="GJ18" s="390"/>
      <c r="GK18" s="390"/>
      <c r="GL18" s="390"/>
      <c r="GM18" s="390"/>
      <c r="GN18" s="390"/>
      <c r="GO18" s="390"/>
      <c r="GP18" s="390"/>
      <c r="GQ18" s="390"/>
      <c r="GR18" s="390"/>
      <c r="GS18" s="390"/>
      <c r="GT18" s="390"/>
      <c r="GU18" s="390"/>
      <c r="GV18" s="390"/>
      <c r="GW18" s="390"/>
      <c r="GX18" s="390"/>
      <c r="GY18" s="390"/>
      <c r="GZ18" s="390"/>
      <c r="HA18" s="390"/>
      <c r="HB18" s="390"/>
      <c r="HC18" s="390"/>
      <c r="HD18" s="390"/>
      <c r="HE18" s="390"/>
      <c r="HF18" s="390"/>
      <c r="HG18" s="390"/>
      <c r="HH18" s="390"/>
      <c r="HI18" s="390"/>
      <c r="HJ18" s="390"/>
      <c r="HK18" s="390"/>
      <c r="HL18" s="390"/>
      <c r="HM18" s="390"/>
      <c r="HN18" s="390"/>
      <c r="HO18" s="390"/>
      <c r="HP18" s="390"/>
      <c r="HQ18" s="390"/>
      <c r="HR18" s="390"/>
      <c r="HS18" s="390"/>
      <c r="HT18" s="390"/>
      <c r="HU18" s="390"/>
      <c r="HV18" s="390"/>
      <c r="HW18" s="390"/>
      <c r="HX18" s="390"/>
      <c r="HY18" s="390"/>
      <c r="HZ18" s="390"/>
      <c r="IA18" s="390"/>
      <c r="IB18" s="390"/>
      <c r="IC18" s="390"/>
      <c r="ID18" s="390"/>
      <c r="IE18" s="390"/>
      <c r="IF18" s="390"/>
      <c r="IG18" s="390"/>
      <c r="IH18" s="390"/>
      <c r="II18" s="390"/>
      <c r="IJ18" s="390"/>
      <c r="IK18" s="390"/>
      <c r="IL18" s="390"/>
      <c r="IM18" s="390"/>
      <c r="IN18" s="390"/>
      <c r="IO18" s="390"/>
      <c r="IP18" s="390"/>
      <c r="IQ18" s="390"/>
      <c r="IR18" s="390"/>
      <c r="IS18" s="390"/>
      <c r="IT18" s="390"/>
      <c r="IU18" s="390"/>
      <c r="IV18" s="390"/>
      <c r="IW18" s="390"/>
      <c r="IX18" s="390"/>
      <c r="IY18" s="390"/>
      <c r="IZ18" s="390"/>
      <c r="JA18" s="390"/>
      <c r="JB18" s="390"/>
      <c r="JC18" s="390"/>
      <c r="JD18" s="390"/>
      <c r="JE18" s="390"/>
      <c r="JF18" s="390"/>
      <c r="JG18" s="390"/>
      <c r="JH18" s="390"/>
      <c r="JI18" s="390"/>
      <c r="JJ18" s="390"/>
      <c r="JK18" s="390"/>
      <c r="JL18" s="390"/>
      <c r="JM18" s="390"/>
      <c r="JN18" s="390"/>
      <c r="JO18" s="390"/>
      <c r="JP18" s="390"/>
      <c r="JQ18" s="390"/>
      <c r="JR18" s="390"/>
      <c r="JS18" s="390"/>
      <c r="JT18" s="390"/>
      <c r="JU18" s="390"/>
      <c r="JV18" s="390"/>
      <c r="JW18" s="390"/>
      <c r="JX18" s="390"/>
      <c r="JY18" s="390"/>
      <c r="JZ18" s="390"/>
      <c r="KA18" s="390"/>
      <c r="KB18" s="390"/>
      <c r="KC18" s="390"/>
      <c r="KD18" s="390"/>
      <c r="KE18" s="390"/>
      <c r="KF18" s="390"/>
      <c r="KG18" s="390"/>
      <c r="KH18" s="390"/>
      <c r="KI18" s="390"/>
      <c r="KJ18" s="390"/>
      <c r="KK18" s="390"/>
      <c r="KL18" s="390"/>
      <c r="KM18" s="390"/>
      <c r="KN18" s="390"/>
      <c r="KO18" s="390"/>
      <c r="KP18" s="390"/>
      <c r="KQ18" s="390"/>
      <c r="KR18" s="390"/>
      <c r="KS18" s="390"/>
      <c r="KT18" s="390"/>
      <c r="KU18" s="390"/>
      <c r="KV18" s="390"/>
      <c r="KW18" s="390"/>
      <c r="KX18" s="390"/>
      <c r="KY18" s="390"/>
      <c r="KZ18" s="390"/>
      <c r="LA18" s="390"/>
      <c r="LB18" s="390"/>
      <c r="LC18" s="390"/>
      <c r="LD18" s="390"/>
      <c r="LE18" s="390"/>
      <c r="LF18" s="390"/>
      <c r="LG18" s="390"/>
      <c r="LH18" s="390"/>
      <c r="LI18" s="390"/>
      <c r="LJ18" s="390"/>
      <c r="LK18" s="390"/>
      <c r="LL18" s="390"/>
      <c r="LM18" s="390"/>
      <c r="LN18" s="390"/>
      <c r="LO18" s="390"/>
      <c r="LP18" s="390"/>
      <c r="LQ18" s="390"/>
      <c r="LR18" s="390"/>
      <c r="LS18" s="390"/>
      <c r="LT18" s="390"/>
      <c r="LU18" s="390"/>
      <c r="LV18" s="390"/>
      <c r="LW18" s="390"/>
      <c r="LX18" s="390"/>
      <c r="LY18" s="390"/>
      <c r="LZ18" s="390"/>
      <c r="MA18" s="390"/>
      <c r="MB18" s="390"/>
      <c r="MC18" s="390"/>
      <c r="MD18" s="390"/>
      <c r="ME18" s="390"/>
      <c r="MF18" s="390"/>
      <c r="MG18" s="390"/>
      <c r="MH18" s="390"/>
      <c r="MI18" s="390"/>
      <c r="MJ18" s="390"/>
      <c r="MK18" s="390"/>
      <c r="ML18" s="390"/>
      <c r="MM18" s="390"/>
      <c r="MN18" s="390"/>
      <c r="MO18" s="390"/>
      <c r="MP18" s="390"/>
      <c r="MQ18" s="390"/>
      <c r="MR18" s="390"/>
      <c r="MS18" s="390"/>
      <c r="MT18" s="390"/>
      <c r="MU18" s="390"/>
      <c r="MV18" s="390"/>
      <c r="MW18" s="390"/>
      <c r="MX18" s="390"/>
      <c r="MY18" s="390"/>
      <c r="MZ18" s="390"/>
      <c r="NA18" s="390"/>
      <c r="NB18" s="390"/>
      <c r="NC18" s="390"/>
      <c r="ND18" s="390"/>
      <c r="NE18" s="390"/>
      <c r="NF18" s="390"/>
      <c r="NG18" s="390"/>
      <c r="NH18" s="390"/>
      <c r="NI18" s="390"/>
      <c r="NJ18" s="390"/>
      <c r="NK18" s="390"/>
      <c r="NL18" s="390"/>
      <c r="NM18" s="390"/>
      <c r="NN18" s="390"/>
      <c r="NO18" s="390"/>
      <c r="NP18" s="390"/>
      <c r="NQ18" s="390"/>
      <c r="NR18" s="390"/>
      <c r="NS18" s="390"/>
      <c r="NT18" s="390"/>
      <c r="NU18" s="390"/>
      <c r="NV18" s="390"/>
      <c r="NW18" s="390"/>
      <c r="NX18" s="390"/>
      <c r="NY18" s="390"/>
      <c r="NZ18" s="390"/>
      <c r="OA18" s="390"/>
      <c r="OB18" s="390"/>
      <c r="OC18" s="390"/>
      <c r="OD18" s="390"/>
      <c r="OE18" s="390"/>
      <c r="OF18" s="390"/>
      <c r="OG18" s="390"/>
      <c r="OH18" s="390"/>
      <c r="OI18" s="390"/>
      <c r="OJ18" s="390"/>
      <c r="OK18" s="390"/>
      <c r="OL18" s="390"/>
      <c r="OM18" s="390"/>
      <c r="ON18" s="390"/>
      <c r="OO18" s="390"/>
      <c r="OP18" s="390"/>
      <c r="OQ18" s="390"/>
      <c r="OR18" s="390"/>
      <c r="OS18" s="390"/>
      <c r="OT18" s="390"/>
      <c r="OU18" s="390"/>
      <c r="OV18" s="390"/>
      <c r="OW18" s="390"/>
      <c r="OX18" s="390"/>
      <c r="OY18" s="390"/>
      <c r="OZ18" s="390"/>
      <c r="PA18" s="390"/>
      <c r="PB18" s="390"/>
      <c r="PC18" s="390"/>
      <c r="PD18" s="390"/>
      <c r="PE18" s="390"/>
      <c r="PF18" s="390"/>
      <c r="PG18" s="390"/>
      <c r="PH18" s="390"/>
      <c r="PI18" s="390"/>
      <c r="PJ18" s="390"/>
      <c r="PK18" s="390"/>
      <c r="PL18" s="390"/>
      <c r="PM18" s="390"/>
      <c r="PN18" s="390"/>
      <c r="PO18" s="390"/>
      <c r="PP18" s="390"/>
      <c r="PQ18" s="390"/>
      <c r="PR18" s="390"/>
      <c r="PS18" s="390"/>
      <c r="PT18" s="390"/>
      <c r="PU18" s="390"/>
      <c r="PV18" s="390"/>
      <c r="PW18" s="390"/>
      <c r="PX18" s="390"/>
      <c r="PY18" s="390"/>
      <c r="PZ18" s="390"/>
      <c r="QA18" s="390"/>
      <c r="QB18" s="390"/>
      <c r="QC18" s="390"/>
      <c r="QD18" s="390"/>
      <c r="QE18" s="390"/>
      <c r="QF18" s="390"/>
      <c r="QG18" s="390"/>
      <c r="QH18" s="390"/>
      <c r="QI18" s="390"/>
      <c r="QJ18" s="390"/>
      <c r="QK18" s="390"/>
      <c r="QL18" s="390"/>
      <c r="QM18" s="390"/>
      <c r="QN18" s="390"/>
      <c r="QO18" s="390"/>
      <c r="QP18" s="390"/>
      <c r="QQ18" s="390"/>
      <c r="QR18" s="390"/>
      <c r="QS18" s="390"/>
      <c r="QT18" s="390"/>
      <c r="QU18" s="390"/>
      <c r="QV18" s="390"/>
      <c r="QW18" s="390"/>
      <c r="QX18" s="390"/>
      <c r="QY18" s="390"/>
      <c r="QZ18" s="390"/>
      <c r="RA18" s="390"/>
      <c r="RB18" s="390"/>
      <c r="RC18" s="390"/>
      <c r="RD18" s="390"/>
      <c r="RE18" s="390"/>
      <c r="RF18" s="390"/>
      <c r="RG18" s="390"/>
      <c r="RH18" s="390"/>
      <c r="RI18" s="390"/>
      <c r="RJ18" s="390"/>
      <c r="RK18" s="390"/>
      <c r="RL18" s="390"/>
      <c r="RM18" s="390"/>
      <c r="RN18" s="390"/>
      <c r="RO18" s="390"/>
      <c r="RP18" s="390"/>
      <c r="RQ18" s="390"/>
      <c r="RR18" s="390"/>
      <c r="RS18" s="390"/>
      <c r="RT18" s="390"/>
      <c r="RU18" s="390"/>
      <c r="RV18" s="390"/>
      <c r="RW18" s="390"/>
      <c r="RX18" s="390"/>
      <c r="RY18" s="390"/>
      <c r="RZ18" s="390"/>
      <c r="SA18" s="390"/>
      <c r="SB18" s="390"/>
      <c r="SC18" s="390"/>
      <c r="SD18" s="390"/>
      <c r="SE18" s="390"/>
      <c r="SF18" s="390"/>
      <c r="SG18" s="390"/>
      <c r="SH18" s="390"/>
      <c r="SI18" s="390"/>
      <c r="SJ18" s="390"/>
      <c r="SK18" s="390"/>
      <c r="SL18" s="390"/>
      <c r="SM18" s="390"/>
      <c r="SN18" s="390"/>
      <c r="SO18" s="390"/>
      <c r="SP18" s="390"/>
      <c r="SQ18" s="390"/>
      <c r="SR18" s="390"/>
      <c r="SS18" s="390"/>
      <c r="ST18" s="390"/>
      <c r="SU18" s="390"/>
      <c r="SV18" s="390"/>
      <c r="SW18" s="390"/>
      <c r="SX18" s="390"/>
      <c r="SY18" s="390"/>
      <c r="SZ18" s="390"/>
      <c r="TA18" s="390"/>
      <c r="TB18" s="390"/>
      <c r="TC18" s="390"/>
      <c r="TD18" s="390"/>
      <c r="TE18" s="390"/>
      <c r="TF18" s="390"/>
      <c r="TG18" s="390"/>
      <c r="TH18" s="390"/>
      <c r="TI18" s="390"/>
      <c r="TJ18" s="390"/>
      <c r="TK18" s="390"/>
      <c r="TL18" s="390"/>
      <c r="TM18" s="390"/>
      <c r="TN18" s="390"/>
      <c r="TO18" s="390"/>
      <c r="TP18" s="390"/>
      <c r="TQ18" s="390"/>
      <c r="TR18" s="390"/>
      <c r="TS18" s="390"/>
      <c r="TT18" s="390"/>
      <c r="TU18" s="390"/>
      <c r="TV18" s="390"/>
      <c r="TW18" s="390"/>
      <c r="TX18" s="390"/>
      <c r="TY18" s="390"/>
      <c r="TZ18" s="390"/>
      <c r="UA18" s="390"/>
      <c r="UB18" s="390"/>
      <c r="UC18" s="390"/>
      <c r="UD18" s="390"/>
      <c r="UE18" s="390"/>
      <c r="UF18" s="390"/>
      <c r="UG18" s="390"/>
      <c r="UH18" s="390"/>
      <c r="UI18" s="390"/>
      <c r="UJ18" s="390"/>
      <c r="UK18" s="390"/>
      <c r="UL18" s="390"/>
      <c r="UM18" s="390"/>
      <c r="UN18" s="390"/>
      <c r="UO18" s="390"/>
      <c r="UP18" s="390"/>
      <c r="UQ18" s="390"/>
      <c r="UR18" s="390"/>
      <c r="US18" s="390"/>
      <c r="UT18" s="390"/>
      <c r="UU18" s="390"/>
      <c r="UV18" s="390"/>
      <c r="UW18" s="390"/>
      <c r="UX18" s="390"/>
      <c r="UY18" s="390"/>
      <c r="UZ18" s="390"/>
      <c r="VA18" s="390"/>
      <c r="VB18" s="390"/>
      <c r="VC18" s="390"/>
      <c r="VD18" s="390"/>
      <c r="VE18" s="390"/>
      <c r="VF18" s="390"/>
      <c r="VG18" s="390"/>
      <c r="VH18" s="390"/>
      <c r="VI18" s="390"/>
      <c r="VJ18" s="390"/>
      <c r="VK18" s="390"/>
      <c r="VL18" s="390"/>
      <c r="VM18" s="390"/>
      <c r="VN18" s="390"/>
      <c r="VO18" s="390"/>
      <c r="VP18" s="390"/>
      <c r="VQ18" s="390"/>
      <c r="VR18" s="390"/>
      <c r="VS18" s="390"/>
      <c r="VT18" s="390"/>
      <c r="VU18" s="390"/>
      <c r="VV18" s="390"/>
      <c r="VW18" s="390"/>
      <c r="VX18" s="390"/>
      <c r="VY18" s="390"/>
      <c r="VZ18" s="390"/>
      <c r="WA18" s="390"/>
      <c r="WB18" s="390"/>
      <c r="WC18" s="390"/>
      <c r="WD18" s="390"/>
      <c r="WE18" s="390"/>
      <c r="WF18" s="390"/>
      <c r="WG18" s="390"/>
      <c r="WH18" s="390"/>
      <c r="WI18" s="390"/>
      <c r="WJ18" s="390"/>
      <c r="WK18" s="390"/>
      <c r="WL18" s="390"/>
      <c r="WM18" s="390"/>
      <c r="WN18" s="390"/>
      <c r="WO18" s="390"/>
      <c r="WP18" s="390"/>
      <c r="WQ18" s="390"/>
      <c r="WR18" s="390"/>
      <c r="WS18" s="390"/>
      <c r="WT18" s="390"/>
      <c r="WU18" s="390"/>
      <c r="WV18" s="390"/>
      <c r="WW18" s="390"/>
      <c r="WX18" s="390"/>
      <c r="WY18" s="390"/>
      <c r="WZ18" s="390"/>
      <c r="XA18" s="390"/>
      <c r="XB18" s="390"/>
      <c r="XC18" s="390"/>
      <c r="XD18" s="390"/>
      <c r="XE18" s="390"/>
      <c r="XF18" s="390"/>
      <c r="XG18" s="390"/>
      <c r="XH18" s="390"/>
      <c r="XI18" s="390"/>
      <c r="XJ18" s="390"/>
      <c r="XK18" s="390"/>
      <c r="XL18" s="390"/>
      <c r="XM18" s="390"/>
      <c r="XN18" s="390"/>
      <c r="XO18" s="390"/>
      <c r="XP18" s="390"/>
      <c r="XQ18" s="390"/>
      <c r="XR18" s="390"/>
      <c r="XS18" s="390"/>
      <c r="XT18" s="390"/>
      <c r="XU18" s="390"/>
      <c r="XV18" s="390"/>
      <c r="XW18" s="390"/>
      <c r="XX18" s="390"/>
      <c r="XY18" s="390"/>
      <c r="XZ18" s="390"/>
      <c r="YA18" s="390"/>
      <c r="YB18" s="390"/>
      <c r="YC18" s="390"/>
      <c r="YD18" s="390"/>
      <c r="YE18" s="390"/>
      <c r="YF18" s="390"/>
      <c r="YG18" s="390"/>
      <c r="YH18" s="390"/>
      <c r="YI18" s="390"/>
      <c r="YJ18" s="390"/>
      <c r="YK18" s="390"/>
      <c r="YL18" s="390"/>
      <c r="YM18" s="390"/>
      <c r="YN18" s="390"/>
      <c r="YO18" s="390"/>
      <c r="YP18" s="390"/>
      <c r="YQ18" s="390"/>
      <c r="YR18" s="390"/>
      <c r="YS18" s="390"/>
      <c r="YT18" s="390"/>
      <c r="YU18" s="390"/>
      <c r="YV18" s="390"/>
      <c r="YW18" s="390"/>
      <c r="YX18" s="390"/>
      <c r="YY18" s="390"/>
      <c r="YZ18" s="390"/>
      <c r="ZA18" s="390"/>
      <c r="ZB18" s="390"/>
      <c r="ZC18" s="390"/>
      <c r="ZD18" s="390"/>
      <c r="ZE18" s="390"/>
      <c r="ZF18" s="390"/>
      <c r="ZG18" s="390"/>
      <c r="ZH18" s="390"/>
      <c r="ZI18" s="390"/>
      <c r="ZJ18" s="390"/>
      <c r="ZK18" s="390"/>
      <c r="ZL18" s="390"/>
      <c r="ZM18" s="390"/>
      <c r="ZN18" s="390"/>
      <c r="ZO18" s="390"/>
      <c r="ZP18" s="390"/>
      <c r="ZQ18" s="390"/>
      <c r="ZR18" s="390"/>
      <c r="ZS18" s="390"/>
      <c r="ZT18" s="390"/>
      <c r="ZU18" s="390"/>
      <c r="ZV18" s="390"/>
      <c r="ZW18" s="390"/>
      <c r="ZX18" s="390"/>
      <c r="ZY18" s="390"/>
      <c r="ZZ18" s="390"/>
      <c r="AAA18" s="390"/>
      <c r="AAB18" s="390"/>
      <c r="AAC18" s="390"/>
      <c r="AAD18" s="390"/>
      <c r="AAE18" s="390"/>
      <c r="AAF18" s="390"/>
      <c r="AAG18" s="390"/>
      <c r="AAH18" s="390"/>
      <c r="AAI18" s="390"/>
      <c r="AAJ18" s="390"/>
      <c r="AAK18" s="390"/>
      <c r="AAL18" s="390"/>
      <c r="AAM18" s="390"/>
      <c r="AAN18" s="390"/>
      <c r="AAO18" s="390"/>
      <c r="AAP18" s="390"/>
      <c r="AAQ18" s="390"/>
      <c r="AAR18" s="390"/>
      <c r="AAS18" s="390"/>
      <c r="AAT18" s="390"/>
      <c r="AAU18" s="390"/>
      <c r="AAV18" s="390"/>
      <c r="AAW18" s="390"/>
      <c r="AAX18" s="390"/>
      <c r="AAY18" s="390"/>
      <c r="AAZ18" s="390"/>
      <c r="ABA18" s="390"/>
      <c r="ABB18" s="390"/>
      <c r="ABC18" s="390"/>
      <c r="ABD18" s="390"/>
      <c r="ABE18" s="390"/>
      <c r="ABF18" s="390"/>
      <c r="ABG18" s="390"/>
      <c r="ABH18" s="390"/>
      <c r="ABI18" s="390"/>
      <c r="ABJ18" s="390"/>
      <c r="ABK18" s="390"/>
      <c r="ABL18" s="390"/>
      <c r="ABM18" s="390"/>
      <c r="ABN18" s="390"/>
      <c r="ABO18" s="390"/>
      <c r="ABP18" s="390"/>
      <c r="ABQ18" s="390"/>
      <c r="ABR18" s="390"/>
      <c r="ABS18" s="390"/>
      <c r="ABT18" s="390"/>
      <c r="ABU18" s="390"/>
      <c r="ABV18" s="390"/>
      <c r="ABW18" s="390"/>
      <c r="ABX18" s="390"/>
      <c r="ABY18" s="390"/>
      <c r="ABZ18" s="390"/>
      <c r="ACA18" s="390"/>
      <c r="ACB18" s="390"/>
      <c r="ACC18" s="390"/>
      <c r="ACD18" s="390"/>
      <c r="ACE18" s="390"/>
      <c r="ACF18" s="390"/>
      <c r="ACG18" s="390"/>
      <c r="ACH18" s="390"/>
      <c r="ACI18" s="390"/>
    </row>
    <row r="19" spans="1:763" ht="13.95" customHeight="1" x14ac:dyDescent="0.3">
      <c r="A19" s="401" t="str">
        <f ca="1">Проект!$A$90</f>
        <v>выручка от реализации, без НДС</v>
      </c>
      <c r="B19" s="402"/>
      <c r="C19" s="402" t="str">
        <f ca="1">Проект!$C$90</f>
        <v>руб.</v>
      </c>
      <c r="D19" s="404">
        <f ca="1">SUM(Проект!$G$90:$R$90)</f>
        <v>3006795.7111345949</v>
      </c>
      <c r="E19" s="404">
        <f ca="1">SUM(Проект!$S$90:$AD$90)</f>
        <v>8669474.7828094158</v>
      </c>
      <c r="F19" s="404">
        <f ca="1">SUM(Проект!$AE$90:$AP$90)</f>
        <v>9189643.2697779816</v>
      </c>
      <c r="G19" s="404">
        <f ca="1">SUM(Проект!$AQ$90:$BB$90)</f>
        <v>9741021.8659646641</v>
      </c>
      <c r="H19" s="405">
        <f ca="1">Проект!$BD$90</f>
        <v>30606935.629686661</v>
      </c>
      <c r="I19" s="390"/>
      <c r="J19" s="390"/>
      <c r="K19" s="390"/>
      <c r="L19" s="390"/>
      <c r="M19" s="390"/>
      <c r="N19" s="390"/>
      <c r="O19" s="390"/>
      <c r="P19" s="390"/>
      <c r="Q19" s="390"/>
      <c r="R19" s="390"/>
      <c r="S19" s="390"/>
      <c r="T19" s="390"/>
      <c r="U19" s="390"/>
      <c r="V19" s="390"/>
      <c r="W19" s="390"/>
      <c r="X19" s="390"/>
      <c r="Y19" s="390"/>
      <c r="Z19" s="390"/>
      <c r="AA19" s="390"/>
      <c r="AB19" s="390"/>
      <c r="AC19" s="390"/>
      <c r="AD19" s="390"/>
      <c r="AE19" s="390"/>
      <c r="AF19" s="390"/>
      <c r="AG19" s="390"/>
      <c r="AH19" s="390"/>
      <c r="AI19" s="390"/>
      <c r="AJ19" s="390"/>
      <c r="AK19" s="390"/>
      <c r="AL19" s="390"/>
      <c r="AM19" s="390"/>
      <c r="AN19" s="390"/>
      <c r="AO19" s="390"/>
      <c r="AP19" s="390"/>
      <c r="AQ19" s="390"/>
      <c r="AR19" s="390"/>
      <c r="AS19" s="390"/>
      <c r="AT19" s="390"/>
      <c r="AU19" s="390"/>
      <c r="AV19" s="390"/>
      <c r="AW19" s="390"/>
      <c r="AX19" s="390"/>
      <c r="AY19" s="390"/>
      <c r="AZ19" s="390"/>
      <c r="BA19" s="390"/>
      <c r="BB19" s="390"/>
      <c r="BC19" s="390"/>
      <c r="BD19" s="390"/>
      <c r="BE19" s="390"/>
      <c r="BF19" s="390"/>
      <c r="BG19" s="390"/>
      <c r="BH19" s="390"/>
      <c r="BI19" s="390"/>
      <c r="BJ19" s="390"/>
      <c r="BK19" s="390"/>
      <c r="BL19" s="390"/>
      <c r="BM19" s="390"/>
      <c r="BN19" s="390"/>
      <c r="BO19" s="390"/>
      <c r="BP19" s="390"/>
      <c r="BQ19" s="390"/>
      <c r="BR19" s="390"/>
      <c r="BS19" s="390"/>
      <c r="BT19" s="390"/>
      <c r="BU19" s="390"/>
      <c r="BV19" s="390"/>
      <c r="BW19" s="390"/>
      <c r="BX19" s="390"/>
      <c r="BY19" s="390"/>
      <c r="BZ19" s="390"/>
      <c r="CA19" s="390"/>
      <c r="CB19" s="390"/>
      <c r="CC19" s="390"/>
      <c r="CD19" s="390"/>
      <c r="CE19" s="390"/>
      <c r="CF19" s="390"/>
      <c r="CG19" s="390"/>
      <c r="CH19" s="390"/>
      <c r="CI19" s="390"/>
      <c r="CJ19" s="390"/>
      <c r="CK19" s="390"/>
      <c r="CL19" s="390"/>
      <c r="CM19" s="390"/>
      <c r="CN19" s="390"/>
      <c r="CO19" s="390"/>
      <c r="CP19" s="390"/>
      <c r="CQ19" s="390"/>
      <c r="CR19" s="390"/>
      <c r="CS19" s="390"/>
      <c r="CT19" s="390"/>
      <c r="CU19" s="390"/>
      <c r="CV19" s="390"/>
      <c r="CW19" s="390"/>
      <c r="CX19" s="390"/>
      <c r="CY19" s="390"/>
      <c r="CZ19" s="390"/>
      <c r="DA19" s="390"/>
      <c r="DB19" s="390"/>
      <c r="DC19" s="390"/>
      <c r="DD19" s="390"/>
      <c r="DE19" s="390"/>
      <c r="DF19" s="390"/>
      <c r="DG19" s="390"/>
      <c r="DH19" s="390"/>
      <c r="DI19" s="390"/>
      <c r="DJ19" s="390"/>
      <c r="DK19" s="390"/>
      <c r="DL19" s="390"/>
      <c r="DM19" s="390"/>
      <c r="DN19" s="390"/>
      <c r="DO19" s="390"/>
      <c r="DP19" s="390"/>
      <c r="DQ19" s="390"/>
      <c r="DR19" s="390"/>
      <c r="DS19" s="390"/>
      <c r="DT19" s="390"/>
      <c r="DU19" s="390"/>
      <c r="DV19" s="390"/>
      <c r="DW19" s="390"/>
      <c r="DX19" s="390"/>
      <c r="DY19" s="390"/>
      <c r="DZ19" s="390"/>
      <c r="EA19" s="390"/>
      <c r="EB19" s="390"/>
      <c r="EC19" s="390"/>
      <c r="ED19" s="390"/>
      <c r="EE19" s="390"/>
      <c r="EF19" s="390"/>
      <c r="EG19" s="390"/>
      <c r="EH19" s="390"/>
      <c r="EI19" s="390"/>
      <c r="EJ19" s="390"/>
      <c r="EK19" s="390"/>
      <c r="EL19" s="390"/>
      <c r="EM19" s="390"/>
      <c r="EN19" s="390"/>
      <c r="EO19" s="390"/>
      <c r="EP19" s="390"/>
      <c r="EQ19" s="390"/>
      <c r="ER19" s="390"/>
      <c r="ES19" s="390"/>
      <c r="ET19" s="390"/>
      <c r="EU19" s="390"/>
      <c r="EV19" s="390"/>
      <c r="EW19" s="390"/>
      <c r="EX19" s="390"/>
      <c r="EY19" s="390"/>
      <c r="EZ19" s="390"/>
      <c r="FA19" s="390"/>
      <c r="FB19" s="390"/>
      <c r="FC19" s="390"/>
      <c r="FD19" s="390"/>
      <c r="FE19" s="390"/>
      <c r="FF19" s="390"/>
      <c r="FG19" s="390"/>
      <c r="FH19" s="390"/>
      <c r="FI19" s="390"/>
      <c r="FJ19" s="390"/>
      <c r="FK19" s="390"/>
      <c r="FL19" s="390"/>
      <c r="FM19" s="390"/>
      <c r="FN19" s="390"/>
      <c r="FO19" s="390"/>
      <c r="FP19" s="390"/>
      <c r="FQ19" s="390"/>
      <c r="FR19" s="390"/>
      <c r="FS19" s="390"/>
      <c r="FT19" s="390"/>
      <c r="FU19" s="390"/>
      <c r="FV19" s="390"/>
      <c r="FW19" s="390"/>
      <c r="FX19" s="390"/>
      <c r="FY19" s="390"/>
      <c r="FZ19" s="390"/>
      <c r="GA19" s="390"/>
      <c r="GB19" s="390"/>
      <c r="GC19" s="390"/>
      <c r="GD19" s="390"/>
      <c r="GE19" s="390"/>
      <c r="GF19" s="390"/>
      <c r="GG19" s="390"/>
      <c r="GH19" s="390"/>
      <c r="GI19" s="390"/>
      <c r="GJ19" s="390"/>
      <c r="GK19" s="390"/>
      <c r="GL19" s="390"/>
      <c r="GM19" s="390"/>
      <c r="GN19" s="390"/>
      <c r="GO19" s="390"/>
      <c r="GP19" s="390"/>
      <c r="GQ19" s="390"/>
      <c r="GR19" s="390"/>
      <c r="GS19" s="390"/>
      <c r="GT19" s="390"/>
      <c r="GU19" s="390"/>
      <c r="GV19" s="390"/>
      <c r="GW19" s="390"/>
      <c r="GX19" s="390"/>
      <c r="GY19" s="390"/>
      <c r="GZ19" s="390"/>
      <c r="HA19" s="390"/>
      <c r="HB19" s="390"/>
      <c r="HC19" s="390"/>
      <c r="HD19" s="390"/>
      <c r="HE19" s="390"/>
      <c r="HF19" s="390"/>
      <c r="HG19" s="390"/>
      <c r="HH19" s="390"/>
      <c r="HI19" s="390"/>
      <c r="HJ19" s="390"/>
      <c r="HK19" s="390"/>
      <c r="HL19" s="390"/>
      <c r="HM19" s="390"/>
      <c r="HN19" s="390"/>
      <c r="HO19" s="390"/>
      <c r="HP19" s="390"/>
      <c r="HQ19" s="390"/>
      <c r="HR19" s="390"/>
      <c r="HS19" s="390"/>
      <c r="HT19" s="390"/>
      <c r="HU19" s="390"/>
      <c r="HV19" s="390"/>
      <c r="HW19" s="390"/>
      <c r="HX19" s="390"/>
      <c r="HY19" s="390"/>
      <c r="HZ19" s="390"/>
      <c r="IA19" s="390"/>
      <c r="IB19" s="390"/>
      <c r="IC19" s="390"/>
      <c r="ID19" s="390"/>
      <c r="IE19" s="390"/>
      <c r="IF19" s="390"/>
      <c r="IG19" s="390"/>
      <c r="IH19" s="390"/>
      <c r="II19" s="390"/>
      <c r="IJ19" s="390"/>
      <c r="IK19" s="390"/>
      <c r="IL19" s="390"/>
      <c r="IM19" s="390"/>
      <c r="IN19" s="390"/>
      <c r="IO19" s="390"/>
      <c r="IP19" s="390"/>
      <c r="IQ19" s="390"/>
      <c r="IR19" s="390"/>
      <c r="IS19" s="390"/>
      <c r="IT19" s="390"/>
      <c r="IU19" s="390"/>
      <c r="IV19" s="390"/>
      <c r="IW19" s="390"/>
      <c r="IX19" s="390"/>
      <c r="IY19" s="390"/>
      <c r="IZ19" s="390"/>
      <c r="JA19" s="390"/>
      <c r="JB19" s="390"/>
      <c r="JC19" s="390"/>
      <c r="JD19" s="390"/>
      <c r="JE19" s="390"/>
      <c r="JF19" s="390"/>
      <c r="JG19" s="390"/>
      <c r="JH19" s="390"/>
      <c r="JI19" s="390"/>
      <c r="JJ19" s="390"/>
      <c r="JK19" s="390"/>
      <c r="JL19" s="390"/>
      <c r="JM19" s="390"/>
      <c r="JN19" s="390"/>
      <c r="JO19" s="390"/>
      <c r="JP19" s="390"/>
      <c r="JQ19" s="390"/>
      <c r="JR19" s="390"/>
      <c r="JS19" s="390"/>
      <c r="JT19" s="390"/>
      <c r="JU19" s="390"/>
      <c r="JV19" s="390"/>
      <c r="JW19" s="390"/>
      <c r="JX19" s="390"/>
      <c r="JY19" s="390"/>
      <c r="JZ19" s="390"/>
      <c r="KA19" s="390"/>
      <c r="KB19" s="390"/>
      <c r="KC19" s="390"/>
      <c r="KD19" s="390"/>
      <c r="KE19" s="390"/>
      <c r="KF19" s="390"/>
      <c r="KG19" s="390"/>
      <c r="KH19" s="390"/>
      <c r="KI19" s="390"/>
      <c r="KJ19" s="390"/>
      <c r="KK19" s="390"/>
      <c r="KL19" s="390"/>
      <c r="KM19" s="390"/>
      <c r="KN19" s="390"/>
      <c r="KO19" s="390"/>
      <c r="KP19" s="390"/>
      <c r="KQ19" s="390"/>
      <c r="KR19" s="390"/>
      <c r="KS19" s="390"/>
      <c r="KT19" s="390"/>
      <c r="KU19" s="390"/>
      <c r="KV19" s="390"/>
      <c r="KW19" s="390"/>
      <c r="KX19" s="390"/>
      <c r="KY19" s="390"/>
      <c r="KZ19" s="390"/>
      <c r="LA19" s="390"/>
      <c r="LB19" s="390"/>
      <c r="LC19" s="390"/>
      <c r="LD19" s="390"/>
      <c r="LE19" s="390"/>
      <c r="LF19" s="390"/>
      <c r="LG19" s="390"/>
      <c r="LH19" s="390"/>
      <c r="LI19" s="390"/>
      <c r="LJ19" s="390"/>
      <c r="LK19" s="390"/>
      <c r="LL19" s="390"/>
      <c r="LM19" s="390"/>
      <c r="LN19" s="390"/>
      <c r="LO19" s="390"/>
      <c r="LP19" s="390"/>
      <c r="LQ19" s="390"/>
      <c r="LR19" s="390"/>
      <c r="LS19" s="390"/>
      <c r="LT19" s="390"/>
      <c r="LU19" s="390"/>
      <c r="LV19" s="390"/>
      <c r="LW19" s="390"/>
      <c r="LX19" s="390"/>
      <c r="LY19" s="390"/>
      <c r="LZ19" s="390"/>
      <c r="MA19" s="390"/>
      <c r="MB19" s="390"/>
      <c r="MC19" s="390"/>
      <c r="MD19" s="390"/>
      <c r="ME19" s="390"/>
      <c r="MF19" s="390"/>
      <c r="MG19" s="390"/>
      <c r="MH19" s="390"/>
      <c r="MI19" s="390"/>
      <c r="MJ19" s="390"/>
      <c r="MK19" s="390"/>
      <c r="ML19" s="390"/>
      <c r="MM19" s="390"/>
      <c r="MN19" s="390"/>
      <c r="MO19" s="390"/>
      <c r="MP19" s="390"/>
      <c r="MQ19" s="390"/>
      <c r="MR19" s="390"/>
      <c r="MS19" s="390"/>
      <c r="MT19" s="390"/>
      <c r="MU19" s="390"/>
      <c r="MV19" s="390"/>
      <c r="MW19" s="390"/>
      <c r="MX19" s="390"/>
      <c r="MY19" s="390"/>
      <c r="MZ19" s="390"/>
      <c r="NA19" s="390"/>
      <c r="NB19" s="390"/>
      <c r="NC19" s="390"/>
      <c r="ND19" s="390"/>
      <c r="NE19" s="390"/>
      <c r="NF19" s="390"/>
      <c r="NG19" s="390"/>
      <c r="NH19" s="390"/>
      <c r="NI19" s="390"/>
      <c r="NJ19" s="390"/>
      <c r="NK19" s="390"/>
      <c r="NL19" s="390"/>
      <c r="NM19" s="390"/>
      <c r="NN19" s="390"/>
      <c r="NO19" s="390"/>
      <c r="NP19" s="390"/>
      <c r="NQ19" s="390"/>
      <c r="NR19" s="390"/>
      <c r="NS19" s="390"/>
      <c r="NT19" s="390"/>
      <c r="NU19" s="390"/>
      <c r="NV19" s="390"/>
      <c r="NW19" s="390"/>
      <c r="NX19" s="390"/>
      <c r="NY19" s="390"/>
      <c r="NZ19" s="390"/>
      <c r="OA19" s="390"/>
      <c r="OB19" s="390"/>
      <c r="OC19" s="390"/>
      <c r="OD19" s="390"/>
      <c r="OE19" s="390"/>
      <c r="OF19" s="390"/>
      <c r="OG19" s="390"/>
      <c r="OH19" s="390"/>
      <c r="OI19" s="390"/>
      <c r="OJ19" s="390"/>
      <c r="OK19" s="390"/>
      <c r="OL19" s="390"/>
      <c r="OM19" s="390"/>
      <c r="ON19" s="390"/>
      <c r="OO19" s="390"/>
      <c r="OP19" s="390"/>
      <c r="OQ19" s="390"/>
      <c r="OR19" s="390"/>
      <c r="OS19" s="390"/>
      <c r="OT19" s="390"/>
      <c r="OU19" s="390"/>
      <c r="OV19" s="390"/>
      <c r="OW19" s="390"/>
      <c r="OX19" s="390"/>
      <c r="OY19" s="390"/>
      <c r="OZ19" s="390"/>
      <c r="PA19" s="390"/>
      <c r="PB19" s="390"/>
      <c r="PC19" s="390"/>
      <c r="PD19" s="390"/>
      <c r="PE19" s="390"/>
      <c r="PF19" s="390"/>
      <c r="PG19" s="390"/>
      <c r="PH19" s="390"/>
      <c r="PI19" s="390"/>
      <c r="PJ19" s="390"/>
      <c r="PK19" s="390"/>
      <c r="PL19" s="390"/>
      <c r="PM19" s="390"/>
      <c r="PN19" s="390"/>
      <c r="PO19" s="390"/>
      <c r="PP19" s="390"/>
      <c r="PQ19" s="390"/>
      <c r="PR19" s="390"/>
      <c r="PS19" s="390"/>
      <c r="PT19" s="390"/>
      <c r="PU19" s="390"/>
      <c r="PV19" s="390"/>
      <c r="PW19" s="390"/>
      <c r="PX19" s="390"/>
      <c r="PY19" s="390"/>
      <c r="PZ19" s="390"/>
      <c r="QA19" s="390"/>
      <c r="QB19" s="390"/>
      <c r="QC19" s="390"/>
      <c r="QD19" s="390"/>
      <c r="QE19" s="390"/>
      <c r="QF19" s="390"/>
      <c r="QG19" s="390"/>
      <c r="QH19" s="390"/>
      <c r="QI19" s="390"/>
      <c r="QJ19" s="390"/>
      <c r="QK19" s="390"/>
      <c r="QL19" s="390"/>
      <c r="QM19" s="390"/>
      <c r="QN19" s="390"/>
      <c r="QO19" s="390"/>
      <c r="QP19" s="390"/>
      <c r="QQ19" s="390"/>
      <c r="QR19" s="390"/>
      <c r="QS19" s="390"/>
      <c r="QT19" s="390"/>
      <c r="QU19" s="390"/>
      <c r="QV19" s="390"/>
      <c r="QW19" s="390"/>
      <c r="QX19" s="390"/>
      <c r="QY19" s="390"/>
      <c r="QZ19" s="390"/>
      <c r="RA19" s="390"/>
      <c r="RB19" s="390"/>
      <c r="RC19" s="390"/>
      <c r="RD19" s="390"/>
      <c r="RE19" s="390"/>
      <c r="RF19" s="390"/>
      <c r="RG19" s="390"/>
      <c r="RH19" s="390"/>
      <c r="RI19" s="390"/>
      <c r="RJ19" s="390"/>
      <c r="RK19" s="390"/>
      <c r="RL19" s="390"/>
      <c r="RM19" s="390"/>
      <c r="RN19" s="390"/>
      <c r="RO19" s="390"/>
      <c r="RP19" s="390"/>
      <c r="RQ19" s="390"/>
      <c r="RR19" s="390"/>
      <c r="RS19" s="390"/>
      <c r="RT19" s="390"/>
      <c r="RU19" s="390"/>
      <c r="RV19" s="390"/>
      <c r="RW19" s="390"/>
      <c r="RX19" s="390"/>
      <c r="RY19" s="390"/>
      <c r="RZ19" s="390"/>
      <c r="SA19" s="390"/>
      <c r="SB19" s="390"/>
      <c r="SC19" s="390"/>
      <c r="SD19" s="390"/>
      <c r="SE19" s="390"/>
      <c r="SF19" s="390"/>
      <c r="SG19" s="390"/>
      <c r="SH19" s="390"/>
      <c r="SI19" s="390"/>
      <c r="SJ19" s="390"/>
      <c r="SK19" s="390"/>
      <c r="SL19" s="390"/>
      <c r="SM19" s="390"/>
      <c r="SN19" s="390"/>
      <c r="SO19" s="390"/>
      <c r="SP19" s="390"/>
      <c r="SQ19" s="390"/>
      <c r="SR19" s="390"/>
      <c r="SS19" s="390"/>
      <c r="ST19" s="390"/>
      <c r="SU19" s="390"/>
      <c r="SV19" s="390"/>
      <c r="SW19" s="390"/>
      <c r="SX19" s="390"/>
      <c r="SY19" s="390"/>
      <c r="SZ19" s="390"/>
      <c r="TA19" s="390"/>
      <c r="TB19" s="390"/>
      <c r="TC19" s="390"/>
      <c r="TD19" s="390"/>
      <c r="TE19" s="390"/>
      <c r="TF19" s="390"/>
      <c r="TG19" s="390"/>
      <c r="TH19" s="390"/>
      <c r="TI19" s="390"/>
      <c r="TJ19" s="390"/>
      <c r="TK19" s="390"/>
      <c r="TL19" s="390"/>
      <c r="TM19" s="390"/>
      <c r="TN19" s="390"/>
      <c r="TO19" s="390"/>
      <c r="TP19" s="390"/>
      <c r="TQ19" s="390"/>
      <c r="TR19" s="390"/>
      <c r="TS19" s="390"/>
      <c r="TT19" s="390"/>
      <c r="TU19" s="390"/>
      <c r="TV19" s="390"/>
      <c r="TW19" s="390"/>
      <c r="TX19" s="390"/>
      <c r="TY19" s="390"/>
      <c r="TZ19" s="390"/>
      <c r="UA19" s="390"/>
      <c r="UB19" s="390"/>
      <c r="UC19" s="390"/>
      <c r="UD19" s="390"/>
      <c r="UE19" s="390"/>
      <c r="UF19" s="390"/>
      <c r="UG19" s="390"/>
      <c r="UH19" s="390"/>
      <c r="UI19" s="390"/>
      <c r="UJ19" s="390"/>
      <c r="UK19" s="390"/>
      <c r="UL19" s="390"/>
      <c r="UM19" s="390"/>
      <c r="UN19" s="390"/>
      <c r="UO19" s="390"/>
      <c r="UP19" s="390"/>
      <c r="UQ19" s="390"/>
      <c r="UR19" s="390"/>
      <c r="US19" s="390"/>
      <c r="UT19" s="390"/>
      <c r="UU19" s="390"/>
      <c r="UV19" s="390"/>
      <c r="UW19" s="390"/>
      <c r="UX19" s="390"/>
      <c r="UY19" s="390"/>
      <c r="UZ19" s="390"/>
      <c r="VA19" s="390"/>
      <c r="VB19" s="390"/>
      <c r="VC19" s="390"/>
      <c r="VD19" s="390"/>
      <c r="VE19" s="390"/>
      <c r="VF19" s="390"/>
      <c r="VG19" s="390"/>
      <c r="VH19" s="390"/>
      <c r="VI19" s="390"/>
      <c r="VJ19" s="390"/>
      <c r="VK19" s="390"/>
      <c r="VL19" s="390"/>
      <c r="VM19" s="390"/>
      <c r="VN19" s="390"/>
      <c r="VO19" s="390"/>
      <c r="VP19" s="390"/>
      <c r="VQ19" s="390"/>
      <c r="VR19" s="390"/>
      <c r="VS19" s="390"/>
      <c r="VT19" s="390"/>
      <c r="VU19" s="390"/>
      <c r="VV19" s="390"/>
      <c r="VW19" s="390"/>
      <c r="VX19" s="390"/>
      <c r="VY19" s="390"/>
      <c r="VZ19" s="390"/>
      <c r="WA19" s="390"/>
      <c r="WB19" s="390"/>
      <c r="WC19" s="390"/>
      <c r="WD19" s="390"/>
      <c r="WE19" s="390"/>
      <c r="WF19" s="390"/>
      <c r="WG19" s="390"/>
      <c r="WH19" s="390"/>
      <c r="WI19" s="390"/>
      <c r="WJ19" s="390"/>
      <c r="WK19" s="390"/>
      <c r="WL19" s="390"/>
      <c r="WM19" s="390"/>
      <c r="WN19" s="390"/>
      <c r="WO19" s="390"/>
      <c r="WP19" s="390"/>
      <c r="WQ19" s="390"/>
      <c r="WR19" s="390"/>
      <c r="WS19" s="390"/>
      <c r="WT19" s="390"/>
      <c r="WU19" s="390"/>
      <c r="WV19" s="390"/>
      <c r="WW19" s="390"/>
      <c r="WX19" s="390"/>
      <c r="WY19" s="390"/>
      <c r="WZ19" s="390"/>
      <c r="XA19" s="390"/>
      <c r="XB19" s="390"/>
      <c r="XC19" s="390"/>
      <c r="XD19" s="390"/>
      <c r="XE19" s="390"/>
      <c r="XF19" s="390"/>
      <c r="XG19" s="390"/>
      <c r="XH19" s="390"/>
      <c r="XI19" s="390"/>
      <c r="XJ19" s="390"/>
      <c r="XK19" s="390"/>
      <c r="XL19" s="390"/>
      <c r="XM19" s="390"/>
      <c r="XN19" s="390"/>
      <c r="XO19" s="390"/>
      <c r="XP19" s="390"/>
      <c r="XQ19" s="390"/>
      <c r="XR19" s="390"/>
      <c r="XS19" s="390"/>
      <c r="XT19" s="390"/>
      <c r="XU19" s="390"/>
      <c r="XV19" s="390"/>
      <c r="XW19" s="390"/>
      <c r="XX19" s="390"/>
      <c r="XY19" s="390"/>
      <c r="XZ19" s="390"/>
      <c r="YA19" s="390"/>
      <c r="YB19" s="390"/>
      <c r="YC19" s="390"/>
      <c r="YD19" s="390"/>
      <c r="YE19" s="390"/>
      <c r="YF19" s="390"/>
      <c r="YG19" s="390"/>
      <c r="YH19" s="390"/>
      <c r="YI19" s="390"/>
      <c r="YJ19" s="390"/>
      <c r="YK19" s="390"/>
      <c r="YL19" s="390"/>
      <c r="YM19" s="390"/>
      <c r="YN19" s="390"/>
      <c r="YO19" s="390"/>
      <c r="YP19" s="390"/>
      <c r="YQ19" s="390"/>
      <c r="YR19" s="390"/>
      <c r="YS19" s="390"/>
      <c r="YT19" s="390"/>
      <c r="YU19" s="390"/>
      <c r="YV19" s="390"/>
      <c r="YW19" s="390"/>
      <c r="YX19" s="390"/>
      <c r="YY19" s="390"/>
      <c r="YZ19" s="390"/>
      <c r="ZA19" s="390"/>
      <c r="ZB19" s="390"/>
      <c r="ZC19" s="390"/>
      <c r="ZD19" s="390"/>
      <c r="ZE19" s="390"/>
      <c r="ZF19" s="390"/>
      <c r="ZG19" s="390"/>
      <c r="ZH19" s="390"/>
      <c r="ZI19" s="390"/>
      <c r="ZJ19" s="390"/>
      <c r="ZK19" s="390"/>
      <c r="ZL19" s="390"/>
      <c r="ZM19" s="390"/>
      <c r="ZN19" s="390"/>
      <c r="ZO19" s="390"/>
      <c r="ZP19" s="390"/>
      <c r="ZQ19" s="390"/>
      <c r="ZR19" s="390"/>
      <c r="ZS19" s="390"/>
      <c r="ZT19" s="390"/>
      <c r="ZU19" s="390"/>
      <c r="ZV19" s="390"/>
      <c r="ZW19" s="390"/>
      <c r="ZX19" s="390"/>
      <c r="ZY19" s="390"/>
      <c r="ZZ19" s="390"/>
      <c r="AAA19" s="390"/>
      <c r="AAB19" s="390"/>
      <c r="AAC19" s="390"/>
      <c r="AAD19" s="390"/>
      <c r="AAE19" s="390"/>
      <c r="AAF19" s="390"/>
      <c r="AAG19" s="390"/>
      <c r="AAH19" s="390"/>
      <c r="AAI19" s="390"/>
      <c r="AAJ19" s="390"/>
      <c r="AAK19" s="390"/>
      <c r="AAL19" s="390"/>
      <c r="AAM19" s="390"/>
      <c r="AAN19" s="390"/>
      <c r="AAO19" s="390"/>
      <c r="AAP19" s="390"/>
      <c r="AAQ19" s="390"/>
      <c r="AAR19" s="390"/>
      <c r="AAS19" s="390"/>
      <c r="AAT19" s="390"/>
      <c r="AAU19" s="390"/>
      <c r="AAV19" s="390"/>
      <c r="AAW19" s="390"/>
      <c r="AAX19" s="390"/>
      <c r="AAY19" s="390"/>
      <c r="AAZ19" s="390"/>
      <c r="ABA19" s="390"/>
      <c r="ABB19" s="390"/>
      <c r="ABC19" s="390"/>
      <c r="ABD19" s="390"/>
      <c r="ABE19" s="390"/>
      <c r="ABF19" s="390"/>
      <c r="ABG19" s="390"/>
      <c r="ABH19" s="390"/>
      <c r="ABI19" s="390"/>
      <c r="ABJ19" s="390"/>
      <c r="ABK19" s="390"/>
      <c r="ABL19" s="390"/>
      <c r="ABM19" s="390"/>
      <c r="ABN19" s="390"/>
      <c r="ABO19" s="390"/>
      <c r="ABP19" s="390"/>
      <c r="ABQ19" s="390"/>
      <c r="ABR19" s="390"/>
      <c r="ABS19" s="390"/>
      <c r="ABT19" s="390"/>
      <c r="ABU19" s="390"/>
      <c r="ABV19" s="390"/>
      <c r="ABW19" s="390"/>
      <c r="ABX19" s="390"/>
      <c r="ABY19" s="390"/>
      <c r="ABZ19" s="390"/>
      <c r="ACA19" s="390"/>
      <c r="ACB19" s="390"/>
      <c r="ACC19" s="390"/>
      <c r="ACD19" s="390"/>
      <c r="ACE19" s="390"/>
      <c r="ACF19" s="390"/>
      <c r="ACG19" s="390"/>
      <c r="ACH19" s="390"/>
      <c r="ACI19" s="390"/>
    </row>
    <row r="20" spans="1:763" ht="13.95" customHeight="1" x14ac:dyDescent="0.3">
      <c r="A20" s="390" t="str">
        <f>Проект!$A$106</f>
        <v>Спа/банные услуги</v>
      </c>
      <c r="B20" s="394"/>
      <c r="C20" s="395"/>
      <c r="D20" s="390"/>
      <c r="E20" s="390"/>
      <c r="F20" s="390"/>
      <c r="G20" s="390"/>
      <c r="H20" s="396"/>
      <c r="I20" s="390"/>
      <c r="J20" s="390"/>
      <c r="K20" s="390"/>
      <c r="L20" s="390"/>
      <c r="M20" s="390"/>
      <c r="N20" s="390"/>
      <c r="O20" s="390"/>
      <c r="P20" s="390"/>
      <c r="Q20" s="390"/>
      <c r="R20" s="390"/>
      <c r="S20" s="390"/>
      <c r="T20" s="390"/>
      <c r="U20" s="390"/>
      <c r="V20" s="390"/>
      <c r="W20" s="390"/>
      <c r="X20" s="390"/>
      <c r="Y20" s="390"/>
      <c r="Z20" s="390"/>
      <c r="AA20" s="390"/>
      <c r="AB20" s="390"/>
      <c r="AC20" s="390"/>
      <c r="AD20" s="390"/>
      <c r="AE20" s="390"/>
      <c r="AF20" s="390"/>
      <c r="AG20" s="390"/>
      <c r="AH20" s="390"/>
      <c r="AI20" s="390"/>
      <c r="AJ20" s="390"/>
      <c r="AK20" s="390"/>
      <c r="AL20" s="390"/>
      <c r="AM20" s="390"/>
      <c r="AN20" s="390"/>
      <c r="AO20" s="390"/>
      <c r="AP20" s="390"/>
      <c r="AQ20" s="390"/>
      <c r="AR20" s="390"/>
      <c r="AS20" s="390"/>
      <c r="AT20" s="390"/>
      <c r="AU20" s="390"/>
      <c r="AV20" s="390"/>
      <c r="AW20" s="390"/>
      <c r="AX20" s="390"/>
      <c r="AY20" s="390"/>
      <c r="AZ20" s="390"/>
      <c r="BA20" s="390"/>
      <c r="BB20" s="390"/>
      <c r="BC20" s="390"/>
      <c r="BD20" s="390"/>
      <c r="BE20" s="390"/>
      <c r="BF20" s="390"/>
      <c r="BG20" s="390"/>
      <c r="BH20" s="390"/>
      <c r="BI20" s="390"/>
      <c r="BJ20" s="390"/>
      <c r="BK20" s="390"/>
      <c r="BL20" s="390"/>
      <c r="BM20" s="390"/>
      <c r="BN20" s="390"/>
      <c r="BO20" s="390"/>
      <c r="BP20" s="390"/>
      <c r="BQ20" s="390"/>
      <c r="BR20" s="390"/>
      <c r="BS20" s="390"/>
      <c r="BT20" s="390"/>
      <c r="BU20" s="390"/>
      <c r="BV20" s="390"/>
      <c r="BW20" s="390"/>
      <c r="BX20" s="390"/>
      <c r="BY20" s="390"/>
      <c r="BZ20" s="390"/>
      <c r="CA20" s="390"/>
      <c r="CB20" s="390"/>
      <c r="CC20" s="390"/>
      <c r="CD20" s="390"/>
      <c r="CE20" s="390"/>
      <c r="CF20" s="390"/>
      <c r="CG20" s="390"/>
      <c r="CH20" s="390"/>
      <c r="CI20" s="390"/>
      <c r="CJ20" s="390"/>
      <c r="CK20" s="390"/>
      <c r="CL20" s="390"/>
      <c r="CM20" s="390"/>
      <c r="CN20" s="390"/>
      <c r="CO20" s="390"/>
      <c r="CP20" s="390"/>
      <c r="CQ20" s="390"/>
      <c r="CR20" s="390"/>
      <c r="CS20" s="390"/>
      <c r="CT20" s="390"/>
      <c r="CU20" s="390"/>
      <c r="CV20" s="390"/>
      <c r="CW20" s="390"/>
      <c r="CX20" s="390"/>
      <c r="CY20" s="390"/>
      <c r="CZ20" s="390"/>
      <c r="DA20" s="390"/>
      <c r="DB20" s="390"/>
      <c r="DC20" s="390"/>
      <c r="DD20" s="390"/>
      <c r="DE20" s="390"/>
      <c r="DF20" s="390"/>
      <c r="DG20" s="390"/>
      <c r="DH20" s="390"/>
      <c r="DI20" s="390"/>
      <c r="DJ20" s="390"/>
      <c r="DK20" s="390"/>
      <c r="DL20" s="390"/>
      <c r="DM20" s="390"/>
      <c r="DN20" s="390"/>
      <c r="DO20" s="390"/>
      <c r="DP20" s="390"/>
      <c r="DQ20" s="390"/>
      <c r="DR20" s="390"/>
      <c r="DS20" s="390"/>
      <c r="DT20" s="390"/>
      <c r="DU20" s="390"/>
      <c r="DV20" s="390"/>
      <c r="DW20" s="390"/>
      <c r="DX20" s="390"/>
      <c r="DY20" s="390"/>
      <c r="DZ20" s="390"/>
      <c r="EA20" s="390"/>
      <c r="EB20" s="390"/>
      <c r="EC20" s="390"/>
      <c r="ED20" s="390"/>
      <c r="EE20" s="390"/>
      <c r="EF20" s="390"/>
      <c r="EG20" s="390"/>
      <c r="EH20" s="390"/>
      <c r="EI20" s="390"/>
      <c r="EJ20" s="390"/>
      <c r="EK20" s="390"/>
      <c r="EL20" s="390"/>
      <c r="EM20" s="390"/>
      <c r="EN20" s="390"/>
      <c r="EO20" s="390"/>
      <c r="EP20" s="390"/>
      <c r="EQ20" s="390"/>
      <c r="ER20" s="390"/>
      <c r="ES20" s="390"/>
      <c r="ET20" s="390"/>
      <c r="EU20" s="390"/>
      <c r="EV20" s="390"/>
      <c r="EW20" s="390"/>
      <c r="EX20" s="390"/>
      <c r="EY20" s="390"/>
      <c r="EZ20" s="390"/>
      <c r="FA20" s="390"/>
      <c r="FB20" s="390"/>
      <c r="FC20" s="390"/>
      <c r="FD20" s="390"/>
      <c r="FE20" s="390"/>
      <c r="FF20" s="390"/>
      <c r="FG20" s="390"/>
      <c r="FH20" s="390"/>
      <c r="FI20" s="390"/>
      <c r="FJ20" s="390"/>
      <c r="FK20" s="390"/>
      <c r="FL20" s="390"/>
      <c r="FM20" s="390"/>
      <c r="FN20" s="390"/>
      <c r="FO20" s="390"/>
      <c r="FP20" s="390"/>
      <c r="FQ20" s="390"/>
      <c r="FR20" s="390"/>
      <c r="FS20" s="390"/>
      <c r="FT20" s="390"/>
      <c r="FU20" s="390"/>
      <c r="FV20" s="390"/>
      <c r="FW20" s="390"/>
      <c r="FX20" s="390"/>
      <c r="FY20" s="390"/>
      <c r="FZ20" s="390"/>
      <c r="GA20" s="390"/>
      <c r="GB20" s="390"/>
      <c r="GC20" s="390"/>
      <c r="GD20" s="390"/>
      <c r="GE20" s="390"/>
      <c r="GF20" s="390"/>
      <c r="GG20" s="390"/>
      <c r="GH20" s="390"/>
      <c r="GI20" s="390"/>
      <c r="GJ20" s="390"/>
      <c r="GK20" s="390"/>
      <c r="GL20" s="390"/>
      <c r="GM20" s="390"/>
      <c r="GN20" s="390"/>
      <c r="GO20" s="390"/>
      <c r="GP20" s="390"/>
      <c r="GQ20" s="390"/>
      <c r="GR20" s="390"/>
      <c r="GS20" s="390"/>
      <c r="GT20" s="390"/>
      <c r="GU20" s="390"/>
      <c r="GV20" s="390"/>
      <c r="GW20" s="390"/>
      <c r="GX20" s="390"/>
      <c r="GY20" s="390"/>
      <c r="GZ20" s="390"/>
      <c r="HA20" s="390"/>
      <c r="HB20" s="390"/>
      <c r="HC20" s="390"/>
      <c r="HD20" s="390"/>
      <c r="HE20" s="390"/>
      <c r="HF20" s="390"/>
      <c r="HG20" s="390"/>
      <c r="HH20" s="390"/>
      <c r="HI20" s="390"/>
      <c r="HJ20" s="390"/>
      <c r="HK20" s="390"/>
      <c r="HL20" s="390"/>
      <c r="HM20" s="390"/>
      <c r="HN20" s="390"/>
      <c r="HO20" s="390"/>
      <c r="HP20" s="390"/>
      <c r="HQ20" s="390"/>
      <c r="HR20" s="390"/>
      <c r="HS20" s="390"/>
      <c r="HT20" s="390"/>
      <c r="HU20" s="390"/>
      <c r="HV20" s="390"/>
      <c r="HW20" s="390"/>
      <c r="HX20" s="390"/>
      <c r="HY20" s="390"/>
      <c r="HZ20" s="390"/>
      <c r="IA20" s="390"/>
      <c r="IB20" s="390"/>
      <c r="IC20" s="390"/>
      <c r="ID20" s="390"/>
      <c r="IE20" s="390"/>
      <c r="IF20" s="390"/>
      <c r="IG20" s="390"/>
      <c r="IH20" s="390"/>
      <c r="II20" s="390"/>
      <c r="IJ20" s="390"/>
      <c r="IK20" s="390"/>
      <c r="IL20" s="390"/>
      <c r="IM20" s="390"/>
      <c r="IN20" s="390"/>
      <c r="IO20" s="390"/>
      <c r="IP20" s="390"/>
      <c r="IQ20" s="390"/>
      <c r="IR20" s="390"/>
      <c r="IS20" s="390"/>
      <c r="IT20" s="390"/>
      <c r="IU20" s="390"/>
      <c r="IV20" s="390"/>
      <c r="IW20" s="390"/>
      <c r="IX20" s="390"/>
      <c r="IY20" s="390"/>
      <c r="IZ20" s="390"/>
      <c r="JA20" s="390"/>
      <c r="JB20" s="390"/>
      <c r="JC20" s="390"/>
      <c r="JD20" s="390"/>
      <c r="JE20" s="390"/>
      <c r="JF20" s="390"/>
      <c r="JG20" s="390"/>
      <c r="JH20" s="390"/>
      <c r="JI20" s="390"/>
      <c r="JJ20" s="390"/>
      <c r="JK20" s="390"/>
      <c r="JL20" s="390"/>
      <c r="JM20" s="390"/>
      <c r="JN20" s="390"/>
      <c r="JO20" s="390"/>
      <c r="JP20" s="390"/>
      <c r="JQ20" s="390"/>
      <c r="JR20" s="390"/>
      <c r="JS20" s="390"/>
      <c r="JT20" s="390"/>
      <c r="JU20" s="390"/>
      <c r="JV20" s="390"/>
      <c r="JW20" s="390"/>
      <c r="JX20" s="390"/>
      <c r="JY20" s="390"/>
      <c r="JZ20" s="390"/>
      <c r="KA20" s="390"/>
      <c r="KB20" s="390"/>
      <c r="KC20" s="390"/>
      <c r="KD20" s="390"/>
      <c r="KE20" s="390"/>
      <c r="KF20" s="390"/>
      <c r="KG20" s="390"/>
      <c r="KH20" s="390"/>
      <c r="KI20" s="390"/>
      <c r="KJ20" s="390"/>
      <c r="KK20" s="390"/>
      <c r="KL20" s="390"/>
      <c r="KM20" s="390"/>
      <c r="KN20" s="390"/>
      <c r="KO20" s="390"/>
      <c r="KP20" s="390"/>
      <c r="KQ20" s="390"/>
      <c r="KR20" s="390"/>
      <c r="KS20" s="390"/>
      <c r="KT20" s="390"/>
      <c r="KU20" s="390"/>
      <c r="KV20" s="390"/>
      <c r="KW20" s="390"/>
      <c r="KX20" s="390"/>
      <c r="KY20" s="390"/>
      <c r="KZ20" s="390"/>
      <c r="LA20" s="390"/>
      <c r="LB20" s="390"/>
      <c r="LC20" s="390"/>
      <c r="LD20" s="390"/>
      <c r="LE20" s="390"/>
      <c r="LF20" s="390"/>
      <c r="LG20" s="390"/>
      <c r="LH20" s="390"/>
      <c r="LI20" s="390"/>
      <c r="LJ20" s="390"/>
      <c r="LK20" s="390"/>
      <c r="LL20" s="390"/>
      <c r="LM20" s="390"/>
      <c r="LN20" s="390"/>
      <c r="LO20" s="390"/>
      <c r="LP20" s="390"/>
      <c r="LQ20" s="390"/>
      <c r="LR20" s="390"/>
      <c r="LS20" s="390"/>
      <c r="LT20" s="390"/>
      <c r="LU20" s="390"/>
      <c r="LV20" s="390"/>
      <c r="LW20" s="390"/>
      <c r="LX20" s="390"/>
      <c r="LY20" s="390"/>
      <c r="LZ20" s="390"/>
      <c r="MA20" s="390"/>
      <c r="MB20" s="390"/>
      <c r="MC20" s="390"/>
      <c r="MD20" s="390"/>
      <c r="ME20" s="390"/>
      <c r="MF20" s="390"/>
      <c r="MG20" s="390"/>
      <c r="MH20" s="390"/>
      <c r="MI20" s="390"/>
      <c r="MJ20" s="390"/>
      <c r="MK20" s="390"/>
      <c r="ML20" s="390"/>
      <c r="MM20" s="390"/>
      <c r="MN20" s="390"/>
      <c r="MO20" s="390"/>
      <c r="MP20" s="390"/>
      <c r="MQ20" s="390"/>
      <c r="MR20" s="390"/>
      <c r="MS20" s="390"/>
      <c r="MT20" s="390"/>
      <c r="MU20" s="390"/>
      <c r="MV20" s="390"/>
      <c r="MW20" s="390"/>
      <c r="MX20" s="390"/>
      <c r="MY20" s="390"/>
      <c r="MZ20" s="390"/>
      <c r="NA20" s="390"/>
      <c r="NB20" s="390"/>
      <c r="NC20" s="390"/>
      <c r="ND20" s="390"/>
      <c r="NE20" s="390"/>
      <c r="NF20" s="390"/>
      <c r="NG20" s="390"/>
      <c r="NH20" s="390"/>
      <c r="NI20" s="390"/>
      <c r="NJ20" s="390"/>
      <c r="NK20" s="390"/>
      <c r="NL20" s="390"/>
      <c r="NM20" s="390"/>
      <c r="NN20" s="390"/>
      <c r="NO20" s="390"/>
      <c r="NP20" s="390"/>
      <c r="NQ20" s="390"/>
      <c r="NR20" s="390"/>
      <c r="NS20" s="390"/>
      <c r="NT20" s="390"/>
      <c r="NU20" s="390"/>
      <c r="NV20" s="390"/>
      <c r="NW20" s="390"/>
      <c r="NX20" s="390"/>
      <c r="NY20" s="390"/>
      <c r="NZ20" s="390"/>
      <c r="OA20" s="390"/>
      <c r="OB20" s="390"/>
      <c r="OC20" s="390"/>
      <c r="OD20" s="390"/>
      <c r="OE20" s="390"/>
      <c r="OF20" s="390"/>
      <c r="OG20" s="390"/>
      <c r="OH20" s="390"/>
      <c r="OI20" s="390"/>
      <c r="OJ20" s="390"/>
      <c r="OK20" s="390"/>
      <c r="OL20" s="390"/>
      <c r="OM20" s="390"/>
      <c r="ON20" s="390"/>
      <c r="OO20" s="390"/>
      <c r="OP20" s="390"/>
      <c r="OQ20" s="390"/>
      <c r="OR20" s="390"/>
      <c r="OS20" s="390"/>
      <c r="OT20" s="390"/>
      <c r="OU20" s="390"/>
      <c r="OV20" s="390"/>
      <c r="OW20" s="390"/>
      <c r="OX20" s="390"/>
      <c r="OY20" s="390"/>
      <c r="OZ20" s="390"/>
      <c r="PA20" s="390"/>
      <c r="PB20" s="390"/>
      <c r="PC20" s="390"/>
      <c r="PD20" s="390"/>
      <c r="PE20" s="390"/>
      <c r="PF20" s="390"/>
      <c r="PG20" s="390"/>
      <c r="PH20" s="390"/>
      <c r="PI20" s="390"/>
      <c r="PJ20" s="390"/>
      <c r="PK20" s="390"/>
      <c r="PL20" s="390"/>
      <c r="PM20" s="390"/>
      <c r="PN20" s="390"/>
      <c r="PO20" s="390"/>
      <c r="PP20" s="390"/>
      <c r="PQ20" s="390"/>
      <c r="PR20" s="390"/>
      <c r="PS20" s="390"/>
      <c r="PT20" s="390"/>
      <c r="PU20" s="390"/>
      <c r="PV20" s="390"/>
      <c r="PW20" s="390"/>
      <c r="PX20" s="390"/>
      <c r="PY20" s="390"/>
      <c r="PZ20" s="390"/>
      <c r="QA20" s="390"/>
      <c r="QB20" s="390"/>
      <c r="QC20" s="390"/>
      <c r="QD20" s="390"/>
      <c r="QE20" s="390"/>
      <c r="QF20" s="390"/>
      <c r="QG20" s="390"/>
      <c r="QH20" s="390"/>
      <c r="QI20" s="390"/>
      <c r="QJ20" s="390"/>
      <c r="QK20" s="390"/>
      <c r="QL20" s="390"/>
      <c r="QM20" s="390"/>
      <c r="QN20" s="390"/>
      <c r="QO20" s="390"/>
      <c r="QP20" s="390"/>
      <c r="QQ20" s="390"/>
      <c r="QR20" s="390"/>
      <c r="QS20" s="390"/>
      <c r="QT20" s="390"/>
      <c r="QU20" s="390"/>
      <c r="QV20" s="390"/>
      <c r="QW20" s="390"/>
      <c r="QX20" s="390"/>
      <c r="QY20" s="390"/>
      <c r="QZ20" s="390"/>
      <c r="RA20" s="390"/>
      <c r="RB20" s="390"/>
      <c r="RC20" s="390"/>
      <c r="RD20" s="390"/>
      <c r="RE20" s="390"/>
      <c r="RF20" s="390"/>
      <c r="RG20" s="390"/>
      <c r="RH20" s="390"/>
      <c r="RI20" s="390"/>
      <c r="RJ20" s="390"/>
      <c r="RK20" s="390"/>
      <c r="RL20" s="390"/>
      <c r="RM20" s="390"/>
      <c r="RN20" s="390"/>
      <c r="RO20" s="390"/>
      <c r="RP20" s="390"/>
      <c r="RQ20" s="390"/>
      <c r="RR20" s="390"/>
      <c r="RS20" s="390"/>
      <c r="RT20" s="390"/>
      <c r="RU20" s="390"/>
      <c r="RV20" s="390"/>
      <c r="RW20" s="390"/>
      <c r="RX20" s="390"/>
      <c r="RY20" s="390"/>
      <c r="RZ20" s="390"/>
      <c r="SA20" s="390"/>
      <c r="SB20" s="390"/>
      <c r="SC20" s="390"/>
      <c r="SD20" s="390"/>
      <c r="SE20" s="390"/>
      <c r="SF20" s="390"/>
      <c r="SG20" s="390"/>
      <c r="SH20" s="390"/>
      <c r="SI20" s="390"/>
      <c r="SJ20" s="390"/>
      <c r="SK20" s="390"/>
      <c r="SL20" s="390"/>
      <c r="SM20" s="390"/>
      <c r="SN20" s="390"/>
      <c r="SO20" s="390"/>
      <c r="SP20" s="390"/>
      <c r="SQ20" s="390"/>
      <c r="SR20" s="390"/>
      <c r="SS20" s="390"/>
      <c r="ST20" s="390"/>
      <c r="SU20" s="390"/>
      <c r="SV20" s="390"/>
      <c r="SW20" s="390"/>
      <c r="SX20" s="390"/>
      <c r="SY20" s="390"/>
      <c r="SZ20" s="390"/>
      <c r="TA20" s="390"/>
      <c r="TB20" s="390"/>
      <c r="TC20" s="390"/>
      <c r="TD20" s="390"/>
      <c r="TE20" s="390"/>
      <c r="TF20" s="390"/>
      <c r="TG20" s="390"/>
      <c r="TH20" s="390"/>
      <c r="TI20" s="390"/>
      <c r="TJ20" s="390"/>
      <c r="TK20" s="390"/>
      <c r="TL20" s="390"/>
      <c r="TM20" s="390"/>
      <c r="TN20" s="390"/>
      <c r="TO20" s="390"/>
      <c r="TP20" s="390"/>
      <c r="TQ20" s="390"/>
      <c r="TR20" s="390"/>
      <c r="TS20" s="390"/>
      <c r="TT20" s="390"/>
      <c r="TU20" s="390"/>
      <c r="TV20" s="390"/>
      <c r="TW20" s="390"/>
      <c r="TX20" s="390"/>
      <c r="TY20" s="390"/>
      <c r="TZ20" s="390"/>
      <c r="UA20" s="390"/>
      <c r="UB20" s="390"/>
      <c r="UC20" s="390"/>
      <c r="UD20" s="390"/>
      <c r="UE20" s="390"/>
      <c r="UF20" s="390"/>
      <c r="UG20" s="390"/>
      <c r="UH20" s="390"/>
      <c r="UI20" s="390"/>
      <c r="UJ20" s="390"/>
      <c r="UK20" s="390"/>
      <c r="UL20" s="390"/>
      <c r="UM20" s="390"/>
      <c r="UN20" s="390"/>
      <c r="UO20" s="390"/>
      <c r="UP20" s="390"/>
      <c r="UQ20" s="390"/>
      <c r="UR20" s="390"/>
      <c r="US20" s="390"/>
      <c r="UT20" s="390"/>
      <c r="UU20" s="390"/>
      <c r="UV20" s="390"/>
      <c r="UW20" s="390"/>
      <c r="UX20" s="390"/>
      <c r="UY20" s="390"/>
      <c r="UZ20" s="390"/>
      <c r="VA20" s="390"/>
      <c r="VB20" s="390"/>
      <c r="VC20" s="390"/>
      <c r="VD20" s="390"/>
      <c r="VE20" s="390"/>
      <c r="VF20" s="390"/>
      <c r="VG20" s="390"/>
      <c r="VH20" s="390"/>
      <c r="VI20" s="390"/>
      <c r="VJ20" s="390"/>
      <c r="VK20" s="390"/>
      <c r="VL20" s="390"/>
      <c r="VM20" s="390"/>
      <c r="VN20" s="390"/>
      <c r="VO20" s="390"/>
      <c r="VP20" s="390"/>
      <c r="VQ20" s="390"/>
      <c r="VR20" s="390"/>
      <c r="VS20" s="390"/>
      <c r="VT20" s="390"/>
      <c r="VU20" s="390"/>
      <c r="VV20" s="390"/>
      <c r="VW20" s="390"/>
      <c r="VX20" s="390"/>
      <c r="VY20" s="390"/>
      <c r="VZ20" s="390"/>
      <c r="WA20" s="390"/>
      <c r="WB20" s="390"/>
      <c r="WC20" s="390"/>
      <c r="WD20" s="390"/>
      <c r="WE20" s="390"/>
      <c r="WF20" s="390"/>
      <c r="WG20" s="390"/>
      <c r="WH20" s="390"/>
      <c r="WI20" s="390"/>
      <c r="WJ20" s="390"/>
      <c r="WK20" s="390"/>
      <c r="WL20" s="390"/>
      <c r="WM20" s="390"/>
      <c r="WN20" s="390"/>
      <c r="WO20" s="390"/>
      <c r="WP20" s="390"/>
      <c r="WQ20" s="390"/>
      <c r="WR20" s="390"/>
      <c r="WS20" s="390"/>
      <c r="WT20" s="390"/>
      <c r="WU20" s="390"/>
      <c r="WV20" s="390"/>
      <c r="WW20" s="390"/>
      <c r="WX20" s="390"/>
      <c r="WY20" s="390"/>
      <c r="WZ20" s="390"/>
      <c r="XA20" s="390"/>
      <c r="XB20" s="390"/>
      <c r="XC20" s="390"/>
      <c r="XD20" s="390"/>
      <c r="XE20" s="390"/>
      <c r="XF20" s="390"/>
      <c r="XG20" s="390"/>
      <c r="XH20" s="390"/>
      <c r="XI20" s="390"/>
      <c r="XJ20" s="390"/>
      <c r="XK20" s="390"/>
      <c r="XL20" s="390"/>
      <c r="XM20" s="390"/>
      <c r="XN20" s="390"/>
      <c r="XO20" s="390"/>
      <c r="XP20" s="390"/>
      <c r="XQ20" s="390"/>
      <c r="XR20" s="390"/>
      <c r="XS20" s="390"/>
      <c r="XT20" s="390"/>
      <c r="XU20" s="390"/>
      <c r="XV20" s="390"/>
      <c r="XW20" s="390"/>
      <c r="XX20" s="390"/>
      <c r="XY20" s="390"/>
      <c r="XZ20" s="390"/>
      <c r="YA20" s="390"/>
      <c r="YB20" s="390"/>
      <c r="YC20" s="390"/>
      <c r="YD20" s="390"/>
      <c r="YE20" s="390"/>
      <c r="YF20" s="390"/>
      <c r="YG20" s="390"/>
      <c r="YH20" s="390"/>
      <c r="YI20" s="390"/>
      <c r="YJ20" s="390"/>
      <c r="YK20" s="390"/>
      <c r="YL20" s="390"/>
      <c r="YM20" s="390"/>
      <c r="YN20" s="390"/>
      <c r="YO20" s="390"/>
      <c r="YP20" s="390"/>
      <c r="YQ20" s="390"/>
      <c r="YR20" s="390"/>
      <c r="YS20" s="390"/>
      <c r="YT20" s="390"/>
      <c r="YU20" s="390"/>
      <c r="YV20" s="390"/>
      <c r="YW20" s="390"/>
      <c r="YX20" s="390"/>
      <c r="YY20" s="390"/>
      <c r="YZ20" s="390"/>
      <c r="ZA20" s="390"/>
      <c r="ZB20" s="390"/>
      <c r="ZC20" s="390"/>
      <c r="ZD20" s="390"/>
      <c r="ZE20" s="390"/>
      <c r="ZF20" s="390"/>
      <c r="ZG20" s="390"/>
      <c r="ZH20" s="390"/>
      <c r="ZI20" s="390"/>
      <c r="ZJ20" s="390"/>
      <c r="ZK20" s="390"/>
      <c r="ZL20" s="390"/>
      <c r="ZM20" s="390"/>
      <c r="ZN20" s="390"/>
      <c r="ZO20" s="390"/>
      <c r="ZP20" s="390"/>
      <c r="ZQ20" s="390"/>
      <c r="ZR20" s="390"/>
      <c r="ZS20" s="390"/>
      <c r="ZT20" s="390"/>
      <c r="ZU20" s="390"/>
      <c r="ZV20" s="390"/>
      <c r="ZW20" s="390"/>
      <c r="ZX20" s="390"/>
      <c r="ZY20" s="390"/>
      <c r="ZZ20" s="390"/>
      <c r="AAA20" s="390"/>
      <c r="AAB20" s="390"/>
      <c r="AAC20" s="390"/>
      <c r="AAD20" s="390"/>
      <c r="AAE20" s="390"/>
      <c r="AAF20" s="390"/>
      <c r="AAG20" s="390"/>
      <c r="AAH20" s="390"/>
      <c r="AAI20" s="390"/>
      <c r="AAJ20" s="390"/>
      <c r="AAK20" s="390"/>
      <c r="AAL20" s="390"/>
      <c r="AAM20" s="390"/>
      <c r="AAN20" s="390"/>
      <c r="AAO20" s="390"/>
      <c r="AAP20" s="390"/>
      <c r="AAQ20" s="390"/>
      <c r="AAR20" s="390"/>
      <c r="AAS20" s="390"/>
      <c r="AAT20" s="390"/>
      <c r="AAU20" s="390"/>
      <c r="AAV20" s="390"/>
      <c r="AAW20" s="390"/>
      <c r="AAX20" s="390"/>
      <c r="AAY20" s="390"/>
      <c r="AAZ20" s="390"/>
      <c r="ABA20" s="390"/>
      <c r="ABB20" s="390"/>
      <c r="ABC20" s="390"/>
      <c r="ABD20" s="390"/>
      <c r="ABE20" s="390"/>
      <c r="ABF20" s="390"/>
      <c r="ABG20" s="390"/>
      <c r="ABH20" s="390"/>
      <c r="ABI20" s="390"/>
      <c r="ABJ20" s="390"/>
      <c r="ABK20" s="390"/>
      <c r="ABL20" s="390"/>
      <c r="ABM20" s="390"/>
      <c r="ABN20" s="390"/>
      <c r="ABO20" s="390"/>
      <c r="ABP20" s="390"/>
      <c r="ABQ20" s="390"/>
      <c r="ABR20" s="390"/>
      <c r="ABS20" s="390"/>
      <c r="ABT20" s="390"/>
      <c r="ABU20" s="390"/>
      <c r="ABV20" s="390"/>
      <c r="ABW20" s="390"/>
      <c r="ABX20" s="390"/>
      <c r="ABY20" s="390"/>
      <c r="ABZ20" s="390"/>
      <c r="ACA20" s="390"/>
      <c r="ACB20" s="390"/>
      <c r="ACC20" s="390"/>
      <c r="ACD20" s="390"/>
      <c r="ACE20" s="390"/>
      <c r="ACF20" s="390"/>
      <c r="ACG20" s="390"/>
      <c r="ACH20" s="390"/>
      <c r="ACI20" s="390"/>
    </row>
    <row r="21" spans="1:763" ht="13.95" customHeight="1" x14ac:dyDescent="0.3">
      <c r="A21" s="397" t="str">
        <f ca="1">Проект!$A$107</f>
        <v>объем продаж за период</v>
      </c>
      <c r="B21" s="394"/>
      <c r="C21" s="398" t="str">
        <f>Проект!$C$107</f>
        <v>ед.</v>
      </c>
      <c r="D21" s="399">
        <f>SUM(Проект!$G$107:$R$107)</f>
        <v>1440</v>
      </c>
      <c r="E21" s="399">
        <f>SUM(Проект!$S$107:$AD$107)</f>
        <v>3984</v>
      </c>
      <c r="F21" s="399">
        <f>SUM(Проект!$AE$107:$AP$107)</f>
        <v>3984</v>
      </c>
      <c r="G21" s="399">
        <f>SUM(Проект!$AQ$107:$BB$107)</f>
        <v>3984</v>
      </c>
      <c r="H21" s="392">
        <f>Проект!$BD$107</f>
        <v>13392</v>
      </c>
      <c r="I21" s="390"/>
      <c r="J21" s="390"/>
      <c r="K21" s="390"/>
      <c r="L21" s="390"/>
      <c r="M21" s="390"/>
      <c r="N21" s="390"/>
      <c r="O21" s="390"/>
      <c r="P21" s="390"/>
      <c r="Q21" s="390"/>
      <c r="R21" s="390"/>
      <c r="S21" s="390"/>
      <c r="T21" s="390"/>
      <c r="U21" s="390"/>
      <c r="V21" s="390"/>
      <c r="W21" s="390"/>
      <c r="X21" s="390"/>
      <c r="Y21" s="390"/>
      <c r="Z21" s="390"/>
      <c r="AA21" s="390"/>
      <c r="AB21" s="390"/>
      <c r="AC21" s="390"/>
      <c r="AD21" s="390"/>
      <c r="AE21" s="390"/>
      <c r="AF21" s="390"/>
      <c r="AG21" s="390"/>
      <c r="AH21" s="390"/>
      <c r="AI21" s="390"/>
      <c r="AJ21" s="390"/>
      <c r="AK21" s="390"/>
      <c r="AL21" s="390"/>
      <c r="AM21" s="390"/>
      <c r="AN21" s="390"/>
      <c r="AO21" s="390"/>
      <c r="AP21" s="390"/>
      <c r="AQ21" s="390"/>
      <c r="AR21" s="390"/>
      <c r="AS21" s="390"/>
      <c r="AT21" s="390"/>
      <c r="AU21" s="390"/>
      <c r="AV21" s="390"/>
      <c r="AW21" s="390"/>
      <c r="AX21" s="390"/>
      <c r="AY21" s="390"/>
      <c r="AZ21" s="390"/>
      <c r="BA21" s="390"/>
      <c r="BB21" s="390"/>
      <c r="BC21" s="390"/>
      <c r="BD21" s="390"/>
      <c r="BE21" s="390"/>
      <c r="BF21" s="390"/>
      <c r="BG21" s="390"/>
      <c r="BH21" s="390"/>
      <c r="BI21" s="390"/>
      <c r="BJ21" s="390"/>
      <c r="BK21" s="390"/>
      <c r="BL21" s="390"/>
      <c r="BM21" s="390"/>
      <c r="BN21" s="390"/>
      <c r="BO21" s="390"/>
      <c r="BP21" s="390"/>
      <c r="BQ21" s="390"/>
      <c r="BR21" s="390"/>
      <c r="BS21" s="390"/>
      <c r="BT21" s="390"/>
      <c r="BU21" s="390"/>
      <c r="BV21" s="390"/>
      <c r="BW21" s="390"/>
      <c r="BX21" s="390"/>
      <c r="BY21" s="390"/>
      <c r="BZ21" s="390"/>
      <c r="CA21" s="390"/>
      <c r="CB21" s="390"/>
      <c r="CC21" s="390"/>
      <c r="CD21" s="390"/>
      <c r="CE21" s="390"/>
      <c r="CF21" s="390"/>
      <c r="CG21" s="390"/>
      <c r="CH21" s="390"/>
      <c r="CI21" s="390"/>
      <c r="CJ21" s="390"/>
      <c r="CK21" s="390"/>
      <c r="CL21" s="390"/>
      <c r="CM21" s="390"/>
      <c r="CN21" s="390"/>
      <c r="CO21" s="390"/>
      <c r="CP21" s="390"/>
      <c r="CQ21" s="390"/>
      <c r="CR21" s="390"/>
      <c r="CS21" s="390"/>
      <c r="CT21" s="390"/>
      <c r="CU21" s="390"/>
      <c r="CV21" s="390"/>
      <c r="CW21" s="390"/>
      <c r="CX21" s="390"/>
      <c r="CY21" s="390"/>
      <c r="CZ21" s="390"/>
      <c r="DA21" s="390"/>
      <c r="DB21" s="390"/>
      <c r="DC21" s="390"/>
      <c r="DD21" s="390"/>
      <c r="DE21" s="390"/>
      <c r="DF21" s="390"/>
      <c r="DG21" s="390"/>
      <c r="DH21" s="390"/>
      <c r="DI21" s="390"/>
      <c r="DJ21" s="390"/>
      <c r="DK21" s="390"/>
      <c r="DL21" s="390"/>
      <c r="DM21" s="390"/>
      <c r="DN21" s="390"/>
      <c r="DO21" s="390"/>
      <c r="DP21" s="390"/>
      <c r="DQ21" s="390"/>
      <c r="DR21" s="390"/>
      <c r="DS21" s="390"/>
      <c r="DT21" s="390"/>
      <c r="DU21" s="390"/>
      <c r="DV21" s="390"/>
      <c r="DW21" s="390"/>
      <c r="DX21" s="390"/>
      <c r="DY21" s="390"/>
      <c r="DZ21" s="390"/>
      <c r="EA21" s="390"/>
      <c r="EB21" s="390"/>
      <c r="EC21" s="390"/>
      <c r="ED21" s="390"/>
      <c r="EE21" s="390"/>
      <c r="EF21" s="390"/>
      <c r="EG21" s="390"/>
      <c r="EH21" s="390"/>
      <c r="EI21" s="390"/>
      <c r="EJ21" s="390"/>
      <c r="EK21" s="390"/>
      <c r="EL21" s="390"/>
      <c r="EM21" s="390"/>
      <c r="EN21" s="390"/>
      <c r="EO21" s="390"/>
      <c r="EP21" s="390"/>
      <c r="EQ21" s="390"/>
      <c r="ER21" s="390"/>
      <c r="ES21" s="390"/>
      <c r="ET21" s="390"/>
      <c r="EU21" s="390"/>
      <c r="EV21" s="390"/>
      <c r="EW21" s="390"/>
      <c r="EX21" s="390"/>
      <c r="EY21" s="390"/>
      <c r="EZ21" s="390"/>
      <c r="FA21" s="390"/>
      <c r="FB21" s="390"/>
      <c r="FC21" s="390"/>
      <c r="FD21" s="390"/>
      <c r="FE21" s="390"/>
      <c r="FF21" s="390"/>
      <c r="FG21" s="390"/>
      <c r="FH21" s="390"/>
      <c r="FI21" s="390"/>
      <c r="FJ21" s="390"/>
      <c r="FK21" s="390"/>
      <c r="FL21" s="390"/>
      <c r="FM21" s="390"/>
      <c r="FN21" s="390"/>
      <c r="FO21" s="390"/>
      <c r="FP21" s="390"/>
      <c r="FQ21" s="390"/>
      <c r="FR21" s="390"/>
      <c r="FS21" s="390"/>
      <c r="FT21" s="390"/>
      <c r="FU21" s="390"/>
      <c r="FV21" s="390"/>
      <c r="FW21" s="390"/>
      <c r="FX21" s="390"/>
      <c r="FY21" s="390"/>
      <c r="FZ21" s="390"/>
      <c r="GA21" s="390"/>
      <c r="GB21" s="390"/>
      <c r="GC21" s="390"/>
      <c r="GD21" s="390"/>
      <c r="GE21" s="390"/>
      <c r="GF21" s="390"/>
      <c r="GG21" s="390"/>
      <c r="GH21" s="390"/>
      <c r="GI21" s="390"/>
      <c r="GJ21" s="390"/>
      <c r="GK21" s="390"/>
      <c r="GL21" s="390"/>
      <c r="GM21" s="390"/>
      <c r="GN21" s="390"/>
      <c r="GO21" s="390"/>
      <c r="GP21" s="390"/>
      <c r="GQ21" s="390"/>
      <c r="GR21" s="390"/>
      <c r="GS21" s="390"/>
      <c r="GT21" s="390"/>
      <c r="GU21" s="390"/>
      <c r="GV21" s="390"/>
      <c r="GW21" s="390"/>
      <c r="GX21" s="390"/>
      <c r="GY21" s="390"/>
      <c r="GZ21" s="390"/>
      <c r="HA21" s="390"/>
      <c r="HB21" s="390"/>
      <c r="HC21" s="390"/>
      <c r="HD21" s="390"/>
      <c r="HE21" s="390"/>
      <c r="HF21" s="390"/>
      <c r="HG21" s="390"/>
      <c r="HH21" s="390"/>
      <c r="HI21" s="390"/>
      <c r="HJ21" s="390"/>
      <c r="HK21" s="390"/>
      <c r="HL21" s="390"/>
      <c r="HM21" s="390"/>
      <c r="HN21" s="390"/>
      <c r="HO21" s="390"/>
      <c r="HP21" s="390"/>
      <c r="HQ21" s="390"/>
      <c r="HR21" s="390"/>
      <c r="HS21" s="390"/>
      <c r="HT21" s="390"/>
      <c r="HU21" s="390"/>
      <c r="HV21" s="390"/>
      <c r="HW21" s="390"/>
      <c r="HX21" s="390"/>
      <c r="HY21" s="390"/>
      <c r="HZ21" s="390"/>
      <c r="IA21" s="390"/>
      <c r="IB21" s="390"/>
      <c r="IC21" s="390"/>
      <c r="ID21" s="390"/>
      <c r="IE21" s="390"/>
      <c r="IF21" s="390"/>
      <c r="IG21" s="390"/>
      <c r="IH21" s="390"/>
      <c r="II21" s="390"/>
      <c r="IJ21" s="390"/>
      <c r="IK21" s="390"/>
      <c r="IL21" s="390"/>
      <c r="IM21" s="390"/>
      <c r="IN21" s="390"/>
      <c r="IO21" s="390"/>
      <c r="IP21" s="390"/>
      <c r="IQ21" s="390"/>
      <c r="IR21" s="390"/>
      <c r="IS21" s="390"/>
      <c r="IT21" s="390"/>
      <c r="IU21" s="390"/>
      <c r="IV21" s="390"/>
      <c r="IW21" s="390"/>
      <c r="IX21" s="390"/>
      <c r="IY21" s="390"/>
      <c r="IZ21" s="390"/>
      <c r="JA21" s="390"/>
      <c r="JB21" s="390"/>
      <c r="JC21" s="390"/>
      <c r="JD21" s="390"/>
      <c r="JE21" s="390"/>
      <c r="JF21" s="390"/>
      <c r="JG21" s="390"/>
      <c r="JH21" s="390"/>
      <c r="JI21" s="390"/>
      <c r="JJ21" s="390"/>
      <c r="JK21" s="390"/>
      <c r="JL21" s="390"/>
      <c r="JM21" s="390"/>
      <c r="JN21" s="390"/>
      <c r="JO21" s="390"/>
      <c r="JP21" s="390"/>
      <c r="JQ21" s="390"/>
      <c r="JR21" s="390"/>
      <c r="JS21" s="390"/>
      <c r="JT21" s="390"/>
      <c r="JU21" s="390"/>
      <c r="JV21" s="390"/>
      <c r="JW21" s="390"/>
      <c r="JX21" s="390"/>
      <c r="JY21" s="390"/>
      <c r="JZ21" s="390"/>
      <c r="KA21" s="390"/>
      <c r="KB21" s="390"/>
      <c r="KC21" s="390"/>
      <c r="KD21" s="390"/>
      <c r="KE21" s="390"/>
      <c r="KF21" s="390"/>
      <c r="KG21" s="390"/>
      <c r="KH21" s="390"/>
      <c r="KI21" s="390"/>
      <c r="KJ21" s="390"/>
      <c r="KK21" s="390"/>
      <c r="KL21" s="390"/>
      <c r="KM21" s="390"/>
      <c r="KN21" s="390"/>
      <c r="KO21" s="390"/>
      <c r="KP21" s="390"/>
      <c r="KQ21" s="390"/>
      <c r="KR21" s="390"/>
      <c r="KS21" s="390"/>
      <c r="KT21" s="390"/>
      <c r="KU21" s="390"/>
      <c r="KV21" s="390"/>
      <c r="KW21" s="390"/>
      <c r="KX21" s="390"/>
      <c r="KY21" s="390"/>
      <c r="KZ21" s="390"/>
      <c r="LA21" s="390"/>
      <c r="LB21" s="390"/>
      <c r="LC21" s="390"/>
      <c r="LD21" s="390"/>
      <c r="LE21" s="390"/>
      <c r="LF21" s="390"/>
      <c r="LG21" s="390"/>
      <c r="LH21" s="390"/>
      <c r="LI21" s="390"/>
      <c r="LJ21" s="390"/>
      <c r="LK21" s="390"/>
      <c r="LL21" s="390"/>
      <c r="LM21" s="390"/>
      <c r="LN21" s="390"/>
      <c r="LO21" s="390"/>
      <c r="LP21" s="390"/>
      <c r="LQ21" s="390"/>
      <c r="LR21" s="390"/>
      <c r="LS21" s="390"/>
      <c r="LT21" s="390"/>
      <c r="LU21" s="390"/>
      <c r="LV21" s="390"/>
      <c r="LW21" s="390"/>
      <c r="LX21" s="390"/>
      <c r="LY21" s="390"/>
      <c r="LZ21" s="390"/>
      <c r="MA21" s="390"/>
      <c r="MB21" s="390"/>
      <c r="MC21" s="390"/>
      <c r="MD21" s="390"/>
      <c r="ME21" s="390"/>
      <c r="MF21" s="390"/>
      <c r="MG21" s="390"/>
      <c r="MH21" s="390"/>
      <c r="MI21" s="390"/>
      <c r="MJ21" s="390"/>
      <c r="MK21" s="390"/>
      <c r="ML21" s="390"/>
      <c r="MM21" s="390"/>
      <c r="MN21" s="390"/>
      <c r="MO21" s="390"/>
      <c r="MP21" s="390"/>
      <c r="MQ21" s="390"/>
      <c r="MR21" s="390"/>
      <c r="MS21" s="390"/>
      <c r="MT21" s="390"/>
      <c r="MU21" s="390"/>
      <c r="MV21" s="390"/>
      <c r="MW21" s="390"/>
      <c r="MX21" s="390"/>
      <c r="MY21" s="390"/>
      <c r="MZ21" s="390"/>
      <c r="NA21" s="390"/>
      <c r="NB21" s="390"/>
      <c r="NC21" s="390"/>
      <c r="ND21" s="390"/>
      <c r="NE21" s="390"/>
      <c r="NF21" s="390"/>
      <c r="NG21" s="390"/>
      <c r="NH21" s="390"/>
      <c r="NI21" s="390"/>
      <c r="NJ21" s="390"/>
      <c r="NK21" s="390"/>
      <c r="NL21" s="390"/>
      <c r="NM21" s="390"/>
      <c r="NN21" s="390"/>
      <c r="NO21" s="390"/>
      <c r="NP21" s="390"/>
      <c r="NQ21" s="390"/>
      <c r="NR21" s="390"/>
      <c r="NS21" s="390"/>
      <c r="NT21" s="390"/>
      <c r="NU21" s="390"/>
      <c r="NV21" s="390"/>
      <c r="NW21" s="390"/>
      <c r="NX21" s="390"/>
      <c r="NY21" s="390"/>
      <c r="NZ21" s="390"/>
      <c r="OA21" s="390"/>
      <c r="OB21" s="390"/>
      <c r="OC21" s="390"/>
      <c r="OD21" s="390"/>
      <c r="OE21" s="390"/>
      <c r="OF21" s="390"/>
      <c r="OG21" s="390"/>
      <c r="OH21" s="390"/>
      <c r="OI21" s="390"/>
      <c r="OJ21" s="390"/>
      <c r="OK21" s="390"/>
      <c r="OL21" s="390"/>
      <c r="OM21" s="390"/>
      <c r="ON21" s="390"/>
      <c r="OO21" s="390"/>
      <c r="OP21" s="390"/>
      <c r="OQ21" s="390"/>
      <c r="OR21" s="390"/>
      <c r="OS21" s="390"/>
      <c r="OT21" s="390"/>
      <c r="OU21" s="390"/>
      <c r="OV21" s="390"/>
      <c r="OW21" s="390"/>
      <c r="OX21" s="390"/>
      <c r="OY21" s="390"/>
      <c r="OZ21" s="390"/>
      <c r="PA21" s="390"/>
      <c r="PB21" s="390"/>
      <c r="PC21" s="390"/>
      <c r="PD21" s="390"/>
      <c r="PE21" s="390"/>
      <c r="PF21" s="390"/>
      <c r="PG21" s="390"/>
      <c r="PH21" s="390"/>
      <c r="PI21" s="390"/>
      <c r="PJ21" s="390"/>
      <c r="PK21" s="390"/>
      <c r="PL21" s="390"/>
      <c r="PM21" s="390"/>
      <c r="PN21" s="390"/>
      <c r="PO21" s="390"/>
      <c r="PP21" s="390"/>
      <c r="PQ21" s="390"/>
      <c r="PR21" s="390"/>
      <c r="PS21" s="390"/>
      <c r="PT21" s="390"/>
      <c r="PU21" s="390"/>
      <c r="PV21" s="390"/>
      <c r="PW21" s="390"/>
      <c r="PX21" s="390"/>
      <c r="PY21" s="390"/>
      <c r="PZ21" s="390"/>
      <c r="QA21" s="390"/>
      <c r="QB21" s="390"/>
      <c r="QC21" s="390"/>
      <c r="QD21" s="390"/>
      <c r="QE21" s="390"/>
      <c r="QF21" s="390"/>
      <c r="QG21" s="390"/>
      <c r="QH21" s="390"/>
      <c r="QI21" s="390"/>
      <c r="QJ21" s="390"/>
      <c r="QK21" s="390"/>
      <c r="QL21" s="390"/>
      <c r="QM21" s="390"/>
      <c r="QN21" s="390"/>
      <c r="QO21" s="390"/>
      <c r="QP21" s="390"/>
      <c r="QQ21" s="390"/>
      <c r="QR21" s="390"/>
      <c r="QS21" s="390"/>
      <c r="QT21" s="390"/>
      <c r="QU21" s="390"/>
      <c r="QV21" s="390"/>
      <c r="QW21" s="390"/>
      <c r="QX21" s="390"/>
      <c r="QY21" s="390"/>
      <c r="QZ21" s="390"/>
      <c r="RA21" s="390"/>
      <c r="RB21" s="390"/>
      <c r="RC21" s="390"/>
      <c r="RD21" s="390"/>
      <c r="RE21" s="390"/>
      <c r="RF21" s="390"/>
      <c r="RG21" s="390"/>
      <c r="RH21" s="390"/>
      <c r="RI21" s="390"/>
      <c r="RJ21" s="390"/>
      <c r="RK21" s="390"/>
      <c r="RL21" s="390"/>
      <c r="RM21" s="390"/>
      <c r="RN21" s="390"/>
      <c r="RO21" s="390"/>
      <c r="RP21" s="390"/>
      <c r="RQ21" s="390"/>
      <c r="RR21" s="390"/>
      <c r="RS21" s="390"/>
      <c r="RT21" s="390"/>
      <c r="RU21" s="390"/>
      <c r="RV21" s="390"/>
      <c r="RW21" s="390"/>
      <c r="RX21" s="390"/>
      <c r="RY21" s="390"/>
      <c r="RZ21" s="390"/>
      <c r="SA21" s="390"/>
      <c r="SB21" s="390"/>
      <c r="SC21" s="390"/>
      <c r="SD21" s="390"/>
      <c r="SE21" s="390"/>
      <c r="SF21" s="390"/>
      <c r="SG21" s="390"/>
      <c r="SH21" s="390"/>
      <c r="SI21" s="390"/>
      <c r="SJ21" s="390"/>
      <c r="SK21" s="390"/>
      <c r="SL21" s="390"/>
      <c r="SM21" s="390"/>
      <c r="SN21" s="390"/>
      <c r="SO21" s="390"/>
      <c r="SP21" s="390"/>
      <c r="SQ21" s="390"/>
      <c r="SR21" s="390"/>
      <c r="SS21" s="390"/>
      <c r="ST21" s="390"/>
      <c r="SU21" s="390"/>
      <c r="SV21" s="390"/>
      <c r="SW21" s="390"/>
      <c r="SX21" s="390"/>
      <c r="SY21" s="390"/>
      <c r="SZ21" s="390"/>
      <c r="TA21" s="390"/>
      <c r="TB21" s="390"/>
      <c r="TC21" s="390"/>
      <c r="TD21" s="390"/>
      <c r="TE21" s="390"/>
      <c r="TF21" s="390"/>
      <c r="TG21" s="390"/>
      <c r="TH21" s="390"/>
      <c r="TI21" s="390"/>
      <c r="TJ21" s="390"/>
      <c r="TK21" s="390"/>
      <c r="TL21" s="390"/>
      <c r="TM21" s="390"/>
      <c r="TN21" s="390"/>
      <c r="TO21" s="390"/>
      <c r="TP21" s="390"/>
      <c r="TQ21" s="390"/>
      <c r="TR21" s="390"/>
      <c r="TS21" s="390"/>
      <c r="TT21" s="390"/>
      <c r="TU21" s="390"/>
      <c r="TV21" s="390"/>
      <c r="TW21" s="390"/>
      <c r="TX21" s="390"/>
      <c r="TY21" s="390"/>
      <c r="TZ21" s="390"/>
      <c r="UA21" s="390"/>
      <c r="UB21" s="390"/>
      <c r="UC21" s="390"/>
      <c r="UD21" s="390"/>
      <c r="UE21" s="390"/>
      <c r="UF21" s="390"/>
      <c r="UG21" s="390"/>
      <c r="UH21" s="390"/>
      <c r="UI21" s="390"/>
      <c r="UJ21" s="390"/>
      <c r="UK21" s="390"/>
      <c r="UL21" s="390"/>
      <c r="UM21" s="390"/>
      <c r="UN21" s="390"/>
      <c r="UO21" s="390"/>
      <c r="UP21" s="390"/>
      <c r="UQ21" s="390"/>
      <c r="UR21" s="390"/>
      <c r="US21" s="390"/>
      <c r="UT21" s="390"/>
      <c r="UU21" s="390"/>
      <c r="UV21" s="390"/>
      <c r="UW21" s="390"/>
      <c r="UX21" s="390"/>
      <c r="UY21" s="390"/>
      <c r="UZ21" s="390"/>
      <c r="VA21" s="390"/>
      <c r="VB21" s="390"/>
      <c r="VC21" s="390"/>
      <c r="VD21" s="390"/>
      <c r="VE21" s="390"/>
      <c r="VF21" s="390"/>
      <c r="VG21" s="390"/>
      <c r="VH21" s="390"/>
      <c r="VI21" s="390"/>
      <c r="VJ21" s="390"/>
      <c r="VK21" s="390"/>
      <c r="VL21" s="390"/>
      <c r="VM21" s="390"/>
      <c r="VN21" s="390"/>
      <c r="VO21" s="390"/>
      <c r="VP21" s="390"/>
      <c r="VQ21" s="390"/>
      <c r="VR21" s="390"/>
      <c r="VS21" s="390"/>
      <c r="VT21" s="390"/>
      <c r="VU21" s="390"/>
      <c r="VV21" s="390"/>
      <c r="VW21" s="390"/>
      <c r="VX21" s="390"/>
      <c r="VY21" s="390"/>
      <c r="VZ21" s="390"/>
      <c r="WA21" s="390"/>
      <c r="WB21" s="390"/>
      <c r="WC21" s="390"/>
      <c r="WD21" s="390"/>
      <c r="WE21" s="390"/>
      <c r="WF21" s="390"/>
      <c r="WG21" s="390"/>
      <c r="WH21" s="390"/>
      <c r="WI21" s="390"/>
      <c r="WJ21" s="390"/>
      <c r="WK21" s="390"/>
      <c r="WL21" s="390"/>
      <c r="WM21" s="390"/>
      <c r="WN21" s="390"/>
      <c r="WO21" s="390"/>
      <c r="WP21" s="390"/>
      <c r="WQ21" s="390"/>
      <c r="WR21" s="390"/>
      <c r="WS21" s="390"/>
      <c r="WT21" s="390"/>
      <c r="WU21" s="390"/>
      <c r="WV21" s="390"/>
      <c r="WW21" s="390"/>
      <c r="WX21" s="390"/>
      <c r="WY21" s="390"/>
      <c r="WZ21" s="390"/>
      <c r="XA21" s="390"/>
      <c r="XB21" s="390"/>
      <c r="XC21" s="390"/>
      <c r="XD21" s="390"/>
      <c r="XE21" s="390"/>
      <c r="XF21" s="390"/>
      <c r="XG21" s="390"/>
      <c r="XH21" s="390"/>
      <c r="XI21" s="390"/>
      <c r="XJ21" s="390"/>
      <c r="XK21" s="390"/>
      <c r="XL21" s="390"/>
      <c r="XM21" s="390"/>
      <c r="XN21" s="390"/>
      <c r="XO21" s="390"/>
      <c r="XP21" s="390"/>
      <c r="XQ21" s="390"/>
      <c r="XR21" s="390"/>
      <c r="XS21" s="390"/>
      <c r="XT21" s="390"/>
      <c r="XU21" s="390"/>
      <c r="XV21" s="390"/>
      <c r="XW21" s="390"/>
      <c r="XX21" s="390"/>
      <c r="XY21" s="390"/>
      <c r="XZ21" s="390"/>
      <c r="YA21" s="390"/>
      <c r="YB21" s="390"/>
      <c r="YC21" s="390"/>
      <c r="YD21" s="390"/>
      <c r="YE21" s="390"/>
      <c r="YF21" s="390"/>
      <c r="YG21" s="390"/>
      <c r="YH21" s="390"/>
      <c r="YI21" s="390"/>
      <c r="YJ21" s="390"/>
      <c r="YK21" s="390"/>
      <c r="YL21" s="390"/>
      <c r="YM21" s="390"/>
      <c r="YN21" s="390"/>
      <c r="YO21" s="390"/>
      <c r="YP21" s="390"/>
      <c r="YQ21" s="390"/>
      <c r="YR21" s="390"/>
      <c r="YS21" s="390"/>
      <c r="YT21" s="390"/>
      <c r="YU21" s="390"/>
      <c r="YV21" s="390"/>
      <c r="YW21" s="390"/>
      <c r="YX21" s="390"/>
      <c r="YY21" s="390"/>
      <c r="YZ21" s="390"/>
      <c r="ZA21" s="390"/>
      <c r="ZB21" s="390"/>
      <c r="ZC21" s="390"/>
      <c r="ZD21" s="390"/>
      <c r="ZE21" s="390"/>
      <c r="ZF21" s="390"/>
      <c r="ZG21" s="390"/>
      <c r="ZH21" s="390"/>
      <c r="ZI21" s="390"/>
      <c r="ZJ21" s="390"/>
      <c r="ZK21" s="390"/>
      <c r="ZL21" s="390"/>
      <c r="ZM21" s="390"/>
      <c r="ZN21" s="390"/>
      <c r="ZO21" s="390"/>
      <c r="ZP21" s="390"/>
      <c r="ZQ21" s="390"/>
      <c r="ZR21" s="390"/>
      <c r="ZS21" s="390"/>
      <c r="ZT21" s="390"/>
      <c r="ZU21" s="390"/>
      <c r="ZV21" s="390"/>
      <c r="ZW21" s="390"/>
      <c r="ZX21" s="390"/>
      <c r="ZY21" s="390"/>
      <c r="ZZ21" s="390"/>
      <c r="AAA21" s="390"/>
      <c r="AAB21" s="390"/>
      <c r="AAC21" s="390"/>
      <c r="AAD21" s="390"/>
      <c r="AAE21" s="390"/>
      <c r="AAF21" s="390"/>
      <c r="AAG21" s="390"/>
      <c r="AAH21" s="390"/>
      <c r="AAI21" s="390"/>
      <c r="AAJ21" s="390"/>
      <c r="AAK21" s="390"/>
      <c r="AAL21" s="390"/>
      <c r="AAM21" s="390"/>
      <c r="AAN21" s="390"/>
      <c r="AAO21" s="390"/>
      <c r="AAP21" s="390"/>
      <c r="AAQ21" s="390"/>
      <c r="AAR21" s="390"/>
      <c r="AAS21" s="390"/>
      <c r="AAT21" s="390"/>
      <c r="AAU21" s="390"/>
      <c r="AAV21" s="390"/>
      <c r="AAW21" s="390"/>
      <c r="AAX21" s="390"/>
      <c r="AAY21" s="390"/>
      <c r="AAZ21" s="390"/>
      <c r="ABA21" s="390"/>
      <c r="ABB21" s="390"/>
      <c r="ABC21" s="390"/>
      <c r="ABD21" s="390"/>
      <c r="ABE21" s="390"/>
      <c r="ABF21" s="390"/>
      <c r="ABG21" s="390"/>
      <c r="ABH21" s="390"/>
      <c r="ABI21" s="390"/>
      <c r="ABJ21" s="390"/>
      <c r="ABK21" s="390"/>
      <c r="ABL21" s="390"/>
      <c r="ABM21" s="390"/>
      <c r="ABN21" s="390"/>
      <c r="ABO21" s="390"/>
      <c r="ABP21" s="390"/>
      <c r="ABQ21" s="390"/>
      <c r="ABR21" s="390"/>
      <c r="ABS21" s="390"/>
      <c r="ABT21" s="390"/>
      <c r="ABU21" s="390"/>
      <c r="ABV21" s="390"/>
      <c r="ABW21" s="390"/>
      <c r="ABX21" s="390"/>
      <c r="ABY21" s="390"/>
      <c r="ABZ21" s="390"/>
      <c r="ACA21" s="390"/>
      <c r="ACB21" s="390"/>
      <c r="ACC21" s="390"/>
      <c r="ACD21" s="390"/>
      <c r="ACE21" s="390"/>
      <c r="ACF21" s="390"/>
      <c r="ACG21" s="390"/>
      <c r="ACH21" s="390"/>
      <c r="ACI21" s="390"/>
    </row>
    <row r="22" spans="1:763" ht="13.95" customHeight="1" x14ac:dyDescent="0.3">
      <c r="A22" s="397" t="str">
        <f ca="1">Проект!$A$108</f>
        <v>коэффициент продаж периода</v>
      </c>
      <c r="B22" s="350"/>
      <c r="C22" s="350"/>
      <c r="D22" s="400">
        <f>IFERROR(AVERAGE(Проект!$G$108:$R$108),"-")</f>
        <v>0.5</v>
      </c>
      <c r="E22" s="400">
        <f>IFERROR(AVERAGE(Проект!$S$108:$AD$108),"-")</f>
        <v>1</v>
      </c>
      <c r="F22" s="400">
        <f>IFERROR(AVERAGE(Проект!$AE$108:$AP$108),"-")</f>
        <v>1</v>
      </c>
      <c r="G22" s="400">
        <f>IFERROR(AVERAGE(Проект!$AQ$108:$BB$108),"-")</f>
        <v>1</v>
      </c>
      <c r="H22" s="396"/>
      <c r="I22" s="390"/>
      <c r="J22" s="390"/>
      <c r="K22" s="390"/>
      <c r="L22" s="390"/>
      <c r="M22" s="390"/>
      <c r="N22" s="390"/>
      <c r="O22" s="390"/>
      <c r="P22" s="390"/>
      <c r="Q22" s="390"/>
      <c r="R22" s="390"/>
      <c r="S22" s="390"/>
      <c r="T22" s="390"/>
      <c r="U22" s="390"/>
      <c r="V22" s="390"/>
      <c r="W22" s="390"/>
      <c r="X22" s="390"/>
      <c r="Y22" s="390"/>
      <c r="Z22" s="390"/>
      <c r="AA22" s="390"/>
      <c r="AB22" s="390"/>
      <c r="AC22" s="390"/>
      <c r="AD22" s="390"/>
      <c r="AE22" s="390"/>
      <c r="AF22" s="390"/>
      <c r="AG22" s="390"/>
      <c r="AH22" s="390"/>
      <c r="AI22" s="390"/>
      <c r="AJ22" s="390"/>
      <c r="AK22" s="390"/>
      <c r="AL22" s="390"/>
      <c r="AM22" s="390"/>
      <c r="AN22" s="390"/>
      <c r="AO22" s="390"/>
      <c r="AP22" s="390"/>
      <c r="AQ22" s="390"/>
      <c r="AR22" s="390"/>
      <c r="AS22" s="390"/>
      <c r="AT22" s="390"/>
      <c r="AU22" s="390"/>
      <c r="AV22" s="390"/>
      <c r="AW22" s="390"/>
      <c r="AX22" s="390"/>
      <c r="AY22" s="390"/>
      <c r="AZ22" s="390"/>
      <c r="BA22" s="390"/>
      <c r="BB22" s="390"/>
      <c r="BC22" s="390"/>
      <c r="BD22" s="390"/>
      <c r="BE22" s="390"/>
      <c r="BF22" s="390"/>
      <c r="BG22" s="390"/>
      <c r="BH22" s="390"/>
      <c r="BI22" s="390"/>
      <c r="BJ22" s="390"/>
      <c r="BK22" s="390"/>
      <c r="BL22" s="390"/>
      <c r="BM22" s="390"/>
      <c r="BN22" s="390"/>
      <c r="BO22" s="390"/>
      <c r="BP22" s="390"/>
      <c r="BQ22" s="390"/>
      <c r="BR22" s="390"/>
      <c r="BS22" s="390"/>
      <c r="BT22" s="390"/>
      <c r="BU22" s="390"/>
      <c r="BV22" s="390"/>
      <c r="BW22" s="390"/>
      <c r="BX22" s="390"/>
      <c r="BY22" s="390"/>
      <c r="BZ22" s="390"/>
      <c r="CA22" s="390"/>
      <c r="CB22" s="390"/>
      <c r="CC22" s="390"/>
      <c r="CD22" s="390"/>
      <c r="CE22" s="390"/>
      <c r="CF22" s="390"/>
      <c r="CG22" s="390"/>
      <c r="CH22" s="390"/>
      <c r="CI22" s="390"/>
      <c r="CJ22" s="390"/>
      <c r="CK22" s="390"/>
      <c r="CL22" s="390"/>
      <c r="CM22" s="390"/>
      <c r="CN22" s="390"/>
      <c r="CO22" s="390"/>
      <c r="CP22" s="390"/>
      <c r="CQ22" s="390"/>
      <c r="CR22" s="390"/>
      <c r="CS22" s="390"/>
      <c r="CT22" s="390"/>
      <c r="CU22" s="390"/>
      <c r="CV22" s="390"/>
      <c r="CW22" s="390"/>
      <c r="CX22" s="390"/>
      <c r="CY22" s="390"/>
      <c r="CZ22" s="390"/>
      <c r="DA22" s="390"/>
      <c r="DB22" s="390"/>
      <c r="DC22" s="390"/>
      <c r="DD22" s="390"/>
      <c r="DE22" s="390"/>
      <c r="DF22" s="390"/>
      <c r="DG22" s="390"/>
      <c r="DH22" s="390"/>
      <c r="DI22" s="390"/>
      <c r="DJ22" s="390"/>
      <c r="DK22" s="390"/>
      <c r="DL22" s="390"/>
      <c r="DM22" s="390"/>
      <c r="DN22" s="390"/>
      <c r="DO22" s="390"/>
      <c r="DP22" s="390"/>
      <c r="DQ22" s="390"/>
      <c r="DR22" s="390"/>
      <c r="DS22" s="390"/>
      <c r="DT22" s="390"/>
      <c r="DU22" s="390"/>
      <c r="DV22" s="390"/>
      <c r="DW22" s="390"/>
      <c r="DX22" s="390"/>
      <c r="DY22" s="390"/>
      <c r="DZ22" s="390"/>
      <c r="EA22" s="390"/>
      <c r="EB22" s="390"/>
      <c r="EC22" s="390"/>
      <c r="ED22" s="390"/>
      <c r="EE22" s="390"/>
      <c r="EF22" s="390"/>
      <c r="EG22" s="390"/>
      <c r="EH22" s="390"/>
      <c r="EI22" s="390"/>
      <c r="EJ22" s="390"/>
      <c r="EK22" s="390"/>
      <c r="EL22" s="390"/>
      <c r="EM22" s="390"/>
      <c r="EN22" s="390"/>
      <c r="EO22" s="390"/>
      <c r="EP22" s="390"/>
      <c r="EQ22" s="390"/>
      <c r="ER22" s="390"/>
      <c r="ES22" s="390"/>
      <c r="ET22" s="390"/>
      <c r="EU22" s="390"/>
      <c r="EV22" s="390"/>
      <c r="EW22" s="390"/>
      <c r="EX22" s="390"/>
      <c r="EY22" s="390"/>
      <c r="EZ22" s="390"/>
      <c r="FA22" s="390"/>
      <c r="FB22" s="390"/>
      <c r="FC22" s="390"/>
      <c r="FD22" s="390"/>
      <c r="FE22" s="390"/>
      <c r="FF22" s="390"/>
      <c r="FG22" s="390"/>
      <c r="FH22" s="390"/>
      <c r="FI22" s="390"/>
      <c r="FJ22" s="390"/>
      <c r="FK22" s="390"/>
      <c r="FL22" s="390"/>
      <c r="FM22" s="390"/>
      <c r="FN22" s="390"/>
      <c r="FO22" s="390"/>
      <c r="FP22" s="390"/>
      <c r="FQ22" s="390"/>
      <c r="FR22" s="390"/>
      <c r="FS22" s="390"/>
      <c r="FT22" s="390"/>
      <c r="FU22" s="390"/>
      <c r="FV22" s="390"/>
      <c r="FW22" s="390"/>
      <c r="FX22" s="390"/>
      <c r="FY22" s="390"/>
      <c r="FZ22" s="390"/>
      <c r="GA22" s="390"/>
      <c r="GB22" s="390"/>
      <c r="GC22" s="390"/>
      <c r="GD22" s="390"/>
      <c r="GE22" s="390"/>
      <c r="GF22" s="390"/>
      <c r="GG22" s="390"/>
      <c r="GH22" s="390"/>
      <c r="GI22" s="390"/>
      <c r="GJ22" s="390"/>
      <c r="GK22" s="390"/>
      <c r="GL22" s="390"/>
      <c r="GM22" s="390"/>
      <c r="GN22" s="390"/>
      <c r="GO22" s="390"/>
      <c r="GP22" s="390"/>
      <c r="GQ22" s="390"/>
      <c r="GR22" s="390"/>
      <c r="GS22" s="390"/>
      <c r="GT22" s="390"/>
      <c r="GU22" s="390"/>
      <c r="GV22" s="390"/>
      <c r="GW22" s="390"/>
      <c r="GX22" s="390"/>
      <c r="GY22" s="390"/>
      <c r="GZ22" s="390"/>
      <c r="HA22" s="390"/>
      <c r="HB22" s="390"/>
      <c r="HC22" s="390"/>
      <c r="HD22" s="390"/>
      <c r="HE22" s="390"/>
      <c r="HF22" s="390"/>
      <c r="HG22" s="390"/>
      <c r="HH22" s="390"/>
      <c r="HI22" s="390"/>
      <c r="HJ22" s="390"/>
      <c r="HK22" s="390"/>
      <c r="HL22" s="390"/>
      <c r="HM22" s="390"/>
      <c r="HN22" s="390"/>
      <c r="HO22" s="390"/>
      <c r="HP22" s="390"/>
      <c r="HQ22" s="390"/>
      <c r="HR22" s="390"/>
      <c r="HS22" s="390"/>
      <c r="HT22" s="390"/>
      <c r="HU22" s="390"/>
      <c r="HV22" s="390"/>
      <c r="HW22" s="390"/>
      <c r="HX22" s="390"/>
      <c r="HY22" s="390"/>
      <c r="HZ22" s="390"/>
      <c r="IA22" s="390"/>
      <c r="IB22" s="390"/>
      <c r="IC22" s="390"/>
      <c r="ID22" s="390"/>
      <c r="IE22" s="390"/>
      <c r="IF22" s="390"/>
      <c r="IG22" s="390"/>
      <c r="IH22" s="390"/>
      <c r="II22" s="390"/>
      <c r="IJ22" s="390"/>
      <c r="IK22" s="390"/>
      <c r="IL22" s="390"/>
      <c r="IM22" s="390"/>
      <c r="IN22" s="390"/>
      <c r="IO22" s="390"/>
      <c r="IP22" s="390"/>
      <c r="IQ22" s="390"/>
      <c r="IR22" s="390"/>
      <c r="IS22" s="390"/>
      <c r="IT22" s="390"/>
      <c r="IU22" s="390"/>
      <c r="IV22" s="390"/>
      <c r="IW22" s="390"/>
      <c r="IX22" s="390"/>
      <c r="IY22" s="390"/>
      <c r="IZ22" s="390"/>
      <c r="JA22" s="390"/>
      <c r="JB22" s="390"/>
      <c r="JC22" s="390"/>
      <c r="JD22" s="390"/>
      <c r="JE22" s="390"/>
      <c r="JF22" s="390"/>
      <c r="JG22" s="390"/>
      <c r="JH22" s="390"/>
      <c r="JI22" s="390"/>
      <c r="JJ22" s="390"/>
      <c r="JK22" s="390"/>
      <c r="JL22" s="390"/>
      <c r="JM22" s="390"/>
      <c r="JN22" s="390"/>
      <c r="JO22" s="390"/>
      <c r="JP22" s="390"/>
      <c r="JQ22" s="390"/>
      <c r="JR22" s="390"/>
      <c r="JS22" s="390"/>
      <c r="JT22" s="390"/>
      <c r="JU22" s="390"/>
      <c r="JV22" s="390"/>
      <c r="JW22" s="390"/>
      <c r="JX22" s="390"/>
      <c r="JY22" s="390"/>
      <c r="JZ22" s="390"/>
      <c r="KA22" s="390"/>
      <c r="KB22" s="390"/>
      <c r="KC22" s="390"/>
      <c r="KD22" s="390"/>
      <c r="KE22" s="390"/>
      <c r="KF22" s="390"/>
      <c r="KG22" s="390"/>
      <c r="KH22" s="390"/>
      <c r="KI22" s="390"/>
      <c r="KJ22" s="390"/>
      <c r="KK22" s="390"/>
      <c r="KL22" s="390"/>
      <c r="KM22" s="390"/>
      <c r="KN22" s="390"/>
      <c r="KO22" s="390"/>
      <c r="KP22" s="390"/>
      <c r="KQ22" s="390"/>
      <c r="KR22" s="390"/>
      <c r="KS22" s="390"/>
      <c r="KT22" s="390"/>
      <c r="KU22" s="390"/>
      <c r="KV22" s="390"/>
      <c r="KW22" s="390"/>
      <c r="KX22" s="390"/>
      <c r="KY22" s="390"/>
      <c r="KZ22" s="390"/>
      <c r="LA22" s="390"/>
      <c r="LB22" s="390"/>
      <c r="LC22" s="390"/>
      <c r="LD22" s="390"/>
      <c r="LE22" s="390"/>
      <c r="LF22" s="390"/>
      <c r="LG22" s="390"/>
      <c r="LH22" s="390"/>
      <c r="LI22" s="390"/>
      <c r="LJ22" s="390"/>
      <c r="LK22" s="390"/>
      <c r="LL22" s="390"/>
      <c r="LM22" s="390"/>
      <c r="LN22" s="390"/>
      <c r="LO22" s="390"/>
      <c r="LP22" s="390"/>
      <c r="LQ22" s="390"/>
      <c r="LR22" s="390"/>
      <c r="LS22" s="390"/>
      <c r="LT22" s="390"/>
      <c r="LU22" s="390"/>
      <c r="LV22" s="390"/>
      <c r="LW22" s="390"/>
      <c r="LX22" s="390"/>
      <c r="LY22" s="390"/>
      <c r="LZ22" s="390"/>
      <c r="MA22" s="390"/>
      <c r="MB22" s="390"/>
      <c r="MC22" s="390"/>
      <c r="MD22" s="390"/>
      <c r="ME22" s="390"/>
      <c r="MF22" s="390"/>
      <c r="MG22" s="390"/>
      <c r="MH22" s="390"/>
      <c r="MI22" s="390"/>
      <c r="MJ22" s="390"/>
      <c r="MK22" s="390"/>
      <c r="ML22" s="390"/>
      <c r="MM22" s="390"/>
      <c r="MN22" s="390"/>
      <c r="MO22" s="390"/>
      <c r="MP22" s="390"/>
      <c r="MQ22" s="390"/>
      <c r="MR22" s="390"/>
      <c r="MS22" s="390"/>
      <c r="MT22" s="390"/>
      <c r="MU22" s="390"/>
      <c r="MV22" s="390"/>
      <c r="MW22" s="390"/>
      <c r="MX22" s="390"/>
      <c r="MY22" s="390"/>
      <c r="MZ22" s="390"/>
      <c r="NA22" s="390"/>
      <c r="NB22" s="390"/>
      <c r="NC22" s="390"/>
      <c r="ND22" s="390"/>
      <c r="NE22" s="390"/>
      <c r="NF22" s="390"/>
      <c r="NG22" s="390"/>
      <c r="NH22" s="390"/>
      <c r="NI22" s="390"/>
      <c r="NJ22" s="390"/>
      <c r="NK22" s="390"/>
      <c r="NL22" s="390"/>
      <c r="NM22" s="390"/>
      <c r="NN22" s="390"/>
      <c r="NO22" s="390"/>
      <c r="NP22" s="390"/>
      <c r="NQ22" s="390"/>
      <c r="NR22" s="390"/>
      <c r="NS22" s="390"/>
      <c r="NT22" s="390"/>
      <c r="NU22" s="390"/>
      <c r="NV22" s="390"/>
      <c r="NW22" s="390"/>
      <c r="NX22" s="390"/>
      <c r="NY22" s="390"/>
      <c r="NZ22" s="390"/>
      <c r="OA22" s="390"/>
      <c r="OB22" s="390"/>
      <c r="OC22" s="390"/>
      <c r="OD22" s="390"/>
      <c r="OE22" s="390"/>
      <c r="OF22" s="390"/>
      <c r="OG22" s="390"/>
      <c r="OH22" s="390"/>
      <c r="OI22" s="390"/>
      <c r="OJ22" s="390"/>
      <c r="OK22" s="390"/>
      <c r="OL22" s="390"/>
      <c r="OM22" s="390"/>
      <c r="ON22" s="390"/>
      <c r="OO22" s="390"/>
      <c r="OP22" s="390"/>
      <c r="OQ22" s="390"/>
      <c r="OR22" s="390"/>
      <c r="OS22" s="390"/>
      <c r="OT22" s="390"/>
      <c r="OU22" s="390"/>
      <c r="OV22" s="390"/>
      <c r="OW22" s="390"/>
      <c r="OX22" s="390"/>
      <c r="OY22" s="390"/>
      <c r="OZ22" s="390"/>
      <c r="PA22" s="390"/>
      <c r="PB22" s="390"/>
      <c r="PC22" s="390"/>
      <c r="PD22" s="390"/>
      <c r="PE22" s="390"/>
      <c r="PF22" s="390"/>
      <c r="PG22" s="390"/>
      <c r="PH22" s="390"/>
      <c r="PI22" s="390"/>
      <c r="PJ22" s="390"/>
      <c r="PK22" s="390"/>
      <c r="PL22" s="390"/>
      <c r="PM22" s="390"/>
      <c r="PN22" s="390"/>
      <c r="PO22" s="390"/>
      <c r="PP22" s="390"/>
      <c r="PQ22" s="390"/>
      <c r="PR22" s="390"/>
      <c r="PS22" s="390"/>
      <c r="PT22" s="390"/>
      <c r="PU22" s="390"/>
      <c r="PV22" s="390"/>
      <c r="PW22" s="390"/>
      <c r="PX22" s="390"/>
      <c r="PY22" s="390"/>
      <c r="PZ22" s="390"/>
      <c r="QA22" s="390"/>
      <c r="QB22" s="390"/>
      <c r="QC22" s="390"/>
      <c r="QD22" s="390"/>
      <c r="QE22" s="390"/>
      <c r="QF22" s="390"/>
      <c r="QG22" s="390"/>
      <c r="QH22" s="390"/>
      <c r="QI22" s="390"/>
      <c r="QJ22" s="390"/>
      <c r="QK22" s="390"/>
      <c r="QL22" s="390"/>
      <c r="QM22" s="390"/>
      <c r="QN22" s="390"/>
      <c r="QO22" s="390"/>
      <c r="QP22" s="390"/>
      <c r="QQ22" s="390"/>
      <c r="QR22" s="390"/>
      <c r="QS22" s="390"/>
      <c r="QT22" s="390"/>
      <c r="QU22" s="390"/>
      <c r="QV22" s="390"/>
      <c r="QW22" s="390"/>
      <c r="QX22" s="390"/>
      <c r="QY22" s="390"/>
      <c r="QZ22" s="390"/>
      <c r="RA22" s="390"/>
      <c r="RB22" s="390"/>
      <c r="RC22" s="390"/>
      <c r="RD22" s="390"/>
      <c r="RE22" s="390"/>
      <c r="RF22" s="390"/>
      <c r="RG22" s="390"/>
      <c r="RH22" s="390"/>
      <c r="RI22" s="390"/>
      <c r="RJ22" s="390"/>
      <c r="RK22" s="390"/>
      <c r="RL22" s="390"/>
      <c r="RM22" s="390"/>
      <c r="RN22" s="390"/>
      <c r="RO22" s="390"/>
      <c r="RP22" s="390"/>
      <c r="RQ22" s="390"/>
      <c r="RR22" s="390"/>
      <c r="RS22" s="390"/>
      <c r="RT22" s="390"/>
      <c r="RU22" s="390"/>
      <c r="RV22" s="390"/>
      <c r="RW22" s="390"/>
      <c r="RX22" s="390"/>
      <c r="RY22" s="390"/>
      <c r="RZ22" s="390"/>
      <c r="SA22" s="390"/>
      <c r="SB22" s="390"/>
      <c r="SC22" s="390"/>
      <c r="SD22" s="390"/>
      <c r="SE22" s="390"/>
      <c r="SF22" s="390"/>
      <c r="SG22" s="390"/>
      <c r="SH22" s="390"/>
      <c r="SI22" s="390"/>
      <c r="SJ22" s="390"/>
      <c r="SK22" s="390"/>
      <c r="SL22" s="390"/>
      <c r="SM22" s="390"/>
      <c r="SN22" s="390"/>
      <c r="SO22" s="390"/>
      <c r="SP22" s="390"/>
      <c r="SQ22" s="390"/>
      <c r="SR22" s="390"/>
      <c r="SS22" s="390"/>
      <c r="ST22" s="390"/>
      <c r="SU22" s="390"/>
      <c r="SV22" s="390"/>
      <c r="SW22" s="390"/>
      <c r="SX22" s="390"/>
      <c r="SY22" s="390"/>
      <c r="SZ22" s="390"/>
      <c r="TA22" s="390"/>
      <c r="TB22" s="390"/>
      <c r="TC22" s="390"/>
      <c r="TD22" s="390"/>
      <c r="TE22" s="390"/>
      <c r="TF22" s="390"/>
      <c r="TG22" s="390"/>
      <c r="TH22" s="390"/>
      <c r="TI22" s="390"/>
      <c r="TJ22" s="390"/>
      <c r="TK22" s="390"/>
      <c r="TL22" s="390"/>
      <c r="TM22" s="390"/>
      <c r="TN22" s="390"/>
      <c r="TO22" s="390"/>
      <c r="TP22" s="390"/>
      <c r="TQ22" s="390"/>
      <c r="TR22" s="390"/>
      <c r="TS22" s="390"/>
      <c r="TT22" s="390"/>
      <c r="TU22" s="390"/>
      <c r="TV22" s="390"/>
      <c r="TW22" s="390"/>
      <c r="TX22" s="390"/>
      <c r="TY22" s="390"/>
      <c r="TZ22" s="390"/>
      <c r="UA22" s="390"/>
      <c r="UB22" s="390"/>
      <c r="UC22" s="390"/>
      <c r="UD22" s="390"/>
      <c r="UE22" s="390"/>
      <c r="UF22" s="390"/>
      <c r="UG22" s="390"/>
      <c r="UH22" s="390"/>
      <c r="UI22" s="390"/>
      <c r="UJ22" s="390"/>
      <c r="UK22" s="390"/>
      <c r="UL22" s="390"/>
      <c r="UM22" s="390"/>
      <c r="UN22" s="390"/>
      <c r="UO22" s="390"/>
      <c r="UP22" s="390"/>
      <c r="UQ22" s="390"/>
      <c r="UR22" s="390"/>
      <c r="US22" s="390"/>
      <c r="UT22" s="390"/>
      <c r="UU22" s="390"/>
      <c r="UV22" s="390"/>
      <c r="UW22" s="390"/>
      <c r="UX22" s="390"/>
      <c r="UY22" s="390"/>
      <c r="UZ22" s="390"/>
      <c r="VA22" s="390"/>
      <c r="VB22" s="390"/>
      <c r="VC22" s="390"/>
      <c r="VD22" s="390"/>
      <c r="VE22" s="390"/>
      <c r="VF22" s="390"/>
      <c r="VG22" s="390"/>
      <c r="VH22" s="390"/>
      <c r="VI22" s="390"/>
      <c r="VJ22" s="390"/>
      <c r="VK22" s="390"/>
      <c r="VL22" s="390"/>
      <c r="VM22" s="390"/>
      <c r="VN22" s="390"/>
      <c r="VO22" s="390"/>
      <c r="VP22" s="390"/>
      <c r="VQ22" s="390"/>
      <c r="VR22" s="390"/>
      <c r="VS22" s="390"/>
      <c r="VT22" s="390"/>
      <c r="VU22" s="390"/>
      <c r="VV22" s="390"/>
      <c r="VW22" s="390"/>
      <c r="VX22" s="390"/>
      <c r="VY22" s="390"/>
      <c r="VZ22" s="390"/>
      <c r="WA22" s="390"/>
      <c r="WB22" s="390"/>
      <c r="WC22" s="390"/>
      <c r="WD22" s="390"/>
      <c r="WE22" s="390"/>
      <c r="WF22" s="390"/>
      <c r="WG22" s="390"/>
      <c r="WH22" s="390"/>
      <c r="WI22" s="390"/>
      <c r="WJ22" s="390"/>
      <c r="WK22" s="390"/>
      <c r="WL22" s="390"/>
      <c r="WM22" s="390"/>
      <c r="WN22" s="390"/>
      <c r="WO22" s="390"/>
      <c r="WP22" s="390"/>
      <c r="WQ22" s="390"/>
      <c r="WR22" s="390"/>
      <c r="WS22" s="390"/>
      <c r="WT22" s="390"/>
      <c r="WU22" s="390"/>
      <c r="WV22" s="390"/>
      <c r="WW22" s="390"/>
      <c r="WX22" s="390"/>
      <c r="WY22" s="390"/>
      <c r="WZ22" s="390"/>
      <c r="XA22" s="390"/>
      <c r="XB22" s="390"/>
      <c r="XC22" s="390"/>
      <c r="XD22" s="390"/>
      <c r="XE22" s="390"/>
      <c r="XF22" s="390"/>
      <c r="XG22" s="390"/>
      <c r="XH22" s="390"/>
      <c r="XI22" s="390"/>
      <c r="XJ22" s="390"/>
      <c r="XK22" s="390"/>
      <c r="XL22" s="390"/>
      <c r="XM22" s="390"/>
      <c r="XN22" s="390"/>
      <c r="XO22" s="390"/>
      <c r="XP22" s="390"/>
      <c r="XQ22" s="390"/>
      <c r="XR22" s="390"/>
      <c r="XS22" s="390"/>
      <c r="XT22" s="390"/>
      <c r="XU22" s="390"/>
      <c r="XV22" s="390"/>
      <c r="XW22" s="390"/>
      <c r="XX22" s="390"/>
      <c r="XY22" s="390"/>
      <c r="XZ22" s="390"/>
      <c r="YA22" s="390"/>
      <c r="YB22" s="390"/>
      <c r="YC22" s="390"/>
      <c r="YD22" s="390"/>
      <c r="YE22" s="390"/>
      <c r="YF22" s="390"/>
      <c r="YG22" s="390"/>
      <c r="YH22" s="390"/>
      <c r="YI22" s="390"/>
      <c r="YJ22" s="390"/>
      <c r="YK22" s="390"/>
      <c r="YL22" s="390"/>
      <c r="YM22" s="390"/>
      <c r="YN22" s="390"/>
      <c r="YO22" s="390"/>
      <c r="YP22" s="390"/>
      <c r="YQ22" s="390"/>
      <c r="YR22" s="390"/>
      <c r="YS22" s="390"/>
      <c r="YT22" s="390"/>
      <c r="YU22" s="390"/>
      <c r="YV22" s="390"/>
      <c r="YW22" s="390"/>
      <c r="YX22" s="390"/>
      <c r="YY22" s="390"/>
      <c r="YZ22" s="390"/>
      <c r="ZA22" s="390"/>
      <c r="ZB22" s="390"/>
      <c r="ZC22" s="390"/>
      <c r="ZD22" s="390"/>
      <c r="ZE22" s="390"/>
      <c r="ZF22" s="390"/>
      <c r="ZG22" s="390"/>
      <c r="ZH22" s="390"/>
      <c r="ZI22" s="390"/>
      <c r="ZJ22" s="390"/>
      <c r="ZK22" s="390"/>
      <c r="ZL22" s="390"/>
      <c r="ZM22" s="390"/>
      <c r="ZN22" s="390"/>
      <c r="ZO22" s="390"/>
      <c r="ZP22" s="390"/>
      <c r="ZQ22" s="390"/>
      <c r="ZR22" s="390"/>
      <c r="ZS22" s="390"/>
      <c r="ZT22" s="390"/>
      <c r="ZU22" s="390"/>
      <c r="ZV22" s="390"/>
      <c r="ZW22" s="390"/>
      <c r="ZX22" s="390"/>
      <c r="ZY22" s="390"/>
      <c r="ZZ22" s="390"/>
      <c r="AAA22" s="390"/>
      <c r="AAB22" s="390"/>
      <c r="AAC22" s="390"/>
      <c r="AAD22" s="390"/>
      <c r="AAE22" s="390"/>
      <c r="AAF22" s="390"/>
      <c r="AAG22" s="390"/>
      <c r="AAH22" s="390"/>
      <c r="AAI22" s="390"/>
      <c r="AAJ22" s="390"/>
      <c r="AAK22" s="390"/>
      <c r="AAL22" s="390"/>
      <c r="AAM22" s="390"/>
      <c r="AAN22" s="390"/>
      <c r="AAO22" s="390"/>
      <c r="AAP22" s="390"/>
      <c r="AAQ22" s="390"/>
      <c r="AAR22" s="390"/>
      <c r="AAS22" s="390"/>
      <c r="AAT22" s="390"/>
      <c r="AAU22" s="390"/>
      <c r="AAV22" s="390"/>
      <c r="AAW22" s="390"/>
      <c r="AAX22" s="390"/>
      <c r="AAY22" s="390"/>
      <c r="AAZ22" s="390"/>
      <c r="ABA22" s="390"/>
      <c r="ABB22" s="390"/>
      <c r="ABC22" s="390"/>
      <c r="ABD22" s="390"/>
      <c r="ABE22" s="390"/>
      <c r="ABF22" s="390"/>
      <c r="ABG22" s="390"/>
      <c r="ABH22" s="390"/>
      <c r="ABI22" s="390"/>
      <c r="ABJ22" s="390"/>
      <c r="ABK22" s="390"/>
      <c r="ABL22" s="390"/>
      <c r="ABM22" s="390"/>
      <c r="ABN22" s="390"/>
      <c r="ABO22" s="390"/>
      <c r="ABP22" s="390"/>
      <c r="ABQ22" s="390"/>
      <c r="ABR22" s="390"/>
      <c r="ABS22" s="390"/>
      <c r="ABT22" s="390"/>
      <c r="ABU22" s="390"/>
      <c r="ABV22" s="390"/>
      <c r="ABW22" s="390"/>
      <c r="ABX22" s="390"/>
      <c r="ABY22" s="390"/>
      <c r="ABZ22" s="390"/>
      <c r="ACA22" s="390"/>
      <c r="ACB22" s="390"/>
      <c r="ACC22" s="390"/>
      <c r="ACD22" s="390"/>
      <c r="ACE22" s="390"/>
      <c r="ACF22" s="390"/>
      <c r="ACG22" s="390"/>
      <c r="ACH22" s="390"/>
      <c r="ACI22" s="390"/>
    </row>
    <row r="23" spans="1:763" ht="13.95" customHeight="1" x14ac:dyDescent="0.3">
      <c r="A23" s="401" t="str">
        <f ca="1">Проект!$A$109</f>
        <v>цена за единицу (ед.), без НДС</v>
      </c>
      <c r="B23" s="351">
        <f>Проект!$B$109</f>
        <v>1500</v>
      </c>
      <c r="C23" s="402" t="str">
        <f ca="1">Проект!$C$109</f>
        <v>руб.</v>
      </c>
      <c r="D23" s="403">
        <f ca="1">IFERROR(AVERAGE(Проект!$G$109:$R$109),"-")</f>
        <v>1540.8160427546463</v>
      </c>
      <c r="E23" s="403">
        <f ca="1">IFERROR(AVERAGE(Проект!$S$109:$AD$109),"-")</f>
        <v>1633.2650053199252</v>
      </c>
      <c r="F23" s="403">
        <f ca="1">IFERROR(AVERAGE(Проект!$AE$109:$AP$109),"-")</f>
        <v>1731.2609056391209</v>
      </c>
      <c r="G23" s="403">
        <f ca="1">IFERROR(AVERAGE(Проект!$AQ$109:$BB$109),"-")</f>
        <v>1835.1365599774683</v>
      </c>
      <c r="H23" s="396"/>
      <c r="I23" s="390"/>
      <c r="J23" s="390"/>
      <c r="K23" s="390"/>
      <c r="L23" s="390"/>
      <c r="M23" s="390"/>
      <c r="N23" s="390"/>
      <c r="O23" s="390"/>
      <c r="P23" s="390"/>
      <c r="Q23" s="390"/>
      <c r="R23" s="390"/>
      <c r="S23" s="390"/>
      <c r="T23" s="390"/>
      <c r="U23" s="390"/>
      <c r="V23" s="390"/>
      <c r="W23" s="390"/>
      <c r="X23" s="390"/>
      <c r="Y23" s="390"/>
      <c r="Z23" s="390"/>
      <c r="AA23" s="390"/>
      <c r="AB23" s="390"/>
      <c r="AC23" s="390"/>
      <c r="AD23" s="390"/>
      <c r="AE23" s="390"/>
      <c r="AF23" s="390"/>
      <c r="AG23" s="390"/>
      <c r="AH23" s="390"/>
      <c r="AI23" s="390"/>
      <c r="AJ23" s="390"/>
      <c r="AK23" s="390"/>
      <c r="AL23" s="390"/>
      <c r="AM23" s="390"/>
      <c r="AN23" s="390"/>
      <c r="AO23" s="390"/>
      <c r="AP23" s="390"/>
      <c r="AQ23" s="390"/>
      <c r="AR23" s="390"/>
      <c r="AS23" s="390"/>
      <c r="AT23" s="390"/>
      <c r="AU23" s="390"/>
      <c r="AV23" s="390"/>
      <c r="AW23" s="390"/>
      <c r="AX23" s="390"/>
      <c r="AY23" s="390"/>
      <c r="AZ23" s="390"/>
      <c r="BA23" s="390"/>
      <c r="BB23" s="390"/>
      <c r="BC23" s="390"/>
      <c r="BD23" s="390"/>
      <c r="BE23" s="390"/>
      <c r="BF23" s="390"/>
      <c r="BG23" s="390"/>
      <c r="BH23" s="390"/>
      <c r="BI23" s="390"/>
      <c r="BJ23" s="390"/>
      <c r="BK23" s="390"/>
      <c r="BL23" s="390"/>
      <c r="BM23" s="390"/>
      <c r="BN23" s="390"/>
      <c r="BO23" s="390"/>
      <c r="BP23" s="390"/>
      <c r="BQ23" s="390"/>
      <c r="BR23" s="390"/>
      <c r="BS23" s="390"/>
      <c r="BT23" s="390"/>
      <c r="BU23" s="390"/>
      <c r="BV23" s="390"/>
      <c r="BW23" s="390"/>
      <c r="BX23" s="390"/>
      <c r="BY23" s="390"/>
      <c r="BZ23" s="390"/>
      <c r="CA23" s="390"/>
      <c r="CB23" s="390"/>
      <c r="CC23" s="390"/>
      <c r="CD23" s="390"/>
      <c r="CE23" s="390"/>
      <c r="CF23" s="390"/>
      <c r="CG23" s="390"/>
      <c r="CH23" s="390"/>
      <c r="CI23" s="390"/>
      <c r="CJ23" s="390"/>
      <c r="CK23" s="390"/>
      <c r="CL23" s="390"/>
      <c r="CM23" s="390"/>
      <c r="CN23" s="390"/>
      <c r="CO23" s="390"/>
      <c r="CP23" s="390"/>
      <c r="CQ23" s="390"/>
      <c r="CR23" s="390"/>
      <c r="CS23" s="390"/>
      <c r="CT23" s="390"/>
      <c r="CU23" s="390"/>
      <c r="CV23" s="390"/>
      <c r="CW23" s="390"/>
      <c r="CX23" s="390"/>
      <c r="CY23" s="390"/>
      <c r="CZ23" s="390"/>
      <c r="DA23" s="390"/>
      <c r="DB23" s="390"/>
      <c r="DC23" s="390"/>
      <c r="DD23" s="390"/>
      <c r="DE23" s="390"/>
      <c r="DF23" s="390"/>
      <c r="DG23" s="390"/>
      <c r="DH23" s="390"/>
      <c r="DI23" s="390"/>
      <c r="DJ23" s="390"/>
      <c r="DK23" s="390"/>
      <c r="DL23" s="390"/>
      <c r="DM23" s="390"/>
      <c r="DN23" s="390"/>
      <c r="DO23" s="390"/>
      <c r="DP23" s="390"/>
      <c r="DQ23" s="390"/>
      <c r="DR23" s="390"/>
      <c r="DS23" s="390"/>
      <c r="DT23" s="390"/>
      <c r="DU23" s="390"/>
      <c r="DV23" s="390"/>
      <c r="DW23" s="390"/>
      <c r="DX23" s="390"/>
      <c r="DY23" s="390"/>
      <c r="DZ23" s="390"/>
      <c r="EA23" s="390"/>
      <c r="EB23" s="390"/>
      <c r="EC23" s="390"/>
      <c r="ED23" s="390"/>
      <c r="EE23" s="390"/>
      <c r="EF23" s="390"/>
      <c r="EG23" s="390"/>
      <c r="EH23" s="390"/>
      <c r="EI23" s="390"/>
      <c r="EJ23" s="390"/>
      <c r="EK23" s="390"/>
      <c r="EL23" s="390"/>
      <c r="EM23" s="390"/>
      <c r="EN23" s="390"/>
      <c r="EO23" s="390"/>
      <c r="EP23" s="390"/>
      <c r="EQ23" s="390"/>
      <c r="ER23" s="390"/>
      <c r="ES23" s="390"/>
      <c r="ET23" s="390"/>
      <c r="EU23" s="390"/>
      <c r="EV23" s="390"/>
      <c r="EW23" s="390"/>
      <c r="EX23" s="390"/>
      <c r="EY23" s="390"/>
      <c r="EZ23" s="390"/>
      <c r="FA23" s="390"/>
      <c r="FB23" s="390"/>
      <c r="FC23" s="390"/>
      <c r="FD23" s="390"/>
      <c r="FE23" s="390"/>
      <c r="FF23" s="390"/>
      <c r="FG23" s="390"/>
      <c r="FH23" s="390"/>
      <c r="FI23" s="390"/>
      <c r="FJ23" s="390"/>
      <c r="FK23" s="390"/>
      <c r="FL23" s="390"/>
      <c r="FM23" s="390"/>
      <c r="FN23" s="390"/>
      <c r="FO23" s="390"/>
      <c r="FP23" s="390"/>
      <c r="FQ23" s="390"/>
      <c r="FR23" s="390"/>
      <c r="FS23" s="390"/>
      <c r="FT23" s="390"/>
      <c r="FU23" s="390"/>
      <c r="FV23" s="390"/>
      <c r="FW23" s="390"/>
      <c r="FX23" s="390"/>
      <c r="FY23" s="390"/>
      <c r="FZ23" s="390"/>
      <c r="GA23" s="390"/>
      <c r="GB23" s="390"/>
      <c r="GC23" s="390"/>
      <c r="GD23" s="390"/>
      <c r="GE23" s="390"/>
      <c r="GF23" s="390"/>
      <c r="GG23" s="390"/>
      <c r="GH23" s="390"/>
      <c r="GI23" s="390"/>
      <c r="GJ23" s="390"/>
      <c r="GK23" s="390"/>
      <c r="GL23" s="390"/>
      <c r="GM23" s="390"/>
      <c r="GN23" s="390"/>
      <c r="GO23" s="390"/>
      <c r="GP23" s="390"/>
      <c r="GQ23" s="390"/>
      <c r="GR23" s="390"/>
      <c r="GS23" s="390"/>
      <c r="GT23" s="390"/>
      <c r="GU23" s="390"/>
      <c r="GV23" s="390"/>
      <c r="GW23" s="390"/>
      <c r="GX23" s="390"/>
      <c r="GY23" s="390"/>
      <c r="GZ23" s="390"/>
      <c r="HA23" s="390"/>
      <c r="HB23" s="390"/>
      <c r="HC23" s="390"/>
      <c r="HD23" s="390"/>
      <c r="HE23" s="390"/>
      <c r="HF23" s="390"/>
      <c r="HG23" s="390"/>
      <c r="HH23" s="390"/>
      <c r="HI23" s="390"/>
      <c r="HJ23" s="390"/>
      <c r="HK23" s="390"/>
      <c r="HL23" s="390"/>
      <c r="HM23" s="390"/>
      <c r="HN23" s="390"/>
      <c r="HO23" s="390"/>
      <c r="HP23" s="390"/>
      <c r="HQ23" s="390"/>
      <c r="HR23" s="390"/>
      <c r="HS23" s="390"/>
      <c r="HT23" s="390"/>
      <c r="HU23" s="390"/>
      <c r="HV23" s="390"/>
      <c r="HW23" s="390"/>
      <c r="HX23" s="390"/>
      <c r="HY23" s="390"/>
      <c r="HZ23" s="390"/>
      <c r="IA23" s="390"/>
      <c r="IB23" s="390"/>
      <c r="IC23" s="390"/>
      <c r="ID23" s="390"/>
      <c r="IE23" s="390"/>
      <c r="IF23" s="390"/>
      <c r="IG23" s="390"/>
      <c r="IH23" s="390"/>
      <c r="II23" s="390"/>
      <c r="IJ23" s="390"/>
      <c r="IK23" s="390"/>
      <c r="IL23" s="390"/>
      <c r="IM23" s="390"/>
      <c r="IN23" s="390"/>
      <c r="IO23" s="390"/>
      <c r="IP23" s="390"/>
      <c r="IQ23" s="390"/>
      <c r="IR23" s="390"/>
      <c r="IS23" s="390"/>
      <c r="IT23" s="390"/>
      <c r="IU23" s="390"/>
      <c r="IV23" s="390"/>
      <c r="IW23" s="390"/>
      <c r="IX23" s="390"/>
      <c r="IY23" s="390"/>
      <c r="IZ23" s="390"/>
      <c r="JA23" s="390"/>
      <c r="JB23" s="390"/>
      <c r="JC23" s="390"/>
      <c r="JD23" s="390"/>
      <c r="JE23" s="390"/>
      <c r="JF23" s="390"/>
      <c r="JG23" s="390"/>
      <c r="JH23" s="390"/>
      <c r="JI23" s="390"/>
      <c r="JJ23" s="390"/>
      <c r="JK23" s="390"/>
      <c r="JL23" s="390"/>
      <c r="JM23" s="390"/>
      <c r="JN23" s="390"/>
      <c r="JO23" s="390"/>
      <c r="JP23" s="390"/>
      <c r="JQ23" s="390"/>
      <c r="JR23" s="390"/>
      <c r="JS23" s="390"/>
      <c r="JT23" s="390"/>
      <c r="JU23" s="390"/>
      <c r="JV23" s="390"/>
      <c r="JW23" s="390"/>
      <c r="JX23" s="390"/>
      <c r="JY23" s="390"/>
      <c r="JZ23" s="390"/>
      <c r="KA23" s="390"/>
      <c r="KB23" s="390"/>
      <c r="KC23" s="390"/>
      <c r="KD23" s="390"/>
      <c r="KE23" s="390"/>
      <c r="KF23" s="390"/>
      <c r="KG23" s="390"/>
      <c r="KH23" s="390"/>
      <c r="KI23" s="390"/>
      <c r="KJ23" s="390"/>
      <c r="KK23" s="390"/>
      <c r="KL23" s="390"/>
      <c r="KM23" s="390"/>
      <c r="KN23" s="390"/>
      <c r="KO23" s="390"/>
      <c r="KP23" s="390"/>
      <c r="KQ23" s="390"/>
      <c r="KR23" s="390"/>
      <c r="KS23" s="390"/>
      <c r="KT23" s="390"/>
      <c r="KU23" s="390"/>
      <c r="KV23" s="390"/>
      <c r="KW23" s="390"/>
      <c r="KX23" s="390"/>
      <c r="KY23" s="390"/>
      <c r="KZ23" s="390"/>
      <c r="LA23" s="390"/>
      <c r="LB23" s="390"/>
      <c r="LC23" s="390"/>
      <c r="LD23" s="390"/>
      <c r="LE23" s="390"/>
      <c r="LF23" s="390"/>
      <c r="LG23" s="390"/>
      <c r="LH23" s="390"/>
      <c r="LI23" s="390"/>
      <c r="LJ23" s="390"/>
      <c r="LK23" s="390"/>
      <c r="LL23" s="390"/>
      <c r="LM23" s="390"/>
      <c r="LN23" s="390"/>
      <c r="LO23" s="390"/>
      <c r="LP23" s="390"/>
      <c r="LQ23" s="390"/>
      <c r="LR23" s="390"/>
      <c r="LS23" s="390"/>
      <c r="LT23" s="390"/>
      <c r="LU23" s="390"/>
      <c r="LV23" s="390"/>
      <c r="LW23" s="390"/>
      <c r="LX23" s="390"/>
      <c r="LY23" s="390"/>
      <c r="LZ23" s="390"/>
      <c r="MA23" s="390"/>
      <c r="MB23" s="390"/>
      <c r="MC23" s="390"/>
      <c r="MD23" s="390"/>
      <c r="ME23" s="390"/>
      <c r="MF23" s="390"/>
      <c r="MG23" s="390"/>
      <c r="MH23" s="390"/>
      <c r="MI23" s="390"/>
      <c r="MJ23" s="390"/>
      <c r="MK23" s="390"/>
      <c r="ML23" s="390"/>
      <c r="MM23" s="390"/>
      <c r="MN23" s="390"/>
      <c r="MO23" s="390"/>
      <c r="MP23" s="390"/>
      <c r="MQ23" s="390"/>
      <c r="MR23" s="390"/>
      <c r="MS23" s="390"/>
      <c r="MT23" s="390"/>
      <c r="MU23" s="390"/>
      <c r="MV23" s="390"/>
      <c r="MW23" s="390"/>
      <c r="MX23" s="390"/>
      <c r="MY23" s="390"/>
      <c r="MZ23" s="390"/>
      <c r="NA23" s="390"/>
      <c r="NB23" s="390"/>
      <c r="NC23" s="390"/>
      <c r="ND23" s="390"/>
      <c r="NE23" s="390"/>
      <c r="NF23" s="390"/>
      <c r="NG23" s="390"/>
      <c r="NH23" s="390"/>
      <c r="NI23" s="390"/>
      <c r="NJ23" s="390"/>
      <c r="NK23" s="390"/>
      <c r="NL23" s="390"/>
      <c r="NM23" s="390"/>
      <c r="NN23" s="390"/>
      <c r="NO23" s="390"/>
      <c r="NP23" s="390"/>
      <c r="NQ23" s="390"/>
      <c r="NR23" s="390"/>
      <c r="NS23" s="390"/>
      <c r="NT23" s="390"/>
      <c r="NU23" s="390"/>
      <c r="NV23" s="390"/>
      <c r="NW23" s="390"/>
      <c r="NX23" s="390"/>
      <c r="NY23" s="390"/>
      <c r="NZ23" s="390"/>
      <c r="OA23" s="390"/>
      <c r="OB23" s="390"/>
      <c r="OC23" s="390"/>
      <c r="OD23" s="390"/>
      <c r="OE23" s="390"/>
      <c r="OF23" s="390"/>
      <c r="OG23" s="390"/>
      <c r="OH23" s="390"/>
      <c r="OI23" s="390"/>
      <c r="OJ23" s="390"/>
      <c r="OK23" s="390"/>
      <c r="OL23" s="390"/>
      <c r="OM23" s="390"/>
      <c r="ON23" s="390"/>
      <c r="OO23" s="390"/>
      <c r="OP23" s="390"/>
      <c r="OQ23" s="390"/>
      <c r="OR23" s="390"/>
      <c r="OS23" s="390"/>
      <c r="OT23" s="390"/>
      <c r="OU23" s="390"/>
      <c r="OV23" s="390"/>
      <c r="OW23" s="390"/>
      <c r="OX23" s="390"/>
      <c r="OY23" s="390"/>
      <c r="OZ23" s="390"/>
      <c r="PA23" s="390"/>
      <c r="PB23" s="390"/>
      <c r="PC23" s="390"/>
      <c r="PD23" s="390"/>
      <c r="PE23" s="390"/>
      <c r="PF23" s="390"/>
      <c r="PG23" s="390"/>
      <c r="PH23" s="390"/>
      <c r="PI23" s="390"/>
      <c r="PJ23" s="390"/>
      <c r="PK23" s="390"/>
      <c r="PL23" s="390"/>
      <c r="PM23" s="390"/>
      <c r="PN23" s="390"/>
      <c r="PO23" s="390"/>
      <c r="PP23" s="390"/>
      <c r="PQ23" s="390"/>
      <c r="PR23" s="390"/>
      <c r="PS23" s="390"/>
      <c r="PT23" s="390"/>
      <c r="PU23" s="390"/>
      <c r="PV23" s="390"/>
      <c r="PW23" s="390"/>
      <c r="PX23" s="390"/>
      <c r="PY23" s="390"/>
      <c r="PZ23" s="390"/>
      <c r="QA23" s="390"/>
      <c r="QB23" s="390"/>
      <c r="QC23" s="390"/>
      <c r="QD23" s="390"/>
      <c r="QE23" s="390"/>
      <c r="QF23" s="390"/>
      <c r="QG23" s="390"/>
      <c r="QH23" s="390"/>
      <c r="QI23" s="390"/>
      <c r="QJ23" s="390"/>
      <c r="QK23" s="390"/>
      <c r="QL23" s="390"/>
      <c r="QM23" s="390"/>
      <c r="QN23" s="390"/>
      <c r="QO23" s="390"/>
      <c r="QP23" s="390"/>
      <c r="QQ23" s="390"/>
      <c r="QR23" s="390"/>
      <c r="QS23" s="390"/>
      <c r="QT23" s="390"/>
      <c r="QU23" s="390"/>
      <c r="QV23" s="390"/>
      <c r="QW23" s="390"/>
      <c r="QX23" s="390"/>
      <c r="QY23" s="390"/>
      <c r="QZ23" s="390"/>
      <c r="RA23" s="390"/>
      <c r="RB23" s="390"/>
      <c r="RC23" s="390"/>
      <c r="RD23" s="390"/>
      <c r="RE23" s="390"/>
      <c r="RF23" s="390"/>
      <c r="RG23" s="390"/>
      <c r="RH23" s="390"/>
      <c r="RI23" s="390"/>
      <c r="RJ23" s="390"/>
      <c r="RK23" s="390"/>
      <c r="RL23" s="390"/>
      <c r="RM23" s="390"/>
      <c r="RN23" s="390"/>
      <c r="RO23" s="390"/>
      <c r="RP23" s="390"/>
      <c r="RQ23" s="390"/>
      <c r="RR23" s="390"/>
      <c r="RS23" s="390"/>
      <c r="RT23" s="390"/>
      <c r="RU23" s="390"/>
      <c r="RV23" s="390"/>
      <c r="RW23" s="390"/>
      <c r="RX23" s="390"/>
      <c r="RY23" s="390"/>
      <c r="RZ23" s="390"/>
      <c r="SA23" s="390"/>
      <c r="SB23" s="390"/>
      <c r="SC23" s="390"/>
      <c r="SD23" s="390"/>
      <c r="SE23" s="390"/>
      <c r="SF23" s="390"/>
      <c r="SG23" s="390"/>
      <c r="SH23" s="390"/>
      <c r="SI23" s="390"/>
      <c r="SJ23" s="390"/>
      <c r="SK23" s="390"/>
      <c r="SL23" s="390"/>
      <c r="SM23" s="390"/>
      <c r="SN23" s="390"/>
      <c r="SO23" s="390"/>
      <c r="SP23" s="390"/>
      <c r="SQ23" s="390"/>
      <c r="SR23" s="390"/>
      <c r="SS23" s="390"/>
      <c r="ST23" s="390"/>
      <c r="SU23" s="390"/>
      <c r="SV23" s="390"/>
      <c r="SW23" s="390"/>
      <c r="SX23" s="390"/>
      <c r="SY23" s="390"/>
      <c r="SZ23" s="390"/>
      <c r="TA23" s="390"/>
      <c r="TB23" s="390"/>
      <c r="TC23" s="390"/>
      <c r="TD23" s="390"/>
      <c r="TE23" s="390"/>
      <c r="TF23" s="390"/>
      <c r="TG23" s="390"/>
      <c r="TH23" s="390"/>
      <c r="TI23" s="390"/>
      <c r="TJ23" s="390"/>
      <c r="TK23" s="390"/>
      <c r="TL23" s="390"/>
      <c r="TM23" s="390"/>
      <c r="TN23" s="390"/>
      <c r="TO23" s="390"/>
      <c r="TP23" s="390"/>
      <c r="TQ23" s="390"/>
      <c r="TR23" s="390"/>
      <c r="TS23" s="390"/>
      <c r="TT23" s="390"/>
      <c r="TU23" s="390"/>
      <c r="TV23" s="390"/>
      <c r="TW23" s="390"/>
      <c r="TX23" s="390"/>
      <c r="TY23" s="390"/>
      <c r="TZ23" s="390"/>
      <c r="UA23" s="390"/>
      <c r="UB23" s="390"/>
      <c r="UC23" s="390"/>
      <c r="UD23" s="390"/>
      <c r="UE23" s="390"/>
      <c r="UF23" s="390"/>
      <c r="UG23" s="390"/>
      <c r="UH23" s="390"/>
      <c r="UI23" s="390"/>
      <c r="UJ23" s="390"/>
      <c r="UK23" s="390"/>
      <c r="UL23" s="390"/>
      <c r="UM23" s="390"/>
      <c r="UN23" s="390"/>
      <c r="UO23" s="390"/>
      <c r="UP23" s="390"/>
      <c r="UQ23" s="390"/>
      <c r="UR23" s="390"/>
      <c r="US23" s="390"/>
      <c r="UT23" s="390"/>
      <c r="UU23" s="390"/>
      <c r="UV23" s="390"/>
      <c r="UW23" s="390"/>
      <c r="UX23" s="390"/>
      <c r="UY23" s="390"/>
      <c r="UZ23" s="390"/>
      <c r="VA23" s="390"/>
      <c r="VB23" s="390"/>
      <c r="VC23" s="390"/>
      <c r="VD23" s="390"/>
      <c r="VE23" s="390"/>
      <c r="VF23" s="390"/>
      <c r="VG23" s="390"/>
      <c r="VH23" s="390"/>
      <c r="VI23" s="390"/>
      <c r="VJ23" s="390"/>
      <c r="VK23" s="390"/>
      <c r="VL23" s="390"/>
      <c r="VM23" s="390"/>
      <c r="VN23" s="390"/>
      <c r="VO23" s="390"/>
      <c r="VP23" s="390"/>
      <c r="VQ23" s="390"/>
      <c r="VR23" s="390"/>
      <c r="VS23" s="390"/>
      <c r="VT23" s="390"/>
      <c r="VU23" s="390"/>
      <c r="VV23" s="390"/>
      <c r="VW23" s="390"/>
      <c r="VX23" s="390"/>
      <c r="VY23" s="390"/>
      <c r="VZ23" s="390"/>
      <c r="WA23" s="390"/>
      <c r="WB23" s="390"/>
      <c r="WC23" s="390"/>
      <c r="WD23" s="390"/>
      <c r="WE23" s="390"/>
      <c r="WF23" s="390"/>
      <c r="WG23" s="390"/>
      <c r="WH23" s="390"/>
      <c r="WI23" s="390"/>
      <c r="WJ23" s="390"/>
      <c r="WK23" s="390"/>
      <c r="WL23" s="390"/>
      <c r="WM23" s="390"/>
      <c r="WN23" s="390"/>
      <c r="WO23" s="390"/>
      <c r="WP23" s="390"/>
      <c r="WQ23" s="390"/>
      <c r="WR23" s="390"/>
      <c r="WS23" s="390"/>
      <c r="WT23" s="390"/>
      <c r="WU23" s="390"/>
      <c r="WV23" s="390"/>
      <c r="WW23" s="390"/>
      <c r="WX23" s="390"/>
      <c r="WY23" s="390"/>
      <c r="WZ23" s="390"/>
      <c r="XA23" s="390"/>
      <c r="XB23" s="390"/>
      <c r="XC23" s="390"/>
      <c r="XD23" s="390"/>
      <c r="XE23" s="390"/>
      <c r="XF23" s="390"/>
      <c r="XG23" s="390"/>
      <c r="XH23" s="390"/>
      <c r="XI23" s="390"/>
      <c r="XJ23" s="390"/>
      <c r="XK23" s="390"/>
      <c r="XL23" s="390"/>
      <c r="XM23" s="390"/>
      <c r="XN23" s="390"/>
      <c r="XO23" s="390"/>
      <c r="XP23" s="390"/>
      <c r="XQ23" s="390"/>
      <c r="XR23" s="390"/>
      <c r="XS23" s="390"/>
      <c r="XT23" s="390"/>
      <c r="XU23" s="390"/>
      <c r="XV23" s="390"/>
      <c r="XW23" s="390"/>
      <c r="XX23" s="390"/>
      <c r="XY23" s="390"/>
      <c r="XZ23" s="390"/>
      <c r="YA23" s="390"/>
      <c r="YB23" s="390"/>
      <c r="YC23" s="390"/>
      <c r="YD23" s="390"/>
      <c r="YE23" s="390"/>
      <c r="YF23" s="390"/>
      <c r="YG23" s="390"/>
      <c r="YH23" s="390"/>
      <c r="YI23" s="390"/>
      <c r="YJ23" s="390"/>
      <c r="YK23" s="390"/>
      <c r="YL23" s="390"/>
      <c r="YM23" s="390"/>
      <c r="YN23" s="390"/>
      <c r="YO23" s="390"/>
      <c r="YP23" s="390"/>
      <c r="YQ23" s="390"/>
      <c r="YR23" s="390"/>
      <c r="YS23" s="390"/>
      <c r="YT23" s="390"/>
      <c r="YU23" s="390"/>
      <c r="YV23" s="390"/>
      <c r="YW23" s="390"/>
      <c r="YX23" s="390"/>
      <c r="YY23" s="390"/>
      <c r="YZ23" s="390"/>
      <c r="ZA23" s="390"/>
      <c r="ZB23" s="390"/>
      <c r="ZC23" s="390"/>
      <c r="ZD23" s="390"/>
      <c r="ZE23" s="390"/>
      <c r="ZF23" s="390"/>
      <c r="ZG23" s="390"/>
      <c r="ZH23" s="390"/>
      <c r="ZI23" s="390"/>
      <c r="ZJ23" s="390"/>
      <c r="ZK23" s="390"/>
      <c r="ZL23" s="390"/>
      <c r="ZM23" s="390"/>
      <c r="ZN23" s="390"/>
      <c r="ZO23" s="390"/>
      <c r="ZP23" s="390"/>
      <c r="ZQ23" s="390"/>
      <c r="ZR23" s="390"/>
      <c r="ZS23" s="390"/>
      <c r="ZT23" s="390"/>
      <c r="ZU23" s="390"/>
      <c r="ZV23" s="390"/>
      <c r="ZW23" s="390"/>
      <c r="ZX23" s="390"/>
      <c r="ZY23" s="390"/>
      <c r="ZZ23" s="390"/>
      <c r="AAA23" s="390"/>
      <c r="AAB23" s="390"/>
      <c r="AAC23" s="390"/>
      <c r="AAD23" s="390"/>
      <c r="AAE23" s="390"/>
      <c r="AAF23" s="390"/>
      <c r="AAG23" s="390"/>
      <c r="AAH23" s="390"/>
      <c r="AAI23" s="390"/>
      <c r="AAJ23" s="390"/>
      <c r="AAK23" s="390"/>
      <c r="AAL23" s="390"/>
      <c r="AAM23" s="390"/>
      <c r="AAN23" s="390"/>
      <c r="AAO23" s="390"/>
      <c r="AAP23" s="390"/>
      <c r="AAQ23" s="390"/>
      <c r="AAR23" s="390"/>
      <c r="AAS23" s="390"/>
      <c r="AAT23" s="390"/>
      <c r="AAU23" s="390"/>
      <c r="AAV23" s="390"/>
      <c r="AAW23" s="390"/>
      <c r="AAX23" s="390"/>
      <c r="AAY23" s="390"/>
      <c r="AAZ23" s="390"/>
      <c r="ABA23" s="390"/>
      <c r="ABB23" s="390"/>
      <c r="ABC23" s="390"/>
      <c r="ABD23" s="390"/>
      <c r="ABE23" s="390"/>
      <c r="ABF23" s="390"/>
      <c r="ABG23" s="390"/>
      <c r="ABH23" s="390"/>
      <c r="ABI23" s="390"/>
      <c r="ABJ23" s="390"/>
      <c r="ABK23" s="390"/>
      <c r="ABL23" s="390"/>
      <c r="ABM23" s="390"/>
      <c r="ABN23" s="390"/>
      <c r="ABO23" s="390"/>
      <c r="ABP23" s="390"/>
      <c r="ABQ23" s="390"/>
      <c r="ABR23" s="390"/>
      <c r="ABS23" s="390"/>
      <c r="ABT23" s="390"/>
      <c r="ABU23" s="390"/>
      <c r="ABV23" s="390"/>
      <c r="ABW23" s="390"/>
      <c r="ABX23" s="390"/>
      <c r="ABY23" s="390"/>
      <c r="ABZ23" s="390"/>
      <c r="ACA23" s="390"/>
      <c r="ACB23" s="390"/>
      <c r="ACC23" s="390"/>
      <c r="ACD23" s="390"/>
      <c r="ACE23" s="390"/>
      <c r="ACF23" s="390"/>
      <c r="ACG23" s="390"/>
      <c r="ACH23" s="390"/>
      <c r="ACI23" s="390"/>
    </row>
    <row r="24" spans="1:763" ht="13.95" customHeight="1" x14ac:dyDescent="0.3">
      <c r="A24" s="401" t="str">
        <f ca="1">Проект!$A$110</f>
        <v>выручка от реализации, без НДС</v>
      </c>
      <c r="B24" s="402"/>
      <c r="C24" s="402" t="str">
        <f ca="1">Проект!$C$110</f>
        <v>руб.</v>
      </c>
      <c r="D24" s="404">
        <f ca="1">SUM(Проект!$G$110:$R$110)</f>
        <v>2255096.7833509455</v>
      </c>
      <c r="E24" s="404">
        <f ca="1">SUM(Проект!$S$110:$AD$110)</f>
        <v>6502106.0871070577</v>
      </c>
      <c r="F24" s="404">
        <f ca="1">SUM(Проект!$AE$110:$AP$110)</f>
        <v>6892232.452333482</v>
      </c>
      <c r="G24" s="404">
        <f ca="1">SUM(Проект!$AQ$110:$BB$110)</f>
        <v>7305766.399473493</v>
      </c>
      <c r="H24" s="405">
        <f ca="1">Проект!$BD$110</f>
        <v>22955201.722264975</v>
      </c>
      <c r="I24" s="390"/>
      <c r="J24" s="390"/>
      <c r="K24" s="390"/>
      <c r="L24" s="390"/>
      <c r="M24" s="390"/>
      <c r="N24" s="390"/>
      <c r="O24" s="390"/>
      <c r="P24" s="390"/>
      <c r="Q24" s="390"/>
      <c r="R24" s="390"/>
      <c r="S24" s="390"/>
      <c r="T24" s="390"/>
      <c r="U24" s="390"/>
      <c r="V24" s="390"/>
      <c r="W24" s="390"/>
      <c r="X24" s="390"/>
      <c r="Y24" s="390"/>
      <c r="Z24" s="390"/>
      <c r="AA24" s="390"/>
      <c r="AB24" s="390"/>
      <c r="AC24" s="390"/>
      <c r="AD24" s="390"/>
      <c r="AE24" s="390"/>
      <c r="AF24" s="390"/>
      <c r="AG24" s="390"/>
      <c r="AH24" s="390"/>
      <c r="AI24" s="390"/>
      <c r="AJ24" s="390"/>
      <c r="AK24" s="390"/>
      <c r="AL24" s="390"/>
      <c r="AM24" s="390"/>
      <c r="AN24" s="390"/>
      <c r="AO24" s="390"/>
      <c r="AP24" s="390"/>
      <c r="AQ24" s="390"/>
      <c r="AR24" s="390"/>
      <c r="AS24" s="390"/>
      <c r="AT24" s="390"/>
      <c r="AU24" s="390"/>
      <c r="AV24" s="390"/>
      <c r="AW24" s="390"/>
      <c r="AX24" s="390"/>
      <c r="AY24" s="390"/>
      <c r="AZ24" s="390"/>
      <c r="BA24" s="390"/>
      <c r="BB24" s="390"/>
      <c r="BC24" s="390"/>
      <c r="BD24" s="390"/>
      <c r="BE24" s="390"/>
      <c r="BF24" s="390"/>
      <c r="BG24" s="390"/>
      <c r="BH24" s="390"/>
      <c r="BI24" s="390"/>
      <c r="BJ24" s="390"/>
      <c r="BK24" s="390"/>
      <c r="BL24" s="390"/>
      <c r="BM24" s="390"/>
      <c r="BN24" s="390"/>
      <c r="BO24" s="390"/>
      <c r="BP24" s="390"/>
      <c r="BQ24" s="390"/>
      <c r="BR24" s="390"/>
      <c r="BS24" s="390"/>
      <c r="BT24" s="390"/>
      <c r="BU24" s="390"/>
      <c r="BV24" s="390"/>
      <c r="BW24" s="390"/>
      <c r="BX24" s="390"/>
      <c r="BY24" s="390"/>
      <c r="BZ24" s="390"/>
      <c r="CA24" s="390"/>
      <c r="CB24" s="390"/>
      <c r="CC24" s="390"/>
      <c r="CD24" s="390"/>
      <c r="CE24" s="390"/>
      <c r="CF24" s="390"/>
      <c r="CG24" s="390"/>
      <c r="CH24" s="390"/>
      <c r="CI24" s="390"/>
      <c r="CJ24" s="390"/>
      <c r="CK24" s="390"/>
      <c r="CL24" s="390"/>
      <c r="CM24" s="390"/>
      <c r="CN24" s="390"/>
      <c r="CO24" s="390"/>
      <c r="CP24" s="390"/>
      <c r="CQ24" s="390"/>
      <c r="CR24" s="390"/>
      <c r="CS24" s="390"/>
      <c r="CT24" s="390"/>
      <c r="CU24" s="390"/>
      <c r="CV24" s="390"/>
      <c r="CW24" s="390"/>
      <c r="CX24" s="390"/>
      <c r="CY24" s="390"/>
      <c r="CZ24" s="390"/>
      <c r="DA24" s="390"/>
      <c r="DB24" s="390"/>
      <c r="DC24" s="390"/>
      <c r="DD24" s="390"/>
      <c r="DE24" s="390"/>
      <c r="DF24" s="390"/>
      <c r="DG24" s="390"/>
      <c r="DH24" s="390"/>
      <c r="DI24" s="390"/>
      <c r="DJ24" s="390"/>
      <c r="DK24" s="390"/>
      <c r="DL24" s="390"/>
      <c r="DM24" s="390"/>
      <c r="DN24" s="390"/>
      <c r="DO24" s="390"/>
      <c r="DP24" s="390"/>
      <c r="DQ24" s="390"/>
      <c r="DR24" s="390"/>
      <c r="DS24" s="390"/>
      <c r="DT24" s="390"/>
      <c r="DU24" s="390"/>
      <c r="DV24" s="390"/>
      <c r="DW24" s="390"/>
      <c r="DX24" s="390"/>
      <c r="DY24" s="390"/>
      <c r="DZ24" s="390"/>
      <c r="EA24" s="390"/>
      <c r="EB24" s="390"/>
      <c r="EC24" s="390"/>
      <c r="ED24" s="390"/>
      <c r="EE24" s="390"/>
      <c r="EF24" s="390"/>
      <c r="EG24" s="390"/>
      <c r="EH24" s="390"/>
      <c r="EI24" s="390"/>
      <c r="EJ24" s="390"/>
      <c r="EK24" s="390"/>
      <c r="EL24" s="390"/>
      <c r="EM24" s="390"/>
      <c r="EN24" s="390"/>
      <c r="EO24" s="390"/>
      <c r="EP24" s="390"/>
      <c r="EQ24" s="390"/>
      <c r="ER24" s="390"/>
      <c r="ES24" s="390"/>
      <c r="ET24" s="390"/>
      <c r="EU24" s="390"/>
      <c r="EV24" s="390"/>
      <c r="EW24" s="390"/>
      <c r="EX24" s="390"/>
      <c r="EY24" s="390"/>
      <c r="EZ24" s="390"/>
      <c r="FA24" s="390"/>
      <c r="FB24" s="390"/>
      <c r="FC24" s="390"/>
      <c r="FD24" s="390"/>
      <c r="FE24" s="390"/>
      <c r="FF24" s="390"/>
      <c r="FG24" s="390"/>
      <c r="FH24" s="390"/>
      <c r="FI24" s="390"/>
      <c r="FJ24" s="390"/>
      <c r="FK24" s="390"/>
      <c r="FL24" s="390"/>
      <c r="FM24" s="390"/>
      <c r="FN24" s="390"/>
      <c r="FO24" s="390"/>
      <c r="FP24" s="390"/>
      <c r="FQ24" s="390"/>
      <c r="FR24" s="390"/>
      <c r="FS24" s="390"/>
      <c r="FT24" s="390"/>
      <c r="FU24" s="390"/>
      <c r="FV24" s="390"/>
      <c r="FW24" s="390"/>
      <c r="FX24" s="390"/>
      <c r="FY24" s="390"/>
      <c r="FZ24" s="390"/>
      <c r="GA24" s="390"/>
      <c r="GB24" s="390"/>
      <c r="GC24" s="390"/>
      <c r="GD24" s="390"/>
      <c r="GE24" s="390"/>
      <c r="GF24" s="390"/>
      <c r="GG24" s="390"/>
      <c r="GH24" s="390"/>
      <c r="GI24" s="390"/>
      <c r="GJ24" s="390"/>
      <c r="GK24" s="390"/>
      <c r="GL24" s="390"/>
      <c r="GM24" s="390"/>
      <c r="GN24" s="390"/>
      <c r="GO24" s="390"/>
      <c r="GP24" s="390"/>
      <c r="GQ24" s="390"/>
      <c r="GR24" s="390"/>
      <c r="GS24" s="390"/>
      <c r="GT24" s="390"/>
      <c r="GU24" s="390"/>
      <c r="GV24" s="390"/>
      <c r="GW24" s="390"/>
      <c r="GX24" s="390"/>
      <c r="GY24" s="390"/>
      <c r="GZ24" s="390"/>
      <c r="HA24" s="390"/>
      <c r="HB24" s="390"/>
      <c r="HC24" s="390"/>
      <c r="HD24" s="390"/>
      <c r="HE24" s="390"/>
      <c r="HF24" s="390"/>
      <c r="HG24" s="390"/>
      <c r="HH24" s="390"/>
      <c r="HI24" s="390"/>
      <c r="HJ24" s="390"/>
      <c r="HK24" s="390"/>
      <c r="HL24" s="390"/>
      <c r="HM24" s="390"/>
      <c r="HN24" s="390"/>
      <c r="HO24" s="390"/>
      <c r="HP24" s="390"/>
      <c r="HQ24" s="390"/>
      <c r="HR24" s="390"/>
      <c r="HS24" s="390"/>
      <c r="HT24" s="390"/>
      <c r="HU24" s="390"/>
      <c r="HV24" s="390"/>
      <c r="HW24" s="390"/>
      <c r="HX24" s="390"/>
      <c r="HY24" s="390"/>
      <c r="HZ24" s="390"/>
      <c r="IA24" s="390"/>
      <c r="IB24" s="390"/>
      <c r="IC24" s="390"/>
      <c r="ID24" s="390"/>
      <c r="IE24" s="390"/>
      <c r="IF24" s="390"/>
      <c r="IG24" s="390"/>
      <c r="IH24" s="390"/>
      <c r="II24" s="390"/>
      <c r="IJ24" s="390"/>
      <c r="IK24" s="390"/>
      <c r="IL24" s="390"/>
      <c r="IM24" s="390"/>
      <c r="IN24" s="390"/>
      <c r="IO24" s="390"/>
      <c r="IP24" s="390"/>
      <c r="IQ24" s="390"/>
      <c r="IR24" s="390"/>
      <c r="IS24" s="390"/>
      <c r="IT24" s="390"/>
      <c r="IU24" s="390"/>
      <c r="IV24" s="390"/>
      <c r="IW24" s="390"/>
      <c r="IX24" s="390"/>
      <c r="IY24" s="390"/>
      <c r="IZ24" s="390"/>
      <c r="JA24" s="390"/>
      <c r="JB24" s="390"/>
      <c r="JC24" s="390"/>
      <c r="JD24" s="390"/>
      <c r="JE24" s="390"/>
      <c r="JF24" s="390"/>
      <c r="JG24" s="390"/>
      <c r="JH24" s="390"/>
      <c r="JI24" s="390"/>
      <c r="JJ24" s="390"/>
      <c r="JK24" s="390"/>
      <c r="JL24" s="390"/>
      <c r="JM24" s="390"/>
      <c r="JN24" s="390"/>
      <c r="JO24" s="390"/>
      <c r="JP24" s="390"/>
      <c r="JQ24" s="390"/>
      <c r="JR24" s="390"/>
      <c r="JS24" s="390"/>
      <c r="JT24" s="390"/>
      <c r="JU24" s="390"/>
      <c r="JV24" s="390"/>
      <c r="JW24" s="390"/>
      <c r="JX24" s="390"/>
      <c r="JY24" s="390"/>
      <c r="JZ24" s="390"/>
      <c r="KA24" s="390"/>
      <c r="KB24" s="390"/>
      <c r="KC24" s="390"/>
      <c r="KD24" s="390"/>
      <c r="KE24" s="390"/>
      <c r="KF24" s="390"/>
      <c r="KG24" s="390"/>
      <c r="KH24" s="390"/>
      <c r="KI24" s="390"/>
      <c r="KJ24" s="390"/>
      <c r="KK24" s="390"/>
      <c r="KL24" s="390"/>
      <c r="KM24" s="390"/>
      <c r="KN24" s="390"/>
      <c r="KO24" s="390"/>
      <c r="KP24" s="390"/>
      <c r="KQ24" s="390"/>
      <c r="KR24" s="390"/>
      <c r="KS24" s="390"/>
      <c r="KT24" s="390"/>
      <c r="KU24" s="390"/>
      <c r="KV24" s="390"/>
      <c r="KW24" s="390"/>
      <c r="KX24" s="390"/>
      <c r="KY24" s="390"/>
      <c r="KZ24" s="390"/>
      <c r="LA24" s="390"/>
      <c r="LB24" s="390"/>
      <c r="LC24" s="390"/>
      <c r="LD24" s="390"/>
      <c r="LE24" s="390"/>
      <c r="LF24" s="390"/>
      <c r="LG24" s="390"/>
      <c r="LH24" s="390"/>
      <c r="LI24" s="390"/>
      <c r="LJ24" s="390"/>
      <c r="LK24" s="390"/>
      <c r="LL24" s="390"/>
      <c r="LM24" s="390"/>
      <c r="LN24" s="390"/>
      <c r="LO24" s="390"/>
      <c r="LP24" s="390"/>
      <c r="LQ24" s="390"/>
      <c r="LR24" s="390"/>
      <c r="LS24" s="390"/>
      <c r="LT24" s="390"/>
      <c r="LU24" s="390"/>
      <c r="LV24" s="390"/>
      <c r="LW24" s="390"/>
      <c r="LX24" s="390"/>
      <c r="LY24" s="390"/>
      <c r="LZ24" s="390"/>
      <c r="MA24" s="390"/>
      <c r="MB24" s="390"/>
      <c r="MC24" s="390"/>
      <c r="MD24" s="390"/>
      <c r="ME24" s="390"/>
      <c r="MF24" s="390"/>
      <c r="MG24" s="390"/>
      <c r="MH24" s="390"/>
      <c r="MI24" s="390"/>
      <c r="MJ24" s="390"/>
      <c r="MK24" s="390"/>
      <c r="ML24" s="390"/>
      <c r="MM24" s="390"/>
      <c r="MN24" s="390"/>
      <c r="MO24" s="390"/>
      <c r="MP24" s="390"/>
      <c r="MQ24" s="390"/>
      <c r="MR24" s="390"/>
      <c r="MS24" s="390"/>
      <c r="MT24" s="390"/>
      <c r="MU24" s="390"/>
      <c r="MV24" s="390"/>
      <c r="MW24" s="390"/>
      <c r="MX24" s="390"/>
      <c r="MY24" s="390"/>
      <c r="MZ24" s="390"/>
      <c r="NA24" s="390"/>
      <c r="NB24" s="390"/>
      <c r="NC24" s="390"/>
      <c r="ND24" s="390"/>
      <c r="NE24" s="390"/>
      <c r="NF24" s="390"/>
      <c r="NG24" s="390"/>
      <c r="NH24" s="390"/>
      <c r="NI24" s="390"/>
      <c r="NJ24" s="390"/>
      <c r="NK24" s="390"/>
      <c r="NL24" s="390"/>
      <c r="NM24" s="390"/>
      <c r="NN24" s="390"/>
      <c r="NO24" s="390"/>
      <c r="NP24" s="390"/>
      <c r="NQ24" s="390"/>
      <c r="NR24" s="390"/>
      <c r="NS24" s="390"/>
      <c r="NT24" s="390"/>
      <c r="NU24" s="390"/>
      <c r="NV24" s="390"/>
      <c r="NW24" s="390"/>
      <c r="NX24" s="390"/>
      <c r="NY24" s="390"/>
      <c r="NZ24" s="390"/>
      <c r="OA24" s="390"/>
      <c r="OB24" s="390"/>
      <c r="OC24" s="390"/>
      <c r="OD24" s="390"/>
      <c r="OE24" s="390"/>
      <c r="OF24" s="390"/>
      <c r="OG24" s="390"/>
      <c r="OH24" s="390"/>
      <c r="OI24" s="390"/>
      <c r="OJ24" s="390"/>
      <c r="OK24" s="390"/>
      <c r="OL24" s="390"/>
      <c r="OM24" s="390"/>
      <c r="ON24" s="390"/>
      <c r="OO24" s="390"/>
      <c r="OP24" s="390"/>
      <c r="OQ24" s="390"/>
      <c r="OR24" s="390"/>
      <c r="OS24" s="390"/>
      <c r="OT24" s="390"/>
      <c r="OU24" s="390"/>
      <c r="OV24" s="390"/>
      <c r="OW24" s="390"/>
      <c r="OX24" s="390"/>
      <c r="OY24" s="390"/>
      <c r="OZ24" s="390"/>
      <c r="PA24" s="390"/>
      <c r="PB24" s="390"/>
      <c r="PC24" s="390"/>
      <c r="PD24" s="390"/>
      <c r="PE24" s="390"/>
      <c r="PF24" s="390"/>
      <c r="PG24" s="390"/>
      <c r="PH24" s="390"/>
      <c r="PI24" s="390"/>
      <c r="PJ24" s="390"/>
      <c r="PK24" s="390"/>
      <c r="PL24" s="390"/>
      <c r="PM24" s="390"/>
      <c r="PN24" s="390"/>
      <c r="PO24" s="390"/>
      <c r="PP24" s="390"/>
      <c r="PQ24" s="390"/>
      <c r="PR24" s="390"/>
      <c r="PS24" s="390"/>
      <c r="PT24" s="390"/>
      <c r="PU24" s="390"/>
      <c r="PV24" s="390"/>
      <c r="PW24" s="390"/>
      <c r="PX24" s="390"/>
      <c r="PY24" s="390"/>
      <c r="PZ24" s="390"/>
      <c r="QA24" s="390"/>
      <c r="QB24" s="390"/>
      <c r="QC24" s="390"/>
      <c r="QD24" s="390"/>
      <c r="QE24" s="390"/>
      <c r="QF24" s="390"/>
      <c r="QG24" s="390"/>
      <c r="QH24" s="390"/>
      <c r="QI24" s="390"/>
      <c r="QJ24" s="390"/>
      <c r="QK24" s="390"/>
      <c r="QL24" s="390"/>
      <c r="QM24" s="390"/>
      <c r="QN24" s="390"/>
      <c r="QO24" s="390"/>
      <c r="QP24" s="390"/>
      <c r="QQ24" s="390"/>
      <c r="QR24" s="390"/>
      <c r="QS24" s="390"/>
      <c r="QT24" s="390"/>
      <c r="QU24" s="390"/>
      <c r="QV24" s="390"/>
      <c r="QW24" s="390"/>
      <c r="QX24" s="390"/>
      <c r="QY24" s="390"/>
      <c r="QZ24" s="390"/>
      <c r="RA24" s="390"/>
      <c r="RB24" s="390"/>
      <c r="RC24" s="390"/>
      <c r="RD24" s="390"/>
      <c r="RE24" s="390"/>
      <c r="RF24" s="390"/>
      <c r="RG24" s="390"/>
      <c r="RH24" s="390"/>
      <c r="RI24" s="390"/>
      <c r="RJ24" s="390"/>
      <c r="RK24" s="390"/>
      <c r="RL24" s="390"/>
      <c r="RM24" s="390"/>
      <c r="RN24" s="390"/>
      <c r="RO24" s="390"/>
      <c r="RP24" s="390"/>
      <c r="RQ24" s="390"/>
      <c r="RR24" s="390"/>
      <c r="RS24" s="390"/>
      <c r="RT24" s="390"/>
      <c r="RU24" s="390"/>
      <c r="RV24" s="390"/>
      <c r="RW24" s="390"/>
      <c r="RX24" s="390"/>
      <c r="RY24" s="390"/>
      <c r="RZ24" s="390"/>
      <c r="SA24" s="390"/>
      <c r="SB24" s="390"/>
      <c r="SC24" s="390"/>
      <c r="SD24" s="390"/>
      <c r="SE24" s="390"/>
      <c r="SF24" s="390"/>
      <c r="SG24" s="390"/>
      <c r="SH24" s="390"/>
      <c r="SI24" s="390"/>
      <c r="SJ24" s="390"/>
      <c r="SK24" s="390"/>
      <c r="SL24" s="390"/>
      <c r="SM24" s="390"/>
      <c r="SN24" s="390"/>
      <c r="SO24" s="390"/>
      <c r="SP24" s="390"/>
      <c r="SQ24" s="390"/>
      <c r="SR24" s="390"/>
      <c r="SS24" s="390"/>
      <c r="ST24" s="390"/>
      <c r="SU24" s="390"/>
      <c r="SV24" s="390"/>
      <c r="SW24" s="390"/>
      <c r="SX24" s="390"/>
      <c r="SY24" s="390"/>
      <c r="SZ24" s="390"/>
      <c r="TA24" s="390"/>
      <c r="TB24" s="390"/>
      <c r="TC24" s="390"/>
      <c r="TD24" s="390"/>
      <c r="TE24" s="390"/>
      <c r="TF24" s="390"/>
      <c r="TG24" s="390"/>
      <c r="TH24" s="390"/>
      <c r="TI24" s="390"/>
      <c r="TJ24" s="390"/>
      <c r="TK24" s="390"/>
      <c r="TL24" s="390"/>
      <c r="TM24" s="390"/>
      <c r="TN24" s="390"/>
      <c r="TO24" s="390"/>
      <c r="TP24" s="390"/>
      <c r="TQ24" s="390"/>
      <c r="TR24" s="390"/>
      <c r="TS24" s="390"/>
      <c r="TT24" s="390"/>
      <c r="TU24" s="390"/>
      <c r="TV24" s="390"/>
      <c r="TW24" s="390"/>
      <c r="TX24" s="390"/>
      <c r="TY24" s="390"/>
      <c r="TZ24" s="390"/>
      <c r="UA24" s="390"/>
      <c r="UB24" s="390"/>
      <c r="UC24" s="390"/>
      <c r="UD24" s="390"/>
      <c r="UE24" s="390"/>
      <c r="UF24" s="390"/>
      <c r="UG24" s="390"/>
      <c r="UH24" s="390"/>
      <c r="UI24" s="390"/>
      <c r="UJ24" s="390"/>
      <c r="UK24" s="390"/>
      <c r="UL24" s="390"/>
      <c r="UM24" s="390"/>
      <c r="UN24" s="390"/>
      <c r="UO24" s="390"/>
      <c r="UP24" s="390"/>
      <c r="UQ24" s="390"/>
      <c r="UR24" s="390"/>
      <c r="US24" s="390"/>
      <c r="UT24" s="390"/>
      <c r="UU24" s="390"/>
      <c r="UV24" s="390"/>
      <c r="UW24" s="390"/>
      <c r="UX24" s="390"/>
      <c r="UY24" s="390"/>
      <c r="UZ24" s="390"/>
      <c r="VA24" s="390"/>
      <c r="VB24" s="390"/>
      <c r="VC24" s="390"/>
      <c r="VD24" s="390"/>
      <c r="VE24" s="390"/>
      <c r="VF24" s="390"/>
      <c r="VG24" s="390"/>
      <c r="VH24" s="390"/>
      <c r="VI24" s="390"/>
      <c r="VJ24" s="390"/>
      <c r="VK24" s="390"/>
      <c r="VL24" s="390"/>
      <c r="VM24" s="390"/>
      <c r="VN24" s="390"/>
      <c r="VO24" s="390"/>
      <c r="VP24" s="390"/>
      <c r="VQ24" s="390"/>
      <c r="VR24" s="390"/>
      <c r="VS24" s="390"/>
      <c r="VT24" s="390"/>
      <c r="VU24" s="390"/>
      <c r="VV24" s="390"/>
      <c r="VW24" s="390"/>
      <c r="VX24" s="390"/>
      <c r="VY24" s="390"/>
      <c r="VZ24" s="390"/>
      <c r="WA24" s="390"/>
      <c r="WB24" s="390"/>
      <c r="WC24" s="390"/>
      <c r="WD24" s="390"/>
      <c r="WE24" s="390"/>
      <c r="WF24" s="390"/>
      <c r="WG24" s="390"/>
      <c r="WH24" s="390"/>
      <c r="WI24" s="390"/>
      <c r="WJ24" s="390"/>
      <c r="WK24" s="390"/>
      <c r="WL24" s="390"/>
      <c r="WM24" s="390"/>
      <c r="WN24" s="390"/>
      <c r="WO24" s="390"/>
      <c r="WP24" s="390"/>
      <c r="WQ24" s="390"/>
      <c r="WR24" s="390"/>
      <c r="WS24" s="390"/>
      <c r="WT24" s="390"/>
      <c r="WU24" s="390"/>
      <c r="WV24" s="390"/>
      <c r="WW24" s="390"/>
      <c r="WX24" s="390"/>
      <c r="WY24" s="390"/>
      <c r="WZ24" s="390"/>
      <c r="XA24" s="390"/>
      <c r="XB24" s="390"/>
      <c r="XC24" s="390"/>
      <c r="XD24" s="390"/>
      <c r="XE24" s="390"/>
      <c r="XF24" s="390"/>
      <c r="XG24" s="390"/>
      <c r="XH24" s="390"/>
      <c r="XI24" s="390"/>
      <c r="XJ24" s="390"/>
      <c r="XK24" s="390"/>
      <c r="XL24" s="390"/>
      <c r="XM24" s="390"/>
      <c r="XN24" s="390"/>
      <c r="XO24" s="390"/>
      <c r="XP24" s="390"/>
      <c r="XQ24" s="390"/>
      <c r="XR24" s="390"/>
      <c r="XS24" s="390"/>
      <c r="XT24" s="390"/>
      <c r="XU24" s="390"/>
      <c r="XV24" s="390"/>
      <c r="XW24" s="390"/>
      <c r="XX24" s="390"/>
      <c r="XY24" s="390"/>
      <c r="XZ24" s="390"/>
      <c r="YA24" s="390"/>
      <c r="YB24" s="390"/>
      <c r="YC24" s="390"/>
      <c r="YD24" s="390"/>
      <c r="YE24" s="390"/>
      <c r="YF24" s="390"/>
      <c r="YG24" s="390"/>
      <c r="YH24" s="390"/>
      <c r="YI24" s="390"/>
      <c r="YJ24" s="390"/>
      <c r="YK24" s="390"/>
      <c r="YL24" s="390"/>
      <c r="YM24" s="390"/>
      <c r="YN24" s="390"/>
      <c r="YO24" s="390"/>
      <c r="YP24" s="390"/>
      <c r="YQ24" s="390"/>
      <c r="YR24" s="390"/>
      <c r="YS24" s="390"/>
      <c r="YT24" s="390"/>
      <c r="YU24" s="390"/>
      <c r="YV24" s="390"/>
      <c r="YW24" s="390"/>
      <c r="YX24" s="390"/>
      <c r="YY24" s="390"/>
      <c r="YZ24" s="390"/>
      <c r="ZA24" s="390"/>
      <c r="ZB24" s="390"/>
      <c r="ZC24" s="390"/>
      <c r="ZD24" s="390"/>
      <c r="ZE24" s="390"/>
      <c r="ZF24" s="390"/>
      <c r="ZG24" s="390"/>
      <c r="ZH24" s="390"/>
      <c r="ZI24" s="390"/>
      <c r="ZJ24" s="390"/>
      <c r="ZK24" s="390"/>
      <c r="ZL24" s="390"/>
      <c r="ZM24" s="390"/>
      <c r="ZN24" s="390"/>
      <c r="ZO24" s="390"/>
      <c r="ZP24" s="390"/>
      <c r="ZQ24" s="390"/>
      <c r="ZR24" s="390"/>
      <c r="ZS24" s="390"/>
      <c r="ZT24" s="390"/>
      <c r="ZU24" s="390"/>
      <c r="ZV24" s="390"/>
      <c r="ZW24" s="390"/>
      <c r="ZX24" s="390"/>
      <c r="ZY24" s="390"/>
      <c r="ZZ24" s="390"/>
      <c r="AAA24" s="390"/>
      <c r="AAB24" s="390"/>
      <c r="AAC24" s="390"/>
      <c r="AAD24" s="390"/>
      <c r="AAE24" s="390"/>
      <c r="AAF24" s="390"/>
      <c r="AAG24" s="390"/>
      <c r="AAH24" s="390"/>
      <c r="AAI24" s="390"/>
      <c r="AAJ24" s="390"/>
      <c r="AAK24" s="390"/>
      <c r="AAL24" s="390"/>
      <c r="AAM24" s="390"/>
      <c r="AAN24" s="390"/>
      <c r="AAO24" s="390"/>
      <c r="AAP24" s="390"/>
      <c r="AAQ24" s="390"/>
      <c r="AAR24" s="390"/>
      <c r="AAS24" s="390"/>
      <c r="AAT24" s="390"/>
      <c r="AAU24" s="390"/>
      <c r="AAV24" s="390"/>
      <c r="AAW24" s="390"/>
      <c r="AAX24" s="390"/>
      <c r="AAY24" s="390"/>
      <c r="AAZ24" s="390"/>
      <c r="ABA24" s="390"/>
      <c r="ABB24" s="390"/>
      <c r="ABC24" s="390"/>
      <c r="ABD24" s="390"/>
      <c r="ABE24" s="390"/>
      <c r="ABF24" s="390"/>
      <c r="ABG24" s="390"/>
      <c r="ABH24" s="390"/>
      <c r="ABI24" s="390"/>
      <c r="ABJ24" s="390"/>
      <c r="ABK24" s="390"/>
      <c r="ABL24" s="390"/>
      <c r="ABM24" s="390"/>
      <c r="ABN24" s="390"/>
      <c r="ABO24" s="390"/>
      <c r="ABP24" s="390"/>
      <c r="ABQ24" s="390"/>
      <c r="ABR24" s="390"/>
      <c r="ABS24" s="390"/>
      <c r="ABT24" s="390"/>
      <c r="ABU24" s="390"/>
      <c r="ABV24" s="390"/>
      <c r="ABW24" s="390"/>
      <c r="ABX24" s="390"/>
      <c r="ABY24" s="390"/>
      <c r="ABZ24" s="390"/>
      <c r="ACA24" s="390"/>
      <c r="ACB24" s="390"/>
      <c r="ACC24" s="390"/>
      <c r="ACD24" s="390"/>
      <c r="ACE24" s="390"/>
      <c r="ACF24" s="390"/>
      <c r="ACG24" s="390"/>
      <c r="ACH24" s="390"/>
      <c r="ACI24" s="390"/>
    </row>
    <row r="25" spans="1:763" ht="13.95" customHeight="1" x14ac:dyDescent="0.3">
      <c r="A25" s="390"/>
      <c r="B25" s="390"/>
      <c r="C25" s="390"/>
      <c r="D25" s="390"/>
      <c r="E25" s="390"/>
      <c r="F25" s="390"/>
      <c r="G25" s="390"/>
      <c r="H25" s="396"/>
      <c r="I25" s="390"/>
      <c r="J25" s="390"/>
      <c r="K25" s="390"/>
      <c r="L25" s="390"/>
      <c r="M25" s="390"/>
      <c r="N25" s="390"/>
      <c r="O25" s="390"/>
      <c r="P25" s="390"/>
      <c r="Q25" s="390"/>
      <c r="R25" s="390"/>
      <c r="S25" s="390"/>
      <c r="T25" s="390"/>
      <c r="U25" s="390"/>
      <c r="V25" s="390"/>
      <c r="W25" s="390"/>
      <c r="X25" s="390"/>
      <c r="Y25" s="390"/>
      <c r="Z25" s="390"/>
      <c r="AA25" s="390"/>
      <c r="AB25" s="390"/>
      <c r="AC25" s="390"/>
      <c r="AD25" s="390"/>
      <c r="AE25" s="390"/>
      <c r="AF25" s="390"/>
      <c r="AG25" s="390"/>
      <c r="AH25" s="390"/>
      <c r="AI25" s="390"/>
      <c r="AJ25" s="390"/>
      <c r="AK25" s="390"/>
      <c r="AL25" s="390"/>
      <c r="AM25" s="390"/>
      <c r="AN25" s="390"/>
      <c r="AO25" s="390"/>
      <c r="AP25" s="390"/>
      <c r="AQ25" s="390"/>
      <c r="AR25" s="390"/>
      <c r="AS25" s="390"/>
      <c r="AT25" s="390"/>
      <c r="AU25" s="390"/>
      <c r="AV25" s="390"/>
      <c r="AW25" s="390"/>
      <c r="AX25" s="390"/>
      <c r="AY25" s="390"/>
      <c r="AZ25" s="390"/>
      <c r="BA25" s="390"/>
      <c r="BB25" s="390"/>
      <c r="BC25" s="390"/>
      <c r="BD25" s="390"/>
      <c r="BE25" s="390"/>
      <c r="BF25" s="390"/>
      <c r="BG25" s="390"/>
      <c r="BH25" s="390"/>
      <c r="BI25" s="390"/>
      <c r="BJ25" s="390"/>
      <c r="BK25" s="390"/>
      <c r="BL25" s="390"/>
      <c r="BM25" s="390"/>
      <c r="BN25" s="390"/>
      <c r="BO25" s="390"/>
      <c r="BP25" s="390"/>
      <c r="BQ25" s="390"/>
      <c r="BR25" s="390"/>
      <c r="BS25" s="390"/>
      <c r="BT25" s="390"/>
      <c r="BU25" s="390"/>
      <c r="BV25" s="390"/>
      <c r="BW25" s="390"/>
      <c r="BX25" s="390"/>
      <c r="BY25" s="390"/>
      <c r="BZ25" s="390"/>
      <c r="CA25" s="390"/>
      <c r="CB25" s="390"/>
      <c r="CC25" s="390"/>
      <c r="CD25" s="390"/>
      <c r="CE25" s="390"/>
      <c r="CF25" s="390"/>
      <c r="CG25" s="390"/>
      <c r="CH25" s="390"/>
      <c r="CI25" s="390"/>
      <c r="CJ25" s="390"/>
      <c r="CK25" s="390"/>
      <c r="CL25" s="390"/>
      <c r="CM25" s="390"/>
      <c r="CN25" s="390"/>
      <c r="CO25" s="390"/>
      <c r="CP25" s="390"/>
      <c r="CQ25" s="390"/>
      <c r="CR25" s="390"/>
      <c r="CS25" s="390"/>
      <c r="CT25" s="390"/>
      <c r="CU25" s="390"/>
      <c r="CV25" s="390"/>
      <c r="CW25" s="390"/>
      <c r="CX25" s="390"/>
      <c r="CY25" s="390"/>
      <c r="CZ25" s="390"/>
      <c r="DA25" s="390"/>
      <c r="DB25" s="390"/>
      <c r="DC25" s="390"/>
      <c r="DD25" s="390"/>
      <c r="DE25" s="390"/>
      <c r="DF25" s="390"/>
      <c r="DG25" s="390"/>
      <c r="DH25" s="390"/>
      <c r="DI25" s="390"/>
      <c r="DJ25" s="390"/>
      <c r="DK25" s="390"/>
      <c r="DL25" s="390"/>
      <c r="DM25" s="390"/>
      <c r="DN25" s="390"/>
      <c r="DO25" s="390"/>
      <c r="DP25" s="390"/>
      <c r="DQ25" s="390"/>
      <c r="DR25" s="390"/>
      <c r="DS25" s="390"/>
      <c r="DT25" s="390"/>
      <c r="DU25" s="390"/>
      <c r="DV25" s="390"/>
      <c r="DW25" s="390"/>
      <c r="DX25" s="390"/>
      <c r="DY25" s="390"/>
      <c r="DZ25" s="390"/>
      <c r="EA25" s="390"/>
      <c r="EB25" s="390"/>
      <c r="EC25" s="390"/>
      <c r="ED25" s="390"/>
      <c r="EE25" s="390"/>
      <c r="EF25" s="390"/>
      <c r="EG25" s="390"/>
      <c r="EH25" s="390"/>
      <c r="EI25" s="390"/>
      <c r="EJ25" s="390"/>
      <c r="EK25" s="390"/>
      <c r="EL25" s="390"/>
      <c r="EM25" s="390"/>
      <c r="EN25" s="390"/>
      <c r="EO25" s="390"/>
      <c r="EP25" s="390"/>
      <c r="EQ25" s="390"/>
      <c r="ER25" s="390"/>
      <c r="ES25" s="390"/>
      <c r="ET25" s="390"/>
      <c r="EU25" s="390"/>
      <c r="EV25" s="390"/>
      <c r="EW25" s="390"/>
      <c r="EX25" s="390"/>
      <c r="EY25" s="390"/>
      <c r="EZ25" s="390"/>
      <c r="FA25" s="390"/>
      <c r="FB25" s="390"/>
      <c r="FC25" s="390"/>
      <c r="FD25" s="390"/>
      <c r="FE25" s="390"/>
      <c r="FF25" s="390"/>
      <c r="FG25" s="390"/>
      <c r="FH25" s="390"/>
      <c r="FI25" s="390"/>
      <c r="FJ25" s="390"/>
      <c r="FK25" s="390"/>
      <c r="FL25" s="390"/>
      <c r="FM25" s="390"/>
      <c r="FN25" s="390"/>
      <c r="FO25" s="390"/>
      <c r="FP25" s="390"/>
      <c r="FQ25" s="390"/>
      <c r="FR25" s="390"/>
      <c r="FS25" s="390"/>
      <c r="FT25" s="390"/>
      <c r="FU25" s="390"/>
      <c r="FV25" s="390"/>
      <c r="FW25" s="390"/>
      <c r="FX25" s="390"/>
      <c r="FY25" s="390"/>
      <c r="FZ25" s="390"/>
      <c r="GA25" s="390"/>
      <c r="GB25" s="390"/>
      <c r="GC25" s="390"/>
      <c r="GD25" s="390"/>
      <c r="GE25" s="390"/>
      <c r="GF25" s="390"/>
      <c r="GG25" s="390"/>
      <c r="GH25" s="390"/>
      <c r="GI25" s="390"/>
      <c r="GJ25" s="390"/>
      <c r="GK25" s="390"/>
      <c r="GL25" s="390"/>
      <c r="GM25" s="390"/>
      <c r="GN25" s="390"/>
      <c r="GO25" s="390"/>
      <c r="GP25" s="390"/>
      <c r="GQ25" s="390"/>
      <c r="GR25" s="390"/>
      <c r="GS25" s="390"/>
      <c r="GT25" s="390"/>
      <c r="GU25" s="390"/>
      <c r="GV25" s="390"/>
      <c r="GW25" s="390"/>
      <c r="GX25" s="390"/>
      <c r="GY25" s="390"/>
      <c r="GZ25" s="390"/>
      <c r="HA25" s="390"/>
      <c r="HB25" s="390"/>
      <c r="HC25" s="390"/>
      <c r="HD25" s="390"/>
      <c r="HE25" s="390"/>
      <c r="HF25" s="390"/>
      <c r="HG25" s="390"/>
      <c r="HH25" s="390"/>
      <c r="HI25" s="390"/>
      <c r="HJ25" s="390"/>
      <c r="HK25" s="390"/>
      <c r="HL25" s="390"/>
      <c r="HM25" s="390"/>
      <c r="HN25" s="390"/>
      <c r="HO25" s="390"/>
      <c r="HP25" s="390"/>
      <c r="HQ25" s="390"/>
      <c r="HR25" s="390"/>
      <c r="HS25" s="390"/>
      <c r="HT25" s="390"/>
      <c r="HU25" s="390"/>
      <c r="HV25" s="390"/>
      <c r="HW25" s="390"/>
      <c r="HX25" s="390"/>
      <c r="HY25" s="390"/>
      <c r="HZ25" s="390"/>
      <c r="IA25" s="390"/>
      <c r="IB25" s="390"/>
      <c r="IC25" s="390"/>
      <c r="ID25" s="390"/>
      <c r="IE25" s="390"/>
      <c r="IF25" s="390"/>
      <c r="IG25" s="390"/>
      <c r="IH25" s="390"/>
      <c r="II25" s="390"/>
      <c r="IJ25" s="390"/>
      <c r="IK25" s="390"/>
      <c r="IL25" s="390"/>
      <c r="IM25" s="390"/>
      <c r="IN25" s="390"/>
      <c r="IO25" s="390"/>
      <c r="IP25" s="390"/>
      <c r="IQ25" s="390"/>
      <c r="IR25" s="390"/>
      <c r="IS25" s="390"/>
      <c r="IT25" s="390"/>
      <c r="IU25" s="390"/>
      <c r="IV25" s="390"/>
      <c r="IW25" s="390"/>
      <c r="IX25" s="390"/>
      <c r="IY25" s="390"/>
      <c r="IZ25" s="390"/>
      <c r="JA25" s="390"/>
      <c r="JB25" s="390"/>
      <c r="JC25" s="390"/>
      <c r="JD25" s="390"/>
      <c r="JE25" s="390"/>
      <c r="JF25" s="390"/>
      <c r="JG25" s="390"/>
      <c r="JH25" s="390"/>
      <c r="JI25" s="390"/>
      <c r="JJ25" s="390"/>
      <c r="JK25" s="390"/>
      <c r="JL25" s="390"/>
      <c r="JM25" s="390"/>
      <c r="JN25" s="390"/>
      <c r="JO25" s="390"/>
      <c r="JP25" s="390"/>
      <c r="JQ25" s="390"/>
      <c r="JR25" s="390"/>
      <c r="JS25" s="390"/>
      <c r="JT25" s="390"/>
      <c r="JU25" s="390"/>
      <c r="JV25" s="390"/>
      <c r="JW25" s="390"/>
      <c r="JX25" s="390"/>
      <c r="JY25" s="390"/>
      <c r="JZ25" s="390"/>
      <c r="KA25" s="390"/>
      <c r="KB25" s="390"/>
      <c r="KC25" s="390"/>
      <c r="KD25" s="390"/>
      <c r="KE25" s="390"/>
      <c r="KF25" s="390"/>
      <c r="KG25" s="390"/>
      <c r="KH25" s="390"/>
      <c r="KI25" s="390"/>
      <c r="KJ25" s="390"/>
      <c r="KK25" s="390"/>
      <c r="KL25" s="390"/>
      <c r="KM25" s="390"/>
      <c r="KN25" s="390"/>
      <c r="KO25" s="390"/>
      <c r="KP25" s="390"/>
      <c r="KQ25" s="390"/>
      <c r="KR25" s="390"/>
      <c r="KS25" s="390"/>
      <c r="KT25" s="390"/>
      <c r="KU25" s="390"/>
      <c r="KV25" s="390"/>
      <c r="KW25" s="390"/>
      <c r="KX25" s="390"/>
      <c r="KY25" s="390"/>
      <c r="KZ25" s="390"/>
      <c r="LA25" s="390"/>
      <c r="LB25" s="390"/>
      <c r="LC25" s="390"/>
      <c r="LD25" s="390"/>
      <c r="LE25" s="390"/>
      <c r="LF25" s="390"/>
      <c r="LG25" s="390"/>
      <c r="LH25" s="390"/>
      <c r="LI25" s="390"/>
      <c r="LJ25" s="390"/>
      <c r="LK25" s="390"/>
      <c r="LL25" s="390"/>
      <c r="LM25" s="390"/>
      <c r="LN25" s="390"/>
      <c r="LO25" s="390"/>
      <c r="LP25" s="390"/>
      <c r="LQ25" s="390"/>
      <c r="LR25" s="390"/>
      <c r="LS25" s="390"/>
      <c r="LT25" s="390"/>
      <c r="LU25" s="390"/>
      <c r="LV25" s="390"/>
      <c r="LW25" s="390"/>
      <c r="LX25" s="390"/>
      <c r="LY25" s="390"/>
      <c r="LZ25" s="390"/>
      <c r="MA25" s="390"/>
      <c r="MB25" s="390"/>
      <c r="MC25" s="390"/>
      <c r="MD25" s="390"/>
      <c r="ME25" s="390"/>
      <c r="MF25" s="390"/>
      <c r="MG25" s="390"/>
      <c r="MH25" s="390"/>
      <c r="MI25" s="390"/>
      <c r="MJ25" s="390"/>
      <c r="MK25" s="390"/>
      <c r="ML25" s="390"/>
      <c r="MM25" s="390"/>
      <c r="MN25" s="390"/>
      <c r="MO25" s="390"/>
      <c r="MP25" s="390"/>
      <c r="MQ25" s="390"/>
      <c r="MR25" s="390"/>
      <c r="MS25" s="390"/>
      <c r="MT25" s="390"/>
      <c r="MU25" s="390"/>
      <c r="MV25" s="390"/>
      <c r="MW25" s="390"/>
      <c r="MX25" s="390"/>
      <c r="MY25" s="390"/>
      <c r="MZ25" s="390"/>
      <c r="NA25" s="390"/>
      <c r="NB25" s="390"/>
      <c r="NC25" s="390"/>
      <c r="ND25" s="390"/>
      <c r="NE25" s="390"/>
      <c r="NF25" s="390"/>
      <c r="NG25" s="390"/>
      <c r="NH25" s="390"/>
      <c r="NI25" s="390"/>
      <c r="NJ25" s="390"/>
      <c r="NK25" s="390"/>
      <c r="NL25" s="390"/>
      <c r="NM25" s="390"/>
      <c r="NN25" s="390"/>
      <c r="NO25" s="390"/>
      <c r="NP25" s="390"/>
      <c r="NQ25" s="390"/>
      <c r="NR25" s="390"/>
      <c r="NS25" s="390"/>
      <c r="NT25" s="390"/>
      <c r="NU25" s="390"/>
      <c r="NV25" s="390"/>
      <c r="NW25" s="390"/>
      <c r="NX25" s="390"/>
      <c r="NY25" s="390"/>
      <c r="NZ25" s="390"/>
      <c r="OA25" s="390"/>
      <c r="OB25" s="390"/>
      <c r="OC25" s="390"/>
      <c r="OD25" s="390"/>
      <c r="OE25" s="390"/>
      <c r="OF25" s="390"/>
      <c r="OG25" s="390"/>
      <c r="OH25" s="390"/>
      <c r="OI25" s="390"/>
      <c r="OJ25" s="390"/>
      <c r="OK25" s="390"/>
      <c r="OL25" s="390"/>
      <c r="OM25" s="390"/>
      <c r="ON25" s="390"/>
      <c r="OO25" s="390"/>
      <c r="OP25" s="390"/>
      <c r="OQ25" s="390"/>
      <c r="OR25" s="390"/>
      <c r="OS25" s="390"/>
      <c r="OT25" s="390"/>
      <c r="OU25" s="390"/>
      <c r="OV25" s="390"/>
      <c r="OW25" s="390"/>
      <c r="OX25" s="390"/>
      <c r="OY25" s="390"/>
      <c r="OZ25" s="390"/>
      <c r="PA25" s="390"/>
      <c r="PB25" s="390"/>
      <c r="PC25" s="390"/>
      <c r="PD25" s="390"/>
      <c r="PE25" s="390"/>
      <c r="PF25" s="390"/>
      <c r="PG25" s="390"/>
      <c r="PH25" s="390"/>
      <c r="PI25" s="390"/>
      <c r="PJ25" s="390"/>
      <c r="PK25" s="390"/>
      <c r="PL25" s="390"/>
      <c r="PM25" s="390"/>
      <c r="PN25" s="390"/>
      <c r="PO25" s="390"/>
      <c r="PP25" s="390"/>
      <c r="PQ25" s="390"/>
      <c r="PR25" s="390"/>
      <c r="PS25" s="390"/>
      <c r="PT25" s="390"/>
      <c r="PU25" s="390"/>
      <c r="PV25" s="390"/>
      <c r="PW25" s="390"/>
      <c r="PX25" s="390"/>
      <c r="PY25" s="390"/>
      <c r="PZ25" s="390"/>
      <c r="QA25" s="390"/>
      <c r="QB25" s="390"/>
      <c r="QC25" s="390"/>
      <c r="QD25" s="390"/>
      <c r="QE25" s="390"/>
      <c r="QF25" s="390"/>
      <c r="QG25" s="390"/>
      <c r="QH25" s="390"/>
      <c r="QI25" s="390"/>
      <c r="QJ25" s="390"/>
      <c r="QK25" s="390"/>
      <c r="QL25" s="390"/>
      <c r="QM25" s="390"/>
      <c r="QN25" s="390"/>
      <c r="QO25" s="390"/>
      <c r="QP25" s="390"/>
      <c r="QQ25" s="390"/>
      <c r="QR25" s="390"/>
      <c r="QS25" s="390"/>
      <c r="QT25" s="390"/>
      <c r="QU25" s="390"/>
      <c r="QV25" s="390"/>
      <c r="QW25" s="390"/>
      <c r="QX25" s="390"/>
      <c r="QY25" s="390"/>
      <c r="QZ25" s="390"/>
      <c r="RA25" s="390"/>
      <c r="RB25" s="390"/>
      <c r="RC25" s="390"/>
      <c r="RD25" s="390"/>
      <c r="RE25" s="390"/>
      <c r="RF25" s="390"/>
      <c r="RG25" s="390"/>
      <c r="RH25" s="390"/>
      <c r="RI25" s="390"/>
      <c r="RJ25" s="390"/>
      <c r="RK25" s="390"/>
      <c r="RL25" s="390"/>
      <c r="RM25" s="390"/>
      <c r="RN25" s="390"/>
      <c r="RO25" s="390"/>
      <c r="RP25" s="390"/>
      <c r="RQ25" s="390"/>
      <c r="RR25" s="390"/>
      <c r="RS25" s="390"/>
      <c r="RT25" s="390"/>
      <c r="RU25" s="390"/>
      <c r="RV25" s="390"/>
      <c r="RW25" s="390"/>
      <c r="RX25" s="390"/>
      <c r="RY25" s="390"/>
      <c r="RZ25" s="390"/>
      <c r="SA25" s="390"/>
      <c r="SB25" s="390"/>
      <c r="SC25" s="390"/>
      <c r="SD25" s="390"/>
      <c r="SE25" s="390"/>
      <c r="SF25" s="390"/>
      <c r="SG25" s="390"/>
      <c r="SH25" s="390"/>
      <c r="SI25" s="390"/>
      <c r="SJ25" s="390"/>
      <c r="SK25" s="390"/>
      <c r="SL25" s="390"/>
      <c r="SM25" s="390"/>
      <c r="SN25" s="390"/>
      <c r="SO25" s="390"/>
      <c r="SP25" s="390"/>
      <c r="SQ25" s="390"/>
      <c r="SR25" s="390"/>
      <c r="SS25" s="390"/>
      <c r="ST25" s="390"/>
      <c r="SU25" s="390"/>
      <c r="SV25" s="390"/>
      <c r="SW25" s="390"/>
      <c r="SX25" s="390"/>
      <c r="SY25" s="390"/>
      <c r="SZ25" s="390"/>
      <c r="TA25" s="390"/>
      <c r="TB25" s="390"/>
      <c r="TC25" s="390"/>
      <c r="TD25" s="390"/>
      <c r="TE25" s="390"/>
      <c r="TF25" s="390"/>
      <c r="TG25" s="390"/>
      <c r="TH25" s="390"/>
      <c r="TI25" s="390"/>
      <c r="TJ25" s="390"/>
      <c r="TK25" s="390"/>
      <c r="TL25" s="390"/>
      <c r="TM25" s="390"/>
      <c r="TN25" s="390"/>
      <c r="TO25" s="390"/>
      <c r="TP25" s="390"/>
      <c r="TQ25" s="390"/>
      <c r="TR25" s="390"/>
      <c r="TS25" s="390"/>
      <c r="TT25" s="390"/>
      <c r="TU25" s="390"/>
      <c r="TV25" s="390"/>
      <c r="TW25" s="390"/>
      <c r="TX25" s="390"/>
      <c r="TY25" s="390"/>
      <c r="TZ25" s="390"/>
      <c r="UA25" s="390"/>
      <c r="UB25" s="390"/>
      <c r="UC25" s="390"/>
      <c r="UD25" s="390"/>
      <c r="UE25" s="390"/>
      <c r="UF25" s="390"/>
      <c r="UG25" s="390"/>
      <c r="UH25" s="390"/>
      <c r="UI25" s="390"/>
      <c r="UJ25" s="390"/>
      <c r="UK25" s="390"/>
      <c r="UL25" s="390"/>
      <c r="UM25" s="390"/>
      <c r="UN25" s="390"/>
      <c r="UO25" s="390"/>
      <c r="UP25" s="390"/>
      <c r="UQ25" s="390"/>
      <c r="UR25" s="390"/>
      <c r="US25" s="390"/>
      <c r="UT25" s="390"/>
      <c r="UU25" s="390"/>
      <c r="UV25" s="390"/>
      <c r="UW25" s="390"/>
      <c r="UX25" s="390"/>
      <c r="UY25" s="390"/>
      <c r="UZ25" s="390"/>
      <c r="VA25" s="390"/>
      <c r="VB25" s="390"/>
      <c r="VC25" s="390"/>
      <c r="VD25" s="390"/>
      <c r="VE25" s="390"/>
      <c r="VF25" s="390"/>
      <c r="VG25" s="390"/>
      <c r="VH25" s="390"/>
      <c r="VI25" s="390"/>
      <c r="VJ25" s="390"/>
      <c r="VK25" s="390"/>
      <c r="VL25" s="390"/>
      <c r="VM25" s="390"/>
      <c r="VN25" s="390"/>
      <c r="VO25" s="390"/>
      <c r="VP25" s="390"/>
      <c r="VQ25" s="390"/>
      <c r="VR25" s="390"/>
      <c r="VS25" s="390"/>
      <c r="VT25" s="390"/>
      <c r="VU25" s="390"/>
      <c r="VV25" s="390"/>
      <c r="VW25" s="390"/>
      <c r="VX25" s="390"/>
      <c r="VY25" s="390"/>
      <c r="VZ25" s="390"/>
      <c r="WA25" s="390"/>
      <c r="WB25" s="390"/>
      <c r="WC25" s="390"/>
      <c r="WD25" s="390"/>
      <c r="WE25" s="390"/>
      <c r="WF25" s="390"/>
      <c r="WG25" s="390"/>
      <c r="WH25" s="390"/>
      <c r="WI25" s="390"/>
      <c r="WJ25" s="390"/>
      <c r="WK25" s="390"/>
      <c r="WL25" s="390"/>
      <c r="WM25" s="390"/>
      <c r="WN25" s="390"/>
      <c r="WO25" s="390"/>
      <c r="WP25" s="390"/>
      <c r="WQ25" s="390"/>
      <c r="WR25" s="390"/>
      <c r="WS25" s="390"/>
      <c r="WT25" s="390"/>
      <c r="WU25" s="390"/>
      <c r="WV25" s="390"/>
      <c r="WW25" s="390"/>
      <c r="WX25" s="390"/>
      <c r="WY25" s="390"/>
      <c r="WZ25" s="390"/>
      <c r="XA25" s="390"/>
      <c r="XB25" s="390"/>
      <c r="XC25" s="390"/>
      <c r="XD25" s="390"/>
      <c r="XE25" s="390"/>
      <c r="XF25" s="390"/>
      <c r="XG25" s="390"/>
      <c r="XH25" s="390"/>
      <c r="XI25" s="390"/>
      <c r="XJ25" s="390"/>
      <c r="XK25" s="390"/>
      <c r="XL25" s="390"/>
      <c r="XM25" s="390"/>
      <c r="XN25" s="390"/>
      <c r="XO25" s="390"/>
      <c r="XP25" s="390"/>
      <c r="XQ25" s="390"/>
      <c r="XR25" s="390"/>
      <c r="XS25" s="390"/>
      <c r="XT25" s="390"/>
      <c r="XU25" s="390"/>
      <c r="XV25" s="390"/>
      <c r="XW25" s="390"/>
      <c r="XX25" s="390"/>
      <c r="XY25" s="390"/>
      <c r="XZ25" s="390"/>
      <c r="YA25" s="390"/>
      <c r="YB25" s="390"/>
      <c r="YC25" s="390"/>
      <c r="YD25" s="390"/>
      <c r="YE25" s="390"/>
      <c r="YF25" s="390"/>
      <c r="YG25" s="390"/>
      <c r="YH25" s="390"/>
      <c r="YI25" s="390"/>
      <c r="YJ25" s="390"/>
      <c r="YK25" s="390"/>
      <c r="YL25" s="390"/>
      <c r="YM25" s="390"/>
      <c r="YN25" s="390"/>
      <c r="YO25" s="390"/>
      <c r="YP25" s="390"/>
      <c r="YQ25" s="390"/>
      <c r="YR25" s="390"/>
      <c r="YS25" s="390"/>
      <c r="YT25" s="390"/>
      <c r="YU25" s="390"/>
      <c r="YV25" s="390"/>
      <c r="YW25" s="390"/>
      <c r="YX25" s="390"/>
      <c r="YY25" s="390"/>
      <c r="YZ25" s="390"/>
      <c r="ZA25" s="390"/>
      <c r="ZB25" s="390"/>
      <c r="ZC25" s="390"/>
      <c r="ZD25" s="390"/>
      <c r="ZE25" s="390"/>
      <c r="ZF25" s="390"/>
      <c r="ZG25" s="390"/>
      <c r="ZH25" s="390"/>
      <c r="ZI25" s="390"/>
      <c r="ZJ25" s="390"/>
      <c r="ZK25" s="390"/>
      <c r="ZL25" s="390"/>
      <c r="ZM25" s="390"/>
      <c r="ZN25" s="390"/>
      <c r="ZO25" s="390"/>
      <c r="ZP25" s="390"/>
      <c r="ZQ25" s="390"/>
      <c r="ZR25" s="390"/>
      <c r="ZS25" s="390"/>
      <c r="ZT25" s="390"/>
      <c r="ZU25" s="390"/>
      <c r="ZV25" s="390"/>
      <c r="ZW25" s="390"/>
      <c r="ZX25" s="390"/>
      <c r="ZY25" s="390"/>
      <c r="ZZ25" s="390"/>
      <c r="AAA25" s="390"/>
      <c r="AAB25" s="390"/>
      <c r="AAC25" s="390"/>
      <c r="AAD25" s="390"/>
      <c r="AAE25" s="390"/>
      <c r="AAF25" s="390"/>
      <c r="AAG25" s="390"/>
      <c r="AAH25" s="390"/>
      <c r="AAI25" s="390"/>
      <c r="AAJ25" s="390"/>
      <c r="AAK25" s="390"/>
      <c r="AAL25" s="390"/>
      <c r="AAM25" s="390"/>
      <c r="AAN25" s="390"/>
      <c r="AAO25" s="390"/>
      <c r="AAP25" s="390"/>
      <c r="AAQ25" s="390"/>
      <c r="AAR25" s="390"/>
      <c r="AAS25" s="390"/>
      <c r="AAT25" s="390"/>
      <c r="AAU25" s="390"/>
      <c r="AAV25" s="390"/>
      <c r="AAW25" s="390"/>
      <c r="AAX25" s="390"/>
      <c r="AAY25" s="390"/>
      <c r="AAZ25" s="390"/>
      <c r="ABA25" s="390"/>
      <c r="ABB25" s="390"/>
      <c r="ABC25" s="390"/>
      <c r="ABD25" s="390"/>
      <c r="ABE25" s="390"/>
      <c r="ABF25" s="390"/>
      <c r="ABG25" s="390"/>
      <c r="ABH25" s="390"/>
      <c r="ABI25" s="390"/>
      <c r="ABJ25" s="390"/>
      <c r="ABK25" s="390"/>
      <c r="ABL25" s="390"/>
      <c r="ABM25" s="390"/>
      <c r="ABN25" s="390"/>
      <c r="ABO25" s="390"/>
      <c r="ABP25" s="390"/>
      <c r="ABQ25" s="390"/>
      <c r="ABR25" s="390"/>
      <c r="ABS25" s="390"/>
      <c r="ABT25" s="390"/>
      <c r="ABU25" s="390"/>
      <c r="ABV25" s="390"/>
      <c r="ABW25" s="390"/>
      <c r="ABX25" s="390"/>
      <c r="ABY25" s="390"/>
      <c r="ABZ25" s="390"/>
      <c r="ACA25" s="390"/>
      <c r="ACB25" s="390"/>
      <c r="ACC25" s="390"/>
      <c r="ACD25" s="390"/>
      <c r="ACE25" s="390"/>
      <c r="ACF25" s="390"/>
      <c r="ACG25" s="390"/>
      <c r="ACH25" s="390"/>
      <c r="ACI25" s="390"/>
    </row>
    <row r="26" spans="1:763" ht="13.95" customHeight="1" x14ac:dyDescent="0.3">
      <c r="A26" s="390" t="str">
        <f ca="1">Проект!$A$127</f>
        <v>Итого:</v>
      </c>
      <c r="B26" s="390"/>
      <c r="C26" s="390"/>
      <c r="D26" s="390"/>
      <c r="E26" s="390"/>
      <c r="F26" s="390"/>
      <c r="G26" s="390"/>
      <c r="H26" s="396"/>
      <c r="I26" s="390"/>
      <c r="J26" s="390"/>
      <c r="K26" s="390"/>
      <c r="L26" s="390"/>
      <c r="M26" s="390"/>
      <c r="N26" s="390"/>
      <c r="O26" s="390"/>
      <c r="P26" s="390"/>
      <c r="Q26" s="390"/>
      <c r="R26" s="390"/>
      <c r="S26" s="390"/>
      <c r="T26" s="390"/>
      <c r="U26" s="390"/>
      <c r="V26" s="390"/>
      <c r="W26" s="390"/>
      <c r="X26" s="390"/>
      <c r="Y26" s="390"/>
      <c r="Z26" s="390"/>
      <c r="AA26" s="390"/>
      <c r="AB26" s="390"/>
      <c r="AC26" s="390"/>
      <c r="AD26" s="390"/>
      <c r="AE26" s="390"/>
      <c r="AF26" s="390"/>
      <c r="AG26" s="390"/>
      <c r="AH26" s="390"/>
      <c r="AI26" s="390"/>
      <c r="AJ26" s="390"/>
      <c r="AK26" s="390"/>
      <c r="AL26" s="390"/>
      <c r="AM26" s="390"/>
      <c r="AN26" s="390"/>
      <c r="AO26" s="390"/>
      <c r="AP26" s="390"/>
      <c r="AQ26" s="390"/>
      <c r="AR26" s="390"/>
      <c r="AS26" s="390"/>
      <c r="AT26" s="390"/>
      <c r="AU26" s="390"/>
      <c r="AV26" s="390"/>
      <c r="AW26" s="390"/>
      <c r="AX26" s="390"/>
      <c r="AY26" s="390"/>
      <c r="AZ26" s="390"/>
      <c r="BA26" s="390"/>
      <c r="BB26" s="390"/>
      <c r="BC26" s="390"/>
      <c r="BD26" s="390"/>
      <c r="BE26" s="390"/>
      <c r="BF26" s="390"/>
      <c r="BG26" s="390"/>
      <c r="BH26" s="390"/>
      <c r="BI26" s="390"/>
      <c r="BJ26" s="390"/>
      <c r="BK26" s="390"/>
      <c r="BL26" s="390"/>
      <c r="BM26" s="390"/>
      <c r="BN26" s="390"/>
      <c r="BO26" s="390"/>
      <c r="BP26" s="390"/>
      <c r="BQ26" s="390"/>
      <c r="BR26" s="390"/>
      <c r="BS26" s="390"/>
      <c r="BT26" s="390"/>
      <c r="BU26" s="390"/>
      <c r="BV26" s="390"/>
      <c r="BW26" s="390"/>
      <c r="BX26" s="390"/>
      <c r="BY26" s="390"/>
      <c r="BZ26" s="390"/>
      <c r="CA26" s="390"/>
      <c r="CB26" s="390"/>
      <c r="CC26" s="390"/>
      <c r="CD26" s="390"/>
      <c r="CE26" s="390"/>
      <c r="CF26" s="390"/>
      <c r="CG26" s="390"/>
      <c r="CH26" s="390"/>
      <c r="CI26" s="390"/>
      <c r="CJ26" s="390"/>
      <c r="CK26" s="390"/>
      <c r="CL26" s="390"/>
      <c r="CM26" s="390"/>
      <c r="CN26" s="390"/>
      <c r="CO26" s="390"/>
      <c r="CP26" s="390"/>
      <c r="CQ26" s="390"/>
      <c r="CR26" s="390"/>
      <c r="CS26" s="390"/>
      <c r="CT26" s="390"/>
      <c r="CU26" s="390"/>
      <c r="CV26" s="390"/>
      <c r="CW26" s="390"/>
      <c r="CX26" s="390"/>
      <c r="CY26" s="390"/>
      <c r="CZ26" s="390"/>
      <c r="DA26" s="390"/>
      <c r="DB26" s="390"/>
      <c r="DC26" s="390"/>
      <c r="DD26" s="390"/>
      <c r="DE26" s="390"/>
      <c r="DF26" s="390"/>
      <c r="DG26" s="390"/>
      <c r="DH26" s="390"/>
      <c r="DI26" s="390"/>
      <c r="DJ26" s="390"/>
      <c r="DK26" s="390"/>
      <c r="DL26" s="390"/>
      <c r="DM26" s="390"/>
      <c r="DN26" s="390"/>
      <c r="DO26" s="390"/>
      <c r="DP26" s="390"/>
      <c r="DQ26" s="390"/>
      <c r="DR26" s="390"/>
      <c r="DS26" s="390"/>
      <c r="DT26" s="390"/>
      <c r="DU26" s="390"/>
      <c r="DV26" s="390"/>
      <c r="DW26" s="390"/>
      <c r="DX26" s="390"/>
      <c r="DY26" s="390"/>
      <c r="DZ26" s="390"/>
      <c r="EA26" s="390"/>
      <c r="EB26" s="390"/>
      <c r="EC26" s="390"/>
      <c r="ED26" s="390"/>
      <c r="EE26" s="390"/>
      <c r="EF26" s="390"/>
      <c r="EG26" s="390"/>
      <c r="EH26" s="390"/>
      <c r="EI26" s="390"/>
      <c r="EJ26" s="390"/>
      <c r="EK26" s="390"/>
      <c r="EL26" s="390"/>
      <c r="EM26" s="390"/>
      <c r="EN26" s="390"/>
      <c r="EO26" s="390"/>
      <c r="EP26" s="390"/>
      <c r="EQ26" s="390"/>
      <c r="ER26" s="390"/>
      <c r="ES26" s="390"/>
      <c r="ET26" s="390"/>
      <c r="EU26" s="390"/>
      <c r="EV26" s="390"/>
      <c r="EW26" s="390"/>
      <c r="EX26" s="390"/>
      <c r="EY26" s="390"/>
      <c r="EZ26" s="390"/>
      <c r="FA26" s="390"/>
      <c r="FB26" s="390"/>
      <c r="FC26" s="390"/>
      <c r="FD26" s="390"/>
      <c r="FE26" s="390"/>
      <c r="FF26" s="390"/>
      <c r="FG26" s="390"/>
      <c r="FH26" s="390"/>
      <c r="FI26" s="390"/>
      <c r="FJ26" s="390"/>
      <c r="FK26" s="390"/>
      <c r="FL26" s="390"/>
      <c r="FM26" s="390"/>
      <c r="FN26" s="390"/>
      <c r="FO26" s="390"/>
      <c r="FP26" s="390"/>
      <c r="FQ26" s="390"/>
      <c r="FR26" s="390"/>
      <c r="FS26" s="390"/>
      <c r="FT26" s="390"/>
      <c r="FU26" s="390"/>
      <c r="FV26" s="390"/>
      <c r="FW26" s="390"/>
      <c r="FX26" s="390"/>
      <c r="FY26" s="390"/>
      <c r="FZ26" s="390"/>
      <c r="GA26" s="390"/>
      <c r="GB26" s="390"/>
      <c r="GC26" s="390"/>
      <c r="GD26" s="390"/>
      <c r="GE26" s="390"/>
      <c r="GF26" s="390"/>
      <c r="GG26" s="390"/>
      <c r="GH26" s="390"/>
      <c r="GI26" s="390"/>
      <c r="GJ26" s="390"/>
      <c r="GK26" s="390"/>
      <c r="GL26" s="390"/>
      <c r="GM26" s="390"/>
      <c r="GN26" s="390"/>
      <c r="GO26" s="390"/>
      <c r="GP26" s="390"/>
      <c r="GQ26" s="390"/>
      <c r="GR26" s="390"/>
      <c r="GS26" s="390"/>
      <c r="GT26" s="390"/>
      <c r="GU26" s="390"/>
      <c r="GV26" s="390"/>
      <c r="GW26" s="390"/>
      <c r="GX26" s="390"/>
      <c r="GY26" s="390"/>
      <c r="GZ26" s="390"/>
      <c r="HA26" s="390"/>
      <c r="HB26" s="390"/>
      <c r="HC26" s="390"/>
      <c r="HD26" s="390"/>
      <c r="HE26" s="390"/>
      <c r="HF26" s="390"/>
      <c r="HG26" s="390"/>
      <c r="HH26" s="390"/>
      <c r="HI26" s="390"/>
      <c r="HJ26" s="390"/>
      <c r="HK26" s="390"/>
      <c r="HL26" s="390"/>
      <c r="HM26" s="390"/>
      <c r="HN26" s="390"/>
      <c r="HO26" s="390"/>
      <c r="HP26" s="390"/>
      <c r="HQ26" s="390"/>
      <c r="HR26" s="390"/>
      <c r="HS26" s="390"/>
      <c r="HT26" s="390"/>
      <c r="HU26" s="390"/>
      <c r="HV26" s="390"/>
      <c r="HW26" s="390"/>
      <c r="HX26" s="390"/>
      <c r="HY26" s="390"/>
      <c r="HZ26" s="390"/>
      <c r="IA26" s="390"/>
      <c r="IB26" s="390"/>
      <c r="IC26" s="390"/>
      <c r="ID26" s="390"/>
      <c r="IE26" s="390"/>
      <c r="IF26" s="390"/>
      <c r="IG26" s="390"/>
      <c r="IH26" s="390"/>
      <c r="II26" s="390"/>
      <c r="IJ26" s="390"/>
      <c r="IK26" s="390"/>
      <c r="IL26" s="390"/>
      <c r="IM26" s="390"/>
      <c r="IN26" s="390"/>
      <c r="IO26" s="390"/>
      <c r="IP26" s="390"/>
      <c r="IQ26" s="390"/>
      <c r="IR26" s="390"/>
      <c r="IS26" s="390"/>
      <c r="IT26" s="390"/>
      <c r="IU26" s="390"/>
      <c r="IV26" s="390"/>
      <c r="IW26" s="390"/>
      <c r="IX26" s="390"/>
      <c r="IY26" s="390"/>
      <c r="IZ26" s="390"/>
      <c r="JA26" s="390"/>
      <c r="JB26" s="390"/>
      <c r="JC26" s="390"/>
      <c r="JD26" s="390"/>
      <c r="JE26" s="390"/>
      <c r="JF26" s="390"/>
      <c r="JG26" s="390"/>
      <c r="JH26" s="390"/>
      <c r="JI26" s="390"/>
      <c r="JJ26" s="390"/>
      <c r="JK26" s="390"/>
      <c r="JL26" s="390"/>
      <c r="JM26" s="390"/>
      <c r="JN26" s="390"/>
      <c r="JO26" s="390"/>
      <c r="JP26" s="390"/>
      <c r="JQ26" s="390"/>
      <c r="JR26" s="390"/>
      <c r="JS26" s="390"/>
      <c r="JT26" s="390"/>
      <c r="JU26" s="390"/>
      <c r="JV26" s="390"/>
      <c r="JW26" s="390"/>
      <c r="JX26" s="390"/>
      <c r="JY26" s="390"/>
      <c r="JZ26" s="390"/>
      <c r="KA26" s="390"/>
      <c r="KB26" s="390"/>
      <c r="KC26" s="390"/>
      <c r="KD26" s="390"/>
      <c r="KE26" s="390"/>
      <c r="KF26" s="390"/>
      <c r="KG26" s="390"/>
      <c r="KH26" s="390"/>
      <c r="KI26" s="390"/>
      <c r="KJ26" s="390"/>
      <c r="KK26" s="390"/>
      <c r="KL26" s="390"/>
      <c r="KM26" s="390"/>
      <c r="KN26" s="390"/>
      <c r="KO26" s="390"/>
      <c r="KP26" s="390"/>
      <c r="KQ26" s="390"/>
      <c r="KR26" s="390"/>
      <c r="KS26" s="390"/>
      <c r="KT26" s="390"/>
      <c r="KU26" s="390"/>
      <c r="KV26" s="390"/>
      <c r="KW26" s="390"/>
      <c r="KX26" s="390"/>
      <c r="KY26" s="390"/>
      <c r="KZ26" s="390"/>
      <c r="LA26" s="390"/>
      <c r="LB26" s="390"/>
      <c r="LC26" s="390"/>
      <c r="LD26" s="390"/>
      <c r="LE26" s="390"/>
      <c r="LF26" s="390"/>
      <c r="LG26" s="390"/>
      <c r="LH26" s="390"/>
      <c r="LI26" s="390"/>
      <c r="LJ26" s="390"/>
      <c r="LK26" s="390"/>
      <c r="LL26" s="390"/>
      <c r="LM26" s="390"/>
      <c r="LN26" s="390"/>
      <c r="LO26" s="390"/>
      <c r="LP26" s="390"/>
      <c r="LQ26" s="390"/>
      <c r="LR26" s="390"/>
      <c r="LS26" s="390"/>
      <c r="LT26" s="390"/>
      <c r="LU26" s="390"/>
      <c r="LV26" s="390"/>
      <c r="LW26" s="390"/>
      <c r="LX26" s="390"/>
      <c r="LY26" s="390"/>
      <c r="LZ26" s="390"/>
      <c r="MA26" s="390"/>
      <c r="MB26" s="390"/>
      <c r="MC26" s="390"/>
      <c r="MD26" s="390"/>
      <c r="ME26" s="390"/>
      <c r="MF26" s="390"/>
      <c r="MG26" s="390"/>
      <c r="MH26" s="390"/>
      <c r="MI26" s="390"/>
      <c r="MJ26" s="390"/>
      <c r="MK26" s="390"/>
      <c r="ML26" s="390"/>
      <c r="MM26" s="390"/>
      <c r="MN26" s="390"/>
      <c r="MO26" s="390"/>
      <c r="MP26" s="390"/>
      <c r="MQ26" s="390"/>
      <c r="MR26" s="390"/>
      <c r="MS26" s="390"/>
      <c r="MT26" s="390"/>
      <c r="MU26" s="390"/>
      <c r="MV26" s="390"/>
      <c r="MW26" s="390"/>
      <c r="MX26" s="390"/>
      <c r="MY26" s="390"/>
      <c r="MZ26" s="390"/>
      <c r="NA26" s="390"/>
      <c r="NB26" s="390"/>
      <c r="NC26" s="390"/>
      <c r="ND26" s="390"/>
      <c r="NE26" s="390"/>
      <c r="NF26" s="390"/>
      <c r="NG26" s="390"/>
      <c r="NH26" s="390"/>
      <c r="NI26" s="390"/>
      <c r="NJ26" s="390"/>
      <c r="NK26" s="390"/>
      <c r="NL26" s="390"/>
      <c r="NM26" s="390"/>
      <c r="NN26" s="390"/>
      <c r="NO26" s="390"/>
      <c r="NP26" s="390"/>
      <c r="NQ26" s="390"/>
      <c r="NR26" s="390"/>
      <c r="NS26" s="390"/>
      <c r="NT26" s="390"/>
      <c r="NU26" s="390"/>
      <c r="NV26" s="390"/>
      <c r="NW26" s="390"/>
      <c r="NX26" s="390"/>
      <c r="NY26" s="390"/>
      <c r="NZ26" s="390"/>
      <c r="OA26" s="390"/>
      <c r="OB26" s="390"/>
      <c r="OC26" s="390"/>
      <c r="OD26" s="390"/>
      <c r="OE26" s="390"/>
      <c r="OF26" s="390"/>
      <c r="OG26" s="390"/>
      <c r="OH26" s="390"/>
      <c r="OI26" s="390"/>
      <c r="OJ26" s="390"/>
      <c r="OK26" s="390"/>
      <c r="OL26" s="390"/>
      <c r="OM26" s="390"/>
      <c r="ON26" s="390"/>
      <c r="OO26" s="390"/>
      <c r="OP26" s="390"/>
      <c r="OQ26" s="390"/>
      <c r="OR26" s="390"/>
      <c r="OS26" s="390"/>
      <c r="OT26" s="390"/>
      <c r="OU26" s="390"/>
      <c r="OV26" s="390"/>
      <c r="OW26" s="390"/>
      <c r="OX26" s="390"/>
      <c r="OY26" s="390"/>
      <c r="OZ26" s="390"/>
      <c r="PA26" s="390"/>
      <c r="PB26" s="390"/>
      <c r="PC26" s="390"/>
      <c r="PD26" s="390"/>
      <c r="PE26" s="390"/>
      <c r="PF26" s="390"/>
      <c r="PG26" s="390"/>
      <c r="PH26" s="390"/>
      <c r="PI26" s="390"/>
      <c r="PJ26" s="390"/>
      <c r="PK26" s="390"/>
      <c r="PL26" s="390"/>
      <c r="PM26" s="390"/>
      <c r="PN26" s="390"/>
      <c r="PO26" s="390"/>
      <c r="PP26" s="390"/>
      <c r="PQ26" s="390"/>
      <c r="PR26" s="390"/>
      <c r="PS26" s="390"/>
      <c r="PT26" s="390"/>
      <c r="PU26" s="390"/>
      <c r="PV26" s="390"/>
      <c r="PW26" s="390"/>
      <c r="PX26" s="390"/>
      <c r="PY26" s="390"/>
      <c r="PZ26" s="390"/>
      <c r="QA26" s="390"/>
      <c r="QB26" s="390"/>
      <c r="QC26" s="390"/>
      <c r="QD26" s="390"/>
      <c r="QE26" s="390"/>
      <c r="QF26" s="390"/>
      <c r="QG26" s="390"/>
      <c r="QH26" s="390"/>
      <c r="QI26" s="390"/>
      <c r="QJ26" s="390"/>
      <c r="QK26" s="390"/>
      <c r="QL26" s="390"/>
      <c r="QM26" s="390"/>
      <c r="QN26" s="390"/>
      <c r="QO26" s="390"/>
      <c r="QP26" s="390"/>
      <c r="QQ26" s="390"/>
      <c r="QR26" s="390"/>
      <c r="QS26" s="390"/>
      <c r="QT26" s="390"/>
      <c r="QU26" s="390"/>
      <c r="QV26" s="390"/>
      <c r="QW26" s="390"/>
      <c r="QX26" s="390"/>
      <c r="QY26" s="390"/>
      <c r="QZ26" s="390"/>
      <c r="RA26" s="390"/>
      <c r="RB26" s="390"/>
      <c r="RC26" s="390"/>
      <c r="RD26" s="390"/>
      <c r="RE26" s="390"/>
      <c r="RF26" s="390"/>
      <c r="RG26" s="390"/>
      <c r="RH26" s="390"/>
      <c r="RI26" s="390"/>
      <c r="RJ26" s="390"/>
      <c r="RK26" s="390"/>
      <c r="RL26" s="390"/>
      <c r="RM26" s="390"/>
      <c r="RN26" s="390"/>
      <c r="RO26" s="390"/>
      <c r="RP26" s="390"/>
      <c r="RQ26" s="390"/>
      <c r="RR26" s="390"/>
      <c r="RS26" s="390"/>
      <c r="RT26" s="390"/>
      <c r="RU26" s="390"/>
      <c r="RV26" s="390"/>
      <c r="RW26" s="390"/>
      <c r="RX26" s="390"/>
      <c r="RY26" s="390"/>
      <c r="RZ26" s="390"/>
      <c r="SA26" s="390"/>
      <c r="SB26" s="390"/>
      <c r="SC26" s="390"/>
      <c r="SD26" s="390"/>
      <c r="SE26" s="390"/>
      <c r="SF26" s="390"/>
      <c r="SG26" s="390"/>
      <c r="SH26" s="390"/>
      <c r="SI26" s="390"/>
      <c r="SJ26" s="390"/>
      <c r="SK26" s="390"/>
      <c r="SL26" s="390"/>
      <c r="SM26" s="390"/>
      <c r="SN26" s="390"/>
      <c r="SO26" s="390"/>
      <c r="SP26" s="390"/>
      <c r="SQ26" s="390"/>
      <c r="SR26" s="390"/>
      <c r="SS26" s="390"/>
      <c r="ST26" s="390"/>
      <c r="SU26" s="390"/>
      <c r="SV26" s="390"/>
      <c r="SW26" s="390"/>
      <c r="SX26" s="390"/>
      <c r="SY26" s="390"/>
      <c r="SZ26" s="390"/>
      <c r="TA26" s="390"/>
      <c r="TB26" s="390"/>
      <c r="TC26" s="390"/>
      <c r="TD26" s="390"/>
      <c r="TE26" s="390"/>
      <c r="TF26" s="390"/>
      <c r="TG26" s="390"/>
      <c r="TH26" s="390"/>
      <c r="TI26" s="390"/>
      <c r="TJ26" s="390"/>
      <c r="TK26" s="390"/>
      <c r="TL26" s="390"/>
      <c r="TM26" s="390"/>
      <c r="TN26" s="390"/>
      <c r="TO26" s="390"/>
      <c r="TP26" s="390"/>
      <c r="TQ26" s="390"/>
      <c r="TR26" s="390"/>
      <c r="TS26" s="390"/>
      <c r="TT26" s="390"/>
      <c r="TU26" s="390"/>
      <c r="TV26" s="390"/>
      <c r="TW26" s="390"/>
      <c r="TX26" s="390"/>
      <c r="TY26" s="390"/>
      <c r="TZ26" s="390"/>
      <c r="UA26" s="390"/>
      <c r="UB26" s="390"/>
      <c r="UC26" s="390"/>
      <c r="UD26" s="390"/>
      <c r="UE26" s="390"/>
      <c r="UF26" s="390"/>
      <c r="UG26" s="390"/>
      <c r="UH26" s="390"/>
      <c r="UI26" s="390"/>
      <c r="UJ26" s="390"/>
      <c r="UK26" s="390"/>
      <c r="UL26" s="390"/>
      <c r="UM26" s="390"/>
      <c r="UN26" s="390"/>
      <c r="UO26" s="390"/>
      <c r="UP26" s="390"/>
      <c r="UQ26" s="390"/>
      <c r="UR26" s="390"/>
      <c r="US26" s="390"/>
      <c r="UT26" s="390"/>
      <c r="UU26" s="390"/>
      <c r="UV26" s="390"/>
      <c r="UW26" s="390"/>
      <c r="UX26" s="390"/>
      <c r="UY26" s="390"/>
      <c r="UZ26" s="390"/>
      <c r="VA26" s="390"/>
      <c r="VB26" s="390"/>
      <c r="VC26" s="390"/>
      <c r="VD26" s="390"/>
      <c r="VE26" s="390"/>
      <c r="VF26" s="390"/>
      <c r="VG26" s="390"/>
      <c r="VH26" s="390"/>
      <c r="VI26" s="390"/>
      <c r="VJ26" s="390"/>
      <c r="VK26" s="390"/>
      <c r="VL26" s="390"/>
      <c r="VM26" s="390"/>
      <c r="VN26" s="390"/>
      <c r="VO26" s="390"/>
      <c r="VP26" s="390"/>
      <c r="VQ26" s="390"/>
      <c r="VR26" s="390"/>
      <c r="VS26" s="390"/>
      <c r="VT26" s="390"/>
      <c r="VU26" s="390"/>
      <c r="VV26" s="390"/>
      <c r="VW26" s="390"/>
      <c r="VX26" s="390"/>
      <c r="VY26" s="390"/>
      <c r="VZ26" s="390"/>
      <c r="WA26" s="390"/>
      <c r="WB26" s="390"/>
      <c r="WC26" s="390"/>
      <c r="WD26" s="390"/>
      <c r="WE26" s="390"/>
      <c r="WF26" s="390"/>
      <c r="WG26" s="390"/>
      <c r="WH26" s="390"/>
      <c r="WI26" s="390"/>
      <c r="WJ26" s="390"/>
      <c r="WK26" s="390"/>
      <c r="WL26" s="390"/>
      <c r="WM26" s="390"/>
      <c r="WN26" s="390"/>
      <c r="WO26" s="390"/>
      <c r="WP26" s="390"/>
      <c r="WQ26" s="390"/>
      <c r="WR26" s="390"/>
      <c r="WS26" s="390"/>
      <c r="WT26" s="390"/>
      <c r="WU26" s="390"/>
      <c r="WV26" s="390"/>
      <c r="WW26" s="390"/>
      <c r="WX26" s="390"/>
      <c r="WY26" s="390"/>
      <c r="WZ26" s="390"/>
      <c r="XA26" s="390"/>
      <c r="XB26" s="390"/>
      <c r="XC26" s="390"/>
      <c r="XD26" s="390"/>
      <c r="XE26" s="390"/>
      <c r="XF26" s="390"/>
      <c r="XG26" s="390"/>
      <c r="XH26" s="390"/>
      <c r="XI26" s="390"/>
      <c r="XJ26" s="390"/>
      <c r="XK26" s="390"/>
      <c r="XL26" s="390"/>
      <c r="XM26" s="390"/>
      <c r="XN26" s="390"/>
      <c r="XO26" s="390"/>
      <c r="XP26" s="390"/>
      <c r="XQ26" s="390"/>
      <c r="XR26" s="390"/>
      <c r="XS26" s="390"/>
      <c r="XT26" s="390"/>
      <c r="XU26" s="390"/>
      <c r="XV26" s="390"/>
      <c r="XW26" s="390"/>
      <c r="XX26" s="390"/>
      <c r="XY26" s="390"/>
      <c r="XZ26" s="390"/>
      <c r="YA26" s="390"/>
      <c r="YB26" s="390"/>
      <c r="YC26" s="390"/>
      <c r="YD26" s="390"/>
      <c r="YE26" s="390"/>
      <c r="YF26" s="390"/>
      <c r="YG26" s="390"/>
      <c r="YH26" s="390"/>
      <c r="YI26" s="390"/>
      <c r="YJ26" s="390"/>
      <c r="YK26" s="390"/>
      <c r="YL26" s="390"/>
      <c r="YM26" s="390"/>
      <c r="YN26" s="390"/>
      <c r="YO26" s="390"/>
      <c r="YP26" s="390"/>
      <c r="YQ26" s="390"/>
      <c r="YR26" s="390"/>
      <c r="YS26" s="390"/>
      <c r="YT26" s="390"/>
      <c r="YU26" s="390"/>
      <c r="YV26" s="390"/>
      <c r="YW26" s="390"/>
      <c r="YX26" s="390"/>
      <c r="YY26" s="390"/>
      <c r="YZ26" s="390"/>
      <c r="ZA26" s="390"/>
      <c r="ZB26" s="390"/>
      <c r="ZC26" s="390"/>
      <c r="ZD26" s="390"/>
      <c r="ZE26" s="390"/>
      <c r="ZF26" s="390"/>
      <c r="ZG26" s="390"/>
      <c r="ZH26" s="390"/>
      <c r="ZI26" s="390"/>
      <c r="ZJ26" s="390"/>
      <c r="ZK26" s="390"/>
      <c r="ZL26" s="390"/>
      <c r="ZM26" s="390"/>
      <c r="ZN26" s="390"/>
      <c r="ZO26" s="390"/>
      <c r="ZP26" s="390"/>
      <c r="ZQ26" s="390"/>
      <c r="ZR26" s="390"/>
      <c r="ZS26" s="390"/>
      <c r="ZT26" s="390"/>
      <c r="ZU26" s="390"/>
      <c r="ZV26" s="390"/>
      <c r="ZW26" s="390"/>
      <c r="ZX26" s="390"/>
      <c r="ZY26" s="390"/>
      <c r="ZZ26" s="390"/>
      <c r="AAA26" s="390"/>
      <c r="AAB26" s="390"/>
      <c r="AAC26" s="390"/>
      <c r="AAD26" s="390"/>
      <c r="AAE26" s="390"/>
      <c r="AAF26" s="390"/>
      <c r="AAG26" s="390"/>
      <c r="AAH26" s="390"/>
      <c r="AAI26" s="390"/>
      <c r="AAJ26" s="390"/>
      <c r="AAK26" s="390"/>
      <c r="AAL26" s="390"/>
      <c r="AAM26" s="390"/>
      <c r="AAN26" s="390"/>
      <c r="AAO26" s="390"/>
      <c r="AAP26" s="390"/>
      <c r="AAQ26" s="390"/>
      <c r="AAR26" s="390"/>
      <c r="AAS26" s="390"/>
      <c r="AAT26" s="390"/>
      <c r="AAU26" s="390"/>
      <c r="AAV26" s="390"/>
      <c r="AAW26" s="390"/>
      <c r="AAX26" s="390"/>
      <c r="AAY26" s="390"/>
      <c r="AAZ26" s="390"/>
      <c r="ABA26" s="390"/>
      <c r="ABB26" s="390"/>
      <c r="ABC26" s="390"/>
      <c r="ABD26" s="390"/>
      <c r="ABE26" s="390"/>
      <c r="ABF26" s="390"/>
      <c r="ABG26" s="390"/>
      <c r="ABH26" s="390"/>
      <c r="ABI26" s="390"/>
      <c r="ABJ26" s="390"/>
      <c r="ABK26" s="390"/>
      <c r="ABL26" s="390"/>
      <c r="ABM26" s="390"/>
      <c r="ABN26" s="390"/>
      <c r="ABO26" s="390"/>
      <c r="ABP26" s="390"/>
      <c r="ABQ26" s="390"/>
      <c r="ABR26" s="390"/>
      <c r="ABS26" s="390"/>
      <c r="ABT26" s="390"/>
      <c r="ABU26" s="390"/>
      <c r="ABV26" s="390"/>
      <c r="ABW26" s="390"/>
      <c r="ABX26" s="390"/>
      <c r="ABY26" s="390"/>
      <c r="ABZ26" s="390"/>
      <c r="ACA26" s="390"/>
      <c r="ACB26" s="390"/>
      <c r="ACC26" s="390"/>
      <c r="ACD26" s="390"/>
      <c r="ACE26" s="390"/>
      <c r="ACF26" s="390"/>
      <c r="ACG26" s="390"/>
      <c r="ACH26" s="390"/>
      <c r="ACI26" s="390"/>
    </row>
    <row r="27" spans="1:763" ht="13.95" customHeight="1" x14ac:dyDescent="0.3">
      <c r="A27" s="397" t="str">
        <f ca="1">Проект!$A$128</f>
        <v>Выручка в отчете о прибылях и убытках, без НДС</v>
      </c>
      <c r="B27" s="390"/>
      <c r="C27" s="391" t="str">
        <f ca="1">Проект!$C$128</f>
        <v>руб.</v>
      </c>
      <c r="D27" s="399">
        <f ca="1">SUM(Проект!$G$128:$R$128)</f>
        <v>75921591.70614852</v>
      </c>
      <c r="E27" s="399">
        <f ca="1">SUM(Проект!$S$128:$AD$128)</f>
        <v>218904238.26593775</v>
      </c>
      <c r="F27" s="399">
        <f ca="1">SUM(Проект!$AE$128:$AP$128)</f>
        <v>232038492.561894</v>
      </c>
      <c r="G27" s="399">
        <f ca="1">SUM(Проект!$AQ$128:$BB$128)</f>
        <v>245960802.11560777</v>
      </c>
      <c r="H27" s="405">
        <f ca="1">Проект!$BD$128</f>
        <v>772825124.64958811</v>
      </c>
      <c r="I27" s="393"/>
      <c r="J27" s="393"/>
      <c r="K27" s="393"/>
      <c r="L27" s="393"/>
      <c r="M27" s="393"/>
      <c r="N27" s="393"/>
      <c r="O27" s="393"/>
      <c r="P27" s="393"/>
      <c r="Q27" s="393"/>
      <c r="R27" s="393"/>
      <c r="S27" s="393"/>
      <c r="T27" s="393"/>
      <c r="U27" s="393"/>
      <c r="V27" s="393"/>
      <c r="W27" s="393"/>
      <c r="X27" s="393"/>
      <c r="Y27" s="393"/>
      <c r="Z27" s="393"/>
      <c r="AA27" s="393"/>
      <c r="AB27" s="393"/>
      <c r="AC27" s="393"/>
      <c r="AD27" s="393"/>
      <c r="AE27" s="393"/>
      <c r="AF27" s="393"/>
      <c r="AG27" s="393"/>
      <c r="AH27" s="393"/>
      <c r="AI27" s="393"/>
      <c r="AJ27" s="393"/>
      <c r="AK27" s="393"/>
      <c r="AL27" s="393"/>
      <c r="AM27" s="393"/>
      <c r="AN27" s="393"/>
      <c r="AO27" s="393"/>
      <c r="AP27" s="393"/>
      <c r="AQ27" s="393"/>
      <c r="AR27" s="393"/>
      <c r="AS27" s="393"/>
      <c r="AT27" s="393"/>
      <c r="AU27" s="393"/>
      <c r="AV27" s="393"/>
      <c r="AW27" s="393"/>
      <c r="AX27" s="393"/>
      <c r="AY27" s="393"/>
      <c r="AZ27" s="393"/>
      <c r="BA27" s="393"/>
      <c r="BB27" s="393"/>
      <c r="BC27" s="393"/>
      <c r="BD27" s="393"/>
      <c r="BE27" s="393"/>
      <c r="BF27" s="393"/>
      <c r="BG27" s="393"/>
      <c r="BH27" s="393"/>
      <c r="BI27" s="393"/>
      <c r="BJ27" s="393"/>
      <c r="BK27" s="393"/>
      <c r="BL27" s="393"/>
      <c r="BM27" s="393"/>
      <c r="BN27" s="393"/>
      <c r="BO27" s="393"/>
      <c r="BP27" s="393"/>
      <c r="BQ27" s="393"/>
      <c r="BR27" s="393"/>
      <c r="BS27" s="393"/>
      <c r="BT27" s="393"/>
      <c r="BU27" s="393"/>
      <c r="BV27" s="393"/>
      <c r="BW27" s="393"/>
      <c r="BX27" s="393"/>
      <c r="BY27" s="393"/>
      <c r="BZ27" s="393"/>
      <c r="CA27" s="393"/>
      <c r="CB27" s="393"/>
      <c r="CC27" s="393"/>
      <c r="CD27" s="393"/>
      <c r="CE27" s="393"/>
      <c r="CF27" s="393"/>
      <c r="CG27" s="393"/>
      <c r="CH27" s="393"/>
      <c r="CI27" s="393"/>
      <c r="CJ27" s="393"/>
      <c r="CK27" s="393"/>
      <c r="CL27" s="393"/>
      <c r="CM27" s="393"/>
      <c r="CN27" s="393"/>
      <c r="CO27" s="393"/>
      <c r="CP27" s="393"/>
      <c r="CQ27" s="393"/>
      <c r="CR27" s="393"/>
      <c r="CS27" s="393"/>
      <c r="CT27" s="393"/>
      <c r="CU27" s="393"/>
      <c r="CV27" s="393"/>
      <c r="CW27" s="393"/>
      <c r="CX27" s="393"/>
      <c r="CY27" s="393"/>
      <c r="CZ27" s="393"/>
      <c r="DA27" s="393"/>
      <c r="DB27" s="393"/>
      <c r="DC27" s="393"/>
      <c r="DD27" s="393"/>
      <c r="DE27" s="393"/>
      <c r="DF27" s="393"/>
      <c r="DG27" s="393"/>
      <c r="DH27" s="393"/>
      <c r="DI27" s="393"/>
      <c r="DJ27" s="393"/>
      <c r="DK27" s="393"/>
      <c r="DL27" s="393"/>
      <c r="DM27" s="393"/>
      <c r="DN27" s="393"/>
      <c r="DO27" s="393"/>
      <c r="DP27" s="393"/>
      <c r="DQ27" s="393"/>
      <c r="DR27" s="393"/>
      <c r="DS27" s="393"/>
      <c r="DT27" s="393"/>
      <c r="DU27" s="393"/>
      <c r="DV27" s="393"/>
      <c r="DW27" s="393"/>
      <c r="DX27" s="393"/>
      <c r="DY27" s="393"/>
      <c r="DZ27" s="393"/>
      <c r="EA27" s="393"/>
      <c r="EB27" s="393"/>
      <c r="EC27" s="393"/>
      <c r="ED27" s="393"/>
      <c r="EE27" s="393"/>
      <c r="EF27" s="393"/>
      <c r="EG27" s="393"/>
      <c r="EH27" s="393"/>
      <c r="EI27" s="393"/>
      <c r="EJ27" s="393"/>
      <c r="EK27" s="393"/>
      <c r="EL27" s="393"/>
      <c r="EM27" s="393"/>
      <c r="EN27" s="393"/>
      <c r="EO27" s="393"/>
      <c r="EP27" s="393"/>
      <c r="EQ27" s="393"/>
      <c r="ER27" s="393"/>
      <c r="ES27" s="393"/>
      <c r="ET27" s="393"/>
      <c r="EU27" s="393"/>
      <c r="EV27" s="393"/>
      <c r="EW27" s="393"/>
      <c r="EX27" s="393"/>
      <c r="EY27" s="393"/>
      <c r="EZ27" s="393"/>
      <c r="FA27" s="393"/>
      <c r="FB27" s="393"/>
      <c r="FC27" s="393"/>
      <c r="FD27" s="393"/>
      <c r="FE27" s="393"/>
      <c r="FF27" s="393"/>
      <c r="FG27" s="393"/>
      <c r="FH27" s="393"/>
      <c r="FI27" s="393"/>
      <c r="FJ27" s="393"/>
      <c r="FK27" s="393"/>
      <c r="FL27" s="393"/>
      <c r="FM27" s="393"/>
      <c r="FN27" s="393"/>
      <c r="FO27" s="393"/>
      <c r="FP27" s="393"/>
      <c r="FQ27" s="393"/>
      <c r="FR27" s="393"/>
      <c r="FS27" s="393"/>
      <c r="FT27" s="393"/>
      <c r="FU27" s="393"/>
      <c r="FV27" s="393"/>
      <c r="FW27" s="393"/>
      <c r="FX27" s="393"/>
      <c r="FY27" s="393"/>
      <c r="FZ27" s="393"/>
      <c r="GA27" s="393"/>
      <c r="GB27" s="393"/>
      <c r="GC27" s="393"/>
      <c r="GD27" s="393"/>
      <c r="GE27" s="393"/>
      <c r="GF27" s="393"/>
      <c r="GG27" s="393"/>
      <c r="GH27" s="393"/>
      <c r="GI27" s="393"/>
      <c r="GJ27" s="393"/>
      <c r="GK27" s="393"/>
      <c r="GL27" s="393"/>
      <c r="GM27" s="393"/>
      <c r="GN27" s="393"/>
      <c r="GO27" s="393"/>
      <c r="GP27" s="393"/>
      <c r="GQ27" s="393"/>
      <c r="GR27" s="393"/>
      <c r="GS27" s="393"/>
      <c r="GT27" s="393"/>
      <c r="GU27" s="393"/>
      <c r="GV27" s="393"/>
      <c r="GW27" s="393"/>
      <c r="GX27" s="393"/>
      <c r="GY27" s="393"/>
      <c r="GZ27" s="393"/>
      <c r="HA27" s="393"/>
      <c r="HB27" s="393"/>
      <c r="HC27" s="393"/>
      <c r="HD27" s="393"/>
      <c r="HE27" s="393"/>
      <c r="HF27" s="393"/>
      <c r="HG27" s="393"/>
      <c r="HH27" s="393"/>
      <c r="HI27" s="393"/>
      <c r="HJ27" s="393"/>
      <c r="HK27" s="393"/>
      <c r="HL27" s="393"/>
      <c r="HM27" s="393"/>
      <c r="HN27" s="393"/>
      <c r="HO27" s="393"/>
      <c r="HP27" s="393"/>
      <c r="HQ27" s="393"/>
      <c r="HR27" s="393"/>
      <c r="HS27" s="393"/>
      <c r="HT27" s="393"/>
      <c r="HU27" s="393"/>
      <c r="HV27" s="393"/>
      <c r="HW27" s="393"/>
      <c r="HX27" s="393"/>
      <c r="HY27" s="393"/>
      <c r="HZ27" s="393"/>
      <c r="IA27" s="393"/>
      <c r="IB27" s="393"/>
      <c r="IC27" s="393"/>
      <c r="ID27" s="393"/>
      <c r="IE27" s="393"/>
      <c r="IF27" s="393"/>
      <c r="IG27" s="393"/>
      <c r="IH27" s="393"/>
      <c r="II27" s="393"/>
      <c r="IJ27" s="393"/>
      <c r="IK27" s="393"/>
      <c r="IL27" s="393"/>
      <c r="IM27" s="393"/>
      <c r="IN27" s="393"/>
      <c r="IO27" s="393"/>
      <c r="IP27" s="393"/>
      <c r="IQ27" s="393"/>
      <c r="IR27" s="393"/>
      <c r="IS27" s="393"/>
      <c r="IT27" s="393"/>
      <c r="IU27" s="393"/>
      <c r="IV27" s="393"/>
      <c r="IW27" s="393"/>
      <c r="IX27" s="393"/>
      <c r="IY27" s="393"/>
      <c r="IZ27" s="393"/>
      <c r="JA27" s="393"/>
      <c r="JB27" s="393"/>
      <c r="JC27" s="393"/>
      <c r="JD27" s="393"/>
      <c r="JE27" s="393"/>
      <c r="JF27" s="393"/>
      <c r="JG27" s="393"/>
      <c r="JH27" s="393"/>
      <c r="JI27" s="393"/>
      <c r="JJ27" s="393"/>
      <c r="JK27" s="393"/>
      <c r="JL27" s="393"/>
      <c r="JM27" s="393"/>
      <c r="JN27" s="393"/>
      <c r="JO27" s="393"/>
      <c r="JP27" s="393"/>
      <c r="JQ27" s="393"/>
      <c r="JR27" s="393"/>
      <c r="JS27" s="393"/>
      <c r="JT27" s="393"/>
      <c r="JU27" s="393"/>
      <c r="JV27" s="393"/>
      <c r="JW27" s="393"/>
      <c r="JX27" s="393"/>
      <c r="JY27" s="393"/>
      <c r="JZ27" s="393"/>
      <c r="KA27" s="393"/>
      <c r="KB27" s="393"/>
      <c r="KC27" s="393"/>
      <c r="KD27" s="393"/>
      <c r="KE27" s="393"/>
      <c r="KF27" s="393"/>
      <c r="KG27" s="393"/>
      <c r="KH27" s="393"/>
      <c r="KI27" s="393"/>
      <c r="KJ27" s="393"/>
      <c r="KK27" s="393"/>
      <c r="KL27" s="393"/>
      <c r="KM27" s="393"/>
      <c r="KN27" s="393"/>
      <c r="KO27" s="393"/>
      <c r="KP27" s="393"/>
      <c r="KQ27" s="393"/>
      <c r="KR27" s="393"/>
      <c r="KS27" s="393"/>
      <c r="KT27" s="393"/>
      <c r="KU27" s="393"/>
      <c r="KV27" s="393"/>
      <c r="KW27" s="393"/>
      <c r="KX27" s="393"/>
      <c r="KY27" s="393"/>
      <c r="KZ27" s="393"/>
      <c r="LA27" s="393"/>
      <c r="LB27" s="393"/>
      <c r="LC27" s="393"/>
      <c r="LD27" s="393"/>
      <c r="LE27" s="393"/>
      <c r="LF27" s="393"/>
      <c r="LG27" s="393"/>
      <c r="LH27" s="393"/>
      <c r="LI27" s="393"/>
      <c r="LJ27" s="393"/>
      <c r="LK27" s="393"/>
      <c r="LL27" s="393"/>
      <c r="LM27" s="393"/>
      <c r="LN27" s="393"/>
      <c r="LO27" s="393"/>
      <c r="LP27" s="393"/>
      <c r="LQ27" s="393"/>
      <c r="LR27" s="393"/>
      <c r="LS27" s="393"/>
      <c r="LT27" s="393"/>
      <c r="LU27" s="393"/>
      <c r="LV27" s="393"/>
      <c r="LW27" s="393"/>
      <c r="LX27" s="393"/>
      <c r="LY27" s="393"/>
      <c r="LZ27" s="393"/>
      <c r="MA27" s="393"/>
      <c r="MB27" s="393"/>
      <c r="MC27" s="393"/>
      <c r="MD27" s="393"/>
      <c r="ME27" s="393"/>
      <c r="MF27" s="393"/>
      <c r="MG27" s="393"/>
      <c r="MH27" s="393"/>
      <c r="MI27" s="393"/>
      <c r="MJ27" s="393"/>
      <c r="MK27" s="393"/>
      <c r="ML27" s="393"/>
      <c r="MM27" s="393"/>
      <c r="MN27" s="393"/>
      <c r="MO27" s="393"/>
      <c r="MP27" s="393"/>
      <c r="MQ27" s="393"/>
      <c r="MR27" s="393"/>
      <c r="MS27" s="393"/>
      <c r="MT27" s="393"/>
      <c r="MU27" s="393"/>
      <c r="MV27" s="393"/>
      <c r="MW27" s="393"/>
      <c r="MX27" s="393"/>
      <c r="MY27" s="393"/>
      <c r="MZ27" s="393"/>
      <c r="NA27" s="393"/>
      <c r="NB27" s="393"/>
      <c r="NC27" s="393"/>
      <c r="ND27" s="393"/>
      <c r="NE27" s="393"/>
      <c r="NF27" s="393"/>
      <c r="NG27" s="393"/>
      <c r="NH27" s="393"/>
      <c r="NI27" s="393"/>
      <c r="NJ27" s="393"/>
      <c r="NK27" s="393"/>
      <c r="NL27" s="393"/>
      <c r="NM27" s="393"/>
      <c r="NN27" s="393"/>
      <c r="NO27" s="393"/>
      <c r="NP27" s="393"/>
      <c r="NQ27" s="393"/>
      <c r="NR27" s="393"/>
      <c r="NS27" s="393"/>
      <c r="NT27" s="393"/>
      <c r="NU27" s="393"/>
      <c r="NV27" s="393"/>
      <c r="NW27" s="393"/>
      <c r="NX27" s="393"/>
      <c r="NY27" s="393"/>
      <c r="NZ27" s="393"/>
      <c r="OA27" s="393"/>
      <c r="OB27" s="393"/>
      <c r="OC27" s="393"/>
      <c r="OD27" s="393"/>
      <c r="OE27" s="393"/>
      <c r="OF27" s="393"/>
      <c r="OG27" s="393"/>
      <c r="OH27" s="393"/>
      <c r="OI27" s="393"/>
      <c r="OJ27" s="393"/>
      <c r="OK27" s="393"/>
      <c r="OL27" s="393"/>
      <c r="OM27" s="393"/>
      <c r="ON27" s="393"/>
      <c r="OO27" s="393"/>
      <c r="OP27" s="393"/>
      <c r="OQ27" s="393"/>
      <c r="OR27" s="393"/>
      <c r="OS27" s="393"/>
      <c r="OT27" s="393"/>
      <c r="OU27" s="393"/>
      <c r="OV27" s="393"/>
      <c r="OW27" s="393"/>
      <c r="OX27" s="393"/>
      <c r="OY27" s="393"/>
      <c r="OZ27" s="393"/>
      <c r="PA27" s="393"/>
      <c r="PB27" s="393"/>
      <c r="PC27" s="393"/>
      <c r="PD27" s="393"/>
      <c r="PE27" s="393"/>
      <c r="PF27" s="393"/>
      <c r="PG27" s="393"/>
      <c r="PH27" s="393"/>
      <c r="PI27" s="393"/>
      <c r="PJ27" s="393"/>
      <c r="PK27" s="393"/>
      <c r="PL27" s="393"/>
      <c r="PM27" s="393"/>
      <c r="PN27" s="393"/>
      <c r="PO27" s="393"/>
      <c r="PP27" s="393"/>
      <c r="PQ27" s="393"/>
      <c r="PR27" s="393"/>
      <c r="PS27" s="393"/>
      <c r="PT27" s="393"/>
      <c r="PU27" s="393"/>
      <c r="PV27" s="393"/>
      <c r="PW27" s="393"/>
      <c r="PX27" s="393"/>
      <c r="PY27" s="393"/>
      <c r="PZ27" s="393"/>
      <c r="QA27" s="393"/>
      <c r="QB27" s="393"/>
      <c r="QC27" s="393"/>
      <c r="QD27" s="393"/>
      <c r="QE27" s="393"/>
      <c r="QF27" s="393"/>
      <c r="QG27" s="393"/>
      <c r="QH27" s="393"/>
      <c r="QI27" s="393"/>
      <c r="QJ27" s="393"/>
      <c r="QK27" s="393"/>
      <c r="QL27" s="393"/>
      <c r="QM27" s="393"/>
      <c r="QN27" s="393"/>
      <c r="QO27" s="393"/>
      <c r="QP27" s="393"/>
      <c r="QQ27" s="393"/>
      <c r="QR27" s="393"/>
      <c r="QS27" s="393"/>
      <c r="QT27" s="393"/>
      <c r="QU27" s="393"/>
      <c r="QV27" s="393"/>
      <c r="QW27" s="393"/>
      <c r="QX27" s="393"/>
      <c r="QY27" s="393"/>
      <c r="QZ27" s="393"/>
      <c r="RA27" s="393"/>
      <c r="RB27" s="393"/>
      <c r="RC27" s="393"/>
      <c r="RD27" s="393"/>
      <c r="RE27" s="393"/>
      <c r="RF27" s="393"/>
      <c r="RG27" s="393"/>
      <c r="RH27" s="393"/>
      <c r="RI27" s="393"/>
      <c r="RJ27" s="393"/>
      <c r="RK27" s="393"/>
      <c r="RL27" s="393"/>
      <c r="RM27" s="393"/>
      <c r="RN27" s="393"/>
      <c r="RO27" s="393"/>
      <c r="RP27" s="393"/>
      <c r="RQ27" s="393"/>
      <c r="RR27" s="393"/>
      <c r="RS27" s="393"/>
      <c r="RT27" s="393"/>
      <c r="RU27" s="393"/>
      <c r="RV27" s="393"/>
      <c r="RW27" s="393"/>
      <c r="RX27" s="393"/>
      <c r="RY27" s="393"/>
      <c r="RZ27" s="393"/>
      <c r="SA27" s="393"/>
      <c r="SB27" s="393"/>
      <c r="SC27" s="393"/>
      <c r="SD27" s="393"/>
      <c r="SE27" s="393"/>
      <c r="SF27" s="393"/>
      <c r="SG27" s="393"/>
      <c r="SH27" s="393"/>
      <c r="SI27" s="393"/>
      <c r="SJ27" s="393"/>
      <c r="SK27" s="393"/>
      <c r="SL27" s="393"/>
      <c r="SM27" s="393"/>
      <c r="SN27" s="393"/>
      <c r="SO27" s="393"/>
      <c r="SP27" s="393"/>
      <c r="SQ27" s="393"/>
      <c r="SR27" s="393"/>
      <c r="SS27" s="393"/>
      <c r="ST27" s="393"/>
      <c r="SU27" s="393"/>
      <c r="SV27" s="393"/>
      <c r="SW27" s="393"/>
      <c r="SX27" s="393"/>
      <c r="SY27" s="393"/>
      <c r="SZ27" s="393"/>
      <c r="TA27" s="393"/>
      <c r="TB27" s="393"/>
      <c r="TC27" s="393"/>
      <c r="TD27" s="393"/>
      <c r="TE27" s="393"/>
      <c r="TF27" s="393"/>
      <c r="TG27" s="393"/>
      <c r="TH27" s="393"/>
      <c r="TI27" s="393"/>
      <c r="TJ27" s="393"/>
      <c r="TK27" s="393"/>
      <c r="TL27" s="393"/>
      <c r="TM27" s="393"/>
      <c r="TN27" s="393"/>
      <c r="TO27" s="393"/>
      <c r="TP27" s="393"/>
      <c r="TQ27" s="393"/>
      <c r="TR27" s="393"/>
      <c r="TS27" s="393"/>
      <c r="TT27" s="393"/>
      <c r="TU27" s="393"/>
      <c r="TV27" s="393"/>
      <c r="TW27" s="393"/>
      <c r="TX27" s="393"/>
      <c r="TY27" s="393"/>
      <c r="TZ27" s="393"/>
      <c r="UA27" s="393"/>
      <c r="UB27" s="393"/>
      <c r="UC27" s="393"/>
      <c r="UD27" s="393"/>
      <c r="UE27" s="393"/>
      <c r="UF27" s="393"/>
      <c r="UG27" s="393"/>
      <c r="UH27" s="393"/>
      <c r="UI27" s="393"/>
      <c r="UJ27" s="393"/>
      <c r="UK27" s="393"/>
      <c r="UL27" s="393"/>
      <c r="UM27" s="393"/>
      <c r="UN27" s="393"/>
      <c r="UO27" s="393"/>
      <c r="UP27" s="393"/>
      <c r="UQ27" s="393"/>
      <c r="UR27" s="393"/>
      <c r="US27" s="393"/>
      <c r="UT27" s="393"/>
      <c r="UU27" s="393"/>
      <c r="UV27" s="393"/>
      <c r="UW27" s="393"/>
      <c r="UX27" s="393"/>
      <c r="UY27" s="393"/>
      <c r="UZ27" s="393"/>
      <c r="VA27" s="393"/>
      <c r="VB27" s="393"/>
      <c r="VC27" s="393"/>
      <c r="VD27" s="393"/>
      <c r="VE27" s="393"/>
      <c r="VF27" s="393"/>
      <c r="VG27" s="393"/>
      <c r="VH27" s="393"/>
      <c r="VI27" s="393"/>
      <c r="VJ27" s="393"/>
      <c r="VK27" s="393"/>
      <c r="VL27" s="393"/>
      <c r="VM27" s="393"/>
      <c r="VN27" s="393"/>
      <c r="VO27" s="393"/>
      <c r="VP27" s="393"/>
      <c r="VQ27" s="393"/>
      <c r="VR27" s="393"/>
      <c r="VS27" s="393"/>
      <c r="VT27" s="393"/>
      <c r="VU27" s="393"/>
      <c r="VV27" s="393"/>
      <c r="VW27" s="393"/>
      <c r="VX27" s="393"/>
      <c r="VY27" s="393"/>
      <c r="VZ27" s="393"/>
      <c r="WA27" s="393"/>
      <c r="WB27" s="393"/>
      <c r="WC27" s="393"/>
      <c r="WD27" s="393"/>
      <c r="WE27" s="393"/>
      <c r="WF27" s="393"/>
      <c r="WG27" s="393"/>
      <c r="WH27" s="393"/>
      <c r="WI27" s="393"/>
      <c r="WJ27" s="393"/>
      <c r="WK27" s="393"/>
      <c r="WL27" s="393"/>
      <c r="WM27" s="393"/>
      <c r="WN27" s="393"/>
      <c r="WO27" s="393"/>
      <c r="WP27" s="393"/>
      <c r="WQ27" s="393"/>
      <c r="WR27" s="393"/>
      <c r="WS27" s="393"/>
      <c r="WT27" s="393"/>
      <c r="WU27" s="393"/>
      <c r="WV27" s="393"/>
      <c r="WW27" s="393"/>
      <c r="WX27" s="393"/>
      <c r="WY27" s="393"/>
      <c r="WZ27" s="393"/>
      <c r="XA27" s="393"/>
      <c r="XB27" s="393"/>
      <c r="XC27" s="393"/>
      <c r="XD27" s="393"/>
      <c r="XE27" s="393"/>
      <c r="XF27" s="393"/>
      <c r="XG27" s="393"/>
      <c r="XH27" s="393"/>
      <c r="XI27" s="393"/>
      <c r="XJ27" s="393"/>
      <c r="XK27" s="393"/>
      <c r="XL27" s="393"/>
      <c r="XM27" s="393"/>
      <c r="XN27" s="393"/>
      <c r="XO27" s="393"/>
      <c r="XP27" s="393"/>
      <c r="XQ27" s="393"/>
      <c r="XR27" s="393"/>
      <c r="XS27" s="393"/>
      <c r="XT27" s="393"/>
      <c r="XU27" s="393"/>
      <c r="XV27" s="393"/>
      <c r="XW27" s="393"/>
      <c r="XX27" s="393"/>
      <c r="XY27" s="393"/>
      <c r="XZ27" s="393"/>
      <c r="YA27" s="393"/>
      <c r="YB27" s="393"/>
      <c r="YC27" s="393"/>
      <c r="YD27" s="393"/>
      <c r="YE27" s="393"/>
      <c r="YF27" s="393"/>
      <c r="YG27" s="393"/>
      <c r="YH27" s="393"/>
      <c r="YI27" s="393"/>
      <c r="YJ27" s="393"/>
      <c r="YK27" s="393"/>
      <c r="YL27" s="393"/>
      <c r="YM27" s="393"/>
      <c r="YN27" s="393"/>
      <c r="YO27" s="393"/>
      <c r="YP27" s="393"/>
      <c r="YQ27" s="393"/>
      <c r="YR27" s="393"/>
      <c r="YS27" s="393"/>
      <c r="YT27" s="393"/>
      <c r="YU27" s="393"/>
      <c r="YV27" s="393"/>
      <c r="YW27" s="393"/>
      <c r="YX27" s="393"/>
      <c r="YY27" s="393"/>
      <c r="YZ27" s="393"/>
      <c r="ZA27" s="393"/>
      <c r="ZB27" s="393"/>
      <c r="ZC27" s="393"/>
      <c r="ZD27" s="393"/>
      <c r="ZE27" s="393"/>
      <c r="ZF27" s="393"/>
      <c r="ZG27" s="393"/>
      <c r="ZH27" s="393"/>
      <c r="ZI27" s="393"/>
      <c r="ZJ27" s="393"/>
      <c r="ZK27" s="393"/>
      <c r="ZL27" s="393"/>
      <c r="ZM27" s="393"/>
      <c r="ZN27" s="393"/>
      <c r="ZO27" s="393"/>
      <c r="ZP27" s="393"/>
      <c r="ZQ27" s="393"/>
      <c r="ZR27" s="393"/>
      <c r="ZS27" s="393"/>
      <c r="ZT27" s="393"/>
      <c r="ZU27" s="393"/>
      <c r="ZV27" s="393"/>
      <c r="ZW27" s="393"/>
      <c r="ZX27" s="393"/>
      <c r="ZY27" s="393"/>
      <c r="ZZ27" s="393"/>
      <c r="AAA27" s="393"/>
      <c r="AAB27" s="393"/>
      <c r="AAC27" s="393"/>
      <c r="AAD27" s="393"/>
      <c r="AAE27" s="393"/>
      <c r="AAF27" s="393"/>
      <c r="AAG27" s="393"/>
      <c r="AAH27" s="393"/>
      <c r="AAI27" s="393"/>
      <c r="AAJ27" s="393"/>
      <c r="AAK27" s="393"/>
      <c r="AAL27" s="393"/>
      <c r="AAM27" s="393"/>
      <c r="AAN27" s="393"/>
      <c r="AAO27" s="393"/>
      <c r="AAP27" s="393"/>
      <c r="AAQ27" s="393"/>
      <c r="AAR27" s="393"/>
      <c r="AAS27" s="393"/>
      <c r="AAT27" s="393"/>
      <c r="AAU27" s="393"/>
      <c r="AAV27" s="393"/>
      <c r="AAW27" s="393"/>
      <c r="AAX27" s="393"/>
      <c r="AAY27" s="393"/>
      <c r="AAZ27" s="393"/>
      <c r="ABA27" s="393"/>
      <c r="ABB27" s="393"/>
      <c r="ABC27" s="393"/>
      <c r="ABD27" s="393"/>
      <c r="ABE27" s="393"/>
      <c r="ABF27" s="393"/>
      <c r="ABG27" s="393"/>
      <c r="ABH27" s="393"/>
      <c r="ABI27" s="393"/>
      <c r="ABJ27" s="393"/>
      <c r="ABK27" s="393"/>
      <c r="ABL27" s="393"/>
      <c r="ABM27" s="393"/>
      <c r="ABN27" s="393"/>
      <c r="ABO27" s="393"/>
      <c r="ABP27" s="393"/>
      <c r="ABQ27" s="393"/>
      <c r="ABR27" s="393"/>
      <c r="ABS27" s="393"/>
      <c r="ABT27" s="393"/>
      <c r="ABU27" s="393"/>
      <c r="ABV27" s="393"/>
      <c r="ABW27" s="393"/>
      <c r="ABX27" s="393"/>
      <c r="ABY27" s="393"/>
      <c r="ABZ27" s="393"/>
      <c r="ACA27" s="393"/>
      <c r="ACB27" s="393"/>
      <c r="ACC27" s="393"/>
      <c r="ACD27" s="393"/>
      <c r="ACE27" s="393"/>
      <c r="ACF27" s="393"/>
      <c r="ACG27" s="393"/>
      <c r="ACH27" s="393"/>
      <c r="ACI27" s="393"/>
    </row>
    <row r="28" spans="1:763" ht="13.95" customHeight="1" x14ac:dyDescent="0.3">
      <c r="A28" s="406"/>
      <c r="B28" s="406"/>
      <c r="C28" s="406"/>
      <c r="D28" s="406"/>
      <c r="E28" s="406"/>
      <c r="F28" s="406"/>
      <c r="G28" s="406"/>
      <c r="H28" s="407"/>
      <c r="I28" s="390"/>
      <c r="J28" s="390"/>
      <c r="K28" s="390"/>
      <c r="L28" s="390"/>
      <c r="M28" s="390"/>
      <c r="N28" s="390"/>
      <c r="O28" s="390"/>
      <c r="P28" s="390"/>
      <c r="Q28" s="390"/>
      <c r="R28" s="390"/>
      <c r="S28" s="390"/>
      <c r="T28" s="390"/>
      <c r="U28" s="390"/>
      <c r="V28" s="390"/>
      <c r="W28" s="390"/>
      <c r="X28" s="390"/>
      <c r="Y28" s="390"/>
      <c r="Z28" s="390"/>
      <c r="AA28" s="390"/>
      <c r="AB28" s="390"/>
      <c r="AC28" s="390"/>
      <c r="AD28" s="390"/>
      <c r="AE28" s="390"/>
      <c r="AF28" s="390"/>
      <c r="AG28" s="390"/>
      <c r="AH28" s="390"/>
      <c r="AI28" s="390"/>
      <c r="AJ28" s="390"/>
      <c r="AK28" s="390"/>
      <c r="AL28" s="390"/>
      <c r="AM28" s="390"/>
      <c r="AN28" s="390"/>
      <c r="AO28" s="390"/>
      <c r="AP28" s="390"/>
      <c r="AQ28" s="390"/>
      <c r="AR28" s="390"/>
      <c r="AS28" s="390"/>
      <c r="AT28" s="390"/>
      <c r="AU28" s="390"/>
      <c r="AV28" s="390"/>
      <c r="AW28" s="390"/>
      <c r="AX28" s="390"/>
      <c r="AY28" s="390"/>
      <c r="AZ28" s="390"/>
      <c r="BA28" s="390"/>
      <c r="BB28" s="390"/>
      <c r="BC28" s="390"/>
      <c r="BD28" s="390"/>
      <c r="BE28" s="390"/>
      <c r="BF28" s="390"/>
      <c r="BG28" s="390"/>
      <c r="BH28" s="390"/>
      <c r="BI28" s="390"/>
      <c r="BJ28" s="390"/>
      <c r="BK28" s="390"/>
      <c r="BL28" s="390"/>
      <c r="BM28" s="390"/>
      <c r="BN28" s="390"/>
      <c r="BO28" s="390"/>
      <c r="BP28" s="390"/>
      <c r="BQ28" s="390"/>
      <c r="BR28" s="390"/>
      <c r="BS28" s="390"/>
      <c r="BT28" s="390"/>
      <c r="BU28" s="390"/>
      <c r="BV28" s="390"/>
      <c r="BW28" s="390"/>
      <c r="BX28" s="390"/>
      <c r="BY28" s="390"/>
      <c r="BZ28" s="390"/>
      <c r="CA28" s="390"/>
      <c r="CB28" s="390"/>
      <c r="CC28" s="390"/>
      <c r="CD28" s="390"/>
      <c r="CE28" s="390"/>
      <c r="CF28" s="390"/>
      <c r="CG28" s="390"/>
      <c r="CH28" s="390"/>
      <c r="CI28" s="390"/>
      <c r="CJ28" s="390"/>
      <c r="CK28" s="390"/>
      <c r="CL28" s="390"/>
      <c r="CM28" s="390"/>
      <c r="CN28" s="390"/>
      <c r="CO28" s="390"/>
      <c r="CP28" s="390"/>
      <c r="CQ28" s="390"/>
      <c r="CR28" s="390"/>
      <c r="CS28" s="390"/>
      <c r="CT28" s="390"/>
      <c r="CU28" s="390"/>
      <c r="CV28" s="390"/>
      <c r="CW28" s="390"/>
      <c r="CX28" s="390"/>
      <c r="CY28" s="390"/>
      <c r="CZ28" s="390"/>
      <c r="DA28" s="390"/>
      <c r="DB28" s="390"/>
      <c r="DC28" s="390"/>
      <c r="DD28" s="390"/>
      <c r="DE28" s="390"/>
      <c r="DF28" s="390"/>
      <c r="DG28" s="390"/>
      <c r="DH28" s="390"/>
      <c r="DI28" s="390"/>
      <c r="DJ28" s="390"/>
      <c r="DK28" s="390"/>
      <c r="DL28" s="390"/>
      <c r="DM28" s="390"/>
      <c r="DN28" s="390"/>
      <c r="DO28" s="390"/>
      <c r="DP28" s="390"/>
      <c r="DQ28" s="390"/>
      <c r="DR28" s="390"/>
      <c r="DS28" s="390"/>
      <c r="DT28" s="390"/>
      <c r="DU28" s="390"/>
      <c r="DV28" s="390"/>
      <c r="DW28" s="390"/>
      <c r="DX28" s="390"/>
      <c r="DY28" s="390"/>
      <c r="DZ28" s="390"/>
      <c r="EA28" s="390"/>
      <c r="EB28" s="390"/>
      <c r="EC28" s="390"/>
      <c r="ED28" s="390"/>
      <c r="EE28" s="390"/>
      <c r="EF28" s="390"/>
      <c r="EG28" s="390"/>
      <c r="EH28" s="390"/>
      <c r="EI28" s="390"/>
      <c r="EJ28" s="390"/>
      <c r="EK28" s="390"/>
      <c r="EL28" s="390"/>
      <c r="EM28" s="390"/>
      <c r="EN28" s="390"/>
      <c r="EO28" s="390"/>
      <c r="EP28" s="390"/>
      <c r="EQ28" s="390"/>
      <c r="ER28" s="390"/>
      <c r="ES28" s="390"/>
      <c r="ET28" s="390"/>
      <c r="EU28" s="390"/>
      <c r="EV28" s="390"/>
      <c r="EW28" s="390"/>
      <c r="EX28" s="390"/>
      <c r="EY28" s="390"/>
      <c r="EZ28" s="390"/>
      <c r="FA28" s="390"/>
      <c r="FB28" s="390"/>
      <c r="FC28" s="390"/>
      <c r="FD28" s="390"/>
      <c r="FE28" s="390"/>
      <c r="FF28" s="390"/>
      <c r="FG28" s="390"/>
      <c r="FH28" s="390"/>
      <c r="FI28" s="390"/>
      <c r="FJ28" s="390"/>
      <c r="FK28" s="390"/>
      <c r="FL28" s="390"/>
      <c r="FM28" s="390"/>
      <c r="FN28" s="390"/>
      <c r="FO28" s="390"/>
      <c r="FP28" s="390"/>
      <c r="FQ28" s="390"/>
      <c r="FR28" s="390"/>
      <c r="FS28" s="390"/>
      <c r="FT28" s="390"/>
      <c r="FU28" s="390"/>
      <c r="FV28" s="390"/>
      <c r="FW28" s="390"/>
      <c r="FX28" s="390"/>
      <c r="FY28" s="390"/>
      <c r="FZ28" s="390"/>
      <c r="GA28" s="390"/>
      <c r="GB28" s="390"/>
      <c r="GC28" s="390"/>
      <c r="GD28" s="390"/>
      <c r="GE28" s="390"/>
      <c r="GF28" s="390"/>
      <c r="GG28" s="390"/>
      <c r="GH28" s="390"/>
      <c r="GI28" s="390"/>
      <c r="GJ28" s="390"/>
      <c r="GK28" s="390"/>
      <c r="GL28" s="390"/>
      <c r="GM28" s="390"/>
      <c r="GN28" s="390"/>
      <c r="GO28" s="390"/>
      <c r="GP28" s="390"/>
      <c r="GQ28" s="390"/>
      <c r="GR28" s="390"/>
      <c r="GS28" s="390"/>
      <c r="GT28" s="390"/>
      <c r="GU28" s="390"/>
      <c r="GV28" s="390"/>
      <c r="GW28" s="390"/>
      <c r="GX28" s="390"/>
      <c r="GY28" s="390"/>
      <c r="GZ28" s="390"/>
      <c r="HA28" s="390"/>
      <c r="HB28" s="390"/>
      <c r="HC28" s="390"/>
      <c r="HD28" s="390"/>
      <c r="HE28" s="390"/>
      <c r="HF28" s="390"/>
      <c r="HG28" s="390"/>
      <c r="HH28" s="390"/>
      <c r="HI28" s="390"/>
      <c r="HJ28" s="390"/>
      <c r="HK28" s="390"/>
      <c r="HL28" s="390"/>
      <c r="HM28" s="390"/>
      <c r="HN28" s="390"/>
      <c r="HO28" s="390"/>
      <c r="HP28" s="390"/>
      <c r="HQ28" s="390"/>
      <c r="HR28" s="390"/>
      <c r="HS28" s="390"/>
      <c r="HT28" s="390"/>
      <c r="HU28" s="390"/>
      <c r="HV28" s="390"/>
      <c r="HW28" s="390"/>
      <c r="HX28" s="390"/>
      <c r="HY28" s="390"/>
      <c r="HZ28" s="390"/>
      <c r="IA28" s="390"/>
      <c r="IB28" s="390"/>
      <c r="IC28" s="390"/>
      <c r="ID28" s="390"/>
      <c r="IE28" s="390"/>
      <c r="IF28" s="390"/>
      <c r="IG28" s="390"/>
      <c r="IH28" s="390"/>
      <c r="II28" s="390"/>
      <c r="IJ28" s="390"/>
      <c r="IK28" s="390"/>
      <c r="IL28" s="390"/>
      <c r="IM28" s="390"/>
      <c r="IN28" s="390"/>
      <c r="IO28" s="390"/>
      <c r="IP28" s="390"/>
      <c r="IQ28" s="390"/>
      <c r="IR28" s="390"/>
      <c r="IS28" s="390"/>
      <c r="IT28" s="390"/>
      <c r="IU28" s="390"/>
      <c r="IV28" s="390"/>
      <c r="IW28" s="390"/>
      <c r="IX28" s="390"/>
      <c r="IY28" s="390"/>
      <c r="IZ28" s="390"/>
      <c r="JA28" s="390"/>
      <c r="JB28" s="390"/>
      <c r="JC28" s="390"/>
      <c r="JD28" s="390"/>
      <c r="JE28" s="390"/>
      <c r="JF28" s="390"/>
      <c r="JG28" s="390"/>
      <c r="JH28" s="390"/>
      <c r="JI28" s="390"/>
      <c r="JJ28" s="390"/>
      <c r="JK28" s="390"/>
      <c r="JL28" s="390"/>
      <c r="JM28" s="390"/>
      <c r="JN28" s="390"/>
      <c r="JO28" s="390"/>
      <c r="JP28" s="390"/>
      <c r="JQ28" s="390"/>
      <c r="JR28" s="390"/>
      <c r="JS28" s="390"/>
      <c r="JT28" s="390"/>
      <c r="JU28" s="390"/>
      <c r="JV28" s="390"/>
      <c r="JW28" s="390"/>
      <c r="JX28" s="390"/>
      <c r="JY28" s="390"/>
      <c r="JZ28" s="390"/>
      <c r="KA28" s="390"/>
      <c r="KB28" s="390"/>
      <c r="KC28" s="390"/>
      <c r="KD28" s="390"/>
      <c r="KE28" s="390"/>
      <c r="KF28" s="390"/>
      <c r="KG28" s="390"/>
      <c r="KH28" s="390"/>
      <c r="KI28" s="390"/>
      <c r="KJ28" s="390"/>
      <c r="KK28" s="390"/>
      <c r="KL28" s="390"/>
      <c r="KM28" s="390"/>
      <c r="KN28" s="390"/>
      <c r="KO28" s="390"/>
      <c r="KP28" s="390"/>
      <c r="KQ28" s="390"/>
      <c r="KR28" s="390"/>
      <c r="KS28" s="390"/>
      <c r="KT28" s="390"/>
      <c r="KU28" s="390"/>
      <c r="KV28" s="390"/>
      <c r="KW28" s="390"/>
      <c r="KX28" s="390"/>
      <c r="KY28" s="390"/>
      <c r="KZ28" s="390"/>
      <c r="LA28" s="390"/>
      <c r="LB28" s="390"/>
      <c r="LC28" s="390"/>
      <c r="LD28" s="390"/>
      <c r="LE28" s="390"/>
      <c r="LF28" s="390"/>
      <c r="LG28" s="390"/>
      <c r="LH28" s="390"/>
      <c r="LI28" s="390"/>
      <c r="LJ28" s="390"/>
      <c r="LK28" s="390"/>
      <c r="LL28" s="390"/>
      <c r="LM28" s="390"/>
      <c r="LN28" s="390"/>
      <c r="LO28" s="390"/>
      <c r="LP28" s="390"/>
      <c r="LQ28" s="390"/>
      <c r="LR28" s="390"/>
      <c r="LS28" s="390"/>
      <c r="LT28" s="390"/>
      <c r="LU28" s="390"/>
      <c r="LV28" s="390"/>
      <c r="LW28" s="390"/>
      <c r="LX28" s="390"/>
      <c r="LY28" s="390"/>
      <c r="LZ28" s="390"/>
      <c r="MA28" s="390"/>
      <c r="MB28" s="390"/>
      <c r="MC28" s="390"/>
      <c r="MD28" s="390"/>
      <c r="ME28" s="390"/>
      <c r="MF28" s="390"/>
      <c r="MG28" s="390"/>
      <c r="MH28" s="390"/>
      <c r="MI28" s="390"/>
      <c r="MJ28" s="390"/>
      <c r="MK28" s="390"/>
      <c r="ML28" s="390"/>
      <c r="MM28" s="390"/>
      <c r="MN28" s="390"/>
      <c r="MO28" s="390"/>
      <c r="MP28" s="390"/>
      <c r="MQ28" s="390"/>
      <c r="MR28" s="390"/>
      <c r="MS28" s="390"/>
      <c r="MT28" s="390"/>
      <c r="MU28" s="390"/>
      <c r="MV28" s="390"/>
      <c r="MW28" s="390"/>
      <c r="MX28" s="390"/>
      <c r="MY28" s="390"/>
      <c r="MZ28" s="390"/>
      <c r="NA28" s="390"/>
      <c r="NB28" s="390"/>
      <c r="NC28" s="390"/>
      <c r="ND28" s="390"/>
      <c r="NE28" s="390"/>
      <c r="NF28" s="390"/>
      <c r="NG28" s="390"/>
      <c r="NH28" s="390"/>
      <c r="NI28" s="390"/>
      <c r="NJ28" s="390"/>
      <c r="NK28" s="390"/>
      <c r="NL28" s="390"/>
      <c r="NM28" s="390"/>
      <c r="NN28" s="390"/>
      <c r="NO28" s="390"/>
      <c r="NP28" s="390"/>
      <c r="NQ28" s="390"/>
      <c r="NR28" s="390"/>
      <c r="NS28" s="390"/>
      <c r="NT28" s="390"/>
      <c r="NU28" s="390"/>
      <c r="NV28" s="390"/>
      <c r="NW28" s="390"/>
      <c r="NX28" s="390"/>
      <c r="NY28" s="390"/>
      <c r="NZ28" s="390"/>
      <c r="OA28" s="390"/>
      <c r="OB28" s="390"/>
      <c r="OC28" s="390"/>
      <c r="OD28" s="390"/>
      <c r="OE28" s="390"/>
      <c r="OF28" s="390"/>
      <c r="OG28" s="390"/>
      <c r="OH28" s="390"/>
      <c r="OI28" s="390"/>
      <c r="OJ28" s="390"/>
      <c r="OK28" s="390"/>
      <c r="OL28" s="390"/>
      <c r="OM28" s="390"/>
      <c r="ON28" s="390"/>
      <c r="OO28" s="390"/>
      <c r="OP28" s="390"/>
      <c r="OQ28" s="390"/>
      <c r="OR28" s="390"/>
      <c r="OS28" s="390"/>
      <c r="OT28" s="390"/>
      <c r="OU28" s="390"/>
      <c r="OV28" s="390"/>
      <c r="OW28" s="390"/>
      <c r="OX28" s="390"/>
      <c r="OY28" s="390"/>
      <c r="OZ28" s="390"/>
      <c r="PA28" s="390"/>
      <c r="PB28" s="390"/>
      <c r="PC28" s="390"/>
      <c r="PD28" s="390"/>
      <c r="PE28" s="390"/>
      <c r="PF28" s="390"/>
      <c r="PG28" s="390"/>
      <c r="PH28" s="390"/>
      <c r="PI28" s="390"/>
      <c r="PJ28" s="390"/>
      <c r="PK28" s="390"/>
      <c r="PL28" s="390"/>
      <c r="PM28" s="390"/>
      <c r="PN28" s="390"/>
      <c r="PO28" s="390"/>
      <c r="PP28" s="390"/>
      <c r="PQ28" s="390"/>
      <c r="PR28" s="390"/>
      <c r="PS28" s="390"/>
      <c r="PT28" s="390"/>
      <c r="PU28" s="390"/>
      <c r="PV28" s="390"/>
      <c r="PW28" s="390"/>
      <c r="PX28" s="390"/>
      <c r="PY28" s="390"/>
      <c r="PZ28" s="390"/>
      <c r="QA28" s="390"/>
      <c r="QB28" s="390"/>
      <c r="QC28" s="390"/>
      <c r="QD28" s="390"/>
      <c r="QE28" s="390"/>
      <c r="QF28" s="390"/>
      <c r="QG28" s="390"/>
      <c r="QH28" s="390"/>
      <c r="QI28" s="390"/>
      <c r="QJ28" s="390"/>
      <c r="QK28" s="390"/>
      <c r="QL28" s="390"/>
      <c r="QM28" s="390"/>
      <c r="QN28" s="390"/>
      <c r="QO28" s="390"/>
      <c r="QP28" s="390"/>
      <c r="QQ28" s="390"/>
      <c r="QR28" s="390"/>
      <c r="QS28" s="390"/>
      <c r="QT28" s="390"/>
      <c r="QU28" s="390"/>
      <c r="QV28" s="390"/>
      <c r="QW28" s="390"/>
      <c r="QX28" s="390"/>
      <c r="QY28" s="390"/>
      <c r="QZ28" s="390"/>
      <c r="RA28" s="390"/>
      <c r="RB28" s="390"/>
      <c r="RC28" s="390"/>
      <c r="RD28" s="390"/>
      <c r="RE28" s="390"/>
      <c r="RF28" s="390"/>
      <c r="RG28" s="390"/>
      <c r="RH28" s="390"/>
      <c r="RI28" s="390"/>
      <c r="RJ28" s="390"/>
      <c r="RK28" s="390"/>
      <c r="RL28" s="390"/>
      <c r="RM28" s="390"/>
      <c r="RN28" s="390"/>
      <c r="RO28" s="390"/>
      <c r="RP28" s="390"/>
      <c r="RQ28" s="390"/>
      <c r="RR28" s="390"/>
      <c r="RS28" s="390"/>
      <c r="RT28" s="390"/>
      <c r="RU28" s="390"/>
      <c r="RV28" s="390"/>
      <c r="RW28" s="390"/>
      <c r="RX28" s="390"/>
      <c r="RY28" s="390"/>
      <c r="RZ28" s="390"/>
      <c r="SA28" s="390"/>
      <c r="SB28" s="390"/>
      <c r="SC28" s="390"/>
      <c r="SD28" s="390"/>
      <c r="SE28" s="390"/>
      <c r="SF28" s="390"/>
      <c r="SG28" s="390"/>
      <c r="SH28" s="390"/>
      <c r="SI28" s="390"/>
      <c r="SJ28" s="390"/>
      <c r="SK28" s="390"/>
      <c r="SL28" s="390"/>
      <c r="SM28" s="390"/>
      <c r="SN28" s="390"/>
      <c r="SO28" s="390"/>
      <c r="SP28" s="390"/>
      <c r="SQ28" s="390"/>
      <c r="SR28" s="390"/>
      <c r="SS28" s="390"/>
      <c r="ST28" s="390"/>
      <c r="SU28" s="390"/>
      <c r="SV28" s="390"/>
      <c r="SW28" s="390"/>
      <c r="SX28" s="390"/>
      <c r="SY28" s="390"/>
      <c r="SZ28" s="390"/>
      <c r="TA28" s="390"/>
      <c r="TB28" s="390"/>
      <c r="TC28" s="390"/>
      <c r="TD28" s="390"/>
      <c r="TE28" s="390"/>
      <c r="TF28" s="390"/>
      <c r="TG28" s="390"/>
      <c r="TH28" s="390"/>
      <c r="TI28" s="390"/>
      <c r="TJ28" s="390"/>
      <c r="TK28" s="390"/>
      <c r="TL28" s="390"/>
      <c r="TM28" s="390"/>
      <c r="TN28" s="390"/>
      <c r="TO28" s="390"/>
      <c r="TP28" s="390"/>
      <c r="TQ28" s="390"/>
      <c r="TR28" s="390"/>
      <c r="TS28" s="390"/>
      <c r="TT28" s="390"/>
      <c r="TU28" s="390"/>
      <c r="TV28" s="390"/>
      <c r="TW28" s="390"/>
      <c r="TX28" s="390"/>
      <c r="TY28" s="390"/>
      <c r="TZ28" s="390"/>
      <c r="UA28" s="390"/>
      <c r="UB28" s="390"/>
      <c r="UC28" s="390"/>
      <c r="UD28" s="390"/>
      <c r="UE28" s="390"/>
      <c r="UF28" s="390"/>
      <c r="UG28" s="390"/>
      <c r="UH28" s="390"/>
      <c r="UI28" s="390"/>
      <c r="UJ28" s="390"/>
      <c r="UK28" s="390"/>
      <c r="UL28" s="390"/>
      <c r="UM28" s="390"/>
      <c r="UN28" s="390"/>
      <c r="UO28" s="390"/>
      <c r="UP28" s="390"/>
      <c r="UQ28" s="390"/>
      <c r="UR28" s="390"/>
      <c r="US28" s="390"/>
      <c r="UT28" s="390"/>
      <c r="UU28" s="390"/>
      <c r="UV28" s="390"/>
      <c r="UW28" s="390"/>
      <c r="UX28" s="390"/>
      <c r="UY28" s="390"/>
      <c r="UZ28" s="390"/>
      <c r="VA28" s="390"/>
      <c r="VB28" s="390"/>
      <c r="VC28" s="390"/>
      <c r="VD28" s="390"/>
      <c r="VE28" s="390"/>
      <c r="VF28" s="390"/>
      <c r="VG28" s="390"/>
      <c r="VH28" s="390"/>
      <c r="VI28" s="390"/>
      <c r="VJ28" s="390"/>
      <c r="VK28" s="390"/>
      <c r="VL28" s="390"/>
      <c r="VM28" s="390"/>
      <c r="VN28" s="390"/>
      <c r="VO28" s="390"/>
      <c r="VP28" s="390"/>
      <c r="VQ28" s="390"/>
      <c r="VR28" s="390"/>
      <c r="VS28" s="390"/>
      <c r="VT28" s="390"/>
      <c r="VU28" s="390"/>
      <c r="VV28" s="390"/>
      <c r="VW28" s="390"/>
      <c r="VX28" s="390"/>
      <c r="VY28" s="390"/>
      <c r="VZ28" s="390"/>
      <c r="WA28" s="390"/>
      <c r="WB28" s="390"/>
      <c r="WC28" s="390"/>
      <c r="WD28" s="390"/>
      <c r="WE28" s="390"/>
      <c r="WF28" s="390"/>
      <c r="WG28" s="390"/>
      <c r="WH28" s="390"/>
      <c r="WI28" s="390"/>
      <c r="WJ28" s="390"/>
      <c r="WK28" s="390"/>
      <c r="WL28" s="390"/>
      <c r="WM28" s="390"/>
      <c r="WN28" s="390"/>
      <c r="WO28" s="390"/>
      <c r="WP28" s="390"/>
      <c r="WQ28" s="390"/>
      <c r="WR28" s="390"/>
      <c r="WS28" s="390"/>
      <c r="WT28" s="390"/>
      <c r="WU28" s="390"/>
      <c r="WV28" s="390"/>
      <c r="WW28" s="390"/>
      <c r="WX28" s="390"/>
      <c r="WY28" s="390"/>
      <c r="WZ28" s="390"/>
      <c r="XA28" s="390"/>
      <c r="XB28" s="390"/>
      <c r="XC28" s="390"/>
      <c r="XD28" s="390"/>
      <c r="XE28" s="390"/>
      <c r="XF28" s="390"/>
      <c r="XG28" s="390"/>
      <c r="XH28" s="390"/>
      <c r="XI28" s="390"/>
      <c r="XJ28" s="390"/>
      <c r="XK28" s="390"/>
      <c r="XL28" s="390"/>
      <c r="XM28" s="390"/>
      <c r="XN28" s="390"/>
      <c r="XO28" s="390"/>
      <c r="XP28" s="390"/>
      <c r="XQ28" s="390"/>
      <c r="XR28" s="390"/>
      <c r="XS28" s="390"/>
      <c r="XT28" s="390"/>
      <c r="XU28" s="390"/>
      <c r="XV28" s="390"/>
      <c r="XW28" s="390"/>
      <c r="XX28" s="390"/>
      <c r="XY28" s="390"/>
      <c r="XZ28" s="390"/>
      <c r="YA28" s="390"/>
      <c r="YB28" s="390"/>
      <c r="YC28" s="390"/>
      <c r="YD28" s="390"/>
      <c r="YE28" s="390"/>
      <c r="YF28" s="390"/>
      <c r="YG28" s="390"/>
      <c r="YH28" s="390"/>
      <c r="YI28" s="390"/>
      <c r="YJ28" s="390"/>
      <c r="YK28" s="390"/>
      <c r="YL28" s="390"/>
      <c r="YM28" s="390"/>
      <c r="YN28" s="390"/>
      <c r="YO28" s="390"/>
      <c r="YP28" s="390"/>
      <c r="YQ28" s="390"/>
      <c r="YR28" s="390"/>
      <c r="YS28" s="390"/>
      <c r="YT28" s="390"/>
      <c r="YU28" s="390"/>
      <c r="YV28" s="390"/>
      <c r="YW28" s="390"/>
      <c r="YX28" s="390"/>
      <c r="YY28" s="390"/>
      <c r="YZ28" s="390"/>
      <c r="ZA28" s="390"/>
      <c r="ZB28" s="390"/>
      <c r="ZC28" s="390"/>
      <c r="ZD28" s="390"/>
      <c r="ZE28" s="390"/>
      <c r="ZF28" s="390"/>
      <c r="ZG28" s="390"/>
      <c r="ZH28" s="390"/>
      <c r="ZI28" s="390"/>
      <c r="ZJ28" s="390"/>
      <c r="ZK28" s="390"/>
      <c r="ZL28" s="390"/>
      <c r="ZM28" s="390"/>
      <c r="ZN28" s="390"/>
      <c r="ZO28" s="390"/>
      <c r="ZP28" s="390"/>
      <c r="ZQ28" s="390"/>
      <c r="ZR28" s="390"/>
      <c r="ZS28" s="390"/>
      <c r="ZT28" s="390"/>
      <c r="ZU28" s="390"/>
      <c r="ZV28" s="390"/>
      <c r="ZW28" s="390"/>
      <c r="ZX28" s="390"/>
      <c r="ZY28" s="390"/>
      <c r="ZZ28" s="390"/>
      <c r="AAA28" s="390"/>
      <c r="AAB28" s="390"/>
      <c r="AAC28" s="390"/>
      <c r="AAD28" s="390"/>
      <c r="AAE28" s="390"/>
      <c r="AAF28" s="390"/>
      <c r="AAG28" s="390"/>
      <c r="AAH28" s="390"/>
      <c r="AAI28" s="390"/>
      <c r="AAJ28" s="390"/>
      <c r="AAK28" s="390"/>
      <c r="AAL28" s="390"/>
      <c r="AAM28" s="390"/>
      <c r="AAN28" s="390"/>
      <c r="AAO28" s="390"/>
      <c r="AAP28" s="390"/>
      <c r="AAQ28" s="390"/>
      <c r="AAR28" s="390"/>
      <c r="AAS28" s="390"/>
      <c r="AAT28" s="390"/>
      <c r="AAU28" s="390"/>
      <c r="AAV28" s="390"/>
      <c r="AAW28" s="390"/>
      <c r="AAX28" s="390"/>
      <c r="AAY28" s="390"/>
      <c r="AAZ28" s="390"/>
      <c r="ABA28" s="390"/>
      <c r="ABB28" s="390"/>
      <c r="ABC28" s="390"/>
      <c r="ABD28" s="390"/>
      <c r="ABE28" s="390"/>
      <c r="ABF28" s="390"/>
      <c r="ABG28" s="390"/>
      <c r="ABH28" s="390"/>
      <c r="ABI28" s="390"/>
      <c r="ABJ28" s="390"/>
      <c r="ABK28" s="390"/>
      <c r="ABL28" s="390"/>
      <c r="ABM28" s="390"/>
      <c r="ABN28" s="390"/>
      <c r="ABO28" s="390"/>
      <c r="ABP28" s="390"/>
      <c r="ABQ28" s="390"/>
      <c r="ABR28" s="390"/>
      <c r="ABS28" s="390"/>
      <c r="ABT28" s="390"/>
      <c r="ABU28" s="390"/>
      <c r="ABV28" s="390"/>
      <c r="ABW28" s="390"/>
      <c r="ABX28" s="390"/>
      <c r="ABY28" s="390"/>
      <c r="ABZ28" s="390"/>
      <c r="ACA28" s="390"/>
      <c r="ACB28" s="390"/>
      <c r="ACC28" s="390"/>
      <c r="ACD28" s="390"/>
      <c r="ACE28" s="390"/>
      <c r="ACF28" s="390"/>
      <c r="ACG28" s="390"/>
      <c r="ACH28" s="390"/>
      <c r="ACI28" s="390"/>
    </row>
    <row r="31" spans="1:763" ht="25.5" customHeight="1" thickBot="1" x14ac:dyDescent="0.35">
      <c r="A31" s="379" t="str">
        <f ca="1">Проект!$A$284</f>
        <v>ПЕРСОНАЛ</v>
      </c>
      <c r="B31" s="382"/>
      <c r="C31" s="385"/>
      <c r="D31" s="386" t="str">
        <f>"2025"</f>
        <v>2025</v>
      </c>
      <c r="E31" s="387" t="str">
        <f>"2026"</f>
        <v>2026</v>
      </c>
      <c r="F31" s="387" t="str">
        <f>"2027"</f>
        <v>2027</v>
      </c>
      <c r="G31" s="387" t="str">
        <f>"2028"</f>
        <v>2028</v>
      </c>
      <c r="H31" s="388" t="str">
        <f ca="1">Проект!$BD$284</f>
        <v>ИТОГО</v>
      </c>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c r="AP31" s="383"/>
      <c r="AQ31" s="383"/>
      <c r="AR31" s="383"/>
      <c r="AS31" s="383"/>
      <c r="AT31" s="383"/>
      <c r="AU31" s="383"/>
      <c r="AV31" s="383"/>
      <c r="AW31" s="383"/>
      <c r="AX31" s="383"/>
      <c r="AY31" s="383"/>
      <c r="AZ31" s="383"/>
      <c r="BA31" s="383"/>
      <c r="BB31" s="383"/>
      <c r="BC31" s="383"/>
      <c r="BD31" s="383"/>
      <c r="BE31" s="383"/>
      <c r="BF31" s="383"/>
      <c r="BG31" s="383"/>
      <c r="BH31" s="383"/>
      <c r="BI31" s="383"/>
      <c r="BJ31" s="383"/>
      <c r="BK31" s="383"/>
      <c r="BL31" s="383"/>
      <c r="BM31" s="383"/>
      <c r="BN31" s="383"/>
      <c r="BO31" s="383"/>
      <c r="BP31" s="383"/>
      <c r="BQ31" s="383"/>
      <c r="BR31" s="383"/>
      <c r="BS31" s="383"/>
      <c r="BT31" s="383"/>
      <c r="BU31" s="383"/>
      <c r="BV31" s="383"/>
      <c r="BW31" s="383"/>
      <c r="BX31" s="383"/>
      <c r="BY31" s="383"/>
      <c r="BZ31" s="383"/>
      <c r="CA31" s="383"/>
      <c r="CB31" s="383"/>
      <c r="CC31" s="383"/>
      <c r="CD31" s="383"/>
      <c r="CE31" s="383"/>
      <c r="CF31" s="383"/>
      <c r="CG31" s="383"/>
      <c r="CH31" s="383"/>
      <c r="CI31" s="383"/>
      <c r="CJ31" s="383"/>
      <c r="CK31" s="383"/>
      <c r="CL31" s="383"/>
      <c r="CM31" s="383"/>
      <c r="CN31" s="383"/>
      <c r="CO31" s="383"/>
      <c r="CP31" s="383"/>
      <c r="CQ31" s="383"/>
      <c r="CR31" s="383"/>
      <c r="CS31" s="383"/>
      <c r="CT31" s="383"/>
      <c r="CU31" s="383"/>
      <c r="CV31" s="383"/>
      <c r="CW31" s="383"/>
      <c r="CX31" s="383"/>
      <c r="CY31" s="383"/>
      <c r="CZ31" s="383"/>
      <c r="DA31" s="383"/>
      <c r="DB31" s="383"/>
      <c r="DC31" s="383"/>
      <c r="DD31" s="383"/>
      <c r="DE31" s="383"/>
      <c r="DF31" s="383"/>
      <c r="DG31" s="383"/>
      <c r="DH31" s="383"/>
      <c r="DI31" s="383"/>
      <c r="DJ31" s="383"/>
      <c r="DK31" s="383"/>
      <c r="DL31" s="383"/>
      <c r="DM31" s="383"/>
      <c r="DN31" s="383"/>
      <c r="DO31" s="383"/>
      <c r="DP31" s="383"/>
      <c r="DQ31" s="383"/>
      <c r="DR31" s="383"/>
      <c r="DS31" s="383"/>
      <c r="DT31" s="383"/>
      <c r="DU31" s="383"/>
      <c r="DV31" s="383"/>
      <c r="DW31" s="383"/>
      <c r="DX31" s="383"/>
      <c r="DY31" s="383"/>
      <c r="DZ31" s="383"/>
      <c r="EA31" s="383"/>
      <c r="EB31" s="383"/>
      <c r="EC31" s="383"/>
      <c r="ED31" s="383"/>
      <c r="EE31" s="383"/>
      <c r="EF31" s="383"/>
      <c r="EG31" s="383"/>
      <c r="EH31" s="383"/>
      <c r="EI31" s="383"/>
      <c r="EJ31" s="383"/>
      <c r="EK31" s="383"/>
      <c r="EL31" s="383"/>
      <c r="EM31" s="383"/>
      <c r="EN31" s="383"/>
      <c r="EO31" s="383"/>
      <c r="EP31" s="383"/>
      <c r="EQ31" s="383"/>
      <c r="ER31" s="383"/>
      <c r="ES31" s="383"/>
      <c r="ET31" s="383"/>
      <c r="EU31" s="383"/>
      <c r="EV31" s="383"/>
      <c r="EW31" s="383"/>
      <c r="EX31" s="383"/>
      <c r="EY31" s="383"/>
      <c r="EZ31" s="383"/>
      <c r="FA31" s="383"/>
      <c r="FB31" s="383"/>
      <c r="FC31" s="383"/>
      <c r="FD31" s="383"/>
      <c r="FE31" s="383"/>
      <c r="FF31" s="383"/>
      <c r="FG31" s="383"/>
      <c r="FH31" s="383"/>
      <c r="FI31" s="383"/>
      <c r="FJ31" s="383"/>
      <c r="FK31" s="383"/>
      <c r="FL31" s="383"/>
      <c r="FM31" s="383"/>
      <c r="FN31" s="383"/>
      <c r="FO31" s="383"/>
      <c r="FP31" s="383"/>
      <c r="FQ31" s="383"/>
      <c r="FR31" s="383"/>
      <c r="FS31" s="383"/>
      <c r="FT31" s="383"/>
      <c r="FU31" s="383"/>
      <c r="FV31" s="383"/>
      <c r="FW31" s="383"/>
      <c r="FX31" s="383"/>
      <c r="FY31" s="383"/>
      <c r="FZ31" s="383"/>
      <c r="GA31" s="383"/>
      <c r="GB31" s="383"/>
      <c r="GC31" s="383"/>
      <c r="GD31" s="383"/>
      <c r="GE31" s="383"/>
      <c r="GF31" s="383"/>
      <c r="GG31" s="383"/>
      <c r="GH31" s="383"/>
      <c r="GI31" s="383"/>
      <c r="GJ31" s="383"/>
      <c r="GK31" s="383"/>
      <c r="GL31" s="383"/>
      <c r="GM31" s="383"/>
      <c r="GN31" s="383"/>
      <c r="GO31" s="383"/>
      <c r="GP31" s="383"/>
      <c r="GQ31" s="383"/>
      <c r="GR31" s="383"/>
      <c r="GS31" s="383"/>
      <c r="GT31" s="383"/>
      <c r="GU31" s="383"/>
      <c r="GV31" s="383"/>
      <c r="GW31" s="383"/>
      <c r="GX31" s="383"/>
      <c r="GY31" s="383"/>
      <c r="GZ31" s="383"/>
      <c r="HA31" s="383"/>
      <c r="HB31" s="383"/>
      <c r="HC31" s="383"/>
      <c r="HD31" s="383"/>
      <c r="HE31" s="383"/>
      <c r="HF31" s="383"/>
      <c r="HG31" s="383"/>
      <c r="HH31" s="383"/>
      <c r="HI31" s="383"/>
      <c r="HJ31" s="383"/>
      <c r="HK31" s="383"/>
      <c r="HL31" s="383"/>
      <c r="HM31" s="383"/>
      <c r="HN31" s="383"/>
      <c r="HO31" s="383"/>
      <c r="HP31" s="383"/>
      <c r="HQ31" s="383"/>
      <c r="HR31" s="383"/>
      <c r="HS31" s="383"/>
      <c r="HT31" s="383"/>
      <c r="HU31" s="383"/>
      <c r="HV31" s="383"/>
      <c r="HW31" s="383"/>
      <c r="HX31" s="383"/>
      <c r="HY31" s="383"/>
      <c r="HZ31" s="383"/>
      <c r="IA31" s="383"/>
      <c r="IB31" s="383"/>
      <c r="IC31" s="383"/>
      <c r="ID31" s="383"/>
      <c r="IE31" s="383"/>
      <c r="IF31" s="383"/>
      <c r="IG31" s="383"/>
      <c r="IH31" s="383"/>
      <c r="II31" s="383"/>
      <c r="IJ31" s="383"/>
      <c r="IK31" s="383"/>
      <c r="IL31" s="383"/>
      <c r="IM31" s="383"/>
      <c r="IN31" s="383"/>
      <c r="IO31" s="383"/>
      <c r="IP31" s="383"/>
      <c r="IQ31" s="383"/>
      <c r="IR31" s="383"/>
      <c r="IS31" s="383"/>
      <c r="IT31" s="383"/>
      <c r="IU31" s="383"/>
      <c r="IV31" s="383"/>
      <c r="IW31" s="383"/>
      <c r="IX31" s="383"/>
      <c r="IY31" s="383"/>
      <c r="IZ31" s="383"/>
      <c r="JA31" s="383"/>
      <c r="JB31" s="383"/>
      <c r="JC31" s="383"/>
      <c r="JD31" s="383"/>
      <c r="JE31" s="383"/>
      <c r="JF31" s="383"/>
      <c r="JG31" s="383"/>
      <c r="JH31" s="383"/>
      <c r="JI31" s="383"/>
      <c r="JJ31" s="383"/>
      <c r="JK31" s="383"/>
      <c r="JL31" s="383"/>
      <c r="JM31" s="383"/>
      <c r="JN31" s="383"/>
      <c r="JO31" s="383"/>
      <c r="JP31" s="383"/>
      <c r="JQ31" s="383"/>
      <c r="JR31" s="383"/>
      <c r="JS31" s="383"/>
      <c r="JT31" s="383"/>
      <c r="JU31" s="383"/>
      <c r="JV31" s="383"/>
      <c r="JW31" s="383"/>
      <c r="JX31" s="383"/>
      <c r="JY31" s="383"/>
      <c r="JZ31" s="383"/>
      <c r="KA31" s="383"/>
      <c r="KB31" s="383"/>
      <c r="KC31" s="383"/>
      <c r="KD31" s="383"/>
      <c r="KE31" s="383"/>
      <c r="KF31" s="383"/>
      <c r="KG31" s="383"/>
      <c r="KH31" s="383"/>
      <c r="KI31" s="383"/>
      <c r="KJ31" s="383"/>
      <c r="KK31" s="383"/>
      <c r="KL31" s="383"/>
      <c r="KM31" s="383"/>
      <c r="KN31" s="383"/>
      <c r="KO31" s="383"/>
      <c r="KP31" s="383"/>
      <c r="KQ31" s="383"/>
      <c r="KR31" s="383"/>
      <c r="KS31" s="383"/>
      <c r="KT31" s="383"/>
      <c r="KU31" s="383"/>
      <c r="KV31" s="383"/>
      <c r="KW31" s="383"/>
      <c r="KX31" s="383"/>
      <c r="KY31" s="383"/>
      <c r="KZ31" s="383"/>
      <c r="LA31" s="383"/>
      <c r="LB31" s="383"/>
      <c r="LC31" s="383"/>
      <c r="LD31" s="383"/>
      <c r="LE31" s="383"/>
      <c r="LF31" s="383"/>
      <c r="LG31" s="383"/>
      <c r="LH31" s="383"/>
      <c r="LI31" s="383"/>
      <c r="LJ31" s="383"/>
      <c r="LK31" s="383"/>
      <c r="LL31" s="383"/>
      <c r="LM31" s="383"/>
      <c r="LN31" s="383"/>
      <c r="LO31" s="383"/>
      <c r="LP31" s="383"/>
      <c r="LQ31" s="383"/>
      <c r="LR31" s="383"/>
      <c r="LS31" s="383"/>
      <c r="LT31" s="383"/>
      <c r="LU31" s="383"/>
      <c r="LV31" s="383"/>
      <c r="LW31" s="383"/>
      <c r="LX31" s="383"/>
      <c r="LY31" s="383"/>
      <c r="LZ31" s="383"/>
      <c r="MA31" s="383"/>
      <c r="MB31" s="383"/>
      <c r="MC31" s="383"/>
      <c r="MD31" s="383"/>
      <c r="ME31" s="383"/>
      <c r="MF31" s="383"/>
      <c r="MG31" s="383"/>
      <c r="MH31" s="383"/>
      <c r="MI31" s="383"/>
      <c r="MJ31" s="383"/>
      <c r="MK31" s="383"/>
      <c r="ML31" s="383"/>
      <c r="MM31" s="383"/>
      <c r="MN31" s="383"/>
      <c r="MO31" s="383"/>
      <c r="MP31" s="383"/>
      <c r="MQ31" s="383"/>
      <c r="MR31" s="383"/>
      <c r="MS31" s="383"/>
      <c r="MT31" s="383"/>
      <c r="MU31" s="383"/>
      <c r="MV31" s="383"/>
      <c r="MW31" s="383"/>
      <c r="MX31" s="383"/>
      <c r="MY31" s="383"/>
      <c r="MZ31" s="383"/>
      <c r="NA31" s="383"/>
      <c r="NB31" s="383"/>
      <c r="NC31" s="383"/>
      <c r="ND31" s="383"/>
      <c r="NE31" s="383"/>
      <c r="NF31" s="383"/>
      <c r="NG31" s="383"/>
      <c r="NH31" s="383"/>
      <c r="NI31" s="383"/>
      <c r="NJ31" s="383"/>
      <c r="NK31" s="383"/>
      <c r="NL31" s="383"/>
      <c r="NM31" s="383"/>
      <c r="NN31" s="383"/>
      <c r="NO31" s="383"/>
      <c r="NP31" s="383"/>
      <c r="NQ31" s="383"/>
      <c r="NR31" s="383"/>
      <c r="NS31" s="383"/>
      <c r="NT31" s="383"/>
      <c r="NU31" s="383"/>
      <c r="NV31" s="383"/>
      <c r="NW31" s="383"/>
      <c r="NX31" s="383"/>
      <c r="NY31" s="383"/>
      <c r="NZ31" s="383"/>
      <c r="OA31" s="383"/>
      <c r="OB31" s="383"/>
      <c r="OC31" s="383"/>
      <c r="OD31" s="383"/>
      <c r="OE31" s="383"/>
      <c r="OF31" s="383"/>
      <c r="OG31" s="383"/>
      <c r="OH31" s="383"/>
      <c r="OI31" s="383"/>
      <c r="OJ31" s="383"/>
      <c r="OK31" s="383"/>
      <c r="OL31" s="383"/>
      <c r="OM31" s="383"/>
      <c r="ON31" s="383"/>
      <c r="OO31" s="383"/>
      <c r="OP31" s="383"/>
      <c r="OQ31" s="383"/>
      <c r="OR31" s="383"/>
      <c r="OS31" s="383"/>
      <c r="OT31" s="383"/>
      <c r="OU31" s="383"/>
      <c r="OV31" s="383"/>
      <c r="OW31" s="383"/>
      <c r="OX31" s="383"/>
      <c r="OY31" s="383"/>
      <c r="OZ31" s="383"/>
      <c r="PA31" s="383"/>
      <c r="PB31" s="383"/>
      <c r="PC31" s="383"/>
      <c r="PD31" s="383"/>
      <c r="PE31" s="383"/>
      <c r="PF31" s="383"/>
      <c r="PG31" s="383"/>
      <c r="PH31" s="383"/>
      <c r="PI31" s="383"/>
      <c r="PJ31" s="383"/>
      <c r="PK31" s="383"/>
      <c r="PL31" s="383"/>
      <c r="PM31" s="383"/>
      <c r="PN31" s="383"/>
      <c r="PO31" s="383"/>
      <c r="PP31" s="383"/>
      <c r="PQ31" s="383"/>
      <c r="PR31" s="383"/>
      <c r="PS31" s="383"/>
      <c r="PT31" s="383"/>
      <c r="PU31" s="383"/>
      <c r="PV31" s="383"/>
      <c r="PW31" s="383"/>
      <c r="PX31" s="383"/>
      <c r="PY31" s="383"/>
      <c r="PZ31" s="383"/>
      <c r="QA31" s="383"/>
      <c r="QB31" s="383"/>
      <c r="QC31" s="383"/>
      <c r="QD31" s="383"/>
      <c r="QE31" s="383"/>
      <c r="QF31" s="383"/>
      <c r="QG31" s="383"/>
      <c r="QH31" s="383"/>
      <c r="QI31" s="383"/>
      <c r="QJ31" s="383"/>
      <c r="QK31" s="383"/>
      <c r="QL31" s="383"/>
      <c r="QM31" s="383"/>
      <c r="QN31" s="383"/>
      <c r="QO31" s="383"/>
      <c r="QP31" s="383"/>
      <c r="QQ31" s="383"/>
      <c r="QR31" s="383"/>
      <c r="QS31" s="383"/>
      <c r="QT31" s="383"/>
      <c r="QU31" s="383"/>
      <c r="QV31" s="383"/>
      <c r="QW31" s="383"/>
      <c r="QX31" s="383"/>
      <c r="QY31" s="383"/>
      <c r="QZ31" s="383"/>
      <c r="RA31" s="383"/>
      <c r="RB31" s="383"/>
      <c r="RC31" s="383"/>
      <c r="RD31" s="383"/>
      <c r="RE31" s="383"/>
      <c r="RF31" s="383"/>
      <c r="RG31" s="383"/>
      <c r="RH31" s="383"/>
      <c r="RI31" s="383"/>
      <c r="RJ31" s="383"/>
      <c r="RK31" s="383"/>
      <c r="RL31" s="383"/>
      <c r="RM31" s="383"/>
      <c r="RN31" s="383"/>
      <c r="RO31" s="383"/>
      <c r="RP31" s="383"/>
      <c r="RQ31" s="383"/>
      <c r="RR31" s="383"/>
      <c r="RS31" s="383"/>
      <c r="RT31" s="383"/>
      <c r="RU31" s="383"/>
      <c r="RV31" s="383"/>
      <c r="RW31" s="383"/>
      <c r="RX31" s="383"/>
      <c r="RY31" s="383"/>
      <c r="RZ31" s="383"/>
      <c r="SA31" s="383"/>
      <c r="SB31" s="383"/>
      <c r="SC31" s="383"/>
      <c r="SD31" s="383"/>
      <c r="SE31" s="383"/>
      <c r="SF31" s="383"/>
      <c r="SG31" s="383"/>
      <c r="SH31" s="383"/>
      <c r="SI31" s="383"/>
      <c r="SJ31" s="383"/>
      <c r="SK31" s="383"/>
      <c r="SL31" s="383"/>
      <c r="SM31" s="383"/>
      <c r="SN31" s="383"/>
      <c r="SO31" s="383"/>
      <c r="SP31" s="383"/>
      <c r="SQ31" s="383"/>
      <c r="SR31" s="383"/>
      <c r="SS31" s="383"/>
      <c r="ST31" s="383"/>
      <c r="SU31" s="383"/>
      <c r="SV31" s="383"/>
      <c r="SW31" s="383"/>
      <c r="SX31" s="383"/>
      <c r="SY31" s="383"/>
      <c r="SZ31" s="383"/>
      <c r="TA31" s="383"/>
      <c r="TB31" s="383"/>
      <c r="TC31" s="383"/>
      <c r="TD31" s="383"/>
      <c r="TE31" s="383"/>
      <c r="TF31" s="383"/>
      <c r="TG31" s="383"/>
      <c r="TH31" s="383"/>
      <c r="TI31" s="383"/>
      <c r="TJ31" s="383"/>
      <c r="TK31" s="383"/>
      <c r="TL31" s="383"/>
      <c r="TM31" s="383"/>
      <c r="TN31" s="383"/>
      <c r="TO31" s="383"/>
      <c r="TP31" s="383"/>
      <c r="TQ31" s="383"/>
      <c r="TR31" s="383"/>
      <c r="TS31" s="383"/>
      <c r="TT31" s="383"/>
      <c r="TU31" s="383"/>
      <c r="TV31" s="383"/>
      <c r="TW31" s="383"/>
      <c r="TX31" s="383"/>
      <c r="TY31" s="383"/>
      <c r="TZ31" s="383"/>
      <c r="UA31" s="383"/>
      <c r="UB31" s="383"/>
      <c r="UC31" s="383"/>
      <c r="UD31" s="383"/>
      <c r="UE31" s="383"/>
      <c r="UF31" s="383"/>
      <c r="UG31" s="383"/>
      <c r="UH31" s="383"/>
      <c r="UI31" s="383"/>
      <c r="UJ31" s="383"/>
      <c r="UK31" s="383"/>
      <c r="UL31" s="383"/>
      <c r="UM31" s="383"/>
      <c r="UN31" s="383"/>
      <c r="UO31" s="383"/>
      <c r="UP31" s="383"/>
      <c r="UQ31" s="383"/>
      <c r="UR31" s="383"/>
      <c r="US31" s="383"/>
      <c r="UT31" s="383"/>
      <c r="UU31" s="383"/>
      <c r="UV31" s="383"/>
      <c r="UW31" s="383"/>
      <c r="UX31" s="383"/>
      <c r="UY31" s="383"/>
      <c r="UZ31" s="383"/>
      <c r="VA31" s="383"/>
      <c r="VB31" s="383"/>
      <c r="VC31" s="383"/>
      <c r="VD31" s="383"/>
      <c r="VE31" s="383"/>
      <c r="VF31" s="383"/>
      <c r="VG31" s="383"/>
      <c r="VH31" s="383"/>
      <c r="VI31" s="383"/>
      <c r="VJ31" s="383"/>
      <c r="VK31" s="383"/>
      <c r="VL31" s="383"/>
      <c r="VM31" s="383"/>
      <c r="VN31" s="383"/>
      <c r="VO31" s="383"/>
      <c r="VP31" s="383"/>
      <c r="VQ31" s="383"/>
      <c r="VR31" s="383"/>
      <c r="VS31" s="383"/>
      <c r="VT31" s="383"/>
      <c r="VU31" s="383"/>
      <c r="VV31" s="383"/>
      <c r="VW31" s="383"/>
      <c r="VX31" s="383"/>
      <c r="VY31" s="383"/>
      <c r="VZ31" s="383"/>
      <c r="WA31" s="383"/>
      <c r="WB31" s="383"/>
      <c r="WC31" s="383"/>
      <c r="WD31" s="383"/>
      <c r="WE31" s="383"/>
      <c r="WF31" s="383"/>
      <c r="WG31" s="383"/>
      <c r="WH31" s="383"/>
      <c r="WI31" s="383"/>
      <c r="WJ31" s="383"/>
      <c r="WK31" s="383"/>
      <c r="WL31" s="383"/>
      <c r="WM31" s="383"/>
      <c r="WN31" s="383"/>
      <c r="WO31" s="383"/>
      <c r="WP31" s="383"/>
      <c r="WQ31" s="383"/>
      <c r="WR31" s="383"/>
      <c r="WS31" s="383"/>
      <c r="WT31" s="383"/>
      <c r="WU31" s="383"/>
      <c r="WV31" s="383"/>
      <c r="WW31" s="383"/>
      <c r="WX31" s="383"/>
      <c r="WY31" s="383"/>
      <c r="WZ31" s="383"/>
      <c r="XA31" s="383"/>
      <c r="XB31" s="383"/>
      <c r="XC31" s="383"/>
      <c r="XD31" s="383"/>
      <c r="XE31" s="383"/>
      <c r="XF31" s="383"/>
      <c r="XG31" s="383"/>
      <c r="XH31" s="383"/>
      <c r="XI31" s="383"/>
      <c r="XJ31" s="383"/>
      <c r="XK31" s="383"/>
      <c r="XL31" s="383"/>
      <c r="XM31" s="383"/>
      <c r="XN31" s="383"/>
      <c r="XO31" s="383"/>
      <c r="XP31" s="383"/>
      <c r="XQ31" s="383"/>
      <c r="XR31" s="383"/>
      <c r="XS31" s="383"/>
      <c r="XT31" s="383"/>
      <c r="XU31" s="383"/>
      <c r="XV31" s="383"/>
      <c r="XW31" s="383"/>
      <c r="XX31" s="383"/>
      <c r="XY31" s="383"/>
      <c r="XZ31" s="383"/>
      <c r="YA31" s="383"/>
      <c r="YB31" s="383"/>
      <c r="YC31" s="383"/>
      <c r="YD31" s="383"/>
      <c r="YE31" s="383"/>
      <c r="YF31" s="383"/>
      <c r="YG31" s="383"/>
      <c r="YH31" s="383"/>
      <c r="YI31" s="383"/>
      <c r="YJ31" s="383"/>
      <c r="YK31" s="383"/>
      <c r="YL31" s="383"/>
      <c r="YM31" s="383"/>
      <c r="YN31" s="383"/>
      <c r="YO31" s="383"/>
      <c r="YP31" s="383"/>
      <c r="YQ31" s="383"/>
      <c r="YR31" s="383"/>
      <c r="YS31" s="383"/>
      <c r="YT31" s="383"/>
      <c r="YU31" s="383"/>
      <c r="YV31" s="383"/>
      <c r="YW31" s="383"/>
      <c r="YX31" s="383"/>
      <c r="YY31" s="383"/>
      <c r="YZ31" s="383"/>
      <c r="ZA31" s="383"/>
      <c r="ZB31" s="383"/>
      <c r="ZC31" s="383"/>
      <c r="ZD31" s="383"/>
      <c r="ZE31" s="383"/>
      <c r="ZF31" s="383"/>
      <c r="ZG31" s="383"/>
      <c r="ZH31" s="383"/>
      <c r="ZI31" s="383"/>
      <c r="ZJ31" s="383"/>
      <c r="ZK31" s="383"/>
      <c r="ZL31" s="383"/>
      <c r="ZM31" s="383"/>
      <c r="ZN31" s="383"/>
      <c r="ZO31" s="383"/>
      <c r="ZP31" s="383"/>
      <c r="ZQ31" s="383"/>
      <c r="ZR31" s="383"/>
      <c r="ZS31" s="383"/>
      <c r="ZT31" s="383"/>
      <c r="ZU31" s="383"/>
      <c r="ZV31" s="383"/>
      <c r="ZW31" s="383"/>
      <c r="ZX31" s="383"/>
      <c r="ZY31" s="383"/>
      <c r="ZZ31" s="383"/>
      <c r="AAA31" s="383"/>
      <c r="AAB31" s="383"/>
      <c r="AAC31" s="383"/>
      <c r="AAD31" s="383"/>
      <c r="AAE31" s="383"/>
      <c r="AAF31" s="383"/>
      <c r="AAG31" s="383"/>
      <c r="AAH31" s="383"/>
      <c r="AAI31" s="383"/>
      <c r="AAJ31" s="383"/>
      <c r="AAK31" s="383"/>
      <c r="AAL31" s="383"/>
      <c r="AAM31" s="383"/>
      <c r="AAN31" s="383"/>
      <c r="AAO31" s="383"/>
      <c r="AAP31" s="383"/>
      <c r="AAQ31" s="383"/>
      <c r="AAR31" s="383"/>
      <c r="AAS31" s="383"/>
      <c r="AAT31" s="383"/>
      <c r="AAU31" s="383"/>
      <c r="AAV31" s="383"/>
      <c r="AAW31" s="383"/>
      <c r="AAX31" s="383"/>
      <c r="AAY31" s="383"/>
      <c r="AAZ31" s="383"/>
      <c r="ABA31" s="383"/>
      <c r="ABB31" s="383"/>
      <c r="ABC31" s="383"/>
      <c r="ABD31" s="383"/>
      <c r="ABE31" s="383"/>
      <c r="ABF31" s="383"/>
      <c r="ABG31" s="383"/>
      <c r="ABH31" s="383"/>
      <c r="ABI31" s="383"/>
      <c r="ABJ31" s="383"/>
      <c r="ABK31" s="383"/>
      <c r="ABL31" s="383"/>
      <c r="ABM31" s="383"/>
      <c r="ABN31" s="383"/>
      <c r="ABO31" s="383"/>
      <c r="ABP31" s="383"/>
      <c r="ABQ31" s="383"/>
      <c r="ABR31" s="383"/>
      <c r="ABS31" s="383"/>
      <c r="ABT31" s="383"/>
      <c r="ABU31" s="383"/>
      <c r="ABV31" s="383"/>
      <c r="ABW31" s="383"/>
      <c r="ABX31" s="383"/>
      <c r="ABY31" s="383"/>
      <c r="ABZ31" s="383"/>
      <c r="ACA31" s="383"/>
      <c r="ACB31" s="383"/>
      <c r="ACC31" s="383"/>
      <c r="ACD31" s="383"/>
      <c r="ACE31" s="383"/>
      <c r="ACF31" s="383"/>
      <c r="ACG31" s="383"/>
      <c r="ACH31" s="383"/>
      <c r="ACI31" s="383"/>
    </row>
    <row r="32" spans="1:763" ht="15" customHeight="1" thickTop="1" x14ac:dyDescent="0.3">
      <c r="A32" s="389"/>
      <c r="B32" s="390"/>
      <c r="C32" s="390"/>
      <c r="D32" s="390"/>
      <c r="E32" s="390"/>
      <c r="F32" s="390"/>
      <c r="G32" s="390"/>
      <c r="H32" s="396"/>
      <c r="I32" s="390"/>
      <c r="J32" s="390"/>
      <c r="K32" s="390"/>
      <c r="L32" s="390"/>
      <c r="M32" s="390"/>
      <c r="N32" s="390"/>
      <c r="O32" s="390"/>
      <c r="P32" s="390"/>
      <c r="Q32" s="390"/>
      <c r="R32" s="390"/>
      <c r="S32" s="390"/>
      <c r="T32" s="390"/>
      <c r="U32" s="390"/>
      <c r="V32" s="390"/>
      <c r="W32" s="390"/>
      <c r="X32" s="390"/>
      <c r="Y32" s="390"/>
      <c r="Z32" s="390"/>
      <c r="AA32" s="390"/>
      <c r="AB32" s="390"/>
      <c r="AC32" s="390"/>
      <c r="AD32" s="390"/>
      <c r="AE32" s="390"/>
      <c r="AF32" s="390"/>
      <c r="AG32" s="390"/>
      <c r="AH32" s="390"/>
      <c r="AI32" s="390"/>
      <c r="AJ32" s="390"/>
      <c r="AK32" s="390"/>
      <c r="AL32" s="390"/>
      <c r="AM32" s="390"/>
      <c r="AN32" s="390"/>
      <c r="AO32" s="390"/>
      <c r="AP32" s="390"/>
      <c r="AQ32" s="390"/>
      <c r="AR32" s="390"/>
      <c r="AS32" s="390"/>
      <c r="AT32" s="390"/>
      <c r="AU32" s="390"/>
      <c r="AV32" s="390"/>
      <c r="AW32" s="390"/>
      <c r="AX32" s="390"/>
      <c r="AY32" s="390"/>
      <c r="AZ32" s="390"/>
      <c r="BA32" s="390"/>
      <c r="BB32" s="390"/>
      <c r="BC32" s="390"/>
      <c r="BD32" s="390"/>
      <c r="BE32" s="390"/>
      <c r="BF32" s="390"/>
      <c r="BG32" s="390"/>
      <c r="BH32" s="390"/>
      <c r="BI32" s="390"/>
      <c r="BJ32" s="390"/>
      <c r="BK32" s="390"/>
      <c r="BL32" s="390"/>
      <c r="BM32" s="390"/>
      <c r="BN32" s="390"/>
      <c r="BO32" s="390"/>
      <c r="BP32" s="390"/>
      <c r="BQ32" s="390"/>
      <c r="BR32" s="390"/>
      <c r="BS32" s="390"/>
      <c r="BT32" s="390"/>
      <c r="BU32" s="390"/>
      <c r="BV32" s="390"/>
      <c r="BW32" s="390"/>
      <c r="BX32" s="390"/>
      <c r="BY32" s="390"/>
      <c r="BZ32" s="390"/>
      <c r="CA32" s="390"/>
      <c r="CB32" s="390"/>
      <c r="CC32" s="390"/>
      <c r="CD32" s="390"/>
      <c r="CE32" s="390"/>
      <c r="CF32" s="390"/>
      <c r="CG32" s="390"/>
      <c r="CH32" s="390"/>
      <c r="CI32" s="390"/>
      <c r="CJ32" s="390"/>
      <c r="CK32" s="390"/>
      <c r="CL32" s="390"/>
      <c r="CM32" s="390"/>
      <c r="CN32" s="390"/>
      <c r="CO32" s="390"/>
      <c r="CP32" s="390"/>
      <c r="CQ32" s="390"/>
      <c r="CR32" s="390"/>
      <c r="CS32" s="390"/>
      <c r="CT32" s="390"/>
      <c r="CU32" s="390"/>
      <c r="CV32" s="390"/>
      <c r="CW32" s="390"/>
      <c r="CX32" s="390"/>
      <c r="CY32" s="390"/>
      <c r="CZ32" s="390"/>
      <c r="DA32" s="390"/>
      <c r="DB32" s="390"/>
      <c r="DC32" s="390"/>
      <c r="DD32" s="390"/>
      <c r="DE32" s="390"/>
      <c r="DF32" s="390"/>
      <c r="DG32" s="390"/>
      <c r="DH32" s="390"/>
      <c r="DI32" s="390"/>
      <c r="DJ32" s="390"/>
      <c r="DK32" s="390"/>
      <c r="DL32" s="390"/>
      <c r="DM32" s="390"/>
      <c r="DN32" s="390"/>
      <c r="DO32" s="390"/>
      <c r="DP32" s="390"/>
      <c r="DQ32" s="390"/>
      <c r="DR32" s="390"/>
      <c r="DS32" s="390"/>
      <c r="DT32" s="390"/>
      <c r="DU32" s="390"/>
      <c r="DV32" s="390"/>
      <c r="DW32" s="390"/>
      <c r="DX32" s="390"/>
      <c r="DY32" s="390"/>
      <c r="DZ32" s="390"/>
      <c r="EA32" s="390"/>
      <c r="EB32" s="390"/>
      <c r="EC32" s="390"/>
      <c r="ED32" s="390"/>
      <c r="EE32" s="390"/>
      <c r="EF32" s="390"/>
      <c r="EG32" s="390"/>
      <c r="EH32" s="390"/>
      <c r="EI32" s="390"/>
      <c r="EJ32" s="390"/>
      <c r="EK32" s="390"/>
      <c r="EL32" s="390"/>
      <c r="EM32" s="390"/>
      <c r="EN32" s="390"/>
      <c r="EO32" s="390"/>
      <c r="EP32" s="390"/>
      <c r="EQ32" s="390"/>
      <c r="ER32" s="390"/>
      <c r="ES32" s="390"/>
      <c r="ET32" s="390"/>
      <c r="EU32" s="390"/>
      <c r="EV32" s="390"/>
      <c r="EW32" s="390"/>
      <c r="EX32" s="390"/>
      <c r="EY32" s="390"/>
      <c r="EZ32" s="390"/>
      <c r="FA32" s="390"/>
      <c r="FB32" s="390"/>
      <c r="FC32" s="390"/>
      <c r="FD32" s="390"/>
      <c r="FE32" s="390"/>
      <c r="FF32" s="390"/>
      <c r="FG32" s="390"/>
      <c r="FH32" s="390"/>
      <c r="FI32" s="390"/>
      <c r="FJ32" s="390"/>
      <c r="FK32" s="390"/>
      <c r="FL32" s="390"/>
      <c r="FM32" s="390"/>
      <c r="FN32" s="390"/>
      <c r="FO32" s="390"/>
      <c r="FP32" s="390"/>
      <c r="FQ32" s="390"/>
      <c r="FR32" s="390"/>
      <c r="FS32" s="390"/>
      <c r="FT32" s="390"/>
      <c r="FU32" s="390"/>
      <c r="FV32" s="390"/>
      <c r="FW32" s="390"/>
      <c r="FX32" s="390"/>
      <c r="FY32" s="390"/>
      <c r="FZ32" s="390"/>
      <c r="GA32" s="390"/>
      <c r="GB32" s="390"/>
      <c r="GC32" s="390"/>
      <c r="GD32" s="390"/>
      <c r="GE32" s="390"/>
      <c r="GF32" s="390"/>
      <c r="GG32" s="390"/>
      <c r="GH32" s="390"/>
      <c r="GI32" s="390"/>
      <c r="GJ32" s="390"/>
      <c r="GK32" s="390"/>
      <c r="GL32" s="390"/>
      <c r="GM32" s="390"/>
      <c r="GN32" s="390"/>
      <c r="GO32" s="390"/>
      <c r="GP32" s="390"/>
      <c r="GQ32" s="390"/>
      <c r="GR32" s="390"/>
      <c r="GS32" s="390"/>
      <c r="GT32" s="390"/>
      <c r="GU32" s="390"/>
      <c r="GV32" s="390"/>
      <c r="GW32" s="390"/>
      <c r="GX32" s="390"/>
      <c r="GY32" s="390"/>
      <c r="GZ32" s="390"/>
      <c r="HA32" s="390"/>
      <c r="HB32" s="390"/>
      <c r="HC32" s="390"/>
      <c r="HD32" s="390"/>
      <c r="HE32" s="390"/>
      <c r="HF32" s="390"/>
      <c r="HG32" s="390"/>
      <c r="HH32" s="390"/>
      <c r="HI32" s="390"/>
      <c r="HJ32" s="390"/>
      <c r="HK32" s="390"/>
      <c r="HL32" s="390"/>
      <c r="HM32" s="390"/>
      <c r="HN32" s="390"/>
      <c r="HO32" s="390"/>
      <c r="HP32" s="390"/>
      <c r="HQ32" s="390"/>
      <c r="HR32" s="390"/>
      <c r="HS32" s="390"/>
      <c r="HT32" s="390"/>
      <c r="HU32" s="390"/>
      <c r="HV32" s="390"/>
      <c r="HW32" s="390"/>
      <c r="HX32" s="390"/>
      <c r="HY32" s="390"/>
      <c r="HZ32" s="390"/>
      <c r="IA32" s="390"/>
      <c r="IB32" s="390"/>
      <c r="IC32" s="390"/>
      <c r="ID32" s="390"/>
      <c r="IE32" s="390"/>
      <c r="IF32" s="390"/>
      <c r="IG32" s="390"/>
      <c r="IH32" s="390"/>
      <c r="II32" s="390"/>
      <c r="IJ32" s="390"/>
      <c r="IK32" s="390"/>
      <c r="IL32" s="390"/>
      <c r="IM32" s="390"/>
      <c r="IN32" s="390"/>
      <c r="IO32" s="390"/>
      <c r="IP32" s="390"/>
      <c r="IQ32" s="390"/>
      <c r="IR32" s="390"/>
      <c r="IS32" s="390"/>
      <c r="IT32" s="390"/>
      <c r="IU32" s="390"/>
      <c r="IV32" s="390"/>
      <c r="IW32" s="390"/>
      <c r="IX32" s="390"/>
      <c r="IY32" s="390"/>
      <c r="IZ32" s="390"/>
      <c r="JA32" s="390"/>
      <c r="JB32" s="390"/>
      <c r="JC32" s="390"/>
      <c r="JD32" s="390"/>
      <c r="JE32" s="390"/>
      <c r="JF32" s="390"/>
      <c r="JG32" s="390"/>
      <c r="JH32" s="390"/>
      <c r="JI32" s="390"/>
      <c r="JJ32" s="390"/>
      <c r="JK32" s="390"/>
      <c r="JL32" s="390"/>
      <c r="JM32" s="390"/>
      <c r="JN32" s="390"/>
      <c r="JO32" s="390"/>
      <c r="JP32" s="390"/>
      <c r="JQ32" s="390"/>
      <c r="JR32" s="390"/>
      <c r="JS32" s="390"/>
      <c r="JT32" s="390"/>
      <c r="JU32" s="390"/>
      <c r="JV32" s="390"/>
      <c r="JW32" s="390"/>
      <c r="JX32" s="390"/>
      <c r="JY32" s="390"/>
      <c r="JZ32" s="390"/>
      <c r="KA32" s="390"/>
      <c r="KB32" s="390"/>
      <c r="KC32" s="390"/>
      <c r="KD32" s="390"/>
      <c r="KE32" s="390"/>
      <c r="KF32" s="390"/>
      <c r="KG32" s="390"/>
      <c r="KH32" s="390"/>
      <c r="KI32" s="390"/>
      <c r="KJ32" s="390"/>
      <c r="KK32" s="390"/>
      <c r="KL32" s="390"/>
      <c r="KM32" s="390"/>
      <c r="KN32" s="390"/>
      <c r="KO32" s="390"/>
      <c r="KP32" s="390"/>
      <c r="KQ32" s="390"/>
      <c r="KR32" s="390"/>
      <c r="KS32" s="390"/>
      <c r="KT32" s="390"/>
      <c r="KU32" s="390"/>
      <c r="KV32" s="390"/>
      <c r="KW32" s="390"/>
      <c r="KX32" s="390"/>
      <c r="KY32" s="390"/>
      <c r="KZ32" s="390"/>
      <c r="LA32" s="390"/>
      <c r="LB32" s="390"/>
      <c r="LC32" s="390"/>
      <c r="LD32" s="390"/>
      <c r="LE32" s="390"/>
      <c r="LF32" s="390"/>
      <c r="LG32" s="390"/>
      <c r="LH32" s="390"/>
      <c r="LI32" s="390"/>
      <c r="LJ32" s="390"/>
      <c r="LK32" s="390"/>
      <c r="LL32" s="390"/>
      <c r="LM32" s="390"/>
      <c r="LN32" s="390"/>
      <c r="LO32" s="390"/>
      <c r="LP32" s="390"/>
      <c r="LQ32" s="390"/>
      <c r="LR32" s="390"/>
      <c r="LS32" s="390"/>
      <c r="LT32" s="390"/>
      <c r="LU32" s="390"/>
      <c r="LV32" s="390"/>
      <c r="LW32" s="390"/>
      <c r="LX32" s="390"/>
      <c r="LY32" s="390"/>
      <c r="LZ32" s="390"/>
      <c r="MA32" s="390"/>
      <c r="MB32" s="390"/>
      <c r="MC32" s="390"/>
      <c r="MD32" s="390"/>
      <c r="ME32" s="390"/>
      <c r="MF32" s="390"/>
      <c r="MG32" s="390"/>
      <c r="MH32" s="390"/>
      <c r="MI32" s="390"/>
      <c r="MJ32" s="390"/>
      <c r="MK32" s="390"/>
      <c r="ML32" s="390"/>
      <c r="MM32" s="390"/>
      <c r="MN32" s="390"/>
      <c r="MO32" s="390"/>
      <c r="MP32" s="390"/>
      <c r="MQ32" s="390"/>
      <c r="MR32" s="390"/>
      <c r="MS32" s="390"/>
      <c r="MT32" s="390"/>
      <c r="MU32" s="390"/>
      <c r="MV32" s="390"/>
      <c r="MW32" s="390"/>
      <c r="MX32" s="390"/>
      <c r="MY32" s="390"/>
      <c r="MZ32" s="390"/>
      <c r="NA32" s="390"/>
      <c r="NB32" s="390"/>
      <c r="NC32" s="390"/>
      <c r="ND32" s="390"/>
      <c r="NE32" s="390"/>
      <c r="NF32" s="390"/>
      <c r="NG32" s="390"/>
      <c r="NH32" s="390"/>
      <c r="NI32" s="390"/>
      <c r="NJ32" s="390"/>
      <c r="NK32" s="390"/>
      <c r="NL32" s="390"/>
      <c r="NM32" s="390"/>
      <c r="NN32" s="390"/>
      <c r="NO32" s="390"/>
      <c r="NP32" s="390"/>
      <c r="NQ32" s="390"/>
      <c r="NR32" s="390"/>
      <c r="NS32" s="390"/>
      <c r="NT32" s="390"/>
      <c r="NU32" s="390"/>
      <c r="NV32" s="390"/>
      <c r="NW32" s="390"/>
      <c r="NX32" s="390"/>
      <c r="NY32" s="390"/>
      <c r="NZ32" s="390"/>
      <c r="OA32" s="390"/>
      <c r="OB32" s="390"/>
      <c r="OC32" s="390"/>
      <c r="OD32" s="390"/>
      <c r="OE32" s="390"/>
      <c r="OF32" s="390"/>
      <c r="OG32" s="390"/>
      <c r="OH32" s="390"/>
      <c r="OI32" s="390"/>
      <c r="OJ32" s="390"/>
      <c r="OK32" s="390"/>
      <c r="OL32" s="390"/>
      <c r="OM32" s="390"/>
      <c r="ON32" s="390"/>
      <c r="OO32" s="390"/>
      <c r="OP32" s="390"/>
      <c r="OQ32" s="390"/>
      <c r="OR32" s="390"/>
      <c r="OS32" s="390"/>
      <c r="OT32" s="390"/>
      <c r="OU32" s="390"/>
      <c r="OV32" s="390"/>
      <c r="OW32" s="390"/>
      <c r="OX32" s="390"/>
      <c r="OY32" s="390"/>
      <c r="OZ32" s="390"/>
      <c r="PA32" s="390"/>
      <c r="PB32" s="390"/>
      <c r="PC32" s="390"/>
      <c r="PD32" s="390"/>
      <c r="PE32" s="390"/>
      <c r="PF32" s="390"/>
      <c r="PG32" s="390"/>
      <c r="PH32" s="390"/>
      <c r="PI32" s="390"/>
      <c r="PJ32" s="390"/>
      <c r="PK32" s="390"/>
      <c r="PL32" s="390"/>
      <c r="PM32" s="390"/>
      <c r="PN32" s="390"/>
      <c r="PO32" s="390"/>
      <c r="PP32" s="390"/>
      <c r="PQ32" s="390"/>
      <c r="PR32" s="390"/>
      <c r="PS32" s="390"/>
      <c r="PT32" s="390"/>
      <c r="PU32" s="390"/>
      <c r="PV32" s="390"/>
      <c r="PW32" s="390"/>
      <c r="PX32" s="390"/>
      <c r="PY32" s="390"/>
      <c r="PZ32" s="390"/>
      <c r="QA32" s="390"/>
      <c r="QB32" s="390"/>
      <c r="QC32" s="390"/>
      <c r="QD32" s="390"/>
      <c r="QE32" s="390"/>
      <c r="QF32" s="390"/>
      <c r="QG32" s="390"/>
      <c r="QH32" s="390"/>
      <c r="QI32" s="390"/>
      <c r="QJ32" s="390"/>
      <c r="QK32" s="390"/>
      <c r="QL32" s="390"/>
      <c r="QM32" s="390"/>
      <c r="QN32" s="390"/>
      <c r="QO32" s="390"/>
      <c r="QP32" s="390"/>
      <c r="QQ32" s="390"/>
      <c r="QR32" s="390"/>
      <c r="QS32" s="390"/>
      <c r="QT32" s="390"/>
      <c r="QU32" s="390"/>
      <c r="QV32" s="390"/>
      <c r="QW32" s="390"/>
      <c r="QX32" s="390"/>
      <c r="QY32" s="390"/>
      <c r="QZ32" s="390"/>
      <c r="RA32" s="390"/>
      <c r="RB32" s="390"/>
      <c r="RC32" s="390"/>
      <c r="RD32" s="390"/>
      <c r="RE32" s="390"/>
      <c r="RF32" s="390"/>
      <c r="RG32" s="390"/>
      <c r="RH32" s="390"/>
      <c r="RI32" s="390"/>
      <c r="RJ32" s="390"/>
      <c r="RK32" s="390"/>
      <c r="RL32" s="390"/>
      <c r="RM32" s="390"/>
      <c r="RN32" s="390"/>
      <c r="RO32" s="390"/>
      <c r="RP32" s="390"/>
      <c r="RQ32" s="390"/>
      <c r="RR32" s="390"/>
      <c r="RS32" s="390"/>
      <c r="RT32" s="390"/>
      <c r="RU32" s="390"/>
      <c r="RV32" s="390"/>
      <c r="RW32" s="390"/>
      <c r="RX32" s="390"/>
      <c r="RY32" s="390"/>
      <c r="RZ32" s="390"/>
      <c r="SA32" s="390"/>
      <c r="SB32" s="390"/>
      <c r="SC32" s="390"/>
      <c r="SD32" s="390"/>
      <c r="SE32" s="390"/>
      <c r="SF32" s="390"/>
      <c r="SG32" s="390"/>
      <c r="SH32" s="390"/>
      <c r="SI32" s="390"/>
      <c r="SJ32" s="390"/>
      <c r="SK32" s="390"/>
      <c r="SL32" s="390"/>
      <c r="SM32" s="390"/>
      <c r="SN32" s="390"/>
      <c r="SO32" s="390"/>
      <c r="SP32" s="390"/>
      <c r="SQ32" s="390"/>
      <c r="SR32" s="390"/>
      <c r="SS32" s="390"/>
      <c r="ST32" s="390"/>
      <c r="SU32" s="390"/>
      <c r="SV32" s="390"/>
      <c r="SW32" s="390"/>
      <c r="SX32" s="390"/>
      <c r="SY32" s="390"/>
      <c r="SZ32" s="390"/>
      <c r="TA32" s="390"/>
      <c r="TB32" s="390"/>
      <c r="TC32" s="390"/>
      <c r="TD32" s="390"/>
      <c r="TE32" s="390"/>
      <c r="TF32" s="390"/>
      <c r="TG32" s="390"/>
      <c r="TH32" s="390"/>
      <c r="TI32" s="390"/>
      <c r="TJ32" s="390"/>
      <c r="TK32" s="390"/>
      <c r="TL32" s="390"/>
      <c r="TM32" s="390"/>
      <c r="TN32" s="390"/>
      <c r="TO32" s="390"/>
      <c r="TP32" s="390"/>
      <c r="TQ32" s="390"/>
      <c r="TR32" s="390"/>
      <c r="TS32" s="390"/>
      <c r="TT32" s="390"/>
      <c r="TU32" s="390"/>
      <c r="TV32" s="390"/>
      <c r="TW32" s="390"/>
      <c r="TX32" s="390"/>
      <c r="TY32" s="390"/>
      <c r="TZ32" s="390"/>
      <c r="UA32" s="390"/>
      <c r="UB32" s="390"/>
      <c r="UC32" s="390"/>
      <c r="UD32" s="390"/>
      <c r="UE32" s="390"/>
      <c r="UF32" s="390"/>
      <c r="UG32" s="390"/>
      <c r="UH32" s="390"/>
      <c r="UI32" s="390"/>
      <c r="UJ32" s="390"/>
      <c r="UK32" s="390"/>
      <c r="UL32" s="390"/>
      <c r="UM32" s="390"/>
      <c r="UN32" s="390"/>
      <c r="UO32" s="390"/>
      <c r="UP32" s="390"/>
      <c r="UQ32" s="390"/>
      <c r="UR32" s="390"/>
      <c r="US32" s="390"/>
      <c r="UT32" s="390"/>
      <c r="UU32" s="390"/>
      <c r="UV32" s="390"/>
      <c r="UW32" s="390"/>
      <c r="UX32" s="390"/>
      <c r="UY32" s="390"/>
      <c r="UZ32" s="390"/>
      <c r="VA32" s="390"/>
      <c r="VB32" s="390"/>
      <c r="VC32" s="390"/>
      <c r="VD32" s="390"/>
      <c r="VE32" s="390"/>
      <c r="VF32" s="390"/>
      <c r="VG32" s="390"/>
      <c r="VH32" s="390"/>
      <c r="VI32" s="390"/>
      <c r="VJ32" s="390"/>
      <c r="VK32" s="390"/>
      <c r="VL32" s="390"/>
      <c r="VM32" s="390"/>
      <c r="VN32" s="390"/>
      <c r="VO32" s="390"/>
      <c r="VP32" s="390"/>
      <c r="VQ32" s="390"/>
      <c r="VR32" s="390"/>
      <c r="VS32" s="390"/>
      <c r="VT32" s="390"/>
      <c r="VU32" s="390"/>
      <c r="VV32" s="390"/>
      <c r="VW32" s="390"/>
      <c r="VX32" s="390"/>
      <c r="VY32" s="390"/>
      <c r="VZ32" s="390"/>
      <c r="WA32" s="390"/>
      <c r="WB32" s="390"/>
      <c r="WC32" s="390"/>
      <c r="WD32" s="390"/>
      <c r="WE32" s="390"/>
      <c r="WF32" s="390"/>
      <c r="WG32" s="390"/>
      <c r="WH32" s="390"/>
      <c r="WI32" s="390"/>
      <c r="WJ32" s="390"/>
      <c r="WK32" s="390"/>
      <c r="WL32" s="390"/>
      <c r="WM32" s="390"/>
      <c r="WN32" s="390"/>
      <c r="WO32" s="390"/>
      <c r="WP32" s="390"/>
      <c r="WQ32" s="390"/>
      <c r="WR32" s="390"/>
      <c r="WS32" s="390"/>
      <c r="WT32" s="390"/>
      <c r="WU32" s="390"/>
      <c r="WV32" s="390"/>
      <c r="WW32" s="390"/>
      <c r="WX32" s="390"/>
      <c r="WY32" s="390"/>
      <c r="WZ32" s="390"/>
      <c r="XA32" s="390"/>
      <c r="XB32" s="390"/>
      <c r="XC32" s="390"/>
      <c r="XD32" s="390"/>
      <c r="XE32" s="390"/>
      <c r="XF32" s="390"/>
      <c r="XG32" s="390"/>
      <c r="XH32" s="390"/>
      <c r="XI32" s="390"/>
      <c r="XJ32" s="390"/>
      <c r="XK32" s="390"/>
      <c r="XL32" s="390"/>
      <c r="XM32" s="390"/>
      <c r="XN32" s="390"/>
      <c r="XO32" s="390"/>
      <c r="XP32" s="390"/>
      <c r="XQ32" s="390"/>
      <c r="XR32" s="390"/>
      <c r="XS32" s="390"/>
      <c r="XT32" s="390"/>
      <c r="XU32" s="390"/>
      <c r="XV32" s="390"/>
      <c r="XW32" s="390"/>
      <c r="XX32" s="390"/>
      <c r="XY32" s="390"/>
      <c r="XZ32" s="390"/>
      <c r="YA32" s="390"/>
      <c r="YB32" s="390"/>
      <c r="YC32" s="390"/>
      <c r="YD32" s="390"/>
      <c r="YE32" s="390"/>
      <c r="YF32" s="390"/>
      <c r="YG32" s="390"/>
      <c r="YH32" s="390"/>
      <c r="YI32" s="390"/>
      <c r="YJ32" s="390"/>
      <c r="YK32" s="390"/>
      <c r="YL32" s="390"/>
      <c r="YM32" s="390"/>
      <c r="YN32" s="390"/>
      <c r="YO32" s="390"/>
      <c r="YP32" s="390"/>
      <c r="YQ32" s="390"/>
      <c r="YR32" s="390"/>
      <c r="YS32" s="390"/>
      <c r="YT32" s="390"/>
      <c r="YU32" s="390"/>
      <c r="YV32" s="390"/>
      <c r="YW32" s="390"/>
      <c r="YX32" s="390"/>
      <c r="YY32" s="390"/>
      <c r="YZ32" s="390"/>
      <c r="ZA32" s="390"/>
      <c r="ZB32" s="390"/>
      <c r="ZC32" s="390"/>
      <c r="ZD32" s="390"/>
      <c r="ZE32" s="390"/>
      <c r="ZF32" s="390"/>
      <c r="ZG32" s="390"/>
      <c r="ZH32" s="390"/>
      <c r="ZI32" s="390"/>
      <c r="ZJ32" s="390"/>
      <c r="ZK32" s="390"/>
      <c r="ZL32" s="390"/>
      <c r="ZM32" s="390"/>
      <c r="ZN32" s="390"/>
      <c r="ZO32" s="390"/>
      <c r="ZP32" s="390"/>
      <c r="ZQ32" s="390"/>
      <c r="ZR32" s="390"/>
      <c r="ZS32" s="390"/>
      <c r="ZT32" s="390"/>
      <c r="ZU32" s="390"/>
      <c r="ZV32" s="390"/>
      <c r="ZW32" s="390"/>
      <c r="ZX32" s="390"/>
      <c r="ZY32" s="390"/>
      <c r="ZZ32" s="390"/>
      <c r="AAA32" s="390"/>
      <c r="AAB32" s="390"/>
      <c r="AAC32" s="390"/>
      <c r="AAD32" s="390"/>
      <c r="AAE32" s="390"/>
      <c r="AAF32" s="390"/>
      <c r="AAG32" s="390"/>
      <c r="AAH32" s="390"/>
      <c r="AAI32" s="390"/>
      <c r="AAJ32" s="390"/>
      <c r="AAK32" s="390"/>
      <c r="AAL32" s="390"/>
      <c r="AAM32" s="390"/>
      <c r="AAN32" s="390"/>
      <c r="AAO32" s="390"/>
      <c r="AAP32" s="390"/>
      <c r="AAQ32" s="390"/>
      <c r="AAR32" s="390"/>
      <c r="AAS32" s="390"/>
      <c r="AAT32" s="390"/>
      <c r="AAU32" s="390"/>
      <c r="AAV32" s="390"/>
      <c r="AAW32" s="390"/>
      <c r="AAX32" s="390"/>
      <c r="AAY32" s="390"/>
      <c r="AAZ32" s="390"/>
      <c r="ABA32" s="390"/>
      <c r="ABB32" s="390"/>
      <c r="ABC32" s="390"/>
      <c r="ABD32" s="390"/>
      <c r="ABE32" s="390"/>
      <c r="ABF32" s="390"/>
      <c r="ABG32" s="390"/>
      <c r="ABH32" s="390"/>
      <c r="ABI32" s="390"/>
      <c r="ABJ32" s="390"/>
      <c r="ABK32" s="390"/>
      <c r="ABL32" s="390"/>
      <c r="ABM32" s="390"/>
      <c r="ABN32" s="390"/>
      <c r="ABO32" s="390"/>
      <c r="ABP32" s="390"/>
      <c r="ABQ32" s="390"/>
      <c r="ABR32" s="390"/>
      <c r="ABS32" s="390"/>
      <c r="ABT32" s="390"/>
      <c r="ABU32" s="390"/>
      <c r="ABV32" s="390"/>
      <c r="ABW32" s="390"/>
      <c r="ABX32" s="390"/>
      <c r="ABY32" s="390"/>
      <c r="ABZ32" s="390"/>
      <c r="ACA32" s="390"/>
      <c r="ACB32" s="390"/>
      <c r="ACC32" s="390"/>
      <c r="ACD32" s="390"/>
      <c r="ACE32" s="390"/>
      <c r="ACF32" s="390"/>
      <c r="ACG32" s="390"/>
      <c r="ACH32" s="390"/>
      <c r="ACI32" s="390"/>
    </row>
    <row r="33" spans="1:763" ht="13.95" customHeight="1" x14ac:dyDescent="0.3">
      <c r="A33" s="393" t="str">
        <f ca="1">Проект!$A$305</f>
        <v>Производственный персонал</v>
      </c>
      <c r="B33" s="390"/>
      <c r="C33" s="390"/>
      <c r="D33" s="390"/>
      <c r="E33" s="390"/>
      <c r="F33" s="390"/>
      <c r="G33" s="390"/>
      <c r="H33" s="396"/>
      <c r="I33" s="390"/>
      <c r="J33" s="390"/>
      <c r="K33" s="390"/>
      <c r="L33" s="390"/>
      <c r="M33" s="390"/>
      <c r="N33" s="390"/>
      <c r="O33" s="390"/>
      <c r="P33" s="390"/>
      <c r="Q33" s="390"/>
      <c r="R33" s="390"/>
      <c r="S33" s="390"/>
      <c r="T33" s="390"/>
      <c r="U33" s="390"/>
      <c r="V33" s="390"/>
      <c r="W33" s="390"/>
      <c r="X33" s="390"/>
      <c r="Y33" s="390"/>
      <c r="Z33" s="390"/>
      <c r="AA33" s="390"/>
      <c r="AB33" s="390"/>
      <c r="AC33" s="390"/>
      <c r="AD33" s="390"/>
      <c r="AE33" s="390"/>
      <c r="AF33" s="390"/>
      <c r="AG33" s="390"/>
      <c r="AH33" s="390"/>
      <c r="AI33" s="390"/>
      <c r="AJ33" s="390"/>
      <c r="AK33" s="390"/>
      <c r="AL33" s="390"/>
      <c r="AM33" s="390"/>
      <c r="AN33" s="390"/>
      <c r="AO33" s="390"/>
      <c r="AP33" s="390"/>
      <c r="AQ33" s="390"/>
      <c r="AR33" s="390"/>
      <c r="AS33" s="390"/>
      <c r="AT33" s="390"/>
      <c r="AU33" s="390"/>
      <c r="AV33" s="390"/>
      <c r="AW33" s="390"/>
      <c r="AX33" s="390"/>
      <c r="AY33" s="390"/>
      <c r="AZ33" s="390"/>
      <c r="BA33" s="390"/>
      <c r="BB33" s="390"/>
      <c r="BC33" s="390"/>
      <c r="BD33" s="390"/>
      <c r="BE33" s="390"/>
      <c r="BF33" s="390"/>
      <c r="BG33" s="390"/>
      <c r="BH33" s="390"/>
      <c r="BI33" s="390"/>
      <c r="BJ33" s="390"/>
      <c r="BK33" s="390"/>
      <c r="BL33" s="390"/>
      <c r="BM33" s="390"/>
      <c r="BN33" s="390"/>
      <c r="BO33" s="390"/>
      <c r="BP33" s="390"/>
      <c r="BQ33" s="390"/>
      <c r="BR33" s="390"/>
      <c r="BS33" s="390"/>
      <c r="BT33" s="390"/>
      <c r="BU33" s="390"/>
      <c r="BV33" s="390"/>
      <c r="BW33" s="390"/>
      <c r="BX33" s="390"/>
      <c r="BY33" s="390"/>
      <c r="BZ33" s="390"/>
      <c r="CA33" s="390"/>
      <c r="CB33" s="390"/>
      <c r="CC33" s="390"/>
      <c r="CD33" s="390"/>
      <c r="CE33" s="390"/>
      <c r="CF33" s="390"/>
      <c r="CG33" s="390"/>
      <c r="CH33" s="390"/>
      <c r="CI33" s="390"/>
      <c r="CJ33" s="390"/>
      <c r="CK33" s="390"/>
      <c r="CL33" s="390"/>
      <c r="CM33" s="390"/>
      <c r="CN33" s="390"/>
      <c r="CO33" s="390"/>
      <c r="CP33" s="390"/>
      <c r="CQ33" s="390"/>
      <c r="CR33" s="390"/>
      <c r="CS33" s="390"/>
      <c r="CT33" s="390"/>
      <c r="CU33" s="390"/>
      <c r="CV33" s="390"/>
      <c r="CW33" s="390"/>
      <c r="CX33" s="390"/>
      <c r="CY33" s="390"/>
      <c r="CZ33" s="390"/>
      <c r="DA33" s="390"/>
      <c r="DB33" s="390"/>
      <c r="DC33" s="390"/>
      <c r="DD33" s="390"/>
      <c r="DE33" s="390"/>
      <c r="DF33" s="390"/>
      <c r="DG33" s="390"/>
      <c r="DH33" s="390"/>
      <c r="DI33" s="390"/>
      <c r="DJ33" s="390"/>
      <c r="DK33" s="390"/>
      <c r="DL33" s="390"/>
      <c r="DM33" s="390"/>
      <c r="DN33" s="390"/>
      <c r="DO33" s="390"/>
      <c r="DP33" s="390"/>
      <c r="DQ33" s="390"/>
      <c r="DR33" s="390"/>
      <c r="DS33" s="390"/>
      <c r="DT33" s="390"/>
      <c r="DU33" s="390"/>
      <c r="DV33" s="390"/>
      <c r="DW33" s="390"/>
      <c r="DX33" s="390"/>
      <c r="DY33" s="390"/>
      <c r="DZ33" s="390"/>
      <c r="EA33" s="390"/>
      <c r="EB33" s="390"/>
      <c r="EC33" s="390"/>
      <c r="ED33" s="390"/>
      <c r="EE33" s="390"/>
      <c r="EF33" s="390"/>
      <c r="EG33" s="390"/>
      <c r="EH33" s="390"/>
      <c r="EI33" s="390"/>
      <c r="EJ33" s="390"/>
      <c r="EK33" s="390"/>
      <c r="EL33" s="390"/>
      <c r="EM33" s="390"/>
      <c r="EN33" s="390"/>
      <c r="EO33" s="390"/>
      <c r="EP33" s="390"/>
      <c r="EQ33" s="390"/>
      <c r="ER33" s="390"/>
      <c r="ES33" s="390"/>
      <c r="ET33" s="390"/>
      <c r="EU33" s="390"/>
      <c r="EV33" s="390"/>
      <c r="EW33" s="390"/>
      <c r="EX33" s="390"/>
      <c r="EY33" s="390"/>
      <c r="EZ33" s="390"/>
      <c r="FA33" s="390"/>
      <c r="FB33" s="390"/>
      <c r="FC33" s="390"/>
      <c r="FD33" s="390"/>
      <c r="FE33" s="390"/>
      <c r="FF33" s="390"/>
      <c r="FG33" s="390"/>
      <c r="FH33" s="390"/>
      <c r="FI33" s="390"/>
      <c r="FJ33" s="390"/>
      <c r="FK33" s="390"/>
      <c r="FL33" s="390"/>
      <c r="FM33" s="390"/>
      <c r="FN33" s="390"/>
      <c r="FO33" s="390"/>
      <c r="FP33" s="390"/>
      <c r="FQ33" s="390"/>
      <c r="FR33" s="390"/>
      <c r="FS33" s="390"/>
      <c r="FT33" s="390"/>
      <c r="FU33" s="390"/>
      <c r="FV33" s="390"/>
      <c r="FW33" s="390"/>
      <c r="FX33" s="390"/>
      <c r="FY33" s="390"/>
      <c r="FZ33" s="390"/>
      <c r="GA33" s="390"/>
      <c r="GB33" s="390"/>
      <c r="GC33" s="390"/>
      <c r="GD33" s="390"/>
      <c r="GE33" s="390"/>
      <c r="GF33" s="390"/>
      <c r="GG33" s="390"/>
      <c r="GH33" s="390"/>
      <c r="GI33" s="390"/>
      <c r="GJ33" s="390"/>
      <c r="GK33" s="390"/>
      <c r="GL33" s="390"/>
      <c r="GM33" s="390"/>
      <c r="GN33" s="390"/>
      <c r="GO33" s="390"/>
      <c r="GP33" s="390"/>
      <c r="GQ33" s="390"/>
      <c r="GR33" s="390"/>
      <c r="GS33" s="390"/>
      <c r="GT33" s="390"/>
      <c r="GU33" s="390"/>
      <c r="GV33" s="390"/>
      <c r="GW33" s="390"/>
      <c r="GX33" s="390"/>
      <c r="GY33" s="390"/>
      <c r="GZ33" s="390"/>
      <c r="HA33" s="390"/>
      <c r="HB33" s="390"/>
      <c r="HC33" s="390"/>
      <c r="HD33" s="390"/>
      <c r="HE33" s="390"/>
      <c r="HF33" s="390"/>
      <c r="HG33" s="390"/>
      <c r="HH33" s="390"/>
      <c r="HI33" s="390"/>
      <c r="HJ33" s="390"/>
      <c r="HK33" s="390"/>
      <c r="HL33" s="390"/>
      <c r="HM33" s="390"/>
      <c r="HN33" s="390"/>
      <c r="HO33" s="390"/>
      <c r="HP33" s="390"/>
      <c r="HQ33" s="390"/>
      <c r="HR33" s="390"/>
      <c r="HS33" s="390"/>
      <c r="HT33" s="390"/>
      <c r="HU33" s="390"/>
      <c r="HV33" s="390"/>
      <c r="HW33" s="390"/>
      <c r="HX33" s="390"/>
      <c r="HY33" s="390"/>
      <c r="HZ33" s="390"/>
      <c r="IA33" s="390"/>
      <c r="IB33" s="390"/>
      <c r="IC33" s="390"/>
      <c r="ID33" s="390"/>
      <c r="IE33" s="390"/>
      <c r="IF33" s="390"/>
      <c r="IG33" s="390"/>
      <c r="IH33" s="390"/>
      <c r="II33" s="390"/>
      <c r="IJ33" s="390"/>
      <c r="IK33" s="390"/>
      <c r="IL33" s="390"/>
      <c r="IM33" s="390"/>
      <c r="IN33" s="390"/>
      <c r="IO33" s="390"/>
      <c r="IP33" s="390"/>
      <c r="IQ33" s="390"/>
      <c r="IR33" s="390"/>
      <c r="IS33" s="390"/>
      <c r="IT33" s="390"/>
      <c r="IU33" s="390"/>
      <c r="IV33" s="390"/>
      <c r="IW33" s="390"/>
      <c r="IX33" s="390"/>
      <c r="IY33" s="390"/>
      <c r="IZ33" s="390"/>
      <c r="JA33" s="390"/>
      <c r="JB33" s="390"/>
      <c r="JC33" s="390"/>
      <c r="JD33" s="390"/>
      <c r="JE33" s="390"/>
      <c r="JF33" s="390"/>
      <c r="JG33" s="390"/>
      <c r="JH33" s="390"/>
      <c r="JI33" s="390"/>
      <c r="JJ33" s="390"/>
      <c r="JK33" s="390"/>
      <c r="JL33" s="390"/>
      <c r="JM33" s="390"/>
      <c r="JN33" s="390"/>
      <c r="JO33" s="390"/>
      <c r="JP33" s="390"/>
      <c r="JQ33" s="390"/>
      <c r="JR33" s="390"/>
      <c r="JS33" s="390"/>
      <c r="JT33" s="390"/>
      <c r="JU33" s="390"/>
      <c r="JV33" s="390"/>
      <c r="JW33" s="390"/>
      <c r="JX33" s="390"/>
      <c r="JY33" s="390"/>
      <c r="JZ33" s="390"/>
      <c r="KA33" s="390"/>
      <c r="KB33" s="390"/>
      <c r="KC33" s="390"/>
      <c r="KD33" s="390"/>
      <c r="KE33" s="390"/>
      <c r="KF33" s="390"/>
      <c r="KG33" s="390"/>
      <c r="KH33" s="390"/>
      <c r="KI33" s="390"/>
      <c r="KJ33" s="390"/>
      <c r="KK33" s="390"/>
      <c r="KL33" s="390"/>
      <c r="KM33" s="390"/>
      <c r="KN33" s="390"/>
      <c r="KO33" s="390"/>
      <c r="KP33" s="390"/>
      <c r="KQ33" s="390"/>
      <c r="KR33" s="390"/>
      <c r="KS33" s="390"/>
      <c r="KT33" s="390"/>
      <c r="KU33" s="390"/>
      <c r="KV33" s="390"/>
      <c r="KW33" s="390"/>
      <c r="KX33" s="390"/>
      <c r="KY33" s="390"/>
      <c r="KZ33" s="390"/>
      <c r="LA33" s="390"/>
      <c r="LB33" s="390"/>
      <c r="LC33" s="390"/>
      <c r="LD33" s="390"/>
      <c r="LE33" s="390"/>
      <c r="LF33" s="390"/>
      <c r="LG33" s="390"/>
      <c r="LH33" s="390"/>
      <c r="LI33" s="390"/>
      <c r="LJ33" s="390"/>
      <c r="LK33" s="390"/>
      <c r="LL33" s="390"/>
      <c r="LM33" s="390"/>
      <c r="LN33" s="390"/>
      <c r="LO33" s="390"/>
      <c r="LP33" s="390"/>
      <c r="LQ33" s="390"/>
      <c r="LR33" s="390"/>
      <c r="LS33" s="390"/>
      <c r="LT33" s="390"/>
      <c r="LU33" s="390"/>
      <c r="LV33" s="390"/>
      <c r="LW33" s="390"/>
      <c r="LX33" s="390"/>
      <c r="LY33" s="390"/>
      <c r="LZ33" s="390"/>
      <c r="MA33" s="390"/>
      <c r="MB33" s="390"/>
      <c r="MC33" s="390"/>
      <c r="MD33" s="390"/>
      <c r="ME33" s="390"/>
      <c r="MF33" s="390"/>
      <c r="MG33" s="390"/>
      <c r="MH33" s="390"/>
      <c r="MI33" s="390"/>
      <c r="MJ33" s="390"/>
      <c r="MK33" s="390"/>
      <c r="ML33" s="390"/>
      <c r="MM33" s="390"/>
      <c r="MN33" s="390"/>
      <c r="MO33" s="390"/>
      <c r="MP33" s="390"/>
      <c r="MQ33" s="390"/>
      <c r="MR33" s="390"/>
      <c r="MS33" s="390"/>
      <c r="MT33" s="390"/>
      <c r="MU33" s="390"/>
      <c r="MV33" s="390"/>
      <c r="MW33" s="390"/>
      <c r="MX33" s="390"/>
      <c r="MY33" s="390"/>
      <c r="MZ33" s="390"/>
      <c r="NA33" s="390"/>
      <c r="NB33" s="390"/>
      <c r="NC33" s="390"/>
      <c r="ND33" s="390"/>
      <c r="NE33" s="390"/>
      <c r="NF33" s="390"/>
      <c r="NG33" s="390"/>
      <c r="NH33" s="390"/>
      <c r="NI33" s="390"/>
      <c r="NJ33" s="390"/>
      <c r="NK33" s="390"/>
      <c r="NL33" s="390"/>
      <c r="NM33" s="390"/>
      <c r="NN33" s="390"/>
      <c r="NO33" s="390"/>
      <c r="NP33" s="390"/>
      <c r="NQ33" s="390"/>
      <c r="NR33" s="390"/>
      <c r="NS33" s="390"/>
      <c r="NT33" s="390"/>
      <c r="NU33" s="390"/>
      <c r="NV33" s="390"/>
      <c r="NW33" s="390"/>
      <c r="NX33" s="390"/>
      <c r="NY33" s="390"/>
      <c r="NZ33" s="390"/>
      <c r="OA33" s="390"/>
      <c r="OB33" s="390"/>
      <c r="OC33" s="390"/>
      <c r="OD33" s="390"/>
      <c r="OE33" s="390"/>
      <c r="OF33" s="390"/>
      <c r="OG33" s="390"/>
      <c r="OH33" s="390"/>
      <c r="OI33" s="390"/>
      <c r="OJ33" s="390"/>
      <c r="OK33" s="390"/>
      <c r="OL33" s="390"/>
      <c r="OM33" s="390"/>
      <c r="ON33" s="390"/>
      <c r="OO33" s="390"/>
      <c r="OP33" s="390"/>
      <c r="OQ33" s="390"/>
      <c r="OR33" s="390"/>
      <c r="OS33" s="390"/>
      <c r="OT33" s="390"/>
      <c r="OU33" s="390"/>
      <c r="OV33" s="390"/>
      <c r="OW33" s="390"/>
      <c r="OX33" s="390"/>
      <c r="OY33" s="390"/>
      <c r="OZ33" s="390"/>
      <c r="PA33" s="390"/>
      <c r="PB33" s="390"/>
      <c r="PC33" s="390"/>
      <c r="PD33" s="390"/>
      <c r="PE33" s="390"/>
      <c r="PF33" s="390"/>
      <c r="PG33" s="390"/>
      <c r="PH33" s="390"/>
      <c r="PI33" s="390"/>
      <c r="PJ33" s="390"/>
      <c r="PK33" s="390"/>
      <c r="PL33" s="390"/>
      <c r="PM33" s="390"/>
      <c r="PN33" s="390"/>
      <c r="PO33" s="390"/>
      <c r="PP33" s="390"/>
      <c r="PQ33" s="390"/>
      <c r="PR33" s="390"/>
      <c r="PS33" s="390"/>
      <c r="PT33" s="390"/>
      <c r="PU33" s="390"/>
      <c r="PV33" s="390"/>
      <c r="PW33" s="390"/>
      <c r="PX33" s="390"/>
      <c r="PY33" s="390"/>
      <c r="PZ33" s="390"/>
      <c r="QA33" s="390"/>
      <c r="QB33" s="390"/>
      <c r="QC33" s="390"/>
      <c r="QD33" s="390"/>
      <c r="QE33" s="390"/>
      <c r="QF33" s="390"/>
      <c r="QG33" s="390"/>
      <c r="QH33" s="390"/>
      <c r="QI33" s="390"/>
      <c r="QJ33" s="390"/>
      <c r="QK33" s="390"/>
      <c r="QL33" s="390"/>
      <c r="QM33" s="390"/>
      <c r="QN33" s="390"/>
      <c r="QO33" s="390"/>
      <c r="QP33" s="390"/>
      <c r="QQ33" s="390"/>
      <c r="QR33" s="390"/>
      <c r="QS33" s="390"/>
      <c r="QT33" s="390"/>
      <c r="QU33" s="390"/>
      <c r="QV33" s="390"/>
      <c r="QW33" s="390"/>
      <c r="QX33" s="390"/>
      <c r="QY33" s="390"/>
      <c r="QZ33" s="390"/>
      <c r="RA33" s="390"/>
      <c r="RB33" s="390"/>
      <c r="RC33" s="390"/>
      <c r="RD33" s="390"/>
      <c r="RE33" s="390"/>
      <c r="RF33" s="390"/>
      <c r="RG33" s="390"/>
      <c r="RH33" s="390"/>
      <c r="RI33" s="390"/>
      <c r="RJ33" s="390"/>
      <c r="RK33" s="390"/>
      <c r="RL33" s="390"/>
      <c r="RM33" s="390"/>
      <c r="RN33" s="390"/>
      <c r="RO33" s="390"/>
      <c r="RP33" s="390"/>
      <c r="RQ33" s="390"/>
      <c r="RR33" s="390"/>
      <c r="RS33" s="390"/>
      <c r="RT33" s="390"/>
      <c r="RU33" s="390"/>
      <c r="RV33" s="390"/>
      <c r="RW33" s="390"/>
      <c r="RX33" s="390"/>
      <c r="RY33" s="390"/>
      <c r="RZ33" s="390"/>
      <c r="SA33" s="390"/>
      <c r="SB33" s="390"/>
      <c r="SC33" s="390"/>
      <c r="SD33" s="390"/>
      <c r="SE33" s="390"/>
      <c r="SF33" s="390"/>
      <c r="SG33" s="390"/>
      <c r="SH33" s="390"/>
      <c r="SI33" s="390"/>
      <c r="SJ33" s="390"/>
      <c r="SK33" s="390"/>
      <c r="SL33" s="390"/>
      <c r="SM33" s="390"/>
      <c r="SN33" s="390"/>
      <c r="SO33" s="390"/>
      <c r="SP33" s="390"/>
      <c r="SQ33" s="390"/>
      <c r="SR33" s="390"/>
      <c r="SS33" s="390"/>
      <c r="ST33" s="390"/>
      <c r="SU33" s="390"/>
      <c r="SV33" s="390"/>
      <c r="SW33" s="390"/>
      <c r="SX33" s="390"/>
      <c r="SY33" s="390"/>
      <c r="SZ33" s="390"/>
      <c r="TA33" s="390"/>
      <c r="TB33" s="390"/>
      <c r="TC33" s="390"/>
      <c r="TD33" s="390"/>
      <c r="TE33" s="390"/>
      <c r="TF33" s="390"/>
      <c r="TG33" s="390"/>
      <c r="TH33" s="390"/>
      <c r="TI33" s="390"/>
      <c r="TJ33" s="390"/>
      <c r="TK33" s="390"/>
      <c r="TL33" s="390"/>
      <c r="TM33" s="390"/>
      <c r="TN33" s="390"/>
      <c r="TO33" s="390"/>
      <c r="TP33" s="390"/>
      <c r="TQ33" s="390"/>
      <c r="TR33" s="390"/>
      <c r="TS33" s="390"/>
      <c r="TT33" s="390"/>
      <c r="TU33" s="390"/>
      <c r="TV33" s="390"/>
      <c r="TW33" s="390"/>
      <c r="TX33" s="390"/>
      <c r="TY33" s="390"/>
      <c r="TZ33" s="390"/>
      <c r="UA33" s="390"/>
      <c r="UB33" s="390"/>
      <c r="UC33" s="390"/>
      <c r="UD33" s="390"/>
      <c r="UE33" s="390"/>
      <c r="UF33" s="390"/>
      <c r="UG33" s="390"/>
      <c r="UH33" s="390"/>
      <c r="UI33" s="390"/>
      <c r="UJ33" s="390"/>
      <c r="UK33" s="390"/>
      <c r="UL33" s="390"/>
      <c r="UM33" s="390"/>
      <c r="UN33" s="390"/>
      <c r="UO33" s="390"/>
      <c r="UP33" s="390"/>
      <c r="UQ33" s="390"/>
      <c r="UR33" s="390"/>
      <c r="US33" s="390"/>
      <c r="UT33" s="390"/>
      <c r="UU33" s="390"/>
      <c r="UV33" s="390"/>
      <c r="UW33" s="390"/>
      <c r="UX33" s="390"/>
      <c r="UY33" s="390"/>
      <c r="UZ33" s="390"/>
      <c r="VA33" s="390"/>
      <c r="VB33" s="390"/>
      <c r="VC33" s="390"/>
      <c r="VD33" s="390"/>
      <c r="VE33" s="390"/>
      <c r="VF33" s="390"/>
      <c r="VG33" s="390"/>
      <c r="VH33" s="390"/>
      <c r="VI33" s="390"/>
      <c r="VJ33" s="390"/>
      <c r="VK33" s="390"/>
      <c r="VL33" s="390"/>
      <c r="VM33" s="390"/>
      <c r="VN33" s="390"/>
      <c r="VO33" s="390"/>
      <c r="VP33" s="390"/>
      <c r="VQ33" s="390"/>
      <c r="VR33" s="390"/>
      <c r="VS33" s="390"/>
      <c r="VT33" s="390"/>
      <c r="VU33" s="390"/>
      <c r="VV33" s="390"/>
      <c r="VW33" s="390"/>
      <c r="VX33" s="390"/>
      <c r="VY33" s="390"/>
      <c r="VZ33" s="390"/>
      <c r="WA33" s="390"/>
      <c r="WB33" s="390"/>
      <c r="WC33" s="390"/>
      <c r="WD33" s="390"/>
      <c r="WE33" s="390"/>
      <c r="WF33" s="390"/>
      <c r="WG33" s="390"/>
      <c r="WH33" s="390"/>
      <c r="WI33" s="390"/>
      <c r="WJ33" s="390"/>
      <c r="WK33" s="390"/>
      <c r="WL33" s="390"/>
      <c r="WM33" s="390"/>
      <c r="WN33" s="390"/>
      <c r="WO33" s="390"/>
      <c r="WP33" s="390"/>
      <c r="WQ33" s="390"/>
      <c r="WR33" s="390"/>
      <c r="WS33" s="390"/>
      <c r="WT33" s="390"/>
      <c r="WU33" s="390"/>
      <c r="WV33" s="390"/>
      <c r="WW33" s="390"/>
      <c r="WX33" s="390"/>
      <c r="WY33" s="390"/>
      <c r="WZ33" s="390"/>
      <c r="XA33" s="390"/>
      <c r="XB33" s="390"/>
      <c r="XC33" s="390"/>
      <c r="XD33" s="390"/>
      <c r="XE33" s="390"/>
      <c r="XF33" s="390"/>
      <c r="XG33" s="390"/>
      <c r="XH33" s="390"/>
      <c r="XI33" s="390"/>
      <c r="XJ33" s="390"/>
      <c r="XK33" s="390"/>
      <c r="XL33" s="390"/>
      <c r="XM33" s="390"/>
      <c r="XN33" s="390"/>
      <c r="XO33" s="390"/>
      <c r="XP33" s="390"/>
      <c r="XQ33" s="390"/>
      <c r="XR33" s="390"/>
      <c r="XS33" s="390"/>
      <c r="XT33" s="390"/>
      <c r="XU33" s="390"/>
      <c r="XV33" s="390"/>
      <c r="XW33" s="390"/>
      <c r="XX33" s="390"/>
      <c r="XY33" s="390"/>
      <c r="XZ33" s="390"/>
      <c r="YA33" s="390"/>
      <c r="YB33" s="390"/>
      <c r="YC33" s="390"/>
      <c r="YD33" s="390"/>
      <c r="YE33" s="390"/>
      <c r="YF33" s="390"/>
      <c r="YG33" s="390"/>
      <c r="YH33" s="390"/>
      <c r="YI33" s="390"/>
      <c r="YJ33" s="390"/>
      <c r="YK33" s="390"/>
      <c r="YL33" s="390"/>
      <c r="YM33" s="390"/>
      <c r="YN33" s="390"/>
      <c r="YO33" s="390"/>
      <c r="YP33" s="390"/>
      <c r="YQ33" s="390"/>
      <c r="YR33" s="390"/>
      <c r="YS33" s="390"/>
      <c r="YT33" s="390"/>
      <c r="YU33" s="390"/>
      <c r="YV33" s="390"/>
      <c r="YW33" s="390"/>
      <c r="YX33" s="390"/>
      <c r="YY33" s="390"/>
      <c r="YZ33" s="390"/>
      <c r="ZA33" s="390"/>
      <c r="ZB33" s="390"/>
      <c r="ZC33" s="390"/>
      <c r="ZD33" s="390"/>
      <c r="ZE33" s="390"/>
      <c r="ZF33" s="390"/>
      <c r="ZG33" s="390"/>
      <c r="ZH33" s="390"/>
      <c r="ZI33" s="390"/>
      <c r="ZJ33" s="390"/>
      <c r="ZK33" s="390"/>
      <c r="ZL33" s="390"/>
      <c r="ZM33" s="390"/>
      <c r="ZN33" s="390"/>
      <c r="ZO33" s="390"/>
      <c r="ZP33" s="390"/>
      <c r="ZQ33" s="390"/>
      <c r="ZR33" s="390"/>
      <c r="ZS33" s="390"/>
      <c r="ZT33" s="390"/>
      <c r="ZU33" s="390"/>
      <c r="ZV33" s="390"/>
      <c r="ZW33" s="390"/>
      <c r="ZX33" s="390"/>
      <c r="ZY33" s="390"/>
      <c r="ZZ33" s="390"/>
      <c r="AAA33" s="390"/>
      <c r="AAB33" s="390"/>
      <c r="AAC33" s="390"/>
      <c r="AAD33" s="390"/>
      <c r="AAE33" s="390"/>
      <c r="AAF33" s="390"/>
      <c r="AAG33" s="390"/>
      <c r="AAH33" s="390"/>
      <c r="AAI33" s="390"/>
      <c r="AAJ33" s="390"/>
      <c r="AAK33" s="390"/>
      <c r="AAL33" s="390"/>
      <c r="AAM33" s="390"/>
      <c r="AAN33" s="390"/>
      <c r="AAO33" s="390"/>
      <c r="AAP33" s="390"/>
      <c r="AAQ33" s="390"/>
      <c r="AAR33" s="390"/>
      <c r="AAS33" s="390"/>
      <c r="AAT33" s="390"/>
      <c r="AAU33" s="390"/>
      <c r="AAV33" s="390"/>
      <c r="AAW33" s="390"/>
      <c r="AAX33" s="390"/>
      <c r="AAY33" s="390"/>
      <c r="AAZ33" s="390"/>
      <c r="ABA33" s="390"/>
      <c r="ABB33" s="390"/>
      <c r="ABC33" s="390"/>
      <c r="ABD33" s="390"/>
      <c r="ABE33" s="390"/>
      <c r="ABF33" s="390"/>
      <c r="ABG33" s="390"/>
      <c r="ABH33" s="390"/>
      <c r="ABI33" s="390"/>
      <c r="ABJ33" s="390"/>
      <c r="ABK33" s="390"/>
      <c r="ABL33" s="390"/>
      <c r="ABM33" s="390"/>
      <c r="ABN33" s="390"/>
      <c r="ABO33" s="390"/>
      <c r="ABP33" s="390"/>
      <c r="ABQ33" s="390"/>
      <c r="ABR33" s="390"/>
      <c r="ABS33" s="390"/>
      <c r="ABT33" s="390"/>
      <c r="ABU33" s="390"/>
      <c r="ABV33" s="390"/>
      <c r="ABW33" s="390"/>
      <c r="ABX33" s="390"/>
      <c r="ABY33" s="390"/>
      <c r="ABZ33" s="390"/>
      <c r="ACA33" s="390"/>
      <c r="ACB33" s="390"/>
      <c r="ACC33" s="390"/>
      <c r="ACD33" s="390"/>
      <c r="ACE33" s="390"/>
      <c r="ACF33" s="390"/>
      <c r="ACG33" s="390"/>
      <c r="ACH33" s="390"/>
      <c r="ACI33" s="390"/>
    </row>
    <row r="34" spans="1:763" ht="13.95" customHeight="1" x14ac:dyDescent="0.3">
      <c r="A34" s="409"/>
      <c r="B34" s="409"/>
      <c r="C34" s="409"/>
      <c r="D34" s="409"/>
      <c r="E34" s="409"/>
      <c r="F34" s="409"/>
      <c r="G34" s="409"/>
      <c r="H34" s="410"/>
      <c r="I34" s="390"/>
      <c r="J34" s="390"/>
      <c r="K34" s="390"/>
      <c r="L34" s="390"/>
      <c r="M34" s="390"/>
      <c r="N34" s="390"/>
      <c r="O34" s="390"/>
      <c r="P34" s="390"/>
      <c r="Q34" s="390"/>
      <c r="R34" s="390"/>
      <c r="S34" s="390"/>
      <c r="T34" s="390"/>
      <c r="U34" s="390"/>
      <c r="V34" s="390"/>
      <c r="W34" s="390"/>
      <c r="X34" s="390"/>
      <c r="Y34" s="390"/>
      <c r="Z34" s="390"/>
      <c r="AA34" s="390"/>
      <c r="AB34" s="390"/>
      <c r="AC34" s="390"/>
      <c r="AD34" s="390"/>
      <c r="AE34" s="390"/>
      <c r="AF34" s="390"/>
      <c r="AG34" s="390"/>
      <c r="AH34" s="390"/>
      <c r="AI34" s="390"/>
      <c r="AJ34" s="390"/>
      <c r="AK34" s="390"/>
      <c r="AL34" s="390"/>
      <c r="AM34" s="390"/>
      <c r="AN34" s="390"/>
      <c r="AO34" s="390"/>
      <c r="AP34" s="390"/>
      <c r="AQ34" s="390"/>
      <c r="AR34" s="390"/>
      <c r="AS34" s="390"/>
      <c r="AT34" s="390"/>
      <c r="AU34" s="390"/>
      <c r="AV34" s="390"/>
      <c r="AW34" s="390"/>
      <c r="AX34" s="390"/>
      <c r="AY34" s="390"/>
      <c r="AZ34" s="390"/>
      <c r="BA34" s="390"/>
      <c r="BB34" s="390"/>
      <c r="BC34" s="390"/>
      <c r="BD34" s="390"/>
      <c r="BE34" s="390"/>
      <c r="BF34" s="390"/>
      <c r="BG34" s="390"/>
      <c r="BH34" s="390"/>
      <c r="BI34" s="390"/>
      <c r="BJ34" s="390"/>
      <c r="BK34" s="390"/>
      <c r="BL34" s="390"/>
      <c r="BM34" s="390"/>
      <c r="BN34" s="390"/>
      <c r="BO34" s="390"/>
      <c r="BP34" s="390"/>
      <c r="BQ34" s="390"/>
      <c r="BR34" s="390"/>
      <c r="BS34" s="390"/>
      <c r="BT34" s="390"/>
      <c r="BU34" s="390"/>
      <c r="BV34" s="390"/>
      <c r="BW34" s="390"/>
      <c r="BX34" s="390"/>
      <c r="BY34" s="390"/>
      <c r="BZ34" s="390"/>
      <c r="CA34" s="390"/>
      <c r="CB34" s="390"/>
      <c r="CC34" s="390"/>
      <c r="CD34" s="390"/>
      <c r="CE34" s="390"/>
      <c r="CF34" s="390"/>
      <c r="CG34" s="390"/>
      <c r="CH34" s="390"/>
      <c r="CI34" s="390"/>
      <c r="CJ34" s="390"/>
      <c r="CK34" s="390"/>
      <c r="CL34" s="390"/>
      <c r="CM34" s="390"/>
      <c r="CN34" s="390"/>
      <c r="CO34" s="390"/>
      <c r="CP34" s="390"/>
      <c r="CQ34" s="390"/>
      <c r="CR34" s="390"/>
      <c r="CS34" s="390"/>
      <c r="CT34" s="390"/>
      <c r="CU34" s="390"/>
      <c r="CV34" s="390"/>
      <c r="CW34" s="390"/>
      <c r="CX34" s="390"/>
      <c r="CY34" s="390"/>
      <c r="CZ34" s="390"/>
      <c r="DA34" s="390"/>
      <c r="DB34" s="390"/>
      <c r="DC34" s="390"/>
      <c r="DD34" s="390"/>
      <c r="DE34" s="390"/>
      <c r="DF34" s="390"/>
      <c r="DG34" s="390"/>
      <c r="DH34" s="390"/>
      <c r="DI34" s="390"/>
      <c r="DJ34" s="390"/>
      <c r="DK34" s="390"/>
      <c r="DL34" s="390"/>
      <c r="DM34" s="390"/>
      <c r="DN34" s="390"/>
      <c r="DO34" s="390"/>
      <c r="DP34" s="390"/>
      <c r="DQ34" s="390"/>
      <c r="DR34" s="390"/>
      <c r="DS34" s="390"/>
      <c r="DT34" s="390"/>
      <c r="DU34" s="390"/>
      <c r="DV34" s="390"/>
      <c r="DW34" s="390"/>
      <c r="DX34" s="390"/>
      <c r="DY34" s="390"/>
      <c r="DZ34" s="390"/>
      <c r="EA34" s="390"/>
      <c r="EB34" s="390"/>
      <c r="EC34" s="390"/>
      <c r="ED34" s="390"/>
      <c r="EE34" s="390"/>
      <c r="EF34" s="390"/>
      <c r="EG34" s="390"/>
      <c r="EH34" s="390"/>
      <c r="EI34" s="390"/>
      <c r="EJ34" s="390"/>
      <c r="EK34" s="390"/>
      <c r="EL34" s="390"/>
      <c r="EM34" s="390"/>
      <c r="EN34" s="390"/>
      <c r="EO34" s="390"/>
      <c r="EP34" s="390"/>
      <c r="EQ34" s="390"/>
      <c r="ER34" s="390"/>
      <c r="ES34" s="390"/>
      <c r="ET34" s="390"/>
      <c r="EU34" s="390"/>
      <c r="EV34" s="390"/>
      <c r="EW34" s="390"/>
      <c r="EX34" s="390"/>
      <c r="EY34" s="390"/>
      <c r="EZ34" s="390"/>
      <c r="FA34" s="390"/>
      <c r="FB34" s="390"/>
      <c r="FC34" s="390"/>
      <c r="FD34" s="390"/>
      <c r="FE34" s="390"/>
      <c r="FF34" s="390"/>
      <c r="FG34" s="390"/>
      <c r="FH34" s="390"/>
      <c r="FI34" s="390"/>
      <c r="FJ34" s="390"/>
      <c r="FK34" s="390"/>
      <c r="FL34" s="390"/>
      <c r="FM34" s="390"/>
      <c r="FN34" s="390"/>
      <c r="FO34" s="390"/>
      <c r="FP34" s="390"/>
      <c r="FQ34" s="390"/>
      <c r="FR34" s="390"/>
      <c r="FS34" s="390"/>
      <c r="FT34" s="390"/>
      <c r="FU34" s="390"/>
      <c r="FV34" s="390"/>
      <c r="FW34" s="390"/>
      <c r="FX34" s="390"/>
      <c r="FY34" s="390"/>
      <c r="FZ34" s="390"/>
      <c r="GA34" s="390"/>
      <c r="GB34" s="390"/>
      <c r="GC34" s="390"/>
      <c r="GD34" s="390"/>
      <c r="GE34" s="390"/>
      <c r="GF34" s="390"/>
      <c r="GG34" s="390"/>
      <c r="GH34" s="390"/>
      <c r="GI34" s="390"/>
      <c r="GJ34" s="390"/>
      <c r="GK34" s="390"/>
      <c r="GL34" s="390"/>
      <c r="GM34" s="390"/>
      <c r="GN34" s="390"/>
      <c r="GO34" s="390"/>
      <c r="GP34" s="390"/>
      <c r="GQ34" s="390"/>
      <c r="GR34" s="390"/>
      <c r="GS34" s="390"/>
      <c r="GT34" s="390"/>
      <c r="GU34" s="390"/>
      <c r="GV34" s="390"/>
      <c r="GW34" s="390"/>
      <c r="GX34" s="390"/>
      <c r="GY34" s="390"/>
      <c r="GZ34" s="390"/>
      <c r="HA34" s="390"/>
      <c r="HB34" s="390"/>
      <c r="HC34" s="390"/>
      <c r="HD34" s="390"/>
      <c r="HE34" s="390"/>
      <c r="HF34" s="390"/>
      <c r="HG34" s="390"/>
      <c r="HH34" s="390"/>
      <c r="HI34" s="390"/>
      <c r="HJ34" s="390"/>
      <c r="HK34" s="390"/>
      <c r="HL34" s="390"/>
      <c r="HM34" s="390"/>
      <c r="HN34" s="390"/>
      <c r="HO34" s="390"/>
      <c r="HP34" s="390"/>
      <c r="HQ34" s="390"/>
      <c r="HR34" s="390"/>
      <c r="HS34" s="390"/>
      <c r="HT34" s="390"/>
      <c r="HU34" s="390"/>
      <c r="HV34" s="390"/>
      <c r="HW34" s="390"/>
      <c r="HX34" s="390"/>
      <c r="HY34" s="390"/>
      <c r="HZ34" s="390"/>
      <c r="IA34" s="390"/>
      <c r="IB34" s="390"/>
      <c r="IC34" s="390"/>
      <c r="ID34" s="390"/>
      <c r="IE34" s="390"/>
      <c r="IF34" s="390"/>
      <c r="IG34" s="390"/>
      <c r="IH34" s="390"/>
      <c r="II34" s="390"/>
      <c r="IJ34" s="390"/>
      <c r="IK34" s="390"/>
      <c r="IL34" s="390"/>
      <c r="IM34" s="390"/>
      <c r="IN34" s="390"/>
      <c r="IO34" s="390"/>
      <c r="IP34" s="390"/>
      <c r="IQ34" s="390"/>
      <c r="IR34" s="390"/>
      <c r="IS34" s="390"/>
      <c r="IT34" s="390"/>
      <c r="IU34" s="390"/>
      <c r="IV34" s="390"/>
      <c r="IW34" s="390"/>
      <c r="IX34" s="390"/>
      <c r="IY34" s="390"/>
      <c r="IZ34" s="390"/>
      <c r="JA34" s="390"/>
      <c r="JB34" s="390"/>
      <c r="JC34" s="390"/>
      <c r="JD34" s="390"/>
      <c r="JE34" s="390"/>
      <c r="JF34" s="390"/>
      <c r="JG34" s="390"/>
      <c r="JH34" s="390"/>
      <c r="JI34" s="390"/>
      <c r="JJ34" s="390"/>
      <c r="JK34" s="390"/>
      <c r="JL34" s="390"/>
      <c r="JM34" s="390"/>
      <c r="JN34" s="390"/>
      <c r="JO34" s="390"/>
      <c r="JP34" s="390"/>
      <c r="JQ34" s="390"/>
      <c r="JR34" s="390"/>
      <c r="JS34" s="390"/>
      <c r="JT34" s="390"/>
      <c r="JU34" s="390"/>
      <c r="JV34" s="390"/>
      <c r="JW34" s="390"/>
      <c r="JX34" s="390"/>
      <c r="JY34" s="390"/>
      <c r="JZ34" s="390"/>
      <c r="KA34" s="390"/>
      <c r="KB34" s="390"/>
      <c r="KC34" s="390"/>
      <c r="KD34" s="390"/>
      <c r="KE34" s="390"/>
      <c r="KF34" s="390"/>
      <c r="KG34" s="390"/>
      <c r="KH34" s="390"/>
      <c r="KI34" s="390"/>
      <c r="KJ34" s="390"/>
      <c r="KK34" s="390"/>
      <c r="KL34" s="390"/>
      <c r="KM34" s="390"/>
      <c r="KN34" s="390"/>
      <c r="KO34" s="390"/>
      <c r="KP34" s="390"/>
      <c r="KQ34" s="390"/>
      <c r="KR34" s="390"/>
      <c r="KS34" s="390"/>
      <c r="KT34" s="390"/>
      <c r="KU34" s="390"/>
      <c r="KV34" s="390"/>
      <c r="KW34" s="390"/>
      <c r="KX34" s="390"/>
      <c r="KY34" s="390"/>
      <c r="KZ34" s="390"/>
      <c r="LA34" s="390"/>
      <c r="LB34" s="390"/>
      <c r="LC34" s="390"/>
      <c r="LD34" s="390"/>
      <c r="LE34" s="390"/>
      <c r="LF34" s="390"/>
      <c r="LG34" s="390"/>
      <c r="LH34" s="390"/>
      <c r="LI34" s="390"/>
      <c r="LJ34" s="390"/>
      <c r="LK34" s="390"/>
      <c r="LL34" s="390"/>
      <c r="LM34" s="390"/>
      <c r="LN34" s="390"/>
      <c r="LO34" s="390"/>
      <c r="LP34" s="390"/>
      <c r="LQ34" s="390"/>
      <c r="LR34" s="390"/>
      <c r="LS34" s="390"/>
      <c r="LT34" s="390"/>
      <c r="LU34" s="390"/>
      <c r="LV34" s="390"/>
      <c r="LW34" s="390"/>
      <c r="LX34" s="390"/>
      <c r="LY34" s="390"/>
      <c r="LZ34" s="390"/>
      <c r="MA34" s="390"/>
      <c r="MB34" s="390"/>
      <c r="MC34" s="390"/>
      <c r="MD34" s="390"/>
      <c r="ME34" s="390"/>
      <c r="MF34" s="390"/>
      <c r="MG34" s="390"/>
      <c r="MH34" s="390"/>
      <c r="MI34" s="390"/>
      <c r="MJ34" s="390"/>
      <c r="MK34" s="390"/>
      <c r="ML34" s="390"/>
      <c r="MM34" s="390"/>
      <c r="MN34" s="390"/>
      <c r="MO34" s="390"/>
      <c r="MP34" s="390"/>
      <c r="MQ34" s="390"/>
      <c r="MR34" s="390"/>
      <c r="MS34" s="390"/>
      <c r="MT34" s="390"/>
      <c r="MU34" s="390"/>
      <c r="MV34" s="390"/>
      <c r="MW34" s="390"/>
      <c r="MX34" s="390"/>
      <c r="MY34" s="390"/>
      <c r="MZ34" s="390"/>
      <c r="NA34" s="390"/>
      <c r="NB34" s="390"/>
      <c r="NC34" s="390"/>
      <c r="ND34" s="390"/>
      <c r="NE34" s="390"/>
      <c r="NF34" s="390"/>
      <c r="NG34" s="390"/>
      <c r="NH34" s="390"/>
      <c r="NI34" s="390"/>
      <c r="NJ34" s="390"/>
      <c r="NK34" s="390"/>
      <c r="NL34" s="390"/>
      <c r="NM34" s="390"/>
      <c r="NN34" s="390"/>
      <c r="NO34" s="390"/>
      <c r="NP34" s="390"/>
      <c r="NQ34" s="390"/>
      <c r="NR34" s="390"/>
      <c r="NS34" s="390"/>
      <c r="NT34" s="390"/>
      <c r="NU34" s="390"/>
      <c r="NV34" s="390"/>
      <c r="NW34" s="390"/>
      <c r="NX34" s="390"/>
      <c r="NY34" s="390"/>
      <c r="NZ34" s="390"/>
      <c r="OA34" s="390"/>
      <c r="OB34" s="390"/>
      <c r="OC34" s="390"/>
      <c r="OD34" s="390"/>
      <c r="OE34" s="390"/>
      <c r="OF34" s="390"/>
      <c r="OG34" s="390"/>
      <c r="OH34" s="390"/>
      <c r="OI34" s="390"/>
      <c r="OJ34" s="390"/>
      <c r="OK34" s="390"/>
      <c r="OL34" s="390"/>
      <c r="OM34" s="390"/>
      <c r="ON34" s="390"/>
      <c r="OO34" s="390"/>
      <c r="OP34" s="390"/>
      <c r="OQ34" s="390"/>
      <c r="OR34" s="390"/>
      <c r="OS34" s="390"/>
      <c r="OT34" s="390"/>
      <c r="OU34" s="390"/>
      <c r="OV34" s="390"/>
      <c r="OW34" s="390"/>
      <c r="OX34" s="390"/>
      <c r="OY34" s="390"/>
      <c r="OZ34" s="390"/>
      <c r="PA34" s="390"/>
      <c r="PB34" s="390"/>
      <c r="PC34" s="390"/>
      <c r="PD34" s="390"/>
      <c r="PE34" s="390"/>
      <c r="PF34" s="390"/>
      <c r="PG34" s="390"/>
      <c r="PH34" s="390"/>
      <c r="PI34" s="390"/>
      <c r="PJ34" s="390"/>
      <c r="PK34" s="390"/>
      <c r="PL34" s="390"/>
      <c r="PM34" s="390"/>
      <c r="PN34" s="390"/>
      <c r="PO34" s="390"/>
      <c r="PP34" s="390"/>
      <c r="PQ34" s="390"/>
      <c r="PR34" s="390"/>
      <c r="PS34" s="390"/>
      <c r="PT34" s="390"/>
      <c r="PU34" s="390"/>
      <c r="PV34" s="390"/>
      <c r="PW34" s="390"/>
      <c r="PX34" s="390"/>
      <c r="PY34" s="390"/>
      <c r="PZ34" s="390"/>
      <c r="QA34" s="390"/>
      <c r="QB34" s="390"/>
      <c r="QC34" s="390"/>
      <c r="QD34" s="390"/>
      <c r="QE34" s="390"/>
      <c r="QF34" s="390"/>
      <c r="QG34" s="390"/>
      <c r="QH34" s="390"/>
      <c r="QI34" s="390"/>
      <c r="QJ34" s="390"/>
      <c r="QK34" s="390"/>
      <c r="QL34" s="390"/>
      <c r="QM34" s="390"/>
      <c r="QN34" s="390"/>
      <c r="QO34" s="390"/>
      <c r="QP34" s="390"/>
      <c r="QQ34" s="390"/>
      <c r="QR34" s="390"/>
      <c r="QS34" s="390"/>
      <c r="QT34" s="390"/>
      <c r="QU34" s="390"/>
      <c r="QV34" s="390"/>
      <c r="QW34" s="390"/>
      <c r="QX34" s="390"/>
      <c r="QY34" s="390"/>
      <c r="QZ34" s="390"/>
      <c r="RA34" s="390"/>
      <c r="RB34" s="390"/>
      <c r="RC34" s="390"/>
      <c r="RD34" s="390"/>
      <c r="RE34" s="390"/>
      <c r="RF34" s="390"/>
      <c r="RG34" s="390"/>
      <c r="RH34" s="390"/>
      <c r="RI34" s="390"/>
      <c r="RJ34" s="390"/>
      <c r="RK34" s="390"/>
      <c r="RL34" s="390"/>
      <c r="RM34" s="390"/>
      <c r="RN34" s="390"/>
      <c r="RO34" s="390"/>
      <c r="RP34" s="390"/>
      <c r="RQ34" s="390"/>
      <c r="RR34" s="390"/>
      <c r="RS34" s="390"/>
      <c r="RT34" s="390"/>
      <c r="RU34" s="390"/>
      <c r="RV34" s="390"/>
      <c r="RW34" s="390"/>
      <c r="RX34" s="390"/>
      <c r="RY34" s="390"/>
      <c r="RZ34" s="390"/>
      <c r="SA34" s="390"/>
      <c r="SB34" s="390"/>
      <c r="SC34" s="390"/>
      <c r="SD34" s="390"/>
      <c r="SE34" s="390"/>
      <c r="SF34" s="390"/>
      <c r="SG34" s="390"/>
      <c r="SH34" s="390"/>
      <c r="SI34" s="390"/>
      <c r="SJ34" s="390"/>
      <c r="SK34" s="390"/>
      <c r="SL34" s="390"/>
      <c r="SM34" s="390"/>
      <c r="SN34" s="390"/>
      <c r="SO34" s="390"/>
      <c r="SP34" s="390"/>
      <c r="SQ34" s="390"/>
      <c r="SR34" s="390"/>
      <c r="SS34" s="390"/>
      <c r="ST34" s="390"/>
      <c r="SU34" s="390"/>
      <c r="SV34" s="390"/>
      <c r="SW34" s="390"/>
      <c r="SX34" s="390"/>
      <c r="SY34" s="390"/>
      <c r="SZ34" s="390"/>
      <c r="TA34" s="390"/>
      <c r="TB34" s="390"/>
      <c r="TC34" s="390"/>
      <c r="TD34" s="390"/>
      <c r="TE34" s="390"/>
      <c r="TF34" s="390"/>
      <c r="TG34" s="390"/>
      <c r="TH34" s="390"/>
      <c r="TI34" s="390"/>
      <c r="TJ34" s="390"/>
      <c r="TK34" s="390"/>
      <c r="TL34" s="390"/>
      <c r="TM34" s="390"/>
      <c r="TN34" s="390"/>
      <c r="TO34" s="390"/>
      <c r="TP34" s="390"/>
      <c r="TQ34" s="390"/>
      <c r="TR34" s="390"/>
      <c r="TS34" s="390"/>
      <c r="TT34" s="390"/>
      <c r="TU34" s="390"/>
      <c r="TV34" s="390"/>
      <c r="TW34" s="390"/>
      <c r="TX34" s="390"/>
      <c r="TY34" s="390"/>
      <c r="TZ34" s="390"/>
      <c r="UA34" s="390"/>
      <c r="UB34" s="390"/>
      <c r="UC34" s="390"/>
      <c r="UD34" s="390"/>
      <c r="UE34" s="390"/>
      <c r="UF34" s="390"/>
      <c r="UG34" s="390"/>
      <c r="UH34" s="390"/>
      <c r="UI34" s="390"/>
      <c r="UJ34" s="390"/>
      <c r="UK34" s="390"/>
      <c r="UL34" s="390"/>
      <c r="UM34" s="390"/>
      <c r="UN34" s="390"/>
      <c r="UO34" s="390"/>
      <c r="UP34" s="390"/>
      <c r="UQ34" s="390"/>
      <c r="UR34" s="390"/>
      <c r="US34" s="390"/>
      <c r="UT34" s="390"/>
      <c r="UU34" s="390"/>
      <c r="UV34" s="390"/>
      <c r="UW34" s="390"/>
      <c r="UX34" s="390"/>
      <c r="UY34" s="390"/>
      <c r="UZ34" s="390"/>
      <c r="VA34" s="390"/>
      <c r="VB34" s="390"/>
      <c r="VC34" s="390"/>
      <c r="VD34" s="390"/>
      <c r="VE34" s="390"/>
      <c r="VF34" s="390"/>
      <c r="VG34" s="390"/>
      <c r="VH34" s="390"/>
      <c r="VI34" s="390"/>
      <c r="VJ34" s="390"/>
      <c r="VK34" s="390"/>
      <c r="VL34" s="390"/>
      <c r="VM34" s="390"/>
      <c r="VN34" s="390"/>
      <c r="VO34" s="390"/>
      <c r="VP34" s="390"/>
      <c r="VQ34" s="390"/>
      <c r="VR34" s="390"/>
      <c r="VS34" s="390"/>
      <c r="VT34" s="390"/>
      <c r="VU34" s="390"/>
      <c r="VV34" s="390"/>
      <c r="VW34" s="390"/>
      <c r="VX34" s="390"/>
      <c r="VY34" s="390"/>
      <c r="VZ34" s="390"/>
      <c r="WA34" s="390"/>
      <c r="WB34" s="390"/>
      <c r="WC34" s="390"/>
      <c r="WD34" s="390"/>
      <c r="WE34" s="390"/>
      <c r="WF34" s="390"/>
      <c r="WG34" s="390"/>
      <c r="WH34" s="390"/>
      <c r="WI34" s="390"/>
      <c r="WJ34" s="390"/>
      <c r="WK34" s="390"/>
      <c r="WL34" s="390"/>
      <c r="WM34" s="390"/>
      <c r="WN34" s="390"/>
      <c r="WO34" s="390"/>
      <c r="WP34" s="390"/>
      <c r="WQ34" s="390"/>
      <c r="WR34" s="390"/>
      <c r="WS34" s="390"/>
      <c r="WT34" s="390"/>
      <c r="WU34" s="390"/>
      <c r="WV34" s="390"/>
      <c r="WW34" s="390"/>
      <c r="WX34" s="390"/>
      <c r="WY34" s="390"/>
      <c r="WZ34" s="390"/>
      <c r="XA34" s="390"/>
      <c r="XB34" s="390"/>
      <c r="XC34" s="390"/>
      <c r="XD34" s="390"/>
      <c r="XE34" s="390"/>
      <c r="XF34" s="390"/>
      <c r="XG34" s="390"/>
      <c r="XH34" s="390"/>
      <c r="XI34" s="390"/>
      <c r="XJ34" s="390"/>
      <c r="XK34" s="390"/>
      <c r="XL34" s="390"/>
      <c r="XM34" s="390"/>
      <c r="XN34" s="390"/>
      <c r="XO34" s="390"/>
      <c r="XP34" s="390"/>
      <c r="XQ34" s="390"/>
      <c r="XR34" s="390"/>
      <c r="XS34" s="390"/>
      <c r="XT34" s="390"/>
      <c r="XU34" s="390"/>
      <c r="XV34" s="390"/>
      <c r="XW34" s="390"/>
      <c r="XX34" s="390"/>
      <c r="XY34" s="390"/>
      <c r="XZ34" s="390"/>
      <c r="YA34" s="390"/>
      <c r="YB34" s="390"/>
      <c r="YC34" s="390"/>
      <c r="YD34" s="390"/>
      <c r="YE34" s="390"/>
      <c r="YF34" s="390"/>
      <c r="YG34" s="390"/>
      <c r="YH34" s="390"/>
      <c r="YI34" s="390"/>
      <c r="YJ34" s="390"/>
      <c r="YK34" s="390"/>
      <c r="YL34" s="390"/>
      <c r="YM34" s="390"/>
      <c r="YN34" s="390"/>
      <c r="YO34" s="390"/>
      <c r="YP34" s="390"/>
      <c r="YQ34" s="390"/>
      <c r="YR34" s="390"/>
      <c r="YS34" s="390"/>
      <c r="YT34" s="390"/>
      <c r="YU34" s="390"/>
      <c r="YV34" s="390"/>
      <c r="YW34" s="390"/>
      <c r="YX34" s="390"/>
      <c r="YY34" s="390"/>
      <c r="YZ34" s="390"/>
      <c r="ZA34" s="390"/>
      <c r="ZB34" s="390"/>
      <c r="ZC34" s="390"/>
      <c r="ZD34" s="390"/>
      <c r="ZE34" s="390"/>
      <c r="ZF34" s="390"/>
      <c r="ZG34" s="390"/>
      <c r="ZH34" s="390"/>
      <c r="ZI34" s="390"/>
      <c r="ZJ34" s="390"/>
      <c r="ZK34" s="390"/>
      <c r="ZL34" s="390"/>
      <c r="ZM34" s="390"/>
      <c r="ZN34" s="390"/>
      <c r="ZO34" s="390"/>
      <c r="ZP34" s="390"/>
      <c r="ZQ34" s="390"/>
      <c r="ZR34" s="390"/>
      <c r="ZS34" s="390"/>
      <c r="ZT34" s="390"/>
      <c r="ZU34" s="390"/>
      <c r="ZV34" s="390"/>
      <c r="ZW34" s="390"/>
      <c r="ZX34" s="390"/>
      <c r="ZY34" s="390"/>
      <c r="ZZ34" s="390"/>
      <c r="AAA34" s="390"/>
      <c r="AAB34" s="390"/>
      <c r="AAC34" s="390"/>
      <c r="AAD34" s="390"/>
      <c r="AAE34" s="390"/>
      <c r="AAF34" s="390"/>
      <c r="AAG34" s="390"/>
      <c r="AAH34" s="390"/>
      <c r="AAI34" s="390"/>
      <c r="AAJ34" s="390"/>
      <c r="AAK34" s="390"/>
      <c r="AAL34" s="390"/>
      <c r="AAM34" s="390"/>
      <c r="AAN34" s="390"/>
      <c r="AAO34" s="390"/>
      <c r="AAP34" s="390"/>
      <c r="AAQ34" s="390"/>
      <c r="AAR34" s="390"/>
      <c r="AAS34" s="390"/>
      <c r="AAT34" s="390"/>
      <c r="AAU34" s="390"/>
      <c r="AAV34" s="390"/>
      <c r="AAW34" s="390"/>
      <c r="AAX34" s="390"/>
      <c r="AAY34" s="390"/>
      <c r="AAZ34" s="390"/>
      <c r="ABA34" s="390"/>
      <c r="ABB34" s="390"/>
      <c r="ABC34" s="390"/>
      <c r="ABD34" s="390"/>
      <c r="ABE34" s="390"/>
      <c r="ABF34" s="390"/>
      <c r="ABG34" s="390"/>
      <c r="ABH34" s="390"/>
      <c r="ABI34" s="390"/>
      <c r="ABJ34" s="390"/>
      <c r="ABK34" s="390"/>
      <c r="ABL34" s="390"/>
      <c r="ABM34" s="390"/>
      <c r="ABN34" s="390"/>
      <c r="ABO34" s="390"/>
      <c r="ABP34" s="390"/>
      <c r="ABQ34" s="390"/>
      <c r="ABR34" s="390"/>
      <c r="ABS34" s="390"/>
      <c r="ABT34" s="390"/>
      <c r="ABU34" s="390"/>
      <c r="ABV34" s="390"/>
      <c r="ABW34" s="390"/>
      <c r="ABX34" s="390"/>
      <c r="ABY34" s="390"/>
      <c r="ABZ34" s="390"/>
      <c r="ACA34" s="390"/>
      <c r="ACB34" s="390"/>
      <c r="ACC34" s="390"/>
      <c r="ACD34" s="390"/>
      <c r="ACE34" s="390"/>
      <c r="ACF34" s="390"/>
      <c r="ACG34" s="390"/>
      <c r="ACH34" s="390"/>
      <c r="ACI34" s="390"/>
    </row>
    <row r="35" spans="1:763" ht="13.95" customHeight="1" x14ac:dyDescent="0.3">
      <c r="A35" s="393" t="str">
        <f>Проект!$A$307</f>
        <v>Горничная</v>
      </c>
      <c r="B35" s="352"/>
      <c r="C35" s="402"/>
      <c r="D35" s="411"/>
      <c r="E35" s="411"/>
      <c r="F35" s="411"/>
      <c r="G35" s="411"/>
      <c r="H35" s="396"/>
      <c r="I35" s="390"/>
      <c r="J35" s="390"/>
      <c r="K35" s="390"/>
      <c r="L35" s="390"/>
      <c r="M35" s="390"/>
      <c r="N35" s="390"/>
      <c r="O35" s="390"/>
      <c r="P35" s="390"/>
      <c r="Q35" s="390"/>
      <c r="R35" s="390"/>
      <c r="S35" s="390"/>
      <c r="T35" s="390"/>
      <c r="U35" s="390"/>
      <c r="V35" s="390"/>
      <c r="W35" s="390"/>
      <c r="X35" s="390"/>
      <c r="Y35" s="390"/>
      <c r="Z35" s="390"/>
      <c r="AA35" s="390"/>
      <c r="AB35" s="390"/>
      <c r="AC35" s="390"/>
      <c r="AD35" s="390"/>
      <c r="AE35" s="390"/>
      <c r="AF35" s="390"/>
      <c r="AG35" s="390"/>
      <c r="AH35" s="390"/>
      <c r="AI35" s="390"/>
      <c r="AJ35" s="390"/>
      <c r="AK35" s="390"/>
      <c r="AL35" s="390"/>
      <c r="AM35" s="390"/>
      <c r="AN35" s="390"/>
      <c r="AO35" s="390"/>
      <c r="AP35" s="390"/>
      <c r="AQ35" s="390"/>
      <c r="AR35" s="390"/>
      <c r="AS35" s="390"/>
      <c r="AT35" s="390"/>
      <c r="AU35" s="390"/>
      <c r="AV35" s="390"/>
      <c r="AW35" s="390"/>
      <c r="AX35" s="390"/>
      <c r="AY35" s="390"/>
      <c r="AZ35" s="390"/>
      <c r="BA35" s="390"/>
      <c r="BB35" s="390"/>
      <c r="BC35" s="390"/>
      <c r="BD35" s="390"/>
      <c r="BE35" s="390"/>
      <c r="BF35" s="390"/>
      <c r="BG35" s="390"/>
      <c r="BH35" s="390"/>
      <c r="BI35" s="390"/>
      <c r="BJ35" s="390"/>
      <c r="BK35" s="390"/>
      <c r="BL35" s="390"/>
      <c r="BM35" s="390"/>
      <c r="BN35" s="390"/>
      <c r="BO35" s="390"/>
      <c r="BP35" s="390"/>
      <c r="BQ35" s="390"/>
      <c r="BR35" s="390"/>
      <c r="BS35" s="390"/>
      <c r="BT35" s="390"/>
      <c r="BU35" s="390"/>
      <c r="BV35" s="390"/>
      <c r="BW35" s="390"/>
      <c r="BX35" s="390"/>
      <c r="BY35" s="390"/>
      <c r="BZ35" s="390"/>
      <c r="CA35" s="390"/>
      <c r="CB35" s="390"/>
      <c r="CC35" s="390"/>
      <c r="CD35" s="390"/>
      <c r="CE35" s="390"/>
      <c r="CF35" s="390"/>
      <c r="CG35" s="390"/>
      <c r="CH35" s="390"/>
      <c r="CI35" s="390"/>
      <c r="CJ35" s="390"/>
      <c r="CK35" s="390"/>
      <c r="CL35" s="390"/>
      <c r="CM35" s="390"/>
      <c r="CN35" s="390"/>
      <c r="CO35" s="390"/>
      <c r="CP35" s="390"/>
      <c r="CQ35" s="390"/>
      <c r="CR35" s="390"/>
      <c r="CS35" s="390"/>
      <c r="CT35" s="390"/>
      <c r="CU35" s="390"/>
      <c r="CV35" s="390"/>
      <c r="CW35" s="390"/>
      <c r="CX35" s="390"/>
      <c r="CY35" s="390"/>
      <c r="CZ35" s="390"/>
      <c r="DA35" s="390"/>
      <c r="DB35" s="390"/>
      <c r="DC35" s="390"/>
      <c r="DD35" s="390"/>
      <c r="DE35" s="390"/>
      <c r="DF35" s="390"/>
      <c r="DG35" s="390"/>
      <c r="DH35" s="390"/>
      <c r="DI35" s="390"/>
      <c r="DJ35" s="390"/>
      <c r="DK35" s="390"/>
      <c r="DL35" s="390"/>
      <c r="DM35" s="390"/>
      <c r="DN35" s="390"/>
      <c r="DO35" s="390"/>
      <c r="DP35" s="390"/>
      <c r="DQ35" s="390"/>
      <c r="DR35" s="390"/>
      <c r="DS35" s="390"/>
      <c r="DT35" s="390"/>
      <c r="DU35" s="390"/>
      <c r="DV35" s="390"/>
      <c r="DW35" s="390"/>
      <c r="DX35" s="390"/>
      <c r="DY35" s="390"/>
      <c r="DZ35" s="390"/>
      <c r="EA35" s="390"/>
      <c r="EB35" s="390"/>
      <c r="EC35" s="390"/>
      <c r="ED35" s="390"/>
      <c r="EE35" s="390"/>
      <c r="EF35" s="390"/>
      <c r="EG35" s="390"/>
      <c r="EH35" s="390"/>
      <c r="EI35" s="390"/>
      <c r="EJ35" s="390"/>
      <c r="EK35" s="390"/>
      <c r="EL35" s="390"/>
      <c r="EM35" s="390"/>
      <c r="EN35" s="390"/>
      <c r="EO35" s="390"/>
      <c r="EP35" s="390"/>
      <c r="EQ35" s="390"/>
      <c r="ER35" s="390"/>
      <c r="ES35" s="390"/>
      <c r="ET35" s="390"/>
      <c r="EU35" s="390"/>
      <c r="EV35" s="390"/>
      <c r="EW35" s="390"/>
      <c r="EX35" s="390"/>
      <c r="EY35" s="390"/>
      <c r="EZ35" s="390"/>
      <c r="FA35" s="390"/>
      <c r="FB35" s="390"/>
      <c r="FC35" s="390"/>
      <c r="FD35" s="390"/>
      <c r="FE35" s="390"/>
      <c r="FF35" s="390"/>
      <c r="FG35" s="390"/>
      <c r="FH35" s="390"/>
      <c r="FI35" s="390"/>
      <c r="FJ35" s="390"/>
      <c r="FK35" s="390"/>
      <c r="FL35" s="390"/>
      <c r="FM35" s="390"/>
      <c r="FN35" s="390"/>
      <c r="FO35" s="390"/>
      <c r="FP35" s="390"/>
      <c r="FQ35" s="390"/>
      <c r="FR35" s="390"/>
      <c r="FS35" s="390"/>
      <c r="FT35" s="390"/>
      <c r="FU35" s="390"/>
      <c r="FV35" s="390"/>
      <c r="FW35" s="390"/>
      <c r="FX35" s="390"/>
      <c r="FY35" s="390"/>
      <c r="FZ35" s="390"/>
      <c r="GA35" s="390"/>
      <c r="GB35" s="390"/>
      <c r="GC35" s="390"/>
      <c r="GD35" s="390"/>
      <c r="GE35" s="390"/>
      <c r="GF35" s="390"/>
      <c r="GG35" s="390"/>
      <c r="GH35" s="390"/>
      <c r="GI35" s="390"/>
      <c r="GJ35" s="390"/>
      <c r="GK35" s="390"/>
      <c r="GL35" s="390"/>
      <c r="GM35" s="390"/>
      <c r="GN35" s="390"/>
      <c r="GO35" s="390"/>
      <c r="GP35" s="390"/>
      <c r="GQ35" s="390"/>
      <c r="GR35" s="390"/>
      <c r="GS35" s="390"/>
      <c r="GT35" s="390"/>
      <c r="GU35" s="390"/>
      <c r="GV35" s="390"/>
      <c r="GW35" s="390"/>
      <c r="GX35" s="390"/>
      <c r="GY35" s="390"/>
      <c r="GZ35" s="390"/>
      <c r="HA35" s="390"/>
      <c r="HB35" s="390"/>
      <c r="HC35" s="390"/>
      <c r="HD35" s="390"/>
      <c r="HE35" s="390"/>
      <c r="HF35" s="390"/>
      <c r="HG35" s="390"/>
      <c r="HH35" s="390"/>
      <c r="HI35" s="390"/>
      <c r="HJ35" s="390"/>
      <c r="HK35" s="390"/>
      <c r="HL35" s="390"/>
      <c r="HM35" s="390"/>
      <c r="HN35" s="390"/>
      <c r="HO35" s="390"/>
      <c r="HP35" s="390"/>
      <c r="HQ35" s="390"/>
      <c r="HR35" s="390"/>
      <c r="HS35" s="390"/>
      <c r="HT35" s="390"/>
      <c r="HU35" s="390"/>
      <c r="HV35" s="390"/>
      <c r="HW35" s="390"/>
      <c r="HX35" s="390"/>
      <c r="HY35" s="390"/>
      <c r="HZ35" s="390"/>
      <c r="IA35" s="390"/>
      <c r="IB35" s="390"/>
      <c r="IC35" s="390"/>
      <c r="ID35" s="390"/>
      <c r="IE35" s="390"/>
      <c r="IF35" s="390"/>
      <c r="IG35" s="390"/>
      <c r="IH35" s="390"/>
      <c r="II35" s="390"/>
      <c r="IJ35" s="390"/>
      <c r="IK35" s="390"/>
      <c r="IL35" s="390"/>
      <c r="IM35" s="390"/>
      <c r="IN35" s="390"/>
      <c r="IO35" s="390"/>
      <c r="IP35" s="390"/>
      <c r="IQ35" s="390"/>
      <c r="IR35" s="390"/>
      <c r="IS35" s="390"/>
      <c r="IT35" s="390"/>
      <c r="IU35" s="390"/>
      <c r="IV35" s="390"/>
      <c r="IW35" s="390"/>
      <c r="IX35" s="390"/>
      <c r="IY35" s="390"/>
      <c r="IZ35" s="390"/>
      <c r="JA35" s="390"/>
      <c r="JB35" s="390"/>
      <c r="JC35" s="390"/>
      <c r="JD35" s="390"/>
      <c r="JE35" s="390"/>
      <c r="JF35" s="390"/>
      <c r="JG35" s="390"/>
      <c r="JH35" s="390"/>
      <c r="JI35" s="390"/>
      <c r="JJ35" s="390"/>
      <c r="JK35" s="390"/>
      <c r="JL35" s="390"/>
      <c r="JM35" s="390"/>
      <c r="JN35" s="390"/>
      <c r="JO35" s="390"/>
      <c r="JP35" s="390"/>
      <c r="JQ35" s="390"/>
      <c r="JR35" s="390"/>
      <c r="JS35" s="390"/>
      <c r="JT35" s="390"/>
      <c r="JU35" s="390"/>
      <c r="JV35" s="390"/>
      <c r="JW35" s="390"/>
      <c r="JX35" s="390"/>
      <c r="JY35" s="390"/>
      <c r="JZ35" s="390"/>
      <c r="KA35" s="390"/>
      <c r="KB35" s="390"/>
      <c r="KC35" s="390"/>
      <c r="KD35" s="390"/>
      <c r="KE35" s="390"/>
      <c r="KF35" s="390"/>
      <c r="KG35" s="390"/>
      <c r="KH35" s="390"/>
      <c r="KI35" s="390"/>
      <c r="KJ35" s="390"/>
      <c r="KK35" s="390"/>
      <c r="KL35" s="390"/>
      <c r="KM35" s="390"/>
      <c r="KN35" s="390"/>
      <c r="KO35" s="390"/>
      <c r="KP35" s="390"/>
      <c r="KQ35" s="390"/>
      <c r="KR35" s="390"/>
      <c r="KS35" s="390"/>
      <c r="KT35" s="390"/>
      <c r="KU35" s="390"/>
      <c r="KV35" s="390"/>
      <c r="KW35" s="390"/>
      <c r="KX35" s="390"/>
      <c r="KY35" s="390"/>
      <c r="KZ35" s="390"/>
      <c r="LA35" s="390"/>
      <c r="LB35" s="390"/>
      <c r="LC35" s="390"/>
      <c r="LD35" s="390"/>
      <c r="LE35" s="390"/>
      <c r="LF35" s="390"/>
      <c r="LG35" s="390"/>
      <c r="LH35" s="390"/>
      <c r="LI35" s="390"/>
      <c r="LJ35" s="390"/>
      <c r="LK35" s="390"/>
      <c r="LL35" s="390"/>
      <c r="LM35" s="390"/>
      <c r="LN35" s="390"/>
      <c r="LO35" s="390"/>
      <c r="LP35" s="390"/>
      <c r="LQ35" s="390"/>
      <c r="LR35" s="390"/>
      <c r="LS35" s="390"/>
      <c r="LT35" s="390"/>
      <c r="LU35" s="390"/>
      <c r="LV35" s="390"/>
      <c r="LW35" s="390"/>
      <c r="LX35" s="390"/>
      <c r="LY35" s="390"/>
      <c r="LZ35" s="390"/>
      <c r="MA35" s="390"/>
      <c r="MB35" s="390"/>
      <c r="MC35" s="390"/>
      <c r="MD35" s="390"/>
      <c r="ME35" s="390"/>
      <c r="MF35" s="390"/>
      <c r="MG35" s="390"/>
      <c r="MH35" s="390"/>
      <c r="MI35" s="390"/>
      <c r="MJ35" s="390"/>
      <c r="MK35" s="390"/>
      <c r="ML35" s="390"/>
      <c r="MM35" s="390"/>
      <c r="MN35" s="390"/>
      <c r="MO35" s="390"/>
      <c r="MP35" s="390"/>
      <c r="MQ35" s="390"/>
      <c r="MR35" s="390"/>
      <c r="MS35" s="390"/>
      <c r="MT35" s="390"/>
      <c r="MU35" s="390"/>
      <c r="MV35" s="390"/>
      <c r="MW35" s="390"/>
      <c r="MX35" s="390"/>
      <c r="MY35" s="390"/>
      <c r="MZ35" s="390"/>
      <c r="NA35" s="390"/>
      <c r="NB35" s="390"/>
      <c r="NC35" s="390"/>
      <c r="ND35" s="390"/>
      <c r="NE35" s="390"/>
      <c r="NF35" s="390"/>
      <c r="NG35" s="390"/>
      <c r="NH35" s="390"/>
      <c r="NI35" s="390"/>
      <c r="NJ35" s="390"/>
      <c r="NK35" s="390"/>
      <c r="NL35" s="390"/>
      <c r="NM35" s="390"/>
      <c r="NN35" s="390"/>
      <c r="NO35" s="390"/>
      <c r="NP35" s="390"/>
      <c r="NQ35" s="390"/>
      <c r="NR35" s="390"/>
      <c r="NS35" s="390"/>
      <c r="NT35" s="390"/>
      <c r="NU35" s="390"/>
      <c r="NV35" s="390"/>
      <c r="NW35" s="390"/>
      <c r="NX35" s="390"/>
      <c r="NY35" s="390"/>
      <c r="NZ35" s="390"/>
      <c r="OA35" s="390"/>
      <c r="OB35" s="390"/>
      <c r="OC35" s="390"/>
      <c r="OD35" s="390"/>
      <c r="OE35" s="390"/>
      <c r="OF35" s="390"/>
      <c r="OG35" s="390"/>
      <c r="OH35" s="390"/>
      <c r="OI35" s="390"/>
      <c r="OJ35" s="390"/>
      <c r="OK35" s="390"/>
      <c r="OL35" s="390"/>
      <c r="OM35" s="390"/>
      <c r="ON35" s="390"/>
      <c r="OO35" s="390"/>
      <c r="OP35" s="390"/>
      <c r="OQ35" s="390"/>
      <c r="OR35" s="390"/>
      <c r="OS35" s="390"/>
      <c r="OT35" s="390"/>
      <c r="OU35" s="390"/>
      <c r="OV35" s="390"/>
      <c r="OW35" s="390"/>
      <c r="OX35" s="390"/>
      <c r="OY35" s="390"/>
      <c r="OZ35" s="390"/>
      <c r="PA35" s="390"/>
      <c r="PB35" s="390"/>
      <c r="PC35" s="390"/>
      <c r="PD35" s="390"/>
      <c r="PE35" s="390"/>
      <c r="PF35" s="390"/>
      <c r="PG35" s="390"/>
      <c r="PH35" s="390"/>
      <c r="PI35" s="390"/>
      <c r="PJ35" s="390"/>
      <c r="PK35" s="390"/>
      <c r="PL35" s="390"/>
      <c r="PM35" s="390"/>
      <c r="PN35" s="390"/>
      <c r="PO35" s="390"/>
      <c r="PP35" s="390"/>
      <c r="PQ35" s="390"/>
      <c r="PR35" s="390"/>
      <c r="PS35" s="390"/>
      <c r="PT35" s="390"/>
      <c r="PU35" s="390"/>
      <c r="PV35" s="390"/>
      <c r="PW35" s="390"/>
      <c r="PX35" s="390"/>
      <c r="PY35" s="390"/>
      <c r="PZ35" s="390"/>
      <c r="QA35" s="390"/>
      <c r="QB35" s="390"/>
      <c r="QC35" s="390"/>
      <c r="QD35" s="390"/>
      <c r="QE35" s="390"/>
      <c r="QF35" s="390"/>
      <c r="QG35" s="390"/>
      <c r="QH35" s="390"/>
      <c r="QI35" s="390"/>
      <c r="QJ35" s="390"/>
      <c r="QK35" s="390"/>
      <c r="QL35" s="390"/>
      <c r="QM35" s="390"/>
      <c r="QN35" s="390"/>
      <c r="QO35" s="390"/>
      <c r="QP35" s="390"/>
      <c r="QQ35" s="390"/>
      <c r="QR35" s="390"/>
      <c r="QS35" s="390"/>
      <c r="QT35" s="390"/>
      <c r="QU35" s="390"/>
      <c r="QV35" s="390"/>
      <c r="QW35" s="390"/>
      <c r="QX35" s="390"/>
      <c r="QY35" s="390"/>
      <c r="QZ35" s="390"/>
      <c r="RA35" s="390"/>
      <c r="RB35" s="390"/>
      <c r="RC35" s="390"/>
      <c r="RD35" s="390"/>
      <c r="RE35" s="390"/>
      <c r="RF35" s="390"/>
      <c r="RG35" s="390"/>
      <c r="RH35" s="390"/>
      <c r="RI35" s="390"/>
      <c r="RJ35" s="390"/>
      <c r="RK35" s="390"/>
      <c r="RL35" s="390"/>
      <c r="RM35" s="390"/>
      <c r="RN35" s="390"/>
      <c r="RO35" s="390"/>
      <c r="RP35" s="390"/>
      <c r="RQ35" s="390"/>
      <c r="RR35" s="390"/>
      <c r="RS35" s="390"/>
      <c r="RT35" s="390"/>
      <c r="RU35" s="390"/>
      <c r="RV35" s="390"/>
      <c r="RW35" s="390"/>
      <c r="RX35" s="390"/>
      <c r="RY35" s="390"/>
      <c r="RZ35" s="390"/>
      <c r="SA35" s="390"/>
      <c r="SB35" s="390"/>
      <c r="SC35" s="390"/>
      <c r="SD35" s="390"/>
      <c r="SE35" s="390"/>
      <c r="SF35" s="390"/>
      <c r="SG35" s="390"/>
      <c r="SH35" s="390"/>
      <c r="SI35" s="390"/>
      <c r="SJ35" s="390"/>
      <c r="SK35" s="390"/>
      <c r="SL35" s="390"/>
      <c r="SM35" s="390"/>
      <c r="SN35" s="390"/>
      <c r="SO35" s="390"/>
      <c r="SP35" s="390"/>
      <c r="SQ35" s="390"/>
      <c r="SR35" s="390"/>
      <c r="SS35" s="390"/>
      <c r="ST35" s="390"/>
      <c r="SU35" s="390"/>
      <c r="SV35" s="390"/>
      <c r="SW35" s="390"/>
      <c r="SX35" s="390"/>
      <c r="SY35" s="390"/>
      <c r="SZ35" s="390"/>
      <c r="TA35" s="390"/>
      <c r="TB35" s="390"/>
      <c r="TC35" s="390"/>
      <c r="TD35" s="390"/>
      <c r="TE35" s="390"/>
      <c r="TF35" s="390"/>
      <c r="TG35" s="390"/>
      <c r="TH35" s="390"/>
      <c r="TI35" s="390"/>
      <c r="TJ35" s="390"/>
      <c r="TK35" s="390"/>
      <c r="TL35" s="390"/>
      <c r="TM35" s="390"/>
      <c r="TN35" s="390"/>
      <c r="TO35" s="390"/>
      <c r="TP35" s="390"/>
      <c r="TQ35" s="390"/>
      <c r="TR35" s="390"/>
      <c r="TS35" s="390"/>
      <c r="TT35" s="390"/>
      <c r="TU35" s="390"/>
      <c r="TV35" s="390"/>
      <c r="TW35" s="390"/>
      <c r="TX35" s="390"/>
      <c r="TY35" s="390"/>
      <c r="TZ35" s="390"/>
      <c r="UA35" s="390"/>
      <c r="UB35" s="390"/>
      <c r="UC35" s="390"/>
      <c r="UD35" s="390"/>
      <c r="UE35" s="390"/>
      <c r="UF35" s="390"/>
      <c r="UG35" s="390"/>
      <c r="UH35" s="390"/>
      <c r="UI35" s="390"/>
      <c r="UJ35" s="390"/>
      <c r="UK35" s="390"/>
      <c r="UL35" s="390"/>
      <c r="UM35" s="390"/>
      <c r="UN35" s="390"/>
      <c r="UO35" s="390"/>
      <c r="UP35" s="390"/>
      <c r="UQ35" s="390"/>
      <c r="UR35" s="390"/>
      <c r="US35" s="390"/>
      <c r="UT35" s="390"/>
      <c r="UU35" s="390"/>
      <c r="UV35" s="390"/>
      <c r="UW35" s="390"/>
      <c r="UX35" s="390"/>
      <c r="UY35" s="390"/>
      <c r="UZ35" s="390"/>
      <c r="VA35" s="390"/>
      <c r="VB35" s="390"/>
      <c r="VC35" s="390"/>
      <c r="VD35" s="390"/>
      <c r="VE35" s="390"/>
      <c r="VF35" s="390"/>
      <c r="VG35" s="390"/>
      <c r="VH35" s="390"/>
      <c r="VI35" s="390"/>
      <c r="VJ35" s="390"/>
      <c r="VK35" s="390"/>
      <c r="VL35" s="390"/>
      <c r="VM35" s="390"/>
      <c r="VN35" s="390"/>
      <c r="VO35" s="390"/>
      <c r="VP35" s="390"/>
      <c r="VQ35" s="390"/>
      <c r="VR35" s="390"/>
      <c r="VS35" s="390"/>
      <c r="VT35" s="390"/>
      <c r="VU35" s="390"/>
      <c r="VV35" s="390"/>
      <c r="VW35" s="390"/>
      <c r="VX35" s="390"/>
      <c r="VY35" s="390"/>
      <c r="VZ35" s="390"/>
      <c r="WA35" s="390"/>
      <c r="WB35" s="390"/>
      <c r="WC35" s="390"/>
      <c r="WD35" s="390"/>
      <c r="WE35" s="390"/>
      <c r="WF35" s="390"/>
      <c r="WG35" s="390"/>
      <c r="WH35" s="390"/>
      <c r="WI35" s="390"/>
      <c r="WJ35" s="390"/>
      <c r="WK35" s="390"/>
      <c r="WL35" s="390"/>
      <c r="WM35" s="390"/>
      <c r="WN35" s="390"/>
      <c r="WO35" s="390"/>
      <c r="WP35" s="390"/>
      <c r="WQ35" s="390"/>
      <c r="WR35" s="390"/>
      <c r="WS35" s="390"/>
      <c r="WT35" s="390"/>
      <c r="WU35" s="390"/>
      <c r="WV35" s="390"/>
      <c r="WW35" s="390"/>
      <c r="WX35" s="390"/>
      <c r="WY35" s="390"/>
      <c r="WZ35" s="390"/>
      <c r="XA35" s="390"/>
      <c r="XB35" s="390"/>
      <c r="XC35" s="390"/>
      <c r="XD35" s="390"/>
      <c r="XE35" s="390"/>
      <c r="XF35" s="390"/>
      <c r="XG35" s="390"/>
      <c r="XH35" s="390"/>
      <c r="XI35" s="390"/>
      <c r="XJ35" s="390"/>
      <c r="XK35" s="390"/>
      <c r="XL35" s="390"/>
      <c r="XM35" s="390"/>
      <c r="XN35" s="390"/>
      <c r="XO35" s="390"/>
      <c r="XP35" s="390"/>
      <c r="XQ35" s="390"/>
      <c r="XR35" s="390"/>
      <c r="XS35" s="390"/>
      <c r="XT35" s="390"/>
      <c r="XU35" s="390"/>
      <c r="XV35" s="390"/>
      <c r="XW35" s="390"/>
      <c r="XX35" s="390"/>
      <c r="XY35" s="390"/>
      <c r="XZ35" s="390"/>
      <c r="YA35" s="390"/>
      <c r="YB35" s="390"/>
      <c r="YC35" s="390"/>
      <c r="YD35" s="390"/>
      <c r="YE35" s="390"/>
      <c r="YF35" s="390"/>
      <c r="YG35" s="390"/>
      <c r="YH35" s="390"/>
      <c r="YI35" s="390"/>
      <c r="YJ35" s="390"/>
      <c r="YK35" s="390"/>
      <c r="YL35" s="390"/>
      <c r="YM35" s="390"/>
      <c r="YN35" s="390"/>
      <c r="YO35" s="390"/>
      <c r="YP35" s="390"/>
      <c r="YQ35" s="390"/>
      <c r="YR35" s="390"/>
      <c r="YS35" s="390"/>
      <c r="YT35" s="390"/>
      <c r="YU35" s="390"/>
      <c r="YV35" s="390"/>
      <c r="YW35" s="390"/>
      <c r="YX35" s="390"/>
      <c r="YY35" s="390"/>
      <c r="YZ35" s="390"/>
      <c r="ZA35" s="390"/>
      <c r="ZB35" s="390"/>
      <c r="ZC35" s="390"/>
      <c r="ZD35" s="390"/>
      <c r="ZE35" s="390"/>
      <c r="ZF35" s="390"/>
      <c r="ZG35" s="390"/>
      <c r="ZH35" s="390"/>
      <c r="ZI35" s="390"/>
      <c r="ZJ35" s="390"/>
      <c r="ZK35" s="390"/>
      <c r="ZL35" s="390"/>
      <c r="ZM35" s="390"/>
      <c r="ZN35" s="390"/>
      <c r="ZO35" s="390"/>
      <c r="ZP35" s="390"/>
      <c r="ZQ35" s="390"/>
      <c r="ZR35" s="390"/>
      <c r="ZS35" s="390"/>
      <c r="ZT35" s="390"/>
      <c r="ZU35" s="390"/>
      <c r="ZV35" s="390"/>
      <c r="ZW35" s="390"/>
      <c r="ZX35" s="390"/>
      <c r="ZY35" s="390"/>
      <c r="ZZ35" s="390"/>
      <c r="AAA35" s="390"/>
      <c r="AAB35" s="390"/>
      <c r="AAC35" s="390"/>
      <c r="AAD35" s="390"/>
      <c r="AAE35" s="390"/>
      <c r="AAF35" s="390"/>
      <c r="AAG35" s="390"/>
      <c r="AAH35" s="390"/>
      <c r="AAI35" s="390"/>
      <c r="AAJ35" s="390"/>
      <c r="AAK35" s="390"/>
      <c r="AAL35" s="390"/>
      <c r="AAM35" s="390"/>
      <c r="AAN35" s="390"/>
      <c r="AAO35" s="390"/>
      <c r="AAP35" s="390"/>
      <c r="AAQ35" s="390"/>
      <c r="AAR35" s="390"/>
      <c r="AAS35" s="390"/>
      <c r="AAT35" s="390"/>
      <c r="AAU35" s="390"/>
      <c r="AAV35" s="390"/>
      <c r="AAW35" s="390"/>
      <c r="AAX35" s="390"/>
      <c r="AAY35" s="390"/>
      <c r="AAZ35" s="390"/>
      <c r="ABA35" s="390"/>
      <c r="ABB35" s="390"/>
      <c r="ABC35" s="390"/>
      <c r="ABD35" s="390"/>
      <c r="ABE35" s="390"/>
      <c r="ABF35" s="390"/>
      <c r="ABG35" s="390"/>
      <c r="ABH35" s="390"/>
      <c r="ABI35" s="390"/>
      <c r="ABJ35" s="390"/>
      <c r="ABK35" s="390"/>
      <c r="ABL35" s="390"/>
      <c r="ABM35" s="390"/>
      <c r="ABN35" s="390"/>
      <c r="ABO35" s="390"/>
      <c r="ABP35" s="390"/>
      <c r="ABQ35" s="390"/>
      <c r="ABR35" s="390"/>
      <c r="ABS35" s="390"/>
      <c r="ABT35" s="390"/>
      <c r="ABU35" s="390"/>
      <c r="ABV35" s="390"/>
      <c r="ABW35" s="390"/>
      <c r="ABX35" s="390"/>
      <c r="ABY35" s="390"/>
      <c r="ABZ35" s="390"/>
      <c r="ACA35" s="390"/>
      <c r="ACB35" s="390"/>
      <c r="ACC35" s="390"/>
      <c r="ACD35" s="390"/>
      <c r="ACE35" s="390"/>
      <c r="ACF35" s="390"/>
      <c r="ACG35" s="390"/>
      <c r="ACH35" s="390"/>
      <c r="ACI35" s="390"/>
    </row>
    <row r="36" spans="1:763" ht="13.95" customHeight="1" x14ac:dyDescent="0.3">
      <c r="A36" s="397" t="str">
        <f ca="1">Проект!$A$308</f>
        <v>численность</v>
      </c>
      <c r="B36" s="353">
        <f>Проект!$B$308</f>
        <v>6</v>
      </c>
      <c r="C36" s="402" t="str">
        <f ca="1">Проект!$C$308</f>
        <v>человек</v>
      </c>
      <c r="D36" s="354">
        <f>IFERROR(AVERAGE(Проект!$G$308:$R$308),"-")</f>
        <v>3</v>
      </c>
      <c r="E36" s="354">
        <f>IFERROR(AVERAGE(Проект!$S$308:$AD$308),"-")</f>
        <v>6</v>
      </c>
      <c r="F36" s="354">
        <f>IFERROR(AVERAGE(Проект!$AE$308:$AP$308),"-")</f>
        <v>6</v>
      </c>
      <c r="G36" s="354">
        <f>IFERROR(AVERAGE(Проект!$AQ$308:$BB$308),"-")</f>
        <v>6</v>
      </c>
      <c r="H36" s="396"/>
      <c r="I36" s="390"/>
      <c r="J36" s="390"/>
      <c r="K36" s="390"/>
      <c r="L36" s="390"/>
      <c r="M36" s="390"/>
      <c r="N36" s="390"/>
      <c r="O36" s="390"/>
      <c r="P36" s="390"/>
      <c r="Q36" s="390"/>
      <c r="R36" s="390"/>
      <c r="S36" s="390"/>
      <c r="T36" s="390"/>
      <c r="U36" s="390"/>
      <c r="V36" s="390"/>
      <c r="W36" s="390"/>
      <c r="X36" s="390"/>
      <c r="Y36" s="390"/>
      <c r="Z36" s="390"/>
      <c r="AA36" s="390"/>
      <c r="AB36" s="390"/>
      <c r="AC36" s="390"/>
      <c r="AD36" s="390"/>
      <c r="AE36" s="390"/>
      <c r="AF36" s="390"/>
      <c r="AG36" s="390"/>
      <c r="AH36" s="390"/>
      <c r="AI36" s="390"/>
      <c r="AJ36" s="390"/>
      <c r="AK36" s="390"/>
      <c r="AL36" s="390"/>
      <c r="AM36" s="390"/>
      <c r="AN36" s="390"/>
      <c r="AO36" s="390"/>
      <c r="AP36" s="390"/>
      <c r="AQ36" s="390"/>
      <c r="AR36" s="390"/>
      <c r="AS36" s="390"/>
      <c r="AT36" s="390"/>
      <c r="AU36" s="390"/>
      <c r="AV36" s="390"/>
      <c r="AW36" s="390"/>
      <c r="AX36" s="390"/>
      <c r="AY36" s="390"/>
      <c r="AZ36" s="390"/>
      <c r="BA36" s="390"/>
      <c r="BB36" s="390"/>
      <c r="BC36" s="390"/>
      <c r="BD36" s="390"/>
      <c r="BE36" s="390"/>
      <c r="BF36" s="390"/>
      <c r="BG36" s="390"/>
      <c r="BH36" s="390"/>
      <c r="BI36" s="390"/>
      <c r="BJ36" s="390"/>
      <c r="BK36" s="390"/>
      <c r="BL36" s="390"/>
      <c r="BM36" s="390"/>
      <c r="BN36" s="390"/>
      <c r="BO36" s="390"/>
      <c r="BP36" s="390"/>
      <c r="BQ36" s="390"/>
      <c r="BR36" s="390"/>
      <c r="BS36" s="390"/>
      <c r="BT36" s="390"/>
      <c r="BU36" s="390"/>
      <c r="BV36" s="390"/>
      <c r="BW36" s="390"/>
      <c r="BX36" s="390"/>
      <c r="BY36" s="390"/>
      <c r="BZ36" s="390"/>
      <c r="CA36" s="390"/>
      <c r="CB36" s="390"/>
      <c r="CC36" s="390"/>
      <c r="CD36" s="390"/>
      <c r="CE36" s="390"/>
      <c r="CF36" s="390"/>
      <c r="CG36" s="390"/>
      <c r="CH36" s="390"/>
      <c r="CI36" s="390"/>
      <c r="CJ36" s="390"/>
      <c r="CK36" s="390"/>
      <c r="CL36" s="390"/>
      <c r="CM36" s="390"/>
      <c r="CN36" s="390"/>
      <c r="CO36" s="390"/>
      <c r="CP36" s="390"/>
      <c r="CQ36" s="390"/>
      <c r="CR36" s="390"/>
      <c r="CS36" s="390"/>
      <c r="CT36" s="390"/>
      <c r="CU36" s="390"/>
      <c r="CV36" s="390"/>
      <c r="CW36" s="390"/>
      <c r="CX36" s="390"/>
      <c r="CY36" s="390"/>
      <c r="CZ36" s="390"/>
      <c r="DA36" s="390"/>
      <c r="DB36" s="390"/>
      <c r="DC36" s="390"/>
      <c r="DD36" s="390"/>
      <c r="DE36" s="390"/>
      <c r="DF36" s="390"/>
      <c r="DG36" s="390"/>
      <c r="DH36" s="390"/>
      <c r="DI36" s="390"/>
      <c r="DJ36" s="390"/>
      <c r="DK36" s="390"/>
      <c r="DL36" s="390"/>
      <c r="DM36" s="390"/>
      <c r="DN36" s="390"/>
      <c r="DO36" s="390"/>
      <c r="DP36" s="390"/>
      <c r="DQ36" s="390"/>
      <c r="DR36" s="390"/>
      <c r="DS36" s="390"/>
      <c r="DT36" s="390"/>
      <c r="DU36" s="390"/>
      <c r="DV36" s="390"/>
      <c r="DW36" s="390"/>
      <c r="DX36" s="390"/>
      <c r="DY36" s="390"/>
      <c r="DZ36" s="390"/>
      <c r="EA36" s="390"/>
      <c r="EB36" s="390"/>
      <c r="EC36" s="390"/>
      <c r="ED36" s="390"/>
      <c r="EE36" s="390"/>
      <c r="EF36" s="390"/>
      <c r="EG36" s="390"/>
      <c r="EH36" s="390"/>
      <c r="EI36" s="390"/>
      <c r="EJ36" s="390"/>
      <c r="EK36" s="390"/>
      <c r="EL36" s="390"/>
      <c r="EM36" s="390"/>
      <c r="EN36" s="390"/>
      <c r="EO36" s="390"/>
      <c r="EP36" s="390"/>
      <c r="EQ36" s="390"/>
      <c r="ER36" s="390"/>
      <c r="ES36" s="390"/>
      <c r="ET36" s="390"/>
      <c r="EU36" s="390"/>
      <c r="EV36" s="390"/>
      <c r="EW36" s="390"/>
      <c r="EX36" s="390"/>
      <c r="EY36" s="390"/>
      <c r="EZ36" s="390"/>
      <c r="FA36" s="390"/>
      <c r="FB36" s="390"/>
      <c r="FC36" s="390"/>
      <c r="FD36" s="390"/>
      <c r="FE36" s="390"/>
      <c r="FF36" s="390"/>
      <c r="FG36" s="390"/>
      <c r="FH36" s="390"/>
      <c r="FI36" s="390"/>
      <c r="FJ36" s="390"/>
      <c r="FK36" s="390"/>
      <c r="FL36" s="390"/>
      <c r="FM36" s="390"/>
      <c r="FN36" s="390"/>
      <c r="FO36" s="390"/>
      <c r="FP36" s="390"/>
      <c r="FQ36" s="390"/>
      <c r="FR36" s="390"/>
      <c r="FS36" s="390"/>
      <c r="FT36" s="390"/>
      <c r="FU36" s="390"/>
      <c r="FV36" s="390"/>
      <c r="FW36" s="390"/>
      <c r="FX36" s="390"/>
      <c r="FY36" s="390"/>
      <c r="FZ36" s="390"/>
      <c r="GA36" s="390"/>
      <c r="GB36" s="390"/>
      <c r="GC36" s="390"/>
      <c r="GD36" s="390"/>
      <c r="GE36" s="390"/>
      <c r="GF36" s="390"/>
      <c r="GG36" s="390"/>
      <c r="GH36" s="390"/>
      <c r="GI36" s="390"/>
      <c r="GJ36" s="390"/>
      <c r="GK36" s="390"/>
      <c r="GL36" s="390"/>
      <c r="GM36" s="390"/>
      <c r="GN36" s="390"/>
      <c r="GO36" s="390"/>
      <c r="GP36" s="390"/>
      <c r="GQ36" s="390"/>
      <c r="GR36" s="390"/>
      <c r="GS36" s="390"/>
      <c r="GT36" s="390"/>
      <c r="GU36" s="390"/>
      <c r="GV36" s="390"/>
      <c r="GW36" s="390"/>
      <c r="GX36" s="390"/>
      <c r="GY36" s="390"/>
      <c r="GZ36" s="390"/>
      <c r="HA36" s="390"/>
      <c r="HB36" s="390"/>
      <c r="HC36" s="390"/>
      <c r="HD36" s="390"/>
      <c r="HE36" s="390"/>
      <c r="HF36" s="390"/>
      <c r="HG36" s="390"/>
      <c r="HH36" s="390"/>
      <c r="HI36" s="390"/>
      <c r="HJ36" s="390"/>
      <c r="HK36" s="390"/>
      <c r="HL36" s="390"/>
      <c r="HM36" s="390"/>
      <c r="HN36" s="390"/>
      <c r="HO36" s="390"/>
      <c r="HP36" s="390"/>
      <c r="HQ36" s="390"/>
      <c r="HR36" s="390"/>
      <c r="HS36" s="390"/>
      <c r="HT36" s="390"/>
      <c r="HU36" s="390"/>
      <c r="HV36" s="390"/>
      <c r="HW36" s="390"/>
      <c r="HX36" s="390"/>
      <c r="HY36" s="390"/>
      <c r="HZ36" s="390"/>
      <c r="IA36" s="390"/>
      <c r="IB36" s="390"/>
      <c r="IC36" s="390"/>
      <c r="ID36" s="390"/>
      <c r="IE36" s="390"/>
      <c r="IF36" s="390"/>
      <c r="IG36" s="390"/>
      <c r="IH36" s="390"/>
      <c r="II36" s="390"/>
      <c r="IJ36" s="390"/>
      <c r="IK36" s="390"/>
      <c r="IL36" s="390"/>
      <c r="IM36" s="390"/>
      <c r="IN36" s="390"/>
      <c r="IO36" s="390"/>
      <c r="IP36" s="390"/>
      <c r="IQ36" s="390"/>
      <c r="IR36" s="390"/>
      <c r="IS36" s="390"/>
      <c r="IT36" s="390"/>
      <c r="IU36" s="390"/>
      <c r="IV36" s="390"/>
      <c r="IW36" s="390"/>
      <c r="IX36" s="390"/>
      <c r="IY36" s="390"/>
      <c r="IZ36" s="390"/>
      <c r="JA36" s="390"/>
      <c r="JB36" s="390"/>
      <c r="JC36" s="390"/>
      <c r="JD36" s="390"/>
      <c r="JE36" s="390"/>
      <c r="JF36" s="390"/>
      <c r="JG36" s="390"/>
      <c r="JH36" s="390"/>
      <c r="JI36" s="390"/>
      <c r="JJ36" s="390"/>
      <c r="JK36" s="390"/>
      <c r="JL36" s="390"/>
      <c r="JM36" s="390"/>
      <c r="JN36" s="390"/>
      <c r="JO36" s="390"/>
      <c r="JP36" s="390"/>
      <c r="JQ36" s="390"/>
      <c r="JR36" s="390"/>
      <c r="JS36" s="390"/>
      <c r="JT36" s="390"/>
      <c r="JU36" s="390"/>
      <c r="JV36" s="390"/>
      <c r="JW36" s="390"/>
      <c r="JX36" s="390"/>
      <c r="JY36" s="390"/>
      <c r="JZ36" s="390"/>
      <c r="KA36" s="390"/>
      <c r="KB36" s="390"/>
      <c r="KC36" s="390"/>
      <c r="KD36" s="390"/>
      <c r="KE36" s="390"/>
      <c r="KF36" s="390"/>
      <c r="KG36" s="390"/>
      <c r="KH36" s="390"/>
      <c r="KI36" s="390"/>
      <c r="KJ36" s="390"/>
      <c r="KK36" s="390"/>
      <c r="KL36" s="390"/>
      <c r="KM36" s="390"/>
      <c r="KN36" s="390"/>
      <c r="KO36" s="390"/>
      <c r="KP36" s="390"/>
      <c r="KQ36" s="390"/>
      <c r="KR36" s="390"/>
      <c r="KS36" s="390"/>
      <c r="KT36" s="390"/>
      <c r="KU36" s="390"/>
      <c r="KV36" s="390"/>
      <c r="KW36" s="390"/>
      <c r="KX36" s="390"/>
      <c r="KY36" s="390"/>
      <c r="KZ36" s="390"/>
      <c r="LA36" s="390"/>
      <c r="LB36" s="390"/>
      <c r="LC36" s="390"/>
      <c r="LD36" s="390"/>
      <c r="LE36" s="390"/>
      <c r="LF36" s="390"/>
      <c r="LG36" s="390"/>
      <c r="LH36" s="390"/>
      <c r="LI36" s="390"/>
      <c r="LJ36" s="390"/>
      <c r="LK36" s="390"/>
      <c r="LL36" s="390"/>
      <c r="LM36" s="390"/>
      <c r="LN36" s="390"/>
      <c r="LO36" s="390"/>
      <c r="LP36" s="390"/>
      <c r="LQ36" s="390"/>
      <c r="LR36" s="390"/>
      <c r="LS36" s="390"/>
      <c r="LT36" s="390"/>
      <c r="LU36" s="390"/>
      <c r="LV36" s="390"/>
      <c r="LW36" s="390"/>
      <c r="LX36" s="390"/>
      <c r="LY36" s="390"/>
      <c r="LZ36" s="390"/>
      <c r="MA36" s="390"/>
      <c r="MB36" s="390"/>
      <c r="MC36" s="390"/>
      <c r="MD36" s="390"/>
      <c r="ME36" s="390"/>
      <c r="MF36" s="390"/>
      <c r="MG36" s="390"/>
      <c r="MH36" s="390"/>
      <c r="MI36" s="390"/>
      <c r="MJ36" s="390"/>
      <c r="MK36" s="390"/>
      <c r="ML36" s="390"/>
      <c r="MM36" s="390"/>
      <c r="MN36" s="390"/>
      <c r="MO36" s="390"/>
      <c r="MP36" s="390"/>
      <c r="MQ36" s="390"/>
      <c r="MR36" s="390"/>
      <c r="MS36" s="390"/>
      <c r="MT36" s="390"/>
      <c r="MU36" s="390"/>
      <c r="MV36" s="390"/>
      <c r="MW36" s="390"/>
      <c r="MX36" s="390"/>
      <c r="MY36" s="390"/>
      <c r="MZ36" s="390"/>
      <c r="NA36" s="390"/>
      <c r="NB36" s="390"/>
      <c r="NC36" s="390"/>
      <c r="ND36" s="390"/>
      <c r="NE36" s="390"/>
      <c r="NF36" s="390"/>
      <c r="NG36" s="390"/>
      <c r="NH36" s="390"/>
      <c r="NI36" s="390"/>
      <c r="NJ36" s="390"/>
      <c r="NK36" s="390"/>
      <c r="NL36" s="390"/>
      <c r="NM36" s="390"/>
      <c r="NN36" s="390"/>
      <c r="NO36" s="390"/>
      <c r="NP36" s="390"/>
      <c r="NQ36" s="390"/>
      <c r="NR36" s="390"/>
      <c r="NS36" s="390"/>
      <c r="NT36" s="390"/>
      <c r="NU36" s="390"/>
      <c r="NV36" s="390"/>
      <c r="NW36" s="390"/>
      <c r="NX36" s="390"/>
      <c r="NY36" s="390"/>
      <c r="NZ36" s="390"/>
      <c r="OA36" s="390"/>
      <c r="OB36" s="390"/>
      <c r="OC36" s="390"/>
      <c r="OD36" s="390"/>
      <c r="OE36" s="390"/>
      <c r="OF36" s="390"/>
      <c r="OG36" s="390"/>
      <c r="OH36" s="390"/>
      <c r="OI36" s="390"/>
      <c r="OJ36" s="390"/>
      <c r="OK36" s="390"/>
      <c r="OL36" s="390"/>
      <c r="OM36" s="390"/>
      <c r="ON36" s="390"/>
      <c r="OO36" s="390"/>
      <c r="OP36" s="390"/>
      <c r="OQ36" s="390"/>
      <c r="OR36" s="390"/>
      <c r="OS36" s="390"/>
      <c r="OT36" s="390"/>
      <c r="OU36" s="390"/>
      <c r="OV36" s="390"/>
      <c r="OW36" s="390"/>
      <c r="OX36" s="390"/>
      <c r="OY36" s="390"/>
      <c r="OZ36" s="390"/>
      <c r="PA36" s="390"/>
      <c r="PB36" s="390"/>
      <c r="PC36" s="390"/>
      <c r="PD36" s="390"/>
      <c r="PE36" s="390"/>
      <c r="PF36" s="390"/>
      <c r="PG36" s="390"/>
      <c r="PH36" s="390"/>
      <c r="PI36" s="390"/>
      <c r="PJ36" s="390"/>
      <c r="PK36" s="390"/>
      <c r="PL36" s="390"/>
      <c r="PM36" s="390"/>
      <c r="PN36" s="390"/>
      <c r="PO36" s="390"/>
      <c r="PP36" s="390"/>
      <c r="PQ36" s="390"/>
      <c r="PR36" s="390"/>
      <c r="PS36" s="390"/>
      <c r="PT36" s="390"/>
      <c r="PU36" s="390"/>
      <c r="PV36" s="390"/>
      <c r="PW36" s="390"/>
      <c r="PX36" s="390"/>
      <c r="PY36" s="390"/>
      <c r="PZ36" s="390"/>
      <c r="QA36" s="390"/>
      <c r="QB36" s="390"/>
      <c r="QC36" s="390"/>
      <c r="QD36" s="390"/>
      <c r="QE36" s="390"/>
      <c r="QF36" s="390"/>
      <c r="QG36" s="390"/>
      <c r="QH36" s="390"/>
      <c r="QI36" s="390"/>
      <c r="QJ36" s="390"/>
      <c r="QK36" s="390"/>
      <c r="QL36" s="390"/>
      <c r="QM36" s="390"/>
      <c r="QN36" s="390"/>
      <c r="QO36" s="390"/>
      <c r="QP36" s="390"/>
      <c r="QQ36" s="390"/>
      <c r="QR36" s="390"/>
      <c r="QS36" s="390"/>
      <c r="QT36" s="390"/>
      <c r="QU36" s="390"/>
      <c r="QV36" s="390"/>
      <c r="QW36" s="390"/>
      <c r="QX36" s="390"/>
      <c r="QY36" s="390"/>
      <c r="QZ36" s="390"/>
      <c r="RA36" s="390"/>
      <c r="RB36" s="390"/>
      <c r="RC36" s="390"/>
      <c r="RD36" s="390"/>
      <c r="RE36" s="390"/>
      <c r="RF36" s="390"/>
      <c r="RG36" s="390"/>
      <c r="RH36" s="390"/>
      <c r="RI36" s="390"/>
      <c r="RJ36" s="390"/>
      <c r="RK36" s="390"/>
      <c r="RL36" s="390"/>
      <c r="RM36" s="390"/>
      <c r="RN36" s="390"/>
      <c r="RO36" s="390"/>
      <c r="RP36" s="390"/>
      <c r="RQ36" s="390"/>
      <c r="RR36" s="390"/>
      <c r="RS36" s="390"/>
      <c r="RT36" s="390"/>
      <c r="RU36" s="390"/>
      <c r="RV36" s="390"/>
      <c r="RW36" s="390"/>
      <c r="RX36" s="390"/>
      <c r="RY36" s="390"/>
      <c r="RZ36" s="390"/>
      <c r="SA36" s="390"/>
      <c r="SB36" s="390"/>
      <c r="SC36" s="390"/>
      <c r="SD36" s="390"/>
      <c r="SE36" s="390"/>
      <c r="SF36" s="390"/>
      <c r="SG36" s="390"/>
      <c r="SH36" s="390"/>
      <c r="SI36" s="390"/>
      <c r="SJ36" s="390"/>
      <c r="SK36" s="390"/>
      <c r="SL36" s="390"/>
      <c r="SM36" s="390"/>
      <c r="SN36" s="390"/>
      <c r="SO36" s="390"/>
      <c r="SP36" s="390"/>
      <c r="SQ36" s="390"/>
      <c r="SR36" s="390"/>
      <c r="SS36" s="390"/>
      <c r="ST36" s="390"/>
      <c r="SU36" s="390"/>
      <c r="SV36" s="390"/>
      <c r="SW36" s="390"/>
      <c r="SX36" s="390"/>
      <c r="SY36" s="390"/>
      <c r="SZ36" s="390"/>
      <c r="TA36" s="390"/>
      <c r="TB36" s="390"/>
      <c r="TC36" s="390"/>
      <c r="TD36" s="390"/>
      <c r="TE36" s="390"/>
      <c r="TF36" s="390"/>
      <c r="TG36" s="390"/>
      <c r="TH36" s="390"/>
      <c r="TI36" s="390"/>
      <c r="TJ36" s="390"/>
      <c r="TK36" s="390"/>
      <c r="TL36" s="390"/>
      <c r="TM36" s="390"/>
      <c r="TN36" s="390"/>
      <c r="TO36" s="390"/>
      <c r="TP36" s="390"/>
      <c r="TQ36" s="390"/>
      <c r="TR36" s="390"/>
      <c r="TS36" s="390"/>
      <c r="TT36" s="390"/>
      <c r="TU36" s="390"/>
      <c r="TV36" s="390"/>
      <c r="TW36" s="390"/>
      <c r="TX36" s="390"/>
      <c r="TY36" s="390"/>
      <c r="TZ36" s="390"/>
      <c r="UA36" s="390"/>
      <c r="UB36" s="390"/>
      <c r="UC36" s="390"/>
      <c r="UD36" s="390"/>
      <c r="UE36" s="390"/>
      <c r="UF36" s="390"/>
      <c r="UG36" s="390"/>
      <c r="UH36" s="390"/>
      <c r="UI36" s="390"/>
      <c r="UJ36" s="390"/>
      <c r="UK36" s="390"/>
      <c r="UL36" s="390"/>
      <c r="UM36" s="390"/>
      <c r="UN36" s="390"/>
      <c r="UO36" s="390"/>
      <c r="UP36" s="390"/>
      <c r="UQ36" s="390"/>
      <c r="UR36" s="390"/>
      <c r="US36" s="390"/>
      <c r="UT36" s="390"/>
      <c r="UU36" s="390"/>
      <c r="UV36" s="390"/>
      <c r="UW36" s="390"/>
      <c r="UX36" s="390"/>
      <c r="UY36" s="390"/>
      <c r="UZ36" s="390"/>
      <c r="VA36" s="390"/>
      <c r="VB36" s="390"/>
      <c r="VC36" s="390"/>
      <c r="VD36" s="390"/>
      <c r="VE36" s="390"/>
      <c r="VF36" s="390"/>
      <c r="VG36" s="390"/>
      <c r="VH36" s="390"/>
      <c r="VI36" s="390"/>
      <c r="VJ36" s="390"/>
      <c r="VK36" s="390"/>
      <c r="VL36" s="390"/>
      <c r="VM36" s="390"/>
      <c r="VN36" s="390"/>
      <c r="VO36" s="390"/>
      <c r="VP36" s="390"/>
      <c r="VQ36" s="390"/>
      <c r="VR36" s="390"/>
      <c r="VS36" s="390"/>
      <c r="VT36" s="390"/>
      <c r="VU36" s="390"/>
      <c r="VV36" s="390"/>
      <c r="VW36" s="390"/>
      <c r="VX36" s="390"/>
      <c r="VY36" s="390"/>
      <c r="VZ36" s="390"/>
      <c r="WA36" s="390"/>
      <c r="WB36" s="390"/>
      <c r="WC36" s="390"/>
      <c r="WD36" s="390"/>
      <c r="WE36" s="390"/>
      <c r="WF36" s="390"/>
      <c r="WG36" s="390"/>
      <c r="WH36" s="390"/>
      <c r="WI36" s="390"/>
      <c r="WJ36" s="390"/>
      <c r="WK36" s="390"/>
      <c r="WL36" s="390"/>
      <c r="WM36" s="390"/>
      <c r="WN36" s="390"/>
      <c r="WO36" s="390"/>
      <c r="WP36" s="390"/>
      <c r="WQ36" s="390"/>
      <c r="WR36" s="390"/>
      <c r="WS36" s="390"/>
      <c r="WT36" s="390"/>
      <c r="WU36" s="390"/>
      <c r="WV36" s="390"/>
      <c r="WW36" s="390"/>
      <c r="WX36" s="390"/>
      <c r="WY36" s="390"/>
      <c r="WZ36" s="390"/>
      <c r="XA36" s="390"/>
      <c r="XB36" s="390"/>
      <c r="XC36" s="390"/>
      <c r="XD36" s="390"/>
      <c r="XE36" s="390"/>
      <c r="XF36" s="390"/>
      <c r="XG36" s="390"/>
      <c r="XH36" s="390"/>
      <c r="XI36" s="390"/>
      <c r="XJ36" s="390"/>
      <c r="XK36" s="390"/>
      <c r="XL36" s="390"/>
      <c r="XM36" s="390"/>
      <c r="XN36" s="390"/>
      <c r="XO36" s="390"/>
      <c r="XP36" s="390"/>
      <c r="XQ36" s="390"/>
      <c r="XR36" s="390"/>
      <c r="XS36" s="390"/>
      <c r="XT36" s="390"/>
      <c r="XU36" s="390"/>
      <c r="XV36" s="390"/>
      <c r="XW36" s="390"/>
      <c r="XX36" s="390"/>
      <c r="XY36" s="390"/>
      <c r="XZ36" s="390"/>
      <c r="YA36" s="390"/>
      <c r="YB36" s="390"/>
      <c r="YC36" s="390"/>
      <c r="YD36" s="390"/>
      <c r="YE36" s="390"/>
      <c r="YF36" s="390"/>
      <c r="YG36" s="390"/>
      <c r="YH36" s="390"/>
      <c r="YI36" s="390"/>
      <c r="YJ36" s="390"/>
      <c r="YK36" s="390"/>
      <c r="YL36" s="390"/>
      <c r="YM36" s="390"/>
      <c r="YN36" s="390"/>
      <c r="YO36" s="390"/>
      <c r="YP36" s="390"/>
      <c r="YQ36" s="390"/>
      <c r="YR36" s="390"/>
      <c r="YS36" s="390"/>
      <c r="YT36" s="390"/>
      <c r="YU36" s="390"/>
      <c r="YV36" s="390"/>
      <c r="YW36" s="390"/>
      <c r="YX36" s="390"/>
      <c r="YY36" s="390"/>
      <c r="YZ36" s="390"/>
      <c r="ZA36" s="390"/>
      <c r="ZB36" s="390"/>
      <c r="ZC36" s="390"/>
      <c r="ZD36" s="390"/>
      <c r="ZE36" s="390"/>
      <c r="ZF36" s="390"/>
      <c r="ZG36" s="390"/>
      <c r="ZH36" s="390"/>
      <c r="ZI36" s="390"/>
      <c r="ZJ36" s="390"/>
      <c r="ZK36" s="390"/>
      <c r="ZL36" s="390"/>
      <c r="ZM36" s="390"/>
      <c r="ZN36" s="390"/>
      <c r="ZO36" s="390"/>
      <c r="ZP36" s="390"/>
      <c r="ZQ36" s="390"/>
      <c r="ZR36" s="390"/>
      <c r="ZS36" s="390"/>
      <c r="ZT36" s="390"/>
      <c r="ZU36" s="390"/>
      <c r="ZV36" s="390"/>
      <c r="ZW36" s="390"/>
      <c r="ZX36" s="390"/>
      <c r="ZY36" s="390"/>
      <c r="ZZ36" s="390"/>
      <c r="AAA36" s="390"/>
      <c r="AAB36" s="390"/>
      <c r="AAC36" s="390"/>
      <c r="AAD36" s="390"/>
      <c r="AAE36" s="390"/>
      <c r="AAF36" s="390"/>
      <c r="AAG36" s="390"/>
      <c r="AAH36" s="390"/>
      <c r="AAI36" s="390"/>
      <c r="AAJ36" s="390"/>
      <c r="AAK36" s="390"/>
      <c r="AAL36" s="390"/>
      <c r="AAM36" s="390"/>
      <c r="AAN36" s="390"/>
      <c r="AAO36" s="390"/>
      <c r="AAP36" s="390"/>
      <c r="AAQ36" s="390"/>
      <c r="AAR36" s="390"/>
      <c r="AAS36" s="390"/>
      <c r="AAT36" s="390"/>
      <c r="AAU36" s="390"/>
      <c r="AAV36" s="390"/>
      <c r="AAW36" s="390"/>
      <c r="AAX36" s="390"/>
      <c r="AAY36" s="390"/>
      <c r="AAZ36" s="390"/>
      <c r="ABA36" s="390"/>
      <c r="ABB36" s="390"/>
      <c r="ABC36" s="390"/>
      <c r="ABD36" s="390"/>
      <c r="ABE36" s="390"/>
      <c r="ABF36" s="390"/>
      <c r="ABG36" s="390"/>
      <c r="ABH36" s="390"/>
      <c r="ABI36" s="390"/>
      <c r="ABJ36" s="390"/>
      <c r="ABK36" s="390"/>
      <c r="ABL36" s="390"/>
      <c r="ABM36" s="390"/>
      <c r="ABN36" s="390"/>
      <c r="ABO36" s="390"/>
      <c r="ABP36" s="390"/>
      <c r="ABQ36" s="390"/>
      <c r="ABR36" s="390"/>
      <c r="ABS36" s="390"/>
      <c r="ABT36" s="390"/>
      <c r="ABU36" s="390"/>
      <c r="ABV36" s="390"/>
      <c r="ABW36" s="390"/>
      <c r="ABX36" s="390"/>
      <c r="ABY36" s="390"/>
      <c r="ABZ36" s="390"/>
      <c r="ACA36" s="390"/>
      <c r="ACB36" s="390"/>
      <c r="ACC36" s="390"/>
      <c r="ACD36" s="390"/>
      <c r="ACE36" s="390"/>
      <c r="ACF36" s="390"/>
      <c r="ACG36" s="390"/>
      <c r="ACH36" s="390"/>
      <c r="ACI36" s="390"/>
    </row>
    <row r="37" spans="1:763" ht="13.95" customHeight="1" x14ac:dyDescent="0.3">
      <c r="A37" s="397" t="str">
        <f ca="1">Проект!$A$309</f>
        <v>средний оклад, в месяц</v>
      </c>
      <c r="B37" s="350">
        <f>Проект!$B$309</f>
        <v>40000</v>
      </c>
      <c r="C37" s="402" t="str">
        <f ca="1">Проект!$C$309</f>
        <v>руб.</v>
      </c>
      <c r="D37" s="399">
        <f ca="1">IFERROR(AVERAGE(Проект!$G$309:$R$309),"-")</f>
        <v>41088.427806790569</v>
      </c>
      <c r="E37" s="399">
        <f ca="1">IFERROR(AVERAGE(Проект!$S$309:$AD$309),"-")</f>
        <v>43553.733475198016</v>
      </c>
      <c r="F37" s="399">
        <f ca="1">IFERROR(AVERAGE(Проект!$AE$309:$AP$309),"-")</f>
        <v>46166.957483709906</v>
      </c>
      <c r="G37" s="399">
        <f ca="1">IFERROR(AVERAGE(Проект!$AQ$309:$BB$309),"-")</f>
        <v>48936.974932732497</v>
      </c>
      <c r="H37" s="396"/>
      <c r="I37" s="390"/>
      <c r="J37" s="390"/>
      <c r="K37" s="390"/>
      <c r="L37" s="390"/>
      <c r="M37" s="390"/>
      <c r="N37" s="390"/>
      <c r="O37" s="390"/>
      <c r="P37" s="390"/>
      <c r="Q37" s="390"/>
      <c r="R37" s="390"/>
      <c r="S37" s="390"/>
      <c r="T37" s="390"/>
      <c r="U37" s="390"/>
      <c r="V37" s="390"/>
      <c r="W37" s="390"/>
      <c r="X37" s="390"/>
      <c r="Y37" s="390"/>
      <c r="Z37" s="390"/>
      <c r="AA37" s="390"/>
      <c r="AB37" s="390"/>
      <c r="AC37" s="390"/>
      <c r="AD37" s="390"/>
      <c r="AE37" s="390"/>
      <c r="AF37" s="390"/>
      <c r="AG37" s="390"/>
      <c r="AH37" s="390"/>
      <c r="AI37" s="390"/>
      <c r="AJ37" s="390"/>
      <c r="AK37" s="390"/>
      <c r="AL37" s="390"/>
      <c r="AM37" s="390"/>
      <c r="AN37" s="390"/>
      <c r="AO37" s="390"/>
      <c r="AP37" s="390"/>
      <c r="AQ37" s="390"/>
      <c r="AR37" s="390"/>
      <c r="AS37" s="390"/>
      <c r="AT37" s="390"/>
      <c r="AU37" s="390"/>
      <c r="AV37" s="390"/>
      <c r="AW37" s="390"/>
      <c r="AX37" s="390"/>
      <c r="AY37" s="390"/>
      <c r="AZ37" s="390"/>
      <c r="BA37" s="390"/>
      <c r="BB37" s="390"/>
      <c r="BC37" s="390"/>
      <c r="BD37" s="390"/>
      <c r="BE37" s="390"/>
      <c r="BF37" s="390"/>
      <c r="BG37" s="390"/>
      <c r="BH37" s="390"/>
      <c r="BI37" s="390"/>
      <c r="BJ37" s="390"/>
      <c r="BK37" s="390"/>
      <c r="BL37" s="390"/>
      <c r="BM37" s="390"/>
      <c r="BN37" s="390"/>
      <c r="BO37" s="390"/>
      <c r="BP37" s="390"/>
      <c r="BQ37" s="390"/>
      <c r="BR37" s="390"/>
      <c r="BS37" s="390"/>
      <c r="BT37" s="390"/>
      <c r="BU37" s="390"/>
      <c r="BV37" s="390"/>
      <c r="BW37" s="390"/>
      <c r="BX37" s="390"/>
      <c r="BY37" s="390"/>
      <c r="BZ37" s="390"/>
      <c r="CA37" s="390"/>
      <c r="CB37" s="390"/>
      <c r="CC37" s="390"/>
      <c r="CD37" s="390"/>
      <c r="CE37" s="390"/>
      <c r="CF37" s="390"/>
      <c r="CG37" s="390"/>
      <c r="CH37" s="390"/>
      <c r="CI37" s="390"/>
      <c r="CJ37" s="390"/>
      <c r="CK37" s="390"/>
      <c r="CL37" s="390"/>
      <c r="CM37" s="390"/>
      <c r="CN37" s="390"/>
      <c r="CO37" s="390"/>
      <c r="CP37" s="390"/>
      <c r="CQ37" s="390"/>
      <c r="CR37" s="390"/>
      <c r="CS37" s="390"/>
      <c r="CT37" s="390"/>
      <c r="CU37" s="390"/>
      <c r="CV37" s="390"/>
      <c r="CW37" s="390"/>
      <c r="CX37" s="390"/>
      <c r="CY37" s="390"/>
      <c r="CZ37" s="390"/>
      <c r="DA37" s="390"/>
      <c r="DB37" s="390"/>
      <c r="DC37" s="390"/>
      <c r="DD37" s="390"/>
      <c r="DE37" s="390"/>
      <c r="DF37" s="390"/>
      <c r="DG37" s="390"/>
      <c r="DH37" s="390"/>
      <c r="DI37" s="390"/>
      <c r="DJ37" s="390"/>
      <c r="DK37" s="390"/>
      <c r="DL37" s="390"/>
      <c r="DM37" s="390"/>
      <c r="DN37" s="390"/>
      <c r="DO37" s="390"/>
      <c r="DP37" s="390"/>
      <c r="DQ37" s="390"/>
      <c r="DR37" s="390"/>
      <c r="DS37" s="390"/>
      <c r="DT37" s="390"/>
      <c r="DU37" s="390"/>
      <c r="DV37" s="390"/>
      <c r="DW37" s="390"/>
      <c r="DX37" s="390"/>
      <c r="DY37" s="390"/>
      <c r="DZ37" s="390"/>
      <c r="EA37" s="390"/>
      <c r="EB37" s="390"/>
      <c r="EC37" s="390"/>
      <c r="ED37" s="390"/>
      <c r="EE37" s="390"/>
      <c r="EF37" s="390"/>
      <c r="EG37" s="390"/>
      <c r="EH37" s="390"/>
      <c r="EI37" s="390"/>
      <c r="EJ37" s="390"/>
      <c r="EK37" s="390"/>
      <c r="EL37" s="390"/>
      <c r="EM37" s="390"/>
      <c r="EN37" s="390"/>
      <c r="EO37" s="390"/>
      <c r="EP37" s="390"/>
      <c r="EQ37" s="390"/>
      <c r="ER37" s="390"/>
      <c r="ES37" s="390"/>
      <c r="ET37" s="390"/>
      <c r="EU37" s="390"/>
      <c r="EV37" s="390"/>
      <c r="EW37" s="390"/>
      <c r="EX37" s="390"/>
      <c r="EY37" s="390"/>
      <c r="EZ37" s="390"/>
      <c r="FA37" s="390"/>
      <c r="FB37" s="390"/>
      <c r="FC37" s="390"/>
      <c r="FD37" s="390"/>
      <c r="FE37" s="390"/>
      <c r="FF37" s="390"/>
      <c r="FG37" s="390"/>
      <c r="FH37" s="390"/>
      <c r="FI37" s="390"/>
      <c r="FJ37" s="390"/>
      <c r="FK37" s="390"/>
      <c r="FL37" s="390"/>
      <c r="FM37" s="390"/>
      <c r="FN37" s="390"/>
      <c r="FO37" s="390"/>
      <c r="FP37" s="390"/>
      <c r="FQ37" s="390"/>
      <c r="FR37" s="390"/>
      <c r="FS37" s="390"/>
      <c r="FT37" s="390"/>
      <c r="FU37" s="390"/>
      <c r="FV37" s="390"/>
      <c r="FW37" s="390"/>
      <c r="FX37" s="390"/>
      <c r="FY37" s="390"/>
      <c r="FZ37" s="390"/>
      <c r="GA37" s="390"/>
      <c r="GB37" s="390"/>
      <c r="GC37" s="390"/>
      <c r="GD37" s="390"/>
      <c r="GE37" s="390"/>
      <c r="GF37" s="390"/>
      <c r="GG37" s="390"/>
      <c r="GH37" s="390"/>
      <c r="GI37" s="390"/>
      <c r="GJ37" s="390"/>
      <c r="GK37" s="390"/>
      <c r="GL37" s="390"/>
      <c r="GM37" s="390"/>
      <c r="GN37" s="390"/>
      <c r="GO37" s="390"/>
      <c r="GP37" s="390"/>
      <c r="GQ37" s="390"/>
      <c r="GR37" s="390"/>
      <c r="GS37" s="390"/>
      <c r="GT37" s="390"/>
      <c r="GU37" s="390"/>
      <c r="GV37" s="390"/>
      <c r="GW37" s="390"/>
      <c r="GX37" s="390"/>
      <c r="GY37" s="390"/>
      <c r="GZ37" s="390"/>
      <c r="HA37" s="390"/>
      <c r="HB37" s="390"/>
      <c r="HC37" s="390"/>
      <c r="HD37" s="390"/>
      <c r="HE37" s="390"/>
      <c r="HF37" s="390"/>
      <c r="HG37" s="390"/>
      <c r="HH37" s="390"/>
      <c r="HI37" s="390"/>
      <c r="HJ37" s="390"/>
      <c r="HK37" s="390"/>
      <c r="HL37" s="390"/>
      <c r="HM37" s="390"/>
      <c r="HN37" s="390"/>
      <c r="HO37" s="390"/>
      <c r="HP37" s="390"/>
      <c r="HQ37" s="390"/>
      <c r="HR37" s="390"/>
      <c r="HS37" s="390"/>
      <c r="HT37" s="390"/>
      <c r="HU37" s="390"/>
      <c r="HV37" s="390"/>
      <c r="HW37" s="390"/>
      <c r="HX37" s="390"/>
      <c r="HY37" s="390"/>
      <c r="HZ37" s="390"/>
      <c r="IA37" s="390"/>
      <c r="IB37" s="390"/>
      <c r="IC37" s="390"/>
      <c r="ID37" s="390"/>
      <c r="IE37" s="390"/>
      <c r="IF37" s="390"/>
      <c r="IG37" s="390"/>
      <c r="IH37" s="390"/>
      <c r="II37" s="390"/>
      <c r="IJ37" s="390"/>
      <c r="IK37" s="390"/>
      <c r="IL37" s="390"/>
      <c r="IM37" s="390"/>
      <c r="IN37" s="390"/>
      <c r="IO37" s="390"/>
      <c r="IP37" s="390"/>
      <c r="IQ37" s="390"/>
      <c r="IR37" s="390"/>
      <c r="IS37" s="390"/>
      <c r="IT37" s="390"/>
      <c r="IU37" s="390"/>
      <c r="IV37" s="390"/>
      <c r="IW37" s="390"/>
      <c r="IX37" s="390"/>
      <c r="IY37" s="390"/>
      <c r="IZ37" s="390"/>
      <c r="JA37" s="390"/>
      <c r="JB37" s="390"/>
      <c r="JC37" s="390"/>
      <c r="JD37" s="390"/>
      <c r="JE37" s="390"/>
      <c r="JF37" s="390"/>
      <c r="JG37" s="390"/>
      <c r="JH37" s="390"/>
      <c r="JI37" s="390"/>
      <c r="JJ37" s="390"/>
      <c r="JK37" s="390"/>
      <c r="JL37" s="390"/>
      <c r="JM37" s="390"/>
      <c r="JN37" s="390"/>
      <c r="JO37" s="390"/>
      <c r="JP37" s="390"/>
      <c r="JQ37" s="390"/>
      <c r="JR37" s="390"/>
      <c r="JS37" s="390"/>
      <c r="JT37" s="390"/>
      <c r="JU37" s="390"/>
      <c r="JV37" s="390"/>
      <c r="JW37" s="390"/>
      <c r="JX37" s="390"/>
      <c r="JY37" s="390"/>
      <c r="JZ37" s="390"/>
      <c r="KA37" s="390"/>
      <c r="KB37" s="390"/>
      <c r="KC37" s="390"/>
      <c r="KD37" s="390"/>
      <c r="KE37" s="390"/>
      <c r="KF37" s="390"/>
      <c r="KG37" s="390"/>
      <c r="KH37" s="390"/>
      <c r="KI37" s="390"/>
      <c r="KJ37" s="390"/>
      <c r="KK37" s="390"/>
      <c r="KL37" s="390"/>
      <c r="KM37" s="390"/>
      <c r="KN37" s="390"/>
      <c r="KO37" s="390"/>
      <c r="KP37" s="390"/>
      <c r="KQ37" s="390"/>
      <c r="KR37" s="390"/>
      <c r="KS37" s="390"/>
      <c r="KT37" s="390"/>
      <c r="KU37" s="390"/>
      <c r="KV37" s="390"/>
      <c r="KW37" s="390"/>
      <c r="KX37" s="390"/>
      <c r="KY37" s="390"/>
      <c r="KZ37" s="390"/>
      <c r="LA37" s="390"/>
      <c r="LB37" s="390"/>
      <c r="LC37" s="390"/>
      <c r="LD37" s="390"/>
      <c r="LE37" s="390"/>
      <c r="LF37" s="390"/>
      <c r="LG37" s="390"/>
      <c r="LH37" s="390"/>
      <c r="LI37" s="390"/>
      <c r="LJ37" s="390"/>
      <c r="LK37" s="390"/>
      <c r="LL37" s="390"/>
      <c r="LM37" s="390"/>
      <c r="LN37" s="390"/>
      <c r="LO37" s="390"/>
      <c r="LP37" s="390"/>
      <c r="LQ37" s="390"/>
      <c r="LR37" s="390"/>
      <c r="LS37" s="390"/>
      <c r="LT37" s="390"/>
      <c r="LU37" s="390"/>
      <c r="LV37" s="390"/>
      <c r="LW37" s="390"/>
      <c r="LX37" s="390"/>
      <c r="LY37" s="390"/>
      <c r="LZ37" s="390"/>
      <c r="MA37" s="390"/>
      <c r="MB37" s="390"/>
      <c r="MC37" s="390"/>
      <c r="MD37" s="390"/>
      <c r="ME37" s="390"/>
      <c r="MF37" s="390"/>
      <c r="MG37" s="390"/>
      <c r="MH37" s="390"/>
      <c r="MI37" s="390"/>
      <c r="MJ37" s="390"/>
      <c r="MK37" s="390"/>
      <c r="ML37" s="390"/>
      <c r="MM37" s="390"/>
      <c r="MN37" s="390"/>
      <c r="MO37" s="390"/>
      <c r="MP37" s="390"/>
      <c r="MQ37" s="390"/>
      <c r="MR37" s="390"/>
      <c r="MS37" s="390"/>
      <c r="MT37" s="390"/>
      <c r="MU37" s="390"/>
      <c r="MV37" s="390"/>
      <c r="MW37" s="390"/>
      <c r="MX37" s="390"/>
      <c r="MY37" s="390"/>
      <c r="MZ37" s="390"/>
      <c r="NA37" s="390"/>
      <c r="NB37" s="390"/>
      <c r="NC37" s="390"/>
      <c r="ND37" s="390"/>
      <c r="NE37" s="390"/>
      <c r="NF37" s="390"/>
      <c r="NG37" s="390"/>
      <c r="NH37" s="390"/>
      <c r="NI37" s="390"/>
      <c r="NJ37" s="390"/>
      <c r="NK37" s="390"/>
      <c r="NL37" s="390"/>
      <c r="NM37" s="390"/>
      <c r="NN37" s="390"/>
      <c r="NO37" s="390"/>
      <c r="NP37" s="390"/>
      <c r="NQ37" s="390"/>
      <c r="NR37" s="390"/>
      <c r="NS37" s="390"/>
      <c r="NT37" s="390"/>
      <c r="NU37" s="390"/>
      <c r="NV37" s="390"/>
      <c r="NW37" s="390"/>
      <c r="NX37" s="390"/>
      <c r="NY37" s="390"/>
      <c r="NZ37" s="390"/>
      <c r="OA37" s="390"/>
      <c r="OB37" s="390"/>
      <c r="OC37" s="390"/>
      <c r="OD37" s="390"/>
      <c r="OE37" s="390"/>
      <c r="OF37" s="390"/>
      <c r="OG37" s="390"/>
      <c r="OH37" s="390"/>
      <c r="OI37" s="390"/>
      <c r="OJ37" s="390"/>
      <c r="OK37" s="390"/>
      <c r="OL37" s="390"/>
      <c r="OM37" s="390"/>
      <c r="ON37" s="390"/>
      <c r="OO37" s="390"/>
      <c r="OP37" s="390"/>
      <c r="OQ37" s="390"/>
      <c r="OR37" s="390"/>
      <c r="OS37" s="390"/>
      <c r="OT37" s="390"/>
      <c r="OU37" s="390"/>
      <c r="OV37" s="390"/>
      <c r="OW37" s="390"/>
      <c r="OX37" s="390"/>
      <c r="OY37" s="390"/>
      <c r="OZ37" s="390"/>
      <c r="PA37" s="390"/>
      <c r="PB37" s="390"/>
      <c r="PC37" s="390"/>
      <c r="PD37" s="390"/>
      <c r="PE37" s="390"/>
      <c r="PF37" s="390"/>
      <c r="PG37" s="390"/>
      <c r="PH37" s="390"/>
      <c r="PI37" s="390"/>
      <c r="PJ37" s="390"/>
      <c r="PK37" s="390"/>
      <c r="PL37" s="390"/>
      <c r="PM37" s="390"/>
      <c r="PN37" s="390"/>
      <c r="PO37" s="390"/>
      <c r="PP37" s="390"/>
      <c r="PQ37" s="390"/>
      <c r="PR37" s="390"/>
      <c r="PS37" s="390"/>
      <c r="PT37" s="390"/>
      <c r="PU37" s="390"/>
      <c r="PV37" s="390"/>
      <c r="PW37" s="390"/>
      <c r="PX37" s="390"/>
      <c r="PY37" s="390"/>
      <c r="PZ37" s="390"/>
      <c r="QA37" s="390"/>
      <c r="QB37" s="390"/>
      <c r="QC37" s="390"/>
      <c r="QD37" s="390"/>
      <c r="QE37" s="390"/>
      <c r="QF37" s="390"/>
      <c r="QG37" s="390"/>
      <c r="QH37" s="390"/>
      <c r="QI37" s="390"/>
      <c r="QJ37" s="390"/>
      <c r="QK37" s="390"/>
      <c r="QL37" s="390"/>
      <c r="QM37" s="390"/>
      <c r="QN37" s="390"/>
      <c r="QO37" s="390"/>
      <c r="QP37" s="390"/>
      <c r="QQ37" s="390"/>
      <c r="QR37" s="390"/>
      <c r="QS37" s="390"/>
      <c r="QT37" s="390"/>
      <c r="QU37" s="390"/>
      <c r="QV37" s="390"/>
      <c r="QW37" s="390"/>
      <c r="QX37" s="390"/>
      <c r="QY37" s="390"/>
      <c r="QZ37" s="390"/>
      <c r="RA37" s="390"/>
      <c r="RB37" s="390"/>
      <c r="RC37" s="390"/>
      <c r="RD37" s="390"/>
      <c r="RE37" s="390"/>
      <c r="RF37" s="390"/>
      <c r="RG37" s="390"/>
      <c r="RH37" s="390"/>
      <c r="RI37" s="390"/>
      <c r="RJ37" s="390"/>
      <c r="RK37" s="390"/>
      <c r="RL37" s="390"/>
      <c r="RM37" s="390"/>
      <c r="RN37" s="390"/>
      <c r="RO37" s="390"/>
      <c r="RP37" s="390"/>
      <c r="RQ37" s="390"/>
      <c r="RR37" s="390"/>
      <c r="RS37" s="390"/>
      <c r="RT37" s="390"/>
      <c r="RU37" s="390"/>
      <c r="RV37" s="390"/>
      <c r="RW37" s="390"/>
      <c r="RX37" s="390"/>
      <c r="RY37" s="390"/>
      <c r="RZ37" s="390"/>
      <c r="SA37" s="390"/>
      <c r="SB37" s="390"/>
      <c r="SC37" s="390"/>
      <c r="SD37" s="390"/>
      <c r="SE37" s="390"/>
      <c r="SF37" s="390"/>
      <c r="SG37" s="390"/>
      <c r="SH37" s="390"/>
      <c r="SI37" s="390"/>
      <c r="SJ37" s="390"/>
      <c r="SK37" s="390"/>
      <c r="SL37" s="390"/>
      <c r="SM37" s="390"/>
      <c r="SN37" s="390"/>
      <c r="SO37" s="390"/>
      <c r="SP37" s="390"/>
      <c r="SQ37" s="390"/>
      <c r="SR37" s="390"/>
      <c r="SS37" s="390"/>
      <c r="ST37" s="390"/>
      <c r="SU37" s="390"/>
      <c r="SV37" s="390"/>
      <c r="SW37" s="390"/>
      <c r="SX37" s="390"/>
      <c r="SY37" s="390"/>
      <c r="SZ37" s="390"/>
      <c r="TA37" s="390"/>
      <c r="TB37" s="390"/>
      <c r="TC37" s="390"/>
      <c r="TD37" s="390"/>
      <c r="TE37" s="390"/>
      <c r="TF37" s="390"/>
      <c r="TG37" s="390"/>
      <c r="TH37" s="390"/>
      <c r="TI37" s="390"/>
      <c r="TJ37" s="390"/>
      <c r="TK37" s="390"/>
      <c r="TL37" s="390"/>
      <c r="TM37" s="390"/>
      <c r="TN37" s="390"/>
      <c r="TO37" s="390"/>
      <c r="TP37" s="390"/>
      <c r="TQ37" s="390"/>
      <c r="TR37" s="390"/>
      <c r="TS37" s="390"/>
      <c r="TT37" s="390"/>
      <c r="TU37" s="390"/>
      <c r="TV37" s="390"/>
      <c r="TW37" s="390"/>
      <c r="TX37" s="390"/>
      <c r="TY37" s="390"/>
      <c r="TZ37" s="390"/>
      <c r="UA37" s="390"/>
      <c r="UB37" s="390"/>
      <c r="UC37" s="390"/>
      <c r="UD37" s="390"/>
      <c r="UE37" s="390"/>
      <c r="UF37" s="390"/>
      <c r="UG37" s="390"/>
      <c r="UH37" s="390"/>
      <c r="UI37" s="390"/>
      <c r="UJ37" s="390"/>
      <c r="UK37" s="390"/>
      <c r="UL37" s="390"/>
      <c r="UM37" s="390"/>
      <c r="UN37" s="390"/>
      <c r="UO37" s="390"/>
      <c r="UP37" s="390"/>
      <c r="UQ37" s="390"/>
      <c r="UR37" s="390"/>
      <c r="US37" s="390"/>
      <c r="UT37" s="390"/>
      <c r="UU37" s="390"/>
      <c r="UV37" s="390"/>
      <c r="UW37" s="390"/>
      <c r="UX37" s="390"/>
      <c r="UY37" s="390"/>
      <c r="UZ37" s="390"/>
      <c r="VA37" s="390"/>
      <c r="VB37" s="390"/>
      <c r="VC37" s="390"/>
      <c r="VD37" s="390"/>
      <c r="VE37" s="390"/>
      <c r="VF37" s="390"/>
      <c r="VG37" s="390"/>
      <c r="VH37" s="390"/>
      <c r="VI37" s="390"/>
      <c r="VJ37" s="390"/>
      <c r="VK37" s="390"/>
      <c r="VL37" s="390"/>
      <c r="VM37" s="390"/>
      <c r="VN37" s="390"/>
      <c r="VO37" s="390"/>
      <c r="VP37" s="390"/>
      <c r="VQ37" s="390"/>
      <c r="VR37" s="390"/>
      <c r="VS37" s="390"/>
      <c r="VT37" s="390"/>
      <c r="VU37" s="390"/>
      <c r="VV37" s="390"/>
      <c r="VW37" s="390"/>
      <c r="VX37" s="390"/>
      <c r="VY37" s="390"/>
      <c r="VZ37" s="390"/>
      <c r="WA37" s="390"/>
      <c r="WB37" s="390"/>
      <c r="WC37" s="390"/>
      <c r="WD37" s="390"/>
      <c r="WE37" s="390"/>
      <c r="WF37" s="390"/>
      <c r="WG37" s="390"/>
      <c r="WH37" s="390"/>
      <c r="WI37" s="390"/>
      <c r="WJ37" s="390"/>
      <c r="WK37" s="390"/>
      <c r="WL37" s="390"/>
      <c r="WM37" s="390"/>
      <c r="WN37" s="390"/>
      <c r="WO37" s="390"/>
      <c r="WP37" s="390"/>
      <c r="WQ37" s="390"/>
      <c r="WR37" s="390"/>
      <c r="WS37" s="390"/>
      <c r="WT37" s="390"/>
      <c r="WU37" s="390"/>
      <c r="WV37" s="390"/>
      <c r="WW37" s="390"/>
      <c r="WX37" s="390"/>
      <c r="WY37" s="390"/>
      <c r="WZ37" s="390"/>
      <c r="XA37" s="390"/>
      <c r="XB37" s="390"/>
      <c r="XC37" s="390"/>
      <c r="XD37" s="390"/>
      <c r="XE37" s="390"/>
      <c r="XF37" s="390"/>
      <c r="XG37" s="390"/>
      <c r="XH37" s="390"/>
      <c r="XI37" s="390"/>
      <c r="XJ37" s="390"/>
      <c r="XK37" s="390"/>
      <c r="XL37" s="390"/>
      <c r="XM37" s="390"/>
      <c r="XN37" s="390"/>
      <c r="XO37" s="390"/>
      <c r="XP37" s="390"/>
      <c r="XQ37" s="390"/>
      <c r="XR37" s="390"/>
      <c r="XS37" s="390"/>
      <c r="XT37" s="390"/>
      <c r="XU37" s="390"/>
      <c r="XV37" s="390"/>
      <c r="XW37" s="390"/>
      <c r="XX37" s="390"/>
      <c r="XY37" s="390"/>
      <c r="XZ37" s="390"/>
      <c r="YA37" s="390"/>
      <c r="YB37" s="390"/>
      <c r="YC37" s="390"/>
      <c r="YD37" s="390"/>
      <c r="YE37" s="390"/>
      <c r="YF37" s="390"/>
      <c r="YG37" s="390"/>
      <c r="YH37" s="390"/>
      <c r="YI37" s="390"/>
      <c r="YJ37" s="390"/>
      <c r="YK37" s="390"/>
      <c r="YL37" s="390"/>
      <c r="YM37" s="390"/>
      <c r="YN37" s="390"/>
      <c r="YO37" s="390"/>
      <c r="YP37" s="390"/>
      <c r="YQ37" s="390"/>
      <c r="YR37" s="390"/>
      <c r="YS37" s="390"/>
      <c r="YT37" s="390"/>
      <c r="YU37" s="390"/>
      <c r="YV37" s="390"/>
      <c r="YW37" s="390"/>
      <c r="YX37" s="390"/>
      <c r="YY37" s="390"/>
      <c r="YZ37" s="390"/>
      <c r="ZA37" s="390"/>
      <c r="ZB37" s="390"/>
      <c r="ZC37" s="390"/>
      <c r="ZD37" s="390"/>
      <c r="ZE37" s="390"/>
      <c r="ZF37" s="390"/>
      <c r="ZG37" s="390"/>
      <c r="ZH37" s="390"/>
      <c r="ZI37" s="390"/>
      <c r="ZJ37" s="390"/>
      <c r="ZK37" s="390"/>
      <c r="ZL37" s="390"/>
      <c r="ZM37" s="390"/>
      <c r="ZN37" s="390"/>
      <c r="ZO37" s="390"/>
      <c r="ZP37" s="390"/>
      <c r="ZQ37" s="390"/>
      <c r="ZR37" s="390"/>
      <c r="ZS37" s="390"/>
      <c r="ZT37" s="390"/>
      <c r="ZU37" s="390"/>
      <c r="ZV37" s="390"/>
      <c r="ZW37" s="390"/>
      <c r="ZX37" s="390"/>
      <c r="ZY37" s="390"/>
      <c r="ZZ37" s="390"/>
      <c r="AAA37" s="390"/>
      <c r="AAB37" s="390"/>
      <c r="AAC37" s="390"/>
      <c r="AAD37" s="390"/>
      <c r="AAE37" s="390"/>
      <c r="AAF37" s="390"/>
      <c r="AAG37" s="390"/>
      <c r="AAH37" s="390"/>
      <c r="AAI37" s="390"/>
      <c r="AAJ37" s="390"/>
      <c r="AAK37" s="390"/>
      <c r="AAL37" s="390"/>
      <c r="AAM37" s="390"/>
      <c r="AAN37" s="390"/>
      <c r="AAO37" s="390"/>
      <c r="AAP37" s="390"/>
      <c r="AAQ37" s="390"/>
      <c r="AAR37" s="390"/>
      <c r="AAS37" s="390"/>
      <c r="AAT37" s="390"/>
      <c r="AAU37" s="390"/>
      <c r="AAV37" s="390"/>
      <c r="AAW37" s="390"/>
      <c r="AAX37" s="390"/>
      <c r="AAY37" s="390"/>
      <c r="AAZ37" s="390"/>
      <c r="ABA37" s="390"/>
      <c r="ABB37" s="390"/>
      <c r="ABC37" s="390"/>
      <c r="ABD37" s="390"/>
      <c r="ABE37" s="390"/>
      <c r="ABF37" s="390"/>
      <c r="ABG37" s="390"/>
      <c r="ABH37" s="390"/>
      <c r="ABI37" s="390"/>
      <c r="ABJ37" s="390"/>
      <c r="ABK37" s="390"/>
      <c r="ABL37" s="390"/>
      <c r="ABM37" s="390"/>
      <c r="ABN37" s="390"/>
      <c r="ABO37" s="390"/>
      <c r="ABP37" s="390"/>
      <c r="ABQ37" s="390"/>
      <c r="ABR37" s="390"/>
      <c r="ABS37" s="390"/>
      <c r="ABT37" s="390"/>
      <c r="ABU37" s="390"/>
      <c r="ABV37" s="390"/>
      <c r="ABW37" s="390"/>
      <c r="ABX37" s="390"/>
      <c r="ABY37" s="390"/>
      <c r="ABZ37" s="390"/>
      <c r="ACA37" s="390"/>
      <c r="ACB37" s="390"/>
      <c r="ACC37" s="390"/>
      <c r="ACD37" s="390"/>
      <c r="ACE37" s="390"/>
      <c r="ACF37" s="390"/>
      <c r="ACG37" s="390"/>
      <c r="ACH37" s="390"/>
      <c r="ACI37" s="390"/>
    </row>
    <row r="38" spans="1:763" ht="13.95" customHeight="1" x14ac:dyDescent="0.3">
      <c r="A38" s="397" t="str">
        <f ca="1">Проект!$A$310</f>
        <v>заработная плата</v>
      </c>
      <c r="B38" s="352" t="str">
        <f ca="1">Проект!$B$310</f>
        <v>за период</v>
      </c>
      <c r="C38" s="402" t="str">
        <f ca="1">Проект!$C$310</f>
        <v>руб.</v>
      </c>
      <c r="D38" s="399">
        <f ca="1">SUM(Проект!$G$310:$R$310)</f>
        <v>1500729.4774342394</v>
      </c>
      <c r="E38" s="399">
        <f ca="1">SUM(Проект!$S$310:$AD$310)</f>
        <v>3135868.8102142569</v>
      </c>
      <c r="F38" s="399">
        <f ca="1">SUM(Проект!$AE$310:$AP$310)</f>
        <v>3324020.9388271132</v>
      </c>
      <c r="G38" s="399">
        <f ca="1">SUM(Проект!$AQ$310:$BB$310)</f>
        <v>3523462.1951567396</v>
      </c>
      <c r="H38" s="392">
        <f ca="1">Проект!$BD$310</f>
        <v>11484081.421632349</v>
      </c>
      <c r="I38" s="390"/>
      <c r="J38" s="390"/>
      <c r="K38" s="390"/>
      <c r="L38" s="390"/>
      <c r="M38" s="390"/>
      <c r="N38" s="390"/>
      <c r="O38" s="390"/>
      <c r="P38" s="390"/>
      <c r="Q38" s="390"/>
      <c r="R38" s="390"/>
      <c r="S38" s="390"/>
      <c r="T38" s="390"/>
      <c r="U38" s="390"/>
      <c r="V38" s="390"/>
      <c r="W38" s="390"/>
      <c r="X38" s="390"/>
      <c r="Y38" s="390"/>
      <c r="Z38" s="390"/>
      <c r="AA38" s="390"/>
      <c r="AB38" s="390"/>
      <c r="AC38" s="390"/>
      <c r="AD38" s="390"/>
      <c r="AE38" s="390"/>
      <c r="AF38" s="390"/>
      <c r="AG38" s="390"/>
      <c r="AH38" s="390"/>
      <c r="AI38" s="390"/>
      <c r="AJ38" s="390"/>
      <c r="AK38" s="390"/>
      <c r="AL38" s="390"/>
      <c r="AM38" s="390"/>
      <c r="AN38" s="390"/>
      <c r="AO38" s="390"/>
      <c r="AP38" s="390"/>
      <c r="AQ38" s="390"/>
      <c r="AR38" s="390"/>
      <c r="AS38" s="390"/>
      <c r="AT38" s="390"/>
      <c r="AU38" s="390"/>
      <c r="AV38" s="390"/>
      <c r="AW38" s="390"/>
      <c r="AX38" s="390"/>
      <c r="AY38" s="390"/>
      <c r="AZ38" s="390"/>
      <c r="BA38" s="390"/>
      <c r="BB38" s="390"/>
      <c r="BC38" s="390"/>
      <c r="BD38" s="390"/>
      <c r="BE38" s="390"/>
      <c r="BF38" s="390"/>
      <c r="BG38" s="390"/>
      <c r="BH38" s="390"/>
      <c r="BI38" s="390"/>
      <c r="BJ38" s="390"/>
      <c r="BK38" s="390"/>
      <c r="BL38" s="390"/>
      <c r="BM38" s="390"/>
      <c r="BN38" s="390"/>
      <c r="BO38" s="390"/>
      <c r="BP38" s="390"/>
      <c r="BQ38" s="390"/>
      <c r="BR38" s="390"/>
      <c r="BS38" s="390"/>
      <c r="BT38" s="390"/>
      <c r="BU38" s="390"/>
      <c r="BV38" s="390"/>
      <c r="BW38" s="390"/>
      <c r="BX38" s="390"/>
      <c r="BY38" s="390"/>
      <c r="BZ38" s="390"/>
      <c r="CA38" s="390"/>
      <c r="CB38" s="390"/>
      <c r="CC38" s="390"/>
      <c r="CD38" s="390"/>
      <c r="CE38" s="390"/>
      <c r="CF38" s="390"/>
      <c r="CG38" s="390"/>
      <c r="CH38" s="390"/>
      <c r="CI38" s="390"/>
      <c r="CJ38" s="390"/>
      <c r="CK38" s="390"/>
      <c r="CL38" s="390"/>
      <c r="CM38" s="390"/>
      <c r="CN38" s="390"/>
      <c r="CO38" s="390"/>
      <c r="CP38" s="390"/>
      <c r="CQ38" s="390"/>
      <c r="CR38" s="390"/>
      <c r="CS38" s="390"/>
      <c r="CT38" s="390"/>
      <c r="CU38" s="390"/>
      <c r="CV38" s="390"/>
      <c r="CW38" s="390"/>
      <c r="CX38" s="390"/>
      <c r="CY38" s="390"/>
      <c r="CZ38" s="390"/>
      <c r="DA38" s="390"/>
      <c r="DB38" s="390"/>
      <c r="DC38" s="390"/>
      <c r="DD38" s="390"/>
      <c r="DE38" s="390"/>
      <c r="DF38" s="390"/>
      <c r="DG38" s="390"/>
      <c r="DH38" s="390"/>
      <c r="DI38" s="390"/>
      <c r="DJ38" s="390"/>
      <c r="DK38" s="390"/>
      <c r="DL38" s="390"/>
      <c r="DM38" s="390"/>
      <c r="DN38" s="390"/>
      <c r="DO38" s="390"/>
      <c r="DP38" s="390"/>
      <c r="DQ38" s="390"/>
      <c r="DR38" s="390"/>
      <c r="DS38" s="390"/>
      <c r="DT38" s="390"/>
      <c r="DU38" s="390"/>
      <c r="DV38" s="390"/>
      <c r="DW38" s="390"/>
      <c r="DX38" s="390"/>
      <c r="DY38" s="390"/>
      <c r="DZ38" s="390"/>
      <c r="EA38" s="390"/>
      <c r="EB38" s="390"/>
      <c r="EC38" s="390"/>
      <c r="ED38" s="390"/>
      <c r="EE38" s="390"/>
      <c r="EF38" s="390"/>
      <c r="EG38" s="390"/>
      <c r="EH38" s="390"/>
      <c r="EI38" s="390"/>
      <c r="EJ38" s="390"/>
      <c r="EK38" s="390"/>
      <c r="EL38" s="390"/>
      <c r="EM38" s="390"/>
      <c r="EN38" s="390"/>
      <c r="EO38" s="390"/>
      <c r="EP38" s="390"/>
      <c r="EQ38" s="390"/>
      <c r="ER38" s="390"/>
      <c r="ES38" s="390"/>
      <c r="ET38" s="390"/>
      <c r="EU38" s="390"/>
      <c r="EV38" s="390"/>
      <c r="EW38" s="390"/>
      <c r="EX38" s="390"/>
      <c r="EY38" s="390"/>
      <c r="EZ38" s="390"/>
      <c r="FA38" s="390"/>
      <c r="FB38" s="390"/>
      <c r="FC38" s="390"/>
      <c r="FD38" s="390"/>
      <c r="FE38" s="390"/>
      <c r="FF38" s="390"/>
      <c r="FG38" s="390"/>
      <c r="FH38" s="390"/>
      <c r="FI38" s="390"/>
      <c r="FJ38" s="390"/>
      <c r="FK38" s="390"/>
      <c r="FL38" s="390"/>
      <c r="FM38" s="390"/>
      <c r="FN38" s="390"/>
      <c r="FO38" s="390"/>
      <c r="FP38" s="390"/>
      <c r="FQ38" s="390"/>
      <c r="FR38" s="390"/>
      <c r="FS38" s="390"/>
      <c r="FT38" s="390"/>
      <c r="FU38" s="390"/>
      <c r="FV38" s="390"/>
      <c r="FW38" s="390"/>
      <c r="FX38" s="390"/>
      <c r="FY38" s="390"/>
      <c r="FZ38" s="390"/>
      <c r="GA38" s="390"/>
      <c r="GB38" s="390"/>
      <c r="GC38" s="390"/>
      <c r="GD38" s="390"/>
      <c r="GE38" s="390"/>
      <c r="GF38" s="390"/>
      <c r="GG38" s="390"/>
      <c r="GH38" s="390"/>
      <c r="GI38" s="390"/>
      <c r="GJ38" s="390"/>
      <c r="GK38" s="390"/>
      <c r="GL38" s="390"/>
      <c r="GM38" s="390"/>
      <c r="GN38" s="390"/>
      <c r="GO38" s="390"/>
      <c r="GP38" s="390"/>
      <c r="GQ38" s="390"/>
      <c r="GR38" s="390"/>
      <c r="GS38" s="390"/>
      <c r="GT38" s="390"/>
      <c r="GU38" s="390"/>
      <c r="GV38" s="390"/>
      <c r="GW38" s="390"/>
      <c r="GX38" s="390"/>
      <c r="GY38" s="390"/>
      <c r="GZ38" s="390"/>
      <c r="HA38" s="390"/>
      <c r="HB38" s="390"/>
      <c r="HC38" s="390"/>
      <c r="HD38" s="390"/>
      <c r="HE38" s="390"/>
      <c r="HF38" s="390"/>
      <c r="HG38" s="390"/>
      <c r="HH38" s="390"/>
      <c r="HI38" s="390"/>
      <c r="HJ38" s="390"/>
      <c r="HK38" s="390"/>
      <c r="HL38" s="390"/>
      <c r="HM38" s="390"/>
      <c r="HN38" s="390"/>
      <c r="HO38" s="390"/>
      <c r="HP38" s="390"/>
      <c r="HQ38" s="390"/>
      <c r="HR38" s="390"/>
      <c r="HS38" s="390"/>
      <c r="HT38" s="390"/>
      <c r="HU38" s="390"/>
      <c r="HV38" s="390"/>
      <c r="HW38" s="390"/>
      <c r="HX38" s="390"/>
      <c r="HY38" s="390"/>
      <c r="HZ38" s="390"/>
      <c r="IA38" s="390"/>
      <c r="IB38" s="390"/>
      <c r="IC38" s="390"/>
      <c r="ID38" s="390"/>
      <c r="IE38" s="390"/>
      <c r="IF38" s="390"/>
      <c r="IG38" s="390"/>
      <c r="IH38" s="390"/>
      <c r="II38" s="390"/>
      <c r="IJ38" s="390"/>
      <c r="IK38" s="390"/>
      <c r="IL38" s="390"/>
      <c r="IM38" s="390"/>
      <c r="IN38" s="390"/>
      <c r="IO38" s="390"/>
      <c r="IP38" s="390"/>
      <c r="IQ38" s="390"/>
      <c r="IR38" s="390"/>
      <c r="IS38" s="390"/>
      <c r="IT38" s="390"/>
      <c r="IU38" s="390"/>
      <c r="IV38" s="390"/>
      <c r="IW38" s="390"/>
      <c r="IX38" s="390"/>
      <c r="IY38" s="390"/>
      <c r="IZ38" s="390"/>
      <c r="JA38" s="390"/>
      <c r="JB38" s="390"/>
      <c r="JC38" s="390"/>
      <c r="JD38" s="390"/>
      <c r="JE38" s="390"/>
      <c r="JF38" s="390"/>
      <c r="JG38" s="390"/>
      <c r="JH38" s="390"/>
      <c r="JI38" s="390"/>
      <c r="JJ38" s="390"/>
      <c r="JK38" s="390"/>
      <c r="JL38" s="390"/>
      <c r="JM38" s="390"/>
      <c r="JN38" s="390"/>
      <c r="JO38" s="390"/>
      <c r="JP38" s="390"/>
      <c r="JQ38" s="390"/>
      <c r="JR38" s="390"/>
      <c r="JS38" s="390"/>
      <c r="JT38" s="390"/>
      <c r="JU38" s="390"/>
      <c r="JV38" s="390"/>
      <c r="JW38" s="390"/>
      <c r="JX38" s="390"/>
      <c r="JY38" s="390"/>
      <c r="JZ38" s="390"/>
      <c r="KA38" s="390"/>
      <c r="KB38" s="390"/>
      <c r="KC38" s="390"/>
      <c r="KD38" s="390"/>
      <c r="KE38" s="390"/>
      <c r="KF38" s="390"/>
      <c r="KG38" s="390"/>
      <c r="KH38" s="390"/>
      <c r="KI38" s="390"/>
      <c r="KJ38" s="390"/>
      <c r="KK38" s="390"/>
      <c r="KL38" s="390"/>
      <c r="KM38" s="390"/>
      <c r="KN38" s="390"/>
      <c r="KO38" s="390"/>
      <c r="KP38" s="390"/>
      <c r="KQ38" s="390"/>
      <c r="KR38" s="390"/>
      <c r="KS38" s="390"/>
      <c r="KT38" s="390"/>
      <c r="KU38" s="390"/>
      <c r="KV38" s="390"/>
      <c r="KW38" s="390"/>
      <c r="KX38" s="390"/>
      <c r="KY38" s="390"/>
      <c r="KZ38" s="390"/>
      <c r="LA38" s="390"/>
      <c r="LB38" s="390"/>
      <c r="LC38" s="390"/>
      <c r="LD38" s="390"/>
      <c r="LE38" s="390"/>
      <c r="LF38" s="390"/>
      <c r="LG38" s="390"/>
      <c r="LH38" s="390"/>
      <c r="LI38" s="390"/>
      <c r="LJ38" s="390"/>
      <c r="LK38" s="390"/>
      <c r="LL38" s="390"/>
      <c r="LM38" s="390"/>
      <c r="LN38" s="390"/>
      <c r="LO38" s="390"/>
      <c r="LP38" s="390"/>
      <c r="LQ38" s="390"/>
      <c r="LR38" s="390"/>
      <c r="LS38" s="390"/>
      <c r="LT38" s="390"/>
      <c r="LU38" s="390"/>
      <c r="LV38" s="390"/>
      <c r="LW38" s="390"/>
      <c r="LX38" s="390"/>
      <c r="LY38" s="390"/>
      <c r="LZ38" s="390"/>
      <c r="MA38" s="390"/>
      <c r="MB38" s="390"/>
      <c r="MC38" s="390"/>
      <c r="MD38" s="390"/>
      <c r="ME38" s="390"/>
      <c r="MF38" s="390"/>
      <c r="MG38" s="390"/>
      <c r="MH38" s="390"/>
      <c r="MI38" s="390"/>
      <c r="MJ38" s="390"/>
      <c r="MK38" s="390"/>
      <c r="ML38" s="390"/>
      <c r="MM38" s="390"/>
      <c r="MN38" s="390"/>
      <c r="MO38" s="390"/>
      <c r="MP38" s="390"/>
      <c r="MQ38" s="390"/>
      <c r="MR38" s="390"/>
      <c r="MS38" s="390"/>
      <c r="MT38" s="390"/>
      <c r="MU38" s="390"/>
      <c r="MV38" s="390"/>
      <c r="MW38" s="390"/>
      <c r="MX38" s="390"/>
      <c r="MY38" s="390"/>
      <c r="MZ38" s="390"/>
      <c r="NA38" s="390"/>
      <c r="NB38" s="390"/>
      <c r="NC38" s="390"/>
      <c r="ND38" s="390"/>
      <c r="NE38" s="390"/>
      <c r="NF38" s="390"/>
      <c r="NG38" s="390"/>
      <c r="NH38" s="390"/>
      <c r="NI38" s="390"/>
      <c r="NJ38" s="390"/>
      <c r="NK38" s="390"/>
      <c r="NL38" s="390"/>
      <c r="NM38" s="390"/>
      <c r="NN38" s="390"/>
      <c r="NO38" s="390"/>
      <c r="NP38" s="390"/>
      <c r="NQ38" s="390"/>
      <c r="NR38" s="390"/>
      <c r="NS38" s="390"/>
      <c r="NT38" s="390"/>
      <c r="NU38" s="390"/>
      <c r="NV38" s="390"/>
      <c r="NW38" s="390"/>
      <c r="NX38" s="390"/>
      <c r="NY38" s="390"/>
      <c r="NZ38" s="390"/>
      <c r="OA38" s="390"/>
      <c r="OB38" s="390"/>
      <c r="OC38" s="390"/>
      <c r="OD38" s="390"/>
      <c r="OE38" s="390"/>
      <c r="OF38" s="390"/>
      <c r="OG38" s="390"/>
      <c r="OH38" s="390"/>
      <c r="OI38" s="390"/>
      <c r="OJ38" s="390"/>
      <c r="OK38" s="390"/>
      <c r="OL38" s="390"/>
      <c r="OM38" s="390"/>
      <c r="ON38" s="390"/>
      <c r="OO38" s="390"/>
      <c r="OP38" s="390"/>
      <c r="OQ38" s="390"/>
      <c r="OR38" s="390"/>
      <c r="OS38" s="390"/>
      <c r="OT38" s="390"/>
      <c r="OU38" s="390"/>
      <c r="OV38" s="390"/>
      <c r="OW38" s="390"/>
      <c r="OX38" s="390"/>
      <c r="OY38" s="390"/>
      <c r="OZ38" s="390"/>
      <c r="PA38" s="390"/>
      <c r="PB38" s="390"/>
      <c r="PC38" s="390"/>
      <c r="PD38" s="390"/>
      <c r="PE38" s="390"/>
      <c r="PF38" s="390"/>
      <c r="PG38" s="390"/>
      <c r="PH38" s="390"/>
      <c r="PI38" s="390"/>
      <c r="PJ38" s="390"/>
      <c r="PK38" s="390"/>
      <c r="PL38" s="390"/>
      <c r="PM38" s="390"/>
      <c r="PN38" s="390"/>
      <c r="PO38" s="390"/>
      <c r="PP38" s="390"/>
      <c r="PQ38" s="390"/>
      <c r="PR38" s="390"/>
      <c r="PS38" s="390"/>
      <c r="PT38" s="390"/>
      <c r="PU38" s="390"/>
      <c r="PV38" s="390"/>
      <c r="PW38" s="390"/>
      <c r="PX38" s="390"/>
      <c r="PY38" s="390"/>
      <c r="PZ38" s="390"/>
      <c r="QA38" s="390"/>
      <c r="QB38" s="390"/>
      <c r="QC38" s="390"/>
      <c r="QD38" s="390"/>
      <c r="QE38" s="390"/>
      <c r="QF38" s="390"/>
      <c r="QG38" s="390"/>
      <c r="QH38" s="390"/>
      <c r="QI38" s="390"/>
      <c r="QJ38" s="390"/>
      <c r="QK38" s="390"/>
      <c r="QL38" s="390"/>
      <c r="QM38" s="390"/>
      <c r="QN38" s="390"/>
      <c r="QO38" s="390"/>
      <c r="QP38" s="390"/>
      <c r="QQ38" s="390"/>
      <c r="QR38" s="390"/>
      <c r="QS38" s="390"/>
      <c r="QT38" s="390"/>
      <c r="QU38" s="390"/>
      <c r="QV38" s="390"/>
      <c r="QW38" s="390"/>
      <c r="QX38" s="390"/>
      <c r="QY38" s="390"/>
      <c r="QZ38" s="390"/>
      <c r="RA38" s="390"/>
      <c r="RB38" s="390"/>
      <c r="RC38" s="390"/>
      <c r="RD38" s="390"/>
      <c r="RE38" s="390"/>
      <c r="RF38" s="390"/>
      <c r="RG38" s="390"/>
      <c r="RH38" s="390"/>
      <c r="RI38" s="390"/>
      <c r="RJ38" s="390"/>
      <c r="RK38" s="390"/>
      <c r="RL38" s="390"/>
      <c r="RM38" s="390"/>
      <c r="RN38" s="390"/>
      <c r="RO38" s="390"/>
      <c r="RP38" s="390"/>
      <c r="RQ38" s="390"/>
      <c r="RR38" s="390"/>
      <c r="RS38" s="390"/>
      <c r="RT38" s="390"/>
      <c r="RU38" s="390"/>
      <c r="RV38" s="390"/>
      <c r="RW38" s="390"/>
      <c r="RX38" s="390"/>
      <c r="RY38" s="390"/>
      <c r="RZ38" s="390"/>
      <c r="SA38" s="390"/>
      <c r="SB38" s="390"/>
      <c r="SC38" s="390"/>
      <c r="SD38" s="390"/>
      <c r="SE38" s="390"/>
      <c r="SF38" s="390"/>
      <c r="SG38" s="390"/>
      <c r="SH38" s="390"/>
      <c r="SI38" s="390"/>
      <c r="SJ38" s="390"/>
      <c r="SK38" s="390"/>
      <c r="SL38" s="390"/>
      <c r="SM38" s="390"/>
      <c r="SN38" s="390"/>
      <c r="SO38" s="390"/>
      <c r="SP38" s="390"/>
      <c r="SQ38" s="390"/>
      <c r="SR38" s="390"/>
      <c r="SS38" s="390"/>
      <c r="ST38" s="390"/>
      <c r="SU38" s="390"/>
      <c r="SV38" s="390"/>
      <c r="SW38" s="390"/>
      <c r="SX38" s="390"/>
      <c r="SY38" s="390"/>
      <c r="SZ38" s="390"/>
      <c r="TA38" s="390"/>
      <c r="TB38" s="390"/>
      <c r="TC38" s="390"/>
      <c r="TD38" s="390"/>
      <c r="TE38" s="390"/>
      <c r="TF38" s="390"/>
      <c r="TG38" s="390"/>
      <c r="TH38" s="390"/>
      <c r="TI38" s="390"/>
      <c r="TJ38" s="390"/>
      <c r="TK38" s="390"/>
      <c r="TL38" s="390"/>
      <c r="TM38" s="390"/>
      <c r="TN38" s="390"/>
      <c r="TO38" s="390"/>
      <c r="TP38" s="390"/>
      <c r="TQ38" s="390"/>
      <c r="TR38" s="390"/>
      <c r="TS38" s="390"/>
      <c r="TT38" s="390"/>
      <c r="TU38" s="390"/>
      <c r="TV38" s="390"/>
      <c r="TW38" s="390"/>
      <c r="TX38" s="390"/>
      <c r="TY38" s="390"/>
      <c r="TZ38" s="390"/>
      <c r="UA38" s="390"/>
      <c r="UB38" s="390"/>
      <c r="UC38" s="390"/>
      <c r="UD38" s="390"/>
      <c r="UE38" s="390"/>
      <c r="UF38" s="390"/>
      <c r="UG38" s="390"/>
      <c r="UH38" s="390"/>
      <c r="UI38" s="390"/>
      <c r="UJ38" s="390"/>
      <c r="UK38" s="390"/>
      <c r="UL38" s="390"/>
      <c r="UM38" s="390"/>
      <c r="UN38" s="390"/>
      <c r="UO38" s="390"/>
      <c r="UP38" s="390"/>
      <c r="UQ38" s="390"/>
      <c r="UR38" s="390"/>
      <c r="US38" s="390"/>
      <c r="UT38" s="390"/>
      <c r="UU38" s="390"/>
      <c r="UV38" s="390"/>
      <c r="UW38" s="390"/>
      <c r="UX38" s="390"/>
      <c r="UY38" s="390"/>
      <c r="UZ38" s="390"/>
      <c r="VA38" s="390"/>
      <c r="VB38" s="390"/>
      <c r="VC38" s="390"/>
      <c r="VD38" s="390"/>
      <c r="VE38" s="390"/>
      <c r="VF38" s="390"/>
      <c r="VG38" s="390"/>
      <c r="VH38" s="390"/>
      <c r="VI38" s="390"/>
      <c r="VJ38" s="390"/>
      <c r="VK38" s="390"/>
      <c r="VL38" s="390"/>
      <c r="VM38" s="390"/>
      <c r="VN38" s="390"/>
      <c r="VO38" s="390"/>
      <c r="VP38" s="390"/>
      <c r="VQ38" s="390"/>
      <c r="VR38" s="390"/>
      <c r="VS38" s="390"/>
      <c r="VT38" s="390"/>
      <c r="VU38" s="390"/>
      <c r="VV38" s="390"/>
      <c r="VW38" s="390"/>
      <c r="VX38" s="390"/>
      <c r="VY38" s="390"/>
      <c r="VZ38" s="390"/>
      <c r="WA38" s="390"/>
      <c r="WB38" s="390"/>
      <c r="WC38" s="390"/>
      <c r="WD38" s="390"/>
      <c r="WE38" s="390"/>
      <c r="WF38" s="390"/>
      <c r="WG38" s="390"/>
      <c r="WH38" s="390"/>
      <c r="WI38" s="390"/>
      <c r="WJ38" s="390"/>
      <c r="WK38" s="390"/>
      <c r="WL38" s="390"/>
      <c r="WM38" s="390"/>
      <c r="WN38" s="390"/>
      <c r="WO38" s="390"/>
      <c r="WP38" s="390"/>
      <c r="WQ38" s="390"/>
      <c r="WR38" s="390"/>
      <c r="WS38" s="390"/>
      <c r="WT38" s="390"/>
      <c r="WU38" s="390"/>
      <c r="WV38" s="390"/>
      <c r="WW38" s="390"/>
      <c r="WX38" s="390"/>
      <c r="WY38" s="390"/>
      <c r="WZ38" s="390"/>
      <c r="XA38" s="390"/>
      <c r="XB38" s="390"/>
      <c r="XC38" s="390"/>
      <c r="XD38" s="390"/>
      <c r="XE38" s="390"/>
      <c r="XF38" s="390"/>
      <c r="XG38" s="390"/>
      <c r="XH38" s="390"/>
      <c r="XI38" s="390"/>
      <c r="XJ38" s="390"/>
      <c r="XK38" s="390"/>
      <c r="XL38" s="390"/>
      <c r="XM38" s="390"/>
      <c r="XN38" s="390"/>
      <c r="XO38" s="390"/>
      <c r="XP38" s="390"/>
      <c r="XQ38" s="390"/>
      <c r="XR38" s="390"/>
      <c r="XS38" s="390"/>
      <c r="XT38" s="390"/>
      <c r="XU38" s="390"/>
      <c r="XV38" s="390"/>
      <c r="XW38" s="390"/>
      <c r="XX38" s="390"/>
      <c r="XY38" s="390"/>
      <c r="XZ38" s="390"/>
      <c r="YA38" s="390"/>
      <c r="YB38" s="390"/>
      <c r="YC38" s="390"/>
      <c r="YD38" s="390"/>
      <c r="YE38" s="390"/>
      <c r="YF38" s="390"/>
      <c r="YG38" s="390"/>
      <c r="YH38" s="390"/>
      <c r="YI38" s="390"/>
      <c r="YJ38" s="390"/>
      <c r="YK38" s="390"/>
      <c r="YL38" s="390"/>
      <c r="YM38" s="390"/>
      <c r="YN38" s="390"/>
      <c r="YO38" s="390"/>
      <c r="YP38" s="390"/>
      <c r="YQ38" s="390"/>
      <c r="YR38" s="390"/>
      <c r="YS38" s="390"/>
      <c r="YT38" s="390"/>
      <c r="YU38" s="390"/>
      <c r="YV38" s="390"/>
      <c r="YW38" s="390"/>
      <c r="YX38" s="390"/>
      <c r="YY38" s="390"/>
      <c r="YZ38" s="390"/>
      <c r="ZA38" s="390"/>
      <c r="ZB38" s="390"/>
      <c r="ZC38" s="390"/>
      <c r="ZD38" s="390"/>
      <c r="ZE38" s="390"/>
      <c r="ZF38" s="390"/>
      <c r="ZG38" s="390"/>
      <c r="ZH38" s="390"/>
      <c r="ZI38" s="390"/>
      <c r="ZJ38" s="390"/>
      <c r="ZK38" s="390"/>
      <c r="ZL38" s="390"/>
      <c r="ZM38" s="390"/>
      <c r="ZN38" s="390"/>
      <c r="ZO38" s="390"/>
      <c r="ZP38" s="390"/>
      <c r="ZQ38" s="390"/>
      <c r="ZR38" s="390"/>
      <c r="ZS38" s="390"/>
      <c r="ZT38" s="390"/>
      <c r="ZU38" s="390"/>
      <c r="ZV38" s="390"/>
      <c r="ZW38" s="390"/>
      <c r="ZX38" s="390"/>
      <c r="ZY38" s="390"/>
      <c r="ZZ38" s="390"/>
      <c r="AAA38" s="390"/>
      <c r="AAB38" s="390"/>
      <c r="AAC38" s="390"/>
      <c r="AAD38" s="390"/>
      <c r="AAE38" s="390"/>
      <c r="AAF38" s="390"/>
      <c r="AAG38" s="390"/>
      <c r="AAH38" s="390"/>
      <c r="AAI38" s="390"/>
      <c r="AAJ38" s="390"/>
      <c r="AAK38" s="390"/>
      <c r="AAL38" s="390"/>
      <c r="AAM38" s="390"/>
      <c r="AAN38" s="390"/>
      <c r="AAO38" s="390"/>
      <c r="AAP38" s="390"/>
      <c r="AAQ38" s="390"/>
      <c r="AAR38" s="390"/>
      <c r="AAS38" s="390"/>
      <c r="AAT38" s="390"/>
      <c r="AAU38" s="390"/>
      <c r="AAV38" s="390"/>
      <c r="AAW38" s="390"/>
      <c r="AAX38" s="390"/>
      <c r="AAY38" s="390"/>
      <c r="AAZ38" s="390"/>
      <c r="ABA38" s="390"/>
      <c r="ABB38" s="390"/>
      <c r="ABC38" s="390"/>
      <c r="ABD38" s="390"/>
      <c r="ABE38" s="390"/>
      <c r="ABF38" s="390"/>
      <c r="ABG38" s="390"/>
      <c r="ABH38" s="390"/>
      <c r="ABI38" s="390"/>
      <c r="ABJ38" s="390"/>
      <c r="ABK38" s="390"/>
      <c r="ABL38" s="390"/>
      <c r="ABM38" s="390"/>
      <c r="ABN38" s="390"/>
      <c r="ABO38" s="390"/>
      <c r="ABP38" s="390"/>
      <c r="ABQ38" s="390"/>
      <c r="ABR38" s="390"/>
      <c r="ABS38" s="390"/>
      <c r="ABT38" s="390"/>
      <c r="ABU38" s="390"/>
      <c r="ABV38" s="390"/>
      <c r="ABW38" s="390"/>
      <c r="ABX38" s="390"/>
      <c r="ABY38" s="390"/>
      <c r="ABZ38" s="390"/>
      <c r="ACA38" s="390"/>
      <c r="ACB38" s="390"/>
      <c r="ACC38" s="390"/>
      <c r="ACD38" s="390"/>
      <c r="ACE38" s="390"/>
      <c r="ACF38" s="390"/>
      <c r="ACG38" s="390"/>
      <c r="ACH38" s="390"/>
      <c r="ACI38" s="390"/>
    </row>
    <row r="39" spans="1:763" ht="13.95" customHeight="1" x14ac:dyDescent="0.3">
      <c r="A39" s="393" t="str">
        <f>Проект!$A$316</f>
        <v>Охранник</v>
      </c>
      <c r="B39" s="352"/>
      <c r="C39" s="402"/>
      <c r="D39" s="411"/>
      <c r="E39" s="411"/>
      <c r="F39" s="411"/>
      <c r="G39" s="411"/>
      <c r="H39" s="396"/>
      <c r="I39" s="390"/>
      <c r="J39" s="390"/>
      <c r="K39" s="390"/>
      <c r="L39" s="390"/>
      <c r="M39" s="390"/>
      <c r="N39" s="390"/>
      <c r="O39" s="390"/>
      <c r="P39" s="390"/>
      <c r="Q39" s="390"/>
      <c r="R39" s="390"/>
      <c r="S39" s="390"/>
      <c r="T39" s="390"/>
      <c r="U39" s="390"/>
      <c r="V39" s="390"/>
      <c r="W39" s="390"/>
      <c r="X39" s="390"/>
      <c r="Y39" s="390"/>
      <c r="Z39" s="390"/>
      <c r="AA39" s="390"/>
      <c r="AB39" s="390"/>
      <c r="AC39" s="390"/>
      <c r="AD39" s="390"/>
      <c r="AE39" s="390"/>
      <c r="AF39" s="390"/>
      <c r="AG39" s="390"/>
      <c r="AH39" s="390"/>
      <c r="AI39" s="390"/>
      <c r="AJ39" s="390"/>
      <c r="AK39" s="390"/>
      <c r="AL39" s="390"/>
      <c r="AM39" s="390"/>
      <c r="AN39" s="390"/>
      <c r="AO39" s="390"/>
      <c r="AP39" s="390"/>
      <c r="AQ39" s="390"/>
      <c r="AR39" s="390"/>
      <c r="AS39" s="390"/>
      <c r="AT39" s="390"/>
      <c r="AU39" s="390"/>
      <c r="AV39" s="390"/>
      <c r="AW39" s="390"/>
      <c r="AX39" s="390"/>
      <c r="AY39" s="390"/>
      <c r="AZ39" s="390"/>
      <c r="BA39" s="390"/>
      <c r="BB39" s="390"/>
      <c r="BC39" s="390"/>
      <c r="BD39" s="390"/>
      <c r="BE39" s="390"/>
      <c r="BF39" s="390"/>
      <c r="BG39" s="390"/>
      <c r="BH39" s="390"/>
      <c r="BI39" s="390"/>
      <c r="BJ39" s="390"/>
      <c r="BK39" s="390"/>
      <c r="BL39" s="390"/>
      <c r="BM39" s="390"/>
      <c r="BN39" s="390"/>
      <c r="BO39" s="390"/>
      <c r="BP39" s="390"/>
      <c r="BQ39" s="390"/>
      <c r="BR39" s="390"/>
      <c r="BS39" s="390"/>
      <c r="BT39" s="390"/>
      <c r="BU39" s="390"/>
      <c r="BV39" s="390"/>
      <c r="BW39" s="390"/>
      <c r="BX39" s="390"/>
      <c r="BY39" s="390"/>
      <c r="BZ39" s="390"/>
      <c r="CA39" s="390"/>
      <c r="CB39" s="390"/>
      <c r="CC39" s="390"/>
      <c r="CD39" s="390"/>
      <c r="CE39" s="390"/>
      <c r="CF39" s="390"/>
      <c r="CG39" s="390"/>
      <c r="CH39" s="390"/>
      <c r="CI39" s="390"/>
      <c r="CJ39" s="390"/>
      <c r="CK39" s="390"/>
      <c r="CL39" s="390"/>
      <c r="CM39" s="390"/>
      <c r="CN39" s="390"/>
      <c r="CO39" s="390"/>
      <c r="CP39" s="390"/>
      <c r="CQ39" s="390"/>
      <c r="CR39" s="390"/>
      <c r="CS39" s="390"/>
      <c r="CT39" s="390"/>
      <c r="CU39" s="390"/>
      <c r="CV39" s="390"/>
      <c r="CW39" s="390"/>
      <c r="CX39" s="390"/>
      <c r="CY39" s="390"/>
      <c r="CZ39" s="390"/>
      <c r="DA39" s="390"/>
      <c r="DB39" s="390"/>
      <c r="DC39" s="390"/>
      <c r="DD39" s="390"/>
      <c r="DE39" s="390"/>
      <c r="DF39" s="390"/>
      <c r="DG39" s="390"/>
      <c r="DH39" s="390"/>
      <c r="DI39" s="390"/>
      <c r="DJ39" s="390"/>
      <c r="DK39" s="390"/>
      <c r="DL39" s="390"/>
      <c r="DM39" s="390"/>
      <c r="DN39" s="390"/>
      <c r="DO39" s="390"/>
      <c r="DP39" s="390"/>
      <c r="DQ39" s="390"/>
      <c r="DR39" s="390"/>
      <c r="DS39" s="390"/>
      <c r="DT39" s="390"/>
      <c r="DU39" s="390"/>
      <c r="DV39" s="390"/>
      <c r="DW39" s="390"/>
      <c r="DX39" s="390"/>
      <c r="DY39" s="390"/>
      <c r="DZ39" s="390"/>
      <c r="EA39" s="390"/>
      <c r="EB39" s="390"/>
      <c r="EC39" s="390"/>
      <c r="ED39" s="390"/>
      <c r="EE39" s="390"/>
      <c r="EF39" s="390"/>
      <c r="EG39" s="390"/>
      <c r="EH39" s="390"/>
      <c r="EI39" s="390"/>
      <c r="EJ39" s="390"/>
      <c r="EK39" s="390"/>
      <c r="EL39" s="390"/>
      <c r="EM39" s="390"/>
      <c r="EN39" s="390"/>
      <c r="EO39" s="390"/>
      <c r="EP39" s="390"/>
      <c r="EQ39" s="390"/>
      <c r="ER39" s="390"/>
      <c r="ES39" s="390"/>
      <c r="ET39" s="390"/>
      <c r="EU39" s="390"/>
      <c r="EV39" s="390"/>
      <c r="EW39" s="390"/>
      <c r="EX39" s="390"/>
      <c r="EY39" s="390"/>
      <c r="EZ39" s="390"/>
      <c r="FA39" s="390"/>
      <c r="FB39" s="390"/>
      <c r="FC39" s="390"/>
      <c r="FD39" s="390"/>
      <c r="FE39" s="390"/>
      <c r="FF39" s="390"/>
      <c r="FG39" s="390"/>
      <c r="FH39" s="390"/>
      <c r="FI39" s="390"/>
      <c r="FJ39" s="390"/>
      <c r="FK39" s="390"/>
      <c r="FL39" s="390"/>
      <c r="FM39" s="390"/>
      <c r="FN39" s="390"/>
      <c r="FO39" s="390"/>
      <c r="FP39" s="390"/>
      <c r="FQ39" s="390"/>
      <c r="FR39" s="390"/>
      <c r="FS39" s="390"/>
      <c r="FT39" s="390"/>
      <c r="FU39" s="390"/>
      <c r="FV39" s="390"/>
      <c r="FW39" s="390"/>
      <c r="FX39" s="390"/>
      <c r="FY39" s="390"/>
      <c r="FZ39" s="390"/>
      <c r="GA39" s="390"/>
      <c r="GB39" s="390"/>
      <c r="GC39" s="390"/>
      <c r="GD39" s="390"/>
      <c r="GE39" s="390"/>
      <c r="GF39" s="390"/>
      <c r="GG39" s="390"/>
      <c r="GH39" s="390"/>
      <c r="GI39" s="390"/>
      <c r="GJ39" s="390"/>
      <c r="GK39" s="390"/>
      <c r="GL39" s="390"/>
      <c r="GM39" s="390"/>
      <c r="GN39" s="390"/>
      <c r="GO39" s="390"/>
      <c r="GP39" s="390"/>
      <c r="GQ39" s="390"/>
      <c r="GR39" s="390"/>
      <c r="GS39" s="390"/>
      <c r="GT39" s="390"/>
      <c r="GU39" s="390"/>
      <c r="GV39" s="390"/>
      <c r="GW39" s="390"/>
      <c r="GX39" s="390"/>
      <c r="GY39" s="390"/>
      <c r="GZ39" s="390"/>
      <c r="HA39" s="390"/>
      <c r="HB39" s="390"/>
      <c r="HC39" s="390"/>
      <c r="HD39" s="390"/>
      <c r="HE39" s="390"/>
      <c r="HF39" s="390"/>
      <c r="HG39" s="390"/>
      <c r="HH39" s="390"/>
      <c r="HI39" s="390"/>
      <c r="HJ39" s="390"/>
      <c r="HK39" s="390"/>
      <c r="HL39" s="390"/>
      <c r="HM39" s="390"/>
      <c r="HN39" s="390"/>
      <c r="HO39" s="390"/>
      <c r="HP39" s="390"/>
      <c r="HQ39" s="390"/>
      <c r="HR39" s="390"/>
      <c r="HS39" s="390"/>
      <c r="HT39" s="390"/>
      <c r="HU39" s="390"/>
      <c r="HV39" s="390"/>
      <c r="HW39" s="390"/>
      <c r="HX39" s="390"/>
      <c r="HY39" s="390"/>
      <c r="HZ39" s="390"/>
      <c r="IA39" s="390"/>
      <c r="IB39" s="390"/>
      <c r="IC39" s="390"/>
      <c r="ID39" s="390"/>
      <c r="IE39" s="390"/>
      <c r="IF39" s="390"/>
      <c r="IG39" s="390"/>
      <c r="IH39" s="390"/>
      <c r="II39" s="390"/>
      <c r="IJ39" s="390"/>
      <c r="IK39" s="390"/>
      <c r="IL39" s="390"/>
      <c r="IM39" s="390"/>
      <c r="IN39" s="390"/>
      <c r="IO39" s="390"/>
      <c r="IP39" s="390"/>
      <c r="IQ39" s="390"/>
      <c r="IR39" s="390"/>
      <c r="IS39" s="390"/>
      <c r="IT39" s="390"/>
      <c r="IU39" s="390"/>
      <c r="IV39" s="390"/>
      <c r="IW39" s="390"/>
      <c r="IX39" s="390"/>
      <c r="IY39" s="390"/>
      <c r="IZ39" s="390"/>
      <c r="JA39" s="390"/>
      <c r="JB39" s="390"/>
      <c r="JC39" s="390"/>
      <c r="JD39" s="390"/>
      <c r="JE39" s="390"/>
      <c r="JF39" s="390"/>
      <c r="JG39" s="390"/>
      <c r="JH39" s="390"/>
      <c r="JI39" s="390"/>
      <c r="JJ39" s="390"/>
      <c r="JK39" s="390"/>
      <c r="JL39" s="390"/>
      <c r="JM39" s="390"/>
      <c r="JN39" s="390"/>
      <c r="JO39" s="390"/>
      <c r="JP39" s="390"/>
      <c r="JQ39" s="390"/>
      <c r="JR39" s="390"/>
      <c r="JS39" s="390"/>
      <c r="JT39" s="390"/>
      <c r="JU39" s="390"/>
      <c r="JV39" s="390"/>
      <c r="JW39" s="390"/>
      <c r="JX39" s="390"/>
      <c r="JY39" s="390"/>
      <c r="JZ39" s="390"/>
      <c r="KA39" s="390"/>
      <c r="KB39" s="390"/>
      <c r="KC39" s="390"/>
      <c r="KD39" s="390"/>
      <c r="KE39" s="390"/>
      <c r="KF39" s="390"/>
      <c r="KG39" s="390"/>
      <c r="KH39" s="390"/>
      <c r="KI39" s="390"/>
      <c r="KJ39" s="390"/>
      <c r="KK39" s="390"/>
      <c r="KL39" s="390"/>
      <c r="KM39" s="390"/>
      <c r="KN39" s="390"/>
      <c r="KO39" s="390"/>
      <c r="KP39" s="390"/>
      <c r="KQ39" s="390"/>
      <c r="KR39" s="390"/>
      <c r="KS39" s="390"/>
      <c r="KT39" s="390"/>
      <c r="KU39" s="390"/>
      <c r="KV39" s="390"/>
      <c r="KW39" s="390"/>
      <c r="KX39" s="390"/>
      <c r="KY39" s="390"/>
      <c r="KZ39" s="390"/>
      <c r="LA39" s="390"/>
      <c r="LB39" s="390"/>
      <c r="LC39" s="390"/>
      <c r="LD39" s="390"/>
      <c r="LE39" s="390"/>
      <c r="LF39" s="390"/>
      <c r="LG39" s="390"/>
      <c r="LH39" s="390"/>
      <c r="LI39" s="390"/>
      <c r="LJ39" s="390"/>
      <c r="LK39" s="390"/>
      <c r="LL39" s="390"/>
      <c r="LM39" s="390"/>
      <c r="LN39" s="390"/>
      <c r="LO39" s="390"/>
      <c r="LP39" s="390"/>
      <c r="LQ39" s="390"/>
      <c r="LR39" s="390"/>
      <c r="LS39" s="390"/>
      <c r="LT39" s="390"/>
      <c r="LU39" s="390"/>
      <c r="LV39" s="390"/>
      <c r="LW39" s="390"/>
      <c r="LX39" s="390"/>
      <c r="LY39" s="390"/>
      <c r="LZ39" s="390"/>
      <c r="MA39" s="390"/>
      <c r="MB39" s="390"/>
      <c r="MC39" s="390"/>
      <c r="MD39" s="390"/>
      <c r="ME39" s="390"/>
      <c r="MF39" s="390"/>
      <c r="MG39" s="390"/>
      <c r="MH39" s="390"/>
      <c r="MI39" s="390"/>
      <c r="MJ39" s="390"/>
      <c r="MK39" s="390"/>
      <c r="ML39" s="390"/>
      <c r="MM39" s="390"/>
      <c r="MN39" s="390"/>
      <c r="MO39" s="390"/>
      <c r="MP39" s="390"/>
      <c r="MQ39" s="390"/>
      <c r="MR39" s="390"/>
      <c r="MS39" s="390"/>
      <c r="MT39" s="390"/>
      <c r="MU39" s="390"/>
      <c r="MV39" s="390"/>
      <c r="MW39" s="390"/>
      <c r="MX39" s="390"/>
      <c r="MY39" s="390"/>
      <c r="MZ39" s="390"/>
      <c r="NA39" s="390"/>
      <c r="NB39" s="390"/>
      <c r="NC39" s="390"/>
      <c r="ND39" s="390"/>
      <c r="NE39" s="390"/>
      <c r="NF39" s="390"/>
      <c r="NG39" s="390"/>
      <c r="NH39" s="390"/>
      <c r="NI39" s="390"/>
      <c r="NJ39" s="390"/>
      <c r="NK39" s="390"/>
      <c r="NL39" s="390"/>
      <c r="NM39" s="390"/>
      <c r="NN39" s="390"/>
      <c r="NO39" s="390"/>
      <c r="NP39" s="390"/>
      <c r="NQ39" s="390"/>
      <c r="NR39" s="390"/>
      <c r="NS39" s="390"/>
      <c r="NT39" s="390"/>
      <c r="NU39" s="390"/>
      <c r="NV39" s="390"/>
      <c r="NW39" s="390"/>
      <c r="NX39" s="390"/>
      <c r="NY39" s="390"/>
      <c r="NZ39" s="390"/>
      <c r="OA39" s="390"/>
      <c r="OB39" s="390"/>
      <c r="OC39" s="390"/>
      <c r="OD39" s="390"/>
      <c r="OE39" s="390"/>
      <c r="OF39" s="390"/>
      <c r="OG39" s="390"/>
      <c r="OH39" s="390"/>
      <c r="OI39" s="390"/>
      <c r="OJ39" s="390"/>
      <c r="OK39" s="390"/>
      <c r="OL39" s="390"/>
      <c r="OM39" s="390"/>
      <c r="ON39" s="390"/>
      <c r="OO39" s="390"/>
      <c r="OP39" s="390"/>
      <c r="OQ39" s="390"/>
      <c r="OR39" s="390"/>
      <c r="OS39" s="390"/>
      <c r="OT39" s="390"/>
      <c r="OU39" s="390"/>
      <c r="OV39" s="390"/>
      <c r="OW39" s="390"/>
      <c r="OX39" s="390"/>
      <c r="OY39" s="390"/>
      <c r="OZ39" s="390"/>
      <c r="PA39" s="390"/>
      <c r="PB39" s="390"/>
      <c r="PC39" s="390"/>
      <c r="PD39" s="390"/>
      <c r="PE39" s="390"/>
      <c r="PF39" s="390"/>
      <c r="PG39" s="390"/>
      <c r="PH39" s="390"/>
      <c r="PI39" s="390"/>
      <c r="PJ39" s="390"/>
      <c r="PK39" s="390"/>
      <c r="PL39" s="390"/>
      <c r="PM39" s="390"/>
      <c r="PN39" s="390"/>
      <c r="PO39" s="390"/>
      <c r="PP39" s="390"/>
      <c r="PQ39" s="390"/>
      <c r="PR39" s="390"/>
      <c r="PS39" s="390"/>
      <c r="PT39" s="390"/>
      <c r="PU39" s="390"/>
      <c r="PV39" s="390"/>
      <c r="PW39" s="390"/>
      <c r="PX39" s="390"/>
      <c r="PY39" s="390"/>
      <c r="PZ39" s="390"/>
      <c r="QA39" s="390"/>
      <c r="QB39" s="390"/>
      <c r="QC39" s="390"/>
      <c r="QD39" s="390"/>
      <c r="QE39" s="390"/>
      <c r="QF39" s="390"/>
      <c r="QG39" s="390"/>
      <c r="QH39" s="390"/>
      <c r="QI39" s="390"/>
      <c r="QJ39" s="390"/>
      <c r="QK39" s="390"/>
      <c r="QL39" s="390"/>
      <c r="QM39" s="390"/>
      <c r="QN39" s="390"/>
      <c r="QO39" s="390"/>
      <c r="QP39" s="390"/>
      <c r="QQ39" s="390"/>
      <c r="QR39" s="390"/>
      <c r="QS39" s="390"/>
      <c r="QT39" s="390"/>
      <c r="QU39" s="390"/>
      <c r="QV39" s="390"/>
      <c r="QW39" s="390"/>
      <c r="QX39" s="390"/>
      <c r="QY39" s="390"/>
      <c r="QZ39" s="390"/>
      <c r="RA39" s="390"/>
      <c r="RB39" s="390"/>
      <c r="RC39" s="390"/>
      <c r="RD39" s="390"/>
      <c r="RE39" s="390"/>
      <c r="RF39" s="390"/>
      <c r="RG39" s="390"/>
      <c r="RH39" s="390"/>
      <c r="RI39" s="390"/>
      <c r="RJ39" s="390"/>
      <c r="RK39" s="390"/>
      <c r="RL39" s="390"/>
      <c r="RM39" s="390"/>
      <c r="RN39" s="390"/>
      <c r="RO39" s="390"/>
      <c r="RP39" s="390"/>
      <c r="RQ39" s="390"/>
      <c r="RR39" s="390"/>
      <c r="RS39" s="390"/>
      <c r="RT39" s="390"/>
      <c r="RU39" s="390"/>
      <c r="RV39" s="390"/>
      <c r="RW39" s="390"/>
      <c r="RX39" s="390"/>
      <c r="RY39" s="390"/>
      <c r="RZ39" s="390"/>
      <c r="SA39" s="390"/>
      <c r="SB39" s="390"/>
      <c r="SC39" s="390"/>
      <c r="SD39" s="390"/>
      <c r="SE39" s="390"/>
      <c r="SF39" s="390"/>
      <c r="SG39" s="390"/>
      <c r="SH39" s="390"/>
      <c r="SI39" s="390"/>
      <c r="SJ39" s="390"/>
      <c r="SK39" s="390"/>
      <c r="SL39" s="390"/>
      <c r="SM39" s="390"/>
      <c r="SN39" s="390"/>
      <c r="SO39" s="390"/>
      <c r="SP39" s="390"/>
      <c r="SQ39" s="390"/>
      <c r="SR39" s="390"/>
      <c r="SS39" s="390"/>
      <c r="ST39" s="390"/>
      <c r="SU39" s="390"/>
      <c r="SV39" s="390"/>
      <c r="SW39" s="390"/>
      <c r="SX39" s="390"/>
      <c r="SY39" s="390"/>
      <c r="SZ39" s="390"/>
      <c r="TA39" s="390"/>
      <c r="TB39" s="390"/>
      <c r="TC39" s="390"/>
      <c r="TD39" s="390"/>
      <c r="TE39" s="390"/>
      <c r="TF39" s="390"/>
      <c r="TG39" s="390"/>
      <c r="TH39" s="390"/>
      <c r="TI39" s="390"/>
      <c r="TJ39" s="390"/>
      <c r="TK39" s="390"/>
      <c r="TL39" s="390"/>
      <c r="TM39" s="390"/>
      <c r="TN39" s="390"/>
      <c r="TO39" s="390"/>
      <c r="TP39" s="390"/>
      <c r="TQ39" s="390"/>
      <c r="TR39" s="390"/>
      <c r="TS39" s="390"/>
      <c r="TT39" s="390"/>
      <c r="TU39" s="390"/>
      <c r="TV39" s="390"/>
      <c r="TW39" s="390"/>
      <c r="TX39" s="390"/>
      <c r="TY39" s="390"/>
      <c r="TZ39" s="390"/>
      <c r="UA39" s="390"/>
      <c r="UB39" s="390"/>
      <c r="UC39" s="390"/>
      <c r="UD39" s="390"/>
      <c r="UE39" s="390"/>
      <c r="UF39" s="390"/>
      <c r="UG39" s="390"/>
      <c r="UH39" s="390"/>
      <c r="UI39" s="390"/>
      <c r="UJ39" s="390"/>
      <c r="UK39" s="390"/>
      <c r="UL39" s="390"/>
      <c r="UM39" s="390"/>
      <c r="UN39" s="390"/>
      <c r="UO39" s="390"/>
      <c r="UP39" s="390"/>
      <c r="UQ39" s="390"/>
      <c r="UR39" s="390"/>
      <c r="US39" s="390"/>
      <c r="UT39" s="390"/>
      <c r="UU39" s="390"/>
      <c r="UV39" s="390"/>
      <c r="UW39" s="390"/>
      <c r="UX39" s="390"/>
      <c r="UY39" s="390"/>
      <c r="UZ39" s="390"/>
      <c r="VA39" s="390"/>
      <c r="VB39" s="390"/>
      <c r="VC39" s="390"/>
      <c r="VD39" s="390"/>
      <c r="VE39" s="390"/>
      <c r="VF39" s="390"/>
      <c r="VG39" s="390"/>
      <c r="VH39" s="390"/>
      <c r="VI39" s="390"/>
      <c r="VJ39" s="390"/>
      <c r="VK39" s="390"/>
      <c r="VL39" s="390"/>
      <c r="VM39" s="390"/>
      <c r="VN39" s="390"/>
      <c r="VO39" s="390"/>
      <c r="VP39" s="390"/>
      <c r="VQ39" s="390"/>
      <c r="VR39" s="390"/>
      <c r="VS39" s="390"/>
      <c r="VT39" s="390"/>
      <c r="VU39" s="390"/>
      <c r="VV39" s="390"/>
      <c r="VW39" s="390"/>
      <c r="VX39" s="390"/>
      <c r="VY39" s="390"/>
      <c r="VZ39" s="390"/>
      <c r="WA39" s="390"/>
      <c r="WB39" s="390"/>
      <c r="WC39" s="390"/>
      <c r="WD39" s="390"/>
      <c r="WE39" s="390"/>
      <c r="WF39" s="390"/>
      <c r="WG39" s="390"/>
      <c r="WH39" s="390"/>
      <c r="WI39" s="390"/>
      <c r="WJ39" s="390"/>
      <c r="WK39" s="390"/>
      <c r="WL39" s="390"/>
      <c r="WM39" s="390"/>
      <c r="WN39" s="390"/>
      <c r="WO39" s="390"/>
      <c r="WP39" s="390"/>
      <c r="WQ39" s="390"/>
      <c r="WR39" s="390"/>
      <c r="WS39" s="390"/>
      <c r="WT39" s="390"/>
      <c r="WU39" s="390"/>
      <c r="WV39" s="390"/>
      <c r="WW39" s="390"/>
      <c r="WX39" s="390"/>
      <c r="WY39" s="390"/>
      <c r="WZ39" s="390"/>
      <c r="XA39" s="390"/>
      <c r="XB39" s="390"/>
      <c r="XC39" s="390"/>
      <c r="XD39" s="390"/>
      <c r="XE39" s="390"/>
      <c r="XF39" s="390"/>
      <c r="XG39" s="390"/>
      <c r="XH39" s="390"/>
      <c r="XI39" s="390"/>
      <c r="XJ39" s="390"/>
      <c r="XK39" s="390"/>
      <c r="XL39" s="390"/>
      <c r="XM39" s="390"/>
      <c r="XN39" s="390"/>
      <c r="XO39" s="390"/>
      <c r="XP39" s="390"/>
      <c r="XQ39" s="390"/>
      <c r="XR39" s="390"/>
      <c r="XS39" s="390"/>
      <c r="XT39" s="390"/>
      <c r="XU39" s="390"/>
      <c r="XV39" s="390"/>
      <c r="XW39" s="390"/>
      <c r="XX39" s="390"/>
      <c r="XY39" s="390"/>
      <c r="XZ39" s="390"/>
      <c r="YA39" s="390"/>
      <c r="YB39" s="390"/>
      <c r="YC39" s="390"/>
      <c r="YD39" s="390"/>
      <c r="YE39" s="390"/>
      <c r="YF39" s="390"/>
      <c r="YG39" s="390"/>
      <c r="YH39" s="390"/>
      <c r="YI39" s="390"/>
      <c r="YJ39" s="390"/>
      <c r="YK39" s="390"/>
      <c r="YL39" s="390"/>
      <c r="YM39" s="390"/>
      <c r="YN39" s="390"/>
      <c r="YO39" s="390"/>
      <c r="YP39" s="390"/>
      <c r="YQ39" s="390"/>
      <c r="YR39" s="390"/>
      <c r="YS39" s="390"/>
      <c r="YT39" s="390"/>
      <c r="YU39" s="390"/>
      <c r="YV39" s="390"/>
      <c r="YW39" s="390"/>
      <c r="YX39" s="390"/>
      <c r="YY39" s="390"/>
      <c r="YZ39" s="390"/>
      <c r="ZA39" s="390"/>
      <c r="ZB39" s="390"/>
      <c r="ZC39" s="390"/>
      <c r="ZD39" s="390"/>
      <c r="ZE39" s="390"/>
      <c r="ZF39" s="390"/>
      <c r="ZG39" s="390"/>
      <c r="ZH39" s="390"/>
      <c r="ZI39" s="390"/>
      <c r="ZJ39" s="390"/>
      <c r="ZK39" s="390"/>
      <c r="ZL39" s="390"/>
      <c r="ZM39" s="390"/>
      <c r="ZN39" s="390"/>
      <c r="ZO39" s="390"/>
      <c r="ZP39" s="390"/>
      <c r="ZQ39" s="390"/>
      <c r="ZR39" s="390"/>
      <c r="ZS39" s="390"/>
      <c r="ZT39" s="390"/>
      <c r="ZU39" s="390"/>
      <c r="ZV39" s="390"/>
      <c r="ZW39" s="390"/>
      <c r="ZX39" s="390"/>
      <c r="ZY39" s="390"/>
      <c r="ZZ39" s="390"/>
      <c r="AAA39" s="390"/>
      <c r="AAB39" s="390"/>
      <c r="AAC39" s="390"/>
      <c r="AAD39" s="390"/>
      <c r="AAE39" s="390"/>
      <c r="AAF39" s="390"/>
      <c r="AAG39" s="390"/>
      <c r="AAH39" s="390"/>
      <c r="AAI39" s="390"/>
      <c r="AAJ39" s="390"/>
      <c r="AAK39" s="390"/>
      <c r="AAL39" s="390"/>
      <c r="AAM39" s="390"/>
      <c r="AAN39" s="390"/>
      <c r="AAO39" s="390"/>
      <c r="AAP39" s="390"/>
      <c r="AAQ39" s="390"/>
      <c r="AAR39" s="390"/>
      <c r="AAS39" s="390"/>
      <c r="AAT39" s="390"/>
      <c r="AAU39" s="390"/>
      <c r="AAV39" s="390"/>
      <c r="AAW39" s="390"/>
      <c r="AAX39" s="390"/>
      <c r="AAY39" s="390"/>
      <c r="AAZ39" s="390"/>
      <c r="ABA39" s="390"/>
      <c r="ABB39" s="390"/>
      <c r="ABC39" s="390"/>
      <c r="ABD39" s="390"/>
      <c r="ABE39" s="390"/>
      <c r="ABF39" s="390"/>
      <c r="ABG39" s="390"/>
      <c r="ABH39" s="390"/>
      <c r="ABI39" s="390"/>
      <c r="ABJ39" s="390"/>
      <c r="ABK39" s="390"/>
      <c r="ABL39" s="390"/>
      <c r="ABM39" s="390"/>
      <c r="ABN39" s="390"/>
      <c r="ABO39" s="390"/>
      <c r="ABP39" s="390"/>
      <c r="ABQ39" s="390"/>
      <c r="ABR39" s="390"/>
      <c r="ABS39" s="390"/>
      <c r="ABT39" s="390"/>
      <c r="ABU39" s="390"/>
      <c r="ABV39" s="390"/>
      <c r="ABW39" s="390"/>
      <c r="ABX39" s="390"/>
      <c r="ABY39" s="390"/>
      <c r="ABZ39" s="390"/>
      <c r="ACA39" s="390"/>
      <c r="ACB39" s="390"/>
      <c r="ACC39" s="390"/>
      <c r="ACD39" s="390"/>
      <c r="ACE39" s="390"/>
      <c r="ACF39" s="390"/>
      <c r="ACG39" s="390"/>
      <c r="ACH39" s="390"/>
      <c r="ACI39" s="390"/>
    </row>
    <row r="40" spans="1:763" ht="13.95" customHeight="1" x14ac:dyDescent="0.3">
      <c r="A40" s="397" t="str">
        <f ca="1">Проект!$A$317</f>
        <v>численность</v>
      </c>
      <c r="B40" s="353">
        <f>Проект!$B$317</f>
        <v>4</v>
      </c>
      <c r="C40" s="402" t="str">
        <f ca="1">Проект!$C$317</f>
        <v>человек</v>
      </c>
      <c r="D40" s="354">
        <f>IFERROR(AVERAGE(Проект!$G$317:$R$317),"-")</f>
        <v>2</v>
      </c>
      <c r="E40" s="354">
        <f>IFERROR(AVERAGE(Проект!$S$317:$AD$317),"-")</f>
        <v>4</v>
      </c>
      <c r="F40" s="354">
        <f>IFERROR(AVERAGE(Проект!$AE$317:$AP$317),"-")</f>
        <v>4</v>
      </c>
      <c r="G40" s="354">
        <f>IFERROR(AVERAGE(Проект!$AQ$317:$BB$317),"-")</f>
        <v>4</v>
      </c>
      <c r="H40" s="396"/>
      <c r="I40" s="390"/>
      <c r="J40" s="390"/>
      <c r="K40" s="390"/>
      <c r="L40" s="390"/>
      <c r="M40" s="390"/>
      <c r="N40" s="390"/>
      <c r="O40" s="390"/>
      <c r="P40" s="390"/>
      <c r="Q40" s="390"/>
      <c r="R40" s="390"/>
      <c r="S40" s="390"/>
      <c r="T40" s="390"/>
      <c r="U40" s="390"/>
      <c r="V40" s="390"/>
      <c r="W40" s="390"/>
      <c r="X40" s="390"/>
      <c r="Y40" s="390"/>
      <c r="Z40" s="390"/>
      <c r="AA40" s="390"/>
      <c r="AB40" s="390"/>
      <c r="AC40" s="390"/>
      <c r="AD40" s="390"/>
      <c r="AE40" s="390"/>
      <c r="AF40" s="390"/>
      <c r="AG40" s="390"/>
      <c r="AH40" s="390"/>
      <c r="AI40" s="390"/>
      <c r="AJ40" s="390"/>
      <c r="AK40" s="390"/>
      <c r="AL40" s="390"/>
      <c r="AM40" s="390"/>
      <c r="AN40" s="390"/>
      <c r="AO40" s="390"/>
      <c r="AP40" s="390"/>
      <c r="AQ40" s="390"/>
      <c r="AR40" s="390"/>
      <c r="AS40" s="390"/>
      <c r="AT40" s="390"/>
      <c r="AU40" s="390"/>
      <c r="AV40" s="390"/>
      <c r="AW40" s="390"/>
      <c r="AX40" s="390"/>
      <c r="AY40" s="390"/>
      <c r="AZ40" s="390"/>
      <c r="BA40" s="390"/>
      <c r="BB40" s="390"/>
      <c r="BC40" s="390"/>
      <c r="BD40" s="390"/>
      <c r="BE40" s="390"/>
      <c r="BF40" s="390"/>
      <c r="BG40" s="390"/>
      <c r="BH40" s="390"/>
      <c r="BI40" s="390"/>
      <c r="BJ40" s="390"/>
      <c r="BK40" s="390"/>
      <c r="BL40" s="390"/>
      <c r="BM40" s="390"/>
      <c r="BN40" s="390"/>
      <c r="BO40" s="390"/>
      <c r="BP40" s="390"/>
      <c r="BQ40" s="390"/>
      <c r="BR40" s="390"/>
      <c r="BS40" s="390"/>
      <c r="BT40" s="390"/>
      <c r="BU40" s="390"/>
      <c r="BV40" s="390"/>
      <c r="BW40" s="390"/>
      <c r="BX40" s="390"/>
      <c r="BY40" s="390"/>
      <c r="BZ40" s="390"/>
      <c r="CA40" s="390"/>
      <c r="CB40" s="390"/>
      <c r="CC40" s="390"/>
      <c r="CD40" s="390"/>
      <c r="CE40" s="390"/>
      <c r="CF40" s="390"/>
      <c r="CG40" s="390"/>
      <c r="CH40" s="390"/>
      <c r="CI40" s="390"/>
      <c r="CJ40" s="390"/>
      <c r="CK40" s="390"/>
      <c r="CL40" s="390"/>
      <c r="CM40" s="390"/>
      <c r="CN40" s="390"/>
      <c r="CO40" s="390"/>
      <c r="CP40" s="390"/>
      <c r="CQ40" s="390"/>
      <c r="CR40" s="390"/>
      <c r="CS40" s="390"/>
      <c r="CT40" s="390"/>
      <c r="CU40" s="390"/>
      <c r="CV40" s="390"/>
      <c r="CW40" s="390"/>
      <c r="CX40" s="390"/>
      <c r="CY40" s="390"/>
      <c r="CZ40" s="390"/>
      <c r="DA40" s="390"/>
      <c r="DB40" s="390"/>
      <c r="DC40" s="390"/>
      <c r="DD40" s="390"/>
      <c r="DE40" s="390"/>
      <c r="DF40" s="390"/>
      <c r="DG40" s="390"/>
      <c r="DH40" s="390"/>
      <c r="DI40" s="390"/>
      <c r="DJ40" s="390"/>
      <c r="DK40" s="390"/>
      <c r="DL40" s="390"/>
      <c r="DM40" s="390"/>
      <c r="DN40" s="390"/>
      <c r="DO40" s="390"/>
      <c r="DP40" s="390"/>
      <c r="DQ40" s="390"/>
      <c r="DR40" s="390"/>
      <c r="DS40" s="390"/>
      <c r="DT40" s="390"/>
      <c r="DU40" s="390"/>
      <c r="DV40" s="390"/>
      <c r="DW40" s="390"/>
      <c r="DX40" s="390"/>
      <c r="DY40" s="390"/>
      <c r="DZ40" s="390"/>
      <c r="EA40" s="390"/>
      <c r="EB40" s="390"/>
      <c r="EC40" s="390"/>
      <c r="ED40" s="390"/>
      <c r="EE40" s="390"/>
      <c r="EF40" s="390"/>
      <c r="EG40" s="390"/>
      <c r="EH40" s="390"/>
      <c r="EI40" s="390"/>
      <c r="EJ40" s="390"/>
      <c r="EK40" s="390"/>
      <c r="EL40" s="390"/>
      <c r="EM40" s="390"/>
      <c r="EN40" s="390"/>
      <c r="EO40" s="390"/>
      <c r="EP40" s="390"/>
      <c r="EQ40" s="390"/>
      <c r="ER40" s="390"/>
      <c r="ES40" s="390"/>
      <c r="ET40" s="390"/>
      <c r="EU40" s="390"/>
      <c r="EV40" s="390"/>
      <c r="EW40" s="390"/>
      <c r="EX40" s="390"/>
      <c r="EY40" s="390"/>
      <c r="EZ40" s="390"/>
      <c r="FA40" s="390"/>
      <c r="FB40" s="390"/>
      <c r="FC40" s="390"/>
      <c r="FD40" s="390"/>
      <c r="FE40" s="390"/>
      <c r="FF40" s="390"/>
      <c r="FG40" s="390"/>
      <c r="FH40" s="390"/>
      <c r="FI40" s="390"/>
      <c r="FJ40" s="390"/>
      <c r="FK40" s="390"/>
      <c r="FL40" s="390"/>
      <c r="FM40" s="390"/>
      <c r="FN40" s="390"/>
      <c r="FO40" s="390"/>
      <c r="FP40" s="390"/>
      <c r="FQ40" s="390"/>
      <c r="FR40" s="390"/>
      <c r="FS40" s="390"/>
      <c r="FT40" s="390"/>
      <c r="FU40" s="390"/>
      <c r="FV40" s="390"/>
      <c r="FW40" s="390"/>
      <c r="FX40" s="390"/>
      <c r="FY40" s="390"/>
      <c r="FZ40" s="390"/>
      <c r="GA40" s="390"/>
      <c r="GB40" s="390"/>
      <c r="GC40" s="390"/>
      <c r="GD40" s="390"/>
      <c r="GE40" s="390"/>
      <c r="GF40" s="390"/>
      <c r="GG40" s="390"/>
      <c r="GH40" s="390"/>
      <c r="GI40" s="390"/>
      <c r="GJ40" s="390"/>
      <c r="GK40" s="390"/>
      <c r="GL40" s="390"/>
      <c r="GM40" s="390"/>
      <c r="GN40" s="390"/>
      <c r="GO40" s="390"/>
      <c r="GP40" s="390"/>
      <c r="GQ40" s="390"/>
      <c r="GR40" s="390"/>
      <c r="GS40" s="390"/>
      <c r="GT40" s="390"/>
      <c r="GU40" s="390"/>
      <c r="GV40" s="390"/>
      <c r="GW40" s="390"/>
      <c r="GX40" s="390"/>
      <c r="GY40" s="390"/>
      <c r="GZ40" s="390"/>
      <c r="HA40" s="390"/>
      <c r="HB40" s="390"/>
      <c r="HC40" s="390"/>
      <c r="HD40" s="390"/>
      <c r="HE40" s="390"/>
      <c r="HF40" s="390"/>
      <c r="HG40" s="390"/>
      <c r="HH40" s="390"/>
      <c r="HI40" s="390"/>
      <c r="HJ40" s="390"/>
      <c r="HK40" s="390"/>
      <c r="HL40" s="390"/>
      <c r="HM40" s="390"/>
      <c r="HN40" s="390"/>
      <c r="HO40" s="390"/>
      <c r="HP40" s="390"/>
      <c r="HQ40" s="390"/>
      <c r="HR40" s="390"/>
      <c r="HS40" s="390"/>
      <c r="HT40" s="390"/>
      <c r="HU40" s="390"/>
      <c r="HV40" s="390"/>
      <c r="HW40" s="390"/>
      <c r="HX40" s="390"/>
      <c r="HY40" s="390"/>
      <c r="HZ40" s="390"/>
      <c r="IA40" s="390"/>
      <c r="IB40" s="390"/>
      <c r="IC40" s="390"/>
      <c r="ID40" s="390"/>
      <c r="IE40" s="390"/>
      <c r="IF40" s="390"/>
      <c r="IG40" s="390"/>
      <c r="IH40" s="390"/>
      <c r="II40" s="390"/>
      <c r="IJ40" s="390"/>
      <c r="IK40" s="390"/>
      <c r="IL40" s="390"/>
      <c r="IM40" s="390"/>
      <c r="IN40" s="390"/>
      <c r="IO40" s="390"/>
      <c r="IP40" s="390"/>
      <c r="IQ40" s="390"/>
      <c r="IR40" s="390"/>
      <c r="IS40" s="390"/>
      <c r="IT40" s="390"/>
      <c r="IU40" s="390"/>
      <c r="IV40" s="390"/>
      <c r="IW40" s="390"/>
      <c r="IX40" s="390"/>
      <c r="IY40" s="390"/>
      <c r="IZ40" s="390"/>
      <c r="JA40" s="390"/>
      <c r="JB40" s="390"/>
      <c r="JC40" s="390"/>
      <c r="JD40" s="390"/>
      <c r="JE40" s="390"/>
      <c r="JF40" s="390"/>
      <c r="JG40" s="390"/>
      <c r="JH40" s="390"/>
      <c r="JI40" s="390"/>
      <c r="JJ40" s="390"/>
      <c r="JK40" s="390"/>
      <c r="JL40" s="390"/>
      <c r="JM40" s="390"/>
      <c r="JN40" s="390"/>
      <c r="JO40" s="390"/>
      <c r="JP40" s="390"/>
      <c r="JQ40" s="390"/>
      <c r="JR40" s="390"/>
      <c r="JS40" s="390"/>
      <c r="JT40" s="390"/>
      <c r="JU40" s="390"/>
      <c r="JV40" s="390"/>
      <c r="JW40" s="390"/>
      <c r="JX40" s="390"/>
      <c r="JY40" s="390"/>
      <c r="JZ40" s="390"/>
      <c r="KA40" s="390"/>
      <c r="KB40" s="390"/>
      <c r="KC40" s="390"/>
      <c r="KD40" s="390"/>
      <c r="KE40" s="390"/>
      <c r="KF40" s="390"/>
      <c r="KG40" s="390"/>
      <c r="KH40" s="390"/>
      <c r="KI40" s="390"/>
      <c r="KJ40" s="390"/>
      <c r="KK40" s="390"/>
      <c r="KL40" s="390"/>
      <c r="KM40" s="390"/>
      <c r="KN40" s="390"/>
      <c r="KO40" s="390"/>
      <c r="KP40" s="390"/>
      <c r="KQ40" s="390"/>
      <c r="KR40" s="390"/>
      <c r="KS40" s="390"/>
      <c r="KT40" s="390"/>
      <c r="KU40" s="390"/>
      <c r="KV40" s="390"/>
      <c r="KW40" s="390"/>
      <c r="KX40" s="390"/>
      <c r="KY40" s="390"/>
      <c r="KZ40" s="390"/>
      <c r="LA40" s="390"/>
      <c r="LB40" s="390"/>
      <c r="LC40" s="390"/>
      <c r="LD40" s="390"/>
      <c r="LE40" s="390"/>
      <c r="LF40" s="390"/>
      <c r="LG40" s="390"/>
      <c r="LH40" s="390"/>
      <c r="LI40" s="390"/>
      <c r="LJ40" s="390"/>
      <c r="LK40" s="390"/>
      <c r="LL40" s="390"/>
      <c r="LM40" s="390"/>
      <c r="LN40" s="390"/>
      <c r="LO40" s="390"/>
      <c r="LP40" s="390"/>
      <c r="LQ40" s="390"/>
      <c r="LR40" s="390"/>
      <c r="LS40" s="390"/>
      <c r="LT40" s="390"/>
      <c r="LU40" s="390"/>
      <c r="LV40" s="390"/>
      <c r="LW40" s="390"/>
      <c r="LX40" s="390"/>
      <c r="LY40" s="390"/>
      <c r="LZ40" s="390"/>
      <c r="MA40" s="390"/>
      <c r="MB40" s="390"/>
      <c r="MC40" s="390"/>
      <c r="MD40" s="390"/>
      <c r="ME40" s="390"/>
      <c r="MF40" s="390"/>
      <c r="MG40" s="390"/>
      <c r="MH40" s="390"/>
      <c r="MI40" s="390"/>
      <c r="MJ40" s="390"/>
      <c r="MK40" s="390"/>
      <c r="ML40" s="390"/>
      <c r="MM40" s="390"/>
      <c r="MN40" s="390"/>
      <c r="MO40" s="390"/>
      <c r="MP40" s="390"/>
      <c r="MQ40" s="390"/>
      <c r="MR40" s="390"/>
      <c r="MS40" s="390"/>
      <c r="MT40" s="390"/>
      <c r="MU40" s="390"/>
      <c r="MV40" s="390"/>
      <c r="MW40" s="390"/>
      <c r="MX40" s="390"/>
      <c r="MY40" s="390"/>
      <c r="MZ40" s="390"/>
      <c r="NA40" s="390"/>
      <c r="NB40" s="390"/>
      <c r="NC40" s="390"/>
      <c r="ND40" s="390"/>
      <c r="NE40" s="390"/>
      <c r="NF40" s="390"/>
      <c r="NG40" s="390"/>
      <c r="NH40" s="390"/>
      <c r="NI40" s="390"/>
      <c r="NJ40" s="390"/>
      <c r="NK40" s="390"/>
      <c r="NL40" s="390"/>
      <c r="NM40" s="390"/>
      <c r="NN40" s="390"/>
      <c r="NO40" s="390"/>
      <c r="NP40" s="390"/>
      <c r="NQ40" s="390"/>
      <c r="NR40" s="390"/>
      <c r="NS40" s="390"/>
      <c r="NT40" s="390"/>
      <c r="NU40" s="390"/>
      <c r="NV40" s="390"/>
      <c r="NW40" s="390"/>
      <c r="NX40" s="390"/>
      <c r="NY40" s="390"/>
      <c r="NZ40" s="390"/>
      <c r="OA40" s="390"/>
      <c r="OB40" s="390"/>
      <c r="OC40" s="390"/>
      <c r="OD40" s="390"/>
      <c r="OE40" s="390"/>
      <c r="OF40" s="390"/>
      <c r="OG40" s="390"/>
      <c r="OH40" s="390"/>
      <c r="OI40" s="390"/>
      <c r="OJ40" s="390"/>
      <c r="OK40" s="390"/>
      <c r="OL40" s="390"/>
      <c r="OM40" s="390"/>
      <c r="ON40" s="390"/>
      <c r="OO40" s="390"/>
      <c r="OP40" s="390"/>
      <c r="OQ40" s="390"/>
      <c r="OR40" s="390"/>
      <c r="OS40" s="390"/>
      <c r="OT40" s="390"/>
      <c r="OU40" s="390"/>
      <c r="OV40" s="390"/>
      <c r="OW40" s="390"/>
      <c r="OX40" s="390"/>
      <c r="OY40" s="390"/>
      <c r="OZ40" s="390"/>
      <c r="PA40" s="390"/>
      <c r="PB40" s="390"/>
      <c r="PC40" s="390"/>
      <c r="PD40" s="390"/>
      <c r="PE40" s="390"/>
      <c r="PF40" s="390"/>
      <c r="PG40" s="390"/>
      <c r="PH40" s="390"/>
      <c r="PI40" s="390"/>
      <c r="PJ40" s="390"/>
      <c r="PK40" s="390"/>
      <c r="PL40" s="390"/>
      <c r="PM40" s="390"/>
      <c r="PN40" s="390"/>
      <c r="PO40" s="390"/>
      <c r="PP40" s="390"/>
      <c r="PQ40" s="390"/>
      <c r="PR40" s="390"/>
      <c r="PS40" s="390"/>
      <c r="PT40" s="390"/>
      <c r="PU40" s="390"/>
      <c r="PV40" s="390"/>
      <c r="PW40" s="390"/>
      <c r="PX40" s="390"/>
      <c r="PY40" s="390"/>
      <c r="PZ40" s="390"/>
      <c r="QA40" s="390"/>
      <c r="QB40" s="390"/>
      <c r="QC40" s="390"/>
      <c r="QD40" s="390"/>
      <c r="QE40" s="390"/>
      <c r="QF40" s="390"/>
      <c r="QG40" s="390"/>
      <c r="QH40" s="390"/>
      <c r="QI40" s="390"/>
      <c r="QJ40" s="390"/>
      <c r="QK40" s="390"/>
      <c r="QL40" s="390"/>
      <c r="QM40" s="390"/>
      <c r="QN40" s="390"/>
      <c r="QO40" s="390"/>
      <c r="QP40" s="390"/>
      <c r="QQ40" s="390"/>
      <c r="QR40" s="390"/>
      <c r="QS40" s="390"/>
      <c r="QT40" s="390"/>
      <c r="QU40" s="390"/>
      <c r="QV40" s="390"/>
      <c r="QW40" s="390"/>
      <c r="QX40" s="390"/>
      <c r="QY40" s="390"/>
      <c r="QZ40" s="390"/>
      <c r="RA40" s="390"/>
      <c r="RB40" s="390"/>
      <c r="RC40" s="390"/>
      <c r="RD40" s="390"/>
      <c r="RE40" s="390"/>
      <c r="RF40" s="390"/>
      <c r="RG40" s="390"/>
      <c r="RH40" s="390"/>
      <c r="RI40" s="390"/>
      <c r="RJ40" s="390"/>
      <c r="RK40" s="390"/>
      <c r="RL40" s="390"/>
      <c r="RM40" s="390"/>
      <c r="RN40" s="390"/>
      <c r="RO40" s="390"/>
      <c r="RP40" s="390"/>
      <c r="RQ40" s="390"/>
      <c r="RR40" s="390"/>
      <c r="RS40" s="390"/>
      <c r="RT40" s="390"/>
      <c r="RU40" s="390"/>
      <c r="RV40" s="390"/>
      <c r="RW40" s="390"/>
      <c r="RX40" s="390"/>
      <c r="RY40" s="390"/>
      <c r="RZ40" s="390"/>
      <c r="SA40" s="390"/>
      <c r="SB40" s="390"/>
      <c r="SC40" s="390"/>
      <c r="SD40" s="390"/>
      <c r="SE40" s="390"/>
      <c r="SF40" s="390"/>
      <c r="SG40" s="390"/>
      <c r="SH40" s="390"/>
      <c r="SI40" s="390"/>
      <c r="SJ40" s="390"/>
      <c r="SK40" s="390"/>
      <c r="SL40" s="390"/>
      <c r="SM40" s="390"/>
      <c r="SN40" s="390"/>
      <c r="SO40" s="390"/>
      <c r="SP40" s="390"/>
      <c r="SQ40" s="390"/>
      <c r="SR40" s="390"/>
      <c r="SS40" s="390"/>
      <c r="ST40" s="390"/>
      <c r="SU40" s="390"/>
      <c r="SV40" s="390"/>
      <c r="SW40" s="390"/>
      <c r="SX40" s="390"/>
      <c r="SY40" s="390"/>
      <c r="SZ40" s="390"/>
      <c r="TA40" s="390"/>
      <c r="TB40" s="390"/>
      <c r="TC40" s="390"/>
      <c r="TD40" s="390"/>
      <c r="TE40" s="390"/>
      <c r="TF40" s="390"/>
      <c r="TG40" s="390"/>
      <c r="TH40" s="390"/>
      <c r="TI40" s="390"/>
      <c r="TJ40" s="390"/>
      <c r="TK40" s="390"/>
      <c r="TL40" s="390"/>
      <c r="TM40" s="390"/>
      <c r="TN40" s="390"/>
      <c r="TO40" s="390"/>
      <c r="TP40" s="390"/>
      <c r="TQ40" s="390"/>
      <c r="TR40" s="390"/>
      <c r="TS40" s="390"/>
      <c r="TT40" s="390"/>
      <c r="TU40" s="390"/>
      <c r="TV40" s="390"/>
      <c r="TW40" s="390"/>
      <c r="TX40" s="390"/>
      <c r="TY40" s="390"/>
      <c r="TZ40" s="390"/>
      <c r="UA40" s="390"/>
      <c r="UB40" s="390"/>
      <c r="UC40" s="390"/>
      <c r="UD40" s="390"/>
      <c r="UE40" s="390"/>
      <c r="UF40" s="390"/>
      <c r="UG40" s="390"/>
      <c r="UH40" s="390"/>
      <c r="UI40" s="390"/>
      <c r="UJ40" s="390"/>
      <c r="UK40" s="390"/>
      <c r="UL40" s="390"/>
      <c r="UM40" s="390"/>
      <c r="UN40" s="390"/>
      <c r="UO40" s="390"/>
      <c r="UP40" s="390"/>
      <c r="UQ40" s="390"/>
      <c r="UR40" s="390"/>
      <c r="US40" s="390"/>
      <c r="UT40" s="390"/>
      <c r="UU40" s="390"/>
      <c r="UV40" s="390"/>
      <c r="UW40" s="390"/>
      <c r="UX40" s="390"/>
      <c r="UY40" s="390"/>
      <c r="UZ40" s="390"/>
      <c r="VA40" s="390"/>
      <c r="VB40" s="390"/>
      <c r="VC40" s="390"/>
      <c r="VD40" s="390"/>
      <c r="VE40" s="390"/>
      <c r="VF40" s="390"/>
      <c r="VG40" s="390"/>
      <c r="VH40" s="390"/>
      <c r="VI40" s="390"/>
      <c r="VJ40" s="390"/>
      <c r="VK40" s="390"/>
      <c r="VL40" s="390"/>
      <c r="VM40" s="390"/>
      <c r="VN40" s="390"/>
      <c r="VO40" s="390"/>
      <c r="VP40" s="390"/>
      <c r="VQ40" s="390"/>
      <c r="VR40" s="390"/>
      <c r="VS40" s="390"/>
      <c r="VT40" s="390"/>
      <c r="VU40" s="390"/>
      <c r="VV40" s="390"/>
      <c r="VW40" s="390"/>
      <c r="VX40" s="390"/>
      <c r="VY40" s="390"/>
      <c r="VZ40" s="390"/>
      <c r="WA40" s="390"/>
      <c r="WB40" s="390"/>
      <c r="WC40" s="390"/>
      <c r="WD40" s="390"/>
      <c r="WE40" s="390"/>
      <c r="WF40" s="390"/>
      <c r="WG40" s="390"/>
      <c r="WH40" s="390"/>
      <c r="WI40" s="390"/>
      <c r="WJ40" s="390"/>
      <c r="WK40" s="390"/>
      <c r="WL40" s="390"/>
      <c r="WM40" s="390"/>
      <c r="WN40" s="390"/>
      <c r="WO40" s="390"/>
      <c r="WP40" s="390"/>
      <c r="WQ40" s="390"/>
      <c r="WR40" s="390"/>
      <c r="WS40" s="390"/>
      <c r="WT40" s="390"/>
      <c r="WU40" s="390"/>
      <c r="WV40" s="390"/>
      <c r="WW40" s="390"/>
      <c r="WX40" s="390"/>
      <c r="WY40" s="390"/>
      <c r="WZ40" s="390"/>
      <c r="XA40" s="390"/>
      <c r="XB40" s="390"/>
      <c r="XC40" s="390"/>
      <c r="XD40" s="390"/>
      <c r="XE40" s="390"/>
      <c r="XF40" s="390"/>
      <c r="XG40" s="390"/>
      <c r="XH40" s="390"/>
      <c r="XI40" s="390"/>
      <c r="XJ40" s="390"/>
      <c r="XK40" s="390"/>
      <c r="XL40" s="390"/>
      <c r="XM40" s="390"/>
      <c r="XN40" s="390"/>
      <c r="XO40" s="390"/>
      <c r="XP40" s="390"/>
      <c r="XQ40" s="390"/>
      <c r="XR40" s="390"/>
      <c r="XS40" s="390"/>
      <c r="XT40" s="390"/>
      <c r="XU40" s="390"/>
      <c r="XV40" s="390"/>
      <c r="XW40" s="390"/>
      <c r="XX40" s="390"/>
      <c r="XY40" s="390"/>
      <c r="XZ40" s="390"/>
      <c r="YA40" s="390"/>
      <c r="YB40" s="390"/>
      <c r="YC40" s="390"/>
      <c r="YD40" s="390"/>
      <c r="YE40" s="390"/>
      <c r="YF40" s="390"/>
      <c r="YG40" s="390"/>
      <c r="YH40" s="390"/>
      <c r="YI40" s="390"/>
      <c r="YJ40" s="390"/>
      <c r="YK40" s="390"/>
      <c r="YL40" s="390"/>
      <c r="YM40" s="390"/>
      <c r="YN40" s="390"/>
      <c r="YO40" s="390"/>
      <c r="YP40" s="390"/>
      <c r="YQ40" s="390"/>
      <c r="YR40" s="390"/>
      <c r="YS40" s="390"/>
      <c r="YT40" s="390"/>
      <c r="YU40" s="390"/>
      <c r="YV40" s="390"/>
      <c r="YW40" s="390"/>
      <c r="YX40" s="390"/>
      <c r="YY40" s="390"/>
      <c r="YZ40" s="390"/>
      <c r="ZA40" s="390"/>
      <c r="ZB40" s="390"/>
      <c r="ZC40" s="390"/>
      <c r="ZD40" s="390"/>
      <c r="ZE40" s="390"/>
      <c r="ZF40" s="390"/>
      <c r="ZG40" s="390"/>
      <c r="ZH40" s="390"/>
      <c r="ZI40" s="390"/>
      <c r="ZJ40" s="390"/>
      <c r="ZK40" s="390"/>
      <c r="ZL40" s="390"/>
      <c r="ZM40" s="390"/>
      <c r="ZN40" s="390"/>
      <c r="ZO40" s="390"/>
      <c r="ZP40" s="390"/>
      <c r="ZQ40" s="390"/>
      <c r="ZR40" s="390"/>
      <c r="ZS40" s="390"/>
      <c r="ZT40" s="390"/>
      <c r="ZU40" s="390"/>
      <c r="ZV40" s="390"/>
      <c r="ZW40" s="390"/>
      <c r="ZX40" s="390"/>
      <c r="ZY40" s="390"/>
      <c r="ZZ40" s="390"/>
      <c r="AAA40" s="390"/>
      <c r="AAB40" s="390"/>
      <c r="AAC40" s="390"/>
      <c r="AAD40" s="390"/>
      <c r="AAE40" s="390"/>
      <c r="AAF40" s="390"/>
      <c r="AAG40" s="390"/>
      <c r="AAH40" s="390"/>
      <c r="AAI40" s="390"/>
      <c r="AAJ40" s="390"/>
      <c r="AAK40" s="390"/>
      <c r="AAL40" s="390"/>
      <c r="AAM40" s="390"/>
      <c r="AAN40" s="390"/>
      <c r="AAO40" s="390"/>
      <c r="AAP40" s="390"/>
      <c r="AAQ40" s="390"/>
      <c r="AAR40" s="390"/>
      <c r="AAS40" s="390"/>
      <c r="AAT40" s="390"/>
      <c r="AAU40" s="390"/>
      <c r="AAV40" s="390"/>
      <c r="AAW40" s="390"/>
      <c r="AAX40" s="390"/>
      <c r="AAY40" s="390"/>
      <c r="AAZ40" s="390"/>
      <c r="ABA40" s="390"/>
      <c r="ABB40" s="390"/>
      <c r="ABC40" s="390"/>
      <c r="ABD40" s="390"/>
      <c r="ABE40" s="390"/>
      <c r="ABF40" s="390"/>
      <c r="ABG40" s="390"/>
      <c r="ABH40" s="390"/>
      <c r="ABI40" s="390"/>
      <c r="ABJ40" s="390"/>
      <c r="ABK40" s="390"/>
      <c r="ABL40" s="390"/>
      <c r="ABM40" s="390"/>
      <c r="ABN40" s="390"/>
      <c r="ABO40" s="390"/>
      <c r="ABP40" s="390"/>
      <c r="ABQ40" s="390"/>
      <c r="ABR40" s="390"/>
      <c r="ABS40" s="390"/>
      <c r="ABT40" s="390"/>
      <c r="ABU40" s="390"/>
      <c r="ABV40" s="390"/>
      <c r="ABW40" s="390"/>
      <c r="ABX40" s="390"/>
      <c r="ABY40" s="390"/>
      <c r="ABZ40" s="390"/>
      <c r="ACA40" s="390"/>
      <c r="ACB40" s="390"/>
      <c r="ACC40" s="390"/>
      <c r="ACD40" s="390"/>
      <c r="ACE40" s="390"/>
      <c r="ACF40" s="390"/>
      <c r="ACG40" s="390"/>
      <c r="ACH40" s="390"/>
      <c r="ACI40" s="390"/>
    </row>
    <row r="41" spans="1:763" ht="13.95" customHeight="1" x14ac:dyDescent="0.3">
      <c r="A41" s="397" t="str">
        <f ca="1">Проект!$A$318</f>
        <v>средний оклад, в месяц</v>
      </c>
      <c r="B41" s="350">
        <f>Проект!$B$318</f>
        <v>35000</v>
      </c>
      <c r="C41" s="402" t="str">
        <f ca="1">Проект!$C$318</f>
        <v>руб.</v>
      </c>
      <c r="D41" s="399">
        <f ca="1">IFERROR(AVERAGE(Проект!$G$318:$R$318),"-")</f>
        <v>35952.374330941748</v>
      </c>
      <c r="E41" s="399">
        <f ca="1">IFERROR(AVERAGE(Проект!$S$318:$AD$318),"-")</f>
        <v>38109.516790798261</v>
      </c>
      <c r="F41" s="399">
        <f ca="1">IFERROR(AVERAGE(Проект!$AE$318:$AP$318),"-")</f>
        <v>40396.087798246175</v>
      </c>
      <c r="G41" s="399">
        <f ca="1">IFERROR(AVERAGE(Проект!$AQ$318:$BB$318),"-")</f>
        <v>42819.853066140939</v>
      </c>
      <c r="H41" s="396"/>
      <c r="I41" s="390"/>
      <c r="J41" s="390"/>
      <c r="K41" s="390"/>
      <c r="L41" s="390"/>
      <c r="M41" s="390"/>
      <c r="N41" s="390"/>
      <c r="O41" s="390"/>
      <c r="P41" s="390"/>
      <c r="Q41" s="390"/>
      <c r="R41" s="390"/>
      <c r="S41" s="390"/>
      <c r="T41" s="390"/>
      <c r="U41" s="390"/>
      <c r="V41" s="390"/>
      <c r="W41" s="390"/>
      <c r="X41" s="390"/>
      <c r="Y41" s="390"/>
      <c r="Z41" s="390"/>
      <c r="AA41" s="390"/>
      <c r="AB41" s="390"/>
      <c r="AC41" s="390"/>
      <c r="AD41" s="390"/>
      <c r="AE41" s="390"/>
      <c r="AF41" s="390"/>
      <c r="AG41" s="390"/>
      <c r="AH41" s="390"/>
      <c r="AI41" s="390"/>
      <c r="AJ41" s="390"/>
      <c r="AK41" s="390"/>
      <c r="AL41" s="390"/>
      <c r="AM41" s="390"/>
      <c r="AN41" s="390"/>
      <c r="AO41" s="390"/>
      <c r="AP41" s="390"/>
      <c r="AQ41" s="390"/>
      <c r="AR41" s="390"/>
      <c r="AS41" s="390"/>
      <c r="AT41" s="390"/>
      <c r="AU41" s="390"/>
      <c r="AV41" s="390"/>
      <c r="AW41" s="390"/>
      <c r="AX41" s="390"/>
      <c r="AY41" s="390"/>
      <c r="AZ41" s="390"/>
      <c r="BA41" s="390"/>
      <c r="BB41" s="390"/>
      <c r="BC41" s="390"/>
      <c r="BD41" s="390"/>
      <c r="BE41" s="390"/>
      <c r="BF41" s="390"/>
      <c r="BG41" s="390"/>
      <c r="BH41" s="390"/>
      <c r="BI41" s="390"/>
      <c r="BJ41" s="390"/>
      <c r="BK41" s="390"/>
      <c r="BL41" s="390"/>
      <c r="BM41" s="390"/>
      <c r="BN41" s="390"/>
      <c r="BO41" s="390"/>
      <c r="BP41" s="390"/>
      <c r="BQ41" s="390"/>
      <c r="BR41" s="390"/>
      <c r="BS41" s="390"/>
      <c r="BT41" s="390"/>
      <c r="BU41" s="390"/>
      <c r="BV41" s="390"/>
      <c r="BW41" s="390"/>
      <c r="BX41" s="390"/>
      <c r="BY41" s="390"/>
      <c r="BZ41" s="390"/>
      <c r="CA41" s="390"/>
      <c r="CB41" s="390"/>
      <c r="CC41" s="390"/>
      <c r="CD41" s="390"/>
      <c r="CE41" s="390"/>
      <c r="CF41" s="390"/>
      <c r="CG41" s="390"/>
      <c r="CH41" s="390"/>
      <c r="CI41" s="390"/>
      <c r="CJ41" s="390"/>
      <c r="CK41" s="390"/>
      <c r="CL41" s="390"/>
      <c r="CM41" s="390"/>
      <c r="CN41" s="390"/>
      <c r="CO41" s="390"/>
      <c r="CP41" s="390"/>
      <c r="CQ41" s="390"/>
      <c r="CR41" s="390"/>
      <c r="CS41" s="390"/>
      <c r="CT41" s="390"/>
      <c r="CU41" s="390"/>
      <c r="CV41" s="390"/>
      <c r="CW41" s="390"/>
      <c r="CX41" s="390"/>
      <c r="CY41" s="390"/>
      <c r="CZ41" s="390"/>
      <c r="DA41" s="390"/>
      <c r="DB41" s="390"/>
      <c r="DC41" s="390"/>
      <c r="DD41" s="390"/>
      <c r="DE41" s="390"/>
      <c r="DF41" s="390"/>
      <c r="DG41" s="390"/>
      <c r="DH41" s="390"/>
      <c r="DI41" s="390"/>
      <c r="DJ41" s="390"/>
      <c r="DK41" s="390"/>
      <c r="DL41" s="390"/>
      <c r="DM41" s="390"/>
      <c r="DN41" s="390"/>
      <c r="DO41" s="390"/>
      <c r="DP41" s="390"/>
      <c r="DQ41" s="390"/>
      <c r="DR41" s="390"/>
      <c r="DS41" s="390"/>
      <c r="DT41" s="390"/>
      <c r="DU41" s="390"/>
      <c r="DV41" s="390"/>
      <c r="DW41" s="390"/>
      <c r="DX41" s="390"/>
      <c r="DY41" s="390"/>
      <c r="DZ41" s="390"/>
      <c r="EA41" s="390"/>
      <c r="EB41" s="390"/>
      <c r="EC41" s="390"/>
      <c r="ED41" s="390"/>
      <c r="EE41" s="390"/>
      <c r="EF41" s="390"/>
      <c r="EG41" s="390"/>
      <c r="EH41" s="390"/>
      <c r="EI41" s="390"/>
      <c r="EJ41" s="390"/>
      <c r="EK41" s="390"/>
      <c r="EL41" s="390"/>
      <c r="EM41" s="390"/>
      <c r="EN41" s="390"/>
      <c r="EO41" s="390"/>
      <c r="EP41" s="390"/>
      <c r="EQ41" s="390"/>
      <c r="ER41" s="390"/>
      <c r="ES41" s="390"/>
      <c r="ET41" s="390"/>
      <c r="EU41" s="390"/>
      <c r="EV41" s="390"/>
      <c r="EW41" s="390"/>
      <c r="EX41" s="390"/>
      <c r="EY41" s="390"/>
      <c r="EZ41" s="390"/>
      <c r="FA41" s="390"/>
      <c r="FB41" s="390"/>
      <c r="FC41" s="390"/>
      <c r="FD41" s="390"/>
      <c r="FE41" s="390"/>
      <c r="FF41" s="390"/>
      <c r="FG41" s="390"/>
      <c r="FH41" s="390"/>
      <c r="FI41" s="390"/>
      <c r="FJ41" s="390"/>
      <c r="FK41" s="390"/>
      <c r="FL41" s="390"/>
      <c r="FM41" s="390"/>
      <c r="FN41" s="390"/>
      <c r="FO41" s="390"/>
      <c r="FP41" s="390"/>
      <c r="FQ41" s="390"/>
      <c r="FR41" s="390"/>
      <c r="FS41" s="390"/>
      <c r="FT41" s="390"/>
      <c r="FU41" s="390"/>
      <c r="FV41" s="390"/>
      <c r="FW41" s="390"/>
      <c r="FX41" s="390"/>
      <c r="FY41" s="390"/>
      <c r="FZ41" s="390"/>
      <c r="GA41" s="390"/>
      <c r="GB41" s="390"/>
      <c r="GC41" s="390"/>
      <c r="GD41" s="390"/>
      <c r="GE41" s="390"/>
      <c r="GF41" s="390"/>
      <c r="GG41" s="390"/>
      <c r="GH41" s="390"/>
      <c r="GI41" s="390"/>
      <c r="GJ41" s="390"/>
      <c r="GK41" s="390"/>
      <c r="GL41" s="390"/>
      <c r="GM41" s="390"/>
      <c r="GN41" s="390"/>
      <c r="GO41" s="390"/>
      <c r="GP41" s="390"/>
      <c r="GQ41" s="390"/>
      <c r="GR41" s="390"/>
      <c r="GS41" s="390"/>
      <c r="GT41" s="390"/>
      <c r="GU41" s="390"/>
      <c r="GV41" s="390"/>
      <c r="GW41" s="390"/>
      <c r="GX41" s="390"/>
      <c r="GY41" s="390"/>
      <c r="GZ41" s="390"/>
      <c r="HA41" s="390"/>
      <c r="HB41" s="390"/>
      <c r="HC41" s="390"/>
      <c r="HD41" s="390"/>
      <c r="HE41" s="390"/>
      <c r="HF41" s="390"/>
      <c r="HG41" s="390"/>
      <c r="HH41" s="390"/>
      <c r="HI41" s="390"/>
      <c r="HJ41" s="390"/>
      <c r="HK41" s="390"/>
      <c r="HL41" s="390"/>
      <c r="HM41" s="390"/>
      <c r="HN41" s="390"/>
      <c r="HO41" s="390"/>
      <c r="HP41" s="390"/>
      <c r="HQ41" s="390"/>
      <c r="HR41" s="390"/>
      <c r="HS41" s="390"/>
      <c r="HT41" s="390"/>
      <c r="HU41" s="390"/>
      <c r="HV41" s="390"/>
      <c r="HW41" s="390"/>
      <c r="HX41" s="390"/>
      <c r="HY41" s="390"/>
      <c r="HZ41" s="390"/>
      <c r="IA41" s="390"/>
      <c r="IB41" s="390"/>
      <c r="IC41" s="390"/>
      <c r="ID41" s="390"/>
      <c r="IE41" s="390"/>
      <c r="IF41" s="390"/>
      <c r="IG41" s="390"/>
      <c r="IH41" s="390"/>
      <c r="II41" s="390"/>
      <c r="IJ41" s="390"/>
      <c r="IK41" s="390"/>
      <c r="IL41" s="390"/>
      <c r="IM41" s="390"/>
      <c r="IN41" s="390"/>
      <c r="IO41" s="390"/>
      <c r="IP41" s="390"/>
      <c r="IQ41" s="390"/>
      <c r="IR41" s="390"/>
      <c r="IS41" s="390"/>
      <c r="IT41" s="390"/>
      <c r="IU41" s="390"/>
      <c r="IV41" s="390"/>
      <c r="IW41" s="390"/>
      <c r="IX41" s="390"/>
      <c r="IY41" s="390"/>
      <c r="IZ41" s="390"/>
      <c r="JA41" s="390"/>
      <c r="JB41" s="390"/>
      <c r="JC41" s="390"/>
      <c r="JD41" s="390"/>
      <c r="JE41" s="390"/>
      <c r="JF41" s="390"/>
      <c r="JG41" s="390"/>
      <c r="JH41" s="390"/>
      <c r="JI41" s="390"/>
      <c r="JJ41" s="390"/>
      <c r="JK41" s="390"/>
      <c r="JL41" s="390"/>
      <c r="JM41" s="390"/>
      <c r="JN41" s="390"/>
      <c r="JO41" s="390"/>
      <c r="JP41" s="390"/>
      <c r="JQ41" s="390"/>
      <c r="JR41" s="390"/>
      <c r="JS41" s="390"/>
      <c r="JT41" s="390"/>
      <c r="JU41" s="390"/>
      <c r="JV41" s="390"/>
      <c r="JW41" s="390"/>
      <c r="JX41" s="390"/>
      <c r="JY41" s="390"/>
      <c r="JZ41" s="390"/>
      <c r="KA41" s="390"/>
      <c r="KB41" s="390"/>
      <c r="KC41" s="390"/>
      <c r="KD41" s="390"/>
      <c r="KE41" s="390"/>
      <c r="KF41" s="390"/>
      <c r="KG41" s="390"/>
      <c r="KH41" s="390"/>
      <c r="KI41" s="390"/>
      <c r="KJ41" s="390"/>
      <c r="KK41" s="390"/>
      <c r="KL41" s="390"/>
      <c r="KM41" s="390"/>
      <c r="KN41" s="390"/>
      <c r="KO41" s="390"/>
      <c r="KP41" s="390"/>
      <c r="KQ41" s="390"/>
      <c r="KR41" s="390"/>
      <c r="KS41" s="390"/>
      <c r="KT41" s="390"/>
      <c r="KU41" s="390"/>
      <c r="KV41" s="390"/>
      <c r="KW41" s="390"/>
      <c r="KX41" s="390"/>
      <c r="KY41" s="390"/>
      <c r="KZ41" s="390"/>
      <c r="LA41" s="390"/>
      <c r="LB41" s="390"/>
      <c r="LC41" s="390"/>
      <c r="LD41" s="390"/>
      <c r="LE41" s="390"/>
      <c r="LF41" s="390"/>
      <c r="LG41" s="390"/>
      <c r="LH41" s="390"/>
      <c r="LI41" s="390"/>
      <c r="LJ41" s="390"/>
      <c r="LK41" s="390"/>
      <c r="LL41" s="390"/>
      <c r="LM41" s="390"/>
      <c r="LN41" s="390"/>
      <c r="LO41" s="390"/>
      <c r="LP41" s="390"/>
      <c r="LQ41" s="390"/>
      <c r="LR41" s="390"/>
      <c r="LS41" s="390"/>
      <c r="LT41" s="390"/>
      <c r="LU41" s="390"/>
      <c r="LV41" s="390"/>
      <c r="LW41" s="390"/>
      <c r="LX41" s="390"/>
      <c r="LY41" s="390"/>
      <c r="LZ41" s="390"/>
      <c r="MA41" s="390"/>
      <c r="MB41" s="390"/>
      <c r="MC41" s="390"/>
      <c r="MD41" s="390"/>
      <c r="ME41" s="390"/>
      <c r="MF41" s="390"/>
      <c r="MG41" s="390"/>
      <c r="MH41" s="390"/>
      <c r="MI41" s="390"/>
      <c r="MJ41" s="390"/>
      <c r="MK41" s="390"/>
      <c r="ML41" s="390"/>
      <c r="MM41" s="390"/>
      <c r="MN41" s="390"/>
      <c r="MO41" s="390"/>
      <c r="MP41" s="390"/>
      <c r="MQ41" s="390"/>
      <c r="MR41" s="390"/>
      <c r="MS41" s="390"/>
      <c r="MT41" s="390"/>
      <c r="MU41" s="390"/>
      <c r="MV41" s="390"/>
      <c r="MW41" s="390"/>
      <c r="MX41" s="390"/>
      <c r="MY41" s="390"/>
      <c r="MZ41" s="390"/>
      <c r="NA41" s="390"/>
      <c r="NB41" s="390"/>
      <c r="NC41" s="390"/>
      <c r="ND41" s="390"/>
      <c r="NE41" s="390"/>
      <c r="NF41" s="390"/>
      <c r="NG41" s="390"/>
      <c r="NH41" s="390"/>
      <c r="NI41" s="390"/>
      <c r="NJ41" s="390"/>
      <c r="NK41" s="390"/>
      <c r="NL41" s="390"/>
      <c r="NM41" s="390"/>
      <c r="NN41" s="390"/>
      <c r="NO41" s="390"/>
      <c r="NP41" s="390"/>
      <c r="NQ41" s="390"/>
      <c r="NR41" s="390"/>
      <c r="NS41" s="390"/>
      <c r="NT41" s="390"/>
      <c r="NU41" s="390"/>
      <c r="NV41" s="390"/>
      <c r="NW41" s="390"/>
      <c r="NX41" s="390"/>
      <c r="NY41" s="390"/>
      <c r="NZ41" s="390"/>
      <c r="OA41" s="390"/>
      <c r="OB41" s="390"/>
      <c r="OC41" s="390"/>
      <c r="OD41" s="390"/>
      <c r="OE41" s="390"/>
      <c r="OF41" s="390"/>
      <c r="OG41" s="390"/>
      <c r="OH41" s="390"/>
      <c r="OI41" s="390"/>
      <c r="OJ41" s="390"/>
      <c r="OK41" s="390"/>
      <c r="OL41" s="390"/>
      <c r="OM41" s="390"/>
      <c r="ON41" s="390"/>
      <c r="OO41" s="390"/>
      <c r="OP41" s="390"/>
      <c r="OQ41" s="390"/>
      <c r="OR41" s="390"/>
      <c r="OS41" s="390"/>
      <c r="OT41" s="390"/>
      <c r="OU41" s="390"/>
      <c r="OV41" s="390"/>
      <c r="OW41" s="390"/>
      <c r="OX41" s="390"/>
      <c r="OY41" s="390"/>
      <c r="OZ41" s="390"/>
      <c r="PA41" s="390"/>
      <c r="PB41" s="390"/>
      <c r="PC41" s="390"/>
      <c r="PD41" s="390"/>
      <c r="PE41" s="390"/>
      <c r="PF41" s="390"/>
      <c r="PG41" s="390"/>
      <c r="PH41" s="390"/>
      <c r="PI41" s="390"/>
      <c r="PJ41" s="390"/>
      <c r="PK41" s="390"/>
      <c r="PL41" s="390"/>
      <c r="PM41" s="390"/>
      <c r="PN41" s="390"/>
      <c r="PO41" s="390"/>
      <c r="PP41" s="390"/>
      <c r="PQ41" s="390"/>
      <c r="PR41" s="390"/>
      <c r="PS41" s="390"/>
      <c r="PT41" s="390"/>
      <c r="PU41" s="390"/>
      <c r="PV41" s="390"/>
      <c r="PW41" s="390"/>
      <c r="PX41" s="390"/>
      <c r="PY41" s="390"/>
      <c r="PZ41" s="390"/>
      <c r="QA41" s="390"/>
      <c r="QB41" s="390"/>
      <c r="QC41" s="390"/>
      <c r="QD41" s="390"/>
      <c r="QE41" s="390"/>
      <c r="QF41" s="390"/>
      <c r="QG41" s="390"/>
      <c r="QH41" s="390"/>
      <c r="QI41" s="390"/>
      <c r="QJ41" s="390"/>
      <c r="QK41" s="390"/>
      <c r="QL41" s="390"/>
      <c r="QM41" s="390"/>
      <c r="QN41" s="390"/>
      <c r="QO41" s="390"/>
      <c r="QP41" s="390"/>
      <c r="QQ41" s="390"/>
      <c r="QR41" s="390"/>
      <c r="QS41" s="390"/>
      <c r="QT41" s="390"/>
      <c r="QU41" s="390"/>
      <c r="QV41" s="390"/>
      <c r="QW41" s="390"/>
      <c r="QX41" s="390"/>
      <c r="QY41" s="390"/>
      <c r="QZ41" s="390"/>
      <c r="RA41" s="390"/>
      <c r="RB41" s="390"/>
      <c r="RC41" s="390"/>
      <c r="RD41" s="390"/>
      <c r="RE41" s="390"/>
      <c r="RF41" s="390"/>
      <c r="RG41" s="390"/>
      <c r="RH41" s="390"/>
      <c r="RI41" s="390"/>
      <c r="RJ41" s="390"/>
      <c r="RK41" s="390"/>
      <c r="RL41" s="390"/>
      <c r="RM41" s="390"/>
      <c r="RN41" s="390"/>
      <c r="RO41" s="390"/>
      <c r="RP41" s="390"/>
      <c r="RQ41" s="390"/>
      <c r="RR41" s="390"/>
      <c r="RS41" s="390"/>
      <c r="RT41" s="390"/>
      <c r="RU41" s="390"/>
      <c r="RV41" s="390"/>
      <c r="RW41" s="390"/>
      <c r="RX41" s="390"/>
      <c r="RY41" s="390"/>
      <c r="RZ41" s="390"/>
      <c r="SA41" s="390"/>
      <c r="SB41" s="390"/>
      <c r="SC41" s="390"/>
      <c r="SD41" s="390"/>
      <c r="SE41" s="390"/>
      <c r="SF41" s="390"/>
      <c r="SG41" s="390"/>
      <c r="SH41" s="390"/>
      <c r="SI41" s="390"/>
      <c r="SJ41" s="390"/>
      <c r="SK41" s="390"/>
      <c r="SL41" s="390"/>
      <c r="SM41" s="390"/>
      <c r="SN41" s="390"/>
      <c r="SO41" s="390"/>
      <c r="SP41" s="390"/>
      <c r="SQ41" s="390"/>
      <c r="SR41" s="390"/>
      <c r="SS41" s="390"/>
      <c r="ST41" s="390"/>
      <c r="SU41" s="390"/>
      <c r="SV41" s="390"/>
      <c r="SW41" s="390"/>
      <c r="SX41" s="390"/>
      <c r="SY41" s="390"/>
      <c r="SZ41" s="390"/>
      <c r="TA41" s="390"/>
      <c r="TB41" s="390"/>
      <c r="TC41" s="390"/>
      <c r="TD41" s="390"/>
      <c r="TE41" s="390"/>
      <c r="TF41" s="390"/>
      <c r="TG41" s="390"/>
      <c r="TH41" s="390"/>
      <c r="TI41" s="390"/>
      <c r="TJ41" s="390"/>
      <c r="TK41" s="390"/>
      <c r="TL41" s="390"/>
      <c r="TM41" s="390"/>
      <c r="TN41" s="390"/>
      <c r="TO41" s="390"/>
      <c r="TP41" s="390"/>
      <c r="TQ41" s="390"/>
      <c r="TR41" s="390"/>
      <c r="TS41" s="390"/>
      <c r="TT41" s="390"/>
      <c r="TU41" s="390"/>
      <c r="TV41" s="390"/>
      <c r="TW41" s="390"/>
      <c r="TX41" s="390"/>
      <c r="TY41" s="390"/>
      <c r="TZ41" s="390"/>
      <c r="UA41" s="390"/>
      <c r="UB41" s="390"/>
      <c r="UC41" s="390"/>
      <c r="UD41" s="390"/>
      <c r="UE41" s="390"/>
      <c r="UF41" s="390"/>
      <c r="UG41" s="390"/>
      <c r="UH41" s="390"/>
      <c r="UI41" s="390"/>
      <c r="UJ41" s="390"/>
      <c r="UK41" s="390"/>
      <c r="UL41" s="390"/>
      <c r="UM41" s="390"/>
      <c r="UN41" s="390"/>
      <c r="UO41" s="390"/>
      <c r="UP41" s="390"/>
      <c r="UQ41" s="390"/>
      <c r="UR41" s="390"/>
      <c r="US41" s="390"/>
      <c r="UT41" s="390"/>
      <c r="UU41" s="390"/>
      <c r="UV41" s="390"/>
      <c r="UW41" s="390"/>
      <c r="UX41" s="390"/>
      <c r="UY41" s="390"/>
      <c r="UZ41" s="390"/>
      <c r="VA41" s="390"/>
      <c r="VB41" s="390"/>
      <c r="VC41" s="390"/>
      <c r="VD41" s="390"/>
      <c r="VE41" s="390"/>
      <c r="VF41" s="390"/>
      <c r="VG41" s="390"/>
      <c r="VH41" s="390"/>
      <c r="VI41" s="390"/>
      <c r="VJ41" s="390"/>
      <c r="VK41" s="390"/>
      <c r="VL41" s="390"/>
      <c r="VM41" s="390"/>
      <c r="VN41" s="390"/>
      <c r="VO41" s="390"/>
      <c r="VP41" s="390"/>
      <c r="VQ41" s="390"/>
      <c r="VR41" s="390"/>
      <c r="VS41" s="390"/>
      <c r="VT41" s="390"/>
      <c r="VU41" s="390"/>
      <c r="VV41" s="390"/>
      <c r="VW41" s="390"/>
      <c r="VX41" s="390"/>
      <c r="VY41" s="390"/>
      <c r="VZ41" s="390"/>
      <c r="WA41" s="390"/>
      <c r="WB41" s="390"/>
      <c r="WC41" s="390"/>
      <c r="WD41" s="390"/>
      <c r="WE41" s="390"/>
      <c r="WF41" s="390"/>
      <c r="WG41" s="390"/>
      <c r="WH41" s="390"/>
      <c r="WI41" s="390"/>
      <c r="WJ41" s="390"/>
      <c r="WK41" s="390"/>
      <c r="WL41" s="390"/>
      <c r="WM41" s="390"/>
      <c r="WN41" s="390"/>
      <c r="WO41" s="390"/>
      <c r="WP41" s="390"/>
      <c r="WQ41" s="390"/>
      <c r="WR41" s="390"/>
      <c r="WS41" s="390"/>
      <c r="WT41" s="390"/>
      <c r="WU41" s="390"/>
      <c r="WV41" s="390"/>
      <c r="WW41" s="390"/>
      <c r="WX41" s="390"/>
      <c r="WY41" s="390"/>
      <c r="WZ41" s="390"/>
      <c r="XA41" s="390"/>
      <c r="XB41" s="390"/>
      <c r="XC41" s="390"/>
      <c r="XD41" s="390"/>
      <c r="XE41" s="390"/>
      <c r="XF41" s="390"/>
      <c r="XG41" s="390"/>
      <c r="XH41" s="390"/>
      <c r="XI41" s="390"/>
      <c r="XJ41" s="390"/>
      <c r="XK41" s="390"/>
      <c r="XL41" s="390"/>
      <c r="XM41" s="390"/>
      <c r="XN41" s="390"/>
      <c r="XO41" s="390"/>
      <c r="XP41" s="390"/>
      <c r="XQ41" s="390"/>
      <c r="XR41" s="390"/>
      <c r="XS41" s="390"/>
      <c r="XT41" s="390"/>
      <c r="XU41" s="390"/>
      <c r="XV41" s="390"/>
      <c r="XW41" s="390"/>
      <c r="XX41" s="390"/>
      <c r="XY41" s="390"/>
      <c r="XZ41" s="390"/>
      <c r="YA41" s="390"/>
      <c r="YB41" s="390"/>
      <c r="YC41" s="390"/>
      <c r="YD41" s="390"/>
      <c r="YE41" s="390"/>
      <c r="YF41" s="390"/>
      <c r="YG41" s="390"/>
      <c r="YH41" s="390"/>
      <c r="YI41" s="390"/>
      <c r="YJ41" s="390"/>
      <c r="YK41" s="390"/>
      <c r="YL41" s="390"/>
      <c r="YM41" s="390"/>
      <c r="YN41" s="390"/>
      <c r="YO41" s="390"/>
      <c r="YP41" s="390"/>
      <c r="YQ41" s="390"/>
      <c r="YR41" s="390"/>
      <c r="YS41" s="390"/>
      <c r="YT41" s="390"/>
      <c r="YU41" s="390"/>
      <c r="YV41" s="390"/>
      <c r="YW41" s="390"/>
      <c r="YX41" s="390"/>
      <c r="YY41" s="390"/>
      <c r="YZ41" s="390"/>
      <c r="ZA41" s="390"/>
      <c r="ZB41" s="390"/>
      <c r="ZC41" s="390"/>
      <c r="ZD41" s="390"/>
      <c r="ZE41" s="390"/>
      <c r="ZF41" s="390"/>
      <c r="ZG41" s="390"/>
      <c r="ZH41" s="390"/>
      <c r="ZI41" s="390"/>
      <c r="ZJ41" s="390"/>
      <c r="ZK41" s="390"/>
      <c r="ZL41" s="390"/>
      <c r="ZM41" s="390"/>
      <c r="ZN41" s="390"/>
      <c r="ZO41" s="390"/>
      <c r="ZP41" s="390"/>
      <c r="ZQ41" s="390"/>
      <c r="ZR41" s="390"/>
      <c r="ZS41" s="390"/>
      <c r="ZT41" s="390"/>
      <c r="ZU41" s="390"/>
      <c r="ZV41" s="390"/>
      <c r="ZW41" s="390"/>
      <c r="ZX41" s="390"/>
      <c r="ZY41" s="390"/>
      <c r="ZZ41" s="390"/>
      <c r="AAA41" s="390"/>
      <c r="AAB41" s="390"/>
      <c r="AAC41" s="390"/>
      <c r="AAD41" s="390"/>
      <c r="AAE41" s="390"/>
      <c r="AAF41" s="390"/>
      <c r="AAG41" s="390"/>
      <c r="AAH41" s="390"/>
      <c r="AAI41" s="390"/>
      <c r="AAJ41" s="390"/>
      <c r="AAK41" s="390"/>
      <c r="AAL41" s="390"/>
      <c r="AAM41" s="390"/>
      <c r="AAN41" s="390"/>
      <c r="AAO41" s="390"/>
      <c r="AAP41" s="390"/>
      <c r="AAQ41" s="390"/>
      <c r="AAR41" s="390"/>
      <c r="AAS41" s="390"/>
      <c r="AAT41" s="390"/>
      <c r="AAU41" s="390"/>
      <c r="AAV41" s="390"/>
      <c r="AAW41" s="390"/>
      <c r="AAX41" s="390"/>
      <c r="AAY41" s="390"/>
      <c r="AAZ41" s="390"/>
      <c r="ABA41" s="390"/>
      <c r="ABB41" s="390"/>
      <c r="ABC41" s="390"/>
      <c r="ABD41" s="390"/>
      <c r="ABE41" s="390"/>
      <c r="ABF41" s="390"/>
      <c r="ABG41" s="390"/>
      <c r="ABH41" s="390"/>
      <c r="ABI41" s="390"/>
      <c r="ABJ41" s="390"/>
      <c r="ABK41" s="390"/>
      <c r="ABL41" s="390"/>
      <c r="ABM41" s="390"/>
      <c r="ABN41" s="390"/>
      <c r="ABO41" s="390"/>
      <c r="ABP41" s="390"/>
      <c r="ABQ41" s="390"/>
      <c r="ABR41" s="390"/>
      <c r="ABS41" s="390"/>
      <c r="ABT41" s="390"/>
      <c r="ABU41" s="390"/>
      <c r="ABV41" s="390"/>
      <c r="ABW41" s="390"/>
      <c r="ABX41" s="390"/>
      <c r="ABY41" s="390"/>
      <c r="ABZ41" s="390"/>
      <c r="ACA41" s="390"/>
      <c r="ACB41" s="390"/>
      <c r="ACC41" s="390"/>
      <c r="ACD41" s="390"/>
      <c r="ACE41" s="390"/>
      <c r="ACF41" s="390"/>
      <c r="ACG41" s="390"/>
      <c r="ACH41" s="390"/>
      <c r="ACI41" s="390"/>
    </row>
    <row r="42" spans="1:763" ht="13.95" customHeight="1" x14ac:dyDescent="0.3">
      <c r="A42" s="397" t="str">
        <f ca="1">Проект!$A$319</f>
        <v>заработная плата</v>
      </c>
      <c r="B42" s="352" t="str">
        <f ca="1">Проект!$B$319</f>
        <v>за период</v>
      </c>
      <c r="C42" s="402" t="str">
        <f ca="1">Проект!$C$319</f>
        <v>руб.</v>
      </c>
      <c r="D42" s="399">
        <f ca="1">SUM(Проект!$G$319:$R$319)</f>
        <v>875425.52850330621</v>
      </c>
      <c r="E42" s="399">
        <f ca="1">SUM(Проект!$S$319:$AD$319)</f>
        <v>1829256.8059583167</v>
      </c>
      <c r="F42" s="399">
        <f ca="1">SUM(Проект!$AE$319:$AP$319)</f>
        <v>1939012.2143158163</v>
      </c>
      <c r="G42" s="399">
        <f ca="1">SUM(Проект!$AQ$319:$BB$319)</f>
        <v>2055352.9471747649</v>
      </c>
      <c r="H42" s="392">
        <f ca="1">Проект!$BD$319</f>
        <v>6699047.4959522039</v>
      </c>
      <c r="I42" s="390"/>
      <c r="J42" s="390"/>
      <c r="K42" s="390"/>
      <c r="L42" s="390"/>
      <c r="M42" s="390"/>
      <c r="N42" s="390"/>
      <c r="O42" s="390"/>
      <c r="P42" s="390"/>
      <c r="Q42" s="390"/>
      <c r="R42" s="390"/>
      <c r="S42" s="390"/>
      <c r="T42" s="390"/>
      <c r="U42" s="390"/>
      <c r="V42" s="390"/>
      <c r="W42" s="390"/>
      <c r="X42" s="390"/>
      <c r="Y42" s="390"/>
      <c r="Z42" s="390"/>
      <c r="AA42" s="390"/>
      <c r="AB42" s="390"/>
      <c r="AC42" s="390"/>
      <c r="AD42" s="390"/>
      <c r="AE42" s="390"/>
      <c r="AF42" s="390"/>
      <c r="AG42" s="390"/>
      <c r="AH42" s="390"/>
      <c r="AI42" s="390"/>
      <c r="AJ42" s="390"/>
      <c r="AK42" s="390"/>
      <c r="AL42" s="390"/>
      <c r="AM42" s="390"/>
      <c r="AN42" s="390"/>
      <c r="AO42" s="390"/>
      <c r="AP42" s="390"/>
      <c r="AQ42" s="390"/>
      <c r="AR42" s="390"/>
      <c r="AS42" s="390"/>
      <c r="AT42" s="390"/>
      <c r="AU42" s="390"/>
      <c r="AV42" s="390"/>
      <c r="AW42" s="390"/>
      <c r="AX42" s="390"/>
      <c r="AY42" s="390"/>
      <c r="AZ42" s="390"/>
      <c r="BA42" s="390"/>
      <c r="BB42" s="390"/>
      <c r="BC42" s="390"/>
      <c r="BD42" s="390"/>
      <c r="BE42" s="390"/>
      <c r="BF42" s="390"/>
      <c r="BG42" s="390"/>
      <c r="BH42" s="390"/>
      <c r="BI42" s="390"/>
      <c r="BJ42" s="390"/>
      <c r="BK42" s="390"/>
      <c r="BL42" s="390"/>
      <c r="BM42" s="390"/>
      <c r="BN42" s="390"/>
      <c r="BO42" s="390"/>
      <c r="BP42" s="390"/>
      <c r="BQ42" s="390"/>
      <c r="BR42" s="390"/>
      <c r="BS42" s="390"/>
      <c r="BT42" s="390"/>
      <c r="BU42" s="390"/>
      <c r="BV42" s="390"/>
      <c r="BW42" s="390"/>
      <c r="BX42" s="390"/>
      <c r="BY42" s="390"/>
      <c r="BZ42" s="390"/>
      <c r="CA42" s="390"/>
      <c r="CB42" s="390"/>
      <c r="CC42" s="390"/>
      <c r="CD42" s="390"/>
      <c r="CE42" s="390"/>
      <c r="CF42" s="390"/>
      <c r="CG42" s="390"/>
      <c r="CH42" s="390"/>
      <c r="CI42" s="390"/>
      <c r="CJ42" s="390"/>
      <c r="CK42" s="390"/>
      <c r="CL42" s="390"/>
      <c r="CM42" s="390"/>
      <c r="CN42" s="390"/>
      <c r="CO42" s="390"/>
      <c r="CP42" s="390"/>
      <c r="CQ42" s="390"/>
      <c r="CR42" s="390"/>
      <c r="CS42" s="390"/>
      <c r="CT42" s="390"/>
      <c r="CU42" s="390"/>
      <c r="CV42" s="390"/>
      <c r="CW42" s="390"/>
      <c r="CX42" s="390"/>
      <c r="CY42" s="390"/>
      <c r="CZ42" s="390"/>
      <c r="DA42" s="390"/>
      <c r="DB42" s="390"/>
      <c r="DC42" s="390"/>
      <c r="DD42" s="390"/>
      <c r="DE42" s="390"/>
      <c r="DF42" s="390"/>
      <c r="DG42" s="390"/>
      <c r="DH42" s="390"/>
      <c r="DI42" s="390"/>
      <c r="DJ42" s="390"/>
      <c r="DK42" s="390"/>
      <c r="DL42" s="390"/>
      <c r="DM42" s="390"/>
      <c r="DN42" s="390"/>
      <c r="DO42" s="390"/>
      <c r="DP42" s="390"/>
      <c r="DQ42" s="390"/>
      <c r="DR42" s="390"/>
      <c r="DS42" s="390"/>
      <c r="DT42" s="390"/>
      <c r="DU42" s="390"/>
      <c r="DV42" s="390"/>
      <c r="DW42" s="390"/>
      <c r="DX42" s="390"/>
      <c r="DY42" s="390"/>
      <c r="DZ42" s="390"/>
      <c r="EA42" s="390"/>
      <c r="EB42" s="390"/>
      <c r="EC42" s="390"/>
      <c r="ED42" s="390"/>
      <c r="EE42" s="390"/>
      <c r="EF42" s="390"/>
      <c r="EG42" s="390"/>
      <c r="EH42" s="390"/>
      <c r="EI42" s="390"/>
      <c r="EJ42" s="390"/>
      <c r="EK42" s="390"/>
      <c r="EL42" s="390"/>
      <c r="EM42" s="390"/>
      <c r="EN42" s="390"/>
      <c r="EO42" s="390"/>
      <c r="EP42" s="390"/>
      <c r="EQ42" s="390"/>
      <c r="ER42" s="390"/>
      <c r="ES42" s="390"/>
      <c r="ET42" s="390"/>
      <c r="EU42" s="390"/>
      <c r="EV42" s="390"/>
      <c r="EW42" s="390"/>
      <c r="EX42" s="390"/>
      <c r="EY42" s="390"/>
      <c r="EZ42" s="390"/>
      <c r="FA42" s="390"/>
      <c r="FB42" s="390"/>
      <c r="FC42" s="390"/>
      <c r="FD42" s="390"/>
      <c r="FE42" s="390"/>
      <c r="FF42" s="390"/>
      <c r="FG42" s="390"/>
      <c r="FH42" s="390"/>
      <c r="FI42" s="390"/>
      <c r="FJ42" s="390"/>
      <c r="FK42" s="390"/>
      <c r="FL42" s="390"/>
      <c r="FM42" s="390"/>
      <c r="FN42" s="390"/>
      <c r="FO42" s="390"/>
      <c r="FP42" s="390"/>
      <c r="FQ42" s="390"/>
      <c r="FR42" s="390"/>
      <c r="FS42" s="390"/>
      <c r="FT42" s="390"/>
      <c r="FU42" s="390"/>
      <c r="FV42" s="390"/>
      <c r="FW42" s="390"/>
      <c r="FX42" s="390"/>
      <c r="FY42" s="390"/>
      <c r="FZ42" s="390"/>
      <c r="GA42" s="390"/>
      <c r="GB42" s="390"/>
      <c r="GC42" s="390"/>
      <c r="GD42" s="390"/>
      <c r="GE42" s="390"/>
      <c r="GF42" s="390"/>
      <c r="GG42" s="390"/>
      <c r="GH42" s="390"/>
      <c r="GI42" s="390"/>
      <c r="GJ42" s="390"/>
      <c r="GK42" s="390"/>
      <c r="GL42" s="390"/>
      <c r="GM42" s="390"/>
      <c r="GN42" s="390"/>
      <c r="GO42" s="390"/>
      <c r="GP42" s="390"/>
      <c r="GQ42" s="390"/>
      <c r="GR42" s="390"/>
      <c r="GS42" s="390"/>
      <c r="GT42" s="390"/>
      <c r="GU42" s="390"/>
      <c r="GV42" s="390"/>
      <c r="GW42" s="390"/>
      <c r="GX42" s="390"/>
      <c r="GY42" s="390"/>
      <c r="GZ42" s="390"/>
      <c r="HA42" s="390"/>
      <c r="HB42" s="390"/>
      <c r="HC42" s="390"/>
      <c r="HD42" s="390"/>
      <c r="HE42" s="390"/>
      <c r="HF42" s="390"/>
      <c r="HG42" s="390"/>
      <c r="HH42" s="390"/>
      <c r="HI42" s="390"/>
      <c r="HJ42" s="390"/>
      <c r="HK42" s="390"/>
      <c r="HL42" s="390"/>
      <c r="HM42" s="390"/>
      <c r="HN42" s="390"/>
      <c r="HO42" s="390"/>
      <c r="HP42" s="390"/>
      <c r="HQ42" s="390"/>
      <c r="HR42" s="390"/>
      <c r="HS42" s="390"/>
      <c r="HT42" s="390"/>
      <c r="HU42" s="390"/>
      <c r="HV42" s="390"/>
      <c r="HW42" s="390"/>
      <c r="HX42" s="390"/>
      <c r="HY42" s="390"/>
      <c r="HZ42" s="390"/>
      <c r="IA42" s="390"/>
      <c r="IB42" s="390"/>
      <c r="IC42" s="390"/>
      <c r="ID42" s="390"/>
      <c r="IE42" s="390"/>
      <c r="IF42" s="390"/>
      <c r="IG42" s="390"/>
      <c r="IH42" s="390"/>
      <c r="II42" s="390"/>
      <c r="IJ42" s="390"/>
      <c r="IK42" s="390"/>
      <c r="IL42" s="390"/>
      <c r="IM42" s="390"/>
      <c r="IN42" s="390"/>
      <c r="IO42" s="390"/>
      <c r="IP42" s="390"/>
      <c r="IQ42" s="390"/>
      <c r="IR42" s="390"/>
      <c r="IS42" s="390"/>
      <c r="IT42" s="390"/>
      <c r="IU42" s="390"/>
      <c r="IV42" s="390"/>
      <c r="IW42" s="390"/>
      <c r="IX42" s="390"/>
      <c r="IY42" s="390"/>
      <c r="IZ42" s="390"/>
      <c r="JA42" s="390"/>
      <c r="JB42" s="390"/>
      <c r="JC42" s="390"/>
      <c r="JD42" s="390"/>
      <c r="JE42" s="390"/>
      <c r="JF42" s="390"/>
      <c r="JG42" s="390"/>
      <c r="JH42" s="390"/>
      <c r="JI42" s="390"/>
      <c r="JJ42" s="390"/>
      <c r="JK42" s="390"/>
      <c r="JL42" s="390"/>
      <c r="JM42" s="390"/>
      <c r="JN42" s="390"/>
      <c r="JO42" s="390"/>
      <c r="JP42" s="390"/>
      <c r="JQ42" s="390"/>
      <c r="JR42" s="390"/>
      <c r="JS42" s="390"/>
      <c r="JT42" s="390"/>
      <c r="JU42" s="390"/>
      <c r="JV42" s="390"/>
      <c r="JW42" s="390"/>
      <c r="JX42" s="390"/>
      <c r="JY42" s="390"/>
      <c r="JZ42" s="390"/>
      <c r="KA42" s="390"/>
      <c r="KB42" s="390"/>
      <c r="KC42" s="390"/>
      <c r="KD42" s="390"/>
      <c r="KE42" s="390"/>
      <c r="KF42" s="390"/>
      <c r="KG42" s="390"/>
      <c r="KH42" s="390"/>
      <c r="KI42" s="390"/>
      <c r="KJ42" s="390"/>
      <c r="KK42" s="390"/>
      <c r="KL42" s="390"/>
      <c r="KM42" s="390"/>
      <c r="KN42" s="390"/>
      <c r="KO42" s="390"/>
      <c r="KP42" s="390"/>
      <c r="KQ42" s="390"/>
      <c r="KR42" s="390"/>
      <c r="KS42" s="390"/>
      <c r="KT42" s="390"/>
      <c r="KU42" s="390"/>
      <c r="KV42" s="390"/>
      <c r="KW42" s="390"/>
      <c r="KX42" s="390"/>
      <c r="KY42" s="390"/>
      <c r="KZ42" s="390"/>
      <c r="LA42" s="390"/>
      <c r="LB42" s="390"/>
      <c r="LC42" s="390"/>
      <c r="LD42" s="390"/>
      <c r="LE42" s="390"/>
      <c r="LF42" s="390"/>
      <c r="LG42" s="390"/>
      <c r="LH42" s="390"/>
      <c r="LI42" s="390"/>
      <c r="LJ42" s="390"/>
      <c r="LK42" s="390"/>
      <c r="LL42" s="390"/>
      <c r="LM42" s="390"/>
      <c r="LN42" s="390"/>
      <c r="LO42" s="390"/>
      <c r="LP42" s="390"/>
      <c r="LQ42" s="390"/>
      <c r="LR42" s="390"/>
      <c r="LS42" s="390"/>
      <c r="LT42" s="390"/>
      <c r="LU42" s="390"/>
      <c r="LV42" s="390"/>
      <c r="LW42" s="390"/>
      <c r="LX42" s="390"/>
      <c r="LY42" s="390"/>
      <c r="LZ42" s="390"/>
      <c r="MA42" s="390"/>
      <c r="MB42" s="390"/>
      <c r="MC42" s="390"/>
      <c r="MD42" s="390"/>
      <c r="ME42" s="390"/>
      <c r="MF42" s="390"/>
      <c r="MG42" s="390"/>
      <c r="MH42" s="390"/>
      <c r="MI42" s="390"/>
      <c r="MJ42" s="390"/>
      <c r="MK42" s="390"/>
      <c r="ML42" s="390"/>
      <c r="MM42" s="390"/>
      <c r="MN42" s="390"/>
      <c r="MO42" s="390"/>
      <c r="MP42" s="390"/>
      <c r="MQ42" s="390"/>
      <c r="MR42" s="390"/>
      <c r="MS42" s="390"/>
      <c r="MT42" s="390"/>
      <c r="MU42" s="390"/>
      <c r="MV42" s="390"/>
      <c r="MW42" s="390"/>
      <c r="MX42" s="390"/>
      <c r="MY42" s="390"/>
      <c r="MZ42" s="390"/>
      <c r="NA42" s="390"/>
      <c r="NB42" s="390"/>
      <c r="NC42" s="390"/>
      <c r="ND42" s="390"/>
      <c r="NE42" s="390"/>
      <c r="NF42" s="390"/>
      <c r="NG42" s="390"/>
      <c r="NH42" s="390"/>
      <c r="NI42" s="390"/>
      <c r="NJ42" s="390"/>
      <c r="NK42" s="390"/>
      <c r="NL42" s="390"/>
      <c r="NM42" s="390"/>
      <c r="NN42" s="390"/>
      <c r="NO42" s="390"/>
      <c r="NP42" s="390"/>
      <c r="NQ42" s="390"/>
      <c r="NR42" s="390"/>
      <c r="NS42" s="390"/>
      <c r="NT42" s="390"/>
      <c r="NU42" s="390"/>
      <c r="NV42" s="390"/>
      <c r="NW42" s="390"/>
      <c r="NX42" s="390"/>
      <c r="NY42" s="390"/>
      <c r="NZ42" s="390"/>
      <c r="OA42" s="390"/>
      <c r="OB42" s="390"/>
      <c r="OC42" s="390"/>
      <c r="OD42" s="390"/>
      <c r="OE42" s="390"/>
      <c r="OF42" s="390"/>
      <c r="OG42" s="390"/>
      <c r="OH42" s="390"/>
      <c r="OI42" s="390"/>
      <c r="OJ42" s="390"/>
      <c r="OK42" s="390"/>
      <c r="OL42" s="390"/>
      <c r="OM42" s="390"/>
      <c r="ON42" s="390"/>
      <c r="OO42" s="390"/>
      <c r="OP42" s="390"/>
      <c r="OQ42" s="390"/>
      <c r="OR42" s="390"/>
      <c r="OS42" s="390"/>
      <c r="OT42" s="390"/>
      <c r="OU42" s="390"/>
      <c r="OV42" s="390"/>
      <c r="OW42" s="390"/>
      <c r="OX42" s="390"/>
      <c r="OY42" s="390"/>
      <c r="OZ42" s="390"/>
      <c r="PA42" s="390"/>
      <c r="PB42" s="390"/>
      <c r="PC42" s="390"/>
      <c r="PD42" s="390"/>
      <c r="PE42" s="390"/>
      <c r="PF42" s="390"/>
      <c r="PG42" s="390"/>
      <c r="PH42" s="390"/>
      <c r="PI42" s="390"/>
      <c r="PJ42" s="390"/>
      <c r="PK42" s="390"/>
      <c r="PL42" s="390"/>
      <c r="PM42" s="390"/>
      <c r="PN42" s="390"/>
      <c r="PO42" s="390"/>
      <c r="PP42" s="390"/>
      <c r="PQ42" s="390"/>
      <c r="PR42" s="390"/>
      <c r="PS42" s="390"/>
      <c r="PT42" s="390"/>
      <c r="PU42" s="390"/>
      <c r="PV42" s="390"/>
      <c r="PW42" s="390"/>
      <c r="PX42" s="390"/>
      <c r="PY42" s="390"/>
      <c r="PZ42" s="390"/>
      <c r="QA42" s="390"/>
      <c r="QB42" s="390"/>
      <c r="QC42" s="390"/>
      <c r="QD42" s="390"/>
      <c r="QE42" s="390"/>
      <c r="QF42" s="390"/>
      <c r="QG42" s="390"/>
      <c r="QH42" s="390"/>
      <c r="QI42" s="390"/>
      <c r="QJ42" s="390"/>
      <c r="QK42" s="390"/>
      <c r="QL42" s="390"/>
      <c r="QM42" s="390"/>
      <c r="QN42" s="390"/>
      <c r="QO42" s="390"/>
      <c r="QP42" s="390"/>
      <c r="QQ42" s="390"/>
      <c r="QR42" s="390"/>
      <c r="QS42" s="390"/>
      <c r="QT42" s="390"/>
      <c r="QU42" s="390"/>
      <c r="QV42" s="390"/>
      <c r="QW42" s="390"/>
      <c r="QX42" s="390"/>
      <c r="QY42" s="390"/>
      <c r="QZ42" s="390"/>
      <c r="RA42" s="390"/>
      <c r="RB42" s="390"/>
      <c r="RC42" s="390"/>
      <c r="RD42" s="390"/>
      <c r="RE42" s="390"/>
      <c r="RF42" s="390"/>
      <c r="RG42" s="390"/>
      <c r="RH42" s="390"/>
      <c r="RI42" s="390"/>
      <c r="RJ42" s="390"/>
      <c r="RK42" s="390"/>
      <c r="RL42" s="390"/>
      <c r="RM42" s="390"/>
      <c r="RN42" s="390"/>
      <c r="RO42" s="390"/>
      <c r="RP42" s="390"/>
      <c r="RQ42" s="390"/>
      <c r="RR42" s="390"/>
      <c r="RS42" s="390"/>
      <c r="RT42" s="390"/>
      <c r="RU42" s="390"/>
      <c r="RV42" s="390"/>
      <c r="RW42" s="390"/>
      <c r="RX42" s="390"/>
      <c r="RY42" s="390"/>
      <c r="RZ42" s="390"/>
      <c r="SA42" s="390"/>
      <c r="SB42" s="390"/>
      <c r="SC42" s="390"/>
      <c r="SD42" s="390"/>
      <c r="SE42" s="390"/>
      <c r="SF42" s="390"/>
      <c r="SG42" s="390"/>
      <c r="SH42" s="390"/>
      <c r="SI42" s="390"/>
      <c r="SJ42" s="390"/>
      <c r="SK42" s="390"/>
      <c r="SL42" s="390"/>
      <c r="SM42" s="390"/>
      <c r="SN42" s="390"/>
      <c r="SO42" s="390"/>
      <c r="SP42" s="390"/>
      <c r="SQ42" s="390"/>
      <c r="SR42" s="390"/>
      <c r="SS42" s="390"/>
      <c r="ST42" s="390"/>
      <c r="SU42" s="390"/>
      <c r="SV42" s="390"/>
      <c r="SW42" s="390"/>
      <c r="SX42" s="390"/>
      <c r="SY42" s="390"/>
      <c r="SZ42" s="390"/>
      <c r="TA42" s="390"/>
      <c r="TB42" s="390"/>
      <c r="TC42" s="390"/>
      <c r="TD42" s="390"/>
      <c r="TE42" s="390"/>
      <c r="TF42" s="390"/>
      <c r="TG42" s="390"/>
      <c r="TH42" s="390"/>
      <c r="TI42" s="390"/>
      <c r="TJ42" s="390"/>
      <c r="TK42" s="390"/>
      <c r="TL42" s="390"/>
      <c r="TM42" s="390"/>
      <c r="TN42" s="390"/>
      <c r="TO42" s="390"/>
      <c r="TP42" s="390"/>
      <c r="TQ42" s="390"/>
      <c r="TR42" s="390"/>
      <c r="TS42" s="390"/>
      <c r="TT42" s="390"/>
      <c r="TU42" s="390"/>
      <c r="TV42" s="390"/>
      <c r="TW42" s="390"/>
      <c r="TX42" s="390"/>
      <c r="TY42" s="390"/>
      <c r="TZ42" s="390"/>
      <c r="UA42" s="390"/>
      <c r="UB42" s="390"/>
      <c r="UC42" s="390"/>
      <c r="UD42" s="390"/>
      <c r="UE42" s="390"/>
      <c r="UF42" s="390"/>
      <c r="UG42" s="390"/>
      <c r="UH42" s="390"/>
      <c r="UI42" s="390"/>
      <c r="UJ42" s="390"/>
      <c r="UK42" s="390"/>
      <c r="UL42" s="390"/>
      <c r="UM42" s="390"/>
      <c r="UN42" s="390"/>
      <c r="UO42" s="390"/>
      <c r="UP42" s="390"/>
      <c r="UQ42" s="390"/>
      <c r="UR42" s="390"/>
      <c r="US42" s="390"/>
      <c r="UT42" s="390"/>
      <c r="UU42" s="390"/>
      <c r="UV42" s="390"/>
      <c r="UW42" s="390"/>
      <c r="UX42" s="390"/>
      <c r="UY42" s="390"/>
      <c r="UZ42" s="390"/>
      <c r="VA42" s="390"/>
      <c r="VB42" s="390"/>
      <c r="VC42" s="390"/>
      <c r="VD42" s="390"/>
      <c r="VE42" s="390"/>
      <c r="VF42" s="390"/>
      <c r="VG42" s="390"/>
      <c r="VH42" s="390"/>
      <c r="VI42" s="390"/>
      <c r="VJ42" s="390"/>
      <c r="VK42" s="390"/>
      <c r="VL42" s="390"/>
      <c r="VM42" s="390"/>
      <c r="VN42" s="390"/>
      <c r="VO42" s="390"/>
      <c r="VP42" s="390"/>
      <c r="VQ42" s="390"/>
      <c r="VR42" s="390"/>
      <c r="VS42" s="390"/>
      <c r="VT42" s="390"/>
      <c r="VU42" s="390"/>
      <c r="VV42" s="390"/>
      <c r="VW42" s="390"/>
      <c r="VX42" s="390"/>
      <c r="VY42" s="390"/>
      <c r="VZ42" s="390"/>
      <c r="WA42" s="390"/>
      <c r="WB42" s="390"/>
      <c r="WC42" s="390"/>
      <c r="WD42" s="390"/>
      <c r="WE42" s="390"/>
      <c r="WF42" s="390"/>
      <c r="WG42" s="390"/>
      <c r="WH42" s="390"/>
      <c r="WI42" s="390"/>
      <c r="WJ42" s="390"/>
      <c r="WK42" s="390"/>
      <c r="WL42" s="390"/>
      <c r="WM42" s="390"/>
      <c r="WN42" s="390"/>
      <c r="WO42" s="390"/>
      <c r="WP42" s="390"/>
      <c r="WQ42" s="390"/>
      <c r="WR42" s="390"/>
      <c r="WS42" s="390"/>
      <c r="WT42" s="390"/>
      <c r="WU42" s="390"/>
      <c r="WV42" s="390"/>
      <c r="WW42" s="390"/>
      <c r="WX42" s="390"/>
      <c r="WY42" s="390"/>
      <c r="WZ42" s="390"/>
      <c r="XA42" s="390"/>
      <c r="XB42" s="390"/>
      <c r="XC42" s="390"/>
      <c r="XD42" s="390"/>
      <c r="XE42" s="390"/>
      <c r="XF42" s="390"/>
      <c r="XG42" s="390"/>
      <c r="XH42" s="390"/>
      <c r="XI42" s="390"/>
      <c r="XJ42" s="390"/>
      <c r="XK42" s="390"/>
      <c r="XL42" s="390"/>
      <c r="XM42" s="390"/>
      <c r="XN42" s="390"/>
      <c r="XO42" s="390"/>
      <c r="XP42" s="390"/>
      <c r="XQ42" s="390"/>
      <c r="XR42" s="390"/>
      <c r="XS42" s="390"/>
      <c r="XT42" s="390"/>
      <c r="XU42" s="390"/>
      <c r="XV42" s="390"/>
      <c r="XW42" s="390"/>
      <c r="XX42" s="390"/>
      <c r="XY42" s="390"/>
      <c r="XZ42" s="390"/>
      <c r="YA42" s="390"/>
      <c r="YB42" s="390"/>
      <c r="YC42" s="390"/>
      <c r="YD42" s="390"/>
      <c r="YE42" s="390"/>
      <c r="YF42" s="390"/>
      <c r="YG42" s="390"/>
      <c r="YH42" s="390"/>
      <c r="YI42" s="390"/>
      <c r="YJ42" s="390"/>
      <c r="YK42" s="390"/>
      <c r="YL42" s="390"/>
      <c r="YM42" s="390"/>
      <c r="YN42" s="390"/>
      <c r="YO42" s="390"/>
      <c r="YP42" s="390"/>
      <c r="YQ42" s="390"/>
      <c r="YR42" s="390"/>
      <c r="YS42" s="390"/>
      <c r="YT42" s="390"/>
      <c r="YU42" s="390"/>
      <c r="YV42" s="390"/>
      <c r="YW42" s="390"/>
      <c r="YX42" s="390"/>
      <c r="YY42" s="390"/>
      <c r="YZ42" s="390"/>
      <c r="ZA42" s="390"/>
      <c r="ZB42" s="390"/>
      <c r="ZC42" s="390"/>
      <c r="ZD42" s="390"/>
      <c r="ZE42" s="390"/>
      <c r="ZF42" s="390"/>
      <c r="ZG42" s="390"/>
      <c r="ZH42" s="390"/>
      <c r="ZI42" s="390"/>
      <c r="ZJ42" s="390"/>
      <c r="ZK42" s="390"/>
      <c r="ZL42" s="390"/>
      <c r="ZM42" s="390"/>
      <c r="ZN42" s="390"/>
      <c r="ZO42" s="390"/>
      <c r="ZP42" s="390"/>
      <c r="ZQ42" s="390"/>
      <c r="ZR42" s="390"/>
      <c r="ZS42" s="390"/>
      <c r="ZT42" s="390"/>
      <c r="ZU42" s="390"/>
      <c r="ZV42" s="390"/>
      <c r="ZW42" s="390"/>
      <c r="ZX42" s="390"/>
      <c r="ZY42" s="390"/>
      <c r="ZZ42" s="390"/>
      <c r="AAA42" s="390"/>
      <c r="AAB42" s="390"/>
      <c r="AAC42" s="390"/>
      <c r="AAD42" s="390"/>
      <c r="AAE42" s="390"/>
      <c r="AAF42" s="390"/>
      <c r="AAG42" s="390"/>
      <c r="AAH42" s="390"/>
      <c r="AAI42" s="390"/>
      <c r="AAJ42" s="390"/>
      <c r="AAK42" s="390"/>
      <c r="AAL42" s="390"/>
      <c r="AAM42" s="390"/>
      <c r="AAN42" s="390"/>
      <c r="AAO42" s="390"/>
      <c r="AAP42" s="390"/>
      <c r="AAQ42" s="390"/>
      <c r="AAR42" s="390"/>
      <c r="AAS42" s="390"/>
      <c r="AAT42" s="390"/>
      <c r="AAU42" s="390"/>
      <c r="AAV42" s="390"/>
      <c r="AAW42" s="390"/>
      <c r="AAX42" s="390"/>
      <c r="AAY42" s="390"/>
      <c r="AAZ42" s="390"/>
      <c r="ABA42" s="390"/>
      <c r="ABB42" s="390"/>
      <c r="ABC42" s="390"/>
      <c r="ABD42" s="390"/>
      <c r="ABE42" s="390"/>
      <c r="ABF42" s="390"/>
      <c r="ABG42" s="390"/>
      <c r="ABH42" s="390"/>
      <c r="ABI42" s="390"/>
      <c r="ABJ42" s="390"/>
      <c r="ABK42" s="390"/>
      <c r="ABL42" s="390"/>
      <c r="ABM42" s="390"/>
      <c r="ABN42" s="390"/>
      <c r="ABO42" s="390"/>
      <c r="ABP42" s="390"/>
      <c r="ABQ42" s="390"/>
      <c r="ABR42" s="390"/>
      <c r="ABS42" s="390"/>
      <c r="ABT42" s="390"/>
      <c r="ABU42" s="390"/>
      <c r="ABV42" s="390"/>
      <c r="ABW42" s="390"/>
      <c r="ABX42" s="390"/>
      <c r="ABY42" s="390"/>
      <c r="ABZ42" s="390"/>
      <c r="ACA42" s="390"/>
      <c r="ACB42" s="390"/>
      <c r="ACC42" s="390"/>
      <c r="ACD42" s="390"/>
      <c r="ACE42" s="390"/>
      <c r="ACF42" s="390"/>
      <c r="ACG42" s="390"/>
      <c r="ACH42" s="390"/>
      <c r="ACI42" s="390"/>
    </row>
    <row r="43" spans="1:763" ht="13.95" customHeight="1" x14ac:dyDescent="0.3">
      <c r="A43" s="393" t="str">
        <f>Проект!$A$325</f>
        <v>Дворник</v>
      </c>
      <c r="B43" s="352"/>
      <c r="C43" s="402"/>
      <c r="D43" s="411"/>
      <c r="E43" s="411"/>
      <c r="F43" s="411"/>
      <c r="G43" s="411"/>
      <c r="H43" s="396"/>
      <c r="I43" s="390"/>
      <c r="J43" s="390"/>
      <c r="K43" s="390"/>
      <c r="L43" s="390"/>
      <c r="M43" s="390"/>
      <c r="N43" s="390"/>
      <c r="O43" s="390"/>
      <c r="P43" s="390"/>
      <c r="Q43" s="390"/>
      <c r="R43" s="390"/>
      <c r="S43" s="390"/>
      <c r="T43" s="390"/>
      <c r="U43" s="390"/>
      <c r="V43" s="390"/>
      <c r="W43" s="390"/>
      <c r="X43" s="390"/>
      <c r="Y43" s="390"/>
      <c r="Z43" s="390"/>
      <c r="AA43" s="390"/>
      <c r="AB43" s="390"/>
      <c r="AC43" s="390"/>
      <c r="AD43" s="390"/>
      <c r="AE43" s="390"/>
      <c r="AF43" s="390"/>
      <c r="AG43" s="390"/>
      <c r="AH43" s="390"/>
      <c r="AI43" s="390"/>
      <c r="AJ43" s="390"/>
      <c r="AK43" s="390"/>
      <c r="AL43" s="390"/>
      <c r="AM43" s="390"/>
      <c r="AN43" s="390"/>
      <c r="AO43" s="390"/>
      <c r="AP43" s="390"/>
      <c r="AQ43" s="390"/>
      <c r="AR43" s="390"/>
      <c r="AS43" s="390"/>
      <c r="AT43" s="390"/>
      <c r="AU43" s="390"/>
      <c r="AV43" s="390"/>
      <c r="AW43" s="390"/>
      <c r="AX43" s="390"/>
      <c r="AY43" s="390"/>
      <c r="AZ43" s="390"/>
      <c r="BA43" s="390"/>
      <c r="BB43" s="390"/>
      <c r="BC43" s="390"/>
      <c r="BD43" s="390"/>
      <c r="BE43" s="390"/>
      <c r="BF43" s="390"/>
      <c r="BG43" s="390"/>
      <c r="BH43" s="390"/>
      <c r="BI43" s="390"/>
      <c r="BJ43" s="390"/>
      <c r="BK43" s="390"/>
      <c r="BL43" s="390"/>
      <c r="BM43" s="390"/>
      <c r="BN43" s="390"/>
      <c r="BO43" s="390"/>
      <c r="BP43" s="390"/>
      <c r="BQ43" s="390"/>
      <c r="BR43" s="390"/>
      <c r="BS43" s="390"/>
      <c r="BT43" s="390"/>
      <c r="BU43" s="390"/>
      <c r="BV43" s="390"/>
      <c r="BW43" s="390"/>
      <c r="BX43" s="390"/>
      <c r="BY43" s="390"/>
      <c r="BZ43" s="390"/>
      <c r="CA43" s="390"/>
      <c r="CB43" s="390"/>
      <c r="CC43" s="390"/>
      <c r="CD43" s="390"/>
      <c r="CE43" s="390"/>
      <c r="CF43" s="390"/>
      <c r="CG43" s="390"/>
      <c r="CH43" s="390"/>
      <c r="CI43" s="390"/>
      <c r="CJ43" s="390"/>
      <c r="CK43" s="390"/>
      <c r="CL43" s="390"/>
      <c r="CM43" s="390"/>
      <c r="CN43" s="390"/>
      <c r="CO43" s="390"/>
      <c r="CP43" s="390"/>
      <c r="CQ43" s="390"/>
      <c r="CR43" s="390"/>
      <c r="CS43" s="390"/>
      <c r="CT43" s="390"/>
      <c r="CU43" s="390"/>
      <c r="CV43" s="390"/>
      <c r="CW43" s="390"/>
      <c r="CX43" s="390"/>
      <c r="CY43" s="390"/>
      <c r="CZ43" s="390"/>
      <c r="DA43" s="390"/>
      <c r="DB43" s="390"/>
      <c r="DC43" s="390"/>
      <c r="DD43" s="390"/>
      <c r="DE43" s="390"/>
      <c r="DF43" s="390"/>
      <c r="DG43" s="390"/>
      <c r="DH43" s="390"/>
      <c r="DI43" s="390"/>
      <c r="DJ43" s="390"/>
      <c r="DK43" s="390"/>
      <c r="DL43" s="390"/>
      <c r="DM43" s="390"/>
      <c r="DN43" s="390"/>
      <c r="DO43" s="390"/>
      <c r="DP43" s="390"/>
      <c r="DQ43" s="390"/>
      <c r="DR43" s="390"/>
      <c r="DS43" s="390"/>
      <c r="DT43" s="390"/>
      <c r="DU43" s="390"/>
      <c r="DV43" s="390"/>
      <c r="DW43" s="390"/>
      <c r="DX43" s="390"/>
      <c r="DY43" s="390"/>
      <c r="DZ43" s="390"/>
      <c r="EA43" s="390"/>
      <c r="EB43" s="390"/>
      <c r="EC43" s="390"/>
      <c r="ED43" s="390"/>
      <c r="EE43" s="390"/>
      <c r="EF43" s="390"/>
      <c r="EG43" s="390"/>
      <c r="EH43" s="390"/>
      <c r="EI43" s="390"/>
      <c r="EJ43" s="390"/>
      <c r="EK43" s="390"/>
      <c r="EL43" s="390"/>
      <c r="EM43" s="390"/>
      <c r="EN43" s="390"/>
      <c r="EO43" s="390"/>
      <c r="EP43" s="390"/>
      <c r="EQ43" s="390"/>
      <c r="ER43" s="390"/>
      <c r="ES43" s="390"/>
      <c r="ET43" s="390"/>
      <c r="EU43" s="390"/>
      <c r="EV43" s="390"/>
      <c r="EW43" s="390"/>
      <c r="EX43" s="390"/>
      <c r="EY43" s="390"/>
      <c r="EZ43" s="390"/>
      <c r="FA43" s="390"/>
      <c r="FB43" s="390"/>
      <c r="FC43" s="390"/>
      <c r="FD43" s="390"/>
      <c r="FE43" s="390"/>
      <c r="FF43" s="390"/>
      <c r="FG43" s="390"/>
      <c r="FH43" s="390"/>
      <c r="FI43" s="390"/>
      <c r="FJ43" s="390"/>
      <c r="FK43" s="390"/>
      <c r="FL43" s="390"/>
      <c r="FM43" s="390"/>
      <c r="FN43" s="390"/>
      <c r="FO43" s="390"/>
      <c r="FP43" s="390"/>
      <c r="FQ43" s="390"/>
      <c r="FR43" s="390"/>
      <c r="FS43" s="390"/>
      <c r="FT43" s="390"/>
      <c r="FU43" s="390"/>
      <c r="FV43" s="390"/>
      <c r="FW43" s="390"/>
      <c r="FX43" s="390"/>
      <c r="FY43" s="390"/>
      <c r="FZ43" s="390"/>
      <c r="GA43" s="390"/>
      <c r="GB43" s="390"/>
      <c r="GC43" s="390"/>
      <c r="GD43" s="390"/>
      <c r="GE43" s="390"/>
      <c r="GF43" s="390"/>
      <c r="GG43" s="390"/>
      <c r="GH43" s="390"/>
      <c r="GI43" s="390"/>
      <c r="GJ43" s="390"/>
      <c r="GK43" s="390"/>
      <c r="GL43" s="390"/>
      <c r="GM43" s="390"/>
      <c r="GN43" s="390"/>
      <c r="GO43" s="390"/>
      <c r="GP43" s="390"/>
      <c r="GQ43" s="390"/>
      <c r="GR43" s="390"/>
      <c r="GS43" s="390"/>
      <c r="GT43" s="390"/>
      <c r="GU43" s="390"/>
      <c r="GV43" s="390"/>
      <c r="GW43" s="390"/>
      <c r="GX43" s="390"/>
      <c r="GY43" s="390"/>
      <c r="GZ43" s="390"/>
      <c r="HA43" s="390"/>
      <c r="HB43" s="390"/>
      <c r="HC43" s="390"/>
      <c r="HD43" s="390"/>
      <c r="HE43" s="390"/>
      <c r="HF43" s="390"/>
      <c r="HG43" s="390"/>
      <c r="HH43" s="390"/>
      <c r="HI43" s="390"/>
      <c r="HJ43" s="390"/>
      <c r="HK43" s="390"/>
      <c r="HL43" s="390"/>
      <c r="HM43" s="390"/>
      <c r="HN43" s="390"/>
      <c r="HO43" s="390"/>
      <c r="HP43" s="390"/>
      <c r="HQ43" s="390"/>
      <c r="HR43" s="390"/>
      <c r="HS43" s="390"/>
      <c r="HT43" s="390"/>
      <c r="HU43" s="390"/>
      <c r="HV43" s="390"/>
      <c r="HW43" s="390"/>
      <c r="HX43" s="390"/>
      <c r="HY43" s="390"/>
      <c r="HZ43" s="390"/>
      <c r="IA43" s="390"/>
      <c r="IB43" s="390"/>
      <c r="IC43" s="390"/>
      <c r="ID43" s="390"/>
      <c r="IE43" s="390"/>
      <c r="IF43" s="390"/>
      <c r="IG43" s="390"/>
      <c r="IH43" s="390"/>
      <c r="II43" s="390"/>
      <c r="IJ43" s="390"/>
      <c r="IK43" s="390"/>
      <c r="IL43" s="390"/>
      <c r="IM43" s="390"/>
      <c r="IN43" s="390"/>
      <c r="IO43" s="390"/>
      <c r="IP43" s="390"/>
      <c r="IQ43" s="390"/>
      <c r="IR43" s="390"/>
      <c r="IS43" s="390"/>
      <c r="IT43" s="390"/>
      <c r="IU43" s="390"/>
      <c r="IV43" s="390"/>
      <c r="IW43" s="390"/>
      <c r="IX43" s="390"/>
      <c r="IY43" s="390"/>
      <c r="IZ43" s="390"/>
      <c r="JA43" s="390"/>
      <c r="JB43" s="390"/>
      <c r="JC43" s="390"/>
      <c r="JD43" s="390"/>
      <c r="JE43" s="390"/>
      <c r="JF43" s="390"/>
      <c r="JG43" s="390"/>
      <c r="JH43" s="390"/>
      <c r="JI43" s="390"/>
      <c r="JJ43" s="390"/>
      <c r="JK43" s="390"/>
      <c r="JL43" s="390"/>
      <c r="JM43" s="390"/>
      <c r="JN43" s="390"/>
      <c r="JO43" s="390"/>
      <c r="JP43" s="390"/>
      <c r="JQ43" s="390"/>
      <c r="JR43" s="390"/>
      <c r="JS43" s="390"/>
      <c r="JT43" s="390"/>
      <c r="JU43" s="390"/>
      <c r="JV43" s="390"/>
      <c r="JW43" s="390"/>
      <c r="JX43" s="390"/>
      <c r="JY43" s="390"/>
      <c r="JZ43" s="390"/>
      <c r="KA43" s="390"/>
      <c r="KB43" s="390"/>
      <c r="KC43" s="390"/>
      <c r="KD43" s="390"/>
      <c r="KE43" s="390"/>
      <c r="KF43" s="390"/>
      <c r="KG43" s="390"/>
      <c r="KH43" s="390"/>
      <c r="KI43" s="390"/>
      <c r="KJ43" s="390"/>
      <c r="KK43" s="390"/>
      <c r="KL43" s="390"/>
      <c r="KM43" s="390"/>
      <c r="KN43" s="390"/>
      <c r="KO43" s="390"/>
      <c r="KP43" s="390"/>
      <c r="KQ43" s="390"/>
      <c r="KR43" s="390"/>
      <c r="KS43" s="390"/>
      <c r="KT43" s="390"/>
      <c r="KU43" s="390"/>
      <c r="KV43" s="390"/>
      <c r="KW43" s="390"/>
      <c r="KX43" s="390"/>
      <c r="KY43" s="390"/>
      <c r="KZ43" s="390"/>
      <c r="LA43" s="390"/>
      <c r="LB43" s="390"/>
      <c r="LC43" s="390"/>
      <c r="LD43" s="390"/>
      <c r="LE43" s="390"/>
      <c r="LF43" s="390"/>
      <c r="LG43" s="390"/>
      <c r="LH43" s="390"/>
      <c r="LI43" s="390"/>
      <c r="LJ43" s="390"/>
      <c r="LK43" s="390"/>
      <c r="LL43" s="390"/>
      <c r="LM43" s="390"/>
      <c r="LN43" s="390"/>
      <c r="LO43" s="390"/>
      <c r="LP43" s="390"/>
      <c r="LQ43" s="390"/>
      <c r="LR43" s="390"/>
      <c r="LS43" s="390"/>
      <c r="LT43" s="390"/>
      <c r="LU43" s="390"/>
      <c r="LV43" s="390"/>
      <c r="LW43" s="390"/>
      <c r="LX43" s="390"/>
      <c r="LY43" s="390"/>
      <c r="LZ43" s="390"/>
      <c r="MA43" s="390"/>
      <c r="MB43" s="390"/>
      <c r="MC43" s="390"/>
      <c r="MD43" s="390"/>
      <c r="ME43" s="390"/>
      <c r="MF43" s="390"/>
      <c r="MG43" s="390"/>
      <c r="MH43" s="390"/>
      <c r="MI43" s="390"/>
      <c r="MJ43" s="390"/>
      <c r="MK43" s="390"/>
      <c r="ML43" s="390"/>
      <c r="MM43" s="390"/>
      <c r="MN43" s="390"/>
      <c r="MO43" s="390"/>
      <c r="MP43" s="390"/>
      <c r="MQ43" s="390"/>
      <c r="MR43" s="390"/>
      <c r="MS43" s="390"/>
      <c r="MT43" s="390"/>
      <c r="MU43" s="390"/>
      <c r="MV43" s="390"/>
      <c r="MW43" s="390"/>
      <c r="MX43" s="390"/>
      <c r="MY43" s="390"/>
      <c r="MZ43" s="390"/>
      <c r="NA43" s="390"/>
      <c r="NB43" s="390"/>
      <c r="NC43" s="390"/>
      <c r="ND43" s="390"/>
      <c r="NE43" s="390"/>
      <c r="NF43" s="390"/>
      <c r="NG43" s="390"/>
      <c r="NH43" s="390"/>
      <c r="NI43" s="390"/>
      <c r="NJ43" s="390"/>
      <c r="NK43" s="390"/>
      <c r="NL43" s="390"/>
      <c r="NM43" s="390"/>
      <c r="NN43" s="390"/>
      <c r="NO43" s="390"/>
      <c r="NP43" s="390"/>
      <c r="NQ43" s="390"/>
      <c r="NR43" s="390"/>
      <c r="NS43" s="390"/>
      <c r="NT43" s="390"/>
      <c r="NU43" s="390"/>
      <c r="NV43" s="390"/>
      <c r="NW43" s="390"/>
      <c r="NX43" s="390"/>
      <c r="NY43" s="390"/>
      <c r="NZ43" s="390"/>
      <c r="OA43" s="390"/>
      <c r="OB43" s="390"/>
      <c r="OC43" s="390"/>
      <c r="OD43" s="390"/>
      <c r="OE43" s="390"/>
      <c r="OF43" s="390"/>
      <c r="OG43" s="390"/>
      <c r="OH43" s="390"/>
      <c r="OI43" s="390"/>
      <c r="OJ43" s="390"/>
      <c r="OK43" s="390"/>
      <c r="OL43" s="390"/>
      <c r="OM43" s="390"/>
      <c r="ON43" s="390"/>
      <c r="OO43" s="390"/>
      <c r="OP43" s="390"/>
      <c r="OQ43" s="390"/>
      <c r="OR43" s="390"/>
      <c r="OS43" s="390"/>
      <c r="OT43" s="390"/>
      <c r="OU43" s="390"/>
      <c r="OV43" s="390"/>
      <c r="OW43" s="390"/>
      <c r="OX43" s="390"/>
      <c r="OY43" s="390"/>
      <c r="OZ43" s="390"/>
      <c r="PA43" s="390"/>
      <c r="PB43" s="390"/>
      <c r="PC43" s="390"/>
      <c r="PD43" s="390"/>
      <c r="PE43" s="390"/>
      <c r="PF43" s="390"/>
      <c r="PG43" s="390"/>
      <c r="PH43" s="390"/>
      <c r="PI43" s="390"/>
      <c r="PJ43" s="390"/>
      <c r="PK43" s="390"/>
      <c r="PL43" s="390"/>
      <c r="PM43" s="390"/>
      <c r="PN43" s="390"/>
      <c r="PO43" s="390"/>
      <c r="PP43" s="390"/>
      <c r="PQ43" s="390"/>
      <c r="PR43" s="390"/>
      <c r="PS43" s="390"/>
      <c r="PT43" s="390"/>
      <c r="PU43" s="390"/>
      <c r="PV43" s="390"/>
      <c r="PW43" s="390"/>
      <c r="PX43" s="390"/>
      <c r="PY43" s="390"/>
      <c r="PZ43" s="390"/>
      <c r="QA43" s="390"/>
      <c r="QB43" s="390"/>
      <c r="QC43" s="390"/>
      <c r="QD43" s="390"/>
      <c r="QE43" s="390"/>
      <c r="QF43" s="390"/>
      <c r="QG43" s="390"/>
      <c r="QH43" s="390"/>
      <c r="QI43" s="390"/>
      <c r="QJ43" s="390"/>
      <c r="QK43" s="390"/>
      <c r="QL43" s="390"/>
      <c r="QM43" s="390"/>
      <c r="QN43" s="390"/>
      <c r="QO43" s="390"/>
      <c r="QP43" s="390"/>
      <c r="QQ43" s="390"/>
      <c r="QR43" s="390"/>
      <c r="QS43" s="390"/>
      <c r="QT43" s="390"/>
      <c r="QU43" s="390"/>
      <c r="QV43" s="390"/>
      <c r="QW43" s="390"/>
      <c r="QX43" s="390"/>
      <c r="QY43" s="390"/>
      <c r="QZ43" s="390"/>
      <c r="RA43" s="390"/>
      <c r="RB43" s="390"/>
      <c r="RC43" s="390"/>
      <c r="RD43" s="390"/>
      <c r="RE43" s="390"/>
      <c r="RF43" s="390"/>
      <c r="RG43" s="390"/>
      <c r="RH43" s="390"/>
      <c r="RI43" s="390"/>
      <c r="RJ43" s="390"/>
      <c r="RK43" s="390"/>
      <c r="RL43" s="390"/>
      <c r="RM43" s="390"/>
      <c r="RN43" s="390"/>
      <c r="RO43" s="390"/>
      <c r="RP43" s="390"/>
      <c r="RQ43" s="390"/>
      <c r="RR43" s="390"/>
      <c r="RS43" s="390"/>
      <c r="RT43" s="390"/>
      <c r="RU43" s="390"/>
      <c r="RV43" s="390"/>
      <c r="RW43" s="390"/>
      <c r="RX43" s="390"/>
      <c r="RY43" s="390"/>
      <c r="RZ43" s="390"/>
      <c r="SA43" s="390"/>
      <c r="SB43" s="390"/>
      <c r="SC43" s="390"/>
      <c r="SD43" s="390"/>
      <c r="SE43" s="390"/>
      <c r="SF43" s="390"/>
      <c r="SG43" s="390"/>
      <c r="SH43" s="390"/>
      <c r="SI43" s="390"/>
      <c r="SJ43" s="390"/>
      <c r="SK43" s="390"/>
      <c r="SL43" s="390"/>
      <c r="SM43" s="390"/>
      <c r="SN43" s="390"/>
      <c r="SO43" s="390"/>
      <c r="SP43" s="390"/>
      <c r="SQ43" s="390"/>
      <c r="SR43" s="390"/>
      <c r="SS43" s="390"/>
      <c r="ST43" s="390"/>
      <c r="SU43" s="390"/>
      <c r="SV43" s="390"/>
      <c r="SW43" s="390"/>
      <c r="SX43" s="390"/>
      <c r="SY43" s="390"/>
      <c r="SZ43" s="390"/>
      <c r="TA43" s="390"/>
      <c r="TB43" s="390"/>
      <c r="TC43" s="390"/>
      <c r="TD43" s="390"/>
      <c r="TE43" s="390"/>
      <c r="TF43" s="390"/>
      <c r="TG43" s="390"/>
      <c r="TH43" s="390"/>
      <c r="TI43" s="390"/>
      <c r="TJ43" s="390"/>
      <c r="TK43" s="390"/>
      <c r="TL43" s="390"/>
      <c r="TM43" s="390"/>
      <c r="TN43" s="390"/>
      <c r="TO43" s="390"/>
      <c r="TP43" s="390"/>
      <c r="TQ43" s="390"/>
      <c r="TR43" s="390"/>
      <c r="TS43" s="390"/>
      <c r="TT43" s="390"/>
      <c r="TU43" s="390"/>
      <c r="TV43" s="390"/>
      <c r="TW43" s="390"/>
      <c r="TX43" s="390"/>
      <c r="TY43" s="390"/>
      <c r="TZ43" s="390"/>
      <c r="UA43" s="390"/>
      <c r="UB43" s="390"/>
      <c r="UC43" s="390"/>
      <c r="UD43" s="390"/>
      <c r="UE43" s="390"/>
      <c r="UF43" s="390"/>
      <c r="UG43" s="390"/>
      <c r="UH43" s="390"/>
      <c r="UI43" s="390"/>
      <c r="UJ43" s="390"/>
      <c r="UK43" s="390"/>
      <c r="UL43" s="390"/>
      <c r="UM43" s="390"/>
      <c r="UN43" s="390"/>
      <c r="UO43" s="390"/>
      <c r="UP43" s="390"/>
      <c r="UQ43" s="390"/>
      <c r="UR43" s="390"/>
      <c r="US43" s="390"/>
      <c r="UT43" s="390"/>
      <c r="UU43" s="390"/>
      <c r="UV43" s="390"/>
      <c r="UW43" s="390"/>
      <c r="UX43" s="390"/>
      <c r="UY43" s="390"/>
      <c r="UZ43" s="390"/>
      <c r="VA43" s="390"/>
      <c r="VB43" s="390"/>
      <c r="VC43" s="390"/>
      <c r="VD43" s="390"/>
      <c r="VE43" s="390"/>
      <c r="VF43" s="390"/>
      <c r="VG43" s="390"/>
      <c r="VH43" s="390"/>
      <c r="VI43" s="390"/>
      <c r="VJ43" s="390"/>
      <c r="VK43" s="390"/>
      <c r="VL43" s="390"/>
      <c r="VM43" s="390"/>
      <c r="VN43" s="390"/>
      <c r="VO43" s="390"/>
      <c r="VP43" s="390"/>
      <c r="VQ43" s="390"/>
      <c r="VR43" s="390"/>
      <c r="VS43" s="390"/>
      <c r="VT43" s="390"/>
      <c r="VU43" s="390"/>
      <c r="VV43" s="390"/>
      <c r="VW43" s="390"/>
      <c r="VX43" s="390"/>
      <c r="VY43" s="390"/>
      <c r="VZ43" s="390"/>
      <c r="WA43" s="390"/>
      <c r="WB43" s="390"/>
      <c r="WC43" s="390"/>
      <c r="WD43" s="390"/>
      <c r="WE43" s="390"/>
      <c r="WF43" s="390"/>
      <c r="WG43" s="390"/>
      <c r="WH43" s="390"/>
      <c r="WI43" s="390"/>
      <c r="WJ43" s="390"/>
      <c r="WK43" s="390"/>
      <c r="WL43" s="390"/>
      <c r="WM43" s="390"/>
      <c r="WN43" s="390"/>
      <c r="WO43" s="390"/>
      <c r="WP43" s="390"/>
      <c r="WQ43" s="390"/>
      <c r="WR43" s="390"/>
      <c r="WS43" s="390"/>
      <c r="WT43" s="390"/>
      <c r="WU43" s="390"/>
      <c r="WV43" s="390"/>
      <c r="WW43" s="390"/>
      <c r="WX43" s="390"/>
      <c r="WY43" s="390"/>
      <c r="WZ43" s="390"/>
      <c r="XA43" s="390"/>
      <c r="XB43" s="390"/>
      <c r="XC43" s="390"/>
      <c r="XD43" s="390"/>
      <c r="XE43" s="390"/>
      <c r="XF43" s="390"/>
      <c r="XG43" s="390"/>
      <c r="XH43" s="390"/>
      <c r="XI43" s="390"/>
      <c r="XJ43" s="390"/>
      <c r="XK43" s="390"/>
      <c r="XL43" s="390"/>
      <c r="XM43" s="390"/>
      <c r="XN43" s="390"/>
      <c r="XO43" s="390"/>
      <c r="XP43" s="390"/>
      <c r="XQ43" s="390"/>
      <c r="XR43" s="390"/>
      <c r="XS43" s="390"/>
      <c r="XT43" s="390"/>
      <c r="XU43" s="390"/>
      <c r="XV43" s="390"/>
      <c r="XW43" s="390"/>
      <c r="XX43" s="390"/>
      <c r="XY43" s="390"/>
      <c r="XZ43" s="390"/>
      <c r="YA43" s="390"/>
      <c r="YB43" s="390"/>
      <c r="YC43" s="390"/>
      <c r="YD43" s="390"/>
      <c r="YE43" s="390"/>
      <c r="YF43" s="390"/>
      <c r="YG43" s="390"/>
      <c r="YH43" s="390"/>
      <c r="YI43" s="390"/>
      <c r="YJ43" s="390"/>
      <c r="YK43" s="390"/>
      <c r="YL43" s="390"/>
      <c r="YM43" s="390"/>
      <c r="YN43" s="390"/>
      <c r="YO43" s="390"/>
      <c r="YP43" s="390"/>
      <c r="YQ43" s="390"/>
      <c r="YR43" s="390"/>
      <c r="YS43" s="390"/>
      <c r="YT43" s="390"/>
      <c r="YU43" s="390"/>
      <c r="YV43" s="390"/>
      <c r="YW43" s="390"/>
      <c r="YX43" s="390"/>
      <c r="YY43" s="390"/>
      <c r="YZ43" s="390"/>
      <c r="ZA43" s="390"/>
      <c r="ZB43" s="390"/>
      <c r="ZC43" s="390"/>
      <c r="ZD43" s="390"/>
      <c r="ZE43" s="390"/>
      <c r="ZF43" s="390"/>
      <c r="ZG43" s="390"/>
      <c r="ZH43" s="390"/>
      <c r="ZI43" s="390"/>
      <c r="ZJ43" s="390"/>
      <c r="ZK43" s="390"/>
      <c r="ZL43" s="390"/>
      <c r="ZM43" s="390"/>
      <c r="ZN43" s="390"/>
      <c r="ZO43" s="390"/>
      <c r="ZP43" s="390"/>
      <c r="ZQ43" s="390"/>
      <c r="ZR43" s="390"/>
      <c r="ZS43" s="390"/>
      <c r="ZT43" s="390"/>
      <c r="ZU43" s="390"/>
      <c r="ZV43" s="390"/>
      <c r="ZW43" s="390"/>
      <c r="ZX43" s="390"/>
      <c r="ZY43" s="390"/>
      <c r="ZZ43" s="390"/>
      <c r="AAA43" s="390"/>
      <c r="AAB43" s="390"/>
      <c r="AAC43" s="390"/>
      <c r="AAD43" s="390"/>
      <c r="AAE43" s="390"/>
      <c r="AAF43" s="390"/>
      <c r="AAG43" s="390"/>
      <c r="AAH43" s="390"/>
      <c r="AAI43" s="390"/>
      <c r="AAJ43" s="390"/>
      <c r="AAK43" s="390"/>
      <c r="AAL43" s="390"/>
      <c r="AAM43" s="390"/>
      <c r="AAN43" s="390"/>
      <c r="AAO43" s="390"/>
      <c r="AAP43" s="390"/>
      <c r="AAQ43" s="390"/>
      <c r="AAR43" s="390"/>
      <c r="AAS43" s="390"/>
      <c r="AAT43" s="390"/>
      <c r="AAU43" s="390"/>
      <c r="AAV43" s="390"/>
      <c r="AAW43" s="390"/>
      <c r="AAX43" s="390"/>
      <c r="AAY43" s="390"/>
      <c r="AAZ43" s="390"/>
      <c r="ABA43" s="390"/>
      <c r="ABB43" s="390"/>
      <c r="ABC43" s="390"/>
      <c r="ABD43" s="390"/>
      <c r="ABE43" s="390"/>
      <c r="ABF43" s="390"/>
      <c r="ABG43" s="390"/>
      <c r="ABH43" s="390"/>
      <c r="ABI43" s="390"/>
      <c r="ABJ43" s="390"/>
      <c r="ABK43" s="390"/>
      <c r="ABL43" s="390"/>
      <c r="ABM43" s="390"/>
      <c r="ABN43" s="390"/>
      <c r="ABO43" s="390"/>
      <c r="ABP43" s="390"/>
      <c r="ABQ43" s="390"/>
      <c r="ABR43" s="390"/>
      <c r="ABS43" s="390"/>
      <c r="ABT43" s="390"/>
      <c r="ABU43" s="390"/>
      <c r="ABV43" s="390"/>
      <c r="ABW43" s="390"/>
      <c r="ABX43" s="390"/>
      <c r="ABY43" s="390"/>
      <c r="ABZ43" s="390"/>
      <c r="ACA43" s="390"/>
      <c r="ACB43" s="390"/>
      <c r="ACC43" s="390"/>
      <c r="ACD43" s="390"/>
      <c r="ACE43" s="390"/>
      <c r="ACF43" s="390"/>
      <c r="ACG43" s="390"/>
      <c r="ACH43" s="390"/>
      <c r="ACI43" s="390"/>
    </row>
    <row r="44" spans="1:763" ht="13.95" customHeight="1" x14ac:dyDescent="0.3">
      <c r="A44" s="397" t="str">
        <f ca="1">Проект!$A$326</f>
        <v>численность</v>
      </c>
      <c r="B44" s="353">
        <f>Проект!$B$326</f>
        <v>1</v>
      </c>
      <c r="C44" s="402" t="str">
        <f ca="1">Проект!$C$326</f>
        <v>человек</v>
      </c>
      <c r="D44" s="354">
        <f>IFERROR(AVERAGE(Проект!$G$326:$R$326),"-")</f>
        <v>0.5</v>
      </c>
      <c r="E44" s="354">
        <f>IFERROR(AVERAGE(Проект!$S$326:$AD$326),"-")</f>
        <v>1</v>
      </c>
      <c r="F44" s="354">
        <f>IFERROR(AVERAGE(Проект!$AE$326:$AP$326),"-")</f>
        <v>1</v>
      </c>
      <c r="G44" s="354">
        <f>IFERROR(AVERAGE(Проект!$AQ$326:$BB$326),"-")</f>
        <v>1</v>
      </c>
      <c r="H44" s="396"/>
      <c r="I44" s="390"/>
      <c r="J44" s="390"/>
      <c r="K44" s="390"/>
      <c r="L44" s="390"/>
      <c r="M44" s="390"/>
      <c r="N44" s="390"/>
      <c r="O44" s="390"/>
      <c r="P44" s="390"/>
      <c r="Q44" s="390"/>
      <c r="R44" s="390"/>
      <c r="S44" s="390"/>
      <c r="T44" s="390"/>
      <c r="U44" s="390"/>
      <c r="V44" s="390"/>
      <c r="W44" s="390"/>
      <c r="X44" s="390"/>
      <c r="Y44" s="390"/>
      <c r="Z44" s="390"/>
      <c r="AA44" s="390"/>
      <c r="AB44" s="390"/>
      <c r="AC44" s="390"/>
      <c r="AD44" s="390"/>
      <c r="AE44" s="390"/>
      <c r="AF44" s="390"/>
      <c r="AG44" s="390"/>
      <c r="AH44" s="390"/>
      <c r="AI44" s="390"/>
      <c r="AJ44" s="390"/>
      <c r="AK44" s="390"/>
      <c r="AL44" s="390"/>
      <c r="AM44" s="390"/>
      <c r="AN44" s="390"/>
      <c r="AO44" s="390"/>
      <c r="AP44" s="390"/>
      <c r="AQ44" s="390"/>
      <c r="AR44" s="390"/>
      <c r="AS44" s="390"/>
      <c r="AT44" s="390"/>
      <c r="AU44" s="390"/>
      <c r="AV44" s="390"/>
      <c r="AW44" s="390"/>
      <c r="AX44" s="390"/>
      <c r="AY44" s="390"/>
      <c r="AZ44" s="390"/>
      <c r="BA44" s="390"/>
      <c r="BB44" s="390"/>
      <c r="BC44" s="390"/>
      <c r="BD44" s="390"/>
      <c r="BE44" s="390"/>
      <c r="BF44" s="390"/>
      <c r="BG44" s="390"/>
      <c r="BH44" s="390"/>
      <c r="BI44" s="390"/>
      <c r="BJ44" s="390"/>
      <c r="BK44" s="390"/>
      <c r="BL44" s="390"/>
      <c r="BM44" s="390"/>
      <c r="BN44" s="390"/>
      <c r="BO44" s="390"/>
      <c r="BP44" s="390"/>
      <c r="BQ44" s="390"/>
      <c r="BR44" s="390"/>
      <c r="BS44" s="390"/>
      <c r="BT44" s="390"/>
      <c r="BU44" s="390"/>
      <c r="BV44" s="390"/>
      <c r="BW44" s="390"/>
      <c r="BX44" s="390"/>
      <c r="BY44" s="390"/>
      <c r="BZ44" s="390"/>
      <c r="CA44" s="390"/>
      <c r="CB44" s="390"/>
      <c r="CC44" s="390"/>
      <c r="CD44" s="390"/>
      <c r="CE44" s="390"/>
      <c r="CF44" s="390"/>
      <c r="CG44" s="390"/>
      <c r="CH44" s="390"/>
      <c r="CI44" s="390"/>
      <c r="CJ44" s="390"/>
      <c r="CK44" s="390"/>
      <c r="CL44" s="390"/>
      <c r="CM44" s="390"/>
      <c r="CN44" s="390"/>
      <c r="CO44" s="390"/>
      <c r="CP44" s="390"/>
      <c r="CQ44" s="390"/>
      <c r="CR44" s="390"/>
      <c r="CS44" s="390"/>
      <c r="CT44" s="390"/>
      <c r="CU44" s="390"/>
      <c r="CV44" s="390"/>
      <c r="CW44" s="390"/>
      <c r="CX44" s="390"/>
      <c r="CY44" s="390"/>
      <c r="CZ44" s="390"/>
      <c r="DA44" s="390"/>
      <c r="DB44" s="390"/>
      <c r="DC44" s="390"/>
      <c r="DD44" s="390"/>
      <c r="DE44" s="390"/>
      <c r="DF44" s="390"/>
      <c r="DG44" s="390"/>
      <c r="DH44" s="390"/>
      <c r="DI44" s="390"/>
      <c r="DJ44" s="390"/>
      <c r="DK44" s="390"/>
      <c r="DL44" s="390"/>
      <c r="DM44" s="390"/>
      <c r="DN44" s="390"/>
      <c r="DO44" s="390"/>
      <c r="DP44" s="390"/>
      <c r="DQ44" s="390"/>
      <c r="DR44" s="390"/>
      <c r="DS44" s="390"/>
      <c r="DT44" s="390"/>
      <c r="DU44" s="390"/>
      <c r="DV44" s="390"/>
      <c r="DW44" s="390"/>
      <c r="DX44" s="390"/>
      <c r="DY44" s="390"/>
      <c r="DZ44" s="390"/>
      <c r="EA44" s="390"/>
      <c r="EB44" s="390"/>
      <c r="EC44" s="390"/>
      <c r="ED44" s="390"/>
      <c r="EE44" s="390"/>
      <c r="EF44" s="390"/>
      <c r="EG44" s="390"/>
      <c r="EH44" s="390"/>
      <c r="EI44" s="390"/>
      <c r="EJ44" s="390"/>
      <c r="EK44" s="390"/>
      <c r="EL44" s="390"/>
      <c r="EM44" s="390"/>
      <c r="EN44" s="390"/>
      <c r="EO44" s="390"/>
      <c r="EP44" s="390"/>
      <c r="EQ44" s="390"/>
      <c r="ER44" s="390"/>
      <c r="ES44" s="390"/>
      <c r="ET44" s="390"/>
      <c r="EU44" s="390"/>
      <c r="EV44" s="390"/>
      <c r="EW44" s="390"/>
      <c r="EX44" s="390"/>
      <c r="EY44" s="390"/>
      <c r="EZ44" s="390"/>
      <c r="FA44" s="390"/>
      <c r="FB44" s="390"/>
      <c r="FC44" s="390"/>
      <c r="FD44" s="390"/>
      <c r="FE44" s="390"/>
      <c r="FF44" s="390"/>
      <c r="FG44" s="390"/>
      <c r="FH44" s="390"/>
      <c r="FI44" s="390"/>
      <c r="FJ44" s="390"/>
      <c r="FK44" s="390"/>
      <c r="FL44" s="390"/>
      <c r="FM44" s="390"/>
      <c r="FN44" s="390"/>
      <c r="FO44" s="390"/>
      <c r="FP44" s="390"/>
      <c r="FQ44" s="390"/>
      <c r="FR44" s="390"/>
      <c r="FS44" s="390"/>
      <c r="FT44" s="390"/>
      <c r="FU44" s="390"/>
      <c r="FV44" s="390"/>
      <c r="FW44" s="390"/>
      <c r="FX44" s="390"/>
      <c r="FY44" s="390"/>
      <c r="FZ44" s="390"/>
      <c r="GA44" s="390"/>
      <c r="GB44" s="390"/>
      <c r="GC44" s="390"/>
      <c r="GD44" s="390"/>
      <c r="GE44" s="390"/>
      <c r="GF44" s="390"/>
      <c r="GG44" s="390"/>
      <c r="GH44" s="390"/>
      <c r="GI44" s="390"/>
      <c r="GJ44" s="390"/>
      <c r="GK44" s="390"/>
      <c r="GL44" s="390"/>
      <c r="GM44" s="390"/>
      <c r="GN44" s="390"/>
      <c r="GO44" s="390"/>
      <c r="GP44" s="390"/>
      <c r="GQ44" s="390"/>
      <c r="GR44" s="390"/>
      <c r="GS44" s="390"/>
      <c r="GT44" s="390"/>
      <c r="GU44" s="390"/>
      <c r="GV44" s="390"/>
      <c r="GW44" s="390"/>
      <c r="GX44" s="390"/>
      <c r="GY44" s="390"/>
      <c r="GZ44" s="390"/>
      <c r="HA44" s="390"/>
      <c r="HB44" s="390"/>
      <c r="HC44" s="390"/>
      <c r="HD44" s="390"/>
      <c r="HE44" s="390"/>
      <c r="HF44" s="390"/>
      <c r="HG44" s="390"/>
      <c r="HH44" s="390"/>
      <c r="HI44" s="390"/>
      <c r="HJ44" s="390"/>
      <c r="HK44" s="390"/>
      <c r="HL44" s="390"/>
      <c r="HM44" s="390"/>
      <c r="HN44" s="390"/>
      <c r="HO44" s="390"/>
      <c r="HP44" s="390"/>
      <c r="HQ44" s="390"/>
      <c r="HR44" s="390"/>
      <c r="HS44" s="390"/>
      <c r="HT44" s="390"/>
      <c r="HU44" s="390"/>
      <c r="HV44" s="390"/>
      <c r="HW44" s="390"/>
      <c r="HX44" s="390"/>
      <c r="HY44" s="390"/>
      <c r="HZ44" s="390"/>
      <c r="IA44" s="390"/>
      <c r="IB44" s="390"/>
      <c r="IC44" s="390"/>
      <c r="ID44" s="390"/>
      <c r="IE44" s="390"/>
      <c r="IF44" s="390"/>
      <c r="IG44" s="390"/>
      <c r="IH44" s="390"/>
      <c r="II44" s="390"/>
      <c r="IJ44" s="390"/>
      <c r="IK44" s="390"/>
      <c r="IL44" s="390"/>
      <c r="IM44" s="390"/>
      <c r="IN44" s="390"/>
      <c r="IO44" s="390"/>
      <c r="IP44" s="390"/>
      <c r="IQ44" s="390"/>
      <c r="IR44" s="390"/>
      <c r="IS44" s="390"/>
      <c r="IT44" s="390"/>
      <c r="IU44" s="390"/>
      <c r="IV44" s="390"/>
      <c r="IW44" s="390"/>
      <c r="IX44" s="390"/>
      <c r="IY44" s="390"/>
      <c r="IZ44" s="390"/>
      <c r="JA44" s="390"/>
      <c r="JB44" s="390"/>
      <c r="JC44" s="390"/>
      <c r="JD44" s="390"/>
      <c r="JE44" s="390"/>
      <c r="JF44" s="390"/>
      <c r="JG44" s="390"/>
      <c r="JH44" s="390"/>
      <c r="JI44" s="390"/>
      <c r="JJ44" s="390"/>
      <c r="JK44" s="390"/>
      <c r="JL44" s="390"/>
      <c r="JM44" s="390"/>
      <c r="JN44" s="390"/>
      <c r="JO44" s="390"/>
      <c r="JP44" s="390"/>
      <c r="JQ44" s="390"/>
      <c r="JR44" s="390"/>
      <c r="JS44" s="390"/>
      <c r="JT44" s="390"/>
      <c r="JU44" s="390"/>
      <c r="JV44" s="390"/>
      <c r="JW44" s="390"/>
      <c r="JX44" s="390"/>
      <c r="JY44" s="390"/>
      <c r="JZ44" s="390"/>
      <c r="KA44" s="390"/>
      <c r="KB44" s="390"/>
      <c r="KC44" s="390"/>
      <c r="KD44" s="390"/>
      <c r="KE44" s="390"/>
      <c r="KF44" s="390"/>
      <c r="KG44" s="390"/>
      <c r="KH44" s="390"/>
      <c r="KI44" s="390"/>
      <c r="KJ44" s="390"/>
      <c r="KK44" s="390"/>
      <c r="KL44" s="390"/>
      <c r="KM44" s="390"/>
      <c r="KN44" s="390"/>
      <c r="KO44" s="390"/>
      <c r="KP44" s="390"/>
      <c r="KQ44" s="390"/>
      <c r="KR44" s="390"/>
      <c r="KS44" s="390"/>
      <c r="KT44" s="390"/>
      <c r="KU44" s="390"/>
      <c r="KV44" s="390"/>
      <c r="KW44" s="390"/>
      <c r="KX44" s="390"/>
      <c r="KY44" s="390"/>
      <c r="KZ44" s="390"/>
      <c r="LA44" s="390"/>
      <c r="LB44" s="390"/>
      <c r="LC44" s="390"/>
      <c r="LD44" s="390"/>
      <c r="LE44" s="390"/>
      <c r="LF44" s="390"/>
      <c r="LG44" s="390"/>
      <c r="LH44" s="390"/>
      <c r="LI44" s="390"/>
      <c r="LJ44" s="390"/>
      <c r="LK44" s="390"/>
      <c r="LL44" s="390"/>
      <c r="LM44" s="390"/>
      <c r="LN44" s="390"/>
      <c r="LO44" s="390"/>
      <c r="LP44" s="390"/>
      <c r="LQ44" s="390"/>
      <c r="LR44" s="390"/>
      <c r="LS44" s="390"/>
      <c r="LT44" s="390"/>
      <c r="LU44" s="390"/>
      <c r="LV44" s="390"/>
      <c r="LW44" s="390"/>
      <c r="LX44" s="390"/>
      <c r="LY44" s="390"/>
      <c r="LZ44" s="390"/>
      <c r="MA44" s="390"/>
      <c r="MB44" s="390"/>
      <c r="MC44" s="390"/>
      <c r="MD44" s="390"/>
      <c r="ME44" s="390"/>
      <c r="MF44" s="390"/>
      <c r="MG44" s="390"/>
      <c r="MH44" s="390"/>
      <c r="MI44" s="390"/>
      <c r="MJ44" s="390"/>
      <c r="MK44" s="390"/>
      <c r="ML44" s="390"/>
      <c r="MM44" s="390"/>
      <c r="MN44" s="390"/>
      <c r="MO44" s="390"/>
      <c r="MP44" s="390"/>
      <c r="MQ44" s="390"/>
      <c r="MR44" s="390"/>
      <c r="MS44" s="390"/>
      <c r="MT44" s="390"/>
      <c r="MU44" s="390"/>
      <c r="MV44" s="390"/>
      <c r="MW44" s="390"/>
      <c r="MX44" s="390"/>
      <c r="MY44" s="390"/>
      <c r="MZ44" s="390"/>
      <c r="NA44" s="390"/>
      <c r="NB44" s="390"/>
      <c r="NC44" s="390"/>
      <c r="ND44" s="390"/>
      <c r="NE44" s="390"/>
      <c r="NF44" s="390"/>
      <c r="NG44" s="390"/>
      <c r="NH44" s="390"/>
      <c r="NI44" s="390"/>
      <c r="NJ44" s="390"/>
      <c r="NK44" s="390"/>
      <c r="NL44" s="390"/>
      <c r="NM44" s="390"/>
      <c r="NN44" s="390"/>
      <c r="NO44" s="390"/>
      <c r="NP44" s="390"/>
      <c r="NQ44" s="390"/>
      <c r="NR44" s="390"/>
      <c r="NS44" s="390"/>
      <c r="NT44" s="390"/>
      <c r="NU44" s="390"/>
      <c r="NV44" s="390"/>
      <c r="NW44" s="390"/>
      <c r="NX44" s="390"/>
      <c r="NY44" s="390"/>
      <c r="NZ44" s="390"/>
      <c r="OA44" s="390"/>
      <c r="OB44" s="390"/>
      <c r="OC44" s="390"/>
      <c r="OD44" s="390"/>
      <c r="OE44" s="390"/>
      <c r="OF44" s="390"/>
      <c r="OG44" s="390"/>
      <c r="OH44" s="390"/>
      <c r="OI44" s="390"/>
      <c r="OJ44" s="390"/>
      <c r="OK44" s="390"/>
      <c r="OL44" s="390"/>
      <c r="OM44" s="390"/>
      <c r="ON44" s="390"/>
      <c r="OO44" s="390"/>
      <c r="OP44" s="390"/>
      <c r="OQ44" s="390"/>
      <c r="OR44" s="390"/>
      <c r="OS44" s="390"/>
      <c r="OT44" s="390"/>
      <c r="OU44" s="390"/>
      <c r="OV44" s="390"/>
      <c r="OW44" s="390"/>
      <c r="OX44" s="390"/>
      <c r="OY44" s="390"/>
      <c r="OZ44" s="390"/>
      <c r="PA44" s="390"/>
      <c r="PB44" s="390"/>
      <c r="PC44" s="390"/>
      <c r="PD44" s="390"/>
      <c r="PE44" s="390"/>
      <c r="PF44" s="390"/>
      <c r="PG44" s="390"/>
      <c r="PH44" s="390"/>
      <c r="PI44" s="390"/>
      <c r="PJ44" s="390"/>
      <c r="PK44" s="390"/>
      <c r="PL44" s="390"/>
      <c r="PM44" s="390"/>
      <c r="PN44" s="390"/>
      <c r="PO44" s="390"/>
      <c r="PP44" s="390"/>
      <c r="PQ44" s="390"/>
      <c r="PR44" s="390"/>
      <c r="PS44" s="390"/>
      <c r="PT44" s="390"/>
      <c r="PU44" s="390"/>
      <c r="PV44" s="390"/>
      <c r="PW44" s="390"/>
      <c r="PX44" s="390"/>
      <c r="PY44" s="390"/>
      <c r="PZ44" s="390"/>
      <c r="QA44" s="390"/>
      <c r="QB44" s="390"/>
      <c r="QC44" s="390"/>
      <c r="QD44" s="390"/>
      <c r="QE44" s="390"/>
      <c r="QF44" s="390"/>
      <c r="QG44" s="390"/>
      <c r="QH44" s="390"/>
      <c r="QI44" s="390"/>
      <c r="QJ44" s="390"/>
      <c r="QK44" s="390"/>
      <c r="QL44" s="390"/>
      <c r="QM44" s="390"/>
      <c r="QN44" s="390"/>
      <c r="QO44" s="390"/>
      <c r="QP44" s="390"/>
      <c r="QQ44" s="390"/>
      <c r="QR44" s="390"/>
      <c r="QS44" s="390"/>
      <c r="QT44" s="390"/>
      <c r="QU44" s="390"/>
      <c r="QV44" s="390"/>
      <c r="QW44" s="390"/>
      <c r="QX44" s="390"/>
      <c r="QY44" s="390"/>
      <c r="QZ44" s="390"/>
      <c r="RA44" s="390"/>
      <c r="RB44" s="390"/>
      <c r="RC44" s="390"/>
      <c r="RD44" s="390"/>
      <c r="RE44" s="390"/>
      <c r="RF44" s="390"/>
      <c r="RG44" s="390"/>
      <c r="RH44" s="390"/>
      <c r="RI44" s="390"/>
      <c r="RJ44" s="390"/>
      <c r="RK44" s="390"/>
      <c r="RL44" s="390"/>
      <c r="RM44" s="390"/>
      <c r="RN44" s="390"/>
      <c r="RO44" s="390"/>
      <c r="RP44" s="390"/>
      <c r="RQ44" s="390"/>
      <c r="RR44" s="390"/>
      <c r="RS44" s="390"/>
      <c r="RT44" s="390"/>
      <c r="RU44" s="390"/>
      <c r="RV44" s="390"/>
      <c r="RW44" s="390"/>
      <c r="RX44" s="390"/>
      <c r="RY44" s="390"/>
      <c r="RZ44" s="390"/>
      <c r="SA44" s="390"/>
      <c r="SB44" s="390"/>
      <c r="SC44" s="390"/>
      <c r="SD44" s="390"/>
      <c r="SE44" s="390"/>
      <c r="SF44" s="390"/>
      <c r="SG44" s="390"/>
      <c r="SH44" s="390"/>
      <c r="SI44" s="390"/>
      <c r="SJ44" s="390"/>
      <c r="SK44" s="390"/>
      <c r="SL44" s="390"/>
      <c r="SM44" s="390"/>
      <c r="SN44" s="390"/>
      <c r="SO44" s="390"/>
      <c r="SP44" s="390"/>
      <c r="SQ44" s="390"/>
      <c r="SR44" s="390"/>
      <c r="SS44" s="390"/>
      <c r="ST44" s="390"/>
      <c r="SU44" s="390"/>
      <c r="SV44" s="390"/>
      <c r="SW44" s="390"/>
      <c r="SX44" s="390"/>
      <c r="SY44" s="390"/>
      <c r="SZ44" s="390"/>
      <c r="TA44" s="390"/>
      <c r="TB44" s="390"/>
      <c r="TC44" s="390"/>
      <c r="TD44" s="390"/>
      <c r="TE44" s="390"/>
      <c r="TF44" s="390"/>
      <c r="TG44" s="390"/>
      <c r="TH44" s="390"/>
      <c r="TI44" s="390"/>
      <c r="TJ44" s="390"/>
      <c r="TK44" s="390"/>
      <c r="TL44" s="390"/>
      <c r="TM44" s="390"/>
      <c r="TN44" s="390"/>
      <c r="TO44" s="390"/>
      <c r="TP44" s="390"/>
      <c r="TQ44" s="390"/>
      <c r="TR44" s="390"/>
      <c r="TS44" s="390"/>
      <c r="TT44" s="390"/>
      <c r="TU44" s="390"/>
      <c r="TV44" s="390"/>
      <c r="TW44" s="390"/>
      <c r="TX44" s="390"/>
      <c r="TY44" s="390"/>
      <c r="TZ44" s="390"/>
      <c r="UA44" s="390"/>
      <c r="UB44" s="390"/>
      <c r="UC44" s="390"/>
      <c r="UD44" s="390"/>
      <c r="UE44" s="390"/>
      <c r="UF44" s="390"/>
      <c r="UG44" s="390"/>
      <c r="UH44" s="390"/>
      <c r="UI44" s="390"/>
      <c r="UJ44" s="390"/>
      <c r="UK44" s="390"/>
      <c r="UL44" s="390"/>
      <c r="UM44" s="390"/>
      <c r="UN44" s="390"/>
      <c r="UO44" s="390"/>
      <c r="UP44" s="390"/>
      <c r="UQ44" s="390"/>
      <c r="UR44" s="390"/>
      <c r="US44" s="390"/>
      <c r="UT44" s="390"/>
      <c r="UU44" s="390"/>
      <c r="UV44" s="390"/>
      <c r="UW44" s="390"/>
      <c r="UX44" s="390"/>
      <c r="UY44" s="390"/>
      <c r="UZ44" s="390"/>
      <c r="VA44" s="390"/>
      <c r="VB44" s="390"/>
      <c r="VC44" s="390"/>
      <c r="VD44" s="390"/>
      <c r="VE44" s="390"/>
      <c r="VF44" s="390"/>
      <c r="VG44" s="390"/>
      <c r="VH44" s="390"/>
      <c r="VI44" s="390"/>
      <c r="VJ44" s="390"/>
      <c r="VK44" s="390"/>
      <c r="VL44" s="390"/>
      <c r="VM44" s="390"/>
      <c r="VN44" s="390"/>
      <c r="VO44" s="390"/>
      <c r="VP44" s="390"/>
      <c r="VQ44" s="390"/>
      <c r="VR44" s="390"/>
      <c r="VS44" s="390"/>
      <c r="VT44" s="390"/>
      <c r="VU44" s="390"/>
      <c r="VV44" s="390"/>
      <c r="VW44" s="390"/>
      <c r="VX44" s="390"/>
      <c r="VY44" s="390"/>
      <c r="VZ44" s="390"/>
      <c r="WA44" s="390"/>
      <c r="WB44" s="390"/>
      <c r="WC44" s="390"/>
      <c r="WD44" s="390"/>
      <c r="WE44" s="390"/>
      <c r="WF44" s="390"/>
      <c r="WG44" s="390"/>
      <c r="WH44" s="390"/>
      <c r="WI44" s="390"/>
      <c r="WJ44" s="390"/>
      <c r="WK44" s="390"/>
      <c r="WL44" s="390"/>
      <c r="WM44" s="390"/>
      <c r="WN44" s="390"/>
      <c r="WO44" s="390"/>
      <c r="WP44" s="390"/>
      <c r="WQ44" s="390"/>
      <c r="WR44" s="390"/>
      <c r="WS44" s="390"/>
      <c r="WT44" s="390"/>
      <c r="WU44" s="390"/>
      <c r="WV44" s="390"/>
      <c r="WW44" s="390"/>
      <c r="WX44" s="390"/>
      <c r="WY44" s="390"/>
      <c r="WZ44" s="390"/>
      <c r="XA44" s="390"/>
      <c r="XB44" s="390"/>
      <c r="XC44" s="390"/>
      <c r="XD44" s="390"/>
      <c r="XE44" s="390"/>
      <c r="XF44" s="390"/>
      <c r="XG44" s="390"/>
      <c r="XH44" s="390"/>
      <c r="XI44" s="390"/>
      <c r="XJ44" s="390"/>
      <c r="XK44" s="390"/>
      <c r="XL44" s="390"/>
      <c r="XM44" s="390"/>
      <c r="XN44" s="390"/>
      <c r="XO44" s="390"/>
      <c r="XP44" s="390"/>
      <c r="XQ44" s="390"/>
      <c r="XR44" s="390"/>
      <c r="XS44" s="390"/>
      <c r="XT44" s="390"/>
      <c r="XU44" s="390"/>
      <c r="XV44" s="390"/>
      <c r="XW44" s="390"/>
      <c r="XX44" s="390"/>
      <c r="XY44" s="390"/>
      <c r="XZ44" s="390"/>
      <c r="YA44" s="390"/>
      <c r="YB44" s="390"/>
      <c r="YC44" s="390"/>
      <c r="YD44" s="390"/>
      <c r="YE44" s="390"/>
      <c r="YF44" s="390"/>
      <c r="YG44" s="390"/>
      <c r="YH44" s="390"/>
      <c r="YI44" s="390"/>
      <c r="YJ44" s="390"/>
      <c r="YK44" s="390"/>
      <c r="YL44" s="390"/>
      <c r="YM44" s="390"/>
      <c r="YN44" s="390"/>
      <c r="YO44" s="390"/>
      <c r="YP44" s="390"/>
      <c r="YQ44" s="390"/>
      <c r="YR44" s="390"/>
      <c r="YS44" s="390"/>
      <c r="YT44" s="390"/>
      <c r="YU44" s="390"/>
      <c r="YV44" s="390"/>
      <c r="YW44" s="390"/>
      <c r="YX44" s="390"/>
      <c r="YY44" s="390"/>
      <c r="YZ44" s="390"/>
      <c r="ZA44" s="390"/>
      <c r="ZB44" s="390"/>
      <c r="ZC44" s="390"/>
      <c r="ZD44" s="390"/>
      <c r="ZE44" s="390"/>
      <c r="ZF44" s="390"/>
      <c r="ZG44" s="390"/>
      <c r="ZH44" s="390"/>
      <c r="ZI44" s="390"/>
      <c r="ZJ44" s="390"/>
      <c r="ZK44" s="390"/>
      <c r="ZL44" s="390"/>
      <c r="ZM44" s="390"/>
      <c r="ZN44" s="390"/>
      <c r="ZO44" s="390"/>
      <c r="ZP44" s="390"/>
      <c r="ZQ44" s="390"/>
      <c r="ZR44" s="390"/>
      <c r="ZS44" s="390"/>
      <c r="ZT44" s="390"/>
      <c r="ZU44" s="390"/>
      <c r="ZV44" s="390"/>
      <c r="ZW44" s="390"/>
      <c r="ZX44" s="390"/>
      <c r="ZY44" s="390"/>
      <c r="ZZ44" s="390"/>
      <c r="AAA44" s="390"/>
      <c r="AAB44" s="390"/>
      <c r="AAC44" s="390"/>
      <c r="AAD44" s="390"/>
      <c r="AAE44" s="390"/>
      <c r="AAF44" s="390"/>
      <c r="AAG44" s="390"/>
      <c r="AAH44" s="390"/>
      <c r="AAI44" s="390"/>
      <c r="AAJ44" s="390"/>
      <c r="AAK44" s="390"/>
      <c r="AAL44" s="390"/>
      <c r="AAM44" s="390"/>
      <c r="AAN44" s="390"/>
      <c r="AAO44" s="390"/>
      <c r="AAP44" s="390"/>
      <c r="AAQ44" s="390"/>
      <c r="AAR44" s="390"/>
      <c r="AAS44" s="390"/>
      <c r="AAT44" s="390"/>
      <c r="AAU44" s="390"/>
      <c r="AAV44" s="390"/>
      <c r="AAW44" s="390"/>
      <c r="AAX44" s="390"/>
      <c r="AAY44" s="390"/>
      <c r="AAZ44" s="390"/>
      <c r="ABA44" s="390"/>
      <c r="ABB44" s="390"/>
      <c r="ABC44" s="390"/>
      <c r="ABD44" s="390"/>
      <c r="ABE44" s="390"/>
      <c r="ABF44" s="390"/>
      <c r="ABG44" s="390"/>
      <c r="ABH44" s="390"/>
      <c r="ABI44" s="390"/>
      <c r="ABJ44" s="390"/>
      <c r="ABK44" s="390"/>
      <c r="ABL44" s="390"/>
      <c r="ABM44" s="390"/>
      <c r="ABN44" s="390"/>
      <c r="ABO44" s="390"/>
      <c r="ABP44" s="390"/>
      <c r="ABQ44" s="390"/>
      <c r="ABR44" s="390"/>
      <c r="ABS44" s="390"/>
      <c r="ABT44" s="390"/>
      <c r="ABU44" s="390"/>
      <c r="ABV44" s="390"/>
      <c r="ABW44" s="390"/>
      <c r="ABX44" s="390"/>
      <c r="ABY44" s="390"/>
      <c r="ABZ44" s="390"/>
      <c r="ACA44" s="390"/>
      <c r="ACB44" s="390"/>
      <c r="ACC44" s="390"/>
      <c r="ACD44" s="390"/>
      <c r="ACE44" s="390"/>
      <c r="ACF44" s="390"/>
      <c r="ACG44" s="390"/>
      <c r="ACH44" s="390"/>
      <c r="ACI44" s="390"/>
    </row>
    <row r="45" spans="1:763" ht="13.95" customHeight="1" x14ac:dyDescent="0.3">
      <c r="A45" s="397" t="str">
        <f ca="1">Проект!$A$327</f>
        <v>средний оклад, в месяц</v>
      </c>
      <c r="B45" s="350">
        <f>Проект!$B$327</f>
        <v>35000</v>
      </c>
      <c r="C45" s="402" t="str">
        <f ca="1">Проект!$C$327</f>
        <v>руб.</v>
      </c>
      <c r="D45" s="399">
        <f ca="1">IFERROR(AVERAGE(Проект!$G$327:$R$327),"-")</f>
        <v>35952.374330941748</v>
      </c>
      <c r="E45" s="399">
        <f ca="1">IFERROR(AVERAGE(Проект!$S$327:$AD$327),"-")</f>
        <v>38109.516790798261</v>
      </c>
      <c r="F45" s="399">
        <f ca="1">IFERROR(AVERAGE(Проект!$AE$327:$AP$327),"-")</f>
        <v>40396.087798246175</v>
      </c>
      <c r="G45" s="399">
        <f ca="1">IFERROR(AVERAGE(Проект!$AQ$327:$BB$327),"-")</f>
        <v>42819.853066140939</v>
      </c>
      <c r="H45" s="396"/>
      <c r="I45" s="390"/>
      <c r="J45" s="390"/>
      <c r="K45" s="390"/>
      <c r="L45" s="390"/>
      <c r="M45" s="390"/>
      <c r="N45" s="390"/>
      <c r="O45" s="390"/>
      <c r="P45" s="390"/>
      <c r="Q45" s="390"/>
      <c r="R45" s="390"/>
      <c r="S45" s="390"/>
      <c r="T45" s="390"/>
      <c r="U45" s="390"/>
      <c r="V45" s="390"/>
      <c r="W45" s="390"/>
      <c r="X45" s="390"/>
      <c r="Y45" s="390"/>
      <c r="Z45" s="390"/>
      <c r="AA45" s="390"/>
      <c r="AB45" s="390"/>
      <c r="AC45" s="390"/>
      <c r="AD45" s="390"/>
      <c r="AE45" s="390"/>
      <c r="AF45" s="390"/>
      <c r="AG45" s="390"/>
      <c r="AH45" s="390"/>
      <c r="AI45" s="390"/>
      <c r="AJ45" s="390"/>
      <c r="AK45" s="390"/>
      <c r="AL45" s="390"/>
      <c r="AM45" s="390"/>
      <c r="AN45" s="390"/>
      <c r="AO45" s="390"/>
      <c r="AP45" s="390"/>
      <c r="AQ45" s="390"/>
      <c r="AR45" s="390"/>
      <c r="AS45" s="390"/>
      <c r="AT45" s="390"/>
      <c r="AU45" s="390"/>
      <c r="AV45" s="390"/>
      <c r="AW45" s="390"/>
      <c r="AX45" s="390"/>
      <c r="AY45" s="390"/>
      <c r="AZ45" s="390"/>
      <c r="BA45" s="390"/>
      <c r="BB45" s="390"/>
      <c r="BC45" s="390"/>
      <c r="BD45" s="390"/>
      <c r="BE45" s="390"/>
      <c r="BF45" s="390"/>
      <c r="BG45" s="390"/>
      <c r="BH45" s="390"/>
      <c r="BI45" s="390"/>
      <c r="BJ45" s="390"/>
      <c r="BK45" s="390"/>
      <c r="BL45" s="390"/>
      <c r="BM45" s="390"/>
      <c r="BN45" s="390"/>
      <c r="BO45" s="390"/>
      <c r="BP45" s="390"/>
      <c r="BQ45" s="390"/>
      <c r="BR45" s="390"/>
      <c r="BS45" s="390"/>
      <c r="BT45" s="390"/>
      <c r="BU45" s="390"/>
      <c r="BV45" s="390"/>
      <c r="BW45" s="390"/>
      <c r="BX45" s="390"/>
      <c r="BY45" s="390"/>
      <c r="BZ45" s="390"/>
      <c r="CA45" s="390"/>
      <c r="CB45" s="390"/>
      <c r="CC45" s="390"/>
      <c r="CD45" s="390"/>
      <c r="CE45" s="390"/>
      <c r="CF45" s="390"/>
      <c r="CG45" s="390"/>
      <c r="CH45" s="390"/>
      <c r="CI45" s="390"/>
      <c r="CJ45" s="390"/>
      <c r="CK45" s="390"/>
      <c r="CL45" s="390"/>
      <c r="CM45" s="390"/>
      <c r="CN45" s="390"/>
      <c r="CO45" s="390"/>
      <c r="CP45" s="390"/>
      <c r="CQ45" s="390"/>
      <c r="CR45" s="390"/>
      <c r="CS45" s="390"/>
      <c r="CT45" s="390"/>
      <c r="CU45" s="390"/>
      <c r="CV45" s="390"/>
      <c r="CW45" s="390"/>
      <c r="CX45" s="390"/>
      <c r="CY45" s="390"/>
      <c r="CZ45" s="390"/>
      <c r="DA45" s="390"/>
      <c r="DB45" s="390"/>
      <c r="DC45" s="390"/>
      <c r="DD45" s="390"/>
      <c r="DE45" s="390"/>
      <c r="DF45" s="390"/>
      <c r="DG45" s="390"/>
      <c r="DH45" s="390"/>
      <c r="DI45" s="390"/>
      <c r="DJ45" s="390"/>
      <c r="DK45" s="390"/>
      <c r="DL45" s="390"/>
      <c r="DM45" s="390"/>
      <c r="DN45" s="390"/>
      <c r="DO45" s="390"/>
      <c r="DP45" s="390"/>
      <c r="DQ45" s="390"/>
      <c r="DR45" s="390"/>
      <c r="DS45" s="390"/>
      <c r="DT45" s="390"/>
      <c r="DU45" s="390"/>
      <c r="DV45" s="390"/>
      <c r="DW45" s="390"/>
      <c r="DX45" s="390"/>
      <c r="DY45" s="390"/>
      <c r="DZ45" s="390"/>
      <c r="EA45" s="390"/>
      <c r="EB45" s="390"/>
      <c r="EC45" s="390"/>
      <c r="ED45" s="390"/>
      <c r="EE45" s="390"/>
      <c r="EF45" s="390"/>
      <c r="EG45" s="390"/>
      <c r="EH45" s="390"/>
      <c r="EI45" s="390"/>
      <c r="EJ45" s="390"/>
      <c r="EK45" s="390"/>
      <c r="EL45" s="390"/>
      <c r="EM45" s="390"/>
      <c r="EN45" s="390"/>
      <c r="EO45" s="390"/>
      <c r="EP45" s="390"/>
      <c r="EQ45" s="390"/>
      <c r="ER45" s="390"/>
      <c r="ES45" s="390"/>
      <c r="ET45" s="390"/>
      <c r="EU45" s="390"/>
      <c r="EV45" s="390"/>
      <c r="EW45" s="390"/>
      <c r="EX45" s="390"/>
      <c r="EY45" s="390"/>
      <c r="EZ45" s="390"/>
      <c r="FA45" s="390"/>
      <c r="FB45" s="390"/>
      <c r="FC45" s="390"/>
      <c r="FD45" s="390"/>
      <c r="FE45" s="390"/>
      <c r="FF45" s="390"/>
      <c r="FG45" s="390"/>
      <c r="FH45" s="390"/>
      <c r="FI45" s="390"/>
      <c r="FJ45" s="390"/>
      <c r="FK45" s="390"/>
      <c r="FL45" s="390"/>
      <c r="FM45" s="390"/>
      <c r="FN45" s="390"/>
      <c r="FO45" s="390"/>
      <c r="FP45" s="390"/>
      <c r="FQ45" s="390"/>
      <c r="FR45" s="390"/>
      <c r="FS45" s="390"/>
      <c r="FT45" s="390"/>
      <c r="FU45" s="390"/>
      <c r="FV45" s="390"/>
      <c r="FW45" s="390"/>
      <c r="FX45" s="390"/>
      <c r="FY45" s="390"/>
      <c r="FZ45" s="390"/>
      <c r="GA45" s="390"/>
      <c r="GB45" s="390"/>
      <c r="GC45" s="390"/>
      <c r="GD45" s="390"/>
      <c r="GE45" s="390"/>
      <c r="GF45" s="390"/>
      <c r="GG45" s="390"/>
      <c r="GH45" s="390"/>
      <c r="GI45" s="390"/>
      <c r="GJ45" s="390"/>
      <c r="GK45" s="390"/>
      <c r="GL45" s="390"/>
      <c r="GM45" s="390"/>
      <c r="GN45" s="390"/>
      <c r="GO45" s="390"/>
      <c r="GP45" s="390"/>
      <c r="GQ45" s="390"/>
      <c r="GR45" s="390"/>
      <c r="GS45" s="390"/>
      <c r="GT45" s="390"/>
      <c r="GU45" s="390"/>
      <c r="GV45" s="390"/>
      <c r="GW45" s="390"/>
      <c r="GX45" s="390"/>
      <c r="GY45" s="390"/>
      <c r="GZ45" s="390"/>
      <c r="HA45" s="390"/>
      <c r="HB45" s="390"/>
      <c r="HC45" s="390"/>
      <c r="HD45" s="390"/>
      <c r="HE45" s="390"/>
      <c r="HF45" s="390"/>
      <c r="HG45" s="390"/>
      <c r="HH45" s="390"/>
      <c r="HI45" s="390"/>
      <c r="HJ45" s="390"/>
      <c r="HK45" s="390"/>
      <c r="HL45" s="390"/>
      <c r="HM45" s="390"/>
      <c r="HN45" s="390"/>
      <c r="HO45" s="390"/>
      <c r="HP45" s="390"/>
      <c r="HQ45" s="390"/>
      <c r="HR45" s="390"/>
      <c r="HS45" s="390"/>
      <c r="HT45" s="390"/>
      <c r="HU45" s="390"/>
      <c r="HV45" s="390"/>
      <c r="HW45" s="390"/>
      <c r="HX45" s="390"/>
      <c r="HY45" s="390"/>
      <c r="HZ45" s="390"/>
      <c r="IA45" s="390"/>
      <c r="IB45" s="390"/>
      <c r="IC45" s="390"/>
      <c r="ID45" s="390"/>
      <c r="IE45" s="390"/>
      <c r="IF45" s="390"/>
      <c r="IG45" s="390"/>
      <c r="IH45" s="390"/>
      <c r="II45" s="390"/>
      <c r="IJ45" s="390"/>
      <c r="IK45" s="390"/>
      <c r="IL45" s="390"/>
      <c r="IM45" s="390"/>
      <c r="IN45" s="390"/>
      <c r="IO45" s="390"/>
      <c r="IP45" s="390"/>
      <c r="IQ45" s="390"/>
      <c r="IR45" s="390"/>
      <c r="IS45" s="390"/>
      <c r="IT45" s="390"/>
      <c r="IU45" s="390"/>
      <c r="IV45" s="390"/>
      <c r="IW45" s="390"/>
      <c r="IX45" s="390"/>
      <c r="IY45" s="390"/>
      <c r="IZ45" s="390"/>
      <c r="JA45" s="390"/>
      <c r="JB45" s="390"/>
      <c r="JC45" s="390"/>
      <c r="JD45" s="390"/>
      <c r="JE45" s="390"/>
      <c r="JF45" s="390"/>
      <c r="JG45" s="390"/>
      <c r="JH45" s="390"/>
      <c r="JI45" s="390"/>
      <c r="JJ45" s="390"/>
      <c r="JK45" s="390"/>
      <c r="JL45" s="390"/>
      <c r="JM45" s="390"/>
      <c r="JN45" s="390"/>
      <c r="JO45" s="390"/>
      <c r="JP45" s="390"/>
      <c r="JQ45" s="390"/>
      <c r="JR45" s="390"/>
      <c r="JS45" s="390"/>
      <c r="JT45" s="390"/>
      <c r="JU45" s="390"/>
      <c r="JV45" s="390"/>
      <c r="JW45" s="390"/>
      <c r="JX45" s="390"/>
      <c r="JY45" s="390"/>
      <c r="JZ45" s="390"/>
      <c r="KA45" s="390"/>
      <c r="KB45" s="390"/>
      <c r="KC45" s="390"/>
      <c r="KD45" s="390"/>
      <c r="KE45" s="390"/>
      <c r="KF45" s="390"/>
      <c r="KG45" s="390"/>
      <c r="KH45" s="390"/>
      <c r="KI45" s="390"/>
      <c r="KJ45" s="390"/>
      <c r="KK45" s="390"/>
      <c r="KL45" s="390"/>
      <c r="KM45" s="390"/>
      <c r="KN45" s="390"/>
      <c r="KO45" s="390"/>
      <c r="KP45" s="390"/>
      <c r="KQ45" s="390"/>
      <c r="KR45" s="390"/>
      <c r="KS45" s="390"/>
      <c r="KT45" s="390"/>
      <c r="KU45" s="390"/>
      <c r="KV45" s="390"/>
      <c r="KW45" s="390"/>
      <c r="KX45" s="390"/>
      <c r="KY45" s="390"/>
      <c r="KZ45" s="390"/>
      <c r="LA45" s="390"/>
      <c r="LB45" s="390"/>
      <c r="LC45" s="390"/>
      <c r="LD45" s="390"/>
      <c r="LE45" s="390"/>
      <c r="LF45" s="390"/>
      <c r="LG45" s="390"/>
      <c r="LH45" s="390"/>
      <c r="LI45" s="390"/>
      <c r="LJ45" s="390"/>
      <c r="LK45" s="390"/>
      <c r="LL45" s="390"/>
      <c r="LM45" s="390"/>
      <c r="LN45" s="390"/>
      <c r="LO45" s="390"/>
      <c r="LP45" s="390"/>
      <c r="LQ45" s="390"/>
      <c r="LR45" s="390"/>
      <c r="LS45" s="390"/>
      <c r="LT45" s="390"/>
      <c r="LU45" s="390"/>
      <c r="LV45" s="390"/>
      <c r="LW45" s="390"/>
      <c r="LX45" s="390"/>
      <c r="LY45" s="390"/>
      <c r="LZ45" s="390"/>
      <c r="MA45" s="390"/>
      <c r="MB45" s="390"/>
      <c r="MC45" s="390"/>
      <c r="MD45" s="390"/>
      <c r="ME45" s="390"/>
      <c r="MF45" s="390"/>
      <c r="MG45" s="390"/>
      <c r="MH45" s="390"/>
      <c r="MI45" s="390"/>
      <c r="MJ45" s="390"/>
      <c r="MK45" s="390"/>
      <c r="ML45" s="390"/>
      <c r="MM45" s="390"/>
      <c r="MN45" s="390"/>
      <c r="MO45" s="390"/>
      <c r="MP45" s="390"/>
      <c r="MQ45" s="390"/>
      <c r="MR45" s="390"/>
      <c r="MS45" s="390"/>
      <c r="MT45" s="390"/>
      <c r="MU45" s="390"/>
      <c r="MV45" s="390"/>
      <c r="MW45" s="390"/>
      <c r="MX45" s="390"/>
      <c r="MY45" s="390"/>
      <c r="MZ45" s="390"/>
      <c r="NA45" s="390"/>
      <c r="NB45" s="390"/>
      <c r="NC45" s="390"/>
      <c r="ND45" s="390"/>
      <c r="NE45" s="390"/>
      <c r="NF45" s="390"/>
      <c r="NG45" s="390"/>
      <c r="NH45" s="390"/>
      <c r="NI45" s="390"/>
      <c r="NJ45" s="390"/>
      <c r="NK45" s="390"/>
      <c r="NL45" s="390"/>
      <c r="NM45" s="390"/>
      <c r="NN45" s="390"/>
      <c r="NO45" s="390"/>
      <c r="NP45" s="390"/>
      <c r="NQ45" s="390"/>
      <c r="NR45" s="390"/>
      <c r="NS45" s="390"/>
      <c r="NT45" s="390"/>
      <c r="NU45" s="390"/>
      <c r="NV45" s="390"/>
      <c r="NW45" s="390"/>
      <c r="NX45" s="390"/>
      <c r="NY45" s="390"/>
      <c r="NZ45" s="390"/>
      <c r="OA45" s="390"/>
      <c r="OB45" s="390"/>
      <c r="OC45" s="390"/>
      <c r="OD45" s="390"/>
      <c r="OE45" s="390"/>
      <c r="OF45" s="390"/>
      <c r="OG45" s="390"/>
      <c r="OH45" s="390"/>
      <c r="OI45" s="390"/>
      <c r="OJ45" s="390"/>
      <c r="OK45" s="390"/>
      <c r="OL45" s="390"/>
      <c r="OM45" s="390"/>
      <c r="ON45" s="390"/>
      <c r="OO45" s="390"/>
      <c r="OP45" s="390"/>
      <c r="OQ45" s="390"/>
      <c r="OR45" s="390"/>
      <c r="OS45" s="390"/>
      <c r="OT45" s="390"/>
      <c r="OU45" s="390"/>
      <c r="OV45" s="390"/>
      <c r="OW45" s="390"/>
      <c r="OX45" s="390"/>
      <c r="OY45" s="390"/>
      <c r="OZ45" s="390"/>
      <c r="PA45" s="390"/>
      <c r="PB45" s="390"/>
      <c r="PC45" s="390"/>
      <c r="PD45" s="390"/>
      <c r="PE45" s="390"/>
      <c r="PF45" s="390"/>
      <c r="PG45" s="390"/>
      <c r="PH45" s="390"/>
      <c r="PI45" s="390"/>
      <c r="PJ45" s="390"/>
      <c r="PK45" s="390"/>
      <c r="PL45" s="390"/>
      <c r="PM45" s="390"/>
      <c r="PN45" s="390"/>
      <c r="PO45" s="390"/>
      <c r="PP45" s="390"/>
      <c r="PQ45" s="390"/>
      <c r="PR45" s="390"/>
      <c r="PS45" s="390"/>
      <c r="PT45" s="390"/>
      <c r="PU45" s="390"/>
      <c r="PV45" s="390"/>
      <c r="PW45" s="390"/>
      <c r="PX45" s="390"/>
      <c r="PY45" s="390"/>
      <c r="PZ45" s="390"/>
      <c r="QA45" s="390"/>
      <c r="QB45" s="390"/>
      <c r="QC45" s="390"/>
      <c r="QD45" s="390"/>
      <c r="QE45" s="390"/>
      <c r="QF45" s="390"/>
      <c r="QG45" s="390"/>
      <c r="QH45" s="390"/>
      <c r="QI45" s="390"/>
      <c r="QJ45" s="390"/>
      <c r="QK45" s="390"/>
      <c r="QL45" s="390"/>
      <c r="QM45" s="390"/>
      <c r="QN45" s="390"/>
      <c r="QO45" s="390"/>
      <c r="QP45" s="390"/>
      <c r="QQ45" s="390"/>
      <c r="QR45" s="390"/>
      <c r="QS45" s="390"/>
      <c r="QT45" s="390"/>
      <c r="QU45" s="390"/>
      <c r="QV45" s="390"/>
      <c r="QW45" s="390"/>
      <c r="QX45" s="390"/>
      <c r="QY45" s="390"/>
      <c r="QZ45" s="390"/>
      <c r="RA45" s="390"/>
      <c r="RB45" s="390"/>
      <c r="RC45" s="390"/>
      <c r="RD45" s="390"/>
      <c r="RE45" s="390"/>
      <c r="RF45" s="390"/>
      <c r="RG45" s="390"/>
      <c r="RH45" s="390"/>
      <c r="RI45" s="390"/>
      <c r="RJ45" s="390"/>
      <c r="RK45" s="390"/>
      <c r="RL45" s="390"/>
      <c r="RM45" s="390"/>
      <c r="RN45" s="390"/>
      <c r="RO45" s="390"/>
      <c r="RP45" s="390"/>
      <c r="RQ45" s="390"/>
      <c r="RR45" s="390"/>
      <c r="RS45" s="390"/>
      <c r="RT45" s="390"/>
      <c r="RU45" s="390"/>
      <c r="RV45" s="390"/>
      <c r="RW45" s="390"/>
      <c r="RX45" s="390"/>
      <c r="RY45" s="390"/>
      <c r="RZ45" s="390"/>
      <c r="SA45" s="390"/>
      <c r="SB45" s="390"/>
      <c r="SC45" s="390"/>
      <c r="SD45" s="390"/>
      <c r="SE45" s="390"/>
      <c r="SF45" s="390"/>
      <c r="SG45" s="390"/>
      <c r="SH45" s="390"/>
      <c r="SI45" s="390"/>
      <c r="SJ45" s="390"/>
      <c r="SK45" s="390"/>
      <c r="SL45" s="390"/>
      <c r="SM45" s="390"/>
      <c r="SN45" s="390"/>
      <c r="SO45" s="390"/>
      <c r="SP45" s="390"/>
      <c r="SQ45" s="390"/>
      <c r="SR45" s="390"/>
      <c r="SS45" s="390"/>
      <c r="ST45" s="390"/>
      <c r="SU45" s="390"/>
      <c r="SV45" s="390"/>
      <c r="SW45" s="390"/>
      <c r="SX45" s="390"/>
      <c r="SY45" s="390"/>
      <c r="SZ45" s="390"/>
      <c r="TA45" s="390"/>
      <c r="TB45" s="390"/>
      <c r="TC45" s="390"/>
      <c r="TD45" s="390"/>
      <c r="TE45" s="390"/>
      <c r="TF45" s="390"/>
      <c r="TG45" s="390"/>
      <c r="TH45" s="390"/>
      <c r="TI45" s="390"/>
      <c r="TJ45" s="390"/>
      <c r="TK45" s="390"/>
      <c r="TL45" s="390"/>
      <c r="TM45" s="390"/>
      <c r="TN45" s="390"/>
      <c r="TO45" s="390"/>
      <c r="TP45" s="390"/>
      <c r="TQ45" s="390"/>
      <c r="TR45" s="390"/>
      <c r="TS45" s="390"/>
      <c r="TT45" s="390"/>
      <c r="TU45" s="390"/>
      <c r="TV45" s="390"/>
      <c r="TW45" s="390"/>
      <c r="TX45" s="390"/>
      <c r="TY45" s="390"/>
      <c r="TZ45" s="390"/>
      <c r="UA45" s="390"/>
      <c r="UB45" s="390"/>
      <c r="UC45" s="390"/>
      <c r="UD45" s="390"/>
      <c r="UE45" s="390"/>
      <c r="UF45" s="390"/>
      <c r="UG45" s="390"/>
      <c r="UH45" s="390"/>
      <c r="UI45" s="390"/>
      <c r="UJ45" s="390"/>
      <c r="UK45" s="390"/>
      <c r="UL45" s="390"/>
      <c r="UM45" s="390"/>
      <c r="UN45" s="390"/>
      <c r="UO45" s="390"/>
      <c r="UP45" s="390"/>
      <c r="UQ45" s="390"/>
      <c r="UR45" s="390"/>
      <c r="US45" s="390"/>
      <c r="UT45" s="390"/>
      <c r="UU45" s="390"/>
      <c r="UV45" s="390"/>
      <c r="UW45" s="390"/>
      <c r="UX45" s="390"/>
      <c r="UY45" s="390"/>
      <c r="UZ45" s="390"/>
      <c r="VA45" s="390"/>
      <c r="VB45" s="390"/>
      <c r="VC45" s="390"/>
      <c r="VD45" s="390"/>
      <c r="VE45" s="390"/>
      <c r="VF45" s="390"/>
      <c r="VG45" s="390"/>
      <c r="VH45" s="390"/>
      <c r="VI45" s="390"/>
      <c r="VJ45" s="390"/>
      <c r="VK45" s="390"/>
      <c r="VL45" s="390"/>
      <c r="VM45" s="390"/>
      <c r="VN45" s="390"/>
      <c r="VO45" s="390"/>
      <c r="VP45" s="390"/>
      <c r="VQ45" s="390"/>
      <c r="VR45" s="390"/>
      <c r="VS45" s="390"/>
      <c r="VT45" s="390"/>
      <c r="VU45" s="390"/>
      <c r="VV45" s="390"/>
      <c r="VW45" s="390"/>
      <c r="VX45" s="390"/>
      <c r="VY45" s="390"/>
      <c r="VZ45" s="390"/>
      <c r="WA45" s="390"/>
      <c r="WB45" s="390"/>
      <c r="WC45" s="390"/>
      <c r="WD45" s="390"/>
      <c r="WE45" s="390"/>
      <c r="WF45" s="390"/>
      <c r="WG45" s="390"/>
      <c r="WH45" s="390"/>
      <c r="WI45" s="390"/>
      <c r="WJ45" s="390"/>
      <c r="WK45" s="390"/>
      <c r="WL45" s="390"/>
      <c r="WM45" s="390"/>
      <c r="WN45" s="390"/>
      <c r="WO45" s="390"/>
      <c r="WP45" s="390"/>
      <c r="WQ45" s="390"/>
      <c r="WR45" s="390"/>
      <c r="WS45" s="390"/>
      <c r="WT45" s="390"/>
      <c r="WU45" s="390"/>
      <c r="WV45" s="390"/>
      <c r="WW45" s="390"/>
      <c r="WX45" s="390"/>
      <c r="WY45" s="390"/>
      <c r="WZ45" s="390"/>
      <c r="XA45" s="390"/>
      <c r="XB45" s="390"/>
      <c r="XC45" s="390"/>
      <c r="XD45" s="390"/>
      <c r="XE45" s="390"/>
      <c r="XF45" s="390"/>
      <c r="XG45" s="390"/>
      <c r="XH45" s="390"/>
      <c r="XI45" s="390"/>
      <c r="XJ45" s="390"/>
      <c r="XK45" s="390"/>
      <c r="XL45" s="390"/>
      <c r="XM45" s="390"/>
      <c r="XN45" s="390"/>
      <c r="XO45" s="390"/>
      <c r="XP45" s="390"/>
      <c r="XQ45" s="390"/>
      <c r="XR45" s="390"/>
      <c r="XS45" s="390"/>
      <c r="XT45" s="390"/>
      <c r="XU45" s="390"/>
      <c r="XV45" s="390"/>
      <c r="XW45" s="390"/>
      <c r="XX45" s="390"/>
      <c r="XY45" s="390"/>
      <c r="XZ45" s="390"/>
      <c r="YA45" s="390"/>
      <c r="YB45" s="390"/>
      <c r="YC45" s="390"/>
      <c r="YD45" s="390"/>
      <c r="YE45" s="390"/>
      <c r="YF45" s="390"/>
      <c r="YG45" s="390"/>
      <c r="YH45" s="390"/>
      <c r="YI45" s="390"/>
      <c r="YJ45" s="390"/>
      <c r="YK45" s="390"/>
      <c r="YL45" s="390"/>
      <c r="YM45" s="390"/>
      <c r="YN45" s="390"/>
      <c r="YO45" s="390"/>
      <c r="YP45" s="390"/>
      <c r="YQ45" s="390"/>
      <c r="YR45" s="390"/>
      <c r="YS45" s="390"/>
      <c r="YT45" s="390"/>
      <c r="YU45" s="390"/>
      <c r="YV45" s="390"/>
      <c r="YW45" s="390"/>
      <c r="YX45" s="390"/>
      <c r="YY45" s="390"/>
      <c r="YZ45" s="390"/>
      <c r="ZA45" s="390"/>
      <c r="ZB45" s="390"/>
      <c r="ZC45" s="390"/>
      <c r="ZD45" s="390"/>
      <c r="ZE45" s="390"/>
      <c r="ZF45" s="390"/>
      <c r="ZG45" s="390"/>
      <c r="ZH45" s="390"/>
      <c r="ZI45" s="390"/>
      <c r="ZJ45" s="390"/>
      <c r="ZK45" s="390"/>
      <c r="ZL45" s="390"/>
      <c r="ZM45" s="390"/>
      <c r="ZN45" s="390"/>
      <c r="ZO45" s="390"/>
      <c r="ZP45" s="390"/>
      <c r="ZQ45" s="390"/>
      <c r="ZR45" s="390"/>
      <c r="ZS45" s="390"/>
      <c r="ZT45" s="390"/>
      <c r="ZU45" s="390"/>
      <c r="ZV45" s="390"/>
      <c r="ZW45" s="390"/>
      <c r="ZX45" s="390"/>
      <c r="ZY45" s="390"/>
      <c r="ZZ45" s="390"/>
      <c r="AAA45" s="390"/>
      <c r="AAB45" s="390"/>
      <c r="AAC45" s="390"/>
      <c r="AAD45" s="390"/>
      <c r="AAE45" s="390"/>
      <c r="AAF45" s="390"/>
      <c r="AAG45" s="390"/>
      <c r="AAH45" s="390"/>
      <c r="AAI45" s="390"/>
      <c r="AAJ45" s="390"/>
      <c r="AAK45" s="390"/>
      <c r="AAL45" s="390"/>
      <c r="AAM45" s="390"/>
      <c r="AAN45" s="390"/>
      <c r="AAO45" s="390"/>
      <c r="AAP45" s="390"/>
      <c r="AAQ45" s="390"/>
      <c r="AAR45" s="390"/>
      <c r="AAS45" s="390"/>
      <c r="AAT45" s="390"/>
      <c r="AAU45" s="390"/>
      <c r="AAV45" s="390"/>
      <c r="AAW45" s="390"/>
      <c r="AAX45" s="390"/>
      <c r="AAY45" s="390"/>
      <c r="AAZ45" s="390"/>
      <c r="ABA45" s="390"/>
      <c r="ABB45" s="390"/>
      <c r="ABC45" s="390"/>
      <c r="ABD45" s="390"/>
      <c r="ABE45" s="390"/>
      <c r="ABF45" s="390"/>
      <c r="ABG45" s="390"/>
      <c r="ABH45" s="390"/>
      <c r="ABI45" s="390"/>
      <c r="ABJ45" s="390"/>
      <c r="ABK45" s="390"/>
      <c r="ABL45" s="390"/>
      <c r="ABM45" s="390"/>
      <c r="ABN45" s="390"/>
      <c r="ABO45" s="390"/>
      <c r="ABP45" s="390"/>
      <c r="ABQ45" s="390"/>
      <c r="ABR45" s="390"/>
      <c r="ABS45" s="390"/>
      <c r="ABT45" s="390"/>
      <c r="ABU45" s="390"/>
      <c r="ABV45" s="390"/>
      <c r="ABW45" s="390"/>
      <c r="ABX45" s="390"/>
      <c r="ABY45" s="390"/>
      <c r="ABZ45" s="390"/>
      <c r="ACA45" s="390"/>
      <c r="ACB45" s="390"/>
      <c r="ACC45" s="390"/>
      <c r="ACD45" s="390"/>
      <c r="ACE45" s="390"/>
      <c r="ACF45" s="390"/>
      <c r="ACG45" s="390"/>
      <c r="ACH45" s="390"/>
      <c r="ACI45" s="390"/>
    </row>
    <row r="46" spans="1:763" ht="13.95" customHeight="1" x14ac:dyDescent="0.3">
      <c r="A46" s="397" t="str">
        <f ca="1">Проект!$A$328</f>
        <v>заработная плата</v>
      </c>
      <c r="B46" s="352" t="str">
        <f ca="1">Проект!$B$328</f>
        <v>за период</v>
      </c>
      <c r="C46" s="402" t="str">
        <f ca="1">Проект!$C$328</f>
        <v>руб.</v>
      </c>
      <c r="D46" s="399">
        <f ca="1">SUM(Проект!$G$328:$R$328)</f>
        <v>218856.38212582655</v>
      </c>
      <c r="E46" s="399">
        <f ca="1">SUM(Проект!$S$328:$AD$328)</f>
        <v>457314.20148957917</v>
      </c>
      <c r="F46" s="399">
        <f ca="1">SUM(Проект!$AE$328:$AP$328)</f>
        <v>484753.05357895407</v>
      </c>
      <c r="G46" s="399">
        <f ca="1">SUM(Проект!$AQ$328:$BB$328)</f>
        <v>513838.23679369123</v>
      </c>
      <c r="H46" s="392">
        <f ca="1">Проект!$BD$328</f>
        <v>1674761.873988051</v>
      </c>
      <c r="I46" s="390"/>
      <c r="J46" s="390"/>
      <c r="K46" s="390"/>
      <c r="L46" s="390"/>
      <c r="M46" s="390"/>
      <c r="N46" s="390"/>
      <c r="O46" s="390"/>
      <c r="P46" s="390"/>
      <c r="Q46" s="390"/>
      <c r="R46" s="390"/>
      <c r="S46" s="390"/>
      <c r="T46" s="390"/>
      <c r="U46" s="390"/>
      <c r="V46" s="390"/>
      <c r="W46" s="390"/>
      <c r="X46" s="390"/>
      <c r="Y46" s="390"/>
      <c r="Z46" s="390"/>
      <c r="AA46" s="390"/>
      <c r="AB46" s="390"/>
      <c r="AC46" s="390"/>
      <c r="AD46" s="390"/>
      <c r="AE46" s="390"/>
      <c r="AF46" s="390"/>
      <c r="AG46" s="390"/>
      <c r="AH46" s="390"/>
      <c r="AI46" s="390"/>
      <c r="AJ46" s="390"/>
      <c r="AK46" s="390"/>
      <c r="AL46" s="390"/>
      <c r="AM46" s="390"/>
      <c r="AN46" s="390"/>
      <c r="AO46" s="390"/>
      <c r="AP46" s="390"/>
      <c r="AQ46" s="390"/>
      <c r="AR46" s="390"/>
      <c r="AS46" s="390"/>
      <c r="AT46" s="390"/>
      <c r="AU46" s="390"/>
      <c r="AV46" s="390"/>
      <c r="AW46" s="390"/>
      <c r="AX46" s="390"/>
      <c r="AY46" s="390"/>
      <c r="AZ46" s="390"/>
      <c r="BA46" s="390"/>
      <c r="BB46" s="390"/>
      <c r="BC46" s="390"/>
      <c r="BD46" s="390"/>
      <c r="BE46" s="390"/>
      <c r="BF46" s="390"/>
      <c r="BG46" s="390"/>
      <c r="BH46" s="390"/>
      <c r="BI46" s="390"/>
      <c r="BJ46" s="390"/>
      <c r="BK46" s="390"/>
      <c r="BL46" s="390"/>
      <c r="BM46" s="390"/>
      <c r="BN46" s="390"/>
      <c r="BO46" s="390"/>
      <c r="BP46" s="390"/>
      <c r="BQ46" s="390"/>
      <c r="BR46" s="390"/>
      <c r="BS46" s="390"/>
      <c r="BT46" s="390"/>
      <c r="BU46" s="390"/>
      <c r="BV46" s="390"/>
      <c r="BW46" s="390"/>
      <c r="BX46" s="390"/>
      <c r="BY46" s="390"/>
      <c r="BZ46" s="390"/>
      <c r="CA46" s="390"/>
      <c r="CB46" s="390"/>
      <c r="CC46" s="390"/>
      <c r="CD46" s="390"/>
      <c r="CE46" s="390"/>
      <c r="CF46" s="390"/>
      <c r="CG46" s="390"/>
      <c r="CH46" s="390"/>
      <c r="CI46" s="390"/>
      <c r="CJ46" s="390"/>
      <c r="CK46" s="390"/>
      <c r="CL46" s="390"/>
      <c r="CM46" s="390"/>
      <c r="CN46" s="390"/>
      <c r="CO46" s="390"/>
      <c r="CP46" s="390"/>
      <c r="CQ46" s="390"/>
      <c r="CR46" s="390"/>
      <c r="CS46" s="390"/>
      <c r="CT46" s="390"/>
      <c r="CU46" s="390"/>
      <c r="CV46" s="390"/>
      <c r="CW46" s="390"/>
      <c r="CX46" s="390"/>
      <c r="CY46" s="390"/>
      <c r="CZ46" s="390"/>
      <c r="DA46" s="390"/>
      <c r="DB46" s="390"/>
      <c r="DC46" s="390"/>
      <c r="DD46" s="390"/>
      <c r="DE46" s="390"/>
      <c r="DF46" s="390"/>
      <c r="DG46" s="390"/>
      <c r="DH46" s="390"/>
      <c r="DI46" s="390"/>
      <c r="DJ46" s="390"/>
      <c r="DK46" s="390"/>
      <c r="DL46" s="390"/>
      <c r="DM46" s="390"/>
      <c r="DN46" s="390"/>
      <c r="DO46" s="390"/>
      <c r="DP46" s="390"/>
      <c r="DQ46" s="390"/>
      <c r="DR46" s="390"/>
      <c r="DS46" s="390"/>
      <c r="DT46" s="390"/>
      <c r="DU46" s="390"/>
      <c r="DV46" s="390"/>
      <c r="DW46" s="390"/>
      <c r="DX46" s="390"/>
      <c r="DY46" s="390"/>
      <c r="DZ46" s="390"/>
      <c r="EA46" s="390"/>
      <c r="EB46" s="390"/>
      <c r="EC46" s="390"/>
      <c r="ED46" s="390"/>
      <c r="EE46" s="390"/>
      <c r="EF46" s="390"/>
      <c r="EG46" s="390"/>
      <c r="EH46" s="390"/>
      <c r="EI46" s="390"/>
      <c r="EJ46" s="390"/>
      <c r="EK46" s="390"/>
      <c r="EL46" s="390"/>
      <c r="EM46" s="390"/>
      <c r="EN46" s="390"/>
      <c r="EO46" s="390"/>
      <c r="EP46" s="390"/>
      <c r="EQ46" s="390"/>
      <c r="ER46" s="390"/>
      <c r="ES46" s="390"/>
      <c r="ET46" s="390"/>
      <c r="EU46" s="390"/>
      <c r="EV46" s="390"/>
      <c r="EW46" s="390"/>
      <c r="EX46" s="390"/>
      <c r="EY46" s="390"/>
      <c r="EZ46" s="390"/>
      <c r="FA46" s="390"/>
      <c r="FB46" s="390"/>
      <c r="FC46" s="390"/>
      <c r="FD46" s="390"/>
      <c r="FE46" s="390"/>
      <c r="FF46" s="390"/>
      <c r="FG46" s="390"/>
      <c r="FH46" s="390"/>
      <c r="FI46" s="390"/>
      <c r="FJ46" s="390"/>
      <c r="FK46" s="390"/>
      <c r="FL46" s="390"/>
      <c r="FM46" s="390"/>
      <c r="FN46" s="390"/>
      <c r="FO46" s="390"/>
      <c r="FP46" s="390"/>
      <c r="FQ46" s="390"/>
      <c r="FR46" s="390"/>
      <c r="FS46" s="390"/>
      <c r="FT46" s="390"/>
      <c r="FU46" s="390"/>
      <c r="FV46" s="390"/>
      <c r="FW46" s="390"/>
      <c r="FX46" s="390"/>
      <c r="FY46" s="390"/>
      <c r="FZ46" s="390"/>
      <c r="GA46" s="390"/>
      <c r="GB46" s="390"/>
      <c r="GC46" s="390"/>
      <c r="GD46" s="390"/>
      <c r="GE46" s="390"/>
      <c r="GF46" s="390"/>
      <c r="GG46" s="390"/>
      <c r="GH46" s="390"/>
      <c r="GI46" s="390"/>
      <c r="GJ46" s="390"/>
      <c r="GK46" s="390"/>
      <c r="GL46" s="390"/>
      <c r="GM46" s="390"/>
      <c r="GN46" s="390"/>
      <c r="GO46" s="390"/>
      <c r="GP46" s="390"/>
      <c r="GQ46" s="390"/>
      <c r="GR46" s="390"/>
      <c r="GS46" s="390"/>
      <c r="GT46" s="390"/>
      <c r="GU46" s="390"/>
      <c r="GV46" s="390"/>
      <c r="GW46" s="390"/>
      <c r="GX46" s="390"/>
      <c r="GY46" s="390"/>
      <c r="GZ46" s="390"/>
      <c r="HA46" s="390"/>
      <c r="HB46" s="390"/>
      <c r="HC46" s="390"/>
      <c r="HD46" s="390"/>
      <c r="HE46" s="390"/>
      <c r="HF46" s="390"/>
      <c r="HG46" s="390"/>
      <c r="HH46" s="390"/>
      <c r="HI46" s="390"/>
      <c r="HJ46" s="390"/>
      <c r="HK46" s="390"/>
      <c r="HL46" s="390"/>
      <c r="HM46" s="390"/>
      <c r="HN46" s="390"/>
      <c r="HO46" s="390"/>
      <c r="HP46" s="390"/>
      <c r="HQ46" s="390"/>
      <c r="HR46" s="390"/>
      <c r="HS46" s="390"/>
      <c r="HT46" s="390"/>
      <c r="HU46" s="390"/>
      <c r="HV46" s="390"/>
      <c r="HW46" s="390"/>
      <c r="HX46" s="390"/>
      <c r="HY46" s="390"/>
      <c r="HZ46" s="390"/>
      <c r="IA46" s="390"/>
      <c r="IB46" s="390"/>
      <c r="IC46" s="390"/>
      <c r="ID46" s="390"/>
      <c r="IE46" s="390"/>
      <c r="IF46" s="390"/>
      <c r="IG46" s="390"/>
      <c r="IH46" s="390"/>
      <c r="II46" s="390"/>
      <c r="IJ46" s="390"/>
      <c r="IK46" s="390"/>
      <c r="IL46" s="390"/>
      <c r="IM46" s="390"/>
      <c r="IN46" s="390"/>
      <c r="IO46" s="390"/>
      <c r="IP46" s="390"/>
      <c r="IQ46" s="390"/>
      <c r="IR46" s="390"/>
      <c r="IS46" s="390"/>
      <c r="IT46" s="390"/>
      <c r="IU46" s="390"/>
      <c r="IV46" s="390"/>
      <c r="IW46" s="390"/>
      <c r="IX46" s="390"/>
      <c r="IY46" s="390"/>
      <c r="IZ46" s="390"/>
      <c r="JA46" s="390"/>
      <c r="JB46" s="390"/>
      <c r="JC46" s="390"/>
      <c r="JD46" s="390"/>
      <c r="JE46" s="390"/>
      <c r="JF46" s="390"/>
      <c r="JG46" s="390"/>
      <c r="JH46" s="390"/>
      <c r="JI46" s="390"/>
      <c r="JJ46" s="390"/>
      <c r="JK46" s="390"/>
      <c r="JL46" s="390"/>
      <c r="JM46" s="390"/>
      <c r="JN46" s="390"/>
      <c r="JO46" s="390"/>
      <c r="JP46" s="390"/>
      <c r="JQ46" s="390"/>
      <c r="JR46" s="390"/>
      <c r="JS46" s="390"/>
      <c r="JT46" s="390"/>
      <c r="JU46" s="390"/>
      <c r="JV46" s="390"/>
      <c r="JW46" s="390"/>
      <c r="JX46" s="390"/>
      <c r="JY46" s="390"/>
      <c r="JZ46" s="390"/>
      <c r="KA46" s="390"/>
      <c r="KB46" s="390"/>
      <c r="KC46" s="390"/>
      <c r="KD46" s="390"/>
      <c r="KE46" s="390"/>
      <c r="KF46" s="390"/>
      <c r="KG46" s="390"/>
      <c r="KH46" s="390"/>
      <c r="KI46" s="390"/>
      <c r="KJ46" s="390"/>
      <c r="KK46" s="390"/>
      <c r="KL46" s="390"/>
      <c r="KM46" s="390"/>
      <c r="KN46" s="390"/>
      <c r="KO46" s="390"/>
      <c r="KP46" s="390"/>
      <c r="KQ46" s="390"/>
      <c r="KR46" s="390"/>
      <c r="KS46" s="390"/>
      <c r="KT46" s="390"/>
      <c r="KU46" s="390"/>
      <c r="KV46" s="390"/>
      <c r="KW46" s="390"/>
      <c r="KX46" s="390"/>
      <c r="KY46" s="390"/>
      <c r="KZ46" s="390"/>
      <c r="LA46" s="390"/>
      <c r="LB46" s="390"/>
      <c r="LC46" s="390"/>
      <c r="LD46" s="390"/>
      <c r="LE46" s="390"/>
      <c r="LF46" s="390"/>
      <c r="LG46" s="390"/>
      <c r="LH46" s="390"/>
      <c r="LI46" s="390"/>
      <c r="LJ46" s="390"/>
      <c r="LK46" s="390"/>
      <c r="LL46" s="390"/>
      <c r="LM46" s="390"/>
      <c r="LN46" s="390"/>
      <c r="LO46" s="390"/>
      <c r="LP46" s="390"/>
      <c r="LQ46" s="390"/>
      <c r="LR46" s="390"/>
      <c r="LS46" s="390"/>
      <c r="LT46" s="390"/>
      <c r="LU46" s="390"/>
      <c r="LV46" s="390"/>
      <c r="LW46" s="390"/>
      <c r="LX46" s="390"/>
      <c r="LY46" s="390"/>
      <c r="LZ46" s="390"/>
      <c r="MA46" s="390"/>
      <c r="MB46" s="390"/>
      <c r="MC46" s="390"/>
      <c r="MD46" s="390"/>
      <c r="ME46" s="390"/>
      <c r="MF46" s="390"/>
      <c r="MG46" s="390"/>
      <c r="MH46" s="390"/>
      <c r="MI46" s="390"/>
      <c r="MJ46" s="390"/>
      <c r="MK46" s="390"/>
      <c r="ML46" s="390"/>
      <c r="MM46" s="390"/>
      <c r="MN46" s="390"/>
      <c r="MO46" s="390"/>
      <c r="MP46" s="390"/>
      <c r="MQ46" s="390"/>
      <c r="MR46" s="390"/>
      <c r="MS46" s="390"/>
      <c r="MT46" s="390"/>
      <c r="MU46" s="390"/>
      <c r="MV46" s="390"/>
      <c r="MW46" s="390"/>
      <c r="MX46" s="390"/>
      <c r="MY46" s="390"/>
      <c r="MZ46" s="390"/>
      <c r="NA46" s="390"/>
      <c r="NB46" s="390"/>
      <c r="NC46" s="390"/>
      <c r="ND46" s="390"/>
      <c r="NE46" s="390"/>
      <c r="NF46" s="390"/>
      <c r="NG46" s="390"/>
      <c r="NH46" s="390"/>
      <c r="NI46" s="390"/>
      <c r="NJ46" s="390"/>
      <c r="NK46" s="390"/>
      <c r="NL46" s="390"/>
      <c r="NM46" s="390"/>
      <c r="NN46" s="390"/>
      <c r="NO46" s="390"/>
      <c r="NP46" s="390"/>
      <c r="NQ46" s="390"/>
      <c r="NR46" s="390"/>
      <c r="NS46" s="390"/>
      <c r="NT46" s="390"/>
      <c r="NU46" s="390"/>
      <c r="NV46" s="390"/>
      <c r="NW46" s="390"/>
      <c r="NX46" s="390"/>
      <c r="NY46" s="390"/>
      <c r="NZ46" s="390"/>
      <c r="OA46" s="390"/>
      <c r="OB46" s="390"/>
      <c r="OC46" s="390"/>
      <c r="OD46" s="390"/>
      <c r="OE46" s="390"/>
      <c r="OF46" s="390"/>
      <c r="OG46" s="390"/>
      <c r="OH46" s="390"/>
      <c r="OI46" s="390"/>
      <c r="OJ46" s="390"/>
      <c r="OK46" s="390"/>
      <c r="OL46" s="390"/>
      <c r="OM46" s="390"/>
      <c r="ON46" s="390"/>
      <c r="OO46" s="390"/>
      <c r="OP46" s="390"/>
      <c r="OQ46" s="390"/>
      <c r="OR46" s="390"/>
      <c r="OS46" s="390"/>
      <c r="OT46" s="390"/>
      <c r="OU46" s="390"/>
      <c r="OV46" s="390"/>
      <c r="OW46" s="390"/>
      <c r="OX46" s="390"/>
      <c r="OY46" s="390"/>
      <c r="OZ46" s="390"/>
      <c r="PA46" s="390"/>
      <c r="PB46" s="390"/>
      <c r="PC46" s="390"/>
      <c r="PD46" s="390"/>
      <c r="PE46" s="390"/>
      <c r="PF46" s="390"/>
      <c r="PG46" s="390"/>
      <c r="PH46" s="390"/>
      <c r="PI46" s="390"/>
      <c r="PJ46" s="390"/>
      <c r="PK46" s="390"/>
      <c r="PL46" s="390"/>
      <c r="PM46" s="390"/>
      <c r="PN46" s="390"/>
      <c r="PO46" s="390"/>
      <c r="PP46" s="390"/>
      <c r="PQ46" s="390"/>
      <c r="PR46" s="390"/>
      <c r="PS46" s="390"/>
      <c r="PT46" s="390"/>
      <c r="PU46" s="390"/>
      <c r="PV46" s="390"/>
      <c r="PW46" s="390"/>
      <c r="PX46" s="390"/>
      <c r="PY46" s="390"/>
      <c r="PZ46" s="390"/>
      <c r="QA46" s="390"/>
      <c r="QB46" s="390"/>
      <c r="QC46" s="390"/>
      <c r="QD46" s="390"/>
      <c r="QE46" s="390"/>
      <c r="QF46" s="390"/>
      <c r="QG46" s="390"/>
      <c r="QH46" s="390"/>
      <c r="QI46" s="390"/>
      <c r="QJ46" s="390"/>
      <c r="QK46" s="390"/>
      <c r="QL46" s="390"/>
      <c r="QM46" s="390"/>
      <c r="QN46" s="390"/>
      <c r="QO46" s="390"/>
      <c r="QP46" s="390"/>
      <c r="QQ46" s="390"/>
      <c r="QR46" s="390"/>
      <c r="QS46" s="390"/>
      <c r="QT46" s="390"/>
      <c r="QU46" s="390"/>
      <c r="QV46" s="390"/>
      <c r="QW46" s="390"/>
      <c r="QX46" s="390"/>
      <c r="QY46" s="390"/>
      <c r="QZ46" s="390"/>
      <c r="RA46" s="390"/>
      <c r="RB46" s="390"/>
      <c r="RC46" s="390"/>
      <c r="RD46" s="390"/>
      <c r="RE46" s="390"/>
      <c r="RF46" s="390"/>
      <c r="RG46" s="390"/>
      <c r="RH46" s="390"/>
      <c r="RI46" s="390"/>
      <c r="RJ46" s="390"/>
      <c r="RK46" s="390"/>
      <c r="RL46" s="390"/>
      <c r="RM46" s="390"/>
      <c r="RN46" s="390"/>
      <c r="RO46" s="390"/>
      <c r="RP46" s="390"/>
      <c r="RQ46" s="390"/>
      <c r="RR46" s="390"/>
      <c r="RS46" s="390"/>
      <c r="RT46" s="390"/>
      <c r="RU46" s="390"/>
      <c r="RV46" s="390"/>
      <c r="RW46" s="390"/>
      <c r="RX46" s="390"/>
      <c r="RY46" s="390"/>
      <c r="RZ46" s="390"/>
      <c r="SA46" s="390"/>
      <c r="SB46" s="390"/>
      <c r="SC46" s="390"/>
      <c r="SD46" s="390"/>
      <c r="SE46" s="390"/>
      <c r="SF46" s="390"/>
      <c r="SG46" s="390"/>
      <c r="SH46" s="390"/>
      <c r="SI46" s="390"/>
      <c r="SJ46" s="390"/>
      <c r="SK46" s="390"/>
      <c r="SL46" s="390"/>
      <c r="SM46" s="390"/>
      <c r="SN46" s="390"/>
      <c r="SO46" s="390"/>
      <c r="SP46" s="390"/>
      <c r="SQ46" s="390"/>
      <c r="SR46" s="390"/>
      <c r="SS46" s="390"/>
      <c r="ST46" s="390"/>
      <c r="SU46" s="390"/>
      <c r="SV46" s="390"/>
      <c r="SW46" s="390"/>
      <c r="SX46" s="390"/>
      <c r="SY46" s="390"/>
      <c r="SZ46" s="390"/>
      <c r="TA46" s="390"/>
      <c r="TB46" s="390"/>
      <c r="TC46" s="390"/>
      <c r="TD46" s="390"/>
      <c r="TE46" s="390"/>
      <c r="TF46" s="390"/>
      <c r="TG46" s="390"/>
      <c r="TH46" s="390"/>
      <c r="TI46" s="390"/>
      <c r="TJ46" s="390"/>
      <c r="TK46" s="390"/>
      <c r="TL46" s="390"/>
      <c r="TM46" s="390"/>
      <c r="TN46" s="390"/>
      <c r="TO46" s="390"/>
      <c r="TP46" s="390"/>
      <c r="TQ46" s="390"/>
      <c r="TR46" s="390"/>
      <c r="TS46" s="390"/>
      <c r="TT46" s="390"/>
      <c r="TU46" s="390"/>
      <c r="TV46" s="390"/>
      <c r="TW46" s="390"/>
      <c r="TX46" s="390"/>
      <c r="TY46" s="390"/>
      <c r="TZ46" s="390"/>
      <c r="UA46" s="390"/>
      <c r="UB46" s="390"/>
      <c r="UC46" s="390"/>
      <c r="UD46" s="390"/>
      <c r="UE46" s="390"/>
      <c r="UF46" s="390"/>
      <c r="UG46" s="390"/>
      <c r="UH46" s="390"/>
      <c r="UI46" s="390"/>
      <c r="UJ46" s="390"/>
      <c r="UK46" s="390"/>
      <c r="UL46" s="390"/>
      <c r="UM46" s="390"/>
      <c r="UN46" s="390"/>
      <c r="UO46" s="390"/>
      <c r="UP46" s="390"/>
      <c r="UQ46" s="390"/>
      <c r="UR46" s="390"/>
      <c r="US46" s="390"/>
      <c r="UT46" s="390"/>
      <c r="UU46" s="390"/>
      <c r="UV46" s="390"/>
      <c r="UW46" s="390"/>
      <c r="UX46" s="390"/>
      <c r="UY46" s="390"/>
      <c r="UZ46" s="390"/>
      <c r="VA46" s="390"/>
      <c r="VB46" s="390"/>
      <c r="VC46" s="390"/>
      <c r="VD46" s="390"/>
      <c r="VE46" s="390"/>
      <c r="VF46" s="390"/>
      <c r="VG46" s="390"/>
      <c r="VH46" s="390"/>
      <c r="VI46" s="390"/>
      <c r="VJ46" s="390"/>
      <c r="VK46" s="390"/>
      <c r="VL46" s="390"/>
      <c r="VM46" s="390"/>
      <c r="VN46" s="390"/>
      <c r="VO46" s="390"/>
      <c r="VP46" s="390"/>
      <c r="VQ46" s="390"/>
      <c r="VR46" s="390"/>
      <c r="VS46" s="390"/>
      <c r="VT46" s="390"/>
      <c r="VU46" s="390"/>
      <c r="VV46" s="390"/>
      <c r="VW46" s="390"/>
      <c r="VX46" s="390"/>
      <c r="VY46" s="390"/>
      <c r="VZ46" s="390"/>
      <c r="WA46" s="390"/>
      <c r="WB46" s="390"/>
      <c r="WC46" s="390"/>
      <c r="WD46" s="390"/>
      <c r="WE46" s="390"/>
      <c r="WF46" s="390"/>
      <c r="WG46" s="390"/>
      <c r="WH46" s="390"/>
      <c r="WI46" s="390"/>
      <c r="WJ46" s="390"/>
      <c r="WK46" s="390"/>
      <c r="WL46" s="390"/>
      <c r="WM46" s="390"/>
      <c r="WN46" s="390"/>
      <c r="WO46" s="390"/>
      <c r="WP46" s="390"/>
      <c r="WQ46" s="390"/>
      <c r="WR46" s="390"/>
      <c r="WS46" s="390"/>
      <c r="WT46" s="390"/>
      <c r="WU46" s="390"/>
      <c r="WV46" s="390"/>
      <c r="WW46" s="390"/>
      <c r="WX46" s="390"/>
      <c r="WY46" s="390"/>
      <c r="WZ46" s="390"/>
      <c r="XA46" s="390"/>
      <c r="XB46" s="390"/>
      <c r="XC46" s="390"/>
      <c r="XD46" s="390"/>
      <c r="XE46" s="390"/>
      <c r="XF46" s="390"/>
      <c r="XG46" s="390"/>
      <c r="XH46" s="390"/>
      <c r="XI46" s="390"/>
      <c r="XJ46" s="390"/>
      <c r="XK46" s="390"/>
      <c r="XL46" s="390"/>
      <c r="XM46" s="390"/>
      <c r="XN46" s="390"/>
      <c r="XO46" s="390"/>
      <c r="XP46" s="390"/>
      <c r="XQ46" s="390"/>
      <c r="XR46" s="390"/>
      <c r="XS46" s="390"/>
      <c r="XT46" s="390"/>
      <c r="XU46" s="390"/>
      <c r="XV46" s="390"/>
      <c r="XW46" s="390"/>
      <c r="XX46" s="390"/>
      <c r="XY46" s="390"/>
      <c r="XZ46" s="390"/>
      <c r="YA46" s="390"/>
      <c r="YB46" s="390"/>
      <c r="YC46" s="390"/>
      <c r="YD46" s="390"/>
      <c r="YE46" s="390"/>
      <c r="YF46" s="390"/>
      <c r="YG46" s="390"/>
      <c r="YH46" s="390"/>
      <c r="YI46" s="390"/>
      <c r="YJ46" s="390"/>
      <c r="YK46" s="390"/>
      <c r="YL46" s="390"/>
      <c r="YM46" s="390"/>
      <c r="YN46" s="390"/>
      <c r="YO46" s="390"/>
      <c r="YP46" s="390"/>
      <c r="YQ46" s="390"/>
      <c r="YR46" s="390"/>
      <c r="YS46" s="390"/>
      <c r="YT46" s="390"/>
      <c r="YU46" s="390"/>
      <c r="YV46" s="390"/>
      <c r="YW46" s="390"/>
      <c r="YX46" s="390"/>
      <c r="YY46" s="390"/>
      <c r="YZ46" s="390"/>
      <c r="ZA46" s="390"/>
      <c r="ZB46" s="390"/>
      <c r="ZC46" s="390"/>
      <c r="ZD46" s="390"/>
      <c r="ZE46" s="390"/>
      <c r="ZF46" s="390"/>
      <c r="ZG46" s="390"/>
      <c r="ZH46" s="390"/>
      <c r="ZI46" s="390"/>
      <c r="ZJ46" s="390"/>
      <c r="ZK46" s="390"/>
      <c r="ZL46" s="390"/>
      <c r="ZM46" s="390"/>
      <c r="ZN46" s="390"/>
      <c r="ZO46" s="390"/>
      <c r="ZP46" s="390"/>
      <c r="ZQ46" s="390"/>
      <c r="ZR46" s="390"/>
      <c r="ZS46" s="390"/>
      <c r="ZT46" s="390"/>
      <c r="ZU46" s="390"/>
      <c r="ZV46" s="390"/>
      <c r="ZW46" s="390"/>
      <c r="ZX46" s="390"/>
      <c r="ZY46" s="390"/>
      <c r="ZZ46" s="390"/>
      <c r="AAA46" s="390"/>
      <c r="AAB46" s="390"/>
      <c r="AAC46" s="390"/>
      <c r="AAD46" s="390"/>
      <c r="AAE46" s="390"/>
      <c r="AAF46" s="390"/>
      <c r="AAG46" s="390"/>
      <c r="AAH46" s="390"/>
      <c r="AAI46" s="390"/>
      <c r="AAJ46" s="390"/>
      <c r="AAK46" s="390"/>
      <c r="AAL46" s="390"/>
      <c r="AAM46" s="390"/>
      <c r="AAN46" s="390"/>
      <c r="AAO46" s="390"/>
      <c r="AAP46" s="390"/>
      <c r="AAQ46" s="390"/>
      <c r="AAR46" s="390"/>
      <c r="AAS46" s="390"/>
      <c r="AAT46" s="390"/>
      <c r="AAU46" s="390"/>
      <c r="AAV46" s="390"/>
      <c r="AAW46" s="390"/>
      <c r="AAX46" s="390"/>
      <c r="AAY46" s="390"/>
      <c r="AAZ46" s="390"/>
      <c r="ABA46" s="390"/>
      <c r="ABB46" s="390"/>
      <c r="ABC46" s="390"/>
      <c r="ABD46" s="390"/>
      <c r="ABE46" s="390"/>
      <c r="ABF46" s="390"/>
      <c r="ABG46" s="390"/>
      <c r="ABH46" s="390"/>
      <c r="ABI46" s="390"/>
      <c r="ABJ46" s="390"/>
      <c r="ABK46" s="390"/>
      <c r="ABL46" s="390"/>
      <c r="ABM46" s="390"/>
      <c r="ABN46" s="390"/>
      <c r="ABO46" s="390"/>
      <c r="ABP46" s="390"/>
      <c r="ABQ46" s="390"/>
      <c r="ABR46" s="390"/>
      <c r="ABS46" s="390"/>
      <c r="ABT46" s="390"/>
      <c r="ABU46" s="390"/>
      <c r="ABV46" s="390"/>
      <c r="ABW46" s="390"/>
      <c r="ABX46" s="390"/>
      <c r="ABY46" s="390"/>
      <c r="ABZ46" s="390"/>
      <c r="ACA46" s="390"/>
      <c r="ACB46" s="390"/>
      <c r="ACC46" s="390"/>
      <c r="ACD46" s="390"/>
      <c r="ACE46" s="390"/>
      <c r="ACF46" s="390"/>
      <c r="ACG46" s="390"/>
      <c r="ACH46" s="390"/>
      <c r="ACI46" s="390"/>
    </row>
    <row r="47" spans="1:763" ht="13.95" customHeight="1" x14ac:dyDescent="0.3">
      <c r="A47" s="393" t="str">
        <f>Проект!$A$334</f>
        <v>Сотрудник бани</v>
      </c>
      <c r="B47" s="352"/>
      <c r="C47" s="402"/>
      <c r="D47" s="411"/>
      <c r="E47" s="411"/>
      <c r="F47" s="411"/>
      <c r="G47" s="411"/>
      <c r="H47" s="396"/>
      <c r="I47" s="390"/>
      <c r="J47" s="390"/>
      <c r="K47" s="390"/>
      <c r="L47" s="390"/>
      <c r="M47" s="390"/>
      <c r="N47" s="390"/>
      <c r="O47" s="390"/>
      <c r="P47" s="390"/>
      <c r="Q47" s="390"/>
      <c r="R47" s="390"/>
      <c r="S47" s="390"/>
      <c r="T47" s="390"/>
      <c r="U47" s="390"/>
      <c r="V47" s="390"/>
      <c r="W47" s="390"/>
      <c r="X47" s="390"/>
      <c r="Y47" s="390"/>
      <c r="Z47" s="390"/>
      <c r="AA47" s="390"/>
      <c r="AB47" s="390"/>
      <c r="AC47" s="390"/>
      <c r="AD47" s="390"/>
      <c r="AE47" s="390"/>
      <c r="AF47" s="390"/>
      <c r="AG47" s="390"/>
      <c r="AH47" s="390"/>
      <c r="AI47" s="390"/>
      <c r="AJ47" s="390"/>
      <c r="AK47" s="390"/>
      <c r="AL47" s="390"/>
      <c r="AM47" s="390"/>
      <c r="AN47" s="390"/>
      <c r="AO47" s="390"/>
      <c r="AP47" s="390"/>
      <c r="AQ47" s="390"/>
      <c r="AR47" s="390"/>
      <c r="AS47" s="390"/>
      <c r="AT47" s="390"/>
      <c r="AU47" s="390"/>
      <c r="AV47" s="390"/>
      <c r="AW47" s="390"/>
      <c r="AX47" s="390"/>
      <c r="AY47" s="390"/>
      <c r="AZ47" s="390"/>
      <c r="BA47" s="390"/>
      <c r="BB47" s="390"/>
      <c r="BC47" s="390"/>
      <c r="BD47" s="390"/>
      <c r="BE47" s="390"/>
      <c r="BF47" s="390"/>
      <c r="BG47" s="390"/>
      <c r="BH47" s="390"/>
      <c r="BI47" s="390"/>
      <c r="BJ47" s="390"/>
      <c r="BK47" s="390"/>
      <c r="BL47" s="390"/>
      <c r="BM47" s="390"/>
      <c r="BN47" s="390"/>
      <c r="BO47" s="390"/>
      <c r="BP47" s="390"/>
      <c r="BQ47" s="390"/>
      <c r="BR47" s="390"/>
      <c r="BS47" s="390"/>
      <c r="BT47" s="390"/>
      <c r="BU47" s="390"/>
      <c r="BV47" s="390"/>
      <c r="BW47" s="390"/>
      <c r="BX47" s="390"/>
      <c r="BY47" s="390"/>
      <c r="BZ47" s="390"/>
      <c r="CA47" s="390"/>
      <c r="CB47" s="390"/>
      <c r="CC47" s="390"/>
      <c r="CD47" s="390"/>
      <c r="CE47" s="390"/>
      <c r="CF47" s="390"/>
      <c r="CG47" s="390"/>
      <c r="CH47" s="390"/>
      <c r="CI47" s="390"/>
      <c r="CJ47" s="390"/>
      <c r="CK47" s="390"/>
      <c r="CL47" s="390"/>
      <c r="CM47" s="390"/>
      <c r="CN47" s="390"/>
      <c r="CO47" s="390"/>
      <c r="CP47" s="390"/>
      <c r="CQ47" s="390"/>
      <c r="CR47" s="390"/>
      <c r="CS47" s="390"/>
      <c r="CT47" s="390"/>
      <c r="CU47" s="390"/>
      <c r="CV47" s="390"/>
      <c r="CW47" s="390"/>
      <c r="CX47" s="390"/>
      <c r="CY47" s="390"/>
      <c r="CZ47" s="390"/>
      <c r="DA47" s="390"/>
      <c r="DB47" s="390"/>
      <c r="DC47" s="390"/>
      <c r="DD47" s="390"/>
      <c r="DE47" s="390"/>
      <c r="DF47" s="390"/>
      <c r="DG47" s="390"/>
      <c r="DH47" s="390"/>
      <c r="DI47" s="390"/>
      <c r="DJ47" s="390"/>
      <c r="DK47" s="390"/>
      <c r="DL47" s="390"/>
      <c r="DM47" s="390"/>
      <c r="DN47" s="390"/>
      <c r="DO47" s="390"/>
      <c r="DP47" s="390"/>
      <c r="DQ47" s="390"/>
      <c r="DR47" s="390"/>
      <c r="DS47" s="390"/>
      <c r="DT47" s="390"/>
      <c r="DU47" s="390"/>
      <c r="DV47" s="390"/>
      <c r="DW47" s="390"/>
      <c r="DX47" s="390"/>
      <c r="DY47" s="390"/>
      <c r="DZ47" s="390"/>
      <c r="EA47" s="390"/>
      <c r="EB47" s="390"/>
      <c r="EC47" s="390"/>
      <c r="ED47" s="390"/>
      <c r="EE47" s="390"/>
      <c r="EF47" s="390"/>
      <c r="EG47" s="390"/>
      <c r="EH47" s="390"/>
      <c r="EI47" s="390"/>
      <c r="EJ47" s="390"/>
      <c r="EK47" s="390"/>
      <c r="EL47" s="390"/>
      <c r="EM47" s="390"/>
      <c r="EN47" s="390"/>
      <c r="EO47" s="390"/>
      <c r="EP47" s="390"/>
      <c r="EQ47" s="390"/>
      <c r="ER47" s="390"/>
      <c r="ES47" s="390"/>
      <c r="ET47" s="390"/>
      <c r="EU47" s="390"/>
      <c r="EV47" s="390"/>
      <c r="EW47" s="390"/>
      <c r="EX47" s="390"/>
      <c r="EY47" s="390"/>
      <c r="EZ47" s="390"/>
      <c r="FA47" s="390"/>
      <c r="FB47" s="390"/>
      <c r="FC47" s="390"/>
      <c r="FD47" s="390"/>
      <c r="FE47" s="390"/>
      <c r="FF47" s="390"/>
      <c r="FG47" s="390"/>
      <c r="FH47" s="390"/>
      <c r="FI47" s="390"/>
      <c r="FJ47" s="390"/>
      <c r="FK47" s="390"/>
      <c r="FL47" s="390"/>
      <c r="FM47" s="390"/>
      <c r="FN47" s="390"/>
      <c r="FO47" s="390"/>
      <c r="FP47" s="390"/>
      <c r="FQ47" s="390"/>
      <c r="FR47" s="390"/>
      <c r="FS47" s="390"/>
      <c r="FT47" s="390"/>
      <c r="FU47" s="390"/>
      <c r="FV47" s="390"/>
      <c r="FW47" s="390"/>
      <c r="FX47" s="390"/>
      <c r="FY47" s="390"/>
      <c r="FZ47" s="390"/>
      <c r="GA47" s="390"/>
      <c r="GB47" s="390"/>
      <c r="GC47" s="390"/>
      <c r="GD47" s="390"/>
      <c r="GE47" s="390"/>
      <c r="GF47" s="390"/>
      <c r="GG47" s="390"/>
      <c r="GH47" s="390"/>
      <c r="GI47" s="390"/>
      <c r="GJ47" s="390"/>
      <c r="GK47" s="390"/>
      <c r="GL47" s="390"/>
      <c r="GM47" s="390"/>
      <c r="GN47" s="390"/>
      <c r="GO47" s="390"/>
      <c r="GP47" s="390"/>
      <c r="GQ47" s="390"/>
      <c r="GR47" s="390"/>
      <c r="GS47" s="390"/>
      <c r="GT47" s="390"/>
      <c r="GU47" s="390"/>
      <c r="GV47" s="390"/>
      <c r="GW47" s="390"/>
      <c r="GX47" s="390"/>
      <c r="GY47" s="390"/>
      <c r="GZ47" s="390"/>
      <c r="HA47" s="390"/>
      <c r="HB47" s="390"/>
      <c r="HC47" s="390"/>
      <c r="HD47" s="390"/>
      <c r="HE47" s="390"/>
      <c r="HF47" s="390"/>
      <c r="HG47" s="390"/>
      <c r="HH47" s="390"/>
      <c r="HI47" s="390"/>
      <c r="HJ47" s="390"/>
      <c r="HK47" s="390"/>
      <c r="HL47" s="390"/>
      <c r="HM47" s="390"/>
      <c r="HN47" s="390"/>
      <c r="HO47" s="390"/>
      <c r="HP47" s="390"/>
      <c r="HQ47" s="390"/>
      <c r="HR47" s="390"/>
      <c r="HS47" s="390"/>
      <c r="HT47" s="390"/>
      <c r="HU47" s="390"/>
      <c r="HV47" s="390"/>
      <c r="HW47" s="390"/>
      <c r="HX47" s="390"/>
      <c r="HY47" s="390"/>
      <c r="HZ47" s="390"/>
      <c r="IA47" s="390"/>
      <c r="IB47" s="390"/>
      <c r="IC47" s="390"/>
      <c r="ID47" s="390"/>
      <c r="IE47" s="390"/>
      <c r="IF47" s="390"/>
      <c r="IG47" s="390"/>
      <c r="IH47" s="390"/>
      <c r="II47" s="390"/>
      <c r="IJ47" s="390"/>
      <c r="IK47" s="390"/>
      <c r="IL47" s="390"/>
      <c r="IM47" s="390"/>
      <c r="IN47" s="390"/>
      <c r="IO47" s="390"/>
      <c r="IP47" s="390"/>
      <c r="IQ47" s="390"/>
      <c r="IR47" s="390"/>
      <c r="IS47" s="390"/>
      <c r="IT47" s="390"/>
      <c r="IU47" s="390"/>
      <c r="IV47" s="390"/>
      <c r="IW47" s="390"/>
      <c r="IX47" s="390"/>
      <c r="IY47" s="390"/>
      <c r="IZ47" s="390"/>
      <c r="JA47" s="390"/>
      <c r="JB47" s="390"/>
      <c r="JC47" s="390"/>
      <c r="JD47" s="390"/>
      <c r="JE47" s="390"/>
      <c r="JF47" s="390"/>
      <c r="JG47" s="390"/>
      <c r="JH47" s="390"/>
      <c r="JI47" s="390"/>
      <c r="JJ47" s="390"/>
      <c r="JK47" s="390"/>
      <c r="JL47" s="390"/>
      <c r="JM47" s="390"/>
      <c r="JN47" s="390"/>
      <c r="JO47" s="390"/>
      <c r="JP47" s="390"/>
      <c r="JQ47" s="390"/>
      <c r="JR47" s="390"/>
      <c r="JS47" s="390"/>
      <c r="JT47" s="390"/>
      <c r="JU47" s="390"/>
      <c r="JV47" s="390"/>
      <c r="JW47" s="390"/>
      <c r="JX47" s="390"/>
      <c r="JY47" s="390"/>
      <c r="JZ47" s="390"/>
      <c r="KA47" s="390"/>
      <c r="KB47" s="390"/>
      <c r="KC47" s="390"/>
      <c r="KD47" s="390"/>
      <c r="KE47" s="390"/>
      <c r="KF47" s="390"/>
      <c r="KG47" s="390"/>
      <c r="KH47" s="390"/>
      <c r="KI47" s="390"/>
      <c r="KJ47" s="390"/>
      <c r="KK47" s="390"/>
      <c r="KL47" s="390"/>
      <c r="KM47" s="390"/>
      <c r="KN47" s="390"/>
      <c r="KO47" s="390"/>
      <c r="KP47" s="390"/>
      <c r="KQ47" s="390"/>
      <c r="KR47" s="390"/>
      <c r="KS47" s="390"/>
      <c r="KT47" s="390"/>
      <c r="KU47" s="390"/>
      <c r="KV47" s="390"/>
      <c r="KW47" s="390"/>
      <c r="KX47" s="390"/>
      <c r="KY47" s="390"/>
      <c r="KZ47" s="390"/>
      <c r="LA47" s="390"/>
      <c r="LB47" s="390"/>
      <c r="LC47" s="390"/>
      <c r="LD47" s="390"/>
      <c r="LE47" s="390"/>
      <c r="LF47" s="390"/>
      <c r="LG47" s="390"/>
      <c r="LH47" s="390"/>
      <c r="LI47" s="390"/>
      <c r="LJ47" s="390"/>
      <c r="LK47" s="390"/>
      <c r="LL47" s="390"/>
      <c r="LM47" s="390"/>
      <c r="LN47" s="390"/>
      <c r="LO47" s="390"/>
      <c r="LP47" s="390"/>
      <c r="LQ47" s="390"/>
      <c r="LR47" s="390"/>
      <c r="LS47" s="390"/>
      <c r="LT47" s="390"/>
      <c r="LU47" s="390"/>
      <c r="LV47" s="390"/>
      <c r="LW47" s="390"/>
      <c r="LX47" s="390"/>
      <c r="LY47" s="390"/>
      <c r="LZ47" s="390"/>
      <c r="MA47" s="390"/>
      <c r="MB47" s="390"/>
      <c r="MC47" s="390"/>
      <c r="MD47" s="390"/>
      <c r="ME47" s="390"/>
      <c r="MF47" s="390"/>
      <c r="MG47" s="390"/>
      <c r="MH47" s="390"/>
      <c r="MI47" s="390"/>
      <c r="MJ47" s="390"/>
      <c r="MK47" s="390"/>
      <c r="ML47" s="390"/>
      <c r="MM47" s="390"/>
      <c r="MN47" s="390"/>
      <c r="MO47" s="390"/>
      <c r="MP47" s="390"/>
      <c r="MQ47" s="390"/>
      <c r="MR47" s="390"/>
      <c r="MS47" s="390"/>
      <c r="MT47" s="390"/>
      <c r="MU47" s="390"/>
      <c r="MV47" s="390"/>
      <c r="MW47" s="390"/>
      <c r="MX47" s="390"/>
      <c r="MY47" s="390"/>
      <c r="MZ47" s="390"/>
      <c r="NA47" s="390"/>
      <c r="NB47" s="390"/>
      <c r="NC47" s="390"/>
      <c r="ND47" s="390"/>
      <c r="NE47" s="390"/>
      <c r="NF47" s="390"/>
      <c r="NG47" s="390"/>
      <c r="NH47" s="390"/>
      <c r="NI47" s="390"/>
      <c r="NJ47" s="390"/>
      <c r="NK47" s="390"/>
      <c r="NL47" s="390"/>
      <c r="NM47" s="390"/>
      <c r="NN47" s="390"/>
      <c r="NO47" s="390"/>
      <c r="NP47" s="390"/>
      <c r="NQ47" s="390"/>
      <c r="NR47" s="390"/>
      <c r="NS47" s="390"/>
      <c r="NT47" s="390"/>
      <c r="NU47" s="390"/>
      <c r="NV47" s="390"/>
      <c r="NW47" s="390"/>
      <c r="NX47" s="390"/>
      <c r="NY47" s="390"/>
      <c r="NZ47" s="390"/>
      <c r="OA47" s="390"/>
      <c r="OB47" s="390"/>
      <c r="OC47" s="390"/>
      <c r="OD47" s="390"/>
      <c r="OE47" s="390"/>
      <c r="OF47" s="390"/>
      <c r="OG47" s="390"/>
      <c r="OH47" s="390"/>
      <c r="OI47" s="390"/>
      <c r="OJ47" s="390"/>
      <c r="OK47" s="390"/>
      <c r="OL47" s="390"/>
      <c r="OM47" s="390"/>
      <c r="ON47" s="390"/>
      <c r="OO47" s="390"/>
      <c r="OP47" s="390"/>
      <c r="OQ47" s="390"/>
      <c r="OR47" s="390"/>
      <c r="OS47" s="390"/>
      <c r="OT47" s="390"/>
      <c r="OU47" s="390"/>
      <c r="OV47" s="390"/>
      <c r="OW47" s="390"/>
      <c r="OX47" s="390"/>
      <c r="OY47" s="390"/>
      <c r="OZ47" s="390"/>
      <c r="PA47" s="390"/>
      <c r="PB47" s="390"/>
      <c r="PC47" s="390"/>
      <c r="PD47" s="390"/>
      <c r="PE47" s="390"/>
      <c r="PF47" s="390"/>
      <c r="PG47" s="390"/>
      <c r="PH47" s="390"/>
      <c r="PI47" s="390"/>
      <c r="PJ47" s="390"/>
      <c r="PK47" s="390"/>
      <c r="PL47" s="390"/>
      <c r="PM47" s="390"/>
      <c r="PN47" s="390"/>
      <c r="PO47" s="390"/>
      <c r="PP47" s="390"/>
      <c r="PQ47" s="390"/>
      <c r="PR47" s="390"/>
      <c r="PS47" s="390"/>
      <c r="PT47" s="390"/>
      <c r="PU47" s="390"/>
      <c r="PV47" s="390"/>
      <c r="PW47" s="390"/>
      <c r="PX47" s="390"/>
      <c r="PY47" s="390"/>
      <c r="PZ47" s="390"/>
      <c r="QA47" s="390"/>
      <c r="QB47" s="390"/>
      <c r="QC47" s="390"/>
      <c r="QD47" s="390"/>
      <c r="QE47" s="390"/>
      <c r="QF47" s="390"/>
      <c r="QG47" s="390"/>
      <c r="QH47" s="390"/>
      <c r="QI47" s="390"/>
      <c r="QJ47" s="390"/>
      <c r="QK47" s="390"/>
      <c r="QL47" s="390"/>
      <c r="QM47" s="390"/>
      <c r="QN47" s="390"/>
      <c r="QO47" s="390"/>
      <c r="QP47" s="390"/>
      <c r="QQ47" s="390"/>
      <c r="QR47" s="390"/>
      <c r="QS47" s="390"/>
      <c r="QT47" s="390"/>
      <c r="QU47" s="390"/>
      <c r="QV47" s="390"/>
      <c r="QW47" s="390"/>
      <c r="QX47" s="390"/>
      <c r="QY47" s="390"/>
      <c r="QZ47" s="390"/>
      <c r="RA47" s="390"/>
      <c r="RB47" s="390"/>
      <c r="RC47" s="390"/>
      <c r="RD47" s="390"/>
      <c r="RE47" s="390"/>
      <c r="RF47" s="390"/>
      <c r="RG47" s="390"/>
      <c r="RH47" s="390"/>
      <c r="RI47" s="390"/>
      <c r="RJ47" s="390"/>
      <c r="RK47" s="390"/>
      <c r="RL47" s="390"/>
      <c r="RM47" s="390"/>
      <c r="RN47" s="390"/>
      <c r="RO47" s="390"/>
      <c r="RP47" s="390"/>
      <c r="RQ47" s="390"/>
      <c r="RR47" s="390"/>
      <c r="RS47" s="390"/>
      <c r="RT47" s="390"/>
      <c r="RU47" s="390"/>
      <c r="RV47" s="390"/>
      <c r="RW47" s="390"/>
      <c r="RX47" s="390"/>
      <c r="RY47" s="390"/>
      <c r="RZ47" s="390"/>
      <c r="SA47" s="390"/>
      <c r="SB47" s="390"/>
      <c r="SC47" s="390"/>
      <c r="SD47" s="390"/>
      <c r="SE47" s="390"/>
      <c r="SF47" s="390"/>
      <c r="SG47" s="390"/>
      <c r="SH47" s="390"/>
      <c r="SI47" s="390"/>
      <c r="SJ47" s="390"/>
      <c r="SK47" s="390"/>
      <c r="SL47" s="390"/>
      <c r="SM47" s="390"/>
      <c r="SN47" s="390"/>
      <c r="SO47" s="390"/>
      <c r="SP47" s="390"/>
      <c r="SQ47" s="390"/>
      <c r="SR47" s="390"/>
      <c r="SS47" s="390"/>
      <c r="ST47" s="390"/>
      <c r="SU47" s="390"/>
      <c r="SV47" s="390"/>
      <c r="SW47" s="390"/>
      <c r="SX47" s="390"/>
      <c r="SY47" s="390"/>
      <c r="SZ47" s="390"/>
      <c r="TA47" s="390"/>
      <c r="TB47" s="390"/>
      <c r="TC47" s="390"/>
      <c r="TD47" s="390"/>
      <c r="TE47" s="390"/>
      <c r="TF47" s="390"/>
      <c r="TG47" s="390"/>
      <c r="TH47" s="390"/>
      <c r="TI47" s="390"/>
      <c r="TJ47" s="390"/>
      <c r="TK47" s="390"/>
      <c r="TL47" s="390"/>
      <c r="TM47" s="390"/>
      <c r="TN47" s="390"/>
      <c r="TO47" s="390"/>
      <c r="TP47" s="390"/>
      <c r="TQ47" s="390"/>
      <c r="TR47" s="390"/>
      <c r="TS47" s="390"/>
      <c r="TT47" s="390"/>
      <c r="TU47" s="390"/>
      <c r="TV47" s="390"/>
      <c r="TW47" s="390"/>
      <c r="TX47" s="390"/>
      <c r="TY47" s="390"/>
      <c r="TZ47" s="390"/>
      <c r="UA47" s="390"/>
      <c r="UB47" s="390"/>
      <c r="UC47" s="390"/>
      <c r="UD47" s="390"/>
      <c r="UE47" s="390"/>
      <c r="UF47" s="390"/>
      <c r="UG47" s="390"/>
      <c r="UH47" s="390"/>
      <c r="UI47" s="390"/>
      <c r="UJ47" s="390"/>
      <c r="UK47" s="390"/>
      <c r="UL47" s="390"/>
      <c r="UM47" s="390"/>
      <c r="UN47" s="390"/>
      <c r="UO47" s="390"/>
      <c r="UP47" s="390"/>
      <c r="UQ47" s="390"/>
      <c r="UR47" s="390"/>
      <c r="US47" s="390"/>
      <c r="UT47" s="390"/>
      <c r="UU47" s="390"/>
      <c r="UV47" s="390"/>
      <c r="UW47" s="390"/>
      <c r="UX47" s="390"/>
      <c r="UY47" s="390"/>
      <c r="UZ47" s="390"/>
      <c r="VA47" s="390"/>
      <c r="VB47" s="390"/>
      <c r="VC47" s="390"/>
      <c r="VD47" s="390"/>
      <c r="VE47" s="390"/>
      <c r="VF47" s="390"/>
      <c r="VG47" s="390"/>
      <c r="VH47" s="390"/>
      <c r="VI47" s="390"/>
      <c r="VJ47" s="390"/>
      <c r="VK47" s="390"/>
      <c r="VL47" s="390"/>
      <c r="VM47" s="390"/>
      <c r="VN47" s="390"/>
      <c r="VO47" s="390"/>
      <c r="VP47" s="390"/>
      <c r="VQ47" s="390"/>
      <c r="VR47" s="390"/>
      <c r="VS47" s="390"/>
      <c r="VT47" s="390"/>
      <c r="VU47" s="390"/>
      <c r="VV47" s="390"/>
      <c r="VW47" s="390"/>
      <c r="VX47" s="390"/>
      <c r="VY47" s="390"/>
      <c r="VZ47" s="390"/>
      <c r="WA47" s="390"/>
      <c r="WB47" s="390"/>
      <c r="WC47" s="390"/>
      <c r="WD47" s="390"/>
      <c r="WE47" s="390"/>
      <c r="WF47" s="390"/>
      <c r="WG47" s="390"/>
      <c r="WH47" s="390"/>
      <c r="WI47" s="390"/>
      <c r="WJ47" s="390"/>
      <c r="WK47" s="390"/>
      <c r="WL47" s="390"/>
      <c r="WM47" s="390"/>
      <c r="WN47" s="390"/>
      <c r="WO47" s="390"/>
      <c r="WP47" s="390"/>
      <c r="WQ47" s="390"/>
      <c r="WR47" s="390"/>
      <c r="WS47" s="390"/>
      <c r="WT47" s="390"/>
      <c r="WU47" s="390"/>
      <c r="WV47" s="390"/>
      <c r="WW47" s="390"/>
      <c r="WX47" s="390"/>
      <c r="WY47" s="390"/>
      <c r="WZ47" s="390"/>
      <c r="XA47" s="390"/>
      <c r="XB47" s="390"/>
      <c r="XC47" s="390"/>
      <c r="XD47" s="390"/>
      <c r="XE47" s="390"/>
      <c r="XF47" s="390"/>
      <c r="XG47" s="390"/>
      <c r="XH47" s="390"/>
      <c r="XI47" s="390"/>
      <c r="XJ47" s="390"/>
      <c r="XK47" s="390"/>
      <c r="XL47" s="390"/>
      <c r="XM47" s="390"/>
      <c r="XN47" s="390"/>
      <c r="XO47" s="390"/>
      <c r="XP47" s="390"/>
      <c r="XQ47" s="390"/>
      <c r="XR47" s="390"/>
      <c r="XS47" s="390"/>
      <c r="XT47" s="390"/>
      <c r="XU47" s="390"/>
      <c r="XV47" s="390"/>
      <c r="XW47" s="390"/>
      <c r="XX47" s="390"/>
      <c r="XY47" s="390"/>
      <c r="XZ47" s="390"/>
      <c r="YA47" s="390"/>
      <c r="YB47" s="390"/>
      <c r="YC47" s="390"/>
      <c r="YD47" s="390"/>
      <c r="YE47" s="390"/>
      <c r="YF47" s="390"/>
      <c r="YG47" s="390"/>
      <c r="YH47" s="390"/>
      <c r="YI47" s="390"/>
      <c r="YJ47" s="390"/>
      <c r="YK47" s="390"/>
      <c r="YL47" s="390"/>
      <c r="YM47" s="390"/>
      <c r="YN47" s="390"/>
      <c r="YO47" s="390"/>
      <c r="YP47" s="390"/>
      <c r="YQ47" s="390"/>
      <c r="YR47" s="390"/>
      <c r="YS47" s="390"/>
      <c r="YT47" s="390"/>
      <c r="YU47" s="390"/>
      <c r="YV47" s="390"/>
      <c r="YW47" s="390"/>
      <c r="YX47" s="390"/>
      <c r="YY47" s="390"/>
      <c r="YZ47" s="390"/>
      <c r="ZA47" s="390"/>
      <c r="ZB47" s="390"/>
      <c r="ZC47" s="390"/>
      <c r="ZD47" s="390"/>
      <c r="ZE47" s="390"/>
      <c r="ZF47" s="390"/>
      <c r="ZG47" s="390"/>
      <c r="ZH47" s="390"/>
      <c r="ZI47" s="390"/>
      <c r="ZJ47" s="390"/>
      <c r="ZK47" s="390"/>
      <c r="ZL47" s="390"/>
      <c r="ZM47" s="390"/>
      <c r="ZN47" s="390"/>
      <c r="ZO47" s="390"/>
      <c r="ZP47" s="390"/>
      <c r="ZQ47" s="390"/>
      <c r="ZR47" s="390"/>
      <c r="ZS47" s="390"/>
      <c r="ZT47" s="390"/>
      <c r="ZU47" s="390"/>
      <c r="ZV47" s="390"/>
      <c r="ZW47" s="390"/>
      <c r="ZX47" s="390"/>
      <c r="ZY47" s="390"/>
      <c r="ZZ47" s="390"/>
      <c r="AAA47" s="390"/>
      <c r="AAB47" s="390"/>
      <c r="AAC47" s="390"/>
      <c r="AAD47" s="390"/>
      <c r="AAE47" s="390"/>
      <c r="AAF47" s="390"/>
      <c r="AAG47" s="390"/>
      <c r="AAH47" s="390"/>
      <c r="AAI47" s="390"/>
      <c r="AAJ47" s="390"/>
      <c r="AAK47" s="390"/>
      <c r="AAL47" s="390"/>
      <c r="AAM47" s="390"/>
      <c r="AAN47" s="390"/>
      <c r="AAO47" s="390"/>
      <c r="AAP47" s="390"/>
      <c r="AAQ47" s="390"/>
      <c r="AAR47" s="390"/>
      <c r="AAS47" s="390"/>
      <c r="AAT47" s="390"/>
      <c r="AAU47" s="390"/>
      <c r="AAV47" s="390"/>
      <c r="AAW47" s="390"/>
      <c r="AAX47" s="390"/>
      <c r="AAY47" s="390"/>
      <c r="AAZ47" s="390"/>
      <c r="ABA47" s="390"/>
      <c r="ABB47" s="390"/>
      <c r="ABC47" s="390"/>
      <c r="ABD47" s="390"/>
      <c r="ABE47" s="390"/>
      <c r="ABF47" s="390"/>
      <c r="ABG47" s="390"/>
      <c r="ABH47" s="390"/>
      <c r="ABI47" s="390"/>
      <c r="ABJ47" s="390"/>
      <c r="ABK47" s="390"/>
      <c r="ABL47" s="390"/>
      <c r="ABM47" s="390"/>
      <c r="ABN47" s="390"/>
      <c r="ABO47" s="390"/>
      <c r="ABP47" s="390"/>
      <c r="ABQ47" s="390"/>
      <c r="ABR47" s="390"/>
      <c r="ABS47" s="390"/>
      <c r="ABT47" s="390"/>
      <c r="ABU47" s="390"/>
      <c r="ABV47" s="390"/>
      <c r="ABW47" s="390"/>
      <c r="ABX47" s="390"/>
      <c r="ABY47" s="390"/>
      <c r="ABZ47" s="390"/>
      <c r="ACA47" s="390"/>
      <c r="ACB47" s="390"/>
      <c r="ACC47" s="390"/>
      <c r="ACD47" s="390"/>
      <c r="ACE47" s="390"/>
      <c r="ACF47" s="390"/>
      <c r="ACG47" s="390"/>
      <c r="ACH47" s="390"/>
      <c r="ACI47" s="390"/>
    </row>
    <row r="48" spans="1:763" ht="13.95" customHeight="1" x14ac:dyDescent="0.3">
      <c r="A48" s="397" t="str">
        <f ca="1">Проект!$A$335</f>
        <v>численность</v>
      </c>
      <c r="B48" s="353">
        <f>Проект!$B$335</f>
        <v>3</v>
      </c>
      <c r="C48" s="402" t="str">
        <f ca="1">Проект!$C$335</f>
        <v>человек</v>
      </c>
      <c r="D48" s="354">
        <f>IFERROR(AVERAGE(Проект!$G$335:$R$335),"-")</f>
        <v>1.5</v>
      </c>
      <c r="E48" s="354">
        <f>IFERROR(AVERAGE(Проект!$S$335:$AD$335),"-")</f>
        <v>3</v>
      </c>
      <c r="F48" s="354">
        <f>IFERROR(AVERAGE(Проект!$AE$335:$AP$335),"-")</f>
        <v>3</v>
      </c>
      <c r="G48" s="354">
        <f>IFERROR(AVERAGE(Проект!$AQ$335:$BB$335),"-")</f>
        <v>3</v>
      </c>
      <c r="H48" s="396"/>
      <c r="I48" s="390"/>
      <c r="J48" s="390"/>
      <c r="K48" s="390"/>
      <c r="L48" s="390"/>
      <c r="M48" s="390"/>
      <c r="N48" s="390"/>
      <c r="O48" s="390"/>
      <c r="P48" s="390"/>
      <c r="Q48" s="390"/>
      <c r="R48" s="390"/>
      <c r="S48" s="390"/>
      <c r="T48" s="390"/>
      <c r="U48" s="390"/>
      <c r="V48" s="390"/>
      <c r="W48" s="390"/>
      <c r="X48" s="390"/>
      <c r="Y48" s="390"/>
      <c r="Z48" s="390"/>
      <c r="AA48" s="390"/>
      <c r="AB48" s="390"/>
      <c r="AC48" s="390"/>
      <c r="AD48" s="390"/>
      <c r="AE48" s="390"/>
      <c r="AF48" s="390"/>
      <c r="AG48" s="390"/>
      <c r="AH48" s="390"/>
      <c r="AI48" s="390"/>
      <c r="AJ48" s="390"/>
      <c r="AK48" s="390"/>
      <c r="AL48" s="390"/>
      <c r="AM48" s="390"/>
      <c r="AN48" s="390"/>
      <c r="AO48" s="390"/>
      <c r="AP48" s="390"/>
      <c r="AQ48" s="390"/>
      <c r="AR48" s="390"/>
      <c r="AS48" s="390"/>
      <c r="AT48" s="390"/>
      <c r="AU48" s="390"/>
      <c r="AV48" s="390"/>
      <c r="AW48" s="390"/>
      <c r="AX48" s="390"/>
      <c r="AY48" s="390"/>
      <c r="AZ48" s="390"/>
      <c r="BA48" s="390"/>
      <c r="BB48" s="390"/>
      <c r="BC48" s="390"/>
      <c r="BD48" s="390"/>
      <c r="BE48" s="390"/>
      <c r="BF48" s="390"/>
      <c r="BG48" s="390"/>
      <c r="BH48" s="390"/>
      <c r="BI48" s="390"/>
      <c r="BJ48" s="390"/>
      <c r="BK48" s="390"/>
      <c r="BL48" s="390"/>
      <c r="BM48" s="390"/>
      <c r="BN48" s="390"/>
      <c r="BO48" s="390"/>
      <c r="BP48" s="390"/>
      <c r="BQ48" s="390"/>
      <c r="BR48" s="390"/>
      <c r="BS48" s="390"/>
      <c r="BT48" s="390"/>
      <c r="BU48" s="390"/>
      <c r="BV48" s="390"/>
      <c r="BW48" s="390"/>
      <c r="BX48" s="390"/>
      <c r="BY48" s="390"/>
      <c r="BZ48" s="390"/>
      <c r="CA48" s="390"/>
      <c r="CB48" s="390"/>
      <c r="CC48" s="390"/>
      <c r="CD48" s="390"/>
      <c r="CE48" s="390"/>
      <c r="CF48" s="390"/>
      <c r="CG48" s="390"/>
      <c r="CH48" s="390"/>
      <c r="CI48" s="390"/>
      <c r="CJ48" s="390"/>
      <c r="CK48" s="390"/>
      <c r="CL48" s="390"/>
      <c r="CM48" s="390"/>
      <c r="CN48" s="390"/>
      <c r="CO48" s="390"/>
      <c r="CP48" s="390"/>
      <c r="CQ48" s="390"/>
      <c r="CR48" s="390"/>
      <c r="CS48" s="390"/>
      <c r="CT48" s="390"/>
      <c r="CU48" s="390"/>
      <c r="CV48" s="390"/>
      <c r="CW48" s="390"/>
      <c r="CX48" s="390"/>
      <c r="CY48" s="390"/>
      <c r="CZ48" s="390"/>
      <c r="DA48" s="390"/>
      <c r="DB48" s="390"/>
      <c r="DC48" s="390"/>
      <c r="DD48" s="390"/>
      <c r="DE48" s="390"/>
      <c r="DF48" s="390"/>
      <c r="DG48" s="390"/>
      <c r="DH48" s="390"/>
      <c r="DI48" s="390"/>
      <c r="DJ48" s="390"/>
      <c r="DK48" s="390"/>
      <c r="DL48" s="390"/>
      <c r="DM48" s="390"/>
      <c r="DN48" s="390"/>
      <c r="DO48" s="390"/>
      <c r="DP48" s="390"/>
      <c r="DQ48" s="390"/>
      <c r="DR48" s="390"/>
      <c r="DS48" s="390"/>
      <c r="DT48" s="390"/>
      <c r="DU48" s="390"/>
      <c r="DV48" s="390"/>
      <c r="DW48" s="390"/>
      <c r="DX48" s="390"/>
      <c r="DY48" s="390"/>
      <c r="DZ48" s="390"/>
      <c r="EA48" s="390"/>
      <c r="EB48" s="390"/>
      <c r="EC48" s="390"/>
      <c r="ED48" s="390"/>
      <c r="EE48" s="390"/>
      <c r="EF48" s="390"/>
      <c r="EG48" s="390"/>
      <c r="EH48" s="390"/>
      <c r="EI48" s="390"/>
      <c r="EJ48" s="390"/>
      <c r="EK48" s="390"/>
      <c r="EL48" s="390"/>
      <c r="EM48" s="390"/>
      <c r="EN48" s="390"/>
      <c r="EO48" s="390"/>
      <c r="EP48" s="390"/>
      <c r="EQ48" s="390"/>
      <c r="ER48" s="390"/>
      <c r="ES48" s="390"/>
      <c r="ET48" s="390"/>
      <c r="EU48" s="390"/>
      <c r="EV48" s="390"/>
      <c r="EW48" s="390"/>
      <c r="EX48" s="390"/>
      <c r="EY48" s="390"/>
      <c r="EZ48" s="390"/>
      <c r="FA48" s="390"/>
      <c r="FB48" s="390"/>
      <c r="FC48" s="390"/>
      <c r="FD48" s="390"/>
      <c r="FE48" s="390"/>
      <c r="FF48" s="390"/>
      <c r="FG48" s="390"/>
      <c r="FH48" s="390"/>
      <c r="FI48" s="390"/>
      <c r="FJ48" s="390"/>
      <c r="FK48" s="390"/>
      <c r="FL48" s="390"/>
      <c r="FM48" s="390"/>
      <c r="FN48" s="390"/>
      <c r="FO48" s="390"/>
      <c r="FP48" s="390"/>
      <c r="FQ48" s="390"/>
      <c r="FR48" s="390"/>
      <c r="FS48" s="390"/>
      <c r="FT48" s="390"/>
      <c r="FU48" s="390"/>
      <c r="FV48" s="390"/>
      <c r="FW48" s="390"/>
      <c r="FX48" s="390"/>
      <c r="FY48" s="390"/>
      <c r="FZ48" s="390"/>
      <c r="GA48" s="390"/>
      <c r="GB48" s="390"/>
      <c r="GC48" s="390"/>
      <c r="GD48" s="390"/>
      <c r="GE48" s="390"/>
      <c r="GF48" s="390"/>
      <c r="GG48" s="390"/>
      <c r="GH48" s="390"/>
      <c r="GI48" s="390"/>
      <c r="GJ48" s="390"/>
      <c r="GK48" s="390"/>
      <c r="GL48" s="390"/>
      <c r="GM48" s="390"/>
      <c r="GN48" s="390"/>
      <c r="GO48" s="390"/>
      <c r="GP48" s="390"/>
      <c r="GQ48" s="390"/>
      <c r="GR48" s="390"/>
      <c r="GS48" s="390"/>
      <c r="GT48" s="390"/>
      <c r="GU48" s="390"/>
      <c r="GV48" s="390"/>
      <c r="GW48" s="390"/>
      <c r="GX48" s="390"/>
      <c r="GY48" s="390"/>
      <c r="GZ48" s="390"/>
      <c r="HA48" s="390"/>
      <c r="HB48" s="390"/>
      <c r="HC48" s="390"/>
      <c r="HD48" s="390"/>
      <c r="HE48" s="390"/>
      <c r="HF48" s="390"/>
      <c r="HG48" s="390"/>
      <c r="HH48" s="390"/>
      <c r="HI48" s="390"/>
      <c r="HJ48" s="390"/>
      <c r="HK48" s="390"/>
      <c r="HL48" s="390"/>
      <c r="HM48" s="390"/>
      <c r="HN48" s="390"/>
      <c r="HO48" s="390"/>
      <c r="HP48" s="390"/>
      <c r="HQ48" s="390"/>
      <c r="HR48" s="390"/>
      <c r="HS48" s="390"/>
      <c r="HT48" s="390"/>
      <c r="HU48" s="390"/>
      <c r="HV48" s="390"/>
      <c r="HW48" s="390"/>
      <c r="HX48" s="390"/>
      <c r="HY48" s="390"/>
      <c r="HZ48" s="390"/>
      <c r="IA48" s="390"/>
      <c r="IB48" s="390"/>
      <c r="IC48" s="390"/>
      <c r="ID48" s="390"/>
      <c r="IE48" s="390"/>
      <c r="IF48" s="390"/>
      <c r="IG48" s="390"/>
      <c r="IH48" s="390"/>
      <c r="II48" s="390"/>
      <c r="IJ48" s="390"/>
      <c r="IK48" s="390"/>
      <c r="IL48" s="390"/>
      <c r="IM48" s="390"/>
      <c r="IN48" s="390"/>
      <c r="IO48" s="390"/>
      <c r="IP48" s="390"/>
      <c r="IQ48" s="390"/>
      <c r="IR48" s="390"/>
      <c r="IS48" s="390"/>
      <c r="IT48" s="390"/>
      <c r="IU48" s="390"/>
      <c r="IV48" s="390"/>
      <c r="IW48" s="390"/>
      <c r="IX48" s="390"/>
      <c r="IY48" s="390"/>
      <c r="IZ48" s="390"/>
      <c r="JA48" s="390"/>
      <c r="JB48" s="390"/>
      <c r="JC48" s="390"/>
      <c r="JD48" s="390"/>
      <c r="JE48" s="390"/>
      <c r="JF48" s="390"/>
      <c r="JG48" s="390"/>
      <c r="JH48" s="390"/>
      <c r="JI48" s="390"/>
      <c r="JJ48" s="390"/>
      <c r="JK48" s="390"/>
      <c r="JL48" s="390"/>
      <c r="JM48" s="390"/>
      <c r="JN48" s="390"/>
      <c r="JO48" s="390"/>
      <c r="JP48" s="390"/>
      <c r="JQ48" s="390"/>
      <c r="JR48" s="390"/>
      <c r="JS48" s="390"/>
      <c r="JT48" s="390"/>
      <c r="JU48" s="390"/>
      <c r="JV48" s="390"/>
      <c r="JW48" s="390"/>
      <c r="JX48" s="390"/>
      <c r="JY48" s="390"/>
      <c r="JZ48" s="390"/>
      <c r="KA48" s="390"/>
      <c r="KB48" s="390"/>
      <c r="KC48" s="390"/>
      <c r="KD48" s="390"/>
      <c r="KE48" s="390"/>
      <c r="KF48" s="390"/>
      <c r="KG48" s="390"/>
      <c r="KH48" s="390"/>
      <c r="KI48" s="390"/>
      <c r="KJ48" s="390"/>
      <c r="KK48" s="390"/>
      <c r="KL48" s="390"/>
      <c r="KM48" s="390"/>
      <c r="KN48" s="390"/>
      <c r="KO48" s="390"/>
      <c r="KP48" s="390"/>
      <c r="KQ48" s="390"/>
      <c r="KR48" s="390"/>
      <c r="KS48" s="390"/>
      <c r="KT48" s="390"/>
      <c r="KU48" s="390"/>
      <c r="KV48" s="390"/>
      <c r="KW48" s="390"/>
      <c r="KX48" s="390"/>
      <c r="KY48" s="390"/>
      <c r="KZ48" s="390"/>
      <c r="LA48" s="390"/>
      <c r="LB48" s="390"/>
      <c r="LC48" s="390"/>
      <c r="LD48" s="390"/>
      <c r="LE48" s="390"/>
      <c r="LF48" s="390"/>
      <c r="LG48" s="390"/>
      <c r="LH48" s="390"/>
      <c r="LI48" s="390"/>
      <c r="LJ48" s="390"/>
      <c r="LK48" s="390"/>
      <c r="LL48" s="390"/>
      <c r="LM48" s="390"/>
      <c r="LN48" s="390"/>
      <c r="LO48" s="390"/>
      <c r="LP48" s="390"/>
      <c r="LQ48" s="390"/>
      <c r="LR48" s="390"/>
      <c r="LS48" s="390"/>
      <c r="LT48" s="390"/>
      <c r="LU48" s="390"/>
      <c r="LV48" s="390"/>
      <c r="LW48" s="390"/>
      <c r="LX48" s="390"/>
      <c r="LY48" s="390"/>
      <c r="LZ48" s="390"/>
      <c r="MA48" s="390"/>
      <c r="MB48" s="390"/>
      <c r="MC48" s="390"/>
      <c r="MD48" s="390"/>
      <c r="ME48" s="390"/>
      <c r="MF48" s="390"/>
      <c r="MG48" s="390"/>
      <c r="MH48" s="390"/>
      <c r="MI48" s="390"/>
      <c r="MJ48" s="390"/>
      <c r="MK48" s="390"/>
      <c r="ML48" s="390"/>
      <c r="MM48" s="390"/>
      <c r="MN48" s="390"/>
      <c r="MO48" s="390"/>
      <c r="MP48" s="390"/>
      <c r="MQ48" s="390"/>
      <c r="MR48" s="390"/>
      <c r="MS48" s="390"/>
      <c r="MT48" s="390"/>
      <c r="MU48" s="390"/>
      <c r="MV48" s="390"/>
      <c r="MW48" s="390"/>
      <c r="MX48" s="390"/>
      <c r="MY48" s="390"/>
      <c r="MZ48" s="390"/>
      <c r="NA48" s="390"/>
      <c r="NB48" s="390"/>
      <c r="NC48" s="390"/>
      <c r="ND48" s="390"/>
      <c r="NE48" s="390"/>
      <c r="NF48" s="390"/>
      <c r="NG48" s="390"/>
      <c r="NH48" s="390"/>
      <c r="NI48" s="390"/>
      <c r="NJ48" s="390"/>
      <c r="NK48" s="390"/>
      <c r="NL48" s="390"/>
      <c r="NM48" s="390"/>
      <c r="NN48" s="390"/>
      <c r="NO48" s="390"/>
      <c r="NP48" s="390"/>
      <c r="NQ48" s="390"/>
      <c r="NR48" s="390"/>
      <c r="NS48" s="390"/>
      <c r="NT48" s="390"/>
      <c r="NU48" s="390"/>
      <c r="NV48" s="390"/>
      <c r="NW48" s="390"/>
      <c r="NX48" s="390"/>
      <c r="NY48" s="390"/>
      <c r="NZ48" s="390"/>
      <c r="OA48" s="390"/>
      <c r="OB48" s="390"/>
      <c r="OC48" s="390"/>
      <c r="OD48" s="390"/>
      <c r="OE48" s="390"/>
      <c r="OF48" s="390"/>
      <c r="OG48" s="390"/>
      <c r="OH48" s="390"/>
      <c r="OI48" s="390"/>
      <c r="OJ48" s="390"/>
      <c r="OK48" s="390"/>
      <c r="OL48" s="390"/>
      <c r="OM48" s="390"/>
      <c r="ON48" s="390"/>
      <c r="OO48" s="390"/>
      <c r="OP48" s="390"/>
      <c r="OQ48" s="390"/>
      <c r="OR48" s="390"/>
      <c r="OS48" s="390"/>
      <c r="OT48" s="390"/>
      <c r="OU48" s="390"/>
      <c r="OV48" s="390"/>
      <c r="OW48" s="390"/>
      <c r="OX48" s="390"/>
      <c r="OY48" s="390"/>
      <c r="OZ48" s="390"/>
      <c r="PA48" s="390"/>
      <c r="PB48" s="390"/>
      <c r="PC48" s="390"/>
      <c r="PD48" s="390"/>
      <c r="PE48" s="390"/>
      <c r="PF48" s="390"/>
      <c r="PG48" s="390"/>
      <c r="PH48" s="390"/>
      <c r="PI48" s="390"/>
      <c r="PJ48" s="390"/>
      <c r="PK48" s="390"/>
      <c r="PL48" s="390"/>
      <c r="PM48" s="390"/>
      <c r="PN48" s="390"/>
      <c r="PO48" s="390"/>
      <c r="PP48" s="390"/>
      <c r="PQ48" s="390"/>
      <c r="PR48" s="390"/>
      <c r="PS48" s="390"/>
      <c r="PT48" s="390"/>
      <c r="PU48" s="390"/>
      <c r="PV48" s="390"/>
      <c r="PW48" s="390"/>
      <c r="PX48" s="390"/>
      <c r="PY48" s="390"/>
      <c r="PZ48" s="390"/>
      <c r="QA48" s="390"/>
      <c r="QB48" s="390"/>
      <c r="QC48" s="390"/>
      <c r="QD48" s="390"/>
      <c r="QE48" s="390"/>
      <c r="QF48" s="390"/>
      <c r="QG48" s="390"/>
      <c r="QH48" s="390"/>
      <c r="QI48" s="390"/>
      <c r="QJ48" s="390"/>
      <c r="QK48" s="390"/>
      <c r="QL48" s="390"/>
      <c r="QM48" s="390"/>
      <c r="QN48" s="390"/>
      <c r="QO48" s="390"/>
      <c r="QP48" s="390"/>
      <c r="QQ48" s="390"/>
      <c r="QR48" s="390"/>
      <c r="QS48" s="390"/>
      <c r="QT48" s="390"/>
      <c r="QU48" s="390"/>
      <c r="QV48" s="390"/>
      <c r="QW48" s="390"/>
      <c r="QX48" s="390"/>
      <c r="QY48" s="390"/>
      <c r="QZ48" s="390"/>
      <c r="RA48" s="390"/>
      <c r="RB48" s="390"/>
      <c r="RC48" s="390"/>
      <c r="RD48" s="390"/>
      <c r="RE48" s="390"/>
      <c r="RF48" s="390"/>
      <c r="RG48" s="390"/>
      <c r="RH48" s="390"/>
      <c r="RI48" s="390"/>
      <c r="RJ48" s="390"/>
      <c r="RK48" s="390"/>
      <c r="RL48" s="390"/>
      <c r="RM48" s="390"/>
      <c r="RN48" s="390"/>
      <c r="RO48" s="390"/>
      <c r="RP48" s="390"/>
      <c r="RQ48" s="390"/>
      <c r="RR48" s="390"/>
      <c r="RS48" s="390"/>
      <c r="RT48" s="390"/>
      <c r="RU48" s="390"/>
      <c r="RV48" s="390"/>
      <c r="RW48" s="390"/>
      <c r="RX48" s="390"/>
      <c r="RY48" s="390"/>
      <c r="RZ48" s="390"/>
      <c r="SA48" s="390"/>
      <c r="SB48" s="390"/>
      <c r="SC48" s="390"/>
      <c r="SD48" s="390"/>
      <c r="SE48" s="390"/>
      <c r="SF48" s="390"/>
      <c r="SG48" s="390"/>
      <c r="SH48" s="390"/>
      <c r="SI48" s="390"/>
      <c r="SJ48" s="390"/>
      <c r="SK48" s="390"/>
      <c r="SL48" s="390"/>
      <c r="SM48" s="390"/>
      <c r="SN48" s="390"/>
      <c r="SO48" s="390"/>
      <c r="SP48" s="390"/>
      <c r="SQ48" s="390"/>
      <c r="SR48" s="390"/>
      <c r="SS48" s="390"/>
      <c r="ST48" s="390"/>
      <c r="SU48" s="390"/>
      <c r="SV48" s="390"/>
      <c r="SW48" s="390"/>
      <c r="SX48" s="390"/>
      <c r="SY48" s="390"/>
      <c r="SZ48" s="390"/>
      <c r="TA48" s="390"/>
      <c r="TB48" s="390"/>
      <c r="TC48" s="390"/>
      <c r="TD48" s="390"/>
      <c r="TE48" s="390"/>
      <c r="TF48" s="390"/>
      <c r="TG48" s="390"/>
      <c r="TH48" s="390"/>
      <c r="TI48" s="390"/>
      <c r="TJ48" s="390"/>
      <c r="TK48" s="390"/>
      <c r="TL48" s="390"/>
      <c r="TM48" s="390"/>
      <c r="TN48" s="390"/>
      <c r="TO48" s="390"/>
      <c r="TP48" s="390"/>
      <c r="TQ48" s="390"/>
      <c r="TR48" s="390"/>
      <c r="TS48" s="390"/>
      <c r="TT48" s="390"/>
      <c r="TU48" s="390"/>
      <c r="TV48" s="390"/>
      <c r="TW48" s="390"/>
      <c r="TX48" s="390"/>
      <c r="TY48" s="390"/>
      <c r="TZ48" s="390"/>
      <c r="UA48" s="390"/>
      <c r="UB48" s="390"/>
      <c r="UC48" s="390"/>
      <c r="UD48" s="390"/>
      <c r="UE48" s="390"/>
      <c r="UF48" s="390"/>
      <c r="UG48" s="390"/>
      <c r="UH48" s="390"/>
      <c r="UI48" s="390"/>
      <c r="UJ48" s="390"/>
      <c r="UK48" s="390"/>
      <c r="UL48" s="390"/>
      <c r="UM48" s="390"/>
      <c r="UN48" s="390"/>
      <c r="UO48" s="390"/>
      <c r="UP48" s="390"/>
      <c r="UQ48" s="390"/>
      <c r="UR48" s="390"/>
      <c r="US48" s="390"/>
      <c r="UT48" s="390"/>
      <c r="UU48" s="390"/>
      <c r="UV48" s="390"/>
      <c r="UW48" s="390"/>
      <c r="UX48" s="390"/>
      <c r="UY48" s="390"/>
      <c r="UZ48" s="390"/>
      <c r="VA48" s="390"/>
      <c r="VB48" s="390"/>
      <c r="VC48" s="390"/>
      <c r="VD48" s="390"/>
      <c r="VE48" s="390"/>
      <c r="VF48" s="390"/>
      <c r="VG48" s="390"/>
      <c r="VH48" s="390"/>
      <c r="VI48" s="390"/>
      <c r="VJ48" s="390"/>
      <c r="VK48" s="390"/>
      <c r="VL48" s="390"/>
      <c r="VM48" s="390"/>
      <c r="VN48" s="390"/>
      <c r="VO48" s="390"/>
      <c r="VP48" s="390"/>
      <c r="VQ48" s="390"/>
      <c r="VR48" s="390"/>
      <c r="VS48" s="390"/>
      <c r="VT48" s="390"/>
      <c r="VU48" s="390"/>
      <c r="VV48" s="390"/>
      <c r="VW48" s="390"/>
      <c r="VX48" s="390"/>
      <c r="VY48" s="390"/>
      <c r="VZ48" s="390"/>
      <c r="WA48" s="390"/>
      <c r="WB48" s="390"/>
      <c r="WC48" s="390"/>
      <c r="WD48" s="390"/>
      <c r="WE48" s="390"/>
      <c r="WF48" s="390"/>
      <c r="WG48" s="390"/>
      <c r="WH48" s="390"/>
      <c r="WI48" s="390"/>
      <c r="WJ48" s="390"/>
      <c r="WK48" s="390"/>
      <c r="WL48" s="390"/>
      <c r="WM48" s="390"/>
      <c r="WN48" s="390"/>
      <c r="WO48" s="390"/>
      <c r="WP48" s="390"/>
      <c r="WQ48" s="390"/>
      <c r="WR48" s="390"/>
      <c r="WS48" s="390"/>
      <c r="WT48" s="390"/>
      <c r="WU48" s="390"/>
      <c r="WV48" s="390"/>
      <c r="WW48" s="390"/>
      <c r="WX48" s="390"/>
      <c r="WY48" s="390"/>
      <c r="WZ48" s="390"/>
      <c r="XA48" s="390"/>
      <c r="XB48" s="390"/>
      <c r="XC48" s="390"/>
      <c r="XD48" s="390"/>
      <c r="XE48" s="390"/>
      <c r="XF48" s="390"/>
      <c r="XG48" s="390"/>
      <c r="XH48" s="390"/>
      <c r="XI48" s="390"/>
      <c r="XJ48" s="390"/>
      <c r="XK48" s="390"/>
      <c r="XL48" s="390"/>
      <c r="XM48" s="390"/>
      <c r="XN48" s="390"/>
      <c r="XO48" s="390"/>
      <c r="XP48" s="390"/>
      <c r="XQ48" s="390"/>
      <c r="XR48" s="390"/>
      <c r="XS48" s="390"/>
      <c r="XT48" s="390"/>
      <c r="XU48" s="390"/>
      <c r="XV48" s="390"/>
      <c r="XW48" s="390"/>
      <c r="XX48" s="390"/>
      <c r="XY48" s="390"/>
      <c r="XZ48" s="390"/>
      <c r="YA48" s="390"/>
      <c r="YB48" s="390"/>
      <c r="YC48" s="390"/>
      <c r="YD48" s="390"/>
      <c r="YE48" s="390"/>
      <c r="YF48" s="390"/>
      <c r="YG48" s="390"/>
      <c r="YH48" s="390"/>
      <c r="YI48" s="390"/>
      <c r="YJ48" s="390"/>
      <c r="YK48" s="390"/>
      <c r="YL48" s="390"/>
      <c r="YM48" s="390"/>
      <c r="YN48" s="390"/>
      <c r="YO48" s="390"/>
      <c r="YP48" s="390"/>
      <c r="YQ48" s="390"/>
      <c r="YR48" s="390"/>
      <c r="YS48" s="390"/>
      <c r="YT48" s="390"/>
      <c r="YU48" s="390"/>
      <c r="YV48" s="390"/>
      <c r="YW48" s="390"/>
      <c r="YX48" s="390"/>
      <c r="YY48" s="390"/>
      <c r="YZ48" s="390"/>
      <c r="ZA48" s="390"/>
      <c r="ZB48" s="390"/>
      <c r="ZC48" s="390"/>
      <c r="ZD48" s="390"/>
      <c r="ZE48" s="390"/>
      <c r="ZF48" s="390"/>
      <c r="ZG48" s="390"/>
      <c r="ZH48" s="390"/>
      <c r="ZI48" s="390"/>
      <c r="ZJ48" s="390"/>
      <c r="ZK48" s="390"/>
      <c r="ZL48" s="390"/>
      <c r="ZM48" s="390"/>
      <c r="ZN48" s="390"/>
      <c r="ZO48" s="390"/>
      <c r="ZP48" s="390"/>
      <c r="ZQ48" s="390"/>
      <c r="ZR48" s="390"/>
      <c r="ZS48" s="390"/>
      <c r="ZT48" s="390"/>
      <c r="ZU48" s="390"/>
      <c r="ZV48" s="390"/>
      <c r="ZW48" s="390"/>
      <c r="ZX48" s="390"/>
      <c r="ZY48" s="390"/>
      <c r="ZZ48" s="390"/>
      <c r="AAA48" s="390"/>
      <c r="AAB48" s="390"/>
      <c r="AAC48" s="390"/>
      <c r="AAD48" s="390"/>
      <c r="AAE48" s="390"/>
      <c r="AAF48" s="390"/>
      <c r="AAG48" s="390"/>
      <c r="AAH48" s="390"/>
      <c r="AAI48" s="390"/>
      <c r="AAJ48" s="390"/>
      <c r="AAK48" s="390"/>
      <c r="AAL48" s="390"/>
      <c r="AAM48" s="390"/>
      <c r="AAN48" s="390"/>
      <c r="AAO48" s="390"/>
      <c r="AAP48" s="390"/>
      <c r="AAQ48" s="390"/>
      <c r="AAR48" s="390"/>
      <c r="AAS48" s="390"/>
      <c r="AAT48" s="390"/>
      <c r="AAU48" s="390"/>
      <c r="AAV48" s="390"/>
      <c r="AAW48" s="390"/>
      <c r="AAX48" s="390"/>
      <c r="AAY48" s="390"/>
      <c r="AAZ48" s="390"/>
      <c r="ABA48" s="390"/>
      <c r="ABB48" s="390"/>
      <c r="ABC48" s="390"/>
      <c r="ABD48" s="390"/>
      <c r="ABE48" s="390"/>
      <c r="ABF48" s="390"/>
      <c r="ABG48" s="390"/>
      <c r="ABH48" s="390"/>
      <c r="ABI48" s="390"/>
      <c r="ABJ48" s="390"/>
      <c r="ABK48" s="390"/>
      <c r="ABL48" s="390"/>
      <c r="ABM48" s="390"/>
      <c r="ABN48" s="390"/>
      <c r="ABO48" s="390"/>
      <c r="ABP48" s="390"/>
      <c r="ABQ48" s="390"/>
      <c r="ABR48" s="390"/>
      <c r="ABS48" s="390"/>
      <c r="ABT48" s="390"/>
      <c r="ABU48" s="390"/>
      <c r="ABV48" s="390"/>
      <c r="ABW48" s="390"/>
      <c r="ABX48" s="390"/>
      <c r="ABY48" s="390"/>
      <c r="ABZ48" s="390"/>
      <c r="ACA48" s="390"/>
      <c r="ACB48" s="390"/>
      <c r="ACC48" s="390"/>
      <c r="ACD48" s="390"/>
      <c r="ACE48" s="390"/>
      <c r="ACF48" s="390"/>
      <c r="ACG48" s="390"/>
      <c r="ACH48" s="390"/>
      <c r="ACI48" s="390"/>
    </row>
    <row r="49" spans="1:763" ht="13.95" customHeight="1" x14ac:dyDescent="0.3">
      <c r="A49" s="397" t="str">
        <f ca="1">Проект!$A$336</f>
        <v>средний оклад, в месяц</v>
      </c>
      <c r="B49" s="350">
        <f>Проект!$B$336</f>
        <v>40000</v>
      </c>
      <c r="C49" s="402" t="str">
        <f ca="1">Проект!$C$336</f>
        <v>руб.</v>
      </c>
      <c r="D49" s="399">
        <f ca="1">IFERROR(AVERAGE(Проект!$G$336:$R$336),"-")</f>
        <v>41088.427806790569</v>
      </c>
      <c r="E49" s="399">
        <f ca="1">IFERROR(AVERAGE(Проект!$S$336:$AD$336),"-")</f>
        <v>43553.733475198016</v>
      </c>
      <c r="F49" s="399">
        <f ca="1">IFERROR(AVERAGE(Проект!$AE$336:$AP$336),"-")</f>
        <v>46166.957483709906</v>
      </c>
      <c r="G49" s="399">
        <f ca="1">IFERROR(AVERAGE(Проект!$AQ$336:$BB$336),"-")</f>
        <v>48936.974932732497</v>
      </c>
      <c r="H49" s="396"/>
      <c r="I49" s="390"/>
      <c r="J49" s="390"/>
      <c r="K49" s="390"/>
      <c r="L49" s="390"/>
      <c r="M49" s="390"/>
      <c r="N49" s="390"/>
      <c r="O49" s="390"/>
      <c r="P49" s="390"/>
      <c r="Q49" s="390"/>
      <c r="R49" s="390"/>
      <c r="S49" s="390"/>
      <c r="T49" s="390"/>
      <c r="U49" s="390"/>
      <c r="V49" s="390"/>
      <c r="W49" s="390"/>
      <c r="X49" s="390"/>
      <c r="Y49" s="390"/>
      <c r="Z49" s="390"/>
      <c r="AA49" s="390"/>
      <c r="AB49" s="390"/>
      <c r="AC49" s="390"/>
      <c r="AD49" s="390"/>
      <c r="AE49" s="390"/>
      <c r="AF49" s="390"/>
      <c r="AG49" s="390"/>
      <c r="AH49" s="390"/>
      <c r="AI49" s="390"/>
      <c r="AJ49" s="390"/>
      <c r="AK49" s="390"/>
      <c r="AL49" s="390"/>
      <c r="AM49" s="390"/>
      <c r="AN49" s="390"/>
      <c r="AO49" s="390"/>
      <c r="AP49" s="390"/>
      <c r="AQ49" s="390"/>
      <c r="AR49" s="390"/>
      <c r="AS49" s="390"/>
      <c r="AT49" s="390"/>
      <c r="AU49" s="390"/>
      <c r="AV49" s="390"/>
      <c r="AW49" s="390"/>
      <c r="AX49" s="390"/>
      <c r="AY49" s="390"/>
      <c r="AZ49" s="390"/>
      <c r="BA49" s="390"/>
      <c r="BB49" s="390"/>
      <c r="BC49" s="390"/>
      <c r="BD49" s="390"/>
      <c r="BE49" s="390"/>
      <c r="BF49" s="390"/>
      <c r="BG49" s="390"/>
      <c r="BH49" s="390"/>
      <c r="BI49" s="390"/>
      <c r="BJ49" s="390"/>
      <c r="BK49" s="390"/>
      <c r="BL49" s="390"/>
      <c r="BM49" s="390"/>
      <c r="BN49" s="390"/>
      <c r="BO49" s="390"/>
      <c r="BP49" s="390"/>
      <c r="BQ49" s="390"/>
      <c r="BR49" s="390"/>
      <c r="BS49" s="390"/>
      <c r="BT49" s="390"/>
      <c r="BU49" s="390"/>
      <c r="BV49" s="390"/>
      <c r="BW49" s="390"/>
      <c r="BX49" s="390"/>
      <c r="BY49" s="390"/>
      <c r="BZ49" s="390"/>
      <c r="CA49" s="390"/>
      <c r="CB49" s="390"/>
      <c r="CC49" s="390"/>
      <c r="CD49" s="390"/>
      <c r="CE49" s="390"/>
      <c r="CF49" s="390"/>
      <c r="CG49" s="390"/>
      <c r="CH49" s="390"/>
      <c r="CI49" s="390"/>
      <c r="CJ49" s="390"/>
      <c r="CK49" s="390"/>
      <c r="CL49" s="390"/>
      <c r="CM49" s="390"/>
      <c r="CN49" s="390"/>
      <c r="CO49" s="390"/>
      <c r="CP49" s="390"/>
      <c r="CQ49" s="390"/>
      <c r="CR49" s="390"/>
      <c r="CS49" s="390"/>
      <c r="CT49" s="390"/>
      <c r="CU49" s="390"/>
      <c r="CV49" s="390"/>
      <c r="CW49" s="390"/>
      <c r="CX49" s="390"/>
      <c r="CY49" s="390"/>
      <c r="CZ49" s="390"/>
      <c r="DA49" s="390"/>
      <c r="DB49" s="390"/>
      <c r="DC49" s="390"/>
      <c r="DD49" s="390"/>
      <c r="DE49" s="390"/>
      <c r="DF49" s="390"/>
      <c r="DG49" s="390"/>
      <c r="DH49" s="390"/>
      <c r="DI49" s="390"/>
      <c r="DJ49" s="390"/>
      <c r="DK49" s="390"/>
      <c r="DL49" s="390"/>
      <c r="DM49" s="390"/>
      <c r="DN49" s="390"/>
      <c r="DO49" s="390"/>
      <c r="DP49" s="390"/>
      <c r="DQ49" s="390"/>
      <c r="DR49" s="390"/>
      <c r="DS49" s="390"/>
      <c r="DT49" s="390"/>
      <c r="DU49" s="390"/>
      <c r="DV49" s="390"/>
      <c r="DW49" s="390"/>
      <c r="DX49" s="390"/>
      <c r="DY49" s="390"/>
      <c r="DZ49" s="390"/>
      <c r="EA49" s="390"/>
      <c r="EB49" s="390"/>
      <c r="EC49" s="390"/>
      <c r="ED49" s="390"/>
      <c r="EE49" s="390"/>
      <c r="EF49" s="390"/>
      <c r="EG49" s="390"/>
      <c r="EH49" s="390"/>
      <c r="EI49" s="390"/>
      <c r="EJ49" s="390"/>
      <c r="EK49" s="390"/>
      <c r="EL49" s="390"/>
      <c r="EM49" s="390"/>
      <c r="EN49" s="390"/>
      <c r="EO49" s="390"/>
      <c r="EP49" s="390"/>
      <c r="EQ49" s="390"/>
      <c r="ER49" s="390"/>
      <c r="ES49" s="390"/>
      <c r="ET49" s="390"/>
      <c r="EU49" s="390"/>
      <c r="EV49" s="390"/>
      <c r="EW49" s="390"/>
      <c r="EX49" s="390"/>
      <c r="EY49" s="390"/>
      <c r="EZ49" s="390"/>
      <c r="FA49" s="390"/>
      <c r="FB49" s="390"/>
      <c r="FC49" s="390"/>
      <c r="FD49" s="390"/>
      <c r="FE49" s="390"/>
      <c r="FF49" s="390"/>
      <c r="FG49" s="390"/>
      <c r="FH49" s="390"/>
      <c r="FI49" s="390"/>
      <c r="FJ49" s="390"/>
      <c r="FK49" s="390"/>
      <c r="FL49" s="390"/>
      <c r="FM49" s="390"/>
      <c r="FN49" s="390"/>
      <c r="FO49" s="390"/>
      <c r="FP49" s="390"/>
      <c r="FQ49" s="390"/>
      <c r="FR49" s="390"/>
      <c r="FS49" s="390"/>
      <c r="FT49" s="390"/>
      <c r="FU49" s="390"/>
      <c r="FV49" s="390"/>
      <c r="FW49" s="390"/>
      <c r="FX49" s="390"/>
      <c r="FY49" s="390"/>
      <c r="FZ49" s="390"/>
      <c r="GA49" s="390"/>
      <c r="GB49" s="390"/>
      <c r="GC49" s="390"/>
      <c r="GD49" s="390"/>
      <c r="GE49" s="390"/>
      <c r="GF49" s="390"/>
      <c r="GG49" s="390"/>
      <c r="GH49" s="390"/>
      <c r="GI49" s="390"/>
      <c r="GJ49" s="390"/>
      <c r="GK49" s="390"/>
      <c r="GL49" s="390"/>
      <c r="GM49" s="390"/>
      <c r="GN49" s="390"/>
      <c r="GO49" s="390"/>
      <c r="GP49" s="390"/>
      <c r="GQ49" s="390"/>
      <c r="GR49" s="390"/>
      <c r="GS49" s="390"/>
      <c r="GT49" s="390"/>
      <c r="GU49" s="390"/>
      <c r="GV49" s="390"/>
      <c r="GW49" s="390"/>
      <c r="GX49" s="390"/>
      <c r="GY49" s="390"/>
      <c r="GZ49" s="390"/>
      <c r="HA49" s="390"/>
      <c r="HB49" s="390"/>
      <c r="HC49" s="390"/>
      <c r="HD49" s="390"/>
      <c r="HE49" s="390"/>
      <c r="HF49" s="390"/>
      <c r="HG49" s="390"/>
      <c r="HH49" s="390"/>
      <c r="HI49" s="390"/>
      <c r="HJ49" s="390"/>
      <c r="HK49" s="390"/>
      <c r="HL49" s="390"/>
      <c r="HM49" s="390"/>
      <c r="HN49" s="390"/>
      <c r="HO49" s="390"/>
      <c r="HP49" s="390"/>
      <c r="HQ49" s="390"/>
      <c r="HR49" s="390"/>
      <c r="HS49" s="390"/>
      <c r="HT49" s="390"/>
      <c r="HU49" s="390"/>
      <c r="HV49" s="390"/>
      <c r="HW49" s="390"/>
      <c r="HX49" s="390"/>
      <c r="HY49" s="390"/>
      <c r="HZ49" s="390"/>
      <c r="IA49" s="390"/>
      <c r="IB49" s="390"/>
      <c r="IC49" s="390"/>
      <c r="ID49" s="390"/>
      <c r="IE49" s="390"/>
      <c r="IF49" s="390"/>
      <c r="IG49" s="390"/>
      <c r="IH49" s="390"/>
      <c r="II49" s="390"/>
      <c r="IJ49" s="390"/>
      <c r="IK49" s="390"/>
      <c r="IL49" s="390"/>
      <c r="IM49" s="390"/>
      <c r="IN49" s="390"/>
      <c r="IO49" s="390"/>
      <c r="IP49" s="390"/>
      <c r="IQ49" s="390"/>
      <c r="IR49" s="390"/>
      <c r="IS49" s="390"/>
      <c r="IT49" s="390"/>
      <c r="IU49" s="390"/>
      <c r="IV49" s="390"/>
      <c r="IW49" s="390"/>
      <c r="IX49" s="390"/>
      <c r="IY49" s="390"/>
      <c r="IZ49" s="390"/>
      <c r="JA49" s="390"/>
      <c r="JB49" s="390"/>
      <c r="JC49" s="390"/>
      <c r="JD49" s="390"/>
      <c r="JE49" s="390"/>
      <c r="JF49" s="390"/>
      <c r="JG49" s="390"/>
      <c r="JH49" s="390"/>
      <c r="JI49" s="390"/>
      <c r="JJ49" s="390"/>
      <c r="JK49" s="390"/>
      <c r="JL49" s="390"/>
      <c r="JM49" s="390"/>
      <c r="JN49" s="390"/>
      <c r="JO49" s="390"/>
      <c r="JP49" s="390"/>
      <c r="JQ49" s="390"/>
      <c r="JR49" s="390"/>
      <c r="JS49" s="390"/>
      <c r="JT49" s="390"/>
      <c r="JU49" s="390"/>
      <c r="JV49" s="390"/>
      <c r="JW49" s="390"/>
      <c r="JX49" s="390"/>
      <c r="JY49" s="390"/>
      <c r="JZ49" s="390"/>
      <c r="KA49" s="390"/>
      <c r="KB49" s="390"/>
      <c r="KC49" s="390"/>
      <c r="KD49" s="390"/>
      <c r="KE49" s="390"/>
      <c r="KF49" s="390"/>
      <c r="KG49" s="390"/>
      <c r="KH49" s="390"/>
      <c r="KI49" s="390"/>
      <c r="KJ49" s="390"/>
      <c r="KK49" s="390"/>
      <c r="KL49" s="390"/>
      <c r="KM49" s="390"/>
      <c r="KN49" s="390"/>
      <c r="KO49" s="390"/>
      <c r="KP49" s="390"/>
      <c r="KQ49" s="390"/>
      <c r="KR49" s="390"/>
      <c r="KS49" s="390"/>
      <c r="KT49" s="390"/>
      <c r="KU49" s="390"/>
      <c r="KV49" s="390"/>
      <c r="KW49" s="390"/>
      <c r="KX49" s="390"/>
      <c r="KY49" s="390"/>
      <c r="KZ49" s="390"/>
      <c r="LA49" s="390"/>
      <c r="LB49" s="390"/>
      <c r="LC49" s="390"/>
      <c r="LD49" s="390"/>
      <c r="LE49" s="390"/>
      <c r="LF49" s="390"/>
      <c r="LG49" s="390"/>
      <c r="LH49" s="390"/>
      <c r="LI49" s="390"/>
      <c r="LJ49" s="390"/>
      <c r="LK49" s="390"/>
      <c r="LL49" s="390"/>
      <c r="LM49" s="390"/>
      <c r="LN49" s="390"/>
      <c r="LO49" s="390"/>
      <c r="LP49" s="390"/>
      <c r="LQ49" s="390"/>
      <c r="LR49" s="390"/>
      <c r="LS49" s="390"/>
      <c r="LT49" s="390"/>
      <c r="LU49" s="390"/>
      <c r="LV49" s="390"/>
      <c r="LW49" s="390"/>
      <c r="LX49" s="390"/>
      <c r="LY49" s="390"/>
      <c r="LZ49" s="390"/>
      <c r="MA49" s="390"/>
      <c r="MB49" s="390"/>
      <c r="MC49" s="390"/>
      <c r="MD49" s="390"/>
      <c r="ME49" s="390"/>
      <c r="MF49" s="390"/>
      <c r="MG49" s="390"/>
      <c r="MH49" s="390"/>
      <c r="MI49" s="390"/>
      <c r="MJ49" s="390"/>
      <c r="MK49" s="390"/>
      <c r="ML49" s="390"/>
      <c r="MM49" s="390"/>
      <c r="MN49" s="390"/>
      <c r="MO49" s="390"/>
      <c r="MP49" s="390"/>
      <c r="MQ49" s="390"/>
      <c r="MR49" s="390"/>
      <c r="MS49" s="390"/>
      <c r="MT49" s="390"/>
      <c r="MU49" s="390"/>
      <c r="MV49" s="390"/>
      <c r="MW49" s="390"/>
      <c r="MX49" s="390"/>
      <c r="MY49" s="390"/>
      <c r="MZ49" s="390"/>
      <c r="NA49" s="390"/>
      <c r="NB49" s="390"/>
      <c r="NC49" s="390"/>
      <c r="ND49" s="390"/>
      <c r="NE49" s="390"/>
      <c r="NF49" s="390"/>
      <c r="NG49" s="390"/>
      <c r="NH49" s="390"/>
      <c r="NI49" s="390"/>
      <c r="NJ49" s="390"/>
      <c r="NK49" s="390"/>
      <c r="NL49" s="390"/>
      <c r="NM49" s="390"/>
      <c r="NN49" s="390"/>
      <c r="NO49" s="390"/>
      <c r="NP49" s="390"/>
      <c r="NQ49" s="390"/>
      <c r="NR49" s="390"/>
      <c r="NS49" s="390"/>
      <c r="NT49" s="390"/>
      <c r="NU49" s="390"/>
      <c r="NV49" s="390"/>
      <c r="NW49" s="390"/>
      <c r="NX49" s="390"/>
      <c r="NY49" s="390"/>
      <c r="NZ49" s="390"/>
      <c r="OA49" s="390"/>
      <c r="OB49" s="390"/>
      <c r="OC49" s="390"/>
      <c r="OD49" s="390"/>
      <c r="OE49" s="390"/>
      <c r="OF49" s="390"/>
      <c r="OG49" s="390"/>
      <c r="OH49" s="390"/>
      <c r="OI49" s="390"/>
      <c r="OJ49" s="390"/>
      <c r="OK49" s="390"/>
      <c r="OL49" s="390"/>
      <c r="OM49" s="390"/>
      <c r="ON49" s="390"/>
      <c r="OO49" s="390"/>
      <c r="OP49" s="390"/>
      <c r="OQ49" s="390"/>
      <c r="OR49" s="390"/>
      <c r="OS49" s="390"/>
      <c r="OT49" s="390"/>
      <c r="OU49" s="390"/>
      <c r="OV49" s="390"/>
      <c r="OW49" s="390"/>
      <c r="OX49" s="390"/>
      <c r="OY49" s="390"/>
      <c r="OZ49" s="390"/>
      <c r="PA49" s="390"/>
      <c r="PB49" s="390"/>
      <c r="PC49" s="390"/>
      <c r="PD49" s="390"/>
      <c r="PE49" s="390"/>
      <c r="PF49" s="390"/>
      <c r="PG49" s="390"/>
      <c r="PH49" s="390"/>
      <c r="PI49" s="390"/>
      <c r="PJ49" s="390"/>
      <c r="PK49" s="390"/>
      <c r="PL49" s="390"/>
      <c r="PM49" s="390"/>
      <c r="PN49" s="390"/>
      <c r="PO49" s="390"/>
      <c r="PP49" s="390"/>
      <c r="PQ49" s="390"/>
      <c r="PR49" s="390"/>
      <c r="PS49" s="390"/>
      <c r="PT49" s="390"/>
      <c r="PU49" s="390"/>
      <c r="PV49" s="390"/>
      <c r="PW49" s="390"/>
      <c r="PX49" s="390"/>
      <c r="PY49" s="390"/>
      <c r="PZ49" s="390"/>
      <c r="QA49" s="390"/>
      <c r="QB49" s="390"/>
      <c r="QC49" s="390"/>
      <c r="QD49" s="390"/>
      <c r="QE49" s="390"/>
      <c r="QF49" s="390"/>
      <c r="QG49" s="390"/>
      <c r="QH49" s="390"/>
      <c r="QI49" s="390"/>
      <c r="QJ49" s="390"/>
      <c r="QK49" s="390"/>
      <c r="QL49" s="390"/>
      <c r="QM49" s="390"/>
      <c r="QN49" s="390"/>
      <c r="QO49" s="390"/>
      <c r="QP49" s="390"/>
      <c r="QQ49" s="390"/>
      <c r="QR49" s="390"/>
      <c r="QS49" s="390"/>
      <c r="QT49" s="390"/>
      <c r="QU49" s="390"/>
      <c r="QV49" s="390"/>
      <c r="QW49" s="390"/>
      <c r="QX49" s="390"/>
      <c r="QY49" s="390"/>
      <c r="QZ49" s="390"/>
      <c r="RA49" s="390"/>
      <c r="RB49" s="390"/>
      <c r="RC49" s="390"/>
      <c r="RD49" s="390"/>
      <c r="RE49" s="390"/>
      <c r="RF49" s="390"/>
      <c r="RG49" s="390"/>
      <c r="RH49" s="390"/>
      <c r="RI49" s="390"/>
      <c r="RJ49" s="390"/>
      <c r="RK49" s="390"/>
      <c r="RL49" s="390"/>
      <c r="RM49" s="390"/>
      <c r="RN49" s="390"/>
      <c r="RO49" s="390"/>
      <c r="RP49" s="390"/>
      <c r="RQ49" s="390"/>
      <c r="RR49" s="390"/>
      <c r="RS49" s="390"/>
      <c r="RT49" s="390"/>
      <c r="RU49" s="390"/>
      <c r="RV49" s="390"/>
      <c r="RW49" s="390"/>
      <c r="RX49" s="390"/>
      <c r="RY49" s="390"/>
      <c r="RZ49" s="390"/>
      <c r="SA49" s="390"/>
      <c r="SB49" s="390"/>
      <c r="SC49" s="390"/>
      <c r="SD49" s="390"/>
      <c r="SE49" s="390"/>
      <c r="SF49" s="390"/>
      <c r="SG49" s="390"/>
      <c r="SH49" s="390"/>
      <c r="SI49" s="390"/>
      <c r="SJ49" s="390"/>
      <c r="SK49" s="390"/>
      <c r="SL49" s="390"/>
      <c r="SM49" s="390"/>
      <c r="SN49" s="390"/>
      <c r="SO49" s="390"/>
      <c r="SP49" s="390"/>
      <c r="SQ49" s="390"/>
      <c r="SR49" s="390"/>
      <c r="SS49" s="390"/>
      <c r="ST49" s="390"/>
      <c r="SU49" s="390"/>
      <c r="SV49" s="390"/>
      <c r="SW49" s="390"/>
      <c r="SX49" s="390"/>
      <c r="SY49" s="390"/>
      <c r="SZ49" s="390"/>
      <c r="TA49" s="390"/>
      <c r="TB49" s="390"/>
      <c r="TC49" s="390"/>
      <c r="TD49" s="390"/>
      <c r="TE49" s="390"/>
      <c r="TF49" s="390"/>
      <c r="TG49" s="390"/>
      <c r="TH49" s="390"/>
      <c r="TI49" s="390"/>
      <c r="TJ49" s="390"/>
      <c r="TK49" s="390"/>
      <c r="TL49" s="390"/>
      <c r="TM49" s="390"/>
      <c r="TN49" s="390"/>
      <c r="TO49" s="390"/>
      <c r="TP49" s="390"/>
      <c r="TQ49" s="390"/>
      <c r="TR49" s="390"/>
      <c r="TS49" s="390"/>
      <c r="TT49" s="390"/>
      <c r="TU49" s="390"/>
      <c r="TV49" s="390"/>
      <c r="TW49" s="390"/>
      <c r="TX49" s="390"/>
      <c r="TY49" s="390"/>
      <c r="TZ49" s="390"/>
      <c r="UA49" s="390"/>
      <c r="UB49" s="390"/>
      <c r="UC49" s="390"/>
      <c r="UD49" s="390"/>
      <c r="UE49" s="390"/>
      <c r="UF49" s="390"/>
      <c r="UG49" s="390"/>
      <c r="UH49" s="390"/>
      <c r="UI49" s="390"/>
      <c r="UJ49" s="390"/>
      <c r="UK49" s="390"/>
      <c r="UL49" s="390"/>
      <c r="UM49" s="390"/>
      <c r="UN49" s="390"/>
      <c r="UO49" s="390"/>
      <c r="UP49" s="390"/>
      <c r="UQ49" s="390"/>
      <c r="UR49" s="390"/>
      <c r="US49" s="390"/>
      <c r="UT49" s="390"/>
      <c r="UU49" s="390"/>
      <c r="UV49" s="390"/>
      <c r="UW49" s="390"/>
      <c r="UX49" s="390"/>
      <c r="UY49" s="390"/>
      <c r="UZ49" s="390"/>
      <c r="VA49" s="390"/>
      <c r="VB49" s="390"/>
      <c r="VC49" s="390"/>
      <c r="VD49" s="390"/>
      <c r="VE49" s="390"/>
      <c r="VF49" s="390"/>
      <c r="VG49" s="390"/>
      <c r="VH49" s="390"/>
      <c r="VI49" s="390"/>
      <c r="VJ49" s="390"/>
      <c r="VK49" s="390"/>
      <c r="VL49" s="390"/>
      <c r="VM49" s="390"/>
      <c r="VN49" s="390"/>
      <c r="VO49" s="390"/>
      <c r="VP49" s="390"/>
      <c r="VQ49" s="390"/>
      <c r="VR49" s="390"/>
      <c r="VS49" s="390"/>
      <c r="VT49" s="390"/>
      <c r="VU49" s="390"/>
      <c r="VV49" s="390"/>
      <c r="VW49" s="390"/>
      <c r="VX49" s="390"/>
      <c r="VY49" s="390"/>
      <c r="VZ49" s="390"/>
      <c r="WA49" s="390"/>
      <c r="WB49" s="390"/>
      <c r="WC49" s="390"/>
      <c r="WD49" s="390"/>
      <c r="WE49" s="390"/>
      <c r="WF49" s="390"/>
      <c r="WG49" s="390"/>
      <c r="WH49" s="390"/>
      <c r="WI49" s="390"/>
      <c r="WJ49" s="390"/>
      <c r="WK49" s="390"/>
      <c r="WL49" s="390"/>
      <c r="WM49" s="390"/>
      <c r="WN49" s="390"/>
      <c r="WO49" s="390"/>
      <c r="WP49" s="390"/>
      <c r="WQ49" s="390"/>
      <c r="WR49" s="390"/>
      <c r="WS49" s="390"/>
      <c r="WT49" s="390"/>
      <c r="WU49" s="390"/>
      <c r="WV49" s="390"/>
      <c r="WW49" s="390"/>
      <c r="WX49" s="390"/>
      <c r="WY49" s="390"/>
      <c r="WZ49" s="390"/>
      <c r="XA49" s="390"/>
      <c r="XB49" s="390"/>
      <c r="XC49" s="390"/>
      <c r="XD49" s="390"/>
      <c r="XE49" s="390"/>
      <c r="XF49" s="390"/>
      <c r="XG49" s="390"/>
      <c r="XH49" s="390"/>
      <c r="XI49" s="390"/>
      <c r="XJ49" s="390"/>
      <c r="XK49" s="390"/>
      <c r="XL49" s="390"/>
      <c r="XM49" s="390"/>
      <c r="XN49" s="390"/>
      <c r="XO49" s="390"/>
      <c r="XP49" s="390"/>
      <c r="XQ49" s="390"/>
      <c r="XR49" s="390"/>
      <c r="XS49" s="390"/>
      <c r="XT49" s="390"/>
      <c r="XU49" s="390"/>
      <c r="XV49" s="390"/>
      <c r="XW49" s="390"/>
      <c r="XX49" s="390"/>
      <c r="XY49" s="390"/>
      <c r="XZ49" s="390"/>
      <c r="YA49" s="390"/>
      <c r="YB49" s="390"/>
      <c r="YC49" s="390"/>
      <c r="YD49" s="390"/>
      <c r="YE49" s="390"/>
      <c r="YF49" s="390"/>
      <c r="YG49" s="390"/>
      <c r="YH49" s="390"/>
      <c r="YI49" s="390"/>
      <c r="YJ49" s="390"/>
      <c r="YK49" s="390"/>
      <c r="YL49" s="390"/>
      <c r="YM49" s="390"/>
      <c r="YN49" s="390"/>
      <c r="YO49" s="390"/>
      <c r="YP49" s="390"/>
      <c r="YQ49" s="390"/>
      <c r="YR49" s="390"/>
      <c r="YS49" s="390"/>
      <c r="YT49" s="390"/>
      <c r="YU49" s="390"/>
      <c r="YV49" s="390"/>
      <c r="YW49" s="390"/>
      <c r="YX49" s="390"/>
      <c r="YY49" s="390"/>
      <c r="YZ49" s="390"/>
      <c r="ZA49" s="390"/>
      <c r="ZB49" s="390"/>
      <c r="ZC49" s="390"/>
      <c r="ZD49" s="390"/>
      <c r="ZE49" s="390"/>
      <c r="ZF49" s="390"/>
      <c r="ZG49" s="390"/>
      <c r="ZH49" s="390"/>
      <c r="ZI49" s="390"/>
      <c r="ZJ49" s="390"/>
      <c r="ZK49" s="390"/>
      <c r="ZL49" s="390"/>
      <c r="ZM49" s="390"/>
      <c r="ZN49" s="390"/>
      <c r="ZO49" s="390"/>
      <c r="ZP49" s="390"/>
      <c r="ZQ49" s="390"/>
      <c r="ZR49" s="390"/>
      <c r="ZS49" s="390"/>
      <c r="ZT49" s="390"/>
      <c r="ZU49" s="390"/>
      <c r="ZV49" s="390"/>
      <c r="ZW49" s="390"/>
      <c r="ZX49" s="390"/>
      <c r="ZY49" s="390"/>
      <c r="ZZ49" s="390"/>
      <c r="AAA49" s="390"/>
      <c r="AAB49" s="390"/>
      <c r="AAC49" s="390"/>
      <c r="AAD49" s="390"/>
      <c r="AAE49" s="390"/>
      <c r="AAF49" s="390"/>
      <c r="AAG49" s="390"/>
      <c r="AAH49" s="390"/>
      <c r="AAI49" s="390"/>
      <c r="AAJ49" s="390"/>
      <c r="AAK49" s="390"/>
      <c r="AAL49" s="390"/>
      <c r="AAM49" s="390"/>
      <c r="AAN49" s="390"/>
      <c r="AAO49" s="390"/>
      <c r="AAP49" s="390"/>
      <c r="AAQ49" s="390"/>
      <c r="AAR49" s="390"/>
      <c r="AAS49" s="390"/>
      <c r="AAT49" s="390"/>
      <c r="AAU49" s="390"/>
      <c r="AAV49" s="390"/>
      <c r="AAW49" s="390"/>
      <c r="AAX49" s="390"/>
      <c r="AAY49" s="390"/>
      <c r="AAZ49" s="390"/>
      <c r="ABA49" s="390"/>
      <c r="ABB49" s="390"/>
      <c r="ABC49" s="390"/>
      <c r="ABD49" s="390"/>
      <c r="ABE49" s="390"/>
      <c r="ABF49" s="390"/>
      <c r="ABG49" s="390"/>
      <c r="ABH49" s="390"/>
      <c r="ABI49" s="390"/>
      <c r="ABJ49" s="390"/>
      <c r="ABK49" s="390"/>
      <c r="ABL49" s="390"/>
      <c r="ABM49" s="390"/>
      <c r="ABN49" s="390"/>
      <c r="ABO49" s="390"/>
      <c r="ABP49" s="390"/>
      <c r="ABQ49" s="390"/>
      <c r="ABR49" s="390"/>
      <c r="ABS49" s="390"/>
      <c r="ABT49" s="390"/>
      <c r="ABU49" s="390"/>
      <c r="ABV49" s="390"/>
      <c r="ABW49" s="390"/>
      <c r="ABX49" s="390"/>
      <c r="ABY49" s="390"/>
      <c r="ABZ49" s="390"/>
      <c r="ACA49" s="390"/>
      <c r="ACB49" s="390"/>
      <c r="ACC49" s="390"/>
      <c r="ACD49" s="390"/>
      <c r="ACE49" s="390"/>
      <c r="ACF49" s="390"/>
      <c r="ACG49" s="390"/>
      <c r="ACH49" s="390"/>
      <c r="ACI49" s="390"/>
    </row>
    <row r="50" spans="1:763" ht="13.95" customHeight="1" x14ac:dyDescent="0.3">
      <c r="A50" s="397" t="str">
        <f ca="1">Проект!$A$337</f>
        <v>заработная плата</v>
      </c>
      <c r="B50" s="352" t="str">
        <f ca="1">Проект!$B$337</f>
        <v>за период</v>
      </c>
      <c r="C50" s="402" t="str">
        <f ca="1">Проект!$C$337</f>
        <v>руб.</v>
      </c>
      <c r="D50" s="399">
        <f ca="1">SUM(Проект!$G$337:$R$337)</f>
        <v>750364.73871711968</v>
      </c>
      <c r="E50" s="399">
        <f ca="1">SUM(Проект!$S$337:$AD$337)</f>
        <v>1567934.4051071284</v>
      </c>
      <c r="F50" s="399">
        <f ca="1">SUM(Проект!$AE$337:$AP$337)</f>
        <v>1662010.4694135566</v>
      </c>
      <c r="G50" s="399">
        <f ca="1">SUM(Проект!$AQ$337:$BB$337)</f>
        <v>1761731.0975783698</v>
      </c>
      <c r="H50" s="392">
        <f ca="1">Проект!$BD$337</f>
        <v>5742040.7108161747</v>
      </c>
      <c r="I50" s="390"/>
      <c r="J50" s="390"/>
      <c r="K50" s="390"/>
      <c r="L50" s="390"/>
      <c r="M50" s="390"/>
      <c r="N50" s="390"/>
      <c r="O50" s="390"/>
      <c r="P50" s="390"/>
      <c r="Q50" s="390"/>
      <c r="R50" s="390"/>
      <c r="S50" s="390"/>
      <c r="T50" s="390"/>
      <c r="U50" s="390"/>
      <c r="V50" s="390"/>
      <c r="W50" s="390"/>
      <c r="X50" s="390"/>
      <c r="Y50" s="390"/>
      <c r="Z50" s="390"/>
      <c r="AA50" s="390"/>
      <c r="AB50" s="390"/>
      <c r="AC50" s="390"/>
      <c r="AD50" s="390"/>
      <c r="AE50" s="390"/>
      <c r="AF50" s="390"/>
      <c r="AG50" s="390"/>
      <c r="AH50" s="390"/>
      <c r="AI50" s="390"/>
      <c r="AJ50" s="390"/>
      <c r="AK50" s="390"/>
      <c r="AL50" s="390"/>
      <c r="AM50" s="390"/>
      <c r="AN50" s="390"/>
      <c r="AO50" s="390"/>
      <c r="AP50" s="390"/>
      <c r="AQ50" s="390"/>
      <c r="AR50" s="390"/>
      <c r="AS50" s="390"/>
      <c r="AT50" s="390"/>
      <c r="AU50" s="390"/>
      <c r="AV50" s="390"/>
      <c r="AW50" s="390"/>
      <c r="AX50" s="390"/>
      <c r="AY50" s="390"/>
      <c r="AZ50" s="390"/>
      <c r="BA50" s="390"/>
      <c r="BB50" s="390"/>
      <c r="BC50" s="390"/>
      <c r="BD50" s="390"/>
      <c r="BE50" s="390"/>
      <c r="BF50" s="390"/>
      <c r="BG50" s="390"/>
      <c r="BH50" s="390"/>
      <c r="BI50" s="390"/>
      <c r="BJ50" s="390"/>
      <c r="BK50" s="390"/>
      <c r="BL50" s="390"/>
      <c r="BM50" s="390"/>
      <c r="BN50" s="390"/>
      <c r="BO50" s="390"/>
      <c r="BP50" s="390"/>
      <c r="BQ50" s="390"/>
      <c r="BR50" s="390"/>
      <c r="BS50" s="390"/>
      <c r="BT50" s="390"/>
      <c r="BU50" s="390"/>
      <c r="BV50" s="390"/>
      <c r="BW50" s="390"/>
      <c r="BX50" s="390"/>
      <c r="BY50" s="390"/>
      <c r="BZ50" s="390"/>
      <c r="CA50" s="390"/>
      <c r="CB50" s="390"/>
      <c r="CC50" s="390"/>
      <c r="CD50" s="390"/>
      <c r="CE50" s="390"/>
      <c r="CF50" s="390"/>
      <c r="CG50" s="390"/>
      <c r="CH50" s="390"/>
      <c r="CI50" s="390"/>
      <c r="CJ50" s="390"/>
      <c r="CK50" s="390"/>
      <c r="CL50" s="390"/>
      <c r="CM50" s="390"/>
      <c r="CN50" s="390"/>
      <c r="CO50" s="390"/>
      <c r="CP50" s="390"/>
      <c r="CQ50" s="390"/>
      <c r="CR50" s="390"/>
      <c r="CS50" s="390"/>
      <c r="CT50" s="390"/>
      <c r="CU50" s="390"/>
      <c r="CV50" s="390"/>
      <c r="CW50" s="390"/>
      <c r="CX50" s="390"/>
      <c r="CY50" s="390"/>
      <c r="CZ50" s="390"/>
      <c r="DA50" s="390"/>
      <c r="DB50" s="390"/>
      <c r="DC50" s="390"/>
      <c r="DD50" s="390"/>
      <c r="DE50" s="390"/>
      <c r="DF50" s="390"/>
      <c r="DG50" s="390"/>
      <c r="DH50" s="390"/>
      <c r="DI50" s="390"/>
      <c r="DJ50" s="390"/>
      <c r="DK50" s="390"/>
      <c r="DL50" s="390"/>
      <c r="DM50" s="390"/>
      <c r="DN50" s="390"/>
      <c r="DO50" s="390"/>
      <c r="DP50" s="390"/>
      <c r="DQ50" s="390"/>
      <c r="DR50" s="390"/>
      <c r="DS50" s="390"/>
      <c r="DT50" s="390"/>
      <c r="DU50" s="390"/>
      <c r="DV50" s="390"/>
      <c r="DW50" s="390"/>
      <c r="DX50" s="390"/>
      <c r="DY50" s="390"/>
      <c r="DZ50" s="390"/>
      <c r="EA50" s="390"/>
      <c r="EB50" s="390"/>
      <c r="EC50" s="390"/>
      <c r="ED50" s="390"/>
      <c r="EE50" s="390"/>
      <c r="EF50" s="390"/>
      <c r="EG50" s="390"/>
      <c r="EH50" s="390"/>
      <c r="EI50" s="390"/>
      <c r="EJ50" s="390"/>
      <c r="EK50" s="390"/>
      <c r="EL50" s="390"/>
      <c r="EM50" s="390"/>
      <c r="EN50" s="390"/>
      <c r="EO50" s="390"/>
      <c r="EP50" s="390"/>
      <c r="EQ50" s="390"/>
      <c r="ER50" s="390"/>
      <c r="ES50" s="390"/>
      <c r="ET50" s="390"/>
      <c r="EU50" s="390"/>
      <c r="EV50" s="390"/>
      <c r="EW50" s="390"/>
      <c r="EX50" s="390"/>
      <c r="EY50" s="390"/>
      <c r="EZ50" s="390"/>
      <c r="FA50" s="390"/>
      <c r="FB50" s="390"/>
      <c r="FC50" s="390"/>
      <c r="FD50" s="390"/>
      <c r="FE50" s="390"/>
      <c r="FF50" s="390"/>
      <c r="FG50" s="390"/>
      <c r="FH50" s="390"/>
      <c r="FI50" s="390"/>
      <c r="FJ50" s="390"/>
      <c r="FK50" s="390"/>
      <c r="FL50" s="390"/>
      <c r="FM50" s="390"/>
      <c r="FN50" s="390"/>
      <c r="FO50" s="390"/>
      <c r="FP50" s="390"/>
      <c r="FQ50" s="390"/>
      <c r="FR50" s="390"/>
      <c r="FS50" s="390"/>
      <c r="FT50" s="390"/>
      <c r="FU50" s="390"/>
      <c r="FV50" s="390"/>
      <c r="FW50" s="390"/>
      <c r="FX50" s="390"/>
      <c r="FY50" s="390"/>
      <c r="FZ50" s="390"/>
      <c r="GA50" s="390"/>
      <c r="GB50" s="390"/>
      <c r="GC50" s="390"/>
      <c r="GD50" s="390"/>
      <c r="GE50" s="390"/>
      <c r="GF50" s="390"/>
      <c r="GG50" s="390"/>
      <c r="GH50" s="390"/>
      <c r="GI50" s="390"/>
      <c r="GJ50" s="390"/>
      <c r="GK50" s="390"/>
      <c r="GL50" s="390"/>
      <c r="GM50" s="390"/>
      <c r="GN50" s="390"/>
      <c r="GO50" s="390"/>
      <c r="GP50" s="390"/>
      <c r="GQ50" s="390"/>
      <c r="GR50" s="390"/>
      <c r="GS50" s="390"/>
      <c r="GT50" s="390"/>
      <c r="GU50" s="390"/>
      <c r="GV50" s="390"/>
      <c r="GW50" s="390"/>
      <c r="GX50" s="390"/>
      <c r="GY50" s="390"/>
      <c r="GZ50" s="390"/>
      <c r="HA50" s="390"/>
      <c r="HB50" s="390"/>
      <c r="HC50" s="390"/>
      <c r="HD50" s="390"/>
      <c r="HE50" s="390"/>
      <c r="HF50" s="390"/>
      <c r="HG50" s="390"/>
      <c r="HH50" s="390"/>
      <c r="HI50" s="390"/>
      <c r="HJ50" s="390"/>
      <c r="HK50" s="390"/>
      <c r="HL50" s="390"/>
      <c r="HM50" s="390"/>
      <c r="HN50" s="390"/>
      <c r="HO50" s="390"/>
      <c r="HP50" s="390"/>
      <c r="HQ50" s="390"/>
      <c r="HR50" s="390"/>
      <c r="HS50" s="390"/>
      <c r="HT50" s="390"/>
      <c r="HU50" s="390"/>
      <c r="HV50" s="390"/>
      <c r="HW50" s="390"/>
      <c r="HX50" s="390"/>
      <c r="HY50" s="390"/>
      <c r="HZ50" s="390"/>
      <c r="IA50" s="390"/>
      <c r="IB50" s="390"/>
      <c r="IC50" s="390"/>
      <c r="ID50" s="390"/>
      <c r="IE50" s="390"/>
      <c r="IF50" s="390"/>
      <c r="IG50" s="390"/>
      <c r="IH50" s="390"/>
      <c r="II50" s="390"/>
      <c r="IJ50" s="390"/>
      <c r="IK50" s="390"/>
      <c r="IL50" s="390"/>
      <c r="IM50" s="390"/>
      <c r="IN50" s="390"/>
      <c r="IO50" s="390"/>
      <c r="IP50" s="390"/>
      <c r="IQ50" s="390"/>
      <c r="IR50" s="390"/>
      <c r="IS50" s="390"/>
      <c r="IT50" s="390"/>
      <c r="IU50" s="390"/>
      <c r="IV50" s="390"/>
      <c r="IW50" s="390"/>
      <c r="IX50" s="390"/>
      <c r="IY50" s="390"/>
      <c r="IZ50" s="390"/>
      <c r="JA50" s="390"/>
      <c r="JB50" s="390"/>
      <c r="JC50" s="390"/>
      <c r="JD50" s="390"/>
      <c r="JE50" s="390"/>
      <c r="JF50" s="390"/>
      <c r="JG50" s="390"/>
      <c r="JH50" s="390"/>
      <c r="JI50" s="390"/>
      <c r="JJ50" s="390"/>
      <c r="JK50" s="390"/>
      <c r="JL50" s="390"/>
      <c r="JM50" s="390"/>
      <c r="JN50" s="390"/>
      <c r="JO50" s="390"/>
      <c r="JP50" s="390"/>
      <c r="JQ50" s="390"/>
      <c r="JR50" s="390"/>
      <c r="JS50" s="390"/>
      <c r="JT50" s="390"/>
      <c r="JU50" s="390"/>
      <c r="JV50" s="390"/>
      <c r="JW50" s="390"/>
      <c r="JX50" s="390"/>
      <c r="JY50" s="390"/>
      <c r="JZ50" s="390"/>
      <c r="KA50" s="390"/>
      <c r="KB50" s="390"/>
      <c r="KC50" s="390"/>
      <c r="KD50" s="390"/>
      <c r="KE50" s="390"/>
      <c r="KF50" s="390"/>
      <c r="KG50" s="390"/>
      <c r="KH50" s="390"/>
      <c r="KI50" s="390"/>
      <c r="KJ50" s="390"/>
      <c r="KK50" s="390"/>
      <c r="KL50" s="390"/>
      <c r="KM50" s="390"/>
      <c r="KN50" s="390"/>
      <c r="KO50" s="390"/>
      <c r="KP50" s="390"/>
      <c r="KQ50" s="390"/>
      <c r="KR50" s="390"/>
      <c r="KS50" s="390"/>
      <c r="KT50" s="390"/>
      <c r="KU50" s="390"/>
      <c r="KV50" s="390"/>
      <c r="KW50" s="390"/>
      <c r="KX50" s="390"/>
      <c r="KY50" s="390"/>
      <c r="KZ50" s="390"/>
      <c r="LA50" s="390"/>
      <c r="LB50" s="390"/>
      <c r="LC50" s="390"/>
      <c r="LD50" s="390"/>
      <c r="LE50" s="390"/>
      <c r="LF50" s="390"/>
      <c r="LG50" s="390"/>
      <c r="LH50" s="390"/>
      <c r="LI50" s="390"/>
      <c r="LJ50" s="390"/>
      <c r="LK50" s="390"/>
      <c r="LL50" s="390"/>
      <c r="LM50" s="390"/>
      <c r="LN50" s="390"/>
      <c r="LO50" s="390"/>
      <c r="LP50" s="390"/>
      <c r="LQ50" s="390"/>
      <c r="LR50" s="390"/>
      <c r="LS50" s="390"/>
      <c r="LT50" s="390"/>
      <c r="LU50" s="390"/>
      <c r="LV50" s="390"/>
      <c r="LW50" s="390"/>
      <c r="LX50" s="390"/>
      <c r="LY50" s="390"/>
      <c r="LZ50" s="390"/>
      <c r="MA50" s="390"/>
      <c r="MB50" s="390"/>
      <c r="MC50" s="390"/>
      <c r="MD50" s="390"/>
      <c r="ME50" s="390"/>
      <c r="MF50" s="390"/>
      <c r="MG50" s="390"/>
      <c r="MH50" s="390"/>
      <c r="MI50" s="390"/>
      <c r="MJ50" s="390"/>
      <c r="MK50" s="390"/>
      <c r="ML50" s="390"/>
      <c r="MM50" s="390"/>
      <c r="MN50" s="390"/>
      <c r="MO50" s="390"/>
      <c r="MP50" s="390"/>
      <c r="MQ50" s="390"/>
      <c r="MR50" s="390"/>
      <c r="MS50" s="390"/>
      <c r="MT50" s="390"/>
      <c r="MU50" s="390"/>
      <c r="MV50" s="390"/>
      <c r="MW50" s="390"/>
      <c r="MX50" s="390"/>
      <c r="MY50" s="390"/>
      <c r="MZ50" s="390"/>
      <c r="NA50" s="390"/>
      <c r="NB50" s="390"/>
      <c r="NC50" s="390"/>
      <c r="ND50" s="390"/>
      <c r="NE50" s="390"/>
      <c r="NF50" s="390"/>
      <c r="NG50" s="390"/>
      <c r="NH50" s="390"/>
      <c r="NI50" s="390"/>
      <c r="NJ50" s="390"/>
      <c r="NK50" s="390"/>
      <c r="NL50" s="390"/>
      <c r="NM50" s="390"/>
      <c r="NN50" s="390"/>
      <c r="NO50" s="390"/>
      <c r="NP50" s="390"/>
      <c r="NQ50" s="390"/>
      <c r="NR50" s="390"/>
      <c r="NS50" s="390"/>
      <c r="NT50" s="390"/>
      <c r="NU50" s="390"/>
      <c r="NV50" s="390"/>
      <c r="NW50" s="390"/>
      <c r="NX50" s="390"/>
      <c r="NY50" s="390"/>
      <c r="NZ50" s="390"/>
      <c r="OA50" s="390"/>
      <c r="OB50" s="390"/>
      <c r="OC50" s="390"/>
      <c r="OD50" s="390"/>
      <c r="OE50" s="390"/>
      <c r="OF50" s="390"/>
      <c r="OG50" s="390"/>
      <c r="OH50" s="390"/>
      <c r="OI50" s="390"/>
      <c r="OJ50" s="390"/>
      <c r="OK50" s="390"/>
      <c r="OL50" s="390"/>
      <c r="OM50" s="390"/>
      <c r="ON50" s="390"/>
      <c r="OO50" s="390"/>
      <c r="OP50" s="390"/>
      <c r="OQ50" s="390"/>
      <c r="OR50" s="390"/>
      <c r="OS50" s="390"/>
      <c r="OT50" s="390"/>
      <c r="OU50" s="390"/>
      <c r="OV50" s="390"/>
      <c r="OW50" s="390"/>
      <c r="OX50" s="390"/>
      <c r="OY50" s="390"/>
      <c r="OZ50" s="390"/>
      <c r="PA50" s="390"/>
      <c r="PB50" s="390"/>
      <c r="PC50" s="390"/>
      <c r="PD50" s="390"/>
      <c r="PE50" s="390"/>
      <c r="PF50" s="390"/>
      <c r="PG50" s="390"/>
      <c r="PH50" s="390"/>
      <c r="PI50" s="390"/>
      <c r="PJ50" s="390"/>
      <c r="PK50" s="390"/>
      <c r="PL50" s="390"/>
      <c r="PM50" s="390"/>
      <c r="PN50" s="390"/>
      <c r="PO50" s="390"/>
      <c r="PP50" s="390"/>
      <c r="PQ50" s="390"/>
      <c r="PR50" s="390"/>
      <c r="PS50" s="390"/>
      <c r="PT50" s="390"/>
      <c r="PU50" s="390"/>
      <c r="PV50" s="390"/>
      <c r="PW50" s="390"/>
      <c r="PX50" s="390"/>
      <c r="PY50" s="390"/>
      <c r="PZ50" s="390"/>
      <c r="QA50" s="390"/>
      <c r="QB50" s="390"/>
      <c r="QC50" s="390"/>
      <c r="QD50" s="390"/>
      <c r="QE50" s="390"/>
      <c r="QF50" s="390"/>
      <c r="QG50" s="390"/>
      <c r="QH50" s="390"/>
      <c r="QI50" s="390"/>
      <c r="QJ50" s="390"/>
      <c r="QK50" s="390"/>
      <c r="QL50" s="390"/>
      <c r="QM50" s="390"/>
      <c r="QN50" s="390"/>
      <c r="QO50" s="390"/>
      <c r="QP50" s="390"/>
      <c r="QQ50" s="390"/>
      <c r="QR50" s="390"/>
      <c r="QS50" s="390"/>
      <c r="QT50" s="390"/>
      <c r="QU50" s="390"/>
      <c r="QV50" s="390"/>
      <c r="QW50" s="390"/>
      <c r="QX50" s="390"/>
      <c r="QY50" s="390"/>
      <c r="QZ50" s="390"/>
      <c r="RA50" s="390"/>
      <c r="RB50" s="390"/>
      <c r="RC50" s="390"/>
      <c r="RD50" s="390"/>
      <c r="RE50" s="390"/>
      <c r="RF50" s="390"/>
      <c r="RG50" s="390"/>
      <c r="RH50" s="390"/>
      <c r="RI50" s="390"/>
      <c r="RJ50" s="390"/>
      <c r="RK50" s="390"/>
      <c r="RL50" s="390"/>
      <c r="RM50" s="390"/>
      <c r="RN50" s="390"/>
      <c r="RO50" s="390"/>
      <c r="RP50" s="390"/>
      <c r="RQ50" s="390"/>
      <c r="RR50" s="390"/>
      <c r="RS50" s="390"/>
      <c r="RT50" s="390"/>
      <c r="RU50" s="390"/>
      <c r="RV50" s="390"/>
      <c r="RW50" s="390"/>
      <c r="RX50" s="390"/>
      <c r="RY50" s="390"/>
      <c r="RZ50" s="390"/>
      <c r="SA50" s="390"/>
      <c r="SB50" s="390"/>
      <c r="SC50" s="390"/>
      <c r="SD50" s="390"/>
      <c r="SE50" s="390"/>
      <c r="SF50" s="390"/>
      <c r="SG50" s="390"/>
      <c r="SH50" s="390"/>
      <c r="SI50" s="390"/>
      <c r="SJ50" s="390"/>
      <c r="SK50" s="390"/>
      <c r="SL50" s="390"/>
      <c r="SM50" s="390"/>
      <c r="SN50" s="390"/>
      <c r="SO50" s="390"/>
      <c r="SP50" s="390"/>
      <c r="SQ50" s="390"/>
      <c r="SR50" s="390"/>
      <c r="SS50" s="390"/>
      <c r="ST50" s="390"/>
      <c r="SU50" s="390"/>
      <c r="SV50" s="390"/>
      <c r="SW50" s="390"/>
      <c r="SX50" s="390"/>
      <c r="SY50" s="390"/>
      <c r="SZ50" s="390"/>
      <c r="TA50" s="390"/>
      <c r="TB50" s="390"/>
      <c r="TC50" s="390"/>
      <c r="TD50" s="390"/>
      <c r="TE50" s="390"/>
      <c r="TF50" s="390"/>
      <c r="TG50" s="390"/>
      <c r="TH50" s="390"/>
      <c r="TI50" s="390"/>
      <c r="TJ50" s="390"/>
      <c r="TK50" s="390"/>
      <c r="TL50" s="390"/>
      <c r="TM50" s="390"/>
      <c r="TN50" s="390"/>
      <c r="TO50" s="390"/>
      <c r="TP50" s="390"/>
      <c r="TQ50" s="390"/>
      <c r="TR50" s="390"/>
      <c r="TS50" s="390"/>
      <c r="TT50" s="390"/>
      <c r="TU50" s="390"/>
      <c r="TV50" s="390"/>
      <c r="TW50" s="390"/>
      <c r="TX50" s="390"/>
      <c r="TY50" s="390"/>
      <c r="TZ50" s="390"/>
      <c r="UA50" s="390"/>
      <c r="UB50" s="390"/>
      <c r="UC50" s="390"/>
      <c r="UD50" s="390"/>
      <c r="UE50" s="390"/>
      <c r="UF50" s="390"/>
      <c r="UG50" s="390"/>
      <c r="UH50" s="390"/>
      <c r="UI50" s="390"/>
      <c r="UJ50" s="390"/>
      <c r="UK50" s="390"/>
      <c r="UL50" s="390"/>
      <c r="UM50" s="390"/>
      <c r="UN50" s="390"/>
      <c r="UO50" s="390"/>
      <c r="UP50" s="390"/>
      <c r="UQ50" s="390"/>
      <c r="UR50" s="390"/>
      <c r="US50" s="390"/>
      <c r="UT50" s="390"/>
      <c r="UU50" s="390"/>
      <c r="UV50" s="390"/>
      <c r="UW50" s="390"/>
      <c r="UX50" s="390"/>
      <c r="UY50" s="390"/>
      <c r="UZ50" s="390"/>
      <c r="VA50" s="390"/>
      <c r="VB50" s="390"/>
      <c r="VC50" s="390"/>
      <c r="VD50" s="390"/>
      <c r="VE50" s="390"/>
      <c r="VF50" s="390"/>
      <c r="VG50" s="390"/>
      <c r="VH50" s="390"/>
      <c r="VI50" s="390"/>
      <c r="VJ50" s="390"/>
      <c r="VK50" s="390"/>
      <c r="VL50" s="390"/>
      <c r="VM50" s="390"/>
      <c r="VN50" s="390"/>
      <c r="VO50" s="390"/>
      <c r="VP50" s="390"/>
      <c r="VQ50" s="390"/>
      <c r="VR50" s="390"/>
      <c r="VS50" s="390"/>
      <c r="VT50" s="390"/>
      <c r="VU50" s="390"/>
      <c r="VV50" s="390"/>
      <c r="VW50" s="390"/>
      <c r="VX50" s="390"/>
      <c r="VY50" s="390"/>
      <c r="VZ50" s="390"/>
      <c r="WA50" s="390"/>
      <c r="WB50" s="390"/>
      <c r="WC50" s="390"/>
      <c r="WD50" s="390"/>
      <c r="WE50" s="390"/>
      <c r="WF50" s="390"/>
      <c r="WG50" s="390"/>
      <c r="WH50" s="390"/>
      <c r="WI50" s="390"/>
      <c r="WJ50" s="390"/>
      <c r="WK50" s="390"/>
      <c r="WL50" s="390"/>
      <c r="WM50" s="390"/>
      <c r="WN50" s="390"/>
      <c r="WO50" s="390"/>
      <c r="WP50" s="390"/>
      <c r="WQ50" s="390"/>
      <c r="WR50" s="390"/>
      <c r="WS50" s="390"/>
      <c r="WT50" s="390"/>
      <c r="WU50" s="390"/>
      <c r="WV50" s="390"/>
      <c r="WW50" s="390"/>
      <c r="WX50" s="390"/>
      <c r="WY50" s="390"/>
      <c r="WZ50" s="390"/>
      <c r="XA50" s="390"/>
      <c r="XB50" s="390"/>
      <c r="XC50" s="390"/>
      <c r="XD50" s="390"/>
      <c r="XE50" s="390"/>
      <c r="XF50" s="390"/>
      <c r="XG50" s="390"/>
      <c r="XH50" s="390"/>
      <c r="XI50" s="390"/>
      <c r="XJ50" s="390"/>
      <c r="XK50" s="390"/>
      <c r="XL50" s="390"/>
      <c r="XM50" s="390"/>
      <c r="XN50" s="390"/>
      <c r="XO50" s="390"/>
      <c r="XP50" s="390"/>
      <c r="XQ50" s="390"/>
      <c r="XR50" s="390"/>
      <c r="XS50" s="390"/>
      <c r="XT50" s="390"/>
      <c r="XU50" s="390"/>
      <c r="XV50" s="390"/>
      <c r="XW50" s="390"/>
      <c r="XX50" s="390"/>
      <c r="XY50" s="390"/>
      <c r="XZ50" s="390"/>
      <c r="YA50" s="390"/>
      <c r="YB50" s="390"/>
      <c r="YC50" s="390"/>
      <c r="YD50" s="390"/>
      <c r="YE50" s="390"/>
      <c r="YF50" s="390"/>
      <c r="YG50" s="390"/>
      <c r="YH50" s="390"/>
      <c r="YI50" s="390"/>
      <c r="YJ50" s="390"/>
      <c r="YK50" s="390"/>
      <c r="YL50" s="390"/>
      <c r="YM50" s="390"/>
      <c r="YN50" s="390"/>
      <c r="YO50" s="390"/>
      <c r="YP50" s="390"/>
      <c r="YQ50" s="390"/>
      <c r="YR50" s="390"/>
      <c r="YS50" s="390"/>
      <c r="YT50" s="390"/>
      <c r="YU50" s="390"/>
      <c r="YV50" s="390"/>
      <c r="YW50" s="390"/>
      <c r="YX50" s="390"/>
      <c r="YY50" s="390"/>
      <c r="YZ50" s="390"/>
      <c r="ZA50" s="390"/>
      <c r="ZB50" s="390"/>
      <c r="ZC50" s="390"/>
      <c r="ZD50" s="390"/>
      <c r="ZE50" s="390"/>
      <c r="ZF50" s="390"/>
      <c r="ZG50" s="390"/>
      <c r="ZH50" s="390"/>
      <c r="ZI50" s="390"/>
      <c r="ZJ50" s="390"/>
      <c r="ZK50" s="390"/>
      <c r="ZL50" s="390"/>
      <c r="ZM50" s="390"/>
      <c r="ZN50" s="390"/>
      <c r="ZO50" s="390"/>
      <c r="ZP50" s="390"/>
      <c r="ZQ50" s="390"/>
      <c r="ZR50" s="390"/>
      <c r="ZS50" s="390"/>
      <c r="ZT50" s="390"/>
      <c r="ZU50" s="390"/>
      <c r="ZV50" s="390"/>
      <c r="ZW50" s="390"/>
      <c r="ZX50" s="390"/>
      <c r="ZY50" s="390"/>
      <c r="ZZ50" s="390"/>
      <c r="AAA50" s="390"/>
      <c r="AAB50" s="390"/>
      <c r="AAC50" s="390"/>
      <c r="AAD50" s="390"/>
      <c r="AAE50" s="390"/>
      <c r="AAF50" s="390"/>
      <c r="AAG50" s="390"/>
      <c r="AAH50" s="390"/>
      <c r="AAI50" s="390"/>
      <c r="AAJ50" s="390"/>
      <c r="AAK50" s="390"/>
      <c r="AAL50" s="390"/>
      <c r="AAM50" s="390"/>
      <c r="AAN50" s="390"/>
      <c r="AAO50" s="390"/>
      <c r="AAP50" s="390"/>
      <c r="AAQ50" s="390"/>
      <c r="AAR50" s="390"/>
      <c r="AAS50" s="390"/>
      <c r="AAT50" s="390"/>
      <c r="AAU50" s="390"/>
      <c r="AAV50" s="390"/>
      <c r="AAW50" s="390"/>
      <c r="AAX50" s="390"/>
      <c r="AAY50" s="390"/>
      <c r="AAZ50" s="390"/>
      <c r="ABA50" s="390"/>
      <c r="ABB50" s="390"/>
      <c r="ABC50" s="390"/>
      <c r="ABD50" s="390"/>
      <c r="ABE50" s="390"/>
      <c r="ABF50" s="390"/>
      <c r="ABG50" s="390"/>
      <c r="ABH50" s="390"/>
      <c r="ABI50" s="390"/>
      <c r="ABJ50" s="390"/>
      <c r="ABK50" s="390"/>
      <c r="ABL50" s="390"/>
      <c r="ABM50" s="390"/>
      <c r="ABN50" s="390"/>
      <c r="ABO50" s="390"/>
      <c r="ABP50" s="390"/>
      <c r="ABQ50" s="390"/>
      <c r="ABR50" s="390"/>
      <c r="ABS50" s="390"/>
      <c r="ABT50" s="390"/>
      <c r="ABU50" s="390"/>
      <c r="ABV50" s="390"/>
      <c r="ABW50" s="390"/>
      <c r="ABX50" s="390"/>
      <c r="ABY50" s="390"/>
      <c r="ABZ50" s="390"/>
      <c r="ACA50" s="390"/>
      <c r="ACB50" s="390"/>
      <c r="ACC50" s="390"/>
      <c r="ACD50" s="390"/>
      <c r="ACE50" s="390"/>
      <c r="ACF50" s="390"/>
      <c r="ACG50" s="390"/>
      <c r="ACH50" s="390"/>
      <c r="ACI50" s="390"/>
    </row>
    <row r="51" spans="1:763" ht="13.95" customHeight="1" x14ac:dyDescent="0.3">
      <c r="A51" s="390" t="str">
        <f>Проект!$A$343</f>
        <v>Сотрудник кухни</v>
      </c>
      <c r="B51" s="352"/>
      <c r="C51" s="402"/>
      <c r="D51" s="411"/>
      <c r="E51" s="411"/>
      <c r="F51" s="411"/>
      <c r="G51" s="411"/>
      <c r="H51" s="396"/>
      <c r="I51" s="390"/>
      <c r="J51" s="390"/>
      <c r="K51" s="390"/>
      <c r="L51" s="390"/>
      <c r="M51" s="390"/>
      <c r="N51" s="390"/>
      <c r="O51" s="390"/>
      <c r="P51" s="390"/>
      <c r="Q51" s="390"/>
      <c r="R51" s="390"/>
      <c r="S51" s="390"/>
      <c r="T51" s="390"/>
      <c r="U51" s="390"/>
      <c r="V51" s="390"/>
      <c r="W51" s="390"/>
      <c r="X51" s="390"/>
      <c r="Y51" s="390"/>
      <c r="Z51" s="390"/>
      <c r="AA51" s="390"/>
      <c r="AB51" s="390"/>
      <c r="AC51" s="390"/>
      <c r="AD51" s="390"/>
      <c r="AE51" s="390"/>
      <c r="AF51" s="390"/>
      <c r="AG51" s="390"/>
      <c r="AH51" s="390"/>
      <c r="AI51" s="390"/>
      <c r="AJ51" s="390"/>
      <c r="AK51" s="390"/>
      <c r="AL51" s="390"/>
      <c r="AM51" s="390"/>
      <c r="AN51" s="390"/>
      <c r="AO51" s="390"/>
      <c r="AP51" s="390"/>
      <c r="AQ51" s="390"/>
      <c r="AR51" s="390"/>
      <c r="AS51" s="390"/>
      <c r="AT51" s="390"/>
      <c r="AU51" s="390"/>
      <c r="AV51" s="390"/>
      <c r="AW51" s="390"/>
      <c r="AX51" s="390"/>
      <c r="AY51" s="390"/>
      <c r="AZ51" s="390"/>
      <c r="BA51" s="390"/>
      <c r="BB51" s="390"/>
      <c r="BC51" s="390"/>
      <c r="BD51" s="390"/>
      <c r="BE51" s="390"/>
      <c r="BF51" s="390"/>
      <c r="BG51" s="390"/>
      <c r="BH51" s="390"/>
      <c r="BI51" s="390"/>
      <c r="BJ51" s="390"/>
      <c r="BK51" s="390"/>
      <c r="BL51" s="390"/>
      <c r="BM51" s="390"/>
      <c r="BN51" s="390"/>
      <c r="BO51" s="390"/>
      <c r="BP51" s="390"/>
      <c r="BQ51" s="390"/>
      <c r="BR51" s="390"/>
      <c r="BS51" s="390"/>
      <c r="BT51" s="390"/>
      <c r="BU51" s="390"/>
      <c r="BV51" s="390"/>
      <c r="BW51" s="390"/>
      <c r="BX51" s="390"/>
      <c r="BY51" s="390"/>
      <c r="BZ51" s="390"/>
      <c r="CA51" s="390"/>
      <c r="CB51" s="390"/>
      <c r="CC51" s="390"/>
      <c r="CD51" s="390"/>
      <c r="CE51" s="390"/>
      <c r="CF51" s="390"/>
      <c r="CG51" s="390"/>
      <c r="CH51" s="390"/>
      <c r="CI51" s="390"/>
      <c r="CJ51" s="390"/>
      <c r="CK51" s="390"/>
      <c r="CL51" s="390"/>
      <c r="CM51" s="390"/>
      <c r="CN51" s="390"/>
      <c r="CO51" s="390"/>
      <c r="CP51" s="390"/>
      <c r="CQ51" s="390"/>
      <c r="CR51" s="390"/>
      <c r="CS51" s="390"/>
      <c r="CT51" s="390"/>
      <c r="CU51" s="390"/>
      <c r="CV51" s="390"/>
      <c r="CW51" s="390"/>
      <c r="CX51" s="390"/>
      <c r="CY51" s="390"/>
      <c r="CZ51" s="390"/>
      <c r="DA51" s="390"/>
      <c r="DB51" s="390"/>
      <c r="DC51" s="390"/>
      <c r="DD51" s="390"/>
      <c r="DE51" s="390"/>
      <c r="DF51" s="390"/>
      <c r="DG51" s="390"/>
      <c r="DH51" s="390"/>
      <c r="DI51" s="390"/>
      <c r="DJ51" s="390"/>
      <c r="DK51" s="390"/>
      <c r="DL51" s="390"/>
      <c r="DM51" s="390"/>
      <c r="DN51" s="390"/>
      <c r="DO51" s="390"/>
      <c r="DP51" s="390"/>
      <c r="DQ51" s="390"/>
      <c r="DR51" s="390"/>
      <c r="DS51" s="390"/>
      <c r="DT51" s="390"/>
      <c r="DU51" s="390"/>
      <c r="DV51" s="390"/>
      <c r="DW51" s="390"/>
      <c r="DX51" s="390"/>
      <c r="DY51" s="390"/>
      <c r="DZ51" s="390"/>
      <c r="EA51" s="390"/>
      <c r="EB51" s="390"/>
      <c r="EC51" s="390"/>
      <c r="ED51" s="390"/>
      <c r="EE51" s="390"/>
      <c r="EF51" s="390"/>
      <c r="EG51" s="390"/>
      <c r="EH51" s="390"/>
      <c r="EI51" s="390"/>
      <c r="EJ51" s="390"/>
      <c r="EK51" s="390"/>
      <c r="EL51" s="390"/>
      <c r="EM51" s="390"/>
      <c r="EN51" s="390"/>
      <c r="EO51" s="390"/>
      <c r="EP51" s="390"/>
      <c r="EQ51" s="390"/>
      <c r="ER51" s="390"/>
      <c r="ES51" s="390"/>
      <c r="ET51" s="390"/>
      <c r="EU51" s="390"/>
      <c r="EV51" s="390"/>
      <c r="EW51" s="390"/>
      <c r="EX51" s="390"/>
      <c r="EY51" s="390"/>
      <c r="EZ51" s="390"/>
      <c r="FA51" s="390"/>
      <c r="FB51" s="390"/>
      <c r="FC51" s="390"/>
      <c r="FD51" s="390"/>
      <c r="FE51" s="390"/>
      <c r="FF51" s="390"/>
      <c r="FG51" s="390"/>
      <c r="FH51" s="390"/>
      <c r="FI51" s="390"/>
      <c r="FJ51" s="390"/>
      <c r="FK51" s="390"/>
      <c r="FL51" s="390"/>
      <c r="FM51" s="390"/>
      <c r="FN51" s="390"/>
      <c r="FO51" s="390"/>
      <c r="FP51" s="390"/>
      <c r="FQ51" s="390"/>
      <c r="FR51" s="390"/>
      <c r="FS51" s="390"/>
      <c r="FT51" s="390"/>
      <c r="FU51" s="390"/>
      <c r="FV51" s="390"/>
      <c r="FW51" s="390"/>
      <c r="FX51" s="390"/>
      <c r="FY51" s="390"/>
      <c r="FZ51" s="390"/>
      <c r="GA51" s="390"/>
      <c r="GB51" s="390"/>
      <c r="GC51" s="390"/>
      <c r="GD51" s="390"/>
      <c r="GE51" s="390"/>
      <c r="GF51" s="390"/>
      <c r="GG51" s="390"/>
      <c r="GH51" s="390"/>
      <c r="GI51" s="390"/>
      <c r="GJ51" s="390"/>
      <c r="GK51" s="390"/>
      <c r="GL51" s="390"/>
      <c r="GM51" s="390"/>
      <c r="GN51" s="390"/>
      <c r="GO51" s="390"/>
      <c r="GP51" s="390"/>
      <c r="GQ51" s="390"/>
      <c r="GR51" s="390"/>
      <c r="GS51" s="390"/>
      <c r="GT51" s="390"/>
      <c r="GU51" s="390"/>
      <c r="GV51" s="390"/>
      <c r="GW51" s="390"/>
      <c r="GX51" s="390"/>
      <c r="GY51" s="390"/>
      <c r="GZ51" s="390"/>
      <c r="HA51" s="390"/>
      <c r="HB51" s="390"/>
      <c r="HC51" s="390"/>
      <c r="HD51" s="390"/>
      <c r="HE51" s="390"/>
      <c r="HF51" s="390"/>
      <c r="HG51" s="390"/>
      <c r="HH51" s="390"/>
      <c r="HI51" s="390"/>
      <c r="HJ51" s="390"/>
      <c r="HK51" s="390"/>
      <c r="HL51" s="390"/>
      <c r="HM51" s="390"/>
      <c r="HN51" s="390"/>
      <c r="HO51" s="390"/>
      <c r="HP51" s="390"/>
      <c r="HQ51" s="390"/>
      <c r="HR51" s="390"/>
      <c r="HS51" s="390"/>
      <c r="HT51" s="390"/>
      <c r="HU51" s="390"/>
      <c r="HV51" s="390"/>
      <c r="HW51" s="390"/>
      <c r="HX51" s="390"/>
      <c r="HY51" s="390"/>
      <c r="HZ51" s="390"/>
      <c r="IA51" s="390"/>
      <c r="IB51" s="390"/>
      <c r="IC51" s="390"/>
      <c r="ID51" s="390"/>
      <c r="IE51" s="390"/>
      <c r="IF51" s="390"/>
      <c r="IG51" s="390"/>
      <c r="IH51" s="390"/>
      <c r="II51" s="390"/>
      <c r="IJ51" s="390"/>
      <c r="IK51" s="390"/>
      <c r="IL51" s="390"/>
      <c r="IM51" s="390"/>
      <c r="IN51" s="390"/>
      <c r="IO51" s="390"/>
      <c r="IP51" s="390"/>
      <c r="IQ51" s="390"/>
      <c r="IR51" s="390"/>
      <c r="IS51" s="390"/>
      <c r="IT51" s="390"/>
      <c r="IU51" s="390"/>
      <c r="IV51" s="390"/>
      <c r="IW51" s="390"/>
      <c r="IX51" s="390"/>
      <c r="IY51" s="390"/>
      <c r="IZ51" s="390"/>
      <c r="JA51" s="390"/>
      <c r="JB51" s="390"/>
      <c r="JC51" s="390"/>
      <c r="JD51" s="390"/>
      <c r="JE51" s="390"/>
      <c r="JF51" s="390"/>
      <c r="JG51" s="390"/>
      <c r="JH51" s="390"/>
      <c r="JI51" s="390"/>
      <c r="JJ51" s="390"/>
      <c r="JK51" s="390"/>
      <c r="JL51" s="390"/>
      <c r="JM51" s="390"/>
      <c r="JN51" s="390"/>
      <c r="JO51" s="390"/>
      <c r="JP51" s="390"/>
      <c r="JQ51" s="390"/>
      <c r="JR51" s="390"/>
      <c r="JS51" s="390"/>
      <c r="JT51" s="390"/>
      <c r="JU51" s="390"/>
      <c r="JV51" s="390"/>
      <c r="JW51" s="390"/>
      <c r="JX51" s="390"/>
      <c r="JY51" s="390"/>
      <c r="JZ51" s="390"/>
      <c r="KA51" s="390"/>
      <c r="KB51" s="390"/>
      <c r="KC51" s="390"/>
      <c r="KD51" s="390"/>
      <c r="KE51" s="390"/>
      <c r="KF51" s="390"/>
      <c r="KG51" s="390"/>
      <c r="KH51" s="390"/>
      <c r="KI51" s="390"/>
      <c r="KJ51" s="390"/>
      <c r="KK51" s="390"/>
      <c r="KL51" s="390"/>
      <c r="KM51" s="390"/>
      <c r="KN51" s="390"/>
      <c r="KO51" s="390"/>
      <c r="KP51" s="390"/>
      <c r="KQ51" s="390"/>
      <c r="KR51" s="390"/>
      <c r="KS51" s="390"/>
      <c r="KT51" s="390"/>
      <c r="KU51" s="390"/>
      <c r="KV51" s="390"/>
      <c r="KW51" s="390"/>
      <c r="KX51" s="390"/>
      <c r="KY51" s="390"/>
      <c r="KZ51" s="390"/>
      <c r="LA51" s="390"/>
      <c r="LB51" s="390"/>
      <c r="LC51" s="390"/>
      <c r="LD51" s="390"/>
      <c r="LE51" s="390"/>
      <c r="LF51" s="390"/>
      <c r="LG51" s="390"/>
      <c r="LH51" s="390"/>
      <c r="LI51" s="390"/>
      <c r="LJ51" s="390"/>
      <c r="LK51" s="390"/>
      <c r="LL51" s="390"/>
      <c r="LM51" s="390"/>
      <c r="LN51" s="390"/>
      <c r="LO51" s="390"/>
      <c r="LP51" s="390"/>
      <c r="LQ51" s="390"/>
      <c r="LR51" s="390"/>
      <c r="LS51" s="390"/>
      <c r="LT51" s="390"/>
      <c r="LU51" s="390"/>
      <c r="LV51" s="390"/>
      <c r="LW51" s="390"/>
      <c r="LX51" s="390"/>
      <c r="LY51" s="390"/>
      <c r="LZ51" s="390"/>
      <c r="MA51" s="390"/>
      <c r="MB51" s="390"/>
      <c r="MC51" s="390"/>
      <c r="MD51" s="390"/>
      <c r="ME51" s="390"/>
      <c r="MF51" s="390"/>
      <c r="MG51" s="390"/>
      <c r="MH51" s="390"/>
      <c r="MI51" s="390"/>
      <c r="MJ51" s="390"/>
      <c r="MK51" s="390"/>
      <c r="ML51" s="390"/>
      <c r="MM51" s="390"/>
      <c r="MN51" s="390"/>
      <c r="MO51" s="390"/>
      <c r="MP51" s="390"/>
      <c r="MQ51" s="390"/>
      <c r="MR51" s="390"/>
      <c r="MS51" s="390"/>
      <c r="MT51" s="390"/>
      <c r="MU51" s="390"/>
      <c r="MV51" s="390"/>
      <c r="MW51" s="390"/>
      <c r="MX51" s="390"/>
      <c r="MY51" s="390"/>
      <c r="MZ51" s="390"/>
      <c r="NA51" s="390"/>
      <c r="NB51" s="390"/>
      <c r="NC51" s="390"/>
      <c r="ND51" s="390"/>
      <c r="NE51" s="390"/>
      <c r="NF51" s="390"/>
      <c r="NG51" s="390"/>
      <c r="NH51" s="390"/>
      <c r="NI51" s="390"/>
      <c r="NJ51" s="390"/>
      <c r="NK51" s="390"/>
      <c r="NL51" s="390"/>
      <c r="NM51" s="390"/>
      <c r="NN51" s="390"/>
      <c r="NO51" s="390"/>
      <c r="NP51" s="390"/>
      <c r="NQ51" s="390"/>
      <c r="NR51" s="390"/>
      <c r="NS51" s="390"/>
      <c r="NT51" s="390"/>
      <c r="NU51" s="390"/>
      <c r="NV51" s="390"/>
      <c r="NW51" s="390"/>
      <c r="NX51" s="390"/>
      <c r="NY51" s="390"/>
      <c r="NZ51" s="390"/>
      <c r="OA51" s="390"/>
      <c r="OB51" s="390"/>
      <c r="OC51" s="390"/>
      <c r="OD51" s="390"/>
      <c r="OE51" s="390"/>
      <c r="OF51" s="390"/>
      <c r="OG51" s="390"/>
      <c r="OH51" s="390"/>
      <c r="OI51" s="390"/>
      <c r="OJ51" s="390"/>
      <c r="OK51" s="390"/>
      <c r="OL51" s="390"/>
      <c r="OM51" s="390"/>
      <c r="ON51" s="390"/>
      <c r="OO51" s="390"/>
      <c r="OP51" s="390"/>
      <c r="OQ51" s="390"/>
      <c r="OR51" s="390"/>
      <c r="OS51" s="390"/>
      <c r="OT51" s="390"/>
      <c r="OU51" s="390"/>
      <c r="OV51" s="390"/>
      <c r="OW51" s="390"/>
      <c r="OX51" s="390"/>
      <c r="OY51" s="390"/>
      <c r="OZ51" s="390"/>
      <c r="PA51" s="390"/>
      <c r="PB51" s="390"/>
      <c r="PC51" s="390"/>
      <c r="PD51" s="390"/>
      <c r="PE51" s="390"/>
      <c r="PF51" s="390"/>
      <c r="PG51" s="390"/>
      <c r="PH51" s="390"/>
      <c r="PI51" s="390"/>
      <c r="PJ51" s="390"/>
      <c r="PK51" s="390"/>
      <c r="PL51" s="390"/>
      <c r="PM51" s="390"/>
      <c r="PN51" s="390"/>
      <c r="PO51" s="390"/>
      <c r="PP51" s="390"/>
      <c r="PQ51" s="390"/>
      <c r="PR51" s="390"/>
      <c r="PS51" s="390"/>
      <c r="PT51" s="390"/>
      <c r="PU51" s="390"/>
      <c r="PV51" s="390"/>
      <c r="PW51" s="390"/>
      <c r="PX51" s="390"/>
      <c r="PY51" s="390"/>
      <c r="PZ51" s="390"/>
      <c r="QA51" s="390"/>
      <c r="QB51" s="390"/>
      <c r="QC51" s="390"/>
      <c r="QD51" s="390"/>
      <c r="QE51" s="390"/>
      <c r="QF51" s="390"/>
      <c r="QG51" s="390"/>
      <c r="QH51" s="390"/>
      <c r="QI51" s="390"/>
      <c r="QJ51" s="390"/>
      <c r="QK51" s="390"/>
      <c r="QL51" s="390"/>
      <c r="QM51" s="390"/>
      <c r="QN51" s="390"/>
      <c r="QO51" s="390"/>
      <c r="QP51" s="390"/>
      <c r="QQ51" s="390"/>
      <c r="QR51" s="390"/>
      <c r="QS51" s="390"/>
      <c r="QT51" s="390"/>
      <c r="QU51" s="390"/>
      <c r="QV51" s="390"/>
      <c r="QW51" s="390"/>
      <c r="QX51" s="390"/>
      <c r="QY51" s="390"/>
      <c r="QZ51" s="390"/>
      <c r="RA51" s="390"/>
      <c r="RB51" s="390"/>
      <c r="RC51" s="390"/>
      <c r="RD51" s="390"/>
      <c r="RE51" s="390"/>
      <c r="RF51" s="390"/>
      <c r="RG51" s="390"/>
      <c r="RH51" s="390"/>
      <c r="RI51" s="390"/>
      <c r="RJ51" s="390"/>
      <c r="RK51" s="390"/>
      <c r="RL51" s="390"/>
      <c r="RM51" s="390"/>
      <c r="RN51" s="390"/>
      <c r="RO51" s="390"/>
      <c r="RP51" s="390"/>
      <c r="RQ51" s="390"/>
      <c r="RR51" s="390"/>
      <c r="RS51" s="390"/>
      <c r="RT51" s="390"/>
      <c r="RU51" s="390"/>
      <c r="RV51" s="390"/>
      <c r="RW51" s="390"/>
      <c r="RX51" s="390"/>
      <c r="RY51" s="390"/>
      <c r="RZ51" s="390"/>
      <c r="SA51" s="390"/>
      <c r="SB51" s="390"/>
      <c r="SC51" s="390"/>
      <c r="SD51" s="390"/>
      <c r="SE51" s="390"/>
      <c r="SF51" s="390"/>
      <c r="SG51" s="390"/>
      <c r="SH51" s="390"/>
      <c r="SI51" s="390"/>
      <c r="SJ51" s="390"/>
      <c r="SK51" s="390"/>
      <c r="SL51" s="390"/>
      <c r="SM51" s="390"/>
      <c r="SN51" s="390"/>
      <c r="SO51" s="390"/>
      <c r="SP51" s="390"/>
      <c r="SQ51" s="390"/>
      <c r="SR51" s="390"/>
      <c r="SS51" s="390"/>
      <c r="ST51" s="390"/>
      <c r="SU51" s="390"/>
      <c r="SV51" s="390"/>
      <c r="SW51" s="390"/>
      <c r="SX51" s="390"/>
      <c r="SY51" s="390"/>
      <c r="SZ51" s="390"/>
      <c r="TA51" s="390"/>
      <c r="TB51" s="390"/>
      <c r="TC51" s="390"/>
      <c r="TD51" s="390"/>
      <c r="TE51" s="390"/>
      <c r="TF51" s="390"/>
      <c r="TG51" s="390"/>
      <c r="TH51" s="390"/>
      <c r="TI51" s="390"/>
      <c r="TJ51" s="390"/>
      <c r="TK51" s="390"/>
      <c r="TL51" s="390"/>
      <c r="TM51" s="390"/>
      <c r="TN51" s="390"/>
      <c r="TO51" s="390"/>
      <c r="TP51" s="390"/>
      <c r="TQ51" s="390"/>
      <c r="TR51" s="390"/>
      <c r="TS51" s="390"/>
      <c r="TT51" s="390"/>
      <c r="TU51" s="390"/>
      <c r="TV51" s="390"/>
      <c r="TW51" s="390"/>
      <c r="TX51" s="390"/>
      <c r="TY51" s="390"/>
      <c r="TZ51" s="390"/>
      <c r="UA51" s="390"/>
      <c r="UB51" s="390"/>
      <c r="UC51" s="390"/>
      <c r="UD51" s="390"/>
      <c r="UE51" s="390"/>
      <c r="UF51" s="390"/>
      <c r="UG51" s="390"/>
      <c r="UH51" s="390"/>
      <c r="UI51" s="390"/>
      <c r="UJ51" s="390"/>
      <c r="UK51" s="390"/>
      <c r="UL51" s="390"/>
      <c r="UM51" s="390"/>
      <c r="UN51" s="390"/>
      <c r="UO51" s="390"/>
      <c r="UP51" s="390"/>
      <c r="UQ51" s="390"/>
      <c r="UR51" s="390"/>
      <c r="US51" s="390"/>
      <c r="UT51" s="390"/>
      <c r="UU51" s="390"/>
      <c r="UV51" s="390"/>
      <c r="UW51" s="390"/>
      <c r="UX51" s="390"/>
      <c r="UY51" s="390"/>
      <c r="UZ51" s="390"/>
      <c r="VA51" s="390"/>
      <c r="VB51" s="390"/>
      <c r="VC51" s="390"/>
      <c r="VD51" s="390"/>
      <c r="VE51" s="390"/>
      <c r="VF51" s="390"/>
      <c r="VG51" s="390"/>
      <c r="VH51" s="390"/>
      <c r="VI51" s="390"/>
      <c r="VJ51" s="390"/>
      <c r="VK51" s="390"/>
      <c r="VL51" s="390"/>
      <c r="VM51" s="390"/>
      <c r="VN51" s="390"/>
      <c r="VO51" s="390"/>
      <c r="VP51" s="390"/>
      <c r="VQ51" s="390"/>
      <c r="VR51" s="390"/>
      <c r="VS51" s="390"/>
      <c r="VT51" s="390"/>
      <c r="VU51" s="390"/>
      <c r="VV51" s="390"/>
      <c r="VW51" s="390"/>
      <c r="VX51" s="390"/>
      <c r="VY51" s="390"/>
      <c r="VZ51" s="390"/>
      <c r="WA51" s="390"/>
      <c r="WB51" s="390"/>
      <c r="WC51" s="390"/>
      <c r="WD51" s="390"/>
      <c r="WE51" s="390"/>
      <c r="WF51" s="390"/>
      <c r="WG51" s="390"/>
      <c r="WH51" s="390"/>
      <c r="WI51" s="390"/>
      <c r="WJ51" s="390"/>
      <c r="WK51" s="390"/>
      <c r="WL51" s="390"/>
      <c r="WM51" s="390"/>
      <c r="WN51" s="390"/>
      <c r="WO51" s="390"/>
      <c r="WP51" s="390"/>
      <c r="WQ51" s="390"/>
      <c r="WR51" s="390"/>
      <c r="WS51" s="390"/>
      <c r="WT51" s="390"/>
      <c r="WU51" s="390"/>
      <c r="WV51" s="390"/>
      <c r="WW51" s="390"/>
      <c r="WX51" s="390"/>
      <c r="WY51" s="390"/>
      <c r="WZ51" s="390"/>
      <c r="XA51" s="390"/>
      <c r="XB51" s="390"/>
      <c r="XC51" s="390"/>
      <c r="XD51" s="390"/>
      <c r="XE51" s="390"/>
      <c r="XF51" s="390"/>
      <c r="XG51" s="390"/>
      <c r="XH51" s="390"/>
      <c r="XI51" s="390"/>
      <c r="XJ51" s="390"/>
      <c r="XK51" s="390"/>
      <c r="XL51" s="390"/>
      <c r="XM51" s="390"/>
      <c r="XN51" s="390"/>
      <c r="XO51" s="390"/>
      <c r="XP51" s="390"/>
      <c r="XQ51" s="390"/>
      <c r="XR51" s="390"/>
      <c r="XS51" s="390"/>
      <c r="XT51" s="390"/>
      <c r="XU51" s="390"/>
      <c r="XV51" s="390"/>
      <c r="XW51" s="390"/>
      <c r="XX51" s="390"/>
      <c r="XY51" s="390"/>
      <c r="XZ51" s="390"/>
      <c r="YA51" s="390"/>
      <c r="YB51" s="390"/>
      <c r="YC51" s="390"/>
      <c r="YD51" s="390"/>
      <c r="YE51" s="390"/>
      <c r="YF51" s="390"/>
      <c r="YG51" s="390"/>
      <c r="YH51" s="390"/>
      <c r="YI51" s="390"/>
      <c r="YJ51" s="390"/>
      <c r="YK51" s="390"/>
      <c r="YL51" s="390"/>
      <c r="YM51" s="390"/>
      <c r="YN51" s="390"/>
      <c r="YO51" s="390"/>
      <c r="YP51" s="390"/>
      <c r="YQ51" s="390"/>
      <c r="YR51" s="390"/>
      <c r="YS51" s="390"/>
      <c r="YT51" s="390"/>
      <c r="YU51" s="390"/>
      <c r="YV51" s="390"/>
      <c r="YW51" s="390"/>
      <c r="YX51" s="390"/>
      <c r="YY51" s="390"/>
      <c r="YZ51" s="390"/>
      <c r="ZA51" s="390"/>
      <c r="ZB51" s="390"/>
      <c r="ZC51" s="390"/>
      <c r="ZD51" s="390"/>
      <c r="ZE51" s="390"/>
      <c r="ZF51" s="390"/>
      <c r="ZG51" s="390"/>
      <c r="ZH51" s="390"/>
      <c r="ZI51" s="390"/>
      <c r="ZJ51" s="390"/>
      <c r="ZK51" s="390"/>
      <c r="ZL51" s="390"/>
      <c r="ZM51" s="390"/>
      <c r="ZN51" s="390"/>
      <c r="ZO51" s="390"/>
      <c r="ZP51" s="390"/>
      <c r="ZQ51" s="390"/>
      <c r="ZR51" s="390"/>
      <c r="ZS51" s="390"/>
      <c r="ZT51" s="390"/>
      <c r="ZU51" s="390"/>
      <c r="ZV51" s="390"/>
      <c r="ZW51" s="390"/>
      <c r="ZX51" s="390"/>
      <c r="ZY51" s="390"/>
      <c r="ZZ51" s="390"/>
      <c r="AAA51" s="390"/>
      <c r="AAB51" s="390"/>
      <c r="AAC51" s="390"/>
      <c r="AAD51" s="390"/>
      <c r="AAE51" s="390"/>
      <c r="AAF51" s="390"/>
      <c r="AAG51" s="390"/>
      <c r="AAH51" s="390"/>
      <c r="AAI51" s="390"/>
      <c r="AAJ51" s="390"/>
      <c r="AAK51" s="390"/>
      <c r="AAL51" s="390"/>
      <c r="AAM51" s="390"/>
      <c r="AAN51" s="390"/>
      <c r="AAO51" s="390"/>
      <c r="AAP51" s="390"/>
      <c r="AAQ51" s="390"/>
      <c r="AAR51" s="390"/>
      <c r="AAS51" s="390"/>
      <c r="AAT51" s="390"/>
      <c r="AAU51" s="390"/>
      <c r="AAV51" s="390"/>
      <c r="AAW51" s="390"/>
      <c r="AAX51" s="390"/>
      <c r="AAY51" s="390"/>
      <c r="AAZ51" s="390"/>
      <c r="ABA51" s="390"/>
      <c r="ABB51" s="390"/>
      <c r="ABC51" s="390"/>
      <c r="ABD51" s="390"/>
      <c r="ABE51" s="390"/>
      <c r="ABF51" s="390"/>
      <c r="ABG51" s="390"/>
      <c r="ABH51" s="390"/>
      <c r="ABI51" s="390"/>
      <c r="ABJ51" s="390"/>
      <c r="ABK51" s="390"/>
      <c r="ABL51" s="390"/>
      <c r="ABM51" s="390"/>
      <c r="ABN51" s="390"/>
      <c r="ABO51" s="390"/>
      <c r="ABP51" s="390"/>
      <c r="ABQ51" s="390"/>
      <c r="ABR51" s="390"/>
      <c r="ABS51" s="390"/>
      <c r="ABT51" s="390"/>
      <c r="ABU51" s="390"/>
      <c r="ABV51" s="390"/>
      <c r="ABW51" s="390"/>
      <c r="ABX51" s="390"/>
      <c r="ABY51" s="390"/>
      <c r="ABZ51" s="390"/>
      <c r="ACA51" s="390"/>
      <c r="ACB51" s="390"/>
      <c r="ACC51" s="390"/>
      <c r="ACD51" s="390"/>
      <c r="ACE51" s="390"/>
      <c r="ACF51" s="390"/>
      <c r="ACG51" s="390"/>
      <c r="ACH51" s="390"/>
      <c r="ACI51" s="390"/>
    </row>
    <row r="52" spans="1:763" ht="13.95" customHeight="1" x14ac:dyDescent="0.3">
      <c r="A52" s="397" t="str">
        <f ca="1">Проект!$A$344</f>
        <v>численность</v>
      </c>
      <c r="B52" s="353">
        <f>Проект!$B$344</f>
        <v>6</v>
      </c>
      <c r="C52" s="402" t="str">
        <f ca="1">Проект!$C$344</f>
        <v>человек</v>
      </c>
      <c r="D52" s="354">
        <f>IFERROR(AVERAGE(Проект!$G$344:$R$344),"-")</f>
        <v>3</v>
      </c>
      <c r="E52" s="354">
        <f>IFERROR(AVERAGE(Проект!$S$344:$AD$344),"-")</f>
        <v>6</v>
      </c>
      <c r="F52" s="354">
        <f>IFERROR(AVERAGE(Проект!$AE$344:$AP$344),"-")</f>
        <v>6</v>
      </c>
      <c r="G52" s="354">
        <f>IFERROR(AVERAGE(Проект!$AQ$344:$BB$344),"-")</f>
        <v>6</v>
      </c>
      <c r="H52" s="396"/>
      <c r="I52" s="390"/>
      <c r="J52" s="390"/>
      <c r="K52" s="390"/>
      <c r="L52" s="390"/>
      <c r="M52" s="390"/>
      <c r="N52" s="390"/>
      <c r="O52" s="390"/>
      <c r="P52" s="390"/>
      <c r="Q52" s="390"/>
      <c r="R52" s="390"/>
      <c r="S52" s="390"/>
      <c r="T52" s="390"/>
      <c r="U52" s="390"/>
      <c r="V52" s="390"/>
      <c r="W52" s="390"/>
      <c r="X52" s="390"/>
      <c r="Y52" s="390"/>
      <c r="Z52" s="390"/>
      <c r="AA52" s="390"/>
      <c r="AB52" s="390"/>
      <c r="AC52" s="390"/>
      <c r="AD52" s="390"/>
      <c r="AE52" s="390"/>
      <c r="AF52" s="390"/>
      <c r="AG52" s="390"/>
      <c r="AH52" s="390"/>
      <c r="AI52" s="390"/>
      <c r="AJ52" s="390"/>
      <c r="AK52" s="390"/>
      <c r="AL52" s="390"/>
      <c r="AM52" s="390"/>
      <c r="AN52" s="390"/>
      <c r="AO52" s="390"/>
      <c r="AP52" s="390"/>
      <c r="AQ52" s="390"/>
      <c r="AR52" s="390"/>
      <c r="AS52" s="390"/>
      <c r="AT52" s="390"/>
      <c r="AU52" s="390"/>
      <c r="AV52" s="390"/>
      <c r="AW52" s="390"/>
      <c r="AX52" s="390"/>
      <c r="AY52" s="390"/>
      <c r="AZ52" s="390"/>
      <c r="BA52" s="390"/>
      <c r="BB52" s="390"/>
      <c r="BC52" s="390"/>
      <c r="BD52" s="390"/>
      <c r="BE52" s="390"/>
      <c r="BF52" s="390"/>
      <c r="BG52" s="390"/>
      <c r="BH52" s="390"/>
      <c r="BI52" s="390"/>
      <c r="BJ52" s="390"/>
      <c r="BK52" s="390"/>
      <c r="BL52" s="390"/>
      <c r="BM52" s="390"/>
      <c r="BN52" s="390"/>
      <c r="BO52" s="390"/>
      <c r="BP52" s="390"/>
      <c r="BQ52" s="390"/>
      <c r="BR52" s="390"/>
      <c r="BS52" s="390"/>
      <c r="BT52" s="390"/>
      <c r="BU52" s="390"/>
      <c r="BV52" s="390"/>
      <c r="BW52" s="390"/>
      <c r="BX52" s="390"/>
      <c r="BY52" s="390"/>
      <c r="BZ52" s="390"/>
      <c r="CA52" s="390"/>
      <c r="CB52" s="390"/>
      <c r="CC52" s="390"/>
      <c r="CD52" s="390"/>
      <c r="CE52" s="390"/>
      <c r="CF52" s="390"/>
      <c r="CG52" s="390"/>
      <c r="CH52" s="390"/>
      <c r="CI52" s="390"/>
      <c r="CJ52" s="390"/>
      <c r="CK52" s="390"/>
      <c r="CL52" s="390"/>
      <c r="CM52" s="390"/>
      <c r="CN52" s="390"/>
      <c r="CO52" s="390"/>
      <c r="CP52" s="390"/>
      <c r="CQ52" s="390"/>
      <c r="CR52" s="390"/>
      <c r="CS52" s="390"/>
      <c r="CT52" s="390"/>
      <c r="CU52" s="390"/>
      <c r="CV52" s="390"/>
      <c r="CW52" s="390"/>
      <c r="CX52" s="390"/>
      <c r="CY52" s="390"/>
      <c r="CZ52" s="390"/>
      <c r="DA52" s="390"/>
      <c r="DB52" s="390"/>
      <c r="DC52" s="390"/>
      <c r="DD52" s="390"/>
      <c r="DE52" s="390"/>
      <c r="DF52" s="390"/>
      <c r="DG52" s="390"/>
      <c r="DH52" s="390"/>
      <c r="DI52" s="390"/>
      <c r="DJ52" s="390"/>
      <c r="DK52" s="390"/>
      <c r="DL52" s="390"/>
      <c r="DM52" s="390"/>
      <c r="DN52" s="390"/>
      <c r="DO52" s="390"/>
      <c r="DP52" s="390"/>
      <c r="DQ52" s="390"/>
      <c r="DR52" s="390"/>
      <c r="DS52" s="390"/>
      <c r="DT52" s="390"/>
      <c r="DU52" s="390"/>
      <c r="DV52" s="390"/>
      <c r="DW52" s="390"/>
      <c r="DX52" s="390"/>
      <c r="DY52" s="390"/>
      <c r="DZ52" s="390"/>
      <c r="EA52" s="390"/>
      <c r="EB52" s="390"/>
      <c r="EC52" s="390"/>
      <c r="ED52" s="390"/>
      <c r="EE52" s="390"/>
      <c r="EF52" s="390"/>
      <c r="EG52" s="390"/>
      <c r="EH52" s="390"/>
      <c r="EI52" s="390"/>
      <c r="EJ52" s="390"/>
      <c r="EK52" s="390"/>
      <c r="EL52" s="390"/>
      <c r="EM52" s="390"/>
      <c r="EN52" s="390"/>
      <c r="EO52" s="390"/>
      <c r="EP52" s="390"/>
      <c r="EQ52" s="390"/>
      <c r="ER52" s="390"/>
      <c r="ES52" s="390"/>
      <c r="ET52" s="390"/>
      <c r="EU52" s="390"/>
      <c r="EV52" s="390"/>
      <c r="EW52" s="390"/>
      <c r="EX52" s="390"/>
      <c r="EY52" s="390"/>
      <c r="EZ52" s="390"/>
      <c r="FA52" s="390"/>
      <c r="FB52" s="390"/>
      <c r="FC52" s="390"/>
      <c r="FD52" s="390"/>
      <c r="FE52" s="390"/>
      <c r="FF52" s="390"/>
      <c r="FG52" s="390"/>
      <c r="FH52" s="390"/>
      <c r="FI52" s="390"/>
      <c r="FJ52" s="390"/>
      <c r="FK52" s="390"/>
      <c r="FL52" s="390"/>
      <c r="FM52" s="390"/>
      <c r="FN52" s="390"/>
      <c r="FO52" s="390"/>
      <c r="FP52" s="390"/>
      <c r="FQ52" s="390"/>
      <c r="FR52" s="390"/>
      <c r="FS52" s="390"/>
      <c r="FT52" s="390"/>
      <c r="FU52" s="390"/>
      <c r="FV52" s="390"/>
      <c r="FW52" s="390"/>
      <c r="FX52" s="390"/>
      <c r="FY52" s="390"/>
      <c r="FZ52" s="390"/>
      <c r="GA52" s="390"/>
      <c r="GB52" s="390"/>
      <c r="GC52" s="390"/>
      <c r="GD52" s="390"/>
      <c r="GE52" s="390"/>
      <c r="GF52" s="390"/>
      <c r="GG52" s="390"/>
      <c r="GH52" s="390"/>
      <c r="GI52" s="390"/>
      <c r="GJ52" s="390"/>
      <c r="GK52" s="390"/>
      <c r="GL52" s="390"/>
      <c r="GM52" s="390"/>
      <c r="GN52" s="390"/>
      <c r="GO52" s="390"/>
      <c r="GP52" s="390"/>
      <c r="GQ52" s="390"/>
      <c r="GR52" s="390"/>
      <c r="GS52" s="390"/>
      <c r="GT52" s="390"/>
      <c r="GU52" s="390"/>
      <c r="GV52" s="390"/>
      <c r="GW52" s="390"/>
      <c r="GX52" s="390"/>
      <c r="GY52" s="390"/>
      <c r="GZ52" s="390"/>
      <c r="HA52" s="390"/>
      <c r="HB52" s="390"/>
      <c r="HC52" s="390"/>
      <c r="HD52" s="390"/>
      <c r="HE52" s="390"/>
      <c r="HF52" s="390"/>
      <c r="HG52" s="390"/>
      <c r="HH52" s="390"/>
      <c r="HI52" s="390"/>
      <c r="HJ52" s="390"/>
      <c r="HK52" s="390"/>
      <c r="HL52" s="390"/>
      <c r="HM52" s="390"/>
      <c r="HN52" s="390"/>
      <c r="HO52" s="390"/>
      <c r="HP52" s="390"/>
      <c r="HQ52" s="390"/>
      <c r="HR52" s="390"/>
      <c r="HS52" s="390"/>
      <c r="HT52" s="390"/>
      <c r="HU52" s="390"/>
      <c r="HV52" s="390"/>
      <c r="HW52" s="390"/>
      <c r="HX52" s="390"/>
      <c r="HY52" s="390"/>
      <c r="HZ52" s="390"/>
      <c r="IA52" s="390"/>
      <c r="IB52" s="390"/>
      <c r="IC52" s="390"/>
      <c r="ID52" s="390"/>
      <c r="IE52" s="390"/>
      <c r="IF52" s="390"/>
      <c r="IG52" s="390"/>
      <c r="IH52" s="390"/>
      <c r="II52" s="390"/>
      <c r="IJ52" s="390"/>
      <c r="IK52" s="390"/>
      <c r="IL52" s="390"/>
      <c r="IM52" s="390"/>
      <c r="IN52" s="390"/>
      <c r="IO52" s="390"/>
      <c r="IP52" s="390"/>
      <c r="IQ52" s="390"/>
      <c r="IR52" s="390"/>
      <c r="IS52" s="390"/>
      <c r="IT52" s="390"/>
      <c r="IU52" s="390"/>
      <c r="IV52" s="390"/>
      <c r="IW52" s="390"/>
      <c r="IX52" s="390"/>
      <c r="IY52" s="390"/>
      <c r="IZ52" s="390"/>
      <c r="JA52" s="390"/>
      <c r="JB52" s="390"/>
      <c r="JC52" s="390"/>
      <c r="JD52" s="390"/>
      <c r="JE52" s="390"/>
      <c r="JF52" s="390"/>
      <c r="JG52" s="390"/>
      <c r="JH52" s="390"/>
      <c r="JI52" s="390"/>
      <c r="JJ52" s="390"/>
      <c r="JK52" s="390"/>
      <c r="JL52" s="390"/>
      <c r="JM52" s="390"/>
      <c r="JN52" s="390"/>
      <c r="JO52" s="390"/>
      <c r="JP52" s="390"/>
      <c r="JQ52" s="390"/>
      <c r="JR52" s="390"/>
      <c r="JS52" s="390"/>
      <c r="JT52" s="390"/>
      <c r="JU52" s="390"/>
      <c r="JV52" s="390"/>
      <c r="JW52" s="390"/>
      <c r="JX52" s="390"/>
      <c r="JY52" s="390"/>
      <c r="JZ52" s="390"/>
      <c r="KA52" s="390"/>
      <c r="KB52" s="390"/>
      <c r="KC52" s="390"/>
      <c r="KD52" s="390"/>
      <c r="KE52" s="390"/>
      <c r="KF52" s="390"/>
      <c r="KG52" s="390"/>
      <c r="KH52" s="390"/>
      <c r="KI52" s="390"/>
      <c r="KJ52" s="390"/>
      <c r="KK52" s="390"/>
      <c r="KL52" s="390"/>
      <c r="KM52" s="390"/>
      <c r="KN52" s="390"/>
      <c r="KO52" s="390"/>
      <c r="KP52" s="390"/>
      <c r="KQ52" s="390"/>
      <c r="KR52" s="390"/>
      <c r="KS52" s="390"/>
      <c r="KT52" s="390"/>
      <c r="KU52" s="390"/>
      <c r="KV52" s="390"/>
      <c r="KW52" s="390"/>
      <c r="KX52" s="390"/>
      <c r="KY52" s="390"/>
      <c r="KZ52" s="390"/>
      <c r="LA52" s="390"/>
      <c r="LB52" s="390"/>
      <c r="LC52" s="390"/>
      <c r="LD52" s="390"/>
      <c r="LE52" s="390"/>
      <c r="LF52" s="390"/>
      <c r="LG52" s="390"/>
      <c r="LH52" s="390"/>
      <c r="LI52" s="390"/>
      <c r="LJ52" s="390"/>
      <c r="LK52" s="390"/>
      <c r="LL52" s="390"/>
      <c r="LM52" s="390"/>
      <c r="LN52" s="390"/>
      <c r="LO52" s="390"/>
      <c r="LP52" s="390"/>
      <c r="LQ52" s="390"/>
      <c r="LR52" s="390"/>
      <c r="LS52" s="390"/>
      <c r="LT52" s="390"/>
      <c r="LU52" s="390"/>
      <c r="LV52" s="390"/>
      <c r="LW52" s="390"/>
      <c r="LX52" s="390"/>
      <c r="LY52" s="390"/>
      <c r="LZ52" s="390"/>
      <c r="MA52" s="390"/>
      <c r="MB52" s="390"/>
      <c r="MC52" s="390"/>
      <c r="MD52" s="390"/>
      <c r="ME52" s="390"/>
      <c r="MF52" s="390"/>
      <c r="MG52" s="390"/>
      <c r="MH52" s="390"/>
      <c r="MI52" s="390"/>
      <c r="MJ52" s="390"/>
      <c r="MK52" s="390"/>
      <c r="ML52" s="390"/>
      <c r="MM52" s="390"/>
      <c r="MN52" s="390"/>
      <c r="MO52" s="390"/>
      <c r="MP52" s="390"/>
      <c r="MQ52" s="390"/>
      <c r="MR52" s="390"/>
      <c r="MS52" s="390"/>
      <c r="MT52" s="390"/>
      <c r="MU52" s="390"/>
      <c r="MV52" s="390"/>
      <c r="MW52" s="390"/>
      <c r="MX52" s="390"/>
      <c r="MY52" s="390"/>
      <c r="MZ52" s="390"/>
      <c r="NA52" s="390"/>
      <c r="NB52" s="390"/>
      <c r="NC52" s="390"/>
      <c r="ND52" s="390"/>
      <c r="NE52" s="390"/>
      <c r="NF52" s="390"/>
      <c r="NG52" s="390"/>
      <c r="NH52" s="390"/>
      <c r="NI52" s="390"/>
      <c r="NJ52" s="390"/>
      <c r="NK52" s="390"/>
      <c r="NL52" s="390"/>
      <c r="NM52" s="390"/>
      <c r="NN52" s="390"/>
      <c r="NO52" s="390"/>
      <c r="NP52" s="390"/>
      <c r="NQ52" s="390"/>
      <c r="NR52" s="390"/>
      <c r="NS52" s="390"/>
      <c r="NT52" s="390"/>
      <c r="NU52" s="390"/>
      <c r="NV52" s="390"/>
      <c r="NW52" s="390"/>
      <c r="NX52" s="390"/>
      <c r="NY52" s="390"/>
      <c r="NZ52" s="390"/>
      <c r="OA52" s="390"/>
      <c r="OB52" s="390"/>
      <c r="OC52" s="390"/>
      <c r="OD52" s="390"/>
      <c r="OE52" s="390"/>
      <c r="OF52" s="390"/>
      <c r="OG52" s="390"/>
      <c r="OH52" s="390"/>
      <c r="OI52" s="390"/>
      <c r="OJ52" s="390"/>
      <c r="OK52" s="390"/>
      <c r="OL52" s="390"/>
      <c r="OM52" s="390"/>
      <c r="ON52" s="390"/>
      <c r="OO52" s="390"/>
      <c r="OP52" s="390"/>
      <c r="OQ52" s="390"/>
      <c r="OR52" s="390"/>
      <c r="OS52" s="390"/>
      <c r="OT52" s="390"/>
      <c r="OU52" s="390"/>
      <c r="OV52" s="390"/>
      <c r="OW52" s="390"/>
      <c r="OX52" s="390"/>
      <c r="OY52" s="390"/>
      <c r="OZ52" s="390"/>
      <c r="PA52" s="390"/>
      <c r="PB52" s="390"/>
      <c r="PC52" s="390"/>
      <c r="PD52" s="390"/>
      <c r="PE52" s="390"/>
      <c r="PF52" s="390"/>
      <c r="PG52" s="390"/>
      <c r="PH52" s="390"/>
      <c r="PI52" s="390"/>
      <c r="PJ52" s="390"/>
      <c r="PK52" s="390"/>
      <c r="PL52" s="390"/>
      <c r="PM52" s="390"/>
      <c r="PN52" s="390"/>
      <c r="PO52" s="390"/>
      <c r="PP52" s="390"/>
      <c r="PQ52" s="390"/>
      <c r="PR52" s="390"/>
      <c r="PS52" s="390"/>
      <c r="PT52" s="390"/>
      <c r="PU52" s="390"/>
      <c r="PV52" s="390"/>
      <c r="PW52" s="390"/>
      <c r="PX52" s="390"/>
      <c r="PY52" s="390"/>
      <c r="PZ52" s="390"/>
      <c r="QA52" s="390"/>
      <c r="QB52" s="390"/>
      <c r="QC52" s="390"/>
      <c r="QD52" s="390"/>
      <c r="QE52" s="390"/>
      <c r="QF52" s="390"/>
      <c r="QG52" s="390"/>
      <c r="QH52" s="390"/>
      <c r="QI52" s="390"/>
      <c r="QJ52" s="390"/>
      <c r="QK52" s="390"/>
      <c r="QL52" s="390"/>
      <c r="QM52" s="390"/>
      <c r="QN52" s="390"/>
      <c r="QO52" s="390"/>
      <c r="QP52" s="390"/>
      <c r="QQ52" s="390"/>
      <c r="QR52" s="390"/>
      <c r="QS52" s="390"/>
      <c r="QT52" s="390"/>
      <c r="QU52" s="390"/>
      <c r="QV52" s="390"/>
      <c r="QW52" s="390"/>
      <c r="QX52" s="390"/>
      <c r="QY52" s="390"/>
      <c r="QZ52" s="390"/>
      <c r="RA52" s="390"/>
      <c r="RB52" s="390"/>
      <c r="RC52" s="390"/>
      <c r="RD52" s="390"/>
      <c r="RE52" s="390"/>
      <c r="RF52" s="390"/>
      <c r="RG52" s="390"/>
      <c r="RH52" s="390"/>
      <c r="RI52" s="390"/>
      <c r="RJ52" s="390"/>
      <c r="RK52" s="390"/>
      <c r="RL52" s="390"/>
      <c r="RM52" s="390"/>
      <c r="RN52" s="390"/>
      <c r="RO52" s="390"/>
      <c r="RP52" s="390"/>
      <c r="RQ52" s="390"/>
      <c r="RR52" s="390"/>
      <c r="RS52" s="390"/>
      <c r="RT52" s="390"/>
      <c r="RU52" s="390"/>
      <c r="RV52" s="390"/>
      <c r="RW52" s="390"/>
      <c r="RX52" s="390"/>
      <c r="RY52" s="390"/>
      <c r="RZ52" s="390"/>
      <c r="SA52" s="390"/>
      <c r="SB52" s="390"/>
      <c r="SC52" s="390"/>
      <c r="SD52" s="390"/>
      <c r="SE52" s="390"/>
      <c r="SF52" s="390"/>
      <c r="SG52" s="390"/>
      <c r="SH52" s="390"/>
      <c r="SI52" s="390"/>
      <c r="SJ52" s="390"/>
      <c r="SK52" s="390"/>
      <c r="SL52" s="390"/>
      <c r="SM52" s="390"/>
      <c r="SN52" s="390"/>
      <c r="SO52" s="390"/>
      <c r="SP52" s="390"/>
      <c r="SQ52" s="390"/>
      <c r="SR52" s="390"/>
      <c r="SS52" s="390"/>
      <c r="ST52" s="390"/>
      <c r="SU52" s="390"/>
      <c r="SV52" s="390"/>
      <c r="SW52" s="390"/>
      <c r="SX52" s="390"/>
      <c r="SY52" s="390"/>
      <c r="SZ52" s="390"/>
      <c r="TA52" s="390"/>
      <c r="TB52" s="390"/>
      <c r="TC52" s="390"/>
      <c r="TD52" s="390"/>
      <c r="TE52" s="390"/>
      <c r="TF52" s="390"/>
      <c r="TG52" s="390"/>
      <c r="TH52" s="390"/>
      <c r="TI52" s="390"/>
      <c r="TJ52" s="390"/>
      <c r="TK52" s="390"/>
      <c r="TL52" s="390"/>
      <c r="TM52" s="390"/>
      <c r="TN52" s="390"/>
      <c r="TO52" s="390"/>
      <c r="TP52" s="390"/>
      <c r="TQ52" s="390"/>
      <c r="TR52" s="390"/>
      <c r="TS52" s="390"/>
      <c r="TT52" s="390"/>
      <c r="TU52" s="390"/>
      <c r="TV52" s="390"/>
      <c r="TW52" s="390"/>
      <c r="TX52" s="390"/>
      <c r="TY52" s="390"/>
      <c r="TZ52" s="390"/>
      <c r="UA52" s="390"/>
      <c r="UB52" s="390"/>
      <c r="UC52" s="390"/>
      <c r="UD52" s="390"/>
      <c r="UE52" s="390"/>
      <c r="UF52" s="390"/>
      <c r="UG52" s="390"/>
      <c r="UH52" s="390"/>
      <c r="UI52" s="390"/>
      <c r="UJ52" s="390"/>
      <c r="UK52" s="390"/>
      <c r="UL52" s="390"/>
      <c r="UM52" s="390"/>
      <c r="UN52" s="390"/>
      <c r="UO52" s="390"/>
      <c r="UP52" s="390"/>
      <c r="UQ52" s="390"/>
      <c r="UR52" s="390"/>
      <c r="US52" s="390"/>
      <c r="UT52" s="390"/>
      <c r="UU52" s="390"/>
      <c r="UV52" s="390"/>
      <c r="UW52" s="390"/>
      <c r="UX52" s="390"/>
      <c r="UY52" s="390"/>
      <c r="UZ52" s="390"/>
      <c r="VA52" s="390"/>
      <c r="VB52" s="390"/>
      <c r="VC52" s="390"/>
      <c r="VD52" s="390"/>
      <c r="VE52" s="390"/>
      <c r="VF52" s="390"/>
      <c r="VG52" s="390"/>
      <c r="VH52" s="390"/>
      <c r="VI52" s="390"/>
      <c r="VJ52" s="390"/>
      <c r="VK52" s="390"/>
      <c r="VL52" s="390"/>
      <c r="VM52" s="390"/>
      <c r="VN52" s="390"/>
      <c r="VO52" s="390"/>
      <c r="VP52" s="390"/>
      <c r="VQ52" s="390"/>
      <c r="VR52" s="390"/>
      <c r="VS52" s="390"/>
      <c r="VT52" s="390"/>
      <c r="VU52" s="390"/>
      <c r="VV52" s="390"/>
      <c r="VW52" s="390"/>
      <c r="VX52" s="390"/>
      <c r="VY52" s="390"/>
      <c r="VZ52" s="390"/>
      <c r="WA52" s="390"/>
      <c r="WB52" s="390"/>
      <c r="WC52" s="390"/>
      <c r="WD52" s="390"/>
      <c r="WE52" s="390"/>
      <c r="WF52" s="390"/>
      <c r="WG52" s="390"/>
      <c r="WH52" s="390"/>
      <c r="WI52" s="390"/>
      <c r="WJ52" s="390"/>
      <c r="WK52" s="390"/>
      <c r="WL52" s="390"/>
      <c r="WM52" s="390"/>
      <c r="WN52" s="390"/>
      <c r="WO52" s="390"/>
      <c r="WP52" s="390"/>
      <c r="WQ52" s="390"/>
      <c r="WR52" s="390"/>
      <c r="WS52" s="390"/>
      <c r="WT52" s="390"/>
      <c r="WU52" s="390"/>
      <c r="WV52" s="390"/>
      <c r="WW52" s="390"/>
      <c r="WX52" s="390"/>
      <c r="WY52" s="390"/>
      <c r="WZ52" s="390"/>
      <c r="XA52" s="390"/>
      <c r="XB52" s="390"/>
      <c r="XC52" s="390"/>
      <c r="XD52" s="390"/>
      <c r="XE52" s="390"/>
      <c r="XF52" s="390"/>
      <c r="XG52" s="390"/>
      <c r="XH52" s="390"/>
      <c r="XI52" s="390"/>
      <c r="XJ52" s="390"/>
      <c r="XK52" s="390"/>
      <c r="XL52" s="390"/>
      <c r="XM52" s="390"/>
      <c r="XN52" s="390"/>
      <c r="XO52" s="390"/>
      <c r="XP52" s="390"/>
      <c r="XQ52" s="390"/>
      <c r="XR52" s="390"/>
      <c r="XS52" s="390"/>
      <c r="XT52" s="390"/>
      <c r="XU52" s="390"/>
      <c r="XV52" s="390"/>
      <c r="XW52" s="390"/>
      <c r="XX52" s="390"/>
      <c r="XY52" s="390"/>
      <c r="XZ52" s="390"/>
      <c r="YA52" s="390"/>
      <c r="YB52" s="390"/>
      <c r="YC52" s="390"/>
      <c r="YD52" s="390"/>
      <c r="YE52" s="390"/>
      <c r="YF52" s="390"/>
      <c r="YG52" s="390"/>
      <c r="YH52" s="390"/>
      <c r="YI52" s="390"/>
      <c r="YJ52" s="390"/>
      <c r="YK52" s="390"/>
      <c r="YL52" s="390"/>
      <c r="YM52" s="390"/>
      <c r="YN52" s="390"/>
      <c r="YO52" s="390"/>
      <c r="YP52" s="390"/>
      <c r="YQ52" s="390"/>
      <c r="YR52" s="390"/>
      <c r="YS52" s="390"/>
      <c r="YT52" s="390"/>
      <c r="YU52" s="390"/>
      <c r="YV52" s="390"/>
      <c r="YW52" s="390"/>
      <c r="YX52" s="390"/>
      <c r="YY52" s="390"/>
      <c r="YZ52" s="390"/>
      <c r="ZA52" s="390"/>
      <c r="ZB52" s="390"/>
      <c r="ZC52" s="390"/>
      <c r="ZD52" s="390"/>
      <c r="ZE52" s="390"/>
      <c r="ZF52" s="390"/>
      <c r="ZG52" s="390"/>
      <c r="ZH52" s="390"/>
      <c r="ZI52" s="390"/>
      <c r="ZJ52" s="390"/>
      <c r="ZK52" s="390"/>
      <c r="ZL52" s="390"/>
      <c r="ZM52" s="390"/>
      <c r="ZN52" s="390"/>
      <c r="ZO52" s="390"/>
      <c r="ZP52" s="390"/>
      <c r="ZQ52" s="390"/>
      <c r="ZR52" s="390"/>
      <c r="ZS52" s="390"/>
      <c r="ZT52" s="390"/>
      <c r="ZU52" s="390"/>
      <c r="ZV52" s="390"/>
      <c r="ZW52" s="390"/>
      <c r="ZX52" s="390"/>
      <c r="ZY52" s="390"/>
      <c r="ZZ52" s="390"/>
      <c r="AAA52" s="390"/>
      <c r="AAB52" s="390"/>
      <c r="AAC52" s="390"/>
      <c r="AAD52" s="390"/>
      <c r="AAE52" s="390"/>
      <c r="AAF52" s="390"/>
      <c r="AAG52" s="390"/>
      <c r="AAH52" s="390"/>
      <c r="AAI52" s="390"/>
      <c r="AAJ52" s="390"/>
      <c r="AAK52" s="390"/>
      <c r="AAL52" s="390"/>
      <c r="AAM52" s="390"/>
      <c r="AAN52" s="390"/>
      <c r="AAO52" s="390"/>
      <c r="AAP52" s="390"/>
      <c r="AAQ52" s="390"/>
      <c r="AAR52" s="390"/>
      <c r="AAS52" s="390"/>
      <c r="AAT52" s="390"/>
      <c r="AAU52" s="390"/>
      <c r="AAV52" s="390"/>
      <c r="AAW52" s="390"/>
      <c r="AAX52" s="390"/>
      <c r="AAY52" s="390"/>
      <c r="AAZ52" s="390"/>
      <c r="ABA52" s="390"/>
      <c r="ABB52" s="390"/>
      <c r="ABC52" s="390"/>
      <c r="ABD52" s="390"/>
      <c r="ABE52" s="390"/>
      <c r="ABF52" s="390"/>
      <c r="ABG52" s="390"/>
      <c r="ABH52" s="390"/>
      <c r="ABI52" s="390"/>
      <c r="ABJ52" s="390"/>
      <c r="ABK52" s="390"/>
      <c r="ABL52" s="390"/>
      <c r="ABM52" s="390"/>
      <c r="ABN52" s="390"/>
      <c r="ABO52" s="390"/>
      <c r="ABP52" s="390"/>
      <c r="ABQ52" s="390"/>
      <c r="ABR52" s="390"/>
      <c r="ABS52" s="390"/>
      <c r="ABT52" s="390"/>
      <c r="ABU52" s="390"/>
      <c r="ABV52" s="390"/>
      <c r="ABW52" s="390"/>
      <c r="ABX52" s="390"/>
      <c r="ABY52" s="390"/>
      <c r="ABZ52" s="390"/>
      <c r="ACA52" s="390"/>
      <c r="ACB52" s="390"/>
      <c r="ACC52" s="390"/>
      <c r="ACD52" s="390"/>
      <c r="ACE52" s="390"/>
      <c r="ACF52" s="390"/>
      <c r="ACG52" s="390"/>
      <c r="ACH52" s="390"/>
      <c r="ACI52" s="390"/>
    </row>
    <row r="53" spans="1:763" ht="13.95" customHeight="1" x14ac:dyDescent="0.3">
      <c r="A53" s="397" t="str">
        <f ca="1">Проект!$A$345</f>
        <v>средний оклад, в месяц</v>
      </c>
      <c r="B53" s="350">
        <f>Проект!$B$345</f>
        <v>35000</v>
      </c>
      <c r="C53" s="402" t="str">
        <f ca="1">Проект!$C$345</f>
        <v>руб.</v>
      </c>
      <c r="D53" s="399">
        <f ca="1">IFERROR(AVERAGE(Проект!$G$345:$R$345),"-")</f>
        <v>35952.374330941748</v>
      </c>
      <c r="E53" s="399">
        <f ca="1">IFERROR(AVERAGE(Проект!$S$345:$AD$345),"-")</f>
        <v>38109.516790798261</v>
      </c>
      <c r="F53" s="399">
        <f ca="1">IFERROR(AVERAGE(Проект!$AE$345:$AP$345),"-")</f>
        <v>40396.087798246175</v>
      </c>
      <c r="G53" s="399">
        <f ca="1">IFERROR(AVERAGE(Проект!$AQ$345:$BB$345),"-")</f>
        <v>42819.853066140939</v>
      </c>
      <c r="H53" s="396"/>
      <c r="I53" s="390"/>
      <c r="J53" s="390"/>
      <c r="K53" s="390"/>
      <c r="L53" s="390"/>
      <c r="M53" s="390"/>
      <c r="N53" s="390"/>
      <c r="O53" s="390"/>
      <c r="P53" s="390"/>
      <c r="Q53" s="390"/>
      <c r="R53" s="390"/>
      <c r="S53" s="390"/>
      <c r="T53" s="390"/>
      <c r="U53" s="390"/>
      <c r="V53" s="390"/>
      <c r="W53" s="390"/>
      <c r="X53" s="390"/>
      <c r="Y53" s="390"/>
      <c r="Z53" s="390"/>
      <c r="AA53" s="390"/>
      <c r="AB53" s="390"/>
      <c r="AC53" s="390"/>
      <c r="AD53" s="390"/>
      <c r="AE53" s="390"/>
      <c r="AF53" s="390"/>
      <c r="AG53" s="390"/>
      <c r="AH53" s="390"/>
      <c r="AI53" s="390"/>
      <c r="AJ53" s="390"/>
      <c r="AK53" s="390"/>
      <c r="AL53" s="390"/>
      <c r="AM53" s="390"/>
      <c r="AN53" s="390"/>
      <c r="AO53" s="390"/>
      <c r="AP53" s="390"/>
      <c r="AQ53" s="390"/>
      <c r="AR53" s="390"/>
      <c r="AS53" s="390"/>
      <c r="AT53" s="390"/>
      <c r="AU53" s="390"/>
      <c r="AV53" s="390"/>
      <c r="AW53" s="390"/>
      <c r="AX53" s="390"/>
      <c r="AY53" s="390"/>
      <c r="AZ53" s="390"/>
      <c r="BA53" s="390"/>
      <c r="BB53" s="390"/>
      <c r="BC53" s="390"/>
      <c r="BD53" s="390"/>
      <c r="BE53" s="390"/>
      <c r="BF53" s="390"/>
      <c r="BG53" s="390"/>
      <c r="BH53" s="390"/>
      <c r="BI53" s="390"/>
      <c r="BJ53" s="390"/>
      <c r="BK53" s="390"/>
      <c r="BL53" s="390"/>
      <c r="BM53" s="390"/>
      <c r="BN53" s="390"/>
      <c r="BO53" s="390"/>
      <c r="BP53" s="390"/>
      <c r="BQ53" s="390"/>
      <c r="BR53" s="390"/>
      <c r="BS53" s="390"/>
      <c r="BT53" s="390"/>
      <c r="BU53" s="390"/>
      <c r="BV53" s="390"/>
      <c r="BW53" s="390"/>
      <c r="BX53" s="390"/>
      <c r="BY53" s="390"/>
      <c r="BZ53" s="390"/>
      <c r="CA53" s="390"/>
      <c r="CB53" s="390"/>
      <c r="CC53" s="390"/>
      <c r="CD53" s="390"/>
      <c r="CE53" s="390"/>
      <c r="CF53" s="390"/>
      <c r="CG53" s="390"/>
      <c r="CH53" s="390"/>
      <c r="CI53" s="390"/>
      <c r="CJ53" s="390"/>
      <c r="CK53" s="390"/>
      <c r="CL53" s="390"/>
      <c r="CM53" s="390"/>
      <c r="CN53" s="390"/>
      <c r="CO53" s="390"/>
      <c r="CP53" s="390"/>
      <c r="CQ53" s="390"/>
      <c r="CR53" s="390"/>
      <c r="CS53" s="390"/>
      <c r="CT53" s="390"/>
      <c r="CU53" s="390"/>
      <c r="CV53" s="390"/>
      <c r="CW53" s="390"/>
      <c r="CX53" s="390"/>
      <c r="CY53" s="390"/>
      <c r="CZ53" s="390"/>
      <c r="DA53" s="390"/>
      <c r="DB53" s="390"/>
      <c r="DC53" s="390"/>
      <c r="DD53" s="390"/>
      <c r="DE53" s="390"/>
      <c r="DF53" s="390"/>
      <c r="DG53" s="390"/>
      <c r="DH53" s="390"/>
      <c r="DI53" s="390"/>
      <c r="DJ53" s="390"/>
      <c r="DK53" s="390"/>
      <c r="DL53" s="390"/>
      <c r="DM53" s="390"/>
      <c r="DN53" s="390"/>
      <c r="DO53" s="390"/>
      <c r="DP53" s="390"/>
      <c r="DQ53" s="390"/>
      <c r="DR53" s="390"/>
      <c r="DS53" s="390"/>
      <c r="DT53" s="390"/>
      <c r="DU53" s="390"/>
      <c r="DV53" s="390"/>
      <c r="DW53" s="390"/>
      <c r="DX53" s="390"/>
      <c r="DY53" s="390"/>
      <c r="DZ53" s="390"/>
      <c r="EA53" s="390"/>
      <c r="EB53" s="390"/>
      <c r="EC53" s="390"/>
      <c r="ED53" s="390"/>
      <c r="EE53" s="390"/>
      <c r="EF53" s="390"/>
      <c r="EG53" s="390"/>
      <c r="EH53" s="390"/>
      <c r="EI53" s="390"/>
      <c r="EJ53" s="390"/>
      <c r="EK53" s="390"/>
      <c r="EL53" s="390"/>
      <c r="EM53" s="390"/>
      <c r="EN53" s="390"/>
      <c r="EO53" s="390"/>
      <c r="EP53" s="390"/>
      <c r="EQ53" s="390"/>
      <c r="ER53" s="390"/>
      <c r="ES53" s="390"/>
      <c r="ET53" s="390"/>
      <c r="EU53" s="390"/>
      <c r="EV53" s="390"/>
      <c r="EW53" s="390"/>
      <c r="EX53" s="390"/>
      <c r="EY53" s="390"/>
      <c r="EZ53" s="390"/>
      <c r="FA53" s="390"/>
      <c r="FB53" s="390"/>
      <c r="FC53" s="390"/>
      <c r="FD53" s="390"/>
      <c r="FE53" s="390"/>
      <c r="FF53" s="390"/>
      <c r="FG53" s="390"/>
      <c r="FH53" s="390"/>
      <c r="FI53" s="390"/>
      <c r="FJ53" s="390"/>
      <c r="FK53" s="390"/>
      <c r="FL53" s="390"/>
      <c r="FM53" s="390"/>
      <c r="FN53" s="390"/>
      <c r="FO53" s="390"/>
      <c r="FP53" s="390"/>
      <c r="FQ53" s="390"/>
      <c r="FR53" s="390"/>
      <c r="FS53" s="390"/>
      <c r="FT53" s="390"/>
      <c r="FU53" s="390"/>
      <c r="FV53" s="390"/>
      <c r="FW53" s="390"/>
      <c r="FX53" s="390"/>
      <c r="FY53" s="390"/>
      <c r="FZ53" s="390"/>
      <c r="GA53" s="390"/>
      <c r="GB53" s="390"/>
      <c r="GC53" s="390"/>
      <c r="GD53" s="390"/>
      <c r="GE53" s="390"/>
      <c r="GF53" s="390"/>
      <c r="GG53" s="390"/>
      <c r="GH53" s="390"/>
      <c r="GI53" s="390"/>
      <c r="GJ53" s="390"/>
      <c r="GK53" s="390"/>
      <c r="GL53" s="390"/>
      <c r="GM53" s="390"/>
      <c r="GN53" s="390"/>
      <c r="GO53" s="390"/>
      <c r="GP53" s="390"/>
      <c r="GQ53" s="390"/>
      <c r="GR53" s="390"/>
      <c r="GS53" s="390"/>
      <c r="GT53" s="390"/>
      <c r="GU53" s="390"/>
      <c r="GV53" s="390"/>
      <c r="GW53" s="390"/>
      <c r="GX53" s="390"/>
      <c r="GY53" s="390"/>
      <c r="GZ53" s="390"/>
      <c r="HA53" s="390"/>
      <c r="HB53" s="390"/>
      <c r="HC53" s="390"/>
      <c r="HD53" s="390"/>
      <c r="HE53" s="390"/>
      <c r="HF53" s="390"/>
      <c r="HG53" s="390"/>
      <c r="HH53" s="390"/>
      <c r="HI53" s="390"/>
      <c r="HJ53" s="390"/>
      <c r="HK53" s="390"/>
      <c r="HL53" s="390"/>
      <c r="HM53" s="390"/>
      <c r="HN53" s="390"/>
      <c r="HO53" s="390"/>
      <c r="HP53" s="390"/>
      <c r="HQ53" s="390"/>
      <c r="HR53" s="390"/>
      <c r="HS53" s="390"/>
      <c r="HT53" s="390"/>
      <c r="HU53" s="390"/>
      <c r="HV53" s="390"/>
      <c r="HW53" s="390"/>
      <c r="HX53" s="390"/>
      <c r="HY53" s="390"/>
      <c r="HZ53" s="390"/>
      <c r="IA53" s="390"/>
      <c r="IB53" s="390"/>
      <c r="IC53" s="390"/>
      <c r="ID53" s="390"/>
      <c r="IE53" s="390"/>
      <c r="IF53" s="390"/>
      <c r="IG53" s="390"/>
      <c r="IH53" s="390"/>
      <c r="II53" s="390"/>
      <c r="IJ53" s="390"/>
      <c r="IK53" s="390"/>
      <c r="IL53" s="390"/>
      <c r="IM53" s="390"/>
      <c r="IN53" s="390"/>
      <c r="IO53" s="390"/>
      <c r="IP53" s="390"/>
      <c r="IQ53" s="390"/>
      <c r="IR53" s="390"/>
      <c r="IS53" s="390"/>
      <c r="IT53" s="390"/>
      <c r="IU53" s="390"/>
      <c r="IV53" s="390"/>
      <c r="IW53" s="390"/>
      <c r="IX53" s="390"/>
      <c r="IY53" s="390"/>
      <c r="IZ53" s="390"/>
      <c r="JA53" s="390"/>
      <c r="JB53" s="390"/>
      <c r="JC53" s="390"/>
      <c r="JD53" s="390"/>
      <c r="JE53" s="390"/>
      <c r="JF53" s="390"/>
      <c r="JG53" s="390"/>
      <c r="JH53" s="390"/>
      <c r="JI53" s="390"/>
      <c r="JJ53" s="390"/>
      <c r="JK53" s="390"/>
      <c r="JL53" s="390"/>
      <c r="JM53" s="390"/>
      <c r="JN53" s="390"/>
      <c r="JO53" s="390"/>
      <c r="JP53" s="390"/>
      <c r="JQ53" s="390"/>
      <c r="JR53" s="390"/>
      <c r="JS53" s="390"/>
      <c r="JT53" s="390"/>
      <c r="JU53" s="390"/>
      <c r="JV53" s="390"/>
      <c r="JW53" s="390"/>
      <c r="JX53" s="390"/>
      <c r="JY53" s="390"/>
      <c r="JZ53" s="390"/>
      <c r="KA53" s="390"/>
      <c r="KB53" s="390"/>
      <c r="KC53" s="390"/>
      <c r="KD53" s="390"/>
      <c r="KE53" s="390"/>
      <c r="KF53" s="390"/>
      <c r="KG53" s="390"/>
      <c r="KH53" s="390"/>
      <c r="KI53" s="390"/>
      <c r="KJ53" s="390"/>
      <c r="KK53" s="390"/>
      <c r="KL53" s="390"/>
      <c r="KM53" s="390"/>
      <c r="KN53" s="390"/>
      <c r="KO53" s="390"/>
      <c r="KP53" s="390"/>
      <c r="KQ53" s="390"/>
      <c r="KR53" s="390"/>
      <c r="KS53" s="390"/>
      <c r="KT53" s="390"/>
      <c r="KU53" s="390"/>
      <c r="KV53" s="390"/>
      <c r="KW53" s="390"/>
      <c r="KX53" s="390"/>
      <c r="KY53" s="390"/>
      <c r="KZ53" s="390"/>
      <c r="LA53" s="390"/>
      <c r="LB53" s="390"/>
      <c r="LC53" s="390"/>
      <c r="LD53" s="390"/>
      <c r="LE53" s="390"/>
      <c r="LF53" s="390"/>
      <c r="LG53" s="390"/>
      <c r="LH53" s="390"/>
      <c r="LI53" s="390"/>
      <c r="LJ53" s="390"/>
      <c r="LK53" s="390"/>
      <c r="LL53" s="390"/>
      <c r="LM53" s="390"/>
      <c r="LN53" s="390"/>
      <c r="LO53" s="390"/>
      <c r="LP53" s="390"/>
      <c r="LQ53" s="390"/>
      <c r="LR53" s="390"/>
      <c r="LS53" s="390"/>
      <c r="LT53" s="390"/>
      <c r="LU53" s="390"/>
      <c r="LV53" s="390"/>
      <c r="LW53" s="390"/>
      <c r="LX53" s="390"/>
      <c r="LY53" s="390"/>
      <c r="LZ53" s="390"/>
      <c r="MA53" s="390"/>
      <c r="MB53" s="390"/>
      <c r="MC53" s="390"/>
      <c r="MD53" s="390"/>
      <c r="ME53" s="390"/>
      <c r="MF53" s="390"/>
      <c r="MG53" s="390"/>
      <c r="MH53" s="390"/>
      <c r="MI53" s="390"/>
      <c r="MJ53" s="390"/>
      <c r="MK53" s="390"/>
      <c r="ML53" s="390"/>
      <c r="MM53" s="390"/>
      <c r="MN53" s="390"/>
      <c r="MO53" s="390"/>
      <c r="MP53" s="390"/>
      <c r="MQ53" s="390"/>
      <c r="MR53" s="390"/>
      <c r="MS53" s="390"/>
      <c r="MT53" s="390"/>
      <c r="MU53" s="390"/>
      <c r="MV53" s="390"/>
      <c r="MW53" s="390"/>
      <c r="MX53" s="390"/>
      <c r="MY53" s="390"/>
      <c r="MZ53" s="390"/>
      <c r="NA53" s="390"/>
      <c r="NB53" s="390"/>
      <c r="NC53" s="390"/>
      <c r="ND53" s="390"/>
      <c r="NE53" s="390"/>
      <c r="NF53" s="390"/>
      <c r="NG53" s="390"/>
      <c r="NH53" s="390"/>
      <c r="NI53" s="390"/>
      <c r="NJ53" s="390"/>
      <c r="NK53" s="390"/>
      <c r="NL53" s="390"/>
      <c r="NM53" s="390"/>
      <c r="NN53" s="390"/>
      <c r="NO53" s="390"/>
      <c r="NP53" s="390"/>
      <c r="NQ53" s="390"/>
      <c r="NR53" s="390"/>
      <c r="NS53" s="390"/>
      <c r="NT53" s="390"/>
      <c r="NU53" s="390"/>
      <c r="NV53" s="390"/>
      <c r="NW53" s="390"/>
      <c r="NX53" s="390"/>
      <c r="NY53" s="390"/>
      <c r="NZ53" s="390"/>
      <c r="OA53" s="390"/>
      <c r="OB53" s="390"/>
      <c r="OC53" s="390"/>
      <c r="OD53" s="390"/>
      <c r="OE53" s="390"/>
      <c r="OF53" s="390"/>
      <c r="OG53" s="390"/>
      <c r="OH53" s="390"/>
      <c r="OI53" s="390"/>
      <c r="OJ53" s="390"/>
      <c r="OK53" s="390"/>
      <c r="OL53" s="390"/>
      <c r="OM53" s="390"/>
      <c r="ON53" s="390"/>
      <c r="OO53" s="390"/>
      <c r="OP53" s="390"/>
      <c r="OQ53" s="390"/>
      <c r="OR53" s="390"/>
      <c r="OS53" s="390"/>
      <c r="OT53" s="390"/>
      <c r="OU53" s="390"/>
      <c r="OV53" s="390"/>
      <c r="OW53" s="390"/>
      <c r="OX53" s="390"/>
      <c r="OY53" s="390"/>
      <c r="OZ53" s="390"/>
      <c r="PA53" s="390"/>
      <c r="PB53" s="390"/>
      <c r="PC53" s="390"/>
      <c r="PD53" s="390"/>
      <c r="PE53" s="390"/>
      <c r="PF53" s="390"/>
      <c r="PG53" s="390"/>
      <c r="PH53" s="390"/>
      <c r="PI53" s="390"/>
      <c r="PJ53" s="390"/>
      <c r="PK53" s="390"/>
      <c r="PL53" s="390"/>
      <c r="PM53" s="390"/>
      <c r="PN53" s="390"/>
      <c r="PO53" s="390"/>
      <c r="PP53" s="390"/>
      <c r="PQ53" s="390"/>
      <c r="PR53" s="390"/>
      <c r="PS53" s="390"/>
      <c r="PT53" s="390"/>
      <c r="PU53" s="390"/>
      <c r="PV53" s="390"/>
      <c r="PW53" s="390"/>
      <c r="PX53" s="390"/>
      <c r="PY53" s="390"/>
      <c r="PZ53" s="390"/>
      <c r="QA53" s="390"/>
      <c r="QB53" s="390"/>
      <c r="QC53" s="390"/>
      <c r="QD53" s="390"/>
      <c r="QE53" s="390"/>
      <c r="QF53" s="390"/>
      <c r="QG53" s="390"/>
      <c r="QH53" s="390"/>
      <c r="QI53" s="390"/>
      <c r="QJ53" s="390"/>
      <c r="QK53" s="390"/>
      <c r="QL53" s="390"/>
      <c r="QM53" s="390"/>
      <c r="QN53" s="390"/>
      <c r="QO53" s="390"/>
      <c r="QP53" s="390"/>
      <c r="QQ53" s="390"/>
      <c r="QR53" s="390"/>
      <c r="QS53" s="390"/>
      <c r="QT53" s="390"/>
      <c r="QU53" s="390"/>
      <c r="QV53" s="390"/>
      <c r="QW53" s="390"/>
      <c r="QX53" s="390"/>
      <c r="QY53" s="390"/>
      <c r="QZ53" s="390"/>
      <c r="RA53" s="390"/>
      <c r="RB53" s="390"/>
      <c r="RC53" s="390"/>
      <c r="RD53" s="390"/>
      <c r="RE53" s="390"/>
      <c r="RF53" s="390"/>
      <c r="RG53" s="390"/>
      <c r="RH53" s="390"/>
      <c r="RI53" s="390"/>
      <c r="RJ53" s="390"/>
      <c r="RK53" s="390"/>
      <c r="RL53" s="390"/>
      <c r="RM53" s="390"/>
      <c r="RN53" s="390"/>
      <c r="RO53" s="390"/>
      <c r="RP53" s="390"/>
      <c r="RQ53" s="390"/>
      <c r="RR53" s="390"/>
      <c r="RS53" s="390"/>
      <c r="RT53" s="390"/>
      <c r="RU53" s="390"/>
      <c r="RV53" s="390"/>
      <c r="RW53" s="390"/>
      <c r="RX53" s="390"/>
      <c r="RY53" s="390"/>
      <c r="RZ53" s="390"/>
      <c r="SA53" s="390"/>
      <c r="SB53" s="390"/>
      <c r="SC53" s="390"/>
      <c r="SD53" s="390"/>
      <c r="SE53" s="390"/>
      <c r="SF53" s="390"/>
      <c r="SG53" s="390"/>
      <c r="SH53" s="390"/>
      <c r="SI53" s="390"/>
      <c r="SJ53" s="390"/>
      <c r="SK53" s="390"/>
      <c r="SL53" s="390"/>
      <c r="SM53" s="390"/>
      <c r="SN53" s="390"/>
      <c r="SO53" s="390"/>
      <c r="SP53" s="390"/>
      <c r="SQ53" s="390"/>
      <c r="SR53" s="390"/>
      <c r="SS53" s="390"/>
      <c r="ST53" s="390"/>
      <c r="SU53" s="390"/>
      <c r="SV53" s="390"/>
      <c r="SW53" s="390"/>
      <c r="SX53" s="390"/>
      <c r="SY53" s="390"/>
      <c r="SZ53" s="390"/>
      <c r="TA53" s="390"/>
      <c r="TB53" s="390"/>
      <c r="TC53" s="390"/>
      <c r="TD53" s="390"/>
      <c r="TE53" s="390"/>
      <c r="TF53" s="390"/>
      <c r="TG53" s="390"/>
      <c r="TH53" s="390"/>
      <c r="TI53" s="390"/>
      <c r="TJ53" s="390"/>
      <c r="TK53" s="390"/>
      <c r="TL53" s="390"/>
      <c r="TM53" s="390"/>
      <c r="TN53" s="390"/>
      <c r="TO53" s="390"/>
      <c r="TP53" s="390"/>
      <c r="TQ53" s="390"/>
      <c r="TR53" s="390"/>
      <c r="TS53" s="390"/>
      <c r="TT53" s="390"/>
      <c r="TU53" s="390"/>
      <c r="TV53" s="390"/>
      <c r="TW53" s="390"/>
      <c r="TX53" s="390"/>
      <c r="TY53" s="390"/>
      <c r="TZ53" s="390"/>
      <c r="UA53" s="390"/>
      <c r="UB53" s="390"/>
      <c r="UC53" s="390"/>
      <c r="UD53" s="390"/>
      <c r="UE53" s="390"/>
      <c r="UF53" s="390"/>
      <c r="UG53" s="390"/>
      <c r="UH53" s="390"/>
      <c r="UI53" s="390"/>
      <c r="UJ53" s="390"/>
      <c r="UK53" s="390"/>
      <c r="UL53" s="390"/>
      <c r="UM53" s="390"/>
      <c r="UN53" s="390"/>
      <c r="UO53" s="390"/>
      <c r="UP53" s="390"/>
      <c r="UQ53" s="390"/>
      <c r="UR53" s="390"/>
      <c r="US53" s="390"/>
      <c r="UT53" s="390"/>
      <c r="UU53" s="390"/>
      <c r="UV53" s="390"/>
      <c r="UW53" s="390"/>
      <c r="UX53" s="390"/>
      <c r="UY53" s="390"/>
      <c r="UZ53" s="390"/>
      <c r="VA53" s="390"/>
      <c r="VB53" s="390"/>
      <c r="VC53" s="390"/>
      <c r="VD53" s="390"/>
      <c r="VE53" s="390"/>
      <c r="VF53" s="390"/>
      <c r="VG53" s="390"/>
      <c r="VH53" s="390"/>
      <c r="VI53" s="390"/>
      <c r="VJ53" s="390"/>
      <c r="VK53" s="390"/>
      <c r="VL53" s="390"/>
      <c r="VM53" s="390"/>
      <c r="VN53" s="390"/>
      <c r="VO53" s="390"/>
      <c r="VP53" s="390"/>
      <c r="VQ53" s="390"/>
      <c r="VR53" s="390"/>
      <c r="VS53" s="390"/>
      <c r="VT53" s="390"/>
      <c r="VU53" s="390"/>
      <c r="VV53" s="390"/>
      <c r="VW53" s="390"/>
      <c r="VX53" s="390"/>
      <c r="VY53" s="390"/>
      <c r="VZ53" s="390"/>
      <c r="WA53" s="390"/>
      <c r="WB53" s="390"/>
      <c r="WC53" s="390"/>
      <c r="WD53" s="390"/>
      <c r="WE53" s="390"/>
      <c r="WF53" s="390"/>
      <c r="WG53" s="390"/>
      <c r="WH53" s="390"/>
      <c r="WI53" s="390"/>
      <c r="WJ53" s="390"/>
      <c r="WK53" s="390"/>
      <c r="WL53" s="390"/>
      <c r="WM53" s="390"/>
      <c r="WN53" s="390"/>
      <c r="WO53" s="390"/>
      <c r="WP53" s="390"/>
      <c r="WQ53" s="390"/>
      <c r="WR53" s="390"/>
      <c r="WS53" s="390"/>
      <c r="WT53" s="390"/>
      <c r="WU53" s="390"/>
      <c r="WV53" s="390"/>
      <c r="WW53" s="390"/>
      <c r="WX53" s="390"/>
      <c r="WY53" s="390"/>
      <c r="WZ53" s="390"/>
      <c r="XA53" s="390"/>
      <c r="XB53" s="390"/>
      <c r="XC53" s="390"/>
      <c r="XD53" s="390"/>
      <c r="XE53" s="390"/>
      <c r="XF53" s="390"/>
      <c r="XG53" s="390"/>
      <c r="XH53" s="390"/>
      <c r="XI53" s="390"/>
      <c r="XJ53" s="390"/>
      <c r="XK53" s="390"/>
      <c r="XL53" s="390"/>
      <c r="XM53" s="390"/>
      <c r="XN53" s="390"/>
      <c r="XO53" s="390"/>
      <c r="XP53" s="390"/>
      <c r="XQ53" s="390"/>
      <c r="XR53" s="390"/>
      <c r="XS53" s="390"/>
      <c r="XT53" s="390"/>
      <c r="XU53" s="390"/>
      <c r="XV53" s="390"/>
      <c r="XW53" s="390"/>
      <c r="XX53" s="390"/>
      <c r="XY53" s="390"/>
      <c r="XZ53" s="390"/>
      <c r="YA53" s="390"/>
      <c r="YB53" s="390"/>
      <c r="YC53" s="390"/>
      <c r="YD53" s="390"/>
      <c r="YE53" s="390"/>
      <c r="YF53" s="390"/>
      <c r="YG53" s="390"/>
      <c r="YH53" s="390"/>
      <c r="YI53" s="390"/>
      <c r="YJ53" s="390"/>
      <c r="YK53" s="390"/>
      <c r="YL53" s="390"/>
      <c r="YM53" s="390"/>
      <c r="YN53" s="390"/>
      <c r="YO53" s="390"/>
      <c r="YP53" s="390"/>
      <c r="YQ53" s="390"/>
      <c r="YR53" s="390"/>
      <c r="YS53" s="390"/>
      <c r="YT53" s="390"/>
      <c r="YU53" s="390"/>
      <c r="YV53" s="390"/>
      <c r="YW53" s="390"/>
      <c r="YX53" s="390"/>
      <c r="YY53" s="390"/>
      <c r="YZ53" s="390"/>
      <c r="ZA53" s="390"/>
      <c r="ZB53" s="390"/>
      <c r="ZC53" s="390"/>
      <c r="ZD53" s="390"/>
      <c r="ZE53" s="390"/>
      <c r="ZF53" s="390"/>
      <c r="ZG53" s="390"/>
      <c r="ZH53" s="390"/>
      <c r="ZI53" s="390"/>
      <c r="ZJ53" s="390"/>
      <c r="ZK53" s="390"/>
      <c r="ZL53" s="390"/>
      <c r="ZM53" s="390"/>
      <c r="ZN53" s="390"/>
      <c r="ZO53" s="390"/>
      <c r="ZP53" s="390"/>
      <c r="ZQ53" s="390"/>
      <c r="ZR53" s="390"/>
      <c r="ZS53" s="390"/>
      <c r="ZT53" s="390"/>
      <c r="ZU53" s="390"/>
      <c r="ZV53" s="390"/>
      <c r="ZW53" s="390"/>
      <c r="ZX53" s="390"/>
      <c r="ZY53" s="390"/>
      <c r="ZZ53" s="390"/>
      <c r="AAA53" s="390"/>
      <c r="AAB53" s="390"/>
      <c r="AAC53" s="390"/>
      <c r="AAD53" s="390"/>
      <c r="AAE53" s="390"/>
      <c r="AAF53" s="390"/>
      <c r="AAG53" s="390"/>
      <c r="AAH53" s="390"/>
      <c r="AAI53" s="390"/>
      <c r="AAJ53" s="390"/>
      <c r="AAK53" s="390"/>
      <c r="AAL53" s="390"/>
      <c r="AAM53" s="390"/>
      <c r="AAN53" s="390"/>
      <c r="AAO53" s="390"/>
      <c r="AAP53" s="390"/>
      <c r="AAQ53" s="390"/>
      <c r="AAR53" s="390"/>
      <c r="AAS53" s="390"/>
      <c r="AAT53" s="390"/>
      <c r="AAU53" s="390"/>
      <c r="AAV53" s="390"/>
      <c r="AAW53" s="390"/>
      <c r="AAX53" s="390"/>
      <c r="AAY53" s="390"/>
      <c r="AAZ53" s="390"/>
      <c r="ABA53" s="390"/>
      <c r="ABB53" s="390"/>
      <c r="ABC53" s="390"/>
      <c r="ABD53" s="390"/>
      <c r="ABE53" s="390"/>
      <c r="ABF53" s="390"/>
      <c r="ABG53" s="390"/>
      <c r="ABH53" s="390"/>
      <c r="ABI53" s="390"/>
      <c r="ABJ53" s="390"/>
      <c r="ABK53" s="390"/>
      <c r="ABL53" s="390"/>
      <c r="ABM53" s="390"/>
      <c r="ABN53" s="390"/>
      <c r="ABO53" s="390"/>
      <c r="ABP53" s="390"/>
      <c r="ABQ53" s="390"/>
      <c r="ABR53" s="390"/>
      <c r="ABS53" s="390"/>
      <c r="ABT53" s="390"/>
      <c r="ABU53" s="390"/>
      <c r="ABV53" s="390"/>
      <c r="ABW53" s="390"/>
      <c r="ABX53" s="390"/>
      <c r="ABY53" s="390"/>
      <c r="ABZ53" s="390"/>
      <c r="ACA53" s="390"/>
      <c r="ACB53" s="390"/>
      <c r="ACC53" s="390"/>
      <c r="ACD53" s="390"/>
      <c r="ACE53" s="390"/>
      <c r="ACF53" s="390"/>
      <c r="ACG53" s="390"/>
      <c r="ACH53" s="390"/>
      <c r="ACI53" s="390"/>
    </row>
    <row r="54" spans="1:763" ht="13.95" customHeight="1" x14ac:dyDescent="0.3">
      <c r="A54" s="397" t="str">
        <f ca="1">Проект!$A$346</f>
        <v>заработная плата</v>
      </c>
      <c r="B54" s="352" t="str">
        <f ca="1">Проект!$B$346</f>
        <v>за период</v>
      </c>
      <c r="C54" s="402" t="str">
        <f ca="1">Проект!$C$346</f>
        <v>руб.</v>
      </c>
      <c r="D54" s="399">
        <f ca="1">SUM(Проект!$G$346:$R$346)</f>
        <v>1313138.2927549593</v>
      </c>
      <c r="E54" s="399">
        <f ca="1">SUM(Проект!$S$346:$AD$346)</f>
        <v>2743885.2089374759</v>
      </c>
      <c r="F54" s="399">
        <f ca="1">SUM(Проект!$AE$346:$AP$346)</f>
        <v>2908518.3214737242</v>
      </c>
      <c r="G54" s="399">
        <f ca="1">SUM(Проект!$AQ$346:$BB$346)</f>
        <v>3083029.4207621478</v>
      </c>
      <c r="H54" s="392">
        <f ca="1">Проект!$BD$346</f>
        <v>10048571.243928308</v>
      </c>
      <c r="I54" s="390"/>
      <c r="J54" s="390"/>
      <c r="K54" s="390"/>
      <c r="L54" s="390"/>
      <c r="M54" s="390"/>
      <c r="N54" s="390"/>
      <c r="O54" s="390"/>
      <c r="P54" s="390"/>
      <c r="Q54" s="390"/>
      <c r="R54" s="390"/>
      <c r="S54" s="390"/>
      <c r="T54" s="390"/>
      <c r="U54" s="390"/>
      <c r="V54" s="390"/>
      <c r="W54" s="390"/>
      <c r="X54" s="390"/>
      <c r="Y54" s="390"/>
      <c r="Z54" s="390"/>
      <c r="AA54" s="390"/>
      <c r="AB54" s="390"/>
      <c r="AC54" s="390"/>
      <c r="AD54" s="390"/>
      <c r="AE54" s="390"/>
      <c r="AF54" s="390"/>
      <c r="AG54" s="390"/>
      <c r="AH54" s="390"/>
      <c r="AI54" s="390"/>
      <c r="AJ54" s="390"/>
      <c r="AK54" s="390"/>
      <c r="AL54" s="390"/>
      <c r="AM54" s="390"/>
      <c r="AN54" s="390"/>
      <c r="AO54" s="390"/>
      <c r="AP54" s="390"/>
      <c r="AQ54" s="390"/>
      <c r="AR54" s="390"/>
      <c r="AS54" s="390"/>
      <c r="AT54" s="390"/>
      <c r="AU54" s="390"/>
      <c r="AV54" s="390"/>
      <c r="AW54" s="390"/>
      <c r="AX54" s="390"/>
      <c r="AY54" s="390"/>
      <c r="AZ54" s="390"/>
      <c r="BA54" s="390"/>
      <c r="BB54" s="390"/>
      <c r="BC54" s="390"/>
      <c r="BD54" s="390"/>
      <c r="BE54" s="390"/>
      <c r="BF54" s="390"/>
      <c r="BG54" s="390"/>
      <c r="BH54" s="390"/>
      <c r="BI54" s="390"/>
      <c r="BJ54" s="390"/>
      <c r="BK54" s="390"/>
      <c r="BL54" s="390"/>
      <c r="BM54" s="390"/>
      <c r="BN54" s="390"/>
      <c r="BO54" s="390"/>
      <c r="BP54" s="390"/>
      <c r="BQ54" s="390"/>
      <c r="BR54" s="390"/>
      <c r="BS54" s="390"/>
      <c r="BT54" s="390"/>
      <c r="BU54" s="390"/>
      <c r="BV54" s="390"/>
      <c r="BW54" s="390"/>
      <c r="BX54" s="390"/>
      <c r="BY54" s="390"/>
      <c r="BZ54" s="390"/>
      <c r="CA54" s="390"/>
      <c r="CB54" s="390"/>
      <c r="CC54" s="390"/>
      <c r="CD54" s="390"/>
      <c r="CE54" s="390"/>
      <c r="CF54" s="390"/>
      <c r="CG54" s="390"/>
      <c r="CH54" s="390"/>
      <c r="CI54" s="390"/>
      <c r="CJ54" s="390"/>
      <c r="CK54" s="390"/>
      <c r="CL54" s="390"/>
      <c r="CM54" s="390"/>
      <c r="CN54" s="390"/>
      <c r="CO54" s="390"/>
      <c r="CP54" s="390"/>
      <c r="CQ54" s="390"/>
      <c r="CR54" s="390"/>
      <c r="CS54" s="390"/>
      <c r="CT54" s="390"/>
      <c r="CU54" s="390"/>
      <c r="CV54" s="390"/>
      <c r="CW54" s="390"/>
      <c r="CX54" s="390"/>
      <c r="CY54" s="390"/>
      <c r="CZ54" s="390"/>
      <c r="DA54" s="390"/>
      <c r="DB54" s="390"/>
      <c r="DC54" s="390"/>
      <c r="DD54" s="390"/>
      <c r="DE54" s="390"/>
      <c r="DF54" s="390"/>
      <c r="DG54" s="390"/>
      <c r="DH54" s="390"/>
      <c r="DI54" s="390"/>
      <c r="DJ54" s="390"/>
      <c r="DK54" s="390"/>
      <c r="DL54" s="390"/>
      <c r="DM54" s="390"/>
      <c r="DN54" s="390"/>
      <c r="DO54" s="390"/>
      <c r="DP54" s="390"/>
      <c r="DQ54" s="390"/>
      <c r="DR54" s="390"/>
      <c r="DS54" s="390"/>
      <c r="DT54" s="390"/>
      <c r="DU54" s="390"/>
      <c r="DV54" s="390"/>
      <c r="DW54" s="390"/>
      <c r="DX54" s="390"/>
      <c r="DY54" s="390"/>
      <c r="DZ54" s="390"/>
      <c r="EA54" s="390"/>
      <c r="EB54" s="390"/>
      <c r="EC54" s="390"/>
      <c r="ED54" s="390"/>
      <c r="EE54" s="390"/>
      <c r="EF54" s="390"/>
      <c r="EG54" s="390"/>
      <c r="EH54" s="390"/>
      <c r="EI54" s="390"/>
      <c r="EJ54" s="390"/>
      <c r="EK54" s="390"/>
      <c r="EL54" s="390"/>
      <c r="EM54" s="390"/>
      <c r="EN54" s="390"/>
      <c r="EO54" s="390"/>
      <c r="EP54" s="390"/>
      <c r="EQ54" s="390"/>
      <c r="ER54" s="390"/>
      <c r="ES54" s="390"/>
      <c r="ET54" s="390"/>
      <c r="EU54" s="390"/>
      <c r="EV54" s="390"/>
      <c r="EW54" s="390"/>
      <c r="EX54" s="390"/>
      <c r="EY54" s="390"/>
      <c r="EZ54" s="390"/>
      <c r="FA54" s="390"/>
      <c r="FB54" s="390"/>
      <c r="FC54" s="390"/>
      <c r="FD54" s="390"/>
      <c r="FE54" s="390"/>
      <c r="FF54" s="390"/>
      <c r="FG54" s="390"/>
      <c r="FH54" s="390"/>
      <c r="FI54" s="390"/>
      <c r="FJ54" s="390"/>
      <c r="FK54" s="390"/>
      <c r="FL54" s="390"/>
      <c r="FM54" s="390"/>
      <c r="FN54" s="390"/>
      <c r="FO54" s="390"/>
      <c r="FP54" s="390"/>
      <c r="FQ54" s="390"/>
      <c r="FR54" s="390"/>
      <c r="FS54" s="390"/>
      <c r="FT54" s="390"/>
      <c r="FU54" s="390"/>
      <c r="FV54" s="390"/>
      <c r="FW54" s="390"/>
      <c r="FX54" s="390"/>
      <c r="FY54" s="390"/>
      <c r="FZ54" s="390"/>
      <c r="GA54" s="390"/>
      <c r="GB54" s="390"/>
      <c r="GC54" s="390"/>
      <c r="GD54" s="390"/>
      <c r="GE54" s="390"/>
      <c r="GF54" s="390"/>
      <c r="GG54" s="390"/>
      <c r="GH54" s="390"/>
      <c r="GI54" s="390"/>
      <c r="GJ54" s="390"/>
      <c r="GK54" s="390"/>
      <c r="GL54" s="390"/>
      <c r="GM54" s="390"/>
      <c r="GN54" s="390"/>
      <c r="GO54" s="390"/>
      <c r="GP54" s="390"/>
      <c r="GQ54" s="390"/>
      <c r="GR54" s="390"/>
      <c r="GS54" s="390"/>
      <c r="GT54" s="390"/>
      <c r="GU54" s="390"/>
      <c r="GV54" s="390"/>
      <c r="GW54" s="390"/>
      <c r="GX54" s="390"/>
      <c r="GY54" s="390"/>
      <c r="GZ54" s="390"/>
      <c r="HA54" s="390"/>
      <c r="HB54" s="390"/>
      <c r="HC54" s="390"/>
      <c r="HD54" s="390"/>
      <c r="HE54" s="390"/>
      <c r="HF54" s="390"/>
      <c r="HG54" s="390"/>
      <c r="HH54" s="390"/>
      <c r="HI54" s="390"/>
      <c r="HJ54" s="390"/>
      <c r="HK54" s="390"/>
      <c r="HL54" s="390"/>
      <c r="HM54" s="390"/>
      <c r="HN54" s="390"/>
      <c r="HO54" s="390"/>
      <c r="HP54" s="390"/>
      <c r="HQ54" s="390"/>
      <c r="HR54" s="390"/>
      <c r="HS54" s="390"/>
      <c r="HT54" s="390"/>
      <c r="HU54" s="390"/>
      <c r="HV54" s="390"/>
      <c r="HW54" s="390"/>
      <c r="HX54" s="390"/>
      <c r="HY54" s="390"/>
      <c r="HZ54" s="390"/>
      <c r="IA54" s="390"/>
      <c r="IB54" s="390"/>
      <c r="IC54" s="390"/>
      <c r="ID54" s="390"/>
      <c r="IE54" s="390"/>
      <c r="IF54" s="390"/>
      <c r="IG54" s="390"/>
      <c r="IH54" s="390"/>
      <c r="II54" s="390"/>
      <c r="IJ54" s="390"/>
      <c r="IK54" s="390"/>
      <c r="IL54" s="390"/>
      <c r="IM54" s="390"/>
      <c r="IN54" s="390"/>
      <c r="IO54" s="390"/>
      <c r="IP54" s="390"/>
      <c r="IQ54" s="390"/>
      <c r="IR54" s="390"/>
      <c r="IS54" s="390"/>
      <c r="IT54" s="390"/>
      <c r="IU54" s="390"/>
      <c r="IV54" s="390"/>
      <c r="IW54" s="390"/>
      <c r="IX54" s="390"/>
      <c r="IY54" s="390"/>
      <c r="IZ54" s="390"/>
      <c r="JA54" s="390"/>
      <c r="JB54" s="390"/>
      <c r="JC54" s="390"/>
      <c r="JD54" s="390"/>
      <c r="JE54" s="390"/>
      <c r="JF54" s="390"/>
      <c r="JG54" s="390"/>
      <c r="JH54" s="390"/>
      <c r="JI54" s="390"/>
      <c r="JJ54" s="390"/>
      <c r="JK54" s="390"/>
      <c r="JL54" s="390"/>
      <c r="JM54" s="390"/>
      <c r="JN54" s="390"/>
      <c r="JO54" s="390"/>
      <c r="JP54" s="390"/>
      <c r="JQ54" s="390"/>
      <c r="JR54" s="390"/>
      <c r="JS54" s="390"/>
      <c r="JT54" s="390"/>
      <c r="JU54" s="390"/>
      <c r="JV54" s="390"/>
      <c r="JW54" s="390"/>
      <c r="JX54" s="390"/>
      <c r="JY54" s="390"/>
      <c r="JZ54" s="390"/>
      <c r="KA54" s="390"/>
      <c r="KB54" s="390"/>
      <c r="KC54" s="390"/>
      <c r="KD54" s="390"/>
      <c r="KE54" s="390"/>
      <c r="KF54" s="390"/>
      <c r="KG54" s="390"/>
      <c r="KH54" s="390"/>
      <c r="KI54" s="390"/>
      <c r="KJ54" s="390"/>
      <c r="KK54" s="390"/>
      <c r="KL54" s="390"/>
      <c r="KM54" s="390"/>
      <c r="KN54" s="390"/>
      <c r="KO54" s="390"/>
      <c r="KP54" s="390"/>
      <c r="KQ54" s="390"/>
      <c r="KR54" s="390"/>
      <c r="KS54" s="390"/>
      <c r="KT54" s="390"/>
      <c r="KU54" s="390"/>
      <c r="KV54" s="390"/>
      <c r="KW54" s="390"/>
      <c r="KX54" s="390"/>
      <c r="KY54" s="390"/>
      <c r="KZ54" s="390"/>
      <c r="LA54" s="390"/>
      <c r="LB54" s="390"/>
      <c r="LC54" s="390"/>
      <c r="LD54" s="390"/>
      <c r="LE54" s="390"/>
      <c r="LF54" s="390"/>
      <c r="LG54" s="390"/>
      <c r="LH54" s="390"/>
      <c r="LI54" s="390"/>
      <c r="LJ54" s="390"/>
      <c r="LK54" s="390"/>
      <c r="LL54" s="390"/>
      <c r="LM54" s="390"/>
      <c r="LN54" s="390"/>
      <c r="LO54" s="390"/>
      <c r="LP54" s="390"/>
      <c r="LQ54" s="390"/>
      <c r="LR54" s="390"/>
      <c r="LS54" s="390"/>
      <c r="LT54" s="390"/>
      <c r="LU54" s="390"/>
      <c r="LV54" s="390"/>
      <c r="LW54" s="390"/>
      <c r="LX54" s="390"/>
      <c r="LY54" s="390"/>
      <c r="LZ54" s="390"/>
      <c r="MA54" s="390"/>
      <c r="MB54" s="390"/>
      <c r="MC54" s="390"/>
      <c r="MD54" s="390"/>
      <c r="ME54" s="390"/>
      <c r="MF54" s="390"/>
      <c r="MG54" s="390"/>
      <c r="MH54" s="390"/>
      <c r="MI54" s="390"/>
      <c r="MJ54" s="390"/>
      <c r="MK54" s="390"/>
      <c r="ML54" s="390"/>
      <c r="MM54" s="390"/>
      <c r="MN54" s="390"/>
      <c r="MO54" s="390"/>
      <c r="MP54" s="390"/>
      <c r="MQ54" s="390"/>
      <c r="MR54" s="390"/>
      <c r="MS54" s="390"/>
      <c r="MT54" s="390"/>
      <c r="MU54" s="390"/>
      <c r="MV54" s="390"/>
      <c r="MW54" s="390"/>
      <c r="MX54" s="390"/>
      <c r="MY54" s="390"/>
      <c r="MZ54" s="390"/>
      <c r="NA54" s="390"/>
      <c r="NB54" s="390"/>
      <c r="NC54" s="390"/>
      <c r="ND54" s="390"/>
      <c r="NE54" s="390"/>
      <c r="NF54" s="390"/>
      <c r="NG54" s="390"/>
      <c r="NH54" s="390"/>
      <c r="NI54" s="390"/>
      <c r="NJ54" s="390"/>
      <c r="NK54" s="390"/>
      <c r="NL54" s="390"/>
      <c r="NM54" s="390"/>
      <c r="NN54" s="390"/>
      <c r="NO54" s="390"/>
      <c r="NP54" s="390"/>
      <c r="NQ54" s="390"/>
      <c r="NR54" s="390"/>
      <c r="NS54" s="390"/>
      <c r="NT54" s="390"/>
      <c r="NU54" s="390"/>
      <c r="NV54" s="390"/>
      <c r="NW54" s="390"/>
      <c r="NX54" s="390"/>
      <c r="NY54" s="390"/>
      <c r="NZ54" s="390"/>
      <c r="OA54" s="390"/>
      <c r="OB54" s="390"/>
      <c r="OC54" s="390"/>
      <c r="OD54" s="390"/>
      <c r="OE54" s="390"/>
      <c r="OF54" s="390"/>
      <c r="OG54" s="390"/>
      <c r="OH54" s="390"/>
      <c r="OI54" s="390"/>
      <c r="OJ54" s="390"/>
      <c r="OK54" s="390"/>
      <c r="OL54" s="390"/>
      <c r="OM54" s="390"/>
      <c r="ON54" s="390"/>
      <c r="OO54" s="390"/>
      <c r="OP54" s="390"/>
      <c r="OQ54" s="390"/>
      <c r="OR54" s="390"/>
      <c r="OS54" s="390"/>
      <c r="OT54" s="390"/>
      <c r="OU54" s="390"/>
      <c r="OV54" s="390"/>
      <c r="OW54" s="390"/>
      <c r="OX54" s="390"/>
      <c r="OY54" s="390"/>
      <c r="OZ54" s="390"/>
      <c r="PA54" s="390"/>
      <c r="PB54" s="390"/>
      <c r="PC54" s="390"/>
      <c r="PD54" s="390"/>
      <c r="PE54" s="390"/>
      <c r="PF54" s="390"/>
      <c r="PG54" s="390"/>
      <c r="PH54" s="390"/>
      <c r="PI54" s="390"/>
      <c r="PJ54" s="390"/>
      <c r="PK54" s="390"/>
      <c r="PL54" s="390"/>
      <c r="PM54" s="390"/>
      <c r="PN54" s="390"/>
      <c r="PO54" s="390"/>
      <c r="PP54" s="390"/>
      <c r="PQ54" s="390"/>
      <c r="PR54" s="390"/>
      <c r="PS54" s="390"/>
      <c r="PT54" s="390"/>
      <c r="PU54" s="390"/>
      <c r="PV54" s="390"/>
      <c r="PW54" s="390"/>
      <c r="PX54" s="390"/>
      <c r="PY54" s="390"/>
      <c r="PZ54" s="390"/>
      <c r="QA54" s="390"/>
      <c r="QB54" s="390"/>
      <c r="QC54" s="390"/>
      <c r="QD54" s="390"/>
      <c r="QE54" s="390"/>
      <c r="QF54" s="390"/>
      <c r="QG54" s="390"/>
      <c r="QH54" s="390"/>
      <c r="QI54" s="390"/>
      <c r="QJ54" s="390"/>
      <c r="QK54" s="390"/>
      <c r="QL54" s="390"/>
      <c r="QM54" s="390"/>
      <c r="QN54" s="390"/>
      <c r="QO54" s="390"/>
      <c r="QP54" s="390"/>
      <c r="QQ54" s="390"/>
      <c r="QR54" s="390"/>
      <c r="QS54" s="390"/>
      <c r="QT54" s="390"/>
      <c r="QU54" s="390"/>
      <c r="QV54" s="390"/>
      <c r="QW54" s="390"/>
      <c r="QX54" s="390"/>
      <c r="QY54" s="390"/>
      <c r="QZ54" s="390"/>
      <c r="RA54" s="390"/>
      <c r="RB54" s="390"/>
      <c r="RC54" s="390"/>
      <c r="RD54" s="390"/>
      <c r="RE54" s="390"/>
      <c r="RF54" s="390"/>
      <c r="RG54" s="390"/>
      <c r="RH54" s="390"/>
      <c r="RI54" s="390"/>
      <c r="RJ54" s="390"/>
      <c r="RK54" s="390"/>
      <c r="RL54" s="390"/>
      <c r="RM54" s="390"/>
      <c r="RN54" s="390"/>
      <c r="RO54" s="390"/>
      <c r="RP54" s="390"/>
      <c r="RQ54" s="390"/>
      <c r="RR54" s="390"/>
      <c r="RS54" s="390"/>
      <c r="RT54" s="390"/>
      <c r="RU54" s="390"/>
      <c r="RV54" s="390"/>
      <c r="RW54" s="390"/>
      <c r="RX54" s="390"/>
      <c r="RY54" s="390"/>
      <c r="RZ54" s="390"/>
      <c r="SA54" s="390"/>
      <c r="SB54" s="390"/>
      <c r="SC54" s="390"/>
      <c r="SD54" s="390"/>
      <c r="SE54" s="390"/>
      <c r="SF54" s="390"/>
      <c r="SG54" s="390"/>
      <c r="SH54" s="390"/>
      <c r="SI54" s="390"/>
      <c r="SJ54" s="390"/>
      <c r="SK54" s="390"/>
      <c r="SL54" s="390"/>
      <c r="SM54" s="390"/>
      <c r="SN54" s="390"/>
      <c r="SO54" s="390"/>
      <c r="SP54" s="390"/>
      <c r="SQ54" s="390"/>
      <c r="SR54" s="390"/>
      <c r="SS54" s="390"/>
      <c r="ST54" s="390"/>
      <c r="SU54" s="390"/>
      <c r="SV54" s="390"/>
      <c r="SW54" s="390"/>
      <c r="SX54" s="390"/>
      <c r="SY54" s="390"/>
      <c r="SZ54" s="390"/>
      <c r="TA54" s="390"/>
      <c r="TB54" s="390"/>
      <c r="TC54" s="390"/>
      <c r="TD54" s="390"/>
      <c r="TE54" s="390"/>
      <c r="TF54" s="390"/>
      <c r="TG54" s="390"/>
      <c r="TH54" s="390"/>
      <c r="TI54" s="390"/>
      <c r="TJ54" s="390"/>
      <c r="TK54" s="390"/>
      <c r="TL54" s="390"/>
      <c r="TM54" s="390"/>
      <c r="TN54" s="390"/>
      <c r="TO54" s="390"/>
      <c r="TP54" s="390"/>
      <c r="TQ54" s="390"/>
      <c r="TR54" s="390"/>
      <c r="TS54" s="390"/>
      <c r="TT54" s="390"/>
      <c r="TU54" s="390"/>
      <c r="TV54" s="390"/>
      <c r="TW54" s="390"/>
      <c r="TX54" s="390"/>
      <c r="TY54" s="390"/>
      <c r="TZ54" s="390"/>
      <c r="UA54" s="390"/>
      <c r="UB54" s="390"/>
      <c r="UC54" s="390"/>
      <c r="UD54" s="390"/>
      <c r="UE54" s="390"/>
      <c r="UF54" s="390"/>
      <c r="UG54" s="390"/>
      <c r="UH54" s="390"/>
      <c r="UI54" s="390"/>
      <c r="UJ54" s="390"/>
      <c r="UK54" s="390"/>
      <c r="UL54" s="390"/>
      <c r="UM54" s="390"/>
      <c r="UN54" s="390"/>
      <c r="UO54" s="390"/>
      <c r="UP54" s="390"/>
      <c r="UQ54" s="390"/>
      <c r="UR54" s="390"/>
      <c r="US54" s="390"/>
      <c r="UT54" s="390"/>
      <c r="UU54" s="390"/>
      <c r="UV54" s="390"/>
      <c r="UW54" s="390"/>
      <c r="UX54" s="390"/>
      <c r="UY54" s="390"/>
      <c r="UZ54" s="390"/>
      <c r="VA54" s="390"/>
      <c r="VB54" s="390"/>
      <c r="VC54" s="390"/>
      <c r="VD54" s="390"/>
      <c r="VE54" s="390"/>
      <c r="VF54" s="390"/>
      <c r="VG54" s="390"/>
      <c r="VH54" s="390"/>
      <c r="VI54" s="390"/>
      <c r="VJ54" s="390"/>
      <c r="VK54" s="390"/>
      <c r="VL54" s="390"/>
      <c r="VM54" s="390"/>
      <c r="VN54" s="390"/>
      <c r="VO54" s="390"/>
      <c r="VP54" s="390"/>
      <c r="VQ54" s="390"/>
      <c r="VR54" s="390"/>
      <c r="VS54" s="390"/>
      <c r="VT54" s="390"/>
      <c r="VU54" s="390"/>
      <c r="VV54" s="390"/>
      <c r="VW54" s="390"/>
      <c r="VX54" s="390"/>
      <c r="VY54" s="390"/>
      <c r="VZ54" s="390"/>
      <c r="WA54" s="390"/>
      <c r="WB54" s="390"/>
      <c r="WC54" s="390"/>
      <c r="WD54" s="390"/>
      <c r="WE54" s="390"/>
      <c r="WF54" s="390"/>
      <c r="WG54" s="390"/>
      <c r="WH54" s="390"/>
      <c r="WI54" s="390"/>
      <c r="WJ54" s="390"/>
      <c r="WK54" s="390"/>
      <c r="WL54" s="390"/>
      <c r="WM54" s="390"/>
      <c r="WN54" s="390"/>
      <c r="WO54" s="390"/>
      <c r="WP54" s="390"/>
      <c r="WQ54" s="390"/>
      <c r="WR54" s="390"/>
      <c r="WS54" s="390"/>
      <c r="WT54" s="390"/>
      <c r="WU54" s="390"/>
      <c r="WV54" s="390"/>
      <c r="WW54" s="390"/>
      <c r="WX54" s="390"/>
      <c r="WY54" s="390"/>
      <c r="WZ54" s="390"/>
      <c r="XA54" s="390"/>
      <c r="XB54" s="390"/>
      <c r="XC54" s="390"/>
      <c r="XD54" s="390"/>
      <c r="XE54" s="390"/>
      <c r="XF54" s="390"/>
      <c r="XG54" s="390"/>
      <c r="XH54" s="390"/>
      <c r="XI54" s="390"/>
      <c r="XJ54" s="390"/>
      <c r="XK54" s="390"/>
      <c r="XL54" s="390"/>
      <c r="XM54" s="390"/>
      <c r="XN54" s="390"/>
      <c r="XO54" s="390"/>
      <c r="XP54" s="390"/>
      <c r="XQ54" s="390"/>
      <c r="XR54" s="390"/>
      <c r="XS54" s="390"/>
      <c r="XT54" s="390"/>
      <c r="XU54" s="390"/>
      <c r="XV54" s="390"/>
      <c r="XW54" s="390"/>
      <c r="XX54" s="390"/>
      <c r="XY54" s="390"/>
      <c r="XZ54" s="390"/>
      <c r="YA54" s="390"/>
      <c r="YB54" s="390"/>
      <c r="YC54" s="390"/>
      <c r="YD54" s="390"/>
      <c r="YE54" s="390"/>
      <c r="YF54" s="390"/>
      <c r="YG54" s="390"/>
      <c r="YH54" s="390"/>
      <c r="YI54" s="390"/>
      <c r="YJ54" s="390"/>
      <c r="YK54" s="390"/>
      <c r="YL54" s="390"/>
      <c r="YM54" s="390"/>
      <c r="YN54" s="390"/>
      <c r="YO54" s="390"/>
      <c r="YP54" s="390"/>
      <c r="YQ54" s="390"/>
      <c r="YR54" s="390"/>
      <c r="YS54" s="390"/>
      <c r="YT54" s="390"/>
      <c r="YU54" s="390"/>
      <c r="YV54" s="390"/>
      <c r="YW54" s="390"/>
      <c r="YX54" s="390"/>
      <c r="YY54" s="390"/>
      <c r="YZ54" s="390"/>
      <c r="ZA54" s="390"/>
      <c r="ZB54" s="390"/>
      <c r="ZC54" s="390"/>
      <c r="ZD54" s="390"/>
      <c r="ZE54" s="390"/>
      <c r="ZF54" s="390"/>
      <c r="ZG54" s="390"/>
      <c r="ZH54" s="390"/>
      <c r="ZI54" s="390"/>
      <c r="ZJ54" s="390"/>
      <c r="ZK54" s="390"/>
      <c r="ZL54" s="390"/>
      <c r="ZM54" s="390"/>
      <c r="ZN54" s="390"/>
      <c r="ZO54" s="390"/>
      <c r="ZP54" s="390"/>
      <c r="ZQ54" s="390"/>
      <c r="ZR54" s="390"/>
      <c r="ZS54" s="390"/>
      <c r="ZT54" s="390"/>
      <c r="ZU54" s="390"/>
      <c r="ZV54" s="390"/>
      <c r="ZW54" s="390"/>
      <c r="ZX54" s="390"/>
      <c r="ZY54" s="390"/>
      <c r="ZZ54" s="390"/>
      <c r="AAA54" s="390"/>
      <c r="AAB54" s="390"/>
      <c r="AAC54" s="390"/>
      <c r="AAD54" s="390"/>
      <c r="AAE54" s="390"/>
      <c r="AAF54" s="390"/>
      <c r="AAG54" s="390"/>
      <c r="AAH54" s="390"/>
      <c r="AAI54" s="390"/>
      <c r="AAJ54" s="390"/>
      <c r="AAK54" s="390"/>
      <c r="AAL54" s="390"/>
      <c r="AAM54" s="390"/>
      <c r="AAN54" s="390"/>
      <c r="AAO54" s="390"/>
      <c r="AAP54" s="390"/>
      <c r="AAQ54" s="390"/>
      <c r="AAR54" s="390"/>
      <c r="AAS54" s="390"/>
      <c r="AAT54" s="390"/>
      <c r="AAU54" s="390"/>
      <c r="AAV54" s="390"/>
      <c r="AAW54" s="390"/>
      <c r="AAX54" s="390"/>
      <c r="AAY54" s="390"/>
      <c r="AAZ54" s="390"/>
      <c r="ABA54" s="390"/>
      <c r="ABB54" s="390"/>
      <c r="ABC54" s="390"/>
      <c r="ABD54" s="390"/>
      <c r="ABE54" s="390"/>
      <c r="ABF54" s="390"/>
      <c r="ABG54" s="390"/>
      <c r="ABH54" s="390"/>
      <c r="ABI54" s="390"/>
      <c r="ABJ54" s="390"/>
      <c r="ABK54" s="390"/>
      <c r="ABL54" s="390"/>
      <c r="ABM54" s="390"/>
      <c r="ABN54" s="390"/>
      <c r="ABO54" s="390"/>
      <c r="ABP54" s="390"/>
      <c r="ABQ54" s="390"/>
      <c r="ABR54" s="390"/>
      <c r="ABS54" s="390"/>
      <c r="ABT54" s="390"/>
      <c r="ABU54" s="390"/>
      <c r="ABV54" s="390"/>
      <c r="ABW54" s="390"/>
      <c r="ABX54" s="390"/>
      <c r="ABY54" s="390"/>
      <c r="ABZ54" s="390"/>
      <c r="ACA54" s="390"/>
      <c r="ACB54" s="390"/>
      <c r="ACC54" s="390"/>
      <c r="ACD54" s="390"/>
      <c r="ACE54" s="390"/>
      <c r="ACF54" s="390"/>
      <c r="ACG54" s="390"/>
      <c r="ACH54" s="390"/>
      <c r="ACI54" s="390"/>
    </row>
    <row r="55" spans="1:763" ht="13.95" customHeight="1" x14ac:dyDescent="0.3">
      <c r="A55" s="390"/>
      <c r="B55" s="390"/>
      <c r="C55" s="390"/>
      <c r="D55" s="390"/>
      <c r="E55" s="390"/>
      <c r="F55" s="390"/>
      <c r="G55" s="390"/>
      <c r="H55" s="396"/>
      <c r="I55" s="390"/>
      <c r="J55" s="390"/>
      <c r="K55" s="390"/>
      <c r="L55" s="390"/>
      <c r="M55" s="390"/>
      <c r="N55" s="390"/>
      <c r="O55" s="390"/>
      <c r="P55" s="390"/>
      <c r="Q55" s="390"/>
      <c r="R55" s="390"/>
      <c r="S55" s="390"/>
      <c r="T55" s="390"/>
      <c r="U55" s="390"/>
      <c r="V55" s="390"/>
      <c r="W55" s="390"/>
      <c r="X55" s="390"/>
      <c r="Y55" s="390"/>
      <c r="Z55" s="390"/>
      <c r="AA55" s="390"/>
      <c r="AB55" s="390"/>
      <c r="AC55" s="390"/>
      <c r="AD55" s="390"/>
      <c r="AE55" s="390"/>
      <c r="AF55" s="390"/>
      <c r="AG55" s="390"/>
      <c r="AH55" s="390"/>
      <c r="AI55" s="390"/>
      <c r="AJ55" s="390"/>
      <c r="AK55" s="390"/>
      <c r="AL55" s="390"/>
      <c r="AM55" s="390"/>
      <c r="AN55" s="390"/>
      <c r="AO55" s="390"/>
      <c r="AP55" s="390"/>
      <c r="AQ55" s="390"/>
      <c r="AR55" s="390"/>
      <c r="AS55" s="390"/>
      <c r="AT55" s="390"/>
      <c r="AU55" s="390"/>
      <c r="AV55" s="390"/>
      <c r="AW55" s="390"/>
      <c r="AX55" s="390"/>
      <c r="AY55" s="390"/>
      <c r="AZ55" s="390"/>
      <c r="BA55" s="390"/>
      <c r="BB55" s="390"/>
      <c r="BC55" s="390"/>
      <c r="BD55" s="390"/>
      <c r="BE55" s="390"/>
      <c r="BF55" s="390"/>
      <c r="BG55" s="390"/>
      <c r="BH55" s="390"/>
      <c r="BI55" s="390"/>
      <c r="BJ55" s="390"/>
      <c r="BK55" s="390"/>
      <c r="BL55" s="390"/>
      <c r="BM55" s="390"/>
      <c r="BN55" s="390"/>
      <c r="BO55" s="390"/>
      <c r="BP55" s="390"/>
      <c r="BQ55" s="390"/>
      <c r="BR55" s="390"/>
      <c r="BS55" s="390"/>
      <c r="BT55" s="390"/>
      <c r="BU55" s="390"/>
      <c r="BV55" s="390"/>
      <c r="BW55" s="390"/>
      <c r="BX55" s="390"/>
      <c r="BY55" s="390"/>
      <c r="BZ55" s="390"/>
      <c r="CA55" s="390"/>
      <c r="CB55" s="390"/>
      <c r="CC55" s="390"/>
      <c r="CD55" s="390"/>
      <c r="CE55" s="390"/>
      <c r="CF55" s="390"/>
      <c r="CG55" s="390"/>
      <c r="CH55" s="390"/>
      <c r="CI55" s="390"/>
      <c r="CJ55" s="390"/>
      <c r="CK55" s="390"/>
      <c r="CL55" s="390"/>
      <c r="CM55" s="390"/>
      <c r="CN55" s="390"/>
      <c r="CO55" s="390"/>
      <c r="CP55" s="390"/>
      <c r="CQ55" s="390"/>
      <c r="CR55" s="390"/>
      <c r="CS55" s="390"/>
      <c r="CT55" s="390"/>
      <c r="CU55" s="390"/>
      <c r="CV55" s="390"/>
      <c r="CW55" s="390"/>
      <c r="CX55" s="390"/>
      <c r="CY55" s="390"/>
      <c r="CZ55" s="390"/>
      <c r="DA55" s="390"/>
      <c r="DB55" s="390"/>
      <c r="DC55" s="390"/>
      <c r="DD55" s="390"/>
      <c r="DE55" s="390"/>
      <c r="DF55" s="390"/>
      <c r="DG55" s="390"/>
      <c r="DH55" s="390"/>
      <c r="DI55" s="390"/>
      <c r="DJ55" s="390"/>
      <c r="DK55" s="390"/>
      <c r="DL55" s="390"/>
      <c r="DM55" s="390"/>
      <c r="DN55" s="390"/>
      <c r="DO55" s="390"/>
      <c r="DP55" s="390"/>
      <c r="DQ55" s="390"/>
      <c r="DR55" s="390"/>
      <c r="DS55" s="390"/>
      <c r="DT55" s="390"/>
      <c r="DU55" s="390"/>
      <c r="DV55" s="390"/>
      <c r="DW55" s="390"/>
      <c r="DX55" s="390"/>
      <c r="DY55" s="390"/>
      <c r="DZ55" s="390"/>
      <c r="EA55" s="390"/>
      <c r="EB55" s="390"/>
      <c r="EC55" s="390"/>
      <c r="ED55" s="390"/>
      <c r="EE55" s="390"/>
      <c r="EF55" s="390"/>
      <c r="EG55" s="390"/>
      <c r="EH55" s="390"/>
      <c r="EI55" s="390"/>
      <c r="EJ55" s="390"/>
      <c r="EK55" s="390"/>
      <c r="EL55" s="390"/>
      <c r="EM55" s="390"/>
      <c r="EN55" s="390"/>
      <c r="EO55" s="390"/>
      <c r="EP55" s="390"/>
      <c r="EQ55" s="390"/>
      <c r="ER55" s="390"/>
      <c r="ES55" s="390"/>
      <c r="ET55" s="390"/>
      <c r="EU55" s="390"/>
      <c r="EV55" s="390"/>
      <c r="EW55" s="390"/>
      <c r="EX55" s="390"/>
      <c r="EY55" s="390"/>
      <c r="EZ55" s="390"/>
      <c r="FA55" s="390"/>
      <c r="FB55" s="390"/>
      <c r="FC55" s="390"/>
      <c r="FD55" s="390"/>
      <c r="FE55" s="390"/>
      <c r="FF55" s="390"/>
      <c r="FG55" s="390"/>
      <c r="FH55" s="390"/>
      <c r="FI55" s="390"/>
      <c r="FJ55" s="390"/>
      <c r="FK55" s="390"/>
      <c r="FL55" s="390"/>
      <c r="FM55" s="390"/>
      <c r="FN55" s="390"/>
      <c r="FO55" s="390"/>
      <c r="FP55" s="390"/>
      <c r="FQ55" s="390"/>
      <c r="FR55" s="390"/>
      <c r="FS55" s="390"/>
      <c r="FT55" s="390"/>
      <c r="FU55" s="390"/>
      <c r="FV55" s="390"/>
      <c r="FW55" s="390"/>
      <c r="FX55" s="390"/>
      <c r="FY55" s="390"/>
      <c r="FZ55" s="390"/>
      <c r="GA55" s="390"/>
      <c r="GB55" s="390"/>
      <c r="GC55" s="390"/>
      <c r="GD55" s="390"/>
      <c r="GE55" s="390"/>
      <c r="GF55" s="390"/>
      <c r="GG55" s="390"/>
      <c r="GH55" s="390"/>
      <c r="GI55" s="390"/>
      <c r="GJ55" s="390"/>
      <c r="GK55" s="390"/>
      <c r="GL55" s="390"/>
      <c r="GM55" s="390"/>
      <c r="GN55" s="390"/>
      <c r="GO55" s="390"/>
      <c r="GP55" s="390"/>
      <c r="GQ55" s="390"/>
      <c r="GR55" s="390"/>
      <c r="GS55" s="390"/>
      <c r="GT55" s="390"/>
      <c r="GU55" s="390"/>
      <c r="GV55" s="390"/>
      <c r="GW55" s="390"/>
      <c r="GX55" s="390"/>
      <c r="GY55" s="390"/>
      <c r="GZ55" s="390"/>
      <c r="HA55" s="390"/>
      <c r="HB55" s="390"/>
      <c r="HC55" s="390"/>
      <c r="HD55" s="390"/>
      <c r="HE55" s="390"/>
      <c r="HF55" s="390"/>
      <c r="HG55" s="390"/>
      <c r="HH55" s="390"/>
      <c r="HI55" s="390"/>
      <c r="HJ55" s="390"/>
      <c r="HK55" s="390"/>
      <c r="HL55" s="390"/>
      <c r="HM55" s="390"/>
      <c r="HN55" s="390"/>
      <c r="HO55" s="390"/>
      <c r="HP55" s="390"/>
      <c r="HQ55" s="390"/>
      <c r="HR55" s="390"/>
      <c r="HS55" s="390"/>
      <c r="HT55" s="390"/>
      <c r="HU55" s="390"/>
      <c r="HV55" s="390"/>
      <c r="HW55" s="390"/>
      <c r="HX55" s="390"/>
      <c r="HY55" s="390"/>
      <c r="HZ55" s="390"/>
      <c r="IA55" s="390"/>
      <c r="IB55" s="390"/>
      <c r="IC55" s="390"/>
      <c r="ID55" s="390"/>
      <c r="IE55" s="390"/>
      <c r="IF55" s="390"/>
      <c r="IG55" s="390"/>
      <c r="IH55" s="390"/>
      <c r="II55" s="390"/>
      <c r="IJ55" s="390"/>
      <c r="IK55" s="390"/>
      <c r="IL55" s="390"/>
      <c r="IM55" s="390"/>
      <c r="IN55" s="390"/>
      <c r="IO55" s="390"/>
      <c r="IP55" s="390"/>
      <c r="IQ55" s="390"/>
      <c r="IR55" s="390"/>
      <c r="IS55" s="390"/>
      <c r="IT55" s="390"/>
      <c r="IU55" s="390"/>
      <c r="IV55" s="390"/>
      <c r="IW55" s="390"/>
      <c r="IX55" s="390"/>
      <c r="IY55" s="390"/>
      <c r="IZ55" s="390"/>
      <c r="JA55" s="390"/>
      <c r="JB55" s="390"/>
      <c r="JC55" s="390"/>
      <c r="JD55" s="390"/>
      <c r="JE55" s="390"/>
      <c r="JF55" s="390"/>
      <c r="JG55" s="390"/>
      <c r="JH55" s="390"/>
      <c r="JI55" s="390"/>
      <c r="JJ55" s="390"/>
      <c r="JK55" s="390"/>
      <c r="JL55" s="390"/>
      <c r="JM55" s="390"/>
      <c r="JN55" s="390"/>
      <c r="JO55" s="390"/>
      <c r="JP55" s="390"/>
      <c r="JQ55" s="390"/>
      <c r="JR55" s="390"/>
      <c r="JS55" s="390"/>
      <c r="JT55" s="390"/>
      <c r="JU55" s="390"/>
      <c r="JV55" s="390"/>
      <c r="JW55" s="390"/>
      <c r="JX55" s="390"/>
      <c r="JY55" s="390"/>
      <c r="JZ55" s="390"/>
      <c r="KA55" s="390"/>
      <c r="KB55" s="390"/>
      <c r="KC55" s="390"/>
      <c r="KD55" s="390"/>
      <c r="KE55" s="390"/>
      <c r="KF55" s="390"/>
      <c r="KG55" s="390"/>
      <c r="KH55" s="390"/>
      <c r="KI55" s="390"/>
      <c r="KJ55" s="390"/>
      <c r="KK55" s="390"/>
      <c r="KL55" s="390"/>
      <c r="KM55" s="390"/>
      <c r="KN55" s="390"/>
      <c r="KO55" s="390"/>
      <c r="KP55" s="390"/>
      <c r="KQ55" s="390"/>
      <c r="KR55" s="390"/>
      <c r="KS55" s="390"/>
      <c r="KT55" s="390"/>
      <c r="KU55" s="390"/>
      <c r="KV55" s="390"/>
      <c r="KW55" s="390"/>
      <c r="KX55" s="390"/>
      <c r="KY55" s="390"/>
      <c r="KZ55" s="390"/>
      <c r="LA55" s="390"/>
      <c r="LB55" s="390"/>
      <c r="LC55" s="390"/>
      <c r="LD55" s="390"/>
      <c r="LE55" s="390"/>
      <c r="LF55" s="390"/>
      <c r="LG55" s="390"/>
      <c r="LH55" s="390"/>
      <c r="LI55" s="390"/>
      <c r="LJ55" s="390"/>
      <c r="LK55" s="390"/>
      <c r="LL55" s="390"/>
      <c r="LM55" s="390"/>
      <c r="LN55" s="390"/>
      <c r="LO55" s="390"/>
      <c r="LP55" s="390"/>
      <c r="LQ55" s="390"/>
      <c r="LR55" s="390"/>
      <c r="LS55" s="390"/>
      <c r="LT55" s="390"/>
      <c r="LU55" s="390"/>
      <c r="LV55" s="390"/>
      <c r="LW55" s="390"/>
      <c r="LX55" s="390"/>
      <c r="LY55" s="390"/>
      <c r="LZ55" s="390"/>
      <c r="MA55" s="390"/>
      <c r="MB55" s="390"/>
      <c r="MC55" s="390"/>
      <c r="MD55" s="390"/>
      <c r="ME55" s="390"/>
      <c r="MF55" s="390"/>
      <c r="MG55" s="390"/>
      <c r="MH55" s="390"/>
      <c r="MI55" s="390"/>
      <c r="MJ55" s="390"/>
      <c r="MK55" s="390"/>
      <c r="ML55" s="390"/>
      <c r="MM55" s="390"/>
      <c r="MN55" s="390"/>
      <c r="MO55" s="390"/>
      <c r="MP55" s="390"/>
      <c r="MQ55" s="390"/>
      <c r="MR55" s="390"/>
      <c r="MS55" s="390"/>
      <c r="MT55" s="390"/>
      <c r="MU55" s="390"/>
      <c r="MV55" s="390"/>
      <c r="MW55" s="390"/>
      <c r="MX55" s="390"/>
      <c r="MY55" s="390"/>
      <c r="MZ55" s="390"/>
      <c r="NA55" s="390"/>
      <c r="NB55" s="390"/>
      <c r="NC55" s="390"/>
      <c r="ND55" s="390"/>
      <c r="NE55" s="390"/>
      <c r="NF55" s="390"/>
      <c r="NG55" s="390"/>
      <c r="NH55" s="390"/>
      <c r="NI55" s="390"/>
      <c r="NJ55" s="390"/>
      <c r="NK55" s="390"/>
      <c r="NL55" s="390"/>
      <c r="NM55" s="390"/>
      <c r="NN55" s="390"/>
      <c r="NO55" s="390"/>
      <c r="NP55" s="390"/>
      <c r="NQ55" s="390"/>
      <c r="NR55" s="390"/>
      <c r="NS55" s="390"/>
      <c r="NT55" s="390"/>
      <c r="NU55" s="390"/>
      <c r="NV55" s="390"/>
      <c r="NW55" s="390"/>
      <c r="NX55" s="390"/>
      <c r="NY55" s="390"/>
      <c r="NZ55" s="390"/>
      <c r="OA55" s="390"/>
      <c r="OB55" s="390"/>
      <c r="OC55" s="390"/>
      <c r="OD55" s="390"/>
      <c r="OE55" s="390"/>
      <c r="OF55" s="390"/>
      <c r="OG55" s="390"/>
      <c r="OH55" s="390"/>
      <c r="OI55" s="390"/>
      <c r="OJ55" s="390"/>
      <c r="OK55" s="390"/>
      <c r="OL55" s="390"/>
      <c r="OM55" s="390"/>
      <c r="ON55" s="390"/>
      <c r="OO55" s="390"/>
      <c r="OP55" s="390"/>
      <c r="OQ55" s="390"/>
      <c r="OR55" s="390"/>
      <c r="OS55" s="390"/>
      <c r="OT55" s="390"/>
      <c r="OU55" s="390"/>
      <c r="OV55" s="390"/>
      <c r="OW55" s="390"/>
      <c r="OX55" s="390"/>
      <c r="OY55" s="390"/>
      <c r="OZ55" s="390"/>
      <c r="PA55" s="390"/>
      <c r="PB55" s="390"/>
      <c r="PC55" s="390"/>
      <c r="PD55" s="390"/>
      <c r="PE55" s="390"/>
      <c r="PF55" s="390"/>
      <c r="PG55" s="390"/>
      <c r="PH55" s="390"/>
      <c r="PI55" s="390"/>
      <c r="PJ55" s="390"/>
      <c r="PK55" s="390"/>
      <c r="PL55" s="390"/>
      <c r="PM55" s="390"/>
      <c r="PN55" s="390"/>
      <c r="PO55" s="390"/>
      <c r="PP55" s="390"/>
      <c r="PQ55" s="390"/>
      <c r="PR55" s="390"/>
      <c r="PS55" s="390"/>
      <c r="PT55" s="390"/>
      <c r="PU55" s="390"/>
      <c r="PV55" s="390"/>
      <c r="PW55" s="390"/>
      <c r="PX55" s="390"/>
      <c r="PY55" s="390"/>
      <c r="PZ55" s="390"/>
      <c r="QA55" s="390"/>
      <c r="QB55" s="390"/>
      <c r="QC55" s="390"/>
      <c r="QD55" s="390"/>
      <c r="QE55" s="390"/>
      <c r="QF55" s="390"/>
      <c r="QG55" s="390"/>
      <c r="QH55" s="390"/>
      <c r="QI55" s="390"/>
      <c r="QJ55" s="390"/>
      <c r="QK55" s="390"/>
      <c r="QL55" s="390"/>
      <c r="QM55" s="390"/>
      <c r="QN55" s="390"/>
      <c r="QO55" s="390"/>
      <c r="QP55" s="390"/>
      <c r="QQ55" s="390"/>
      <c r="QR55" s="390"/>
      <c r="QS55" s="390"/>
      <c r="QT55" s="390"/>
      <c r="QU55" s="390"/>
      <c r="QV55" s="390"/>
      <c r="QW55" s="390"/>
      <c r="QX55" s="390"/>
      <c r="QY55" s="390"/>
      <c r="QZ55" s="390"/>
      <c r="RA55" s="390"/>
      <c r="RB55" s="390"/>
      <c r="RC55" s="390"/>
      <c r="RD55" s="390"/>
      <c r="RE55" s="390"/>
      <c r="RF55" s="390"/>
      <c r="RG55" s="390"/>
      <c r="RH55" s="390"/>
      <c r="RI55" s="390"/>
      <c r="RJ55" s="390"/>
      <c r="RK55" s="390"/>
      <c r="RL55" s="390"/>
      <c r="RM55" s="390"/>
      <c r="RN55" s="390"/>
      <c r="RO55" s="390"/>
      <c r="RP55" s="390"/>
      <c r="RQ55" s="390"/>
      <c r="RR55" s="390"/>
      <c r="RS55" s="390"/>
      <c r="RT55" s="390"/>
      <c r="RU55" s="390"/>
      <c r="RV55" s="390"/>
      <c r="RW55" s="390"/>
      <c r="RX55" s="390"/>
      <c r="RY55" s="390"/>
      <c r="RZ55" s="390"/>
      <c r="SA55" s="390"/>
      <c r="SB55" s="390"/>
      <c r="SC55" s="390"/>
      <c r="SD55" s="390"/>
      <c r="SE55" s="390"/>
      <c r="SF55" s="390"/>
      <c r="SG55" s="390"/>
      <c r="SH55" s="390"/>
      <c r="SI55" s="390"/>
      <c r="SJ55" s="390"/>
      <c r="SK55" s="390"/>
      <c r="SL55" s="390"/>
      <c r="SM55" s="390"/>
      <c r="SN55" s="390"/>
      <c r="SO55" s="390"/>
      <c r="SP55" s="390"/>
      <c r="SQ55" s="390"/>
      <c r="SR55" s="390"/>
      <c r="SS55" s="390"/>
      <c r="ST55" s="390"/>
      <c r="SU55" s="390"/>
      <c r="SV55" s="390"/>
      <c r="SW55" s="390"/>
      <c r="SX55" s="390"/>
      <c r="SY55" s="390"/>
      <c r="SZ55" s="390"/>
      <c r="TA55" s="390"/>
      <c r="TB55" s="390"/>
      <c r="TC55" s="390"/>
      <c r="TD55" s="390"/>
      <c r="TE55" s="390"/>
      <c r="TF55" s="390"/>
      <c r="TG55" s="390"/>
      <c r="TH55" s="390"/>
      <c r="TI55" s="390"/>
      <c r="TJ55" s="390"/>
      <c r="TK55" s="390"/>
      <c r="TL55" s="390"/>
      <c r="TM55" s="390"/>
      <c r="TN55" s="390"/>
      <c r="TO55" s="390"/>
      <c r="TP55" s="390"/>
      <c r="TQ55" s="390"/>
      <c r="TR55" s="390"/>
      <c r="TS55" s="390"/>
      <c r="TT55" s="390"/>
      <c r="TU55" s="390"/>
      <c r="TV55" s="390"/>
      <c r="TW55" s="390"/>
      <c r="TX55" s="390"/>
      <c r="TY55" s="390"/>
      <c r="TZ55" s="390"/>
      <c r="UA55" s="390"/>
      <c r="UB55" s="390"/>
      <c r="UC55" s="390"/>
      <c r="UD55" s="390"/>
      <c r="UE55" s="390"/>
      <c r="UF55" s="390"/>
      <c r="UG55" s="390"/>
      <c r="UH55" s="390"/>
      <c r="UI55" s="390"/>
      <c r="UJ55" s="390"/>
      <c r="UK55" s="390"/>
      <c r="UL55" s="390"/>
      <c r="UM55" s="390"/>
      <c r="UN55" s="390"/>
      <c r="UO55" s="390"/>
      <c r="UP55" s="390"/>
      <c r="UQ55" s="390"/>
      <c r="UR55" s="390"/>
      <c r="US55" s="390"/>
      <c r="UT55" s="390"/>
      <c r="UU55" s="390"/>
      <c r="UV55" s="390"/>
      <c r="UW55" s="390"/>
      <c r="UX55" s="390"/>
      <c r="UY55" s="390"/>
      <c r="UZ55" s="390"/>
      <c r="VA55" s="390"/>
      <c r="VB55" s="390"/>
      <c r="VC55" s="390"/>
      <c r="VD55" s="390"/>
      <c r="VE55" s="390"/>
      <c r="VF55" s="390"/>
      <c r="VG55" s="390"/>
      <c r="VH55" s="390"/>
      <c r="VI55" s="390"/>
      <c r="VJ55" s="390"/>
      <c r="VK55" s="390"/>
      <c r="VL55" s="390"/>
      <c r="VM55" s="390"/>
      <c r="VN55" s="390"/>
      <c r="VO55" s="390"/>
      <c r="VP55" s="390"/>
      <c r="VQ55" s="390"/>
      <c r="VR55" s="390"/>
      <c r="VS55" s="390"/>
      <c r="VT55" s="390"/>
      <c r="VU55" s="390"/>
      <c r="VV55" s="390"/>
      <c r="VW55" s="390"/>
      <c r="VX55" s="390"/>
      <c r="VY55" s="390"/>
      <c r="VZ55" s="390"/>
      <c r="WA55" s="390"/>
      <c r="WB55" s="390"/>
      <c r="WC55" s="390"/>
      <c r="WD55" s="390"/>
      <c r="WE55" s="390"/>
      <c r="WF55" s="390"/>
      <c r="WG55" s="390"/>
      <c r="WH55" s="390"/>
      <c r="WI55" s="390"/>
      <c r="WJ55" s="390"/>
      <c r="WK55" s="390"/>
      <c r="WL55" s="390"/>
      <c r="WM55" s="390"/>
      <c r="WN55" s="390"/>
      <c r="WO55" s="390"/>
      <c r="WP55" s="390"/>
      <c r="WQ55" s="390"/>
      <c r="WR55" s="390"/>
      <c r="WS55" s="390"/>
      <c r="WT55" s="390"/>
      <c r="WU55" s="390"/>
      <c r="WV55" s="390"/>
      <c r="WW55" s="390"/>
      <c r="WX55" s="390"/>
      <c r="WY55" s="390"/>
      <c r="WZ55" s="390"/>
      <c r="XA55" s="390"/>
      <c r="XB55" s="390"/>
      <c r="XC55" s="390"/>
      <c r="XD55" s="390"/>
      <c r="XE55" s="390"/>
      <c r="XF55" s="390"/>
      <c r="XG55" s="390"/>
      <c r="XH55" s="390"/>
      <c r="XI55" s="390"/>
      <c r="XJ55" s="390"/>
      <c r="XK55" s="390"/>
      <c r="XL55" s="390"/>
      <c r="XM55" s="390"/>
      <c r="XN55" s="390"/>
      <c r="XO55" s="390"/>
      <c r="XP55" s="390"/>
      <c r="XQ55" s="390"/>
      <c r="XR55" s="390"/>
      <c r="XS55" s="390"/>
      <c r="XT55" s="390"/>
      <c r="XU55" s="390"/>
      <c r="XV55" s="390"/>
      <c r="XW55" s="390"/>
      <c r="XX55" s="390"/>
      <c r="XY55" s="390"/>
      <c r="XZ55" s="390"/>
      <c r="YA55" s="390"/>
      <c r="YB55" s="390"/>
      <c r="YC55" s="390"/>
      <c r="YD55" s="390"/>
      <c r="YE55" s="390"/>
      <c r="YF55" s="390"/>
      <c r="YG55" s="390"/>
      <c r="YH55" s="390"/>
      <c r="YI55" s="390"/>
      <c r="YJ55" s="390"/>
      <c r="YK55" s="390"/>
      <c r="YL55" s="390"/>
      <c r="YM55" s="390"/>
      <c r="YN55" s="390"/>
      <c r="YO55" s="390"/>
      <c r="YP55" s="390"/>
      <c r="YQ55" s="390"/>
      <c r="YR55" s="390"/>
      <c r="YS55" s="390"/>
      <c r="YT55" s="390"/>
      <c r="YU55" s="390"/>
      <c r="YV55" s="390"/>
      <c r="YW55" s="390"/>
      <c r="YX55" s="390"/>
      <c r="YY55" s="390"/>
      <c r="YZ55" s="390"/>
      <c r="ZA55" s="390"/>
      <c r="ZB55" s="390"/>
      <c r="ZC55" s="390"/>
      <c r="ZD55" s="390"/>
      <c r="ZE55" s="390"/>
      <c r="ZF55" s="390"/>
      <c r="ZG55" s="390"/>
      <c r="ZH55" s="390"/>
      <c r="ZI55" s="390"/>
      <c r="ZJ55" s="390"/>
      <c r="ZK55" s="390"/>
      <c r="ZL55" s="390"/>
      <c r="ZM55" s="390"/>
      <c r="ZN55" s="390"/>
      <c r="ZO55" s="390"/>
      <c r="ZP55" s="390"/>
      <c r="ZQ55" s="390"/>
      <c r="ZR55" s="390"/>
      <c r="ZS55" s="390"/>
      <c r="ZT55" s="390"/>
      <c r="ZU55" s="390"/>
      <c r="ZV55" s="390"/>
      <c r="ZW55" s="390"/>
      <c r="ZX55" s="390"/>
      <c r="ZY55" s="390"/>
      <c r="ZZ55" s="390"/>
      <c r="AAA55" s="390"/>
      <c r="AAB55" s="390"/>
      <c r="AAC55" s="390"/>
      <c r="AAD55" s="390"/>
      <c r="AAE55" s="390"/>
      <c r="AAF55" s="390"/>
      <c r="AAG55" s="390"/>
      <c r="AAH55" s="390"/>
      <c r="AAI55" s="390"/>
      <c r="AAJ55" s="390"/>
      <c r="AAK55" s="390"/>
      <c r="AAL55" s="390"/>
      <c r="AAM55" s="390"/>
      <c r="AAN55" s="390"/>
      <c r="AAO55" s="390"/>
      <c r="AAP55" s="390"/>
      <c r="AAQ55" s="390"/>
      <c r="AAR55" s="390"/>
      <c r="AAS55" s="390"/>
      <c r="AAT55" s="390"/>
      <c r="AAU55" s="390"/>
      <c r="AAV55" s="390"/>
      <c r="AAW55" s="390"/>
      <c r="AAX55" s="390"/>
      <c r="AAY55" s="390"/>
      <c r="AAZ55" s="390"/>
      <c r="ABA55" s="390"/>
      <c r="ABB55" s="390"/>
      <c r="ABC55" s="390"/>
      <c r="ABD55" s="390"/>
      <c r="ABE55" s="390"/>
      <c r="ABF55" s="390"/>
      <c r="ABG55" s="390"/>
      <c r="ABH55" s="390"/>
      <c r="ABI55" s="390"/>
      <c r="ABJ55" s="390"/>
      <c r="ABK55" s="390"/>
      <c r="ABL55" s="390"/>
      <c r="ABM55" s="390"/>
      <c r="ABN55" s="390"/>
      <c r="ABO55" s="390"/>
      <c r="ABP55" s="390"/>
      <c r="ABQ55" s="390"/>
      <c r="ABR55" s="390"/>
      <c r="ABS55" s="390"/>
      <c r="ABT55" s="390"/>
      <c r="ABU55" s="390"/>
      <c r="ABV55" s="390"/>
      <c r="ABW55" s="390"/>
      <c r="ABX55" s="390"/>
      <c r="ABY55" s="390"/>
      <c r="ABZ55" s="390"/>
      <c r="ACA55" s="390"/>
      <c r="ACB55" s="390"/>
      <c r="ACC55" s="390"/>
      <c r="ACD55" s="390"/>
      <c r="ACE55" s="390"/>
      <c r="ACF55" s="390"/>
      <c r="ACG55" s="390"/>
      <c r="ACH55" s="390"/>
      <c r="ACI55" s="390"/>
    </row>
    <row r="56" spans="1:763" ht="13.95" customHeight="1" x14ac:dyDescent="0.3">
      <c r="A56" s="393" t="str">
        <f ca="1">Проект!$A$353</f>
        <v>Административный персонал</v>
      </c>
      <c r="B56" s="390"/>
      <c r="C56" s="390"/>
      <c r="D56" s="390"/>
      <c r="E56" s="390"/>
      <c r="F56" s="390"/>
      <c r="G56" s="390"/>
      <c r="H56" s="396"/>
      <c r="I56" s="390"/>
      <c r="J56" s="390"/>
      <c r="K56" s="390"/>
      <c r="L56" s="390"/>
      <c r="M56" s="390"/>
      <c r="N56" s="390"/>
      <c r="O56" s="390"/>
      <c r="P56" s="390"/>
      <c r="Q56" s="390"/>
      <c r="R56" s="390"/>
      <c r="S56" s="390"/>
      <c r="T56" s="390"/>
      <c r="U56" s="390"/>
      <c r="V56" s="390"/>
      <c r="W56" s="390"/>
      <c r="X56" s="390"/>
      <c r="Y56" s="390"/>
      <c r="Z56" s="390"/>
      <c r="AA56" s="390"/>
      <c r="AB56" s="390"/>
      <c r="AC56" s="390"/>
      <c r="AD56" s="390"/>
      <c r="AE56" s="390"/>
      <c r="AF56" s="390"/>
      <c r="AG56" s="390"/>
      <c r="AH56" s="390"/>
      <c r="AI56" s="390"/>
      <c r="AJ56" s="390"/>
      <c r="AK56" s="390"/>
      <c r="AL56" s="390"/>
      <c r="AM56" s="390"/>
      <c r="AN56" s="390"/>
      <c r="AO56" s="390"/>
      <c r="AP56" s="390"/>
      <c r="AQ56" s="390"/>
      <c r="AR56" s="390"/>
      <c r="AS56" s="390"/>
      <c r="AT56" s="390"/>
      <c r="AU56" s="390"/>
      <c r="AV56" s="390"/>
      <c r="AW56" s="390"/>
      <c r="AX56" s="390"/>
      <c r="AY56" s="390"/>
      <c r="AZ56" s="390"/>
      <c r="BA56" s="390"/>
      <c r="BB56" s="390"/>
      <c r="BC56" s="390"/>
      <c r="BD56" s="390"/>
      <c r="BE56" s="390"/>
      <c r="BF56" s="390"/>
      <c r="BG56" s="390"/>
      <c r="BH56" s="390"/>
      <c r="BI56" s="390"/>
      <c r="BJ56" s="390"/>
      <c r="BK56" s="390"/>
      <c r="BL56" s="390"/>
      <c r="BM56" s="390"/>
      <c r="BN56" s="390"/>
      <c r="BO56" s="390"/>
      <c r="BP56" s="390"/>
      <c r="BQ56" s="390"/>
      <c r="BR56" s="390"/>
      <c r="BS56" s="390"/>
      <c r="BT56" s="390"/>
      <c r="BU56" s="390"/>
      <c r="BV56" s="390"/>
      <c r="BW56" s="390"/>
      <c r="BX56" s="390"/>
      <c r="BY56" s="390"/>
      <c r="BZ56" s="390"/>
      <c r="CA56" s="390"/>
      <c r="CB56" s="390"/>
      <c r="CC56" s="390"/>
      <c r="CD56" s="390"/>
      <c r="CE56" s="390"/>
      <c r="CF56" s="390"/>
      <c r="CG56" s="390"/>
      <c r="CH56" s="390"/>
      <c r="CI56" s="390"/>
      <c r="CJ56" s="390"/>
      <c r="CK56" s="390"/>
      <c r="CL56" s="390"/>
      <c r="CM56" s="390"/>
      <c r="CN56" s="390"/>
      <c r="CO56" s="390"/>
      <c r="CP56" s="390"/>
      <c r="CQ56" s="390"/>
      <c r="CR56" s="390"/>
      <c r="CS56" s="390"/>
      <c r="CT56" s="390"/>
      <c r="CU56" s="390"/>
      <c r="CV56" s="390"/>
      <c r="CW56" s="390"/>
      <c r="CX56" s="390"/>
      <c r="CY56" s="390"/>
      <c r="CZ56" s="390"/>
      <c r="DA56" s="390"/>
      <c r="DB56" s="390"/>
      <c r="DC56" s="390"/>
      <c r="DD56" s="390"/>
      <c r="DE56" s="390"/>
      <c r="DF56" s="390"/>
      <c r="DG56" s="390"/>
      <c r="DH56" s="390"/>
      <c r="DI56" s="390"/>
      <c r="DJ56" s="390"/>
      <c r="DK56" s="390"/>
      <c r="DL56" s="390"/>
      <c r="DM56" s="390"/>
      <c r="DN56" s="390"/>
      <c r="DO56" s="390"/>
      <c r="DP56" s="390"/>
      <c r="DQ56" s="390"/>
      <c r="DR56" s="390"/>
      <c r="DS56" s="390"/>
      <c r="DT56" s="390"/>
      <c r="DU56" s="390"/>
      <c r="DV56" s="390"/>
      <c r="DW56" s="390"/>
      <c r="DX56" s="390"/>
      <c r="DY56" s="390"/>
      <c r="DZ56" s="390"/>
      <c r="EA56" s="390"/>
      <c r="EB56" s="390"/>
      <c r="EC56" s="390"/>
      <c r="ED56" s="390"/>
      <c r="EE56" s="390"/>
      <c r="EF56" s="390"/>
      <c r="EG56" s="390"/>
      <c r="EH56" s="390"/>
      <c r="EI56" s="390"/>
      <c r="EJ56" s="390"/>
      <c r="EK56" s="390"/>
      <c r="EL56" s="390"/>
      <c r="EM56" s="390"/>
      <c r="EN56" s="390"/>
      <c r="EO56" s="390"/>
      <c r="EP56" s="390"/>
      <c r="EQ56" s="390"/>
      <c r="ER56" s="390"/>
      <c r="ES56" s="390"/>
      <c r="ET56" s="390"/>
      <c r="EU56" s="390"/>
      <c r="EV56" s="390"/>
      <c r="EW56" s="390"/>
      <c r="EX56" s="390"/>
      <c r="EY56" s="390"/>
      <c r="EZ56" s="390"/>
      <c r="FA56" s="390"/>
      <c r="FB56" s="390"/>
      <c r="FC56" s="390"/>
      <c r="FD56" s="390"/>
      <c r="FE56" s="390"/>
      <c r="FF56" s="390"/>
      <c r="FG56" s="390"/>
      <c r="FH56" s="390"/>
      <c r="FI56" s="390"/>
      <c r="FJ56" s="390"/>
      <c r="FK56" s="390"/>
      <c r="FL56" s="390"/>
      <c r="FM56" s="390"/>
      <c r="FN56" s="390"/>
      <c r="FO56" s="390"/>
      <c r="FP56" s="390"/>
      <c r="FQ56" s="390"/>
      <c r="FR56" s="390"/>
      <c r="FS56" s="390"/>
      <c r="FT56" s="390"/>
      <c r="FU56" s="390"/>
      <c r="FV56" s="390"/>
      <c r="FW56" s="390"/>
      <c r="FX56" s="390"/>
      <c r="FY56" s="390"/>
      <c r="FZ56" s="390"/>
      <c r="GA56" s="390"/>
      <c r="GB56" s="390"/>
      <c r="GC56" s="390"/>
      <c r="GD56" s="390"/>
      <c r="GE56" s="390"/>
      <c r="GF56" s="390"/>
      <c r="GG56" s="390"/>
      <c r="GH56" s="390"/>
      <c r="GI56" s="390"/>
      <c r="GJ56" s="390"/>
      <c r="GK56" s="390"/>
      <c r="GL56" s="390"/>
      <c r="GM56" s="390"/>
      <c r="GN56" s="390"/>
      <c r="GO56" s="390"/>
      <c r="GP56" s="390"/>
      <c r="GQ56" s="390"/>
      <c r="GR56" s="390"/>
      <c r="GS56" s="390"/>
      <c r="GT56" s="390"/>
      <c r="GU56" s="390"/>
      <c r="GV56" s="390"/>
      <c r="GW56" s="390"/>
      <c r="GX56" s="390"/>
      <c r="GY56" s="390"/>
      <c r="GZ56" s="390"/>
      <c r="HA56" s="390"/>
      <c r="HB56" s="390"/>
      <c r="HC56" s="390"/>
      <c r="HD56" s="390"/>
      <c r="HE56" s="390"/>
      <c r="HF56" s="390"/>
      <c r="HG56" s="390"/>
      <c r="HH56" s="390"/>
      <c r="HI56" s="390"/>
      <c r="HJ56" s="390"/>
      <c r="HK56" s="390"/>
      <c r="HL56" s="390"/>
      <c r="HM56" s="390"/>
      <c r="HN56" s="390"/>
      <c r="HO56" s="390"/>
      <c r="HP56" s="390"/>
      <c r="HQ56" s="390"/>
      <c r="HR56" s="390"/>
      <c r="HS56" s="390"/>
      <c r="HT56" s="390"/>
      <c r="HU56" s="390"/>
      <c r="HV56" s="390"/>
      <c r="HW56" s="390"/>
      <c r="HX56" s="390"/>
      <c r="HY56" s="390"/>
      <c r="HZ56" s="390"/>
      <c r="IA56" s="390"/>
      <c r="IB56" s="390"/>
      <c r="IC56" s="390"/>
      <c r="ID56" s="390"/>
      <c r="IE56" s="390"/>
      <c r="IF56" s="390"/>
      <c r="IG56" s="390"/>
      <c r="IH56" s="390"/>
      <c r="II56" s="390"/>
      <c r="IJ56" s="390"/>
      <c r="IK56" s="390"/>
      <c r="IL56" s="390"/>
      <c r="IM56" s="390"/>
      <c r="IN56" s="390"/>
      <c r="IO56" s="390"/>
      <c r="IP56" s="390"/>
      <c r="IQ56" s="390"/>
      <c r="IR56" s="390"/>
      <c r="IS56" s="390"/>
      <c r="IT56" s="390"/>
      <c r="IU56" s="390"/>
      <c r="IV56" s="390"/>
      <c r="IW56" s="390"/>
      <c r="IX56" s="390"/>
      <c r="IY56" s="390"/>
      <c r="IZ56" s="390"/>
      <c r="JA56" s="390"/>
      <c r="JB56" s="390"/>
      <c r="JC56" s="390"/>
      <c r="JD56" s="390"/>
      <c r="JE56" s="390"/>
      <c r="JF56" s="390"/>
      <c r="JG56" s="390"/>
      <c r="JH56" s="390"/>
      <c r="JI56" s="390"/>
      <c r="JJ56" s="390"/>
      <c r="JK56" s="390"/>
      <c r="JL56" s="390"/>
      <c r="JM56" s="390"/>
      <c r="JN56" s="390"/>
      <c r="JO56" s="390"/>
      <c r="JP56" s="390"/>
      <c r="JQ56" s="390"/>
      <c r="JR56" s="390"/>
      <c r="JS56" s="390"/>
      <c r="JT56" s="390"/>
      <c r="JU56" s="390"/>
      <c r="JV56" s="390"/>
      <c r="JW56" s="390"/>
      <c r="JX56" s="390"/>
      <c r="JY56" s="390"/>
      <c r="JZ56" s="390"/>
      <c r="KA56" s="390"/>
      <c r="KB56" s="390"/>
      <c r="KC56" s="390"/>
      <c r="KD56" s="390"/>
      <c r="KE56" s="390"/>
      <c r="KF56" s="390"/>
      <c r="KG56" s="390"/>
      <c r="KH56" s="390"/>
      <c r="KI56" s="390"/>
      <c r="KJ56" s="390"/>
      <c r="KK56" s="390"/>
      <c r="KL56" s="390"/>
      <c r="KM56" s="390"/>
      <c r="KN56" s="390"/>
      <c r="KO56" s="390"/>
      <c r="KP56" s="390"/>
      <c r="KQ56" s="390"/>
      <c r="KR56" s="390"/>
      <c r="KS56" s="390"/>
      <c r="KT56" s="390"/>
      <c r="KU56" s="390"/>
      <c r="KV56" s="390"/>
      <c r="KW56" s="390"/>
      <c r="KX56" s="390"/>
      <c r="KY56" s="390"/>
      <c r="KZ56" s="390"/>
      <c r="LA56" s="390"/>
      <c r="LB56" s="390"/>
      <c r="LC56" s="390"/>
      <c r="LD56" s="390"/>
      <c r="LE56" s="390"/>
      <c r="LF56" s="390"/>
      <c r="LG56" s="390"/>
      <c r="LH56" s="390"/>
      <c r="LI56" s="390"/>
      <c r="LJ56" s="390"/>
      <c r="LK56" s="390"/>
      <c r="LL56" s="390"/>
      <c r="LM56" s="390"/>
      <c r="LN56" s="390"/>
      <c r="LO56" s="390"/>
      <c r="LP56" s="390"/>
      <c r="LQ56" s="390"/>
      <c r="LR56" s="390"/>
      <c r="LS56" s="390"/>
      <c r="LT56" s="390"/>
      <c r="LU56" s="390"/>
      <c r="LV56" s="390"/>
      <c r="LW56" s="390"/>
      <c r="LX56" s="390"/>
      <c r="LY56" s="390"/>
      <c r="LZ56" s="390"/>
      <c r="MA56" s="390"/>
      <c r="MB56" s="390"/>
      <c r="MC56" s="390"/>
      <c r="MD56" s="390"/>
      <c r="ME56" s="390"/>
      <c r="MF56" s="390"/>
      <c r="MG56" s="390"/>
      <c r="MH56" s="390"/>
      <c r="MI56" s="390"/>
      <c r="MJ56" s="390"/>
      <c r="MK56" s="390"/>
      <c r="ML56" s="390"/>
      <c r="MM56" s="390"/>
      <c r="MN56" s="390"/>
      <c r="MO56" s="390"/>
      <c r="MP56" s="390"/>
      <c r="MQ56" s="390"/>
      <c r="MR56" s="390"/>
      <c r="MS56" s="390"/>
      <c r="MT56" s="390"/>
      <c r="MU56" s="390"/>
      <c r="MV56" s="390"/>
      <c r="MW56" s="390"/>
      <c r="MX56" s="390"/>
      <c r="MY56" s="390"/>
      <c r="MZ56" s="390"/>
      <c r="NA56" s="390"/>
      <c r="NB56" s="390"/>
      <c r="NC56" s="390"/>
      <c r="ND56" s="390"/>
      <c r="NE56" s="390"/>
      <c r="NF56" s="390"/>
      <c r="NG56" s="390"/>
      <c r="NH56" s="390"/>
      <c r="NI56" s="390"/>
      <c r="NJ56" s="390"/>
      <c r="NK56" s="390"/>
      <c r="NL56" s="390"/>
      <c r="NM56" s="390"/>
      <c r="NN56" s="390"/>
      <c r="NO56" s="390"/>
      <c r="NP56" s="390"/>
      <c r="NQ56" s="390"/>
      <c r="NR56" s="390"/>
      <c r="NS56" s="390"/>
      <c r="NT56" s="390"/>
      <c r="NU56" s="390"/>
      <c r="NV56" s="390"/>
      <c r="NW56" s="390"/>
      <c r="NX56" s="390"/>
      <c r="NY56" s="390"/>
      <c r="NZ56" s="390"/>
      <c r="OA56" s="390"/>
      <c r="OB56" s="390"/>
      <c r="OC56" s="390"/>
      <c r="OD56" s="390"/>
      <c r="OE56" s="390"/>
      <c r="OF56" s="390"/>
      <c r="OG56" s="390"/>
      <c r="OH56" s="390"/>
      <c r="OI56" s="390"/>
      <c r="OJ56" s="390"/>
      <c r="OK56" s="390"/>
      <c r="OL56" s="390"/>
      <c r="OM56" s="390"/>
      <c r="ON56" s="390"/>
      <c r="OO56" s="390"/>
      <c r="OP56" s="390"/>
      <c r="OQ56" s="390"/>
      <c r="OR56" s="390"/>
      <c r="OS56" s="390"/>
      <c r="OT56" s="390"/>
      <c r="OU56" s="390"/>
      <c r="OV56" s="390"/>
      <c r="OW56" s="390"/>
      <c r="OX56" s="390"/>
      <c r="OY56" s="390"/>
      <c r="OZ56" s="390"/>
      <c r="PA56" s="390"/>
      <c r="PB56" s="390"/>
      <c r="PC56" s="390"/>
      <c r="PD56" s="390"/>
      <c r="PE56" s="390"/>
      <c r="PF56" s="390"/>
      <c r="PG56" s="390"/>
      <c r="PH56" s="390"/>
      <c r="PI56" s="390"/>
      <c r="PJ56" s="390"/>
      <c r="PK56" s="390"/>
      <c r="PL56" s="390"/>
      <c r="PM56" s="390"/>
      <c r="PN56" s="390"/>
      <c r="PO56" s="390"/>
      <c r="PP56" s="390"/>
      <c r="PQ56" s="390"/>
      <c r="PR56" s="390"/>
      <c r="PS56" s="390"/>
      <c r="PT56" s="390"/>
      <c r="PU56" s="390"/>
      <c r="PV56" s="390"/>
      <c r="PW56" s="390"/>
      <c r="PX56" s="390"/>
      <c r="PY56" s="390"/>
      <c r="PZ56" s="390"/>
      <c r="QA56" s="390"/>
      <c r="QB56" s="390"/>
      <c r="QC56" s="390"/>
      <c r="QD56" s="390"/>
      <c r="QE56" s="390"/>
      <c r="QF56" s="390"/>
      <c r="QG56" s="390"/>
      <c r="QH56" s="390"/>
      <c r="QI56" s="390"/>
      <c r="QJ56" s="390"/>
      <c r="QK56" s="390"/>
      <c r="QL56" s="390"/>
      <c r="QM56" s="390"/>
      <c r="QN56" s="390"/>
      <c r="QO56" s="390"/>
      <c r="QP56" s="390"/>
      <c r="QQ56" s="390"/>
      <c r="QR56" s="390"/>
      <c r="QS56" s="390"/>
      <c r="QT56" s="390"/>
      <c r="QU56" s="390"/>
      <c r="QV56" s="390"/>
      <c r="QW56" s="390"/>
      <c r="QX56" s="390"/>
      <c r="QY56" s="390"/>
      <c r="QZ56" s="390"/>
      <c r="RA56" s="390"/>
      <c r="RB56" s="390"/>
      <c r="RC56" s="390"/>
      <c r="RD56" s="390"/>
      <c r="RE56" s="390"/>
      <c r="RF56" s="390"/>
      <c r="RG56" s="390"/>
      <c r="RH56" s="390"/>
      <c r="RI56" s="390"/>
      <c r="RJ56" s="390"/>
      <c r="RK56" s="390"/>
      <c r="RL56" s="390"/>
      <c r="RM56" s="390"/>
      <c r="RN56" s="390"/>
      <c r="RO56" s="390"/>
      <c r="RP56" s="390"/>
      <c r="RQ56" s="390"/>
      <c r="RR56" s="390"/>
      <c r="RS56" s="390"/>
      <c r="RT56" s="390"/>
      <c r="RU56" s="390"/>
      <c r="RV56" s="390"/>
      <c r="RW56" s="390"/>
      <c r="RX56" s="390"/>
      <c r="RY56" s="390"/>
      <c r="RZ56" s="390"/>
      <c r="SA56" s="390"/>
      <c r="SB56" s="390"/>
      <c r="SC56" s="390"/>
      <c r="SD56" s="390"/>
      <c r="SE56" s="390"/>
      <c r="SF56" s="390"/>
      <c r="SG56" s="390"/>
      <c r="SH56" s="390"/>
      <c r="SI56" s="390"/>
      <c r="SJ56" s="390"/>
      <c r="SK56" s="390"/>
      <c r="SL56" s="390"/>
      <c r="SM56" s="390"/>
      <c r="SN56" s="390"/>
      <c r="SO56" s="390"/>
      <c r="SP56" s="390"/>
      <c r="SQ56" s="390"/>
      <c r="SR56" s="390"/>
      <c r="SS56" s="390"/>
      <c r="ST56" s="390"/>
      <c r="SU56" s="390"/>
      <c r="SV56" s="390"/>
      <c r="SW56" s="390"/>
      <c r="SX56" s="390"/>
      <c r="SY56" s="390"/>
      <c r="SZ56" s="390"/>
      <c r="TA56" s="390"/>
      <c r="TB56" s="390"/>
      <c r="TC56" s="390"/>
      <c r="TD56" s="390"/>
      <c r="TE56" s="390"/>
      <c r="TF56" s="390"/>
      <c r="TG56" s="390"/>
      <c r="TH56" s="390"/>
      <c r="TI56" s="390"/>
      <c r="TJ56" s="390"/>
      <c r="TK56" s="390"/>
      <c r="TL56" s="390"/>
      <c r="TM56" s="390"/>
      <c r="TN56" s="390"/>
      <c r="TO56" s="390"/>
      <c r="TP56" s="390"/>
      <c r="TQ56" s="390"/>
      <c r="TR56" s="390"/>
      <c r="TS56" s="390"/>
      <c r="TT56" s="390"/>
      <c r="TU56" s="390"/>
      <c r="TV56" s="390"/>
      <c r="TW56" s="390"/>
      <c r="TX56" s="390"/>
      <c r="TY56" s="390"/>
      <c r="TZ56" s="390"/>
      <c r="UA56" s="390"/>
      <c r="UB56" s="390"/>
      <c r="UC56" s="390"/>
      <c r="UD56" s="390"/>
      <c r="UE56" s="390"/>
      <c r="UF56" s="390"/>
      <c r="UG56" s="390"/>
      <c r="UH56" s="390"/>
      <c r="UI56" s="390"/>
      <c r="UJ56" s="390"/>
      <c r="UK56" s="390"/>
      <c r="UL56" s="390"/>
      <c r="UM56" s="390"/>
      <c r="UN56" s="390"/>
      <c r="UO56" s="390"/>
      <c r="UP56" s="390"/>
      <c r="UQ56" s="390"/>
      <c r="UR56" s="390"/>
      <c r="US56" s="390"/>
      <c r="UT56" s="390"/>
      <c r="UU56" s="390"/>
      <c r="UV56" s="390"/>
      <c r="UW56" s="390"/>
      <c r="UX56" s="390"/>
      <c r="UY56" s="390"/>
      <c r="UZ56" s="390"/>
      <c r="VA56" s="390"/>
      <c r="VB56" s="390"/>
      <c r="VC56" s="390"/>
      <c r="VD56" s="390"/>
      <c r="VE56" s="390"/>
      <c r="VF56" s="390"/>
      <c r="VG56" s="390"/>
      <c r="VH56" s="390"/>
      <c r="VI56" s="390"/>
      <c r="VJ56" s="390"/>
      <c r="VK56" s="390"/>
      <c r="VL56" s="390"/>
      <c r="VM56" s="390"/>
      <c r="VN56" s="390"/>
      <c r="VO56" s="390"/>
      <c r="VP56" s="390"/>
      <c r="VQ56" s="390"/>
      <c r="VR56" s="390"/>
      <c r="VS56" s="390"/>
      <c r="VT56" s="390"/>
      <c r="VU56" s="390"/>
      <c r="VV56" s="390"/>
      <c r="VW56" s="390"/>
      <c r="VX56" s="390"/>
      <c r="VY56" s="390"/>
      <c r="VZ56" s="390"/>
      <c r="WA56" s="390"/>
      <c r="WB56" s="390"/>
      <c r="WC56" s="390"/>
      <c r="WD56" s="390"/>
      <c r="WE56" s="390"/>
      <c r="WF56" s="390"/>
      <c r="WG56" s="390"/>
      <c r="WH56" s="390"/>
      <c r="WI56" s="390"/>
      <c r="WJ56" s="390"/>
      <c r="WK56" s="390"/>
      <c r="WL56" s="390"/>
      <c r="WM56" s="390"/>
      <c r="WN56" s="390"/>
      <c r="WO56" s="390"/>
      <c r="WP56" s="390"/>
      <c r="WQ56" s="390"/>
      <c r="WR56" s="390"/>
      <c r="WS56" s="390"/>
      <c r="WT56" s="390"/>
      <c r="WU56" s="390"/>
      <c r="WV56" s="390"/>
      <c r="WW56" s="390"/>
      <c r="WX56" s="390"/>
      <c r="WY56" s="390"/>
      <c r="WZ56" s="390"/>
      <c r="XA56" s="390"/>
      <c r="XB56" s="390"/>
      <c r="XC56" s="390"/>
      <c r="XD56" s="390"/>
      <c r="XE56" s="390"/>
      <c r="XF56" s="390"/>
      <c r="XG56" s="390"/>
      <c r="XH56" s="390"/>
      <c r="XI56" s="390"/>
      <c r="XJ56" s="390"/>
      <c r="XK56" s="390"/>
      <c r="XL56" s="390"/>
      <c r="XM56" s="390"/>
      <c r="XN56" s="390"/>
      <c r="XO56" s="390"/>
      <c r="XP56" s="390"/>
      <c r="XQ56" s="390"/>
      <c r="XR56" s="390"/>
      <c r="XS56" s="390"/>
      <c r="XT56" s="390"/>
      <c r="XU56" s="390"/>
      <c r="XV56" s="390"/>
      <c r="XW56" s="390"/>
      <c r="XX56" s="390"/>
      <c r="XY56" s="390"/>
      <c r="XZ56" s="390"/>
      <c r="YA56" s="390"/>
      <c r="YB56" s="390"/>
      <c r="YC56" s="390"/>
      <c r="YD56" s="390"/>
      <c r="YE56" s="390"/>
      <c r="YF56" s="390"/>
      <c r="YG56" s="390"/>
      <c r="YH56" s="390"/>
      <c r="YI56" s="390"/>
      <c r="YJ56" s="390"/>
      <c r="YK56" s="390"/>
      <c r="YL56" s="390"/>
      <c r="YM56" s="390"/>
      <c r="YN56" s="390"/>
      <c r="YO56" s="390"/>
      <c r="YP56" s="390"/>
      <c r="YQ56" s="390"/>
      <c r="YR56" s="390"/>
      <c r="YS56" s="390"/>
      <c r="YT56" s="390"/>
      <c r="YU56" s="390"/>
      <c r="YV56" s="390"/>
      <c r="YW56" s="390"/>
      <c r="YX56" s="390"/>
      <c r="YY56" s="390"/>
      <c r="YZ56" s="390"/>
      <c r="ZA56" s="390"/>
      <c r="ZB56" s="390"/>
      <c r="ZC56" s="390"/>
      <c r="ZD56" s="390"/>
      <c r="ZE56" s="390"/>
      <c r="ZF56" s="390"/>
      <c r="ZG56" s="390"/>
      <c r="ZH56" s="390"/>
      <c r="ZI56" s="390"/>
      <c r="ZJ56" s="390"/>
      <c r="ZK56" s="390"/>
      <c r="ZL56" s="390"/>
      <c r="ZM56" s="390"/>
      <c r="ZN56" s="390"/>
      <c r="ZO56" s="390"/>
      <c r="ZP56" s="390"/>
      <c r="ZQ56" s="390"/>
      <c r="ZR56" s="390"/>
      <c r="ZS56" s="390"/>
      <c r="ZT56" s="390"/>
      <c r="ZU56" s="390"/>
      <c r="ZV56" s="390"/>
      <c r="ZW56" s="390"/>
      <c r="ZX56" s="390"/>
      <c r="ZY56" s="390"/>
      <c r="ZZ56" s="390"/>
      <c r="AAA56" s="390"/>
      <c r="AAB56" s="390"/>
      <c r="AAC56" s="390"/>
      <c r="AAD56" s="390"/>
      <c r="AAE56" s="390"/>
      <c r="AAF56" s="390"/>
      <c r="AAG56" s="390"/>
      <c r="AAH56" s="390"/>
      <c r="AAI56" s="390"/>
      <c r="AAJ56" s="390"/>
      <c r="AAK56" s="390"/>
      <c r="AAL56" s="390"/>
      <c r="AAM56" s="390"/>
      <c r="AAN56" s="390"/>
      <c r="AAO56" s="390"/>
      <c r="AAP56" s="390"/>
      <c r="AAQ56" s="390"/>
      <c r="AAR56" s="390"/>
      <c r="AAS56" s="390"/>
      <c r="AAT56" s="390"/>
      <c r="AAU56" s="390"/>
      <c r="AAV56" s="390"/>
      <c r="AAW56" s="390"/>
      <c r="AAX56" s="390"/>
      <c r="AAY56" s="390"/>
      <c r="AAZ56" s="390"/>
      <c r="ABA56" s="390"/>
      <c r="ABB56" s="390"/>
      <c r="ABC56" s="390"/>
      <c r="ABD56" s="390"/>
      <c r="ABE56" s="390"/>
      <c r="ABF56" s="390"/>
      <c r="ABG56" s="390"/>
      <c r="ABH56" s="390"/>
      <c r="ABI56" s="390"/>
      <c r="ABJ56" s="390"/>
      <c r="ABK56" s="390"/>
      <c r="ABL56" s="390"/>
      <c r="ABM56" s="390"/>
      <c r="ABN56" s="390"/>
      <c r="ABO56" s="390"/>
      <c r="ABP56" s="390"/>
      <c r="ABQ56" s="390"/>
      <c r="ABR56" s="390"/>
      <c r="ABS56" s="390"/>
      <c r="ABT56" s="390"/>
      <c r="ABU56" s="390"/>
      <c r="ABV56" s="390"/>
      <c r="ABW56" s="390"/>
      <c r="ABX56" s="390"/>
      <c r="ABY56" s="390"/>
      <c r="ABZ56" s="390"/>
      <c r="ACA56" s="390"/>
      <c r="ACB56" s="390"/>
      <c r="ACC56" s="390"/>
      <c r="ACD56" s="390"/>
      <c r="ACE56" s="390"/>
      <c r="ACF56" s="390"/>
      <c r="ACG56" s="390"/>
      <c r="ACH56" s="390"/>
      <c r="ACI56" s="390"/>
    </row>
    <row r="57" spans="1:763" ht="13.95" customHeight="1" x14ac:dyDescent="0.3">
      <c r="A57" s="409"/>
      <c r="B57" s="409"/>
      <c r="C57" s="409"/>
      <c r="D57" s="409"/>
      <c r="E57" s="409"/>
      <c r="F57" s="409"/>
      <c r="G57" s="409"/>
      <c r="H57" s="410"/>
      <c r="I57" s="390"/>
      <c r="J57" s="390"/>
      <c r="K57" s="390"/>
      <c r="L57" s="390"/>
      <c r="M57" s="390"/>
      <c r="N57" s="390"/>
      <c r="O57" s="390"/>
      <c r="P57" s="390"/>
      <c r="Q57" s="390"/>
      <c r="R57" s="390"/>
      <c r="S57" s="390"/>
      <c r="T57" s="390"/>
      <c r="U57" s="390"/>
      <c r="V57" s="390"/>
      <c r="W57" s="390"/>
      <c r="X57" s="390"/>
      <c r="Y57" s="390"/>
      <c r="Z57" s="390"/>
      <c r="AA57" s="390"/>
      <c r="AB57" s="390"/>
      <c r="AC57" s="390"/>
      <c r="AD57" s="390"/>
      <c r="AE57" s="390"/>
      <c r="AF57" s="390"/>
      <c r="AG57" s="390"/>
      <c r="AH57" s="390"/>
      <c r="AI57" s="390"/>
      <c r="AJ57" s="390"/>
      <c r="AK57" s="390"/>
      <c r="AL57" s="390"/>
      <c r="AM57" s="390"/>
      <c r="AN57" s="390"/>
      <c r="AO57" s="390"/>
      <c r="AP57" s="390"/>
      <c r="AQ57" s="390"/>
      <c r="AR57" s="390"/>
      <c r="AS57" s="390"/>
      <c r="AT57" s="390"/>
      <c r="AU57" s="390"/>
      <c r="AV57" s="390"/>
      <c r="AW57" s="390"/>
      <c r="AX57" s="390"/>
      <c r="AY57" s="390"/>
      <c r="AZ57" s="390"/>
      <c r="BA57" s="390"/>
      <c r="BB57" s="390"/>
      <c r="BC57" s="390"/>
      <c r="BD57" s="390"/>
      <c r="BE57" s="390"/>
      <c r="BF57" s="390"/>
      <c r="BG57" s="390"/>
      <c r="BH57" s="390"/>
      <c r="BI57" s="390"/>
      <c r="BJ57" s="390"/>
      <c r="BK57" s="390"/>
      <c r="BL57" s="390"/>
      <c r="BM57" s="390"/>
      <c r="BN57" s="390"/>
      <c r="BO57" s="390"/>
      <c r="BP57" s="390"/>
      <c r="BQ57" s="390"/>
      <c r="BR57" s="390"/>
      <c r="BS57" s="390"/>
      <c r="BT57" s="390"/>
      <c r="BU57" s="390"/>
      <c r="BV57" s="390"/>
      <c r="BW57" s="390"/>
      <c r="BX57" s="390"/>
      <c r="BY57" s="390"/>
      <c r="BZ57" s="390"/>
      <c r="CA57" s="390"/>
      <c r="CB57" s="390"/>
      <c r="CC57" s="390"/>
      <c r="CD57" s="390"/>
      <c r="CE57" s="390"/>
      <c r="CF57" s="390"/>
      <c r="CG57" s="390"/>
      <c r="CH57" s="390"/>
      <c r="CI57" s="390"/>
      <c r="CJ57" s="390"/>
      <c r="CK57" s="390"/>
      <c r="CL57" s="390"/>
      <c r="CM57" s="390"/>
      <c r="CN57" s="390"/>
      <c r="CO57" s="390"/>
      <c r="CP57" s="390"/>
      <c r="CQ57" s="390"/>
      <c r="CR57" s="390"/>
      <c r="CS57" s="390"/>
      <c r="CT57" s="390"/>
      <c r="CU57" s="390"/>
      <c r="CV57" s="390"/>
      <c r="CW57" s="390"/>
      <c r="CX57" s="390"/>
      <c r="CY57" s="390"/>
      <c r="CZ57" s="390"/>
      <c r="DA57" s="390"/>
      <c r="DB57" s="390"/>
      <c r="DC57" s="390"/>
      <c r="DD57" s="390"/>
      <c r="DE57" s="390"/>
      <c r="DF57" s="390"/>
      <c r="DG57" s="390"/>
      <c r="DH57" s="390"/>
      <c r="DI57" s="390"/>
      <c r="DJ57" s="390"/>
      <c r="DK57" s="390"/>
      <c r="DL57" s="390"/>
      <c r="DM57" s="390"/>
      <c r="DN57" s="390"/>
      <c r="DO57" s="390"/>
      <c r="DP57" s="390"/>
      <c r="DQ57" s="390"/>
      <c r="DR57" s="390"/>
      <c r="DS57" s="390"/>
      <c r="DT57" s="390"/>
      <c r="DU57" s="390"/>
      <c r="DV57" s="390"/>
      <c r="DW57" s="390"/>
      <c r="DX57" s="390"/>
      <c r="DY57" s="390"/>
      <c r="DZ57" s="390"/>
      <c r="EA57" s="390"/>
      <c r="EB57" s="390"/>
      <c r="EC57" s="390"/>
      <c r="ED57" s="390"/>
      <c r="EE57" s="390"/>
      <c r="EF57" s="390"/>
      <c r="EG57" s="390"/>
      <c r="EH57" s="390"/>
      <c r="EI57" s="390"/>
      <c r="EJ57" s="390"/>
      <c r="EK57" s="390"/>
      <c r="EL57" s="390"/>
      <c r="EM57" s="390"/>
      <c r="EN57" s="390"/>
      <c r="EO57" s="390"/>
      <c r="EP57" s="390"/>
      <c r="EQ57" s="390"/>
      <c r="ER57" s="390"/>
      <c r="ES57" s="390"/>
      <c r="ET57" s="390"/>
      <c r="EU57" s="390"/>
      <c r="EV57" s="390"/>
      <c r="EW57" s="390"/>
      <c r="EX57" s="390"/>
      <c r="EY57" s="390"/>
      <c r="EZ57" s="390"/>
      <c r="FA57" s="390"/>
      <c r="FB57" s="390"/>
      <c r="FC57" s="390"/>
      <c r="FD57" s="390"/>
      <c r="FE57" s="390"/>
      <c r="FF57" s="390"/>
      <c r="FG57" s="390"/>
      <c r="FH57" s="390"/>
      <c r="FI57" s="390"/>
      <c r="FJ57" s="390"/>
      <c r="FK57" s="390"/>
      <c r="FL57" s="390"/>
      <c r="FM57" s="390"/>
      <c r="FN57" s="390"/>
      <c r="FO57" s="390"/>
      <c r="FP57" s="390"/>
      <c r="FQ57" s="390"/>
      <c r="FR57" s="390"/>
      <c r="FS57" s="390"/>
      <c r="FT57" s="390"/>
      <c r="FU57" s="390"/>
      <c r="FV57" s="390"/>
      <c r="FW57" s="390"/>
      <c r="FX57" s="390"/>
      <c r="FY57" s="390"/>
      <c r="FZ57" s="390"/>
      <c r="GA57" s="390"/>
      <c r="GB57" s="390"/>
      <c r="GC57" s="390"/>
      <c r="GD57" s="390"/>
      <c r="GE57" s="390"/>
      <c r="GF57" s="390"/>
      <c r="GG57" s="390"/>
      <c r="GH57" s="390"/>
      <c r="GI57" s="390"/>
      <c r="GJ57" s="390"/>
      <c r="GK57" s="390"/>
      <c r="GL57" s="390"/>
      <c r="GM57" s="390"/>
      <c r="GN57" s="390"/>
      <c r="GO57" s="390"/>
      <c r="GP57" s="390"/>
      <c r="GQ57" s="390"/>
      <c r="GR57" s="390"/>
      <c r="GS57" s="390"/>
      <c r="GT57" s="390"/>
      <c r="GU57" s="390"/>
      <c r="GV57" s="390"/>
      <c r="GW57" s="390"/>
      <c r="GX57" s="390"/>
      <c r="GY57" s="390"/>
      <c r="GZ57" s="390"/>
      <c r="HA57" s="390"/>
      <c r="HB57" s="390"/>
      <c r="HC57" s="390"/>
      <c r="HD57" s="390"/>
      <c r="HE57" s="390"/>
      <c r="HF57" s="390"/>
      <c r="HG57" s="390"/>
      <c r="HH57" s="390"/>
      <c r="HI57" s="390"/>
      <c r="HJ57" s="390"/>
      <c r="HK57" s="390"/>
      <c r="HL57" s="390"/>
      <c r="HM57" s="390"/>
      <c r="HN57" s="390"/>
      <c r="HO57" s="390"/>
      <c r="HP57" s="390"/>
      <c r="HQ57" s="390"/>
      <c r="HR57" s="390"/>
      <c r="HS57" s="390"/>
      <c r="HT57" s="390"/>
      <c r="HU57" s="390"/>
      <c r="HV57" s="390"/>
      <c r="HW57" s="390"/>
      <c r="HX57" s="390"/>
      <c r="HY57" s="390"/>
      <c r="HZ57" s="390"/>
      <c r="IA57" s="390"/>
      <c r="IB57" s="390"/>
      <c r="IC57" s="390"/>
      <c r="ID57" s="390"/>
      <c r="IE57" s="390"/>
      <c r="IF57" s="390"/>
      <c r="IG57" s="390"/>
      <c r="IH57" s="390"/>
      <c r="II57" s="390"/>
      <c r="IJ57" s="390"/>
      <c r="IK57" s="390"/>
      <c r="IL57" s="390"/>
      <c r="IM57" s="390"/>
      <c r="IN57" s="390"/>
      <c r="IO57" s="390"/>
      <c r="IP57" s="390"/>
      <c r="IQ57" s="390"/>
      <c r="IR57" s="390"/>
      <c r="IS57" s="390"/>
      <c r="IT57" s="390"/>
      <c r="IU57" s="390"/>
      <c r="IV57" s="390"/>
      <c r="IW57" s="390"/>
      <c r="IX57" s="390"/>
      <c r="IY57" s="390"/>
      <c r="IZ57" s="390"/>
      <c r="JA57" s="390"/>
      <c r="JB57" s="390"/>
      <c r="JC57" s="390"/>
      <c r="JD57" s="390"/>
      <c r="JE57" s="390"/>
      <c r="JF57" s="390"/>
      <c r="JG57" s="390"/>
      <c r="JH57" s="390"/>
      <c r="JI57" s="390"/>
      <c r="JJ57" s="390"/>
      <c r="JK57" s="390"/>
      <c r="JL57" s="390"/>
      <c r="JM57" s="390"/>
      <c r="JN57" s="390"/>
      <c r="JO57" s="390"/>
      <c r="JP57" s="390"/>
      <c r="JQ57" s="390"/>
      <c r="JR57" s="390"/>
      <c r="JS57" s="390"/>
      <c r="JT57" s="390"/>
      <c r="JU57" s="390"/>
      <c r="JV57" s="390"/>
      <c r="JW57" s="390"/>
      <c r="JX57" s="390"/>
      <c r="JY57" s="390"/>
      <c r="JZ57" s="390"/>
      <c r="KA57" s="390"/>
      <c r="KB57" s="390"/>
      <c r="KC57" s="390"/>
      <c r="KD57" s="390"/>
      <c r="KE57" s="390"/>
      <c r="KF57" s="390"/>
      <c r="KG57" s="390"/>
      <c r="KH57" s="390"/>
      <c r="KI57" s="390"/>
      <c r="KJ57" s="390"/>
      <c r="KK57" s="390"/>
      <c r="KL57" s="390"/>
      <c r="KM57" s="390"/>
      <c r="KN57" s="390"/>
      <c r="KO57" s="390"/>
      <c r="KP57" s="390"/>
      <c r="KQ57" s="390"/>
      <c r="KR57" s="390"/>
      <c r="KS57" s="390"/>
      <c r="KT57" s="390"/>
      <c r="KU57" s="390"/>
      <c r="KV57" s="390"/>
      <c r="KW57" s="390"/>
      <c r="KX57" s="390"/>
      <c r="KY57" s="390"/>
      <c r="KZ57" s="390"/>
      <c r="LA57" s="390"/>
      <c r="LB57" s="390"/>
      <c r="LC57" s="390"/>
      <c r="LD57" s="390"/>
      <c r="LE57" s="390"/>
      <c r="LF57" s="390"/>
      <c r="LG57" s="390"/>
      <c r="LH57" s="390"/>
      <c r="LI57" s="390"/>
      <c r="LJ57" s="390"/>
      <c r="LK57" s="390"/>
      <c r="LL57" s="390"/>
      <c r="LM57" s="390"/>
      <c r="LN57" s="390"/>
      <c r="LO57" s="390"/>
      <c r="LP57" s="390"/>
      <c r="LQ57" s="390"/>
      <c r="LR57" s="390"/>
      <c r="LS57" s="390"/>
      <c r="LT57" s="390"/>
      <c r="LU57" s="390"/>
      <c r="LV57" s="390"/>
      <c r="LW57" s="390"/>
      <c r="LX57" s="390"/>
      <c r="LY57" s="390"/>
      <c r="LZ57" s="390"/>
      <c r="MA57" s="390"/>
      <c r="MB57" s="390"/>
      <c r="MC57" s="390"/>
      <c r="MD57" s="390"/>
      <c r="ME57" s="390"/>
      <c r="MF57" s="390"/>
      <c r="MG57" s="390"/>
      <c r="MH57" s="390"/>
      <c r="MI57" s="390"/>
      <c r="MJ57" s="390"/>
      <c r="MK57" s="390"/>
      <c r="ML57" s="390"/>
      <c r="MM57" s="390"/>
      <c r="MN57" s="390"/>
      <c r="MO57" s="390"/>
      <c r="MP57" s="390"/>
      <c r="MQ57" s="390"/>
      <c r="MR57" s="390"/>
      <c r="MS57" s="390"/>
      <c r="MT57" s="390"/>
      <c r="MU57" s="390"/>
      <c r="MV57" s="390"/>
      <c r="MW57" s="390"/>
      <c r="MX57" s="390"/>
      <c r="MY57" s="390"/>
      <c r="MZ57" s="390"/>
      <c r="NA57" s="390"/>
      <c r="NB57" s="390"/>
      <c r="NC57" s="390"/>
      <c r="ND57" s="390"/>
      <c r="NE57" s="390"/>
      <c r="NF57" s="390"/>
      <c r="NG57" s="390"/>
      <c r="NH57" s="390"/>
      <c r="NI57" s="390"/>
      <c r="NJ57" s="390"/>
      <c r="NK57" s="390"/>
      <c r="NL57" s="390"/>
      <c r="NM57" s="390"/>
      <c r="NN57" s="390"/>
      <c r="NO57" s="390"/>
      <c r="NP57" s="390"/>
      <c r="NQ57" s="390"/>
      <c r="NR57" s="390"/>
      <c r="NS57" s="390"/>
      <c r="NT57" s="390"/>
      <c r="NU57" s="390"/>
      <c r="NV57" s="390"/>
      <c r="NW57" s="390"/>
      <c r="NX57" s="390"/>
      <c r="NY57" s="390"/>
      <c r="NZ57" s="390"/>
      <c r="OA57" s="390"/>
      <c r="OB57" s="390"/>
      <c r="OC57" s="390"/>
      <c r="OD57" s="390"/>
      <c r="OE57" s="390"/>
      <c r="OF57" s="390"/>
      <c r="OG57" s="390"/>
      <c r="OH57" s="390"/>
      <c r="OI57" s="390"/>
      <c r="OJ57" s="390"/>
      <c r="OK57" s="390"/>
      <c r="OL57" s="390"/>
      <c r="OM57" s="390"/>
      <c r="ON57" s="390"/>
      <c r="OO57" s="390"/>
      <c r="OP57" s="390"/>
      <c r="OQ57" s="390"/>
      <c r="OR57" s="390"/>
      <c r="OS57" s="390"/>
      <c r="OT57" s="390"/>
      <c r="OU57" s="390"/>
      <c r="OV57" s="390"/>
      <c r="OW57" s="390"/>
      <c r="OX57" s="390"/>
      <c r="OY57" s="390"/>
      <c r="OZ57" s="390"/>
      <c r="PA57" s="390"/>
      <c r="PB57" s="390"/>
      <c r="PC57" s="390"/>
      <c r="PD57" s="390"/>
      <c r="PE57" s="390"/>
      <c r="PF57" s="390"/>
      <c r="PG57" s="390"/>
      <c r="PH57" s="390"/>
      <c r="PI57" s="390"/>
      <c r="PJ57" s="390"/>
      <c r="PK57" s="390"/>
      <c r="PL57" s="390"/>
      <c r="PM57" s="390"/>
      <c r="PN57" s="390"/>
      <c r="PO57" s="390"/>
      <c r="PP57" s="390"/>
      <c r="PQ57" s="390"/>
      <c r="PR57" s="390"/>
      <c r="PS57" s="390"/>
      <c r="PT57" s="390"/>
      <c r="PU57" s="390"/>
      <c r="PV57" s="390"/>
      <c r="PW57" s="390"/>
      <c r="PX57" s="390"/>
      <c r="PY57" s="390"/>
      <c r="PZ57" s="390"/>
      <c r="QA57" s="390"/>
      <c r="QB57" s="390"/>
      <c r="QC57" s="390"/>
      <c r="QD57" s="390"/>
      <c r="QE57" s="390"/>
      <c r="QF57" s="390"/>
      <c r="QG57" s="390"/>
      <c r="QH57" s="390"/>
      <c r="QI57" s="390"/>
      <c r="QJ57" s="390"/>
      <c r="QK57" s="390"/>
      <c r="QL57" s="390"/>
      <c r="QM57" s="390"/>
      <c r="QN57" s="390"/>
      <c r="QO57" s="390"/>
      <c r="QP57" s="390"/>
      <c r="QQ57" s="390"/>
      <c r="QR57" s="390"/>
      <c r="QS57" s="390"/>
      <c r="QT57" s="390"/>
      <c r="QU57" s="390"/>
      <c r="QV57" s="390"/>
      <c r="QW57" s="390"/>
      <c r="QX57" s="390"/>
      <c r="QY57" s="390"/>
      <c r="QZ57" s="390"/>
      <c r="RA57" s="390"/>
      <c r="RB57" s="390"/>
      <c r="RC57" s="390"/>
      <c r="RD57" s="390"/>
      <c r="RE57" s="390"/>
      <c r="RF57" s="390"/>
      <c r="RG57" s="390"/>
      <c r="RH57" s="390"/>
      <c r="RI57" s="390"/>
      <c r="RJ57" s="390"/>
      <c r="RK57" s="390"/>
      <c r="RL57" s="390"/>
      <c r="RM57" s="390"/>
      <c r="RN57" s="390"/>
      <c r="RO57" s="390"/>
      <c r="RP57" s="390"/>
      <c r="RQ57" s="390"/>
      <c r="RR57" s="390"/>
      <c r="RS57" s="390"/>
      <c r="RT57" s="390"/>
      <c r="RU57" s="390"/>
      <c r="RV57" s="390"/>
      <c r="RW57" s="390"/>
      <c r="RX57" s="390"/>
      <c r="RY57" s="390"/>
      <c r="RZ57" s="390"/>
      <c r="SA57" s="390"/>
      <c r="SB57" s="390"/>
      <c r="SC57" s="390"/>
      <c r="SD57" s="390"/>
      <c r="SE57" s="390"/>
      <c r="SF57" s="390"/>
      <c r="SG57" s="390"/>
      <c r="SH57" s="390"/>
      <c r="SI57" s="390"/>
      <c r="SJ57" s="390"/>
      <c r="SK57" s="390"/>
      <c r="SL57" s="390"/>
      <c r="SM57" s="390"/>
      <c r="SN57" s="390"/>
      <c r="SO57" s="390"/>
      <c r="SP57" s="390"/>
      <c r="SQ57" s="390"/>
      <c r="SR57" s="390"/>
      <c r="SS57" s="390"/>
      <c r="ST57" s="390"/>
      <c r="SU57" s="390"/>
      <c r="SV57" s="390"/>
      <c r="SW57" s="390"/>
      <c r="SX57" s="390"/>
      <c r="SY57" s="390"/>
      <c r="SZ57" s="390"/>
      <c r="TA57" s="390"/>
      <c r="TB57" s="390"/>
      <c r="TC57" s="390"/>
      <c r="TD57" s="390"/>
      <c r="TE57" s="390"/>
      <c r="TF57" s="390"/>
      <c r="TG57" s="390"/>
      <c r="TH57" s="390"/>
      <c r="TI57" s="390"/>
      <c r="TJ57" s="390"/>
      <c r="TK57" s="390"/>
      <c r="TL57" s="390"/>
      <c r="TM57" s="390"/>
      <c r="TN57" s="390"/>
      <c r="TO57" s="390"/>
      <c r="TP57" s="390"/>
      <c r="TQ57" s="390"/>
      <c r="TR57" s="390"/>
      <c r="TS57" s="390"/>
      <c r="TT57" s="390"/>
      <c r="TU57" s="390"/>
      <c r="TV57" s="390"/>
      <c r="TW57" s="390"/>
      <c r="TX57" s="390"/>
      <c r="TY57" s="390"/>
      <c r="TZ57" s="390"/>
      <c r="UA57" s="390"/>
      <c r="UB57" s="390"/>
      <c r="UC57" s="390"/>
      <c r="UD57" s="390"/>
      <c r="UE57" s="390"/>
      <c r="UF57" s="390"/>
      <c r="UG57" s="390"/>
      <c r="UH57" s="390"/>
      <c r="UI57" s="390"/>
      <c r="UJ57" s="390"/>
      <c r="UK57" s="390"/>
      <c r="UL57" s="390"/>
      <c r="UM57" s="390"/>
      <c r="UN57" s="390"/>
      <c r="UO57" s="390"/>
      <c r="UP57" s="390"/>
      <c r="UQ57" s="390"/>
      <c r="UR57" s="390"/>
      <c r="US57" s="390"/>
      <c r="UT57" s="390"/>
      <c r="UU57" s="390"/>
      <c r="UV57" s="390"/>
      <c r="UW57" s="390"/>
      <c r="UX57" s="390"/>
      <c r="UY57" s="390"/>
      <c r="UZ57" s="390"/>
      <c r="VA57" s="390"/>
      <c r="VB57" s="390"/>
      <c r="VC57" s="390"/>
      <c r="VD57" s="390"/>
      <c r="VE57" s="390"/>
      <c r="VF57" s="390"/>
      <c r="VG57" s="390"/>
      <c r="VH57" s="390"/>
      <c r="VI57" s="390"/>
      <c r="VJ57" s="390"/>
      <c r="VK57" s="390"/>
      <c r="VL57" s="390"/>
      <c r="VM57" s="390"/>
      <c r="VN57" s="390"/>
      <c r="VO57" s="390"/>
      <c r="VP57" s="390"/>
      <c r="VQ57" s="390"/>
      <c r="VR57" s="390"/>
      <c r="VS57" s="390"/>
      <c r="VT57" s="390"/>
      <c r="VU57" s="390"/>
      <c r="VV57" s="390"/>
      <c r="VW57" s="390"/>
      <c r="VX57" s="390"/>
      <c r="VY57" s="390"/>
      <c r="VZ57" s="390"/>
      <c r="WA57" s="390"/>
      <c r="WB57" s="390"/>
      <c r="WC57" s="390"/>
      <c r="WD57" s="390"/>
      <c r="WE57" s="390"/>
      <c r="WF57" s="390"/>
      <c r="WG57" s="390"/>
      <c r="WH57" s="390"/>
      <c r="WI57" s="390"/>
      <c r="WJ57" s="390"/>
      <c r="WK57" s="390"/>
      <c r="WL57" s="390"/>
      <c r="WM57" s="390"/>
      <c r="WN57" s="390"/>
      <c r="WO57" s="390"/>
      <c r="WP57" s="390"/>
      <c r="WQ57" s="390"/>
      <c r="WR57" s="390"/>
      <c r="WS57" s="390"/>
      <c r="WT57" s="390"/>
      <c r="WU57" s="390"/>
      <c r="WV57" s="390"/>
      <c r="WW57" s="390"/>
      <c r="WX57" s="390"/>
      <c r="WY57" s="390"/>
      <c r="WZ57" s="390"/>
      <c r="XA57" s="390"/>
      <c r="XB57" s="390"/>
      <c r="XC57" s="390"/>
      <c r="XD57" s="390"/>
      <c r="XE57" s="390"/>
      <c r="XF57" s="390"/>
      <c r="XG57" s="390"/>
      <c r="XH57" s="390"/>
      <c r="XI57" s="390"/>
      <c r="XJ57" s="390"/>
      <c r="XK57" s="390"/>
      <c r="XL57" s="390"/>
      <c r="XM57" s="390"/>
      <c r="XN57" s="390"/>
      <c r="XO57" s="390"/>
      <c r="XP57" s="390"/>
      <c r="XQ57" s="390"/>
      <c r="XR57" s="390"/>
      <c r="XS57" s="390"/>
      <c r="XT57" s="390"/>
      <c r="XU57" s="390"/>
      <c r="XV57" s="390"/>
      <c r="XW57" s="390"/>
      <c r="XX57" s="390"/>
      <c r="XY57" s="390"/>
      <c r="XZ57" s="390"/>
      <c r="YA57" s="390"/>
      <c r="YB57" s="390"/>
      <c r="YC57" s="390"/>
      <c r="YD57" s="390"/>
      <c r="YE57" s="390"/>
      <c r="YF57" s="390"/>
      <c r="YG57" s="390"/>
      <c r="YH57" s="390"/>
      <c r="YI57" s="390"/>
      <c r="YJ57" s="390"/>
      <c r="YK57" s="390"/>
      <c r="YL57" s="390"/>
      <c r="YM57" s="390"/>
      <c r="YN57" s="390"/>
      <c r="YO57" s="390"/>
      <c r="YP57" s="390"/>
      <c r="YQ57" s="390"/>
      <c r="YR57" s="390"/>
      <c r="YS57" s="390"/>
      <c r="YT57" s="390"/>
      <c r="YU57" s="390"/>
      <c r="YV57" s="390"/>
      <c r="YW57" s="390"/>
      <c r="YX57" s="390"/>
      <c r="YY57" s="390"/>
      <c r="YZ57" s="390"/>
      <c r="ZA57" s="390"/>
      <c r="ZB57" s="390"/>
      <c r="ZC57" s="390"/>
      <c r="ZD57" s="390"/>
      <c r="ZE57" s="390"/>
      <c r="ZF57" s="390"/>
      <c r="ZG57" s="390"/>
      <c r="ZH57" s="390"/>
      <c r="ZI57" s="390"/>
      <c r="ZJ57" s="390"/>
      <c r="ZK57" s="390"/>
      <c r="ZL57" s="390"/>
      <c r="ZM57" s="390"/>
      <c r="ZN57" s="390"/>
      <c r="ZO57" s="390"/>
      <c r="ZP57" s="390"/>
      <c r="ZQ57" s="390"/>
      <c r="ZR57" s="390"/>
      <c r="ZS57" s="390"/>
      <c r="ZT57" s="390"/>
      <c r="ZU57" s="390"/>
      <c r="ZV57" s="390"/>
      <c r="ZW57" s="390"/>
      <c r="ZX57" s="390"/>
      <c r="ZY57" s="390"/>
      <c r="ZZ57" s="390"/>
      <c r="AAA57" s="390"/>
      <c r="AAB57" s="390"/>
      <c r="AAC57" s="390"/>
      <c r="AAD57" s="390"/>
      <c r="AAE57" s="390"/>
      <c r="AAF57" s="390"/>
      <c r="AAG57" s="390"/>
      <c r="AAH57" s="390"/>
      <c r="AAI57" s="390"/>
      <c r="AAJ57" s="390"/>
      <c r="AAK57" s="390"/>
      <c r="AAL57" s="390"/>
      <c r="AAM57" s="390"/>
      <c r="AAN57" s="390"/>
      <c r="AAO57" s="390"/>
      <c r="AAP57" s="390"/>
      <c r="AAQ57" s="390"/>
      <c r="AAR57" s="390"/>
      <c r="AAS57" s="390"/>
      <c r="AAT57" s="390"/>
      <c r="AAU57" s="390"/>
      <c r="AAV57" s="390"/>
      <c r="AAW57" s="390"/>
      <c r="AAX57" s="390"/>
      <c r="AAY57" s="390"/>
      <c r="AAZ57" s="390"/>
      <c r="ABA57" s="390"/>
      <c r="ABB57" s="390"/>
      <c r="ABC57" s="390"/>
      <c r="ABD57" s="390"/>
      <c r="ABE57" s="390"/>
      <c r="ABF57" s="390"/>
      <c r="ABG57" s="390"/>
      <c r="ABH57" s="390"/>
      <c r="ABI57" s="390"/>
      <c r="ABJ57" s="390"/>
      <c r="ABK57" s="390"/>
      <c r="ABL57" s="390"/>
      <c r="ABM57" s="390"/>
      <c r="ABN57" s="390"/>
      <c r="ABO57" s="390"/>
      <c r="ABP57" s="390"/>
      <c r="ABQ57" s="390"/>
      <c r="ABR57" s="390"/>
      <c r="ABS57" s="390"/>
      <c r="ABT57" s="390"/>
      <c r="ABU57" s="390"/>
      <c r="ABV57" s="390"/>
      <c r="ABW57" s="390"/>
      <c r="ABX57" s="390"/>
      <c r="ABY57" s="390"/>
      <c r="ABZ57" s="390"/>
      <c r="ACA57" s="390"/>
      <c r="ACB57" s="390"/>
      <c r="ACC57" s="390"/>
      <c r="ACD57" s="390"/>
      <c r="ACE57" s="390"/>
      <c r="ACF57" s="390"/>
      <c r="ACG57" s="390"/>
      <c r="ACH57" s="390"/>
      <c r="ACI57" s="390"/>
    </row>
    <row r="58" spans="1:763" ht="13.95" customHeight="1" x14ac:dyDescent="0.3">
      <c r="A58" s="390" t="str">
        <f>Проект!$A$355</f>
        <v>Управляющий</v>
      </c>
      <c r="B58" s="352"/>
      <c r="C58" s="402"/>
      <c r="D58" s="411"/>
      <c r="E58" s="411"/>
      <c r="F58" s="411"/>
      <c r="G58" s="411"/>
      <c r="H58" s="396"/>
      <c r="I58" s="390"/>
      <c r="J58" s="390"/>
      <c r="K58" s="390"/>
      <c r="L58" s="390"/>
      <c r="M58" s="390"/>
      <c r="N58" s="390"/>
      <c r="O58" s="390"/>
      <c r="P58" s="390"/>
      <c r="Q58" s="390"/>
      <c r="R58" s="390"/>
      <c r="S58" s="390"/>
      <c r="T58" s="390"/>
      <c r="U58" s="390"/>
      <c r="V58" s="390"/>
      <c r="W58" s="390"/>
      <c r="X58" s="390"/>
      <c r="Y58" s="390"/>
      <c r="Z58" s="390"/>
      <c r="AA58" s="390"/>
      <c r="AB58" s="390"/>
      <c r="AC58" s="390"/>
      <c r="AD58" s="390"/>
      <c r="AE58" s="390"/>
      <c r="AF58" s="390"/>
      <c r="AG58" s="390"/>
      <c r="AH58" s="390"/>
      <c r="AI58" s="390"/>
      <c r="AJ58" s="390"/>
      <c r="AK58" s="390"/>
      <c r="AL58" s="390"/>
      <c r="AM58" s="390"/>
      <c r="AN58" s="390"/>
      <c r="AO58" s="390"/>
      <c r="AP58" s="390"/>
      <c r="AQ58" s="390"/>
      <c r="AR58" s="390"/>
      <c r="AS58" s="390"/>
      <c r="AT58" s="390"/>
      <c r="AU58" s="390"/>
      <c r="AV58" s="390"/>
      <c r="AW58" s="390"/>
      <c r="AX58" s="390"/>
      <c r="AY58" s="390"/>
      <c r="AZ58" s="390"/>
      <c r="BA58" s="390"/>
      <c r="BB58" s="390"/>
      <c r="BC58" s="390"/>
      <c r="BD58" s="390"/>
      <c r="BE58" s="390"/>
      <c r="BF58" s="390"/>
      <c r="BG58" s="390"/>
      <c r="BH58" s="390"/>
      <c r="BI58" s="390"/>
      <c r="BJ58" s="390"/>
      <c r="BK58" s="390"/>
      <c r="BL58" s="390"/>
      <c r="BM58" s="390"/>
      <c r="BN58" s="390"/>
      <c r="BO58" s="390"/>
      <c r="BP58" s="390"/>
      <c r="BQ58" s="390"/>
      <c r="BR58" s="390"/>
      <c r="BS58" s="390"/>
      <c r="BT58" s="390"/>
      <c r="BU58" s="390"/>
      <c r="BV58" s="390"/>
      <c r="BW58" s="390"/>
      <c r="BX58" s="390"/>
      <c r="BY58" s="390"/>
      <c r="BZ58" s="390"/>
      <c r="CA58" s="390"/>
      <c r="CB58" s="390"/>
      <c r="CC58" s="390"/>
      <c r="CD58" s="390"/>
      <c r="CE58" s="390"/>
      <c r="CF58" s="390"/>
      <c r="CG58" s="390"/>
      <c r="CH58" s="390"/>
      <c r="CI58" s="390"/>
      <c r="CJ58" s="390"/>
      <c r="CK58" s="390"/>
      <c r="CL58" s="390"/>
      <c r="CM58" s="390"/>
      <c r="CN58" s="390"/>
      <c r="CO58" s="390"/>
      <c r="CP58" s="390"/>
      <c r="CQ58" s="390"/>
      <c r="CR58" s="390"/>
      <c r="CS58" s="390"/>
      <c r="CT58" s="390"/>
      <c r="CU58" s="390"/>
      <c r="CV58" s="390"/>
      <c r="CW58" s="390"/>
      <c r="CX58" s="390"/>
      <c r="CY58" s="390"/>
      <c r="CZ58" s="390"/>
      <c r="DA58" s="390"/>
      <c r="DB58" s="390"/>
      <c r="DC58" s="390"/>
      <c r="DD58" s="390"/>
      <c r="DE58" s="390"/>
      <c r="DF58" s="390"/>
      <c r="DG58" s="390"/>
      <c r="DH58" s="390"/>
      <c r="DI58" s="390"/>
      <c r="DJ58" s="390"/>
      <c r="DK58" s="390"/>
      <c r="DL58" s="390"/>
      <c r="DM58" s="390"/>
      <c r="DN58" s="390"/>
      <c r="DO58" s="390"/>
      <c r="DP58" s="390"/>
      <c r="DQ58" s="390"/>
      <c r="DR58" s="390"/>
      <c r="DS58" s="390"/>
      <c r="DT58" s="390"/>
      <c r="DU58" s="390"/>
      <c r="DV58" s="390"/>
      <c r="DW58" s="390"/>
      <c r="DX58" s="390"/>
      <c r="DY58" s="390"/>
      <c r="DZ58" s="390"/>
      <c r="EA58" s="390"/>
      <c r="EB58" s="390"/>
      <c r="EC58" s="390"/>
      <c r="ED58" s="390"/>
      <c r="EE58" s="390"/>
      <c r="EF58" s="390"/>
      <c r="EG58" s="390"/>
      <c r="EH58" s="390"/>
      <c r="EI58" s="390"/>
      <c r="EJ58" s="390"/>
      <c r="EK58" s="390"/>
      <c r="EL58" s="390"/>
      <c r="EM58" s="390"/>
      <c r="EN58" s="390"/>
      <c r="EO58" s="390"/>
      <c r="EP58" s="390"/>
      <c r="EQ58" s="390"/>
      <c r="ER58" s="390"/>
      <c r="ES58" s="390"/>
      <c r="ET58" s="390"/>
      <c r="EU58" s="390"/>
      <c r="EV58" s="390"/>
      <c r="EW58" s="390"/>
      <c r="EX58" s="390"/>
      <c r="EY58" s="390"/>
      <c r="EZ58" s="390"/>
      <c r="FA58" s="390"/>
      <c r="FB58" s="390"/>
      <c r="FC58" s="390"/>
      <c r="FD58" s="390"/>
      <c r="FE58" s="390"/>
      <c r="FF58" s="390"/>
      <c r="FG58" s="390"/>
      <c r="FH58" s="390"/>
      <c r="FI58" s="390"/>
      <c r="FJ58" s="390"/>
      <c r="FK58" s="390"/>
      <c r="FL58" s="390"/>
      <c r="FM58" s="390"/>
      <c r="FN58" s="390"/>
      <c r="FO58" s="390"/>
      <c r="FP58" s="390"/>
      <c r="FQ58" s="390"/>
      <c r="FR58" s="390"/>
      <c r="FS58" s="390"/>
      <c r="FT58" s="390"/>
      <c r="FU58" s="390"/>
      <c r="FV58" s="390"/>
      <c r="FW58" s="390"/>
      <c r="FX58" s="390"/>
      <c r="FY58" s="390"/>
      <c r="FZ58" s="390"/>
      <c r="GA58" s="390"/>
      <c r="GB58" s="390"/>
      <c r="GC58" s="390"/>
      <c r="GD58" s="390"/>
      <c r="GE58" s="390"/>
      <c r="GF58" s="390"/>
      <c r="GG58" s="390"/>
      <c r="GH58" s="390"/>
      <c r="GI58" s="390"/>
      <c r="GJ58" s="390"/>
      <c r="GK58" s="390"/>
      <c r="GL58" s="390"/>
      <c r="GM58" s="390"/>
      <c r="GN58" s="390"/>
      <c r="GO58" s="390"/>
      <c r="GP58" s="390"/>
      <c r="GQ58" s="390"/>
      <c r="GR58" s="390"/>
      <c r="GS58" s="390"/>
      <c r="GT58" s="390"/>
      <c r="GU58" s="390"/>
      <c r="GV58" s="390"/>
      <c r="GW58" s="390"/>
      <c r="GX58" s="390"/>
      <c r="GY58" s="390"/>
      <c r="GZ58" s="390"/>
      <c r="HA58" s="390"/>
      <c r="HB58" s="390"/>
      <c r="HC58" s="390"/>
      <c r="HD58" s="390"/>
      <c r="HE58" s="390"/>
      <c r="HF58" s="390"/>
      <c r="HG58" s="390"/>
      <c r="HH58" s="390"/>
      <c r="HI58" s="390"/>
      <c r="HJ58" s="390"/>
      <c r="HK58" s="390"/>
      <c r="HL58" s="390"/>
      <c r="HM58" s="390"/>
      <c r="HN58" s="390"/>
      <c r="HO58" s="390"/>
      <c r="HP58" s="390"/>
      <c r="HQ58" s="390"/>
      <c r="HR58" s="390"/>
      <c r="HS58" s="390"/>
      <c r="HT58" s="390"/>
      <c r="HU58" s="390"/>
      <c r="HV58" s="390"/>
      <c r="HW58" s="390"/>
      <c r="HX58" s="390"/>
      <c r="HY58" s="390"/>
      <c r="HZ58" s="390"/>
      <c r="IA58" s="390"/>
      <c r="IB58" s="390"/>
      <c r="IC58" s="390"/>
      <c r="ID58" s="390"/>
      <c r="IE58" s="390"/>
      <c r="IF58" s="390"/>
      <c r="IG58" s="390"/>
      <c r="IH58" s="390"/>
      <c r="II58" s="390"/>
      <c r="IJ58" s="390"/>
      <c r="IK58" s="390"/>
      <c r="IL58" s="390"/>
      <c r="IM58" s="390"/>
      <c r="IN58" s="390"/>
      <c r="IO58" s="390"/>
      <c r="IP58" s="390"/>
      <c r="IQ58" s="390"/>
      <c r="IR58" s="390"/>
      <c r="IS58" s="390"/>
      <c r="IT58" s="390"/>
      <c r="IU58" s="390"/>
      <c r="IV58" s="390"/>
      <c r="IW58" s="390"/>
      <c r="IX58" s="390"/>
      <c r="IY58" s="390"/>
      <c r="IZ58" s="390"/>
      <c r="JA58" s="390"/>
      <c r="JB58" s="390"/>
      <c r="JC58" s="390"/>
      <c r="JD58" s="390"/>
      <c r="JE58" s="390"/>
      <c r="JF58" s="390"/>
      <c r="JG58" s="390"/>
      <c r="JH58" s="390"/>
      <c r="JI58" s="390"/>
      <c r="JJ58" s="390"/>
      <c r="JK58" s="390"/>
      <c r="JL58" s="390"/>
      <c r="JM58" s="390"/>
      <c r="JN58" s="390"/>
      <c r="JO58" s="390"/>
      <c r="JP58" s="390"/>
      <c r="JQ58" s="390"/>
      <c r="JR58" s="390"/>
      <c r="JS58" s="390"/>
      <c r="JT58" s="390"/>
      <c r="JU58" s="390"/>
      <c r="JV58" s="390"/>
      <c r="JW58" s="390"/>
      <c r="JX58" s="390"/>
      <c r="JY58" s="390"/>
      <c r="JZ58" s="390"/>
      <c r="KA58" s="390"/>
      <c r="KB58" s="390"/>
      <c r="KC58" s="390"/>
      <c r="KD58" s="390"/>
      <c r="KE58" s="390"/>
      <c r="KF58" s="390"/>
      <c r="KG58" s="390"/>
      <c r="KH58" s="390"/>
      <c r="KI58" s="390"/>
      <c r="KJ58" s="390"/>
      <c r="KK58" s="390"/>
      <c r="KL58" s="390"/>
      <c r="KM58" s="390"/>
      <c r="KN58" s="390"/>
      <c r="KO58" s="390"/>
      <c r="KP58" s="390"/>
      <c r="KQ58" s="390"/>
      <c r="KR58" s="390"/>
      <c r="KS58" s="390"/>
      <c r="KT58" s="390"/>
      <c r="KU58" s="390"/>
      <c r="KV58" s="390"/>
      <c r="KW58" s="390"/>
      <c r="KX58" s="390"/>
      <c r="KY58" s="390"/>
      <c r="KZ58" s="390"/>
      <c r="LA58" s="390"/>
      <c r="LB58" s="390"/>
      <c r="LC58" s="390"/>
      <c r="LD58" s="390"/>
      <c r="LE58" s="390"/>
      <c r="LF58" s="390"/>
      <c r="LG58" s="390"/>
      <c r="LH58" s="390"/>
      <c r="LI58" s="390"/>
      <c r="LJ58" s="390"/>
      <c r="LK58" s="390"/>
      <c r="LL58" s="390"/>
      <c r="LM58" s="390"/>
      <c r="LN58" s="390"/>
      <c r="LO58" s="390"/>
      <c r="LP58" s="390"/>
      <c r="LQ58" s="390"/>
      <c r="LR58" s="390"/>
      <c r="LS58" s="390"/>
      <c r="LT58" s="390"/>
      <c r="LU58" s="390"/>
      <c r="LV58" s="390"/>
      <c r="LW58" s="390"/>
      <c r="LX58" s="390"/>
      <c r="LY58" s="390"/>
      <c r="LZ58" s="390"/>
      <c r="MA58" s="390"/>
      <c r="MB58" s="390"/>
      <c r="MC58" s="390"/>
      <c r="MD58" s="390"/>
      <c r="ME58" s="390"/>
      <c r="MF58" s="390"/>
      <c r="MG58" s="390"/>
      <c r="MH58" s="390"/>
      <c r="MI58" s="390"/>
      <c r="MJ58" s="390"/>
      <c r="MK58" s="390"/>
      <c r="ML58" s="390"/>
      <c r="MM58" s="390"/>
      <c r="MN58" s="390"/>
      <c r="MO58" s="390"/>
      <c r="MP58" s="390"/>
      <c r="MQ58" s="390"/>
      <c r="MR58" s="390"/>
      <c r="MS58" s="390"/>
      <c r="MT58" s="390"/>
      <c r="MU58" s="390"/>
      <c r="MV58" s="390"/>
      <c r="MW58" s="390"/>
      <c r="MX58" s="390"/>
      <c r="MY58" s="390"/>
      <c r="MZ58" s="390"/>
      <c r="NA58" s="390"/>
      <c r="NB58" s="390"/>
      <c r="NC58" s="390"/>
      <c r="ND58" s="390"/>
      <c r="NE58" s="390"/>
      <c r="NF58" s="390"/>
      <c r="NG58" s="390"/>
      <c r="NH58" s="390"/>
      <c r="NI58" s="390"/>
      <c r="NJ58" s="390"/>
      <c r="NK58" s="390"/>
      <c r="NL58" s="390"/>
      <c r="NM58" s="390"/>
      <c r="NN58" s="390"/>
      <c r="NO58" s="390"/>
      <c r="NP58" s="390"/>
      <c r="NQ58" s="390"/>
      <c r="NR58" s="390"/>
      <c r="NS58" s="390"/>
      <c r="NT58" s="390"/>
      <c r="NU58" s="390"/>
      <c r="NV58" s="390"/>
      <c r="NW58" s="390"/>
      <c r="NX58" s="390"/>
      <c r="NY58" s="390"/>
      <c r="NZ58" s="390"/>
      <c r="OA58" s="390"/>
      <c r="OB58" s="390"/>
      <c r="OC58" s="390"/>
      <c r="OD58" s="390"/>
      <c r="OE58" s="390"/>
      <c r="OF58" s="390"/>
      <c r="OG58" s="390"/>
      <c r="OH58" s="390"/>
      <c r="OI58" s="390"/>
      <c r="OJ58" s="390"/>
      <c r="OK58" s="390"/>
      <c r="OL58" s="390"/>
      <c r="OM58" s="390"/>
      <c r="ON58" s="390"/>
      <c r="OO58" s="390"/>
      <c r="OP58" s="390"/>
      <c r="OQ58" s="390"/>
      <c r="OR58" s="390"/>
      <c r="OS58" s="390"/>
      <c r="OT58" s="390"/>
      <c r="OU58" s="390"/>
      <c r="OV58" s="390"/>
      <c r="OW58" s="390"/>
      <c r="OX58" s="390"/>
      <c r="OY58" s="390"/>
      <c r="OZ58" s="390"/>
      <c r="PA58" s="390"/>
      <c r="PB58" s="390"/>
      <c r="PC58" s="390"/>
      <c r="PD58" s="390"/>
      <c r="PE58" s="390"/>
      <c r="PF58" s="390"/>
      <c r="PG58" s="390"/>
      <c r="PH58" s="390"/>
      <c r="PI58" s="390"/>
      <c r="PJ58" s="390"/>
      <c r="PK58" s="390"/>
      <c r="PL58" s="390"/>
      <c r="PM58" s="390"/>
      <c r="PN58" s="390"/>
      <c r="PO58" s="390"/>
      <c r="PP58" s="390"/>
      <c r="PQ58" s="390"/>
      <c r="PR58" s="390"/>
      <c r="PS58" s="390"/>
      <c r="PT58" s="390"/>
      <c r="PU58" s="390"/>
      <c r="PV58" s="390"/>
      <c r="PW58" s="390"/>
      <c r="PX58" s="390"/>
      <c r="PY58" s="390"/>
      <c r="PZ58" s="390"/>
      <c r="QA58" s="390"/>
      <c r="QB58" s="390"/>
      <c r="QC58" s="390"/>
      <c r="QD58" s="390"/>
      <c r="QE58" s="390"/>
      <c r="QF58" s="390"/>
      <c r="QG58" s="390"/>
      <c r="QH58" s="390"/>
      <c r="QI58" s="390"/>
      <c r="QJ58" s="390"/>
      <c r="QK58" s="390"/>
      <c r="QL58" s="390"/>
      <c r="QM58" s="390"/>
      <c r="QN58" s="390"/>
      <c r="QO58" s="390"/>
      <c r="QP58" s="390"/>
      <c r="QQ58" s="390"/>
      <c r="QR58" s="390"/>
      <c r="QS58" s="390"/>
      <c r="QT58" s="390"/>
      <c r="QU58" s="390"/>
      <c r="QV58" s="390"/>
      <c r="QW58" s="390"/>
      <c r="QX58" s="390"/>
      <c r="QY58" s="390"/>
      <c r="QZ58" s="390"/>
      <c r="RA58" s="390"/>
      <c r="RB58" s="390"/>
      <c r="RC58" s="390"/>
      <c r="RD58" s="390"/>
      <c r="RE58" s="390"/>
      <c r="RF58" s="390"/>
      <c r="RG58" s="390"/>
      <c r="RH58" s="390"/>
      <c r="RI58" s="390"/>
      <c r="RJ58" s="390"/>
      <c r="RK58" s="390"/>
      <c r="RL58" s="390"/>
      <c r="RM58" s="390"/>
      <c r="RN58" s="390"/>
      <c r="RO58" s="390"/>
      <c r="RP58" s="390"/>
      <c r="RQ58" s="390"/>
      <c r="RR58" s="390"/>
      <c r="RS58" s="390"/>
      <c r="RT58" s="390"/>
      <c r="RU58" s="390"/>
      <c r="RV58" s="390"/>
      <c r="RW58" s="390"/>
      <c r="RX58" s="390"/>
      <c r="RY58" s="390"/>
      <c r="RZ58" s="390"/>
      <c r="SA58" s="390"/>
      <c r="SB58" s="390"/>
      <c r="SC58" s="390"/>
      <c r="SD58" s="390"/>
      <c r="SE58" s="390"/>
      <c r="SF58" s="390"/>
      <c r="SG58" s="390"/>
      <c r="SH58" s="390"/>
      <c r="SI58" s="390"/>
      <c r="SJ58" s="390"/>
      <c r="SK58" s="390"/>
      <c r="SL58" s="390"/>
      <c r="SM58" s="390"/>
      <c r="SN58" s="390"/>
      <c r="SO58" s="390"/>
      <c r="SP58" s="390"/>
      <c r="SQ58" s="390"/>
      <c r="SR58" s="390"/>
      <c r="SS58" s="390"/>
      <c r="ST58" s="390"/>
      <c r="SU58" s="390"/>
      <c r="SV58" s="390"/>
      <c r="SW58" s="390"/>
      <c r="SX58" s="390"/>
      <c r="SY58" s="390"/>
      <c r="SZ58" s="390"/>
      <c r="TA58" s="390"/>
      <c r="TB58" s="390"/>
      <c r="TC58" s="390"/>
      <c r="TD58" s="390"/>
      <c r="TE58" s="390"/>
      <c r="TF58" s="390"/>
      <c r="TG58" s="390"/>
      <c r="TH58" s="390"/>
      <c r="TI58" s="390"/>
      <c r="TJ58" s="390"/>
      <c r="TK58" s="390"/>
      <c r="TL58" s="390"/>
      <c r="TM58" s="390"/>
      <c r="TN58" s="390"/>
      <c r="TO58" s="390"/>
      <c r="TP58" s="390"/>
      <c r="TQ58" s="390"/>
      <c r="TR58" s="390"/>
      <c r="TS58" s="390"/>
      <c r="TT58" s="390"/>
      <c r="TU58" s="390"/>
      <c r="TV58" s="390"/>
      <c r="TW58" s="390"/>
      <c r="TX58" s="390"/>
      <c r="TY58" s="390"/>
      <c r="TZ58" s="390"/>
      <c r="UA58" s="390"/>
      <c r="UB58" s="390"/>
      <c r="UC58" s="390"/>
      <c r="UD58" s="390"/>
      <c r="UE58" s="390"/>
      <c r="UF58" s="390"/>
      <c r="UG58" s="390"/>
      <c r="UH58" s="390"/>
      <c r="UI58" s="390"/>
      <c r="UJ58" s="390"/>
      <c r="UK58" s="390"/>
      <c r="UL58" s="390"/>
      <c r="UM58" s="390"/>
      <c r="UN58" s="390"/>
      <c r="UO58" s="390"/>
      <c r="UP58" s="390"/>
      <c r="UQ58" s="390"/>
      <c r="UR58" s="390"/>
      <c r="US58" s="390"/>
      <c r="UT58" s="390"/>
      <c r="UU58" s="390"/>
      <c r="UV58" s="390"/>
      <c r="UW58" s="390"/>
      <c r="UX58" s="390"/>
      <c r="UY58" s="390"/>
      <c r="UZ58" s="390"/>
      <c r="VA58" s="390"/>
      <c r="VB58" s="390"/>
      <c r="VC58" s="390"/>
      <c r="VD58" s="390"/>
      <c r="VE58" s="390"/>
      <c r="VF58" s="390"/>
      <c r="VG58" s="390"/>
      <c r="VH58" s="390"/>
      <c r="VI58" s="390"/>
      <c r="VJ58" s="390"/>
      <c r="VK58" s="390"/>
      <c r="VL58" s="390"/>
      <c r="VM58" s="390"/>
      <c r="VN58" s="390"/>
      <c r="VO58" s="390"/>
      <c r="VP58" s="390"/>
      <c r="VQ58" s="390"/>
      <c r="VR58" s="390"/>
      <c r="VS58" s="390"/>
      <c r="VT58" s="390"/>
      <c r="VU58" s="390"/>
      <c r="VV58" s="390"/>
      <c r="VW58" s="390"/>
      <c r="VX58" s="390"/>
      <c r="VY58" s="390"/>
      <c r="VZ58" s="390"/>
      <c r="WA58" s="390"/>
      <c r="WB58" s="390"/>
      <c r="WC58" s="390"/>
      <c r="WD58" s="390"/>
      <c r="WE58" s="390"/>
      <c r="WF58" s="390"/>
      <c r="WG58" s="390"/>
      <c r="WH58" s="390"/>
      <c r="WI58" s="390"/>
      <c r="WJ58" s="390"/>
      <c r="WK58" s="390"/>
      <c r="WL58" s="390"/>
      <c r="WM58" s="390"/>
      <c r="WN58" s="390"/>
      <c r="WO58" s="390"/>
      <c r="WP58" s="390"/>
      <c r="WQ58" s="390"/>
      <c r="WR58" s="390"/>
      <c r="WS58" s="390"/>
      <c r="WT58" s="390"/>
      <c r="WU58" s="390"/>
      <c r="WV58" s="390"/>
      <c r="WW58" s="390"/>
      <c r="WX58" s="390"/>
      <c r="WY58" s="390"/>
      <c r="WZ58" s="390"/>
      <c r="XA58" s="390"/>
      <c r="XB58" s="390"/>
      <c r="XC58" s="390"/>
      <c r="XD58" s="390"/>
      <c r="XE58" s="390"/>
      <c r="XF58" s="390"/>
      <c r="XG58" s="390"/>
      <c r="XH58" s="390"/>
      <c r="XI58" s="390"/>
      <c r="XJ58" s="390"/>
      <c r="XK58" s="390"/>
      <c r="XL58" s="390"/>
      <c r="XM58" s="390"/>
      <c r="XN58" s="390"/>
      <c r="XO58" s="390"/>
      <c r="XP58" s="390"/>
      <c r="XQ58" s="390"/>
      <c r="XR58" s="390"/>
      <c r="XS58" s="390"/>
      <c r="XT58" s="390"/>
      <c r="XU58" s="390"/>
      <c r="XV58" s="390"/>
      <c r="XW58" s="390"/>
      <c r="XX58" s="390"/>
      <c r="XY58" s="390"/>
      <c r="XZ58" s="390"/>
      <c r="YA58" s="390"/>
      <c r="YB58" s="390"/>
      <c r="YC58" s="390"/>
      <c r="YD58" s="390"/>
      <c r="YE58" s="390"/>
      <c r="YF58" s="390"/>
      <c r="YG58" s="390"/>
      <c r="YH58" s="390"/>
      <c r="YI58" s="390"/>
      <c r="YJ58" s="390"/>
      <c r="YK58" s="390"/>
      <c r="YL58" s="390"/>
      <c r="YM58" s="390"/>
      <c r="YN58" s="390"/>
      <c r="YO58" s="390"/>
      <c r="YP58" s="390"/>
      <c r="YQ58" s="390"/>
      <c r="YR58" s="390"/>
      <c r="YS58" s="390"/>
      <c r="YT58" s="390"/>
      <c r="YU58" s="390"/>
      <c r="YV58" s="390"/>
      <c r="YW58" s="390"/>
      <c r="YX58" s="390"/>
      <c r="YY58" s="390"/>
      <c r="YZ58" s="390"/>
      <c r="ZA58" s="390"/>
      <c r="ZB58" s="390"/>
      <c r="ZC58" s="390"/>
      <c r="ZD58" s="390"/>
      <c r="ZE58" s="390"/>
      <c r="ZF58" s="390"/>
      <c r="ZG58" s="390"/>
      <c r="ZH58" s="390"/>
      <c r="ZI58" s="390"/>
      <c r="ZJ58" s="390"/>
      <c r="ZK58" s="390"/>
      <c r="ZL58" s="390"/>
      <c r="ZM58" s="390"/>
      <c r="ZN58" s="390"/>
      <c r="ZO58" s="390"/>
      <c r="ZP58" s="390"/>
      <c r="ZQ58" s="390"/>
      <c r="ZR58" s="390"/>
      <c r="ZS58" s="390"/>
      <c r="ZT58" s="390"/>
      <c r="ZU58" s="390"/>
      <c r="ZV58" s="390"/>
      <c r="ZW58" s="390"/>
      <c r="ZX58" s="390"/>
      <c r="ZY58" s="390"/>
      <c r="ZZ58" s="390"/>
      <c r="AAA58" s="390"/>
      <c r="AAB58" s="390"/>
      <c r="AAC58" s="390"/>
      <c r="AAD58" s="390"/>
      <c r="AAE58" s="390"/>
      <c r="AAF58" s="390"/>
      <c r="AAG58" s="390"/>
      <c r="AAH58" s="390"/>
      <c r="AAI58" s="390"/>
      <c r="AAJ58" s="390"/>
      <c r="AAK58" s="390"/>
      <c r="AAL58" s="390"/>
      <c r="AAM58" s="390"/>
      <c r="AAN58" s="390"/>
      <c r="AAO58" s="390"/>
      <c r="AAP58" s="390"/>
      <c r="AAQ58" s="390"/>
      <c r="AAR58" s="390"/>
      <c r="AAS58" s="390"/>
      <c r="AAT58" s="390"/>
      <c r="AAU58" s="390"/>
      <c r="AAV58" s="390"/>
      <c r="AAW58" s="390"/>
      <c r="AAX58" s="390"/>
      <c r="AAY58" s="390"/>
      <c r="AAZ58" s="390"/>
      <c r="ABA58" s="390"/>
      <c r="ABB58" s="390"/>
      <c r="ABC58" s="390"/>
      <c r="ABD58" s="390"/>
      <c r="ABE58" s="390"/>
      <c r="ABF58" s="390"/>
      <c r="ABG58" s="390"/>
      <c r="ABH58" s="390"/>
      <c r="ABI58" s="390"/>
      <c r="ABJ58" s="390"/>
      <c r="ABK58" s="390"/>
      <c r="ABL58" s="390"/>
      <c r="ABM58" s="390"/>
      <c r="ABN58" s="390"/>
      <c r="ABO58" s="390"/>
      <c r="ABP58" s="390"/>
      <c r="ABQ58" s="390"/>
      <c r="ABR58" s="390"/>
      <c r="ABS58" s="390"/>
      <c r="ABT58" s="390"/>
      <c r="ABU58" s="390"/>
      <c r="ABV58" s="390"/>
      <c r="ABW58" s="390"/>
      <c r="ABX58" s="390"/>
      <c r="ABY58" s="390"/>
      <c r="ABZ58" s="390"/>
      <c r="ACA58" s="390"/>
      <c r="ACB58" s="390"/>
      <c r="ACC58" s="390"/>
      <c r="ACD58" s="390"/>
      <c r="ACE58" s="390"/>
      <c r="ACF58" s="390"/>
      <c r="ACG58" s="390"/>
      <c r="ACH58" s="390"/>
      <c r="ACI58" s="390"/>
    </row>
    <row r="59" spans="1:763" ht="13.95" customHeight="1" x14ac:dyDescent="0.3">
      <c r="A59" s="397" t="str">
        <f ca="1">Проект!$A$356</f>
        <v>численность</v>
      </c>
      <c r="B59" s="353">
        <f>Проект!$B$356</f>
        <v>1</v>
      </c>
      <c r="C59" s="402" t="str">
        <f ca="1">Проект!$C$356</f>
        <v>человек</v>
      </c>
      <c r="D59" s="354">
        <f>IFERROR(AVERAGE(Проект!$G$356:$R$356),"-")</f>
        <v>0.5</v>
      </c>
      <c r="E59" s="354">
        <f>IFERROR(AVERAGE(Проект!$S$356:$AD$356),"-")</f>
        <v>1</v>
      </c>
      <c r="F59" s="354">
        <f>IFERROR(AVERAGE(Проект!$AE$356:$AP$356),"-")</f>
        <v>1</v>
      </c>
      <c r="G59" s="354">
        <f>IFERROR(AVERAGE(Проект!$AQ$356:$BB$356),"-")</f>
        <v>1</v>
      </c>
      <c r="H59" s="396"/>
      <c r="I59" s="390"/>
      <c r="J59" s="390"/>
      <c r="K59" s="390"/>
      <c r="L59" s="390"/>
      <c r="M59" s="390"/>
      <c r="N59" s="390"/>
      <c r="O59" s="390"/>
      <c r="P59" s="390"/>
      <c r="Q59" s="390"/>
      <c r="R59" s="390"/>
      <c r="S59" s="390"/>
      <c r="T59" s="390"/>
      <c r="U59" s="390"/>
      <c r="V59" s="390"/>
      <c r="W59" s="390"/>
      <c r="X59" s="390"/>
      <c r="Y59" s="390"/>
      <c r="Z59" s="390"/>
      <c r="AA59" s="390"/>
      <c r="AB59" s="390"/>
      <c r="AC59" s="390"/>
      <c r="AD59" s="390"/>
      <c r="AE59" s="390"/>
      <c r="AF59" s="390"/>
      <c r="AG59" s="390"/>
      <c r="AH59" s="390"/>
      <c r="AI59" s="390"/>
      <c r="AJ59" s="390"/>
      <c r="AK59" s="390"/>
      <c r="AL59" s="390"/>
      <c r="AM59" s="390"/>
      <c r="AN59" s="390"/>
      <c r="AO59" s="390"/>
      <c r="AP59" s="390"/>
      <c r="AQ59" s="390"/>
      <c r="AR59" s="390"/>
      <c r="AS59" s="390"/>
      <c r="AT59" s="390"/>
      <c r="AU59" s="390"/>
      <c r="AV59" s="390"/>
      <c r="AW59" s="390"/>
      <c r="AX59" s="390"/>
      <c r="AY59" s="390"/>
      <c r="AZ59" s="390"/>
      <c r="BA59" s="390"/>
      <c r="BB59" s="390"/>
      <c r="BC59" s="390"/>
      <c r="BD59" s="390"/>
      <c r="BE59" s="390"/>
      <c r="BF59" s="390"/>
      <c r="BG59" s="390"/>
      <c r="BH59" s="390"/>
      <c r="BI59" s="390"/>
      <c r="BJ59" s="390"/>
      <c r="BK59" s="390"/>
      <c r="BL59" s="390"/>
      <c r="BM59" s="390"/>
      <c r="BN59" s="390"/>
      <c r="BO59" s="390"/>
      <c r="BP59" s="390"/>
      <c r="BQ59" s="390"/>
      <c r="BR59" s="390"/>
      <c r="BS59" s="390"/>
      <c r="BT59" s="390"/>
      <c r="BU59" s="390"/>
      <c r="BV59" s="390"/>
      <c r="BW59" s="390"/>
      <c r="BX59" s="390"/>
      <c r="BY59" s="390"/>
      <c r="BZ59" s="390"/>
      <c r="CA59" s="390"/>
      <c r="CB59" s="390"/>
      <c r="CC59" s="390"/>
      <c r="CD59" s="390"/>
      <c r="CE59" s="390"/>
      <c r="CF59" s="390"/>
      <c r="CG59" s="390"/>
      <c r="CH59" s="390"/>
      <c r="CI59" s="390"/>
      <c r="CJ59" s="390"/>
      <c r="CK59" s="390"/>
      <c r="CL59" s="390"/>
      <c r="CM59" s="390"/>
      <c r="CN59" s="390"/>
      <c r="CO59" s="390"/>
      <c r="CP59" s="390"/>
      <c r="CQ59" s="390"/>
      <c r="CR59" s="390"/>
      <c r="CS59" s="390"/>
      <c r="CT59" s="390"/>
      <c r="CU59" s="390"/>
      <c r="CV59" s="390"/>
      <c r="CW59" s="390"/>
      <c r="CX59" s="390"/>
      <c r="CY59" s="390"/>
      <c r="CZ59" s="390"/>
      <c r="DA59" s="390"/>
      <c r="DB59" s="390"/>
      <c r="DC59" s="390"/>
      <c r="DD59" s="390"/>
      <c r="DE59" s="390"/>
      <c r="DF59" s="390"/>
      <c r="DG59" s="390"/>
      <c r="DH59" s="390"/>
      <c r="DI59" s="390"/>
      <c r="DJ59" s="390"/>
      <c r="DK59" s="390"/>
      <c r="DL59" s="390"/>
      <c r="DM59" s="390"/>
      <c r="DN59" s="390"/>
      <c r="DO59" s="390"/>
      <c r="DP59" s="390"/>
      <c r="DQ59" s="390"/>
      <c r="DR59" s="390"/>
      <c r="DS59" s="390"/>
      <c r="DT59" s="390"/>
      <c r="DU59" s="390"/>
      <c r="DV59" s="390"/>
      <c r="DW59" s="390"/>
      <c r="DX59" s="390"/>
      <c r="DY59" s="390"/>
      <c r="DZ59" s="390"/>
      <c r="EA59" s="390"/>
      <c r="EB59" s="390"/>
      <c r="EC59" s="390"/>
      <c r="ED59" s="390"/>
      <c r="EE59" s="390"/>
      <c r="EF59" s="390"/>
      <c r="EG59" s="390"/>
      <c r="EH59" s="390"/>
      <c r="EI59" s="390"/>
      <c r="EJ59" s="390"/>
      <c r="EK59" s="390"/>
      <c r="EL59" s="390"/>
      <c r="EM59" s="390"/>
      <c r="EN59" s="390"/>
      <c r="EO59" s="390"/>
      <c r="EP59" s="390"/>
      <c r="EQ59" s="390"/>
      <c r="ER59" s="390"/>
      <c r="ES59" s="390"/>
      <c r="ET59" s="390"/>
      <c r="EU59" s="390"/>
      <c r="EV59" s="390"/>
      <c r="EW59" s="390"/>
      <c r="EX59" s="390"/>
      <c r="EY59" s="390"/>
      <c r="EZ59" s="390"/>
      <c r="FA59" s="390"/>
      <c r="FB59" s="390"/>
      <c r="FC59" s="390"/>
      <c r="FD59" s="390"/>
      <c r="FE59" s="390"/>
      <c r="FF59" s="390"/>
      <c r="FG59" s="390"/>
      <c r="FH59" s="390"/>
      <c r="FI59" s="390"/>
      <c r="FJ59" s="390"/>
      <c r="FK59" s="390"/>
      <c r="FL59" s="390"/>
      <c r="FM59" s="390"/>
      <c r="FN59" s="390"/>
      <c r="FO59" s="390"/>
      <c r="FP59" s="390"/>
      <c r="FQ59" s="390"/>
      <c r="FR59" s="390"/>
      <c r="FS59" s="390"/>
      <c r="FT59" s="390"/>
      <c r="FU59" s="390"/>
      <c r="FV59" s="390"/>
      <c r="FW59" s="390"/>
      <c r="FX59" s="390"/>
      <c r="FY59" s="390"/>
      <c r="FZ59" s="390"/>
      <c r="GA59" s="390"/>
      <c r="GB59" s="390"/>
      <c r="GC59" s="390"/>
      <c r="GD59" s="390"/>
      <c r="GE59" s="390"/>
      <c r="GF59" s="390"/>
      <c r="GG59" s="390"/>
      <c r="GH59" s="390"/>
      <c r="GI59" s="390"/>
      <c r="GJ59" s="390"/>
      <c r="GK59" s="390"/>
      <c r="GL59" s="390"/>
      <c r="GM59" s="390"/>
      <c r="GN59" s="390"/>
      <c r="GO59" s="390"/>
      <c r="GP59" s="390"/>
      <c r="GQ59" s="390"/>
      <c r="GR59" s="390"/>
      <c r="GS59" s="390"/>
      <c r="GT59" s="390"/>
      <c r="GU59" s="390"/>
      <c r="GV59" s="390"/>
      <c r="GW59" s="390"/>
      <c r="GX59" s="390"/>
      <c r="GY59" s="390"/>
      <c r="GZ59" s="390"/>
      <c r="HA59" s="390"/>
      <c r="HB59" s="390"/>
      <c r="HC59" s="390"/>
      <c r="HD59" s="390"/>
      <c r="HE59" s="390"/>
      <c r="HF59" s="390"/>
      <c r="HG59" s="390"/>
      <c r="HH59" s="390"/>
      <c r="HI59" s="390"/>
      <c r="HJ59" s="390"/>
      <c r="HK59" s="390"/>
      <c r="HL59" s="390"/>
      <c r="HM59" s="390"/>
      <c r="HN59" s="390"/>
      <c r="HO59" s="390"/>
      <c r="HP59" s="390"/>
      <c r="HQ59" s="390"/>
      <c r="HR59" s="390"/>
      <c r="HS59" s="390"/>
      <c r="HT59" s="390"/>
      <c r="HU59" s="390"/>
      <c r="HV59" s="390"/>
      <c r="HW59" s="390"/>
      <c r="HX59" s="390"/>
      <c r="HY59" s="390"/>
      <c r="HZ59" s="390"/>
      <c r="IA59" s="390"/>
      <c r="IB59" s="390"/>
      <c r="IC59" s="390"/>
      <c r="ID59" s="390"/>
      <c r="IE59" s="390"/>
      <c r="IF59" s="390"/>
      <c r="IG59" s="390"/>
      <c r="IH59" s="390"/>
      <c r="II59" s="390"/>
      <c r="IJ59" s="390"/>
      <c r="IK59" s="390"/>
      <c r="IL59" s="390"/>
      <c r="IM59" s="390"/>
      <c r="IN59" s="390"/>
      <c r="IO59" s="390"/>
      <c r="IP59" s="390"/>
      <c r="IQ59" s="390"/>
      <c r="IR59" s="390"/>
      <c r="IS59" s="390"/>
      <c r="IT59" s="390"/>
      <c r="IU59" s="390"/>
      <c r="IV59" s="390"/>
      <c r="IW59" s="390"/>
      <c r="IX59" s="390"/>
      <c r="IY59" s="390"/>
      <c r="IZ59" s="390"/>
      <c r="JA59" s="390"/>
      <c r="JB59" s="390"/>
      <c r="JC59" s="390"/>
      <c r="JD59" s="390"/>
      <c r="JE59" s="390"/>
      <c r="JF59" s="390"/>
      <c r="JG59" s="390"/>
      <c r="JH59" s="390"/>
      <c r="JI59" s="390"/>
      <c r="JJ59" s="390"/>
      <c r="JK59" s="390"/>
      <c r="JL59" s="390"/>
      <c r="JM59" s="390"/>
      <c r="JN59" s="390"/>
      <c r="JO59" s="390"/>
      <c r="JP59" s="390"/>
      <c r="JQ59" s="390"/>
      <c r="JR59" s="390"/>
      <c r="JS59" s="390"/>
      <c r="JT59" s="390"/>
      <c r="JU59" s="390"/>
      <c r="JV59" s="390"/>
      <c r="JW59" s="390"/>
      <c r="JX59" s="390"/>
      <c r="JY59" s="390"/>
      <c r="JZ59" s="390"/>
      <c r="KA59" s="390"/>
      <c r="KB59" s="390"/>
      <c r="KC59" s="390"/>
      <c r="KD59" s="390"/>
      <c r="KE59" s="390"/>
      <c r="KF59" s="390"/>
      <c r="KG59" s="390"/>
      <c r="KH59" s="390"/>
      <c r="KI59" s="390"/>
      <c r="KJ59" s="390"/>
      <c r="KK59" s="390"/>
      <c r="KL59" s="390"/>
      <c r="KM59" s="390"/>
      <c r="KN59" s="390"/>
      <c r="KO59" s="390"/>
      <c r="KP59" s="390"/>
      <c r="KQ59" s="390"/>
      <c r="KR59" s="390"/>
      <c r="KS59" s="390"/>
      <c r="KT59" s="390"/>
      <c r="KU59" s="390"/>
      <c r="KV59" s="390"/>
      <c r="KW59" s="390"/>
      <c r="KX59" s="390"/>
      <c r="KY59" s="390"/>
      <c r="KZ59" s="390"/>
      <c r="LA59" s="390"/>
      <c r="LB59" s="390"/>
      <c r="LC59" s="390"/>
      <c r="LD59" s="390"/>
      <c r="LE59" s="390"/>
      <c r="LF59" s="390"/>
      <c r="LG59" s="390"/>
      <c r="LH59" s="390"/>
      <c r="LI59" s="390"/>
      <c r="LJ59" s="390"/>
      <c r="LK59" s="390"/>
      <c r="LL59" s="390"/>
      <c r="LM59" s="390"/>
      <c r="LN59" s="390"/>
      <c r="LO59" s="390"/>
      <c r="LP59" s="390"/>
      <c r="LQ59" s="390"/>
      <c r="LR59" s="390"/>
      <c r="LS59" s="390"/>
      <c r="LT59" s="390"/>
      <c r="LU59" s="390"/>
      <c r="LV59" s="390"/>
      <c r="LW59" s="390"/>
      <c r="LX59" s="390"/>
      <c r="LY59" s="390"/>
      <c r="LZ59" s="390"/>
      <c r="MA59" s="390"/>
      <c r="MB59" s="390"/>
      <c r="MC59" s="390"/>
      <c r="MD59" s="390"/>
      <c r="ME59" s="390"/>
      <c r="MF59" s="390"/>
      <c r="MG59" s="390"/>
      <c r="MH59" s="390"/>
      <c r="MI59" s="390"/>
      <c r="MJ59" s="390"/>
      <c r="MK59" s="390"/>
      <c r="ML59" s="390"/>
      <c r="MM59" s="390"/>
      <c r="MN59" s="390"/>
      <c r="MO59" s="390"/>
      <c r="MP59" s="390"/>
      <c r="MQ59" s="390"/>
      <c r="MR59" s="390"/>
      <c r="MS59" s="390"/>
      <c r="MT59" s="390"/>
      <c r="MU59" s="390"/>
      <c r="MV59" s="390"/>
      <c r="MW59" s="390"/>
      <c r="MX59" s="390"/>
      <c r="MY59" s="390"/>
      <c r="MZ59" s="390"/>
      <c r="NA59" s="390"/>
      <c r="NB59" s="390"/>
      <c r="NC59" s="390"/>
      <c r="ND59" s="390"/>
      <c r="NE59" s="390"/>
      <c r="NF59" s="390"/>
      <c r="NG59" s="390"/>
      <c r="NH59" s="390"/>
      <c r="NI59" s="390"/>
      <c r="NJ59" s="390"/>
      <c r="NK59" s="390"/>
      <c r="NL59" s="390"/>
      <c r="NM59" s="390"/>
      <c r="NN59" s="390"/>
      <c r="NO59" s="390"/>
      <c r="NP59" s="390"/>
      <c r="NQ59" s="390"/>
      <c r="NR59" s="390"/>
      <c r="NS59" s="390"/>
      <c r="NT59" s="390"/>
      <c r="NU59" s="390"/>
      <c r="NV59" s="390"/>
      <c r="NW59" s="390"/>
      <c r="NX59" s="390"/>
      <c r="NY59" s="390"/>
      <c r="NZ59" s="390"/>
      <c r="OA59" s="390"/>
      <c r="OB59" s="390"/>
      <c r="OC59" s="390"/>
      <c r="OD59" s="390"/>
      <c r="OE59" s="390"/>
      <c r="OF59" s="390"/>
      <c r="OG59" s="390"/>
      <c r="OH59" s="390"/>
      <c r="OI59" s="390"/>
      <c r="OJ59" s="390"/>
      <c r="OK59" s="390"/>
      <c r="OL59" s="390"/>
      <c r="OM59" s="390"/>
      <c r="ON59" s="390"/>
      <c r="OO59" s="390"/>
      <c r="OP59" s="390"/>
      <c r="OQ59" s="390"/>
      <c r="OR59" s="390"/>
      <c r="OS59" s="390"/>
      <c r="OT59" s="390"/>
      <c r="OU59" s="390"/>
      <c r="OV59" s="390"/>
      <c r="OW59" s="390"/>
      <c r="OX59" s="390"/>
      <c r="OY59" s="390"/>
      <c r="OZ59" s="390"/>
      <c r="PA59" s="390"/>
      <c r="PB59" s="390"/>
      <c r="PC59" s="390"/>
      <c r="PD59" s="390"/>
      <c r="PE59" s="390"/>
      <c r="PF59" s="390"/>
      <c r="PG59" s="390"/>
      <c r="PH59" s="390"/>
      <c r="PI59" s="390"/>
      <c r="PJ59" s="390"/>
      <c r="PK59" s="390"/>
      <c r="PL59" s="390"/>
      <c r="PM59" s="390"/>
      <c r="PN59" s="390"/>
      <c r="PO59" s="390"/>
      <c r="PP59" s="390"/>
      <c r="PQ59" s="390"/>
      <c r="PR59" s="390"/>
      <c r="PS59" s="390"/>
      <c r="PT59" s="390"/>
      <c r="PU59" s="390"/>
      <c r="PV59" s="390"/>
      <c r="PW59" s="390"/>
      <c r="PX59" s="390"/>
      <c r="PY59" s="390"/>
      <c r="PZ59" s="390"/>
      <c r="QA59" s="390"/>
      <c r="QB59" s="390"/>
      <c r="QC59" s="390"/>
      <c r="QD59" s="390"/>
      <c r="QE59" s="390"/>
      <c r="QF59" s="390"/>
      <c r="QG59" s="390"/>
      <c r="QH59" s="390"/>
      <c r="QI59" s="390"/>
      <c r="QJ59" s="390"/>
      <c r="QK59" s="390"/>
      <c r="QL59" s="390"/>
      <c r="QM59" s="390"/>
      <c r="QN59" s="390"/>
      <c r="QO59" s="390"/>
      <c r="QP59" s="390"/>
      <c r="QQ59" s="390"/>
      <c r="QR59" s="390"/>
      <c r="QS59" s="390"/>
      <c r="QT59" s="390"/>
      <c r="QU59" s="390"/>
      <c r="QV59" s="390"/>
      <c r="QW59" s="390"/>
      <c r="QX59" s="390"/>
      <c r="QY59" s="390"/>
      <c r="QZ59" s="390"/>
      <c r="RA59" s="390"/>
      <c r="RB59" s="390"/>
      <c r="RC59" s="390"/>
      <c r="RD59" s="390"/>
      <c r="RE59" s="390"/>
      <c r="RF59" s="390"/>
      <c r="RG59" s="390"/>
      <c r="RH59" s="390"/>
      <c r="RI59" s="390"/>
      <c r="RJ59" s="390"/>
      <c r="RK59" s="390"/>
      <c r="RL59" s="390"/>
      <c r="RM59" s="390"/>
      <c r="RN59" s="390"/>
      <c r="RO59" s="390"/>
      <c r="RP59" s="390"/>
      <c r="RQ59" s="390"/>
      <c r="RR59" s="390"/>
      <c r="RS59" s="390"/>
      <c r="RT59" s="390"/>
      <c r="RU59" s="390"/>
      <c r="RV59" s="390"/>
      <c r="RW59" s="390"/>
      <c r="RX59" s="390"/>
      <c r="RY59" s="390"/>
      <c r="RZ59" s="390"/>
      <c r="SA59" s="390"/>
      <c r="SB59" s="390"/>
      <c r="SC59" s="390"/>
      <c r="SD59" s="390"/>
      <c r="SE59" s="390"/>
      <c r="SF59" s="390"/>
      <c r="SG59" s="390"/>
      <c r="SH59" s="390"/>
      <c r="SI59" s="390"/>
      <c r="SJ59" s="390"/>
      <c r="SK59" s="390"/>
      <c r="SL59" s="390"/>
      <c r="SM59" s="390"/>
      <c r="SN59" s="390"/>
      <c r="SO59" s="390"/>
      <c r="SP59" s="390"/>
      <c r="SQ59" s="390"/>
      <c r="SR59" s="390"/>
      <c r="SS59" s="390"/>
      <c r="ST59" s="390"/>
      <c r="SU59" s="390"/>
      <c r="SV59" s="390"/>
      <c r="SW59" s="390"/>
      <c r="SX59" s="390"/>
      <c r="SY59" s="390"/>
      <c r="SZ59" s="390"/>
      <c r="TA59" s="390"/>
      <c r="TB59" s="390"/>
      <c r="TC59" s="390"/>
      <c r="TD59" s="390"/>
      <c r="TE59" s="390"/>
      <c r="TF59" s="390"/>
      <c r="TG59" s="390"/>
      <c r="TH59" s="390"/>
      <c r="TI59" s="390"/>
      <c r="TJ59" s="390"/>
      <c r="TK59" s="390"/>
      <c r="TL59" s="390"/>
      <c r="TM59" s="390"/>
      <c r="TN59" s="390"/>
      <c r="TO59" s="390"/>
      <c r="TP59" s="390"/>
      <c r="TQ59" s="390"/>
      <c r="TR59" s="390"/>
      <c r="TS59" s="390"/>
      <c r="TT59" s="390"/>
      <c r="TU59" s="390"/>
      <c r="TV59" s="390"/>
      <c r="TW59" s="390"/>
      <c r="TX59" s="390"/>
      <c r="TY59" s="390"/>
      <c r="TZ59" s="390"/>
      <c r="UA59" s="390"/>
      <c r="UB59" s="390"/>
      <c r="UC59" s="390"/>
      <c r="UD59" s="390"/>
      <c r="UE59" s="390"/>
      <c r="UF59" s="390"/>
      <c r="UG59" s="390"/>
      <c r="UH59" s="390"/>
      <c r="UI59" s="390"/>
      <c r="UJ59" s="390"/>
      <c r="UK59" s="390"/>
      <c r="UL59" s="390"/>
      <c r="UM59" s="390"/>
      <c r="UN59" s="390"/>
      <c r="UO59" s="390"/>
      <c r="UP59" s="390"/>
      <c r="UQ59" s="390"/>
      <c r="UR59" s="390"/>
      <c r="US59" s="390"/>
      <c r="UT59" s="390"/>
      <c r="UU59" s="390"/>
      <c r="UV59" s="390"/>
      <c r="UW59" s="390"/>
      <c r="UX59" s="390"/>
      <c r="UY59" s="390"/>
      <c r="UZ59" s="390"/>
      <c r="VA59" s="390"/>
      <c r="VB59" s="390"/>
      <c r="VC59" s="390"/>
      <c r="VD59" s="390"/>
      <c r="VE59" s="390"/>
      <c r="VF59" s="390"/>
      <c r="VG59" s="390"/>
      <c r="VH59" s="390"/>
      <c r="VI59" s="390"/>
      <c r="VJ59" s="390"/>
      <c r="VK59" s="390"/>
      <c r="VL59" s="390"/>
      <c r="VM59" s="390"/>
      <c r="VN59" s="390"/>
      <c r="VO59" s="390"/>
      <c r="VP59" s="390"/>
      <c r="VQ59" s="390"/>
      <c r="VR59" s="390"/>
      <c r="VS59" s="390"/>
      <c r="VT59" s="390"/>
      <c r="VU59" s="390"/>
      <c r="VV59" s="390"/>
      <c r="VW59" s="390"/>
      <c r="VX59" s="390"/>
      <c r="VY59" s="390"/>
      <c r="VZ59" s="390"/>
      <c r="WA59" s="390"/>
      <c r="WB59" s="390"/>
      <c r="WC59" s="390"/>
      <c r="WD59" s="390"/>
      <c r="WE59" s="390"/>
      <c r="WF59" s="390"/>
      <c r="WG59" s="390"/>
      <c r="WH59" s="390"/>
      <c r="WI59" s="390"/>
      <c r="WJ59" s="390"/>
      <c r="WK59" s="390"/>
      <c r="WL59" s="390"/>
      <c r="WM59" s="390"/>
      <c r="WN59" s="390"/>
      <c r="WO59" s="390"/>
      <c r="WP59" s="390"/>
      <c r="WQ59" s="390"/>
      <c r="WR59" s="390"/>
      <c r="WS59" s="390"/>
      <c r="WT59" s="390"/>
      <c r="WU59" s="390"/>
      <c r="WV59" s="390"/>
      <c r="WW59" s="390"/>
      <c r="WX59" s="390"/>
      <c r="WY59" s="390"/>
      <c r="WZ59" s="390"/>
      <c r="XA59" s="390"/>
      <c r="XB59" s="390"/>
      <c r="XC59" s="390"/>
      <c r="XD59" s="390"/>
      <c r="XE59" s="390"/>
      <c r="XF59" s="390"/>
      <c r="XG59" s="390"/>
      <c r="XH59" s="390"/>
      <c r="XI59" s="390"/>
      <c r="XJ59" s="390"/>
      <c r="XK59" s="390"/>
      <c r="XL59" s="390"/>
      <c r="XM59" s="390"/>
      <c r="XN59" s="390"/>
      <c r="XO59" s="390"/>
      <c r="XP59" s="390"/>
      <c r="XQ59" s="390"/>
      <c r="XR59" s="390"/>
      <c r="XS59" s="390"/>
      <c r="XT59" s="390"/>
      <c r="XU59" s="390"/>
      <c r="XV59" s="390"/>
      <c r="XW59" s="390"/>
      <c r="XX59" s="390"/>
      <c r="XY59" s="390"/>
      <c r="XZ59" s="390"/>
      <c r="YA59" s="390"/>
      <c r="YB59" s="390"/>
      <c r="YC59" s="390"/>
      <c r="YD59" s="390"/>
      <c r="YE59" s="390"/>
      <c r="YF59" s="390"/>
      <c r="YG59" s="390"/>
      <c r="YH59" s="390"/>
      <c r="YI59" s="390"/>
      <c r="YJ59" s="390"/>
      <c r="YK59" s="390"/>
      <c r="YL59" s="390"/>
      <c r="YM59" s="390"/>
      <c r="YN59" s="390"/>
      <c r="YO59" s="390"/>
      <c r="YP59" s="390"/>
      <c r="YQ59" s="390"/>
      <c r="YR59" s="390"/>
      <c r="YS59" s="390"/>
      <c r="YT59" s="390"/>
      <c r="YU59" s="390"/>
      <c r="YV59" s="390"/>
      <c r="YW59" s="390"/>
      <c r="YX59" s="390"/>
      <c r="YY59" s="390"/>
      <c r="YZ59" s="390"/>
      <c r="ZA59" s="390"/>
      <c r="ZB59" s="390"/>
      <c r="ZC59" s="390"/>
      <c r="ZD59" s="390"/>
      <c r="ZE59" s="390"/>
      <c r="ZF59" s="390"/>
      <c r="ZG59" s="390"/>
      <c r="ZH59" s="390"/>
      <c r="ZI59" s="390"/>
      <c r="ZJ59" s="390"/>
      <c r="ZK59" s="390"/>
      <c r="ZL59" s="390"/>
      <c r="ZM59" s="390"/>
      <c r="ZN59" s="390"/>
      <c r="ZO59" s="390"/>
      <c r="ZP59" s="390"/>
      <c r="ZQ59" s="390"/>
      <c r="ZR59" s="390"/>
      <c r="ZS59" s="390"/>
      <c r="ZT59" s="390"/>
      <c r="ZU59" s="390"/>
      <c r="ZV59" s="390"/>
      <c r="ZW59" s="390"/>
      <c r="ZX59" s="390"/>
      <c r="ZY59" s="390"/>
      <c r="ZZ59" s="390"/>
      <c r="AAA59" s="390"/>
      <c r="AAB59" s="390"/>
      <c r="AAC59" s="390"/>
      <c r="AAD59" s="390"/>
      <c r="AAE59" s="390"/>
      <c r="AAF59" s="390"/>
      <c r="AAG59" s="390"/>
      <c r="AAH59" s="390"/>
      <c r="AAI59" s="390"/>
      <c r="AAJ59" s="390"/>
      <c r="AAK59" s="390"/>
      <c r="AAL59" s="390"/>
      <c r="AAM59" s="390"/>
      <c r="AAN59" s="390"/>
      <c r="AAO59" s="390"/>
      <c r="AAP59" s="390"/>
      <c r="AAQ59" s="390"/>
      <c r="AAR59" s="390"/>
      <c r="AAS59" s="390"/>
      <c r="AAT59" s="390"/>
      <c r="AAU59" s="390"/>
      <c r="AAV59" s="390"/>
      <c r="AAW59" s="390"/>
      <c r="AAX59" s="390"/>
      <c r="AAY59" s="390"/>
      <c r="AAZ59" s="390"/>
      <c r="ABA59" s="390"/>
      <c r="ABB59" s="390"/>
      <c r="ABC59" s="390"/>
      <c r="ABD59" s="390"/>
      <c r="ABE59" s="390"/>
      <c r="ABF59" s="390"/>
      <c r="ABG59" s="390"/>
      <c r="ABH59" s="390"/>
      <c r="ABI59" s="390"/>
      <c r="ABJ59" s="390"/>
      <c r="ABK59" s="390"/>
      <c r="ABL59" s="390"/>
      <c r="ABM59" s="390"/>
      <c r="ABN59" s="390"/>
      <c r="ABO59" s="390"/>
      <c r="ABP59" s="390"/>
      <c r="ABQ59" s="390"/>
      <c r="ABR59" s="390"/>
      <c r="ABS59" s="390"/>
      <c r="ABT59" s="390"/>
      <c r="ABU59" s="390"/>
      <c r="ABV59" s="390"/>
      <c r="ABW59" s="390"/>
      <c r="ABX59" s="390"/>
      <c r="ABY59" s="390"/>
      <c r="ABZ59" s="390"/>
      <c r="ACA59" s="390"/>
      <c r="ACB59" s="390"/>
      <c r="ACC59" s="390"/>
      <c r="ACD59" s="390"/>
      <c r="ACE59" s="390"/>
      <c r="ACF59" s="390"/>
      <c r="ACG59" s="390"/>
      <c r="ACH59" s="390"/>
      <c r="ACI59" s="390"/>
    </row>
    <row r="60" spans="1:763" ht="13.95" customHeight="1" x14ac:dyDescent="0.3">
      <c r="A60" s="397" t="str">
        <f ca="1">Проект!$A$357</f>
        <v>средний оклад, в месяц</v>
      </c>
      <c r="B60" s="350">
        <f>Проект!$B$357</f>
        <v>60000</v>
      </c>
      <c r="C60" s="402" t="str">
        <f ca="1">Проект!$C$357</f>
        <v>руб.</v>
      </c>
      <c r="D60" s="399">
        <f ca="1">IFERROR(AVERAGE(Проект!$G$357:$R$357),"-")</f>
        <v>61632.641710185853</v>
      </c>
      <c r="E60" s="399">
        <f ca="1">IFERROR(AVERAGE(Проект!$S$357:$AD$357),"-")</f>
        <v>65330.600212797006</v>
      </c>
      <c r="F60" s="399">
        <f ca="1">IFERROR(AVERAGE(Проект!$AE$357:$AP$357),"-")</f>
        <v>69250.436225564845</v>
      </c>
      <c r="G60" s="399">
        <f ca="1">IFERROR(AVERAGE(Проект!$AQ$357:$BB$357),"-")</f>
        <v>73405.46239909876</v>
      </c>
      <c r="H60" s="396"/>
      <c r="I60" s="390"/>
      <c r="J60" s="390"/>
      <c r="K60" s="390"/>
      <c r="L60" s="390"/>
      <c r="M60" s="390"/>
      <c r="N60" s="390"/>
      <c r="O60" s="390"/>
      <c r="P60" s="390"/>
      <c r="Q60" s="390"/>
      <c r="R60" s="390"/>
      <c r="S60" s="390"/>
      <c r="T60" s="390"/>
      <c r="U60" s="390"/>
      <c r="V60" s="390"/>
      <c r="W60" s="390"/>
      <c r="X60" s="390"/>
      <c r="Y60" s="390"/>
      <c r="Z60" s="390"/>
      <c r="AA60" s="390"/>
      <c r="AB60" s="390"/>
      <c r="AC60" s="390"/>
      <c r="AD60" s="390"/>
      <c r="AE60" s="390"/>
      <c r="AF60" s="390"/>
      <c r="AG60" s="390"/>
      <c r="AH60" s="390"/>
      <c r="AI60" s="390"/>
      <c r="AJ60" s="390"/>
      <c r="AK60" s="390"/>
      <c r="AL60" s="390"/>
      <c r="AM60" s="390"/>
      <c r="AN60" s="390"/>
      <c r="AO60" s="390"/>
      <c r="AP60" s="390"/>
      <c r="AQ60" s="390"/>
      <c r="AR60" s="390"/>
      <c r="AS60" s="390"/>
      <c r="AT60" s="390"/>
      <c r="AU60" s="390"/>
      <c r="AV60" s="390"/>
      <c r="AW60" s="390"/>
      <c r="AX60" s="390"/>
      <c r="AY60" s="390"/>
      <c r="AZ60" s="390"/>
      <c r="BA60" s="390"/>
      <c r="BB60" s="390"/>
      <c r="BC60" s="390"/>
      <c r="BD60" s="390"/>
      <c r="BE60" s="390"/>
      <c r="BF60" s="390"/>
      <c r="BG60" s="390"/>
      <c r="BH60" s="390"/>
      <c r="BI60" s="390"/>
      <c r="BJ60" s="390"/>
      <c r="BK60" s="390"/>
      <c r="BL60" s="390"/>
      <c r="BM60" s="390"/>
      <c r="BN60" s="390"/>
      <c r="BO60" s="390"/>
      <c r="BP60" s="390"/>
      <c r="BQ60" s="390"/>
      <c r="BR60" s="390"/>
      <c r="BS60" s="390"/>
      <c r="BT60" s="390"/>
      <c r="BU60" s="390"/>
      <c r="BV60" s="390"/>
      <c r="BW60" s="390"/>
      <c r="BX60" s="390"/>
      <c r="BY60" s="390"/>
      <c r="BZ60" s="390"/>
      <c r="CA60" s="390"/>
      <c r="CB60" s="390"/>
      <c r="CC60" s="390"/>
      <c r="CD60" s="390"/>
      <c r="CE60" s="390"/>
      <c r="CF60" s="390"/>
      <c r="CG60" s="390"/>
      <c r="CH60" s="390"/>
      <c r="CI60" s="390"/>
      <c r="CJ60" s="390"/>
      <c r="CK60" s="390"/>
      <c r="CL60" s="390"/>
      <c r="CM60" s="390"/>
      <c r="CN60" s="390"/>
      <c r="CO60" s="390"/>
      <c r="CP60" s="390"/>
      <c r="CQ60" s="390"/>
      <c r="CR60" s="390"/>
      <c r="CS60" s="390"/>
      <c r="CT60" s="390"/>
      <c r="CU60" s="390"/>
      <c r="CV60" s="390"/>
      <c r="CW60" s="390"/>
      <c r="CX60" s="390"/>
      <c r="CY60" s="390"/>
      <c r="CZ60" s="390"/>
      <c r="DA60" s="390"/>
      <c r="DB60" s="390"/>
      <c r="DC60" s="390"/>
      <c r="DD60" s="390"/>
      <c r="DE60" s="390"/>
      <c r="DF60" s="390"/>
      <c r="DG60" s="390"/>
      <c r="DH60" s="390"/>
      <c r="DI60" s="390"/>
      <c r="DJ60" s="390"/>
      <c r="DK60" s="390"/>
      <c r="DL60" s="390"/>
      <c r="DM60" s="390"/>
      <c r="DN60" s="390"/>
      <c r="DO60" s="390"/>
      <c r="DP60" s="390"/>
      <c r="DQ60" s="390"/>
      <c r="DR60" s="390"/>
      <c r="DS60" s="390"/>
      <c r="DT60" s="390"/>
      <c r="DU60" s="390"/>
      <c r="DV60" s="390"/>
      <c r="DW60" s="390"/>
      <c r="DX60" s="390"/>
      <c r="DY60" s="390"/>
      <c r="DZ60" s="390"/>
      <c r="EA60" s="390"/>
      <c r="EB60" s="390"/>
      <c r="EC60" s="390"/>
      <c r="ED60" s="390"/>
      <c r="EE60" s="390"/>
      <c r="EF60" s="390"/>
      <c r="EG60" s="390"/>
      <c r="EH60" s="390"/>
      <c r="EI60" s="390"/>
      <c r="EJ60" s="390"/>
      <c r="EK60" s="390"/>
      <c r="EL60" s="390"/>
      <c r="EM60" s="390"/>
      <c r="EN60" s="390"/>
      <c r="EO60" s="390"/>
      <c r="EP60" s="390"/>
      <c r="EQ60" s="390"/>
      <c r="ER60" s="390"/>
      <c r="ES60" s="390"/>
      <c r="ET60" s="390"/>
      <c r="EU60" s="390"/>
      <c r="EV60" s="390"/>
      <c r="EW60" s="390"/>
      <c r="EX60" s="390"/>
      <c r="EY60" s="390"/>
      <c r="EZ60" s="390"/>
      <c r="FA60" s="390"/>
      <c r="FB60" s="390"/>
      <c r="FC60" s="390"/>
      <c r="FD60" s="390"/>
      <c r="FE60" s="390"/>
      <c r="FF60" s="390"/>
      <c r="FG60" s="390"/>
      <c r="FH60" s="390"/>
      <c r="FI60" s="390"/>
      <c r="FJ60" s="390"/>
      <c r="FK60" s="390"/>
      <c r="FL60" s="390"/>
      <c r="FM60" s="390"/>
      <c r="FN60" s="390"/>
      <c r="FO60" s="390"/>
      <c r="FP60" s="390"/>
      <c r="FQ60" s="390"/>
      <c r="FR60" s="390"/>
      <c r="FS60" s="390"/>
      <c r="FT60" s="390"/>
      <c r="FU60" s="390"/>
      <c r="FV60" s="390"/>
      <c r="FW60" s="390"/>
      <c r="FX60" s="390"/>
      <c r="FY60" s="390"/>
      <c r="FZ60" s="390"/>
      <c r="GA60" s="390"/>
      <c r="GB60" s="390"/>
      <c r="GC60" s="390"/>
      <c r="GD60" s="390"/>
      <c r="GE60" s="390"/>
      <c r="GF60" s="390"/>
      <c r="GG60" s="390"/>
      <c r="GH60" s="390"/>
      <c r="GI60" s="390"/>
      <c r="GJ60" s="390"/>
      <c r="GK60" s="390"/>
      <c r="GL60" s="390"/>
      <c r="GM60" s="390"/>
      <c r="GN60" s="390"/>
      <c r="GO60" s="390"/>
      <c r="GP60" s="390"/>
      <c r="GQ60" s="390"/>
      <c r="GR60" s="390"/>
      <c r="GS60" s="390"/>
      <c r="GT60" s="390"/>
      <c r="GU60" s="390"/>
      <c r="GV60" s="390"/>
      <c r="GW60" s="390"/>
      <c r="GX60" s="390"/>
      <c r="GY60" s="390"/>
      <c r="GZ60" s="390"/>
      <c r="HA60" s="390"/>
      <c r="HB60" s="390"/>
      <c r="HC60" s="390"/>
      <c r="HD60" s="390"/>
      <c r="HE60" s="390"/>
      <c r="HF60" s="390"/>
      <c r="HG60" s="390"/>
      <c r="HH60" s="390"/>
      <c r="HI60" s="390"/>
      <c r="HJ60" s="390"/>
      <c r="HK60" s="390"/>
      <c r="HL60" s="390"/>
      <c r="HM60" s="390"/>
      <c r="HN60" s="390"/>
      <c r="HO60" s="390"/>
      <c r="HP60" s="390"/>
      <c r="HQ60" s="390"/>
      <c r="HR60" s="390"/>
      <c r="HS60" s="390"/>
      <c r="HT60" s="390"/>
      <c r="HU60" s="390"/>
      <c r="HV60" s="390"/>
      <c r="HW60" s="390"/>
      <c r="HX60" s="390"/>
      <c r="HY60" s="390"/>
      <c r="HZ60" s="390"/>
      <c r="IA60" s="390"/>
      <c r="IB60" s="390"/>
      <c r="IC60" s="390"/>
      <c r="ID60" s="390"/>
      <c r="IE60" s="390"/>
      <c r="IF60" s="390"/>
      <c r="IG60" s="390"/>
      <c r="IH60" s="390"/>
      <c r="II60" s="390"/>
      <c r="IJ60" s="390"/>
      <c r="IK60" s="390"/>
      <c r="IL60" s="390"/>
      <c r="IM60" s="390"/>
      <c r="IN60" s="390"/>
      <c r="IO60" s="390"/>
      <c r="IP60" s="390"/>
      <c r="IQ60" s="390"/>
      <c r="IR60" s="390"/>
      <c r="IS60" s="390"/>
      <c r="IT60" s="390"/>
      <c r="IU60" s="390"/>
      <c r="IV60" s="390"/>
      <c r="IW60" s="390"/>
      <c r="IX60" s="390"/>
      <c r="IY60" s="390"/>
      <c r="IZ60" s="390"/>
      <c r="JA60" s="390"/>
      <c r="JB60" s="390"/>
      <c r="JC60" s="390"/>
      <c r="JD60" s="390"/>
      <c r="JE60" s="390"/>
      <c r="JF60" s="390"/>
      <c r="JG60" s="390"/>
      <c r="JH60" s="390"/>
      <c r="JI60" s="390"/>
      <c r="JJ60" s="390"/>
      <c r="JK60" s="390"/>
      <c r="JL60" s="390"/>
      <c r="JM60" s="390"/>
      <c r="JN60" s="390"/>
      <c r="JO60" s="390"/>
      <c r="JP60" s="390"/>
      <c r="JQ60" s="390"/>
      <c r="JR60" s="390"/>
      <c r="JS60" s="390"/>
      <c r="JT60" s="390"/>
      <c r="JU60" s="390"/>
      <c r="JV60" s="390"/>
      <c r="JW60" s="390"/>
      <c r="JX60" s="390"/>
      <c r="JY60" s="390"/>
      <c r="JZ60" s="390"/>
      <c r="KA60" s="390"/>
      <c r="KB60" s="390"/>
      <c r="KC60" s="390"/>
      <c r="KD60" s="390"/>
      <c r="KE60" s="390"/>
      <c r="KF60" s="390"/>
      <c r="KG60" s="390"/>
      <c r="KH60" s="390"/>
      <c r="KI60" s="390"/>
      <c r="KJ60" s="390"/>
      <c r="KK60" s="390"/>
      <c r="KL60" s="390"/>
      <c r="KM60" s="390"/>
      <c r="KN60" s="390"/>
      <c r="KO60" s="390"/>
      <c r="KP60" s="390"/>
      <c r="KQ60" s="390"/>
      <c r="KR60" s="390"/>
      <c r="KS60" s="390"/>
      <c r="KT60" s="390"/>
      <c r="KU60" s="390"/>
      <c r="KV60" s="390"/>
      <c r="KW60" s="390"/>
      <c r="KX60" s="390"/>
      <c r="KY60" s="390"/>
      <c r="KZ60" s="390"/>
      <c r="LA60" s="390"/>
      <c r="LB60" s="390"/>
      <c r="LC60" s="390"/>
      <c r="LD60" s="390"/>
      <c r="LE60" s="390"/>
      <c r="LF60" s="390"/>
      <c r="LG60" s="390"/>
      <c r="LH60" s="390"/>
      <c r="LI60" s="390"/>
      <c r="LJ60" s="390"/>
      <c r="LK60" s="390"/>
      <c r="LL60" s="390"/>
      <c r="LM60" s="390"/>
      <c r="LN60" s="390"/>
      <c r="LO60" s="390"/>
      <c r="LP60" s="390"/>
      <c r="LQ60" s="390"/>
      <c r="LR60" s="390"/>
      <c r="LS60" s="390"/>
      <c r="LT60" s="390"/>
      <c r="LU60" s="390"/>
      <c r="LV60" s="390"/>
      <c r="LW60" s="390"/>
      <c r="LX60" s="390"/>
      <c r="LY60" s="390"/>
      <c r="LZ60" s="390"/>
      <c r="MA60" s="390"/>
      <c r="MB60" s="390"/>
      <c r="MC60" s="390"/>
      <c r="MD60" s="390"/>
      <c r="ME60" s="390"/>
      <c r="MF60" s="390"/>
      <c r="MG60" s="390"/>
      <c r="MH60" s="390"/>
      <c r="MI60" s="390"/>
      <c r="MJ60" s="390"/>
      <c r="MK60" s="390"/>
      <c r="ML60" s="390"/>
      <c r="MM60" s="390"/>
      <c r="MN60" s="390"/>
      <c r="MO60" s="390"/>
      <c r="MP60" s="390"/>
      <c r="MQ60" s="390"/>
      <c r="MR60" s="390"/>
      <c r="MS60" s="390"/>
      <c r="MT60" s="390"/>
      <c r="MU60" s="390"/>
      <c r="MV60" s="390"/>
      <c r="MW60" s="390"/>
      <c r="MX60" s="390"/>
      <c r="MY60" s="390"/>
      <c r="MZ60" s="390"/>
      <c r="NA60" s="390"/>
      <c r="NB60" s="390"/>
      <c r="NC60" s="390"/>
      <c r="ND60" s="390"/>
      <c r="NE60" s="390"/>
      <c r="NF60" s="390"/>
      <c r="NG60" s="390"/>
      <c r="NH60" s="390"/>
      <c r="NI60" s="390"/>
      <c r="NJ60" s="390"/>
      <c r="NK60" s="390"/>
      <c r="NL60" s="390"/>
      <c r="NM60" s="390"/>
      <c r="NN60" s="390"/>
      <c r="NO60" s="390"/>
      <c r="NP60" s="390"/>
      <c r="NQ60" s="390"/>
      <c r="NR60" s="390"/>
      <c r="NS60" s="390"/>
      <c r="NT60" s="390"/>
      <c r="NU60" s="390"/>
      <c r="NV60" s="390"/>
      <c r="NW60" s="390"/>
      <c r="NX60" s="390"/>
      <c r="NY60" s="390"/>
      <c r="NZ60" s="390"/>
      <c r="OA60" s="390"/>
      <c r="OB60" s="390"/>
      <c r="OC60" s="390"/>
      <c r="OD60" s="390"/>
      <c r="OE60" s="390"/>
      <c r="OF60" s="390"/>
      <c r="OG60" s="390"/>
      <c r="OH60" s="390"/>
      <c r="OI60" s="390"/>
      <c r="OJ60" s="390"/>
      <c r="OK60" s="390"/>
      <c r="OL60" s="390"/>
      <c r="OM60" s="390"/>
      <c r="ON60" s="390"/>
      <c r="OO60" s="390"/>
      <c r="OP60" s="390"/>
      <c r="OQ60" s="390"/>
      <c r="OR60" s="390"/>
      <c r="OS60" s="390"/>
      <c r="OT60" s="390"/>
      <c r="OU60" s="390"/>
      <c r="OV60" s="390"/>
      <c r="OW60" s="390"/>
      <c r="OX60" s="390"/>
      <c r="OY60" s="390"/>
      <c r="OZ60" s="390"/>
      <c r="PA60" s="390"/>
      <c r="PB60" s="390"/>
      <c r="PC60" s="390"/>
      <c r="PD60" s="390"/>
      <c r="PE60" s="390"/>
      <c r="PF60" s="390"/>
      <c r="PG60" s="390"/>
      <c r="PH60" s="390"/>
      <c r="PI60" s="390"/>
      <c r="PJ60" s="390"/>
      <c r="PK60" s="390"/>
      <c r="PL60" s="390"/>
      <c r="PM60" s="390"/>
      <c r="PN60" s="390"/>
      <c r="PO60" s="390"/>
      <c r="PP60" s="390"/>
      <c r="PQ60" s="390"/>
      <c r="PR60" s="390"/>
      <c r="PS60" s="390"/>
      <c r="PT60" s="390"/>
      <c r="PU60" s="390"/>
      <c r="PV60" s="390"/>
      <c r="PW60" s="390"/>
      <c r="PX60" s="390"/>
      <c r="PY60" s="390"/>
      <c r="PZ60" s="390"/>
      <c r="QA60" s="390"/>
      <c r="QB60" s="390"/>
      <c r="QC60" s="390"/>
      <c r="QD60" s="390"/>
      <c r="QE60" s="390"/>
      <c r="QF60" s="390"/>
      <c r="QG60" s="390"/>
      <c r="QH60" s="390"/>
      <c r="QI60" s="390"/>
      <c r="QJ60" s="390"/>
      <c r="QK60" s="390"/>
      <c r="QL60" s="390"/>
      <c r="QM60" s="390"/>
      <c r="QN60" s="390"/>
      <c r="QO60" s="390"/>
      <c r="QP60" s="390"/>
      <c r="QQ60" s="390"/>
      <c r="QR60" s="390"/>
      <c r="QS60" s="390"/>
      <c r="QT60" s="390"/>
      <c r="QU60" s="390"/>
      <c r="QV60" s="390"/>
      <c r="QW60" s="390"/>
      <c r="QX60" s="390"/>
      <c r="QY60" s="390"/>
      <c r="QZ60" s="390"/>
      <c r="RA60" s="390"/>
      <c r="RB60" s="390"/>
      <c r="RC60" s="390"/>
      <c r="RD60" s="390"/>
      <c r="RE60" s="390"/>
      <c r="RF60" s="390"/>
      <c r="RG60" s="390"/>
      <c r="RH60" s="390"/>
      <c r="RI60" s="390"/>
      <c r="RJ60" s="390"/>
      <c r="RK60" s="390"/>
      <c r="RL60" s="390"/>
      <c r="RM60" s="390"/>
      <c r="RN60" s="390"/>
      <c r="RO60" s="390"/>
      <c r="RP60" s="390"/>
      <c r="RQ60" s="390"/>
      <c r="RR60" s="390"/>
      <c r="RS60" s="390"/>
      <c r="RT60" s="390"/>
      <c r="RU60" s="390"/>
      <c r="RV60" s="390"/>
      <c r="RW60" s="390"/>
      <c r="RX60" s="390"/>
      <c r="RY60" s="390"/>
      <c r="RZ60" s="390"/>
      <c r="SA60" s="390"/>
      <c r="SB60" s="390"/>
      <c r="SC60" s="390"/>
      <c r="SD60" s="390"/>
      <c r="SE60" s="390"/>
      <c r="SF60" s="390"/>
      <c r="SG60" s="390"/>
      <c r="SH60" s="390"/>
      <c r="SI60" s="390"/>
      <c r="SJ60" s="390"/>
      <c r="SK60" s="390"/>
      <c r="SL60" s="390"/>
      <c r="SM60" s="390"/>
      <c r="SN60" s="390"/>
      <c r="SO60" s="390"/>
      <c r="SP60" s="390"/>
      <c r="SQ60" s="390"/>
      <c r="SR60" s="390"/>
      <c r="SS60" s="390"/>
      <c r="ST60" s="390"/>
      <c r="SU60" s="390"/>
      <c r="SV60" s="390"/>
      <c r="SW60" s="390"/>
      <c r="SX60" s="390"/>
      <c r="SY60" s="390"/>
      <c r="SZ60" s="390"/>
      <c r="TA60" s="390"/>
      <c r="TB60" s="390"/>
      <c r="TC60" s="390"/>
      <c r="TD60" s="390"/>
      <c r="TE60" s="390"/>
      <c r="TF60" s="390"/>
      <c r="TG60" s="390"/>
      <c r="TH60" s="390"/>
      <c r="TI60" s="390"/>
      <c r="TJ60" s="390"/>
      <c r="TK60" s="390"/>
      <c r="TL60" s="390"/>
      <c r="TM60" s="390"/>
      <c r="TN60" s="390"/>
      <c r="TO60" s="390"/>
      <c r="TP60" s="390"/>
      <c r="TQ60" s="390"/>
      <c r="TR60" s="390"/>
      <c r="TS60" s="390"/>
      <c r="TT60" s="390"/>
      <c r="TU60" s="390"/>
      <c r="TV60" s="390"/>
      <c r="TW60" s="390"/>
      <c r="TX60" s="390"/>
      <c r="TY60" s="390"/>
      <c r="TZ60" s="390"/>
      <c r="UA60" s="390"/>
      <c r="UB60" s="390"/>
      <c r="UC60" s="390"/>
      <c r="UD60" s="390"/>
      <c r="UE60" s="390"/>
      <c r="UF60" s="390"/>
      <c r="UG60" s="390"/>
      <c r="UH60" s="390"/>
      <c r="UI60" s="390"/>
      <c r="UJ60" s="390"/>
      <c r="UK60" s="390"/>
      <c r="UL60" s="390"/>
      <c r="UM60" s="390"/>
      <c r="UN60" s="390"/>
      <c r="UO60" s="390"/>
      <c r="UP60" s="390"/>
      <c r="UQ60" s="390"/>
      <c r="UR60" s="390"/>
      <c r="US60" s="390"/>
      <c r="UT60" s="390"/>
      <c r="UU60" s="390"/>
      <c r="UV60" s="390"/>
      <c r="UW60" s="390"/>
      <c r="UX60" s="390"/>
      <c r="UY60" s="390"/>
      <c r="UZ60" s="390"/>
      <c r="VA60" s="390"/>
      <c r="VB60" s="390"/>
      <c r="VC60" s="390"/>
      <c r="VD60" s="390"/>
      <c r="VE60" s="390"/>
      <c r="VF60" s="390"/>
      <c r="VG60" s="390"/>
      <c r="VH60" s="390"/>
      <c r="VI60" s="390"/>
      <c r="VJ60" s="390"/>
      <c r="VK60" s="390"/>
      <c r="VL60" s="390"/>
      <c r="VM60" s="390"/>
      <c r="VN60" s="390"/>
      <c r="VO60" s="390"/>
      <c r="VP60" s="390"/>
      <c r="VQ60" s="390"/>
      <c r="VR60" s="390"/>
      <c r="VS60" s="390"/>
      <c r="VT60" s="390"/>
      <c r="VU60" s="390"/>
      <c r="VV60" s="390"/>
      <c r="VW60" s="390"/>
      <c r="VX60" s="390"/>
      <c r="VY60" s="390"/>
      <c r="VZ60" s="390"/>
      <c r="WA60" s="390"/>
      <c r="WB60" s="390"/>
      <c r="WC60" s="390"/>
      <c r="WD60" s="390"/>
      <c r="WE60" s="390"/>
      <c r="WF60" s="390"/>
      <c r="WG60" s="390"/>
      <c r="WH60" s="390"/>
      <c r="WI60" s="390"/>
      <c r="WJ60" s="390"/>
      <c r="WK60" s="390"/>
      <c r="WL60" s="390"/>
      <c r="WM60" s="390"/>
      <c r="WN60" s="390"/>
      <c r="WO60" s="390"/>
      <c r="WP60" s="390"/>
      <c r="WQ60" s="390"/>
      <c r="WR60" s="390"/>
      <c r="WS60" s="390"/>
      <c r="WT60" s="390"/>
      <c r="WU60" s="390"/>
      <c r="WV60" s="390"/>
      <c r="WW60" s="390"/>
      <c r="WX60" s="390"/>
      <c r="WY60" s="390"/>
      <c r="WZ60" s="390"/>
      <c r="XA60" s="390"/>
      <c r="XB60" s="390"/>
      <c r="XC60" s="390"/>
      <c r="XD60" s="390"/>
      <c r="XE60" s="390"/>
      <c r="XF60" s="390"/>
      <c r="XG60" s="390"/>
      <c r="XH60" s="390"/>
      <c r="XI60" s="390"/>
      <c r="XJ60" s="390"/>
      <c r="XK60" s="390"/>
      <c r="XL60" s="390"/>
      <c r="XM60" s="390"/>
      <c r="XN60" s="390"/>
      <c r="XO60" s="390"/>
      <c r="XP60" s="390"/>
      <c r="XQ60" s="390"/>
      <c r="XR60" s="390"/>
      <c r="XS60" s="390"/>
      <c r="XT60" s="390"/>
      <c r="XU60" s="390"/>
      <c r="XV60" s="390"/>
      <c r="XW60" s="390"/>
      <c r="XX60" s="390"/>
      <c r="XY60" s="390"/>
      <c r="XZ60" s="390"/>
      <c r="YA60" s="390"/>
      <c r="YB60" s="390"/>
      <c r="YC60" s="390"/>
      <c r="YD60" s="390"/>
      <c r="YE60" s="390"/>
      <c r="YF60" s="390"/>
      <c r="YG60" s="390"/>
      <c r="YH60" s="390"/>
      <c r="YI60" s="390"/>
      <c r="YJ60" s="390"/>
      <c r="YK60" s="390"/>
      <c r="YL60" s="390"/>
      <c r="YM60" s="390"/>
      <c r="YN60" s="390"/>
      <c r="YO60" s="390"/>
      <c r="YP60" s="390"/>
      <c r="YQ60" s="390"/>
      <c r="YR60" s="390"/>
      <c r="YS60" s="390"/>
      <c r="YT60" s="390"/>
      <c r="YU60" s="390"/>
      <c r="YV60" s="390"/>
      <c r="YW60" s="390"/>
      <c r="YX60" s="390"/>
      <c r="YY60" s="390"/>
      <c r="YZ60" s="390"/>
      <c r="ZA60" s="390"/>
      <c r="ZB60" s="390"/>
      <c r="ZC60" s="390"/>
      <c r="ZD60" s="390"/>
      <c r="ZE60" s="390"/>
      <c r="ZF60" s="390"/>
      <c r="ZG60" s="390"/>
      <c r="ZH60" s="390"/>
      <c r="ZI60" s="390"/>
      <c r="ZJ60" s="390"/>
      <c r="ZK60" s="390"/>
      <c r="ZL60" s="390"/>
      <c r="ZM60" s="390"/>
      <c r="ZN60" s="390"/>
      <c r="ZO60" s="390"/>
      <c r="ZP60" s="390"/>
      <c r="ZQ60" s="390"/>
      <c r="ZR60" s="390"/>
      <c r="ZS60" s="390"/>
      <c r="ZT60" s="390"/>
      <c r="ZU60" s="390"/>
      <c r="ZV60" s="390"/>
      <c r="ZW60" s="390"/>
      <c r="ZX60" s="390"/>
      <c r="ZY60" s="390"/>
      <c r="ZZ60" s="390"/>
      <c r="AAA60" s="390"/>
      <c r="AAB60" s="390"/>
      <c r="AAC60" s="390"/>
      <c r="AAD60" s="390"/>
      <c r="AAE60" s="390"/>
      <c r="AAF60" s="390"/>
      <c r="AAG60" s="390"/>
      <c r="AAH60" s="390"/>
      <c r="AAI60" s="390"/>
      <c r="AAJ60" s="390"/>
      <c r="AAK60" s="390"/>
      <c r="AAL60" s="390"/>
      <c r="AAM60" s="390"/>
      <c r="AAN60" s="390"/>
      <c r="AAO60" s="390"/>
      <c r="AAP60" s="390"/>
      <c r="AAQ60" s="390"/>
      <c r="AAR60" s="390"/>
      <c r="AAS60" s="390"/>
      <c r="AAT60" s="390"/>
      <c r="AAU60" s="390"/>
      <c r="AAV60" s="390"/>
      <c r="AAW60" s="390"/>
      <c r="AAX60" s="390"/>
      <c r="AAY60" s="390"/>
      <c r="AAZ60" s="390"/>
      <c r="ABA60" s="390"/>
      <c r="ABB60" s="390"/>
      <c r="ABC60" s="390"/>
      <c r="ABD60" s="390"/>
      <c r="ABE60" s="390"/>
      <c r="ABF60" s="390"/>
      <c r="ABG60" s="390"/>
      <c r="ABH60" s="390"/>
      <c r="ABI60" s="390"/>
      <c r="ABJ60" s="390"/>
      <c r="ABK60" s="390"/>
      <c r="ABL60" s="390"/>
      <c r="ABM60" s="390"/>
      <c r="ABN60" s="390"/>
      <c r="ABO60" s="390"/>
      <c r="ABP60" s="390"/>
      <c r="ABQ60" s="390"/>
      <c r="ABR60" s="390"/>
      <c r="ABS60" s="390"/>
      <c r="ABT60" s="390"/>
      <c r="ABU60" s="390"/>
      <c r="ABV60" s="390"/>
      <c r="ABW60" s="390"/>
      <c r="ABX60" s="390"/>
      <c r="ABY60" s="390"/>
      <c r="ABZ60" s="390"/>
      <c r="ACA60" s="390"/>
      <c r="ACB60" s="390"/>
      <c r="ACC60" s="390"/>
      <c r="ACD60" s="390"/>
      <c r="ACE60" s="390"/>
      <c r="ACF60" s="390"/>
      <c r="ACG60" s="390"/>
      <c r="ACH60" s="390"/>
      <c r="ACI60" s="390"/>
    </row>
    <row r="61" spans="1:763" ht="13.95" customHeight="1" x14ac:dyDescent="0.3">
      <c r="A61" s="397" t="str">
        <f ca="1">Проект!$A$358</f>
        <v>заработная плата</v>
      </c>
      <c r="B61" s="352" t="str">
        <f ca="1">Проект!$B$358</f>
        <v>за период</v>
      </c>
      <c r="C61" s="402" t="str">
        <f ca="1">Проект!$C$358</f>
        <v>руб.</v>
      </c>
      <c r="D61" s="399">
        <f ca="1">SUM(Проект!$G$358:$R$358)</f>
        <v>375182.36935855984</v>
      </c>
      <c r="E61" s="399">
        <f ca="1">SUM(Проект!$S$358:$AD$358)</f>
        <v>783967.2025535641</v>
      </c>
      <c r="F61" s="399">
        <f ca="1">SUM(Проект!$AE$358:$AP$358)</f>
        <v>831005.23470677808</v>
      </c>
      <c r="G61" s="399">
        <f ca="1">SUM(Проект!$AQ$358:$BB$358)</f>
        <v>880865.54878918512</v>
      </c>
      <c r="H61" s="392">
        <f ca="1">Проект!$BD$358</f>
        <v>2871020.3554080874</v>
      </c>
      <c r="I61" s="390"/>
      <c r="J61" s="390"/>
      <c r="K61" s="390"/>
      <c r="L61" s="390"/>
      <c r="M61" s="390"/>
      <c r="N61" s="390"/>
      <c r="O61" s="390"/>
      <c r="P61" s="390"/>
      <c r="Q61" s="390"/>
      <c r="R61" s="390"/>
      <c r="S61" s="390"/>
      <c r="T61" s="390"/>
      <c r="U61" s="390"/>
      <c r="V61" s="390"/>
      <c r="W61" s="390"/>
      <c r="X61" s="390"/>
      <c r="Y61" s="390"/>
      <c r="Z61" s="390"/>
      <c r="AA61" s="390"/>
      <c r="AB61" s="390"/>
      <c r="AC61" s="390"/>
      <c r="AD61" s="390"/>
      <c r="AE61" s="390"/>
      <c r="AF61" s="390"/>
      <c r="AG61" s="390"/>
      <c r="AH61" s="390"/>
      <c r="AI61" s="390"/>
      <c r="AJ61" s="390"/>
      <c r="AK61" s="390"/>
      <c r="AL61" s="390"/>
      <c r="AM61" s="390"/>
      <c r="AN61" s="390"/>
      <c r="AO61" s="390"/>
      <c r="AP61" s="390"/>
      <c r="AQ61" s="390"/>
      <c r="AR61" s="390"/>
      <c r="AS61" s="390"/>
      <c r="AT61" s="390"/>
      <c r="AU61" s="390"/>
      <c r="AV61" s="390"/>
      <c r="AW61" s="390"/>
      <c r="AX61" s="390"/>
      <c r="AY61" s="390"/>
      <c r="AZ61" s="390"/>
      <c r="BA61" s="390"/>
      <c r="BB61" s="390"/>
      <c r="BC61" s="390"/>
      <c r="BD61" s="390"/>
      <c r="BE61" s="390"/>
      <c r="BF61" s="390"/>
      <c r="BG61" s="390"/>
      <c r="BH61" s="390"/>
      <c r="BI61" s="390"/>
      <c r="BJ61" s="390"/>
      <c r="BK61" s="390"/>
      <c r="BL61" s="390"/>
      <c r="BM61" s="390"/>
      <c r="BN61" s="390"/>
      <c r="BO61" s="390"/>
      <c r="BP61" s="390"/>
      <c r="BQ61" s="390"/>
      <c r="BR61" s="390"/>
      <c r="BS61" s="390"/>
      <c r="BT61" s="390"/>
      <c r="BU61" s="390"/>
      <c r="BV61" s="390"/>
      <c r="BW61" s="390"/>
      <c r="BX61" s="390"/>
      <c r="BY61" s="390"/>
      <c r="BZ61" s="390"/>
      <c r="CA61" s="390"/>
      <c r="CB61" s="390"/>
      <c r="CC61" s="390"/>
      <c r="CD61" s="390"/>
      <c r="CE61" s="390"/>
      <c r="CF61" s="390"/>
      <c r="CG61" s="390"/>
      <c r="CH61" s="390"/>
      <c r="CI61" s="390"/>
      <c r="CJ61" s="390"/>
      <c r="CK61" s="390"/>
      <c r="CL61" s="390"/>
      <c r="CM61" s="390"/>
      <c r="CN61" s="390"/>
      <c r="CO61" s="390"/>
      <c r="CP61" s="390"/>
      <c r="CQ61" s="390"/>
      <c r="CR61" s="390"/>
      <c r="CS61" s="390"/>
      <c r="CT61" s="390"/>
      <c r="CU61" s="390"/>
      <c r="CV61" s="390"/>
      <c r="CW61" s="390"/>
      <c r="CX61" s="390"/>
      <c r="CY61" s="390"/>
      <c r="CZ61" s="390"/>
      <c r="DA61" s="390"/>
      <c r="DB61" s="390"/>
      <c r="DC61" s="390"/>
      <c r="DD61" s="390"/>
      <c r="DE61" s="390"/>
      <c r="DF61" s="390"/>
      <c r="DG61" s="390"/>
      <c r="DH61" s="390"/>
      <c r="DI61" s="390"/>
      <c r="DJ61" s="390"/>
      <c r="DK61" s="390"/>
      <c r="DL61" s="390"/>
      <c r="DM61" s="390"/>
      <c r="DN61" s="390"/>
      <c r="DO61" s="390"/>
      <c r="DP61" s="390"/>
      <c r="DQ61" s="390"/>
      <c r="DR61" s="390"/>
      <c r="DS61" s="390"/>
      <c r="DT61" s="390"/>
      <c r="DU61" s="390"/>
      <c r="DV61" s="390"/>
      <c r="DW61" s="390"/>
      <c r="DX61" s="390"/>
      <c r="DY61" s="390"/>
      <c r="DZ61" s="390"/>
      <c r="EA61" s="390"/>
      <c r="EB61" s="390"/>
      <c r="EC61" s="390"/>
      <c r="ED61" s="390"/>
      <c r="EE61" s="390"/>
      <c r="EF61" s="390"/>
      <c r="EG61" s="390"/>
      <c r="EH61" s="390"/>
      <c r="EI61" s="390"/>
      <c r="EJ61" s="390"/>
      <c r="EK61" s="390"/>
      <c r="EL61" s="390"/>
      <c r="EM61" s="390"/>
      <c r="EN61" s="390"/>
      <c r="EO61" s="390"/>
      <c r="EP61" s="390"/>
      <c r="EQ61" s="390"/>
      <c r="ER61" s="390"/>
      <c r="ES61" s="390"/>
      <c r="ET61" s="390"/>
      <c r="EU61" s="390"/>
      <c r="EV61" s="390"/>
      <c r="EW61" s="390"/>
      <c r="EX61" s="390"/>
      <c r="EY61" s="390"/>
      <c r="EZ61" s="390"/>
      <c r="FA61" s="390"/>
      <c r="FB61" s="390"/>
      <c r="FC61" s="390"/>
      <c r="FD61" s="390"/>
      <c r="FE61" s="390"/>
      <c r="FF61" s="390"/>
      <c r="FG61" s="390"/>
      <c r="FH61" s="390"/>
      <c r="FI61" s="390"/>
      <c r="FJ61" s="390"/>
      <c r="FK61" s="390"/>
      <c r="FL61" s="390"/>
      <c r="FM61" s="390"/>
      <c r="FN61" s="390"/>
      <c r="FO61" s="390"/>
      <c r="FP61" s="390"/>
      <c r="FQ61" s="390"/>
      <c r="FR61" s="390"/>
      <c r="FS61" s="390"/>
      <c r="FT61" s="390"/>
      <c r="FU61" s="390"/>
      <c r="FV61" s="390"/>
      <c r="FW61" s="390"/>
      <c r="FX61" s="390"/>
      <c r="FY61" s="390"/>
      <c r="FZ61" s="390"/>
      <c r="GA61" s="390"/>
      <c r="GB61" s="390"/>
      <c r="GC61" s="390"/>
      <c r="GD61" s="390"/>
      <c r="GE61" s="390"/>
      <c r="GF61" s="390"/>
      <c r="GG61" s="390"/>
      <c r="GH61" s="390"/>
      <c r="GI61" s="390"/>
      <c r="GJ61" s="390"/>
      <c r="GK61" s="390"/>
      <c r="GL61" s="390"/>
      <c r="GM61" s="390"/>
      <c r="GN61" s="390"/>
      <c r="GO61" s="390"/>
      <c r="GP61" s="390"/>
      <c r="GQ61" s="390"/>
      <c r="GR61" s="390"/>
      <c r="GS61" s="390"/>
      <c r="GT61" s="390"/>
      <c r="GU61" s="390"/>
      <c r="GV61" s="390"/>
      <c r="GW61" s="390"/>
      <c r="GX61" s="390"/>
      <c r="GY61" s="390"/>
      <c r="GZ61" s="390"/>
      <c r="HA61" s="390"/>
      <c r="HB61" s="390"/>
      <c r="HC61" s="390"/>
      <c r="HD61" s="390"/>
      <c r="HE61" s="390"/>
      <c r="HF61" s="390"/>
      <c r="HG61" s="390"/>
      <c r="HH61" s="390"/>
      <c r="HI61" s="390"/>
      <c r="HJ61" s="390"/>
      <c r="HK61" s="390"/>
      <c r="HL61" s="390"/>
      <c r="HM61" s="390"/>
      <c r="HN61" s="390"/>
      <c r="HO61" s="390"/>
      <c r="HP61" s="390"/>
      <c r="HQ61" s="390"/>
      <c r="HR61" s="390"/>
      <c r="HS61" s="390"/>
      <c r="HT61" s="390"/>
      <c r="HU61" s="390"/>
      <c r="HV61" s="390"/>
      <c r="HW61" s="390"/>
      <c r="HX61" s="390"/>
      <c r="HY61" s="390"/>
      <c r="HZ61" s="390"/>
      <c r="IA61" s="390"/>
      <c r="IB61" s="390"/>
      <c r="IC61" s="390"/>
      <c r="ID61" s="390"/>
      <c r="IE61" s="390"/>
      <c r="IF61" s="390"/>
      <c r="IG61" s="390"/>
      <c r="IH61" s="390"/>
      <c r="II61" s="390"/>
      <c r="IJ61" s="390"/>
      <c r="IK61" s="390"/>
      <c r="IL61" s="390"/>
      <c r="IM61" s="390"/>
      <c r="IN61" s="390"/>
      <c r="IO61" s="390"/>
      <c r="IP61" s="390"/>
      <c r="IQ61" s="390"/>
      <c r="IR61" s="390"/>
      <c r="IS61" s="390"/>
      <c r="IT61" s="390"/>
      <c r="IU61" s="390"/>
      <c r="IV61" s="390"/>
      <c r="IW61" s="390"/>
      <c r="IX61" s="390"/>
      <c r="IY61" s="390"/>
      <c r="IZ61" s="390"/>
      <c r="JA61" s="390"/>
      <c r="JB61" s="390"/>
      <c r="JC61" s="390"/>
      <c r="JD61" s="390"/>
      <c r="JE61" s="390"/>
      <c r="JF61" s="390"/>
      <c r="JG61" s="390"/>
      <c r="JH61" s="390"/>
      <c r="JI61" s="390"/>
      <c r="JJ61" s="390"/>
      <c r="JK61" s="390"/>
      <c r="JL61" s="390"/>
      <c r="JM61" s="390"/>
      <c r="JN61" s="390"/>
      <c r="JO61" s="390"/>
      <c r="JP61" s="390"/>
      <c r="JQ61" s="390"/>
      <c r="JR61" s="390"/>
      <c r="JS61" s="390"/>
      <c r="JT61" s="390"/>
      <c r="JU61" s="390"/>
      <c r="JV61" s="390"/>
      <c r="JW61" s="390"/>
      <c r="JX61" s="390"/>
      <c r="JY61" s="390"/>
      <c r="JZ61" s="390"/>
      <c r="KA61" s="390"/>
      <c r="KB61" s="390"/>
      <c r="KC61" s="390"/>
      <c r="KD61" s="390"/>
      <c r="KE61" s="390"/>
      <c r="KF61" s="390"/>
      <c r="KG61" s="390"/>
      <c r="KH61" s="390"/>
      <c r="KI61" s="390"/>
      <c r="KJ61" s="390"/>
      <c r="KK61" s="390"/>
      <c r="KL61" s="390"/>
      <c r="KM61" s="390"/>
      <c r="KN61" s="390"/>
      <c r="KO61" s="390"/>
      <c r="KP61" s="390"/>
      <c r="KQ61" s="390"/>
      <c r="KR61" s="390"/>
      <c r="KS61" s="390"/>
      <c r="KT61" s="390"/>
      <c r="KU61" s="390"/>
      <c r="KV61" s="390"/>
      <c r="KW61" s="390"/>
      <c r="KX61" s="390"/>
      <c r="KY61" s="390"/>
      <c r="KZ61" s="390"/>
      <c r="LA61" s="390"/>
      <c r="LB61" s="390"/>
      <c r="LC61" s="390"/>
      <c r="LD61" s="390"/>
      <c r="LE61" s="390"/>
      <c r="LF61" s="390"/>
      <c r="LG61" s="390"/>
      <c r="LH61" s="390"/>
      <c r="LI61" s="390"/>
      <c r="LJ61" s="390"/>
      <c r="LK61" s="390"/>
      <c r="LL61" s="390"/>
      <c r="LM61" s="390"/>
      <c r="LN61" s="390"/>
      <c r="LO61" s="390"/>
      <c r="LP61" s="390"/>
      <c r="LQ61" s="390"/>
      <c r="LR61" s="390"/>
      <c r="LS61" s="390"/>
      <c r="LT61" s="390"/>
      <c r="LU61" s="390"/>
      <c r="LV61" s="390"/>
      <c r="LW61" s="390"/>
      <c r="LX61" s="390"/>
      <c r="LY61" s="390"/>
      <c r="LZ61" s="390"/>
      <c r="MA61" s="390"/>
      <c r="MB61" s="390"/>
      <c r="MC61" s="390"/>
      <c r="MD61" s="390"/>
      <c r="ME61" s="390"/>
      <c r="MF61" s="390"/>
      <c r="MG61" s="390"/>
      <c r="MH61" s="390"/>
      <c r="MI61" s="390"/>
      <c r="MJ61" s="390"/>
      <c r="MK61" s="390"/>
      <c r="ML61" s="390"/>
      <c r="MM61" s="390"/>
      <c r="MN61" s="390"/>
      <c r="MO61" s="390"/>
      <c r="MP61" s="390"/>
      <c r="MQ61" s="390"/>
      <c r="MR61" s="390"/>
      <c r="MS61" s="390"/>
      <c r="MT61" s="390"/>
      <c r="MU61" s="390"/>
      <c r="MV61" s="390"/>
      <c r="MW61" s="390"/>
      <c r="MX61" s="390"/>
      <c r="MY61" s="390"/>
      <c r="MZ61" s="390"/>
      <c r="NA61" s="390"/>
      <c r="NB61" s="390"/>
      <c r="NC61" s="390"/>
      <c r="ND61" s="390"/>
      <c r="NE61" s="390"/>
      <c r="NF61" s="390"/>
      <c r="NG61" s="390"/>
      <c r="NH61" s="390"/>
      <c r="NI61" s="390"/>
      <c r="NJ61" s="390"/>
      <c r="NK61" s="390"/>
      <c r="NL61" s="390"/>
      <c r="NM61" s="390"/>
      <c r="NN61" s="390"/>
      <c r="NO61" s="390"/>
      <c r="NP61" s="390"/>
      <c r="NQ61" s="390"/>
      <c r="NR61" s="390"/>
      <c r="NS61" s="390"/>
      <c r="NT61" s="390"/>
      <c r="NU61" s="390"/>
      <c r="NV61" s="390"/>
      <c r="NW61" s="390"/>
      <c r="NX61" s="390"/>
      <c r="NY61" s="390"/>
      <c r="NZ61" s="390"/>
      <c r="OA61" s="390"/>
      <c r="OB61" s="390"/>
      <c r="OC61" s="390"/>
      <c r="OD61" s="390"/>
      <c r="OE61" s="390"/>
      <c r="OF61" s="390"/>
      <c r="OG61" s="390"/>
      <c r="OH61" s="390"/>
      <c r="OI61" s="390"/>
      <c r="OJ61" s="390"/>
      <c r="OK61" s="390"/>
      <c r="OL61" s="390"/>
      <c r="OM61" s="390"/>
      <c r="ON61" s="390"/>
      <c r="OO61" s="390"/>
      <c r="OP61" s="390"/>
      <c r="OQ61" s="390"/>
      <c r="OR61" s="390"/>
      <c r="OS61" s="390"/>
      <c r="OT61" s="390"/>
      <c r="OU61" s="390"/>
      <c r="OV61" s="390"/>
      <c r="OW61" s="390"/>
      <c r="OX61" s="390"/>
      <c r="OY61" s="390"/>
      <c r="OZ61" s="390"/>
      <c r="PA61" s="390"/>
      <c r="PB61" s="390"/>
      <c r="PC61" s="390"/>
      <c r="PD61" s="390"/>
      <c r="PE61" s="390"/>
      <c r="PF61" s="390"/>
      <c r="PG61" s="390"/>
      <c r="PH61" s="390"/>
      <c r="PI61" s="390"/>
      <c r="PJ61" s="390"/>
      <c r="PK61" s="390"/>
      <c r="PL61" s="390"/>
      <c r="PM61" s="390"/>
      <c r="PN61" s="390"/>
      <c r="PO61" s="390"/>
      <c r="PP61" s="390"/>
      <c r="PQ61" s="390"/>
      <c r="PR61" s="390"/>
      <c r="PS61" s="390"/>
      <c r="PT61" s="390"/>
      <c r="PU61" s="390"/>
      <c r="PV61" s="390"/>
      <c r="PW61" s="390"/>
      <c r="PX61" s="390"/>
      <c r="PY61" s="390"/>
      <c r="PZ61" s="390"/>
      <c r="QA61" s="390"/>
      <c r="QB61" s="390"/>
      <c r="QC61" s="390"/>
      <c r="QD61" s="390"/>
      <c r="QE61" s="390"/>
      <c r="QF61" s="390"/>
      <c r="QG61" s="390"/>
      <c r="QH61" s="390"/>
      <c r="QI61" s="390"/>
      <c r="QJ61" s="390"/>
      <c r="QK61" s="390"/>
      <c r="QL61" s="390"/>
      <c r="QM61" s="390"/>
      <c r="QN61" s="390"/>
      <c r="QO61" s="390"/>
      <c r="QP61" s="390"/>
      <c r="QQ61" s="390"/>
      <c r="QR61" s="390"/>
      <c r="QS61" s="390"/>
      <c r="QT61" s="390"/>
      <c r="QU61" s="390"/>
      <c r="QV61" s="390"/>
      <c r="QW61" s="390"/>
      <c r="QX61" s="390"/>
      <c r="QY61" s="390"/>
      <c r="QZ61" s="390"/>
      <c r="RA61" s="390"/>
      <c r="RB61" s="390"/>
      <c r="RC61" s="390"/>
      <c r="RD61" s="390"/>
      <c r="RE61" s="390"/>
      <c r="RF61" s="390"/>
      <c r="RG61" s="390"/>
      <c r="RH61" s="390"/>
      <c r="RI61" s="390"/>
      <c r="RJ61" s="390"/>
      <c r="RK61" s="390"/>
      <c r="RL61" s="390"/>
      <c r="RM61" s="390"/>
      <c r="RN61" s="390"/>
      <c r="RO61" s="390"/>
      <c r="RP61" s="390"/>
      <c r="RQ61" s="390"/>
      <c r="RR61" s="390"/>
      <c r="RS61" s="390"/>
      <c r="RT61" s="390"/>
      <c r="RU61" s="390"/>
      <c r="RV61" s="390"/>
      <c r="RW61" s="390"/>
      <c r="RX61" s="390"/>
      <c r="RY61" s="390"/>
      <c r="RZ61" s="390"/>
      <c r="SA61" s="390"/>
      <c r="SB61" s="390"/>
      <c r="SC61" s="390"/>
      <c r="SD61" s="390"/>
      <c r="SE61" s="390"/>
      <c r="SF61" s="390"/>
      <c r="SG61" s="390"/>
      <c r="SH61" s="390"/>
      <c r="SI61" s="390"/>
      <c r="SJ61" s="390"/>
      <c r="SK61" s="390"/>
      <c r="SL61" s="390"/>
      <c r="SM61" s="390"/>
      <c r="SN61" s="390"/>
      <c r="SO61" s="390"/>
      <c r="SP61" s="390"/>
      <c r="SQ61" s="390"/>
      <c r="SR61" s="390"/>
      <c r="SS61" s="390"/>
      <c r="ST61" s="390"/>
      <c r="SU61" s="390"/>
      <c r="SV61" s="390"/>
      <c r="SW61" s="390"/>
      <c r="SX61" s="390"/>
      <c r="SY61" s="390"/>
      <c r="SZ61" s="390"/>
      <c r="TA61" s="390"/>
      <c r="TB61" s="390"/>
      <c r="TC61" s="390"/>
      <c r="TD61" s="390"/>
      <c r="TE61" s="390"/>
      <c r="TF61" s="390"/>
      <c r="TG61" s="390"/>
      <c r="TH61" s="390"/>
      <c r="TI61" s="390"/>
      <c r="TJ61" s="390"/>
      <c r="TK61" s="390"/>
      <c r="TL61" s="390"/>
      <c r="TM61" s="390"/>
      <c r="TN61" s="390"/>
      <c r="TO61" s="390"/>
      <c r="TP61" s="390"/>
      <c r="TQ61" s="390"/>
      <c r="TR61" s="390"/>
      <c r="TS61" s="390"/>
      <c r="TT61" s="390"/>
      <c r="TU61" s="390"/>
      <c r="TV61" s="390"/>
      <c r="TW61" s="390"/>
      <c r="TX61" s="390"/>
      <c r="TY61" s="390"/>
      <c r="TZ61" s="390"/>
      <c r="UA61" s="390"/>
      <c r="UB61" s="390"/>
      <c r="UC61" s="390"/>
      <c r="UD61" s="390"/>
      <c r="UE61" s="390"/>
      <c r="UF61" s="390"/>
      <c r="UG61" s="390"/>
      <c r="UH61" s="390"/>
      <c r="UI61" s="390"/>
      <c r="UJ61" s="390"/>
      <c r="UK61" s="390"/>
      <c r="UL61" s="390"/>
      <c r="UM61" s="390"/>
      <c r="UN61" s="390"/>
      <c r="UO61" s="390"/>
      <c r="UP61" s="390"/>
      <c r="UQ61" s="390"/>
      <c r="UR61" s="390"/>
      <c r="US61" s="390"/>
      <c r="UT61" s="390"/>
      <c r="UU61" s="390"/>
      <c r="UV61" s="390"/>
      <c r="UW61" s="390"/>
      <c r="UX61" s="390"/>
      <c r="UY61" s="390"/>
      <c r="UZ61" s="390"/>
      <c r="VA61" s="390"/>
      <c r="VB61" s="390"/>
      <c r="VC61" s="390"/>
      <c r="VD61" s="390"/>
      <c r="VE61" s="390"/>
      <c r="VF61" s="390"/>
      <c r="VG61" s="390"/>
      <c r="VH61" s="390"/>
      <c r="VI61" s="390"/>
      <c r="VJ61" s="390"/>
      <c r="VK61" s="390"/>
      <c r="VL61" s="390"/>
      <c r="VM61" s="390"/>
      <c r="VN61" s="390"/>
      <c r="VO61" s="390"/>
      <c r="VP61" s="390"/>
      <c r="VQ61" s="390"/>
      <c r="VR61" s="390"/>
      <c r="VS61" s="390"/>
      <c r="VT61" s="390"/>
      <c r="VU61" s="390"/>
      <c r="VV61" s="390"/>
      <c r="VW61" s="390"/>
      <c r="VX61" s="390"/>
      <c r="VY61" s="390"/>
      <c r="VZ61" s="390"/>
      <c r="WA61" s="390"/>
      <c r="WB61" s="390"/>
      <c r="WC61" s="390"/>
      <c r="WD61" s="390"/>
      <c r="WE61" s="390"/>
      <c r="WF61" s="390"/>
      <c r="WG61" s="390"/>
      <c r="WH61" s="390"/>
      <c r="WI61" s="390"/>
      <c r="WJ61" s="390"/>
      <c r="WK61" s="390"/>
      <c r="WL61" s="390"/>
      <c r="WM61" s="390"/>
      <c r="WN61" s="390"/>
      <c r="WO61" s="390"/>
      <c r="WP61" s="390"/>
      <c r="WQ61" s="390"/>
      <c r="WR61" s="390"/>
      <c r="WS61" s="390"/>
      <c r="WT61" s="390"/>
      <c r="WU61" s="390"/>
      <c r="WV61" s="390"/>
      <c r="WW61" s="390"/>
      <c r="WX61" s="390"/>
      <c r="WY61" s="390"/>
      <c r="WZ61" s="390"/>
      <c r="XA61" s="390"/>
      <c r="XB61" s="390"/>
      <c r="XC61" s="390"/>
      <c r="XD61" s="390"/>
      <c r="XE61" s="390"/>
      <c r="XF61" s="390"/>
      <c r="XG61" s="390"/>
      <c r="XH61" s="390"/>
      <c r="XI61" s="390"/>
      <c r="XJ61" s="390"/>
      <c r="XK61" s="390"/>
      <c r="XL61" s="390"/>
      <c r="XM61" s="390"/>
      <c r="XN61" s="390"/>
      <c r="XO61" s="390"/>
      <c r="XP61" s="390"/>
      <c r="XQ61" s="390"/>
      <c r="XR61" s="390"/>
      <c r="XS61" s="390"/>
      <c r="XT61" s="390"/>
      <c r="XU61" s="390"/>
      <c r="XV61" s="390"/>
      <c r="XW61" s="390"/>
      <c r="XX61" s="390"/>
      <c r="XY61" s="390"/>
      <c r="XZ61" s="390"/>
      <c r="YA61" s="390"/>
      <c r="YB61" s="390"/>
      <c r="YC61" s="390"/>
      <c r="YD61" s="390"/>
      <c r="YE61" s="390"/>
      <c r="YF61" s="390"/>
      <c r="YG61" s="390"/>
      <c r="YH61" s="390"/>
      <c r="YI61" s="390"/>
      <c r="YJ61" s="390"/>
      <c r="YK61" s="390"/>
      <c r="YL61" s="390"/>
      <c r="YM61" s="390"/>
      <c r="YN61" s="390"/>
      <c r="YO61" s="390"/>
      <c r="YP61" s="390"/>
      <c r="YQ61" s="390"/>
      <c r="YR61" s="390"/>
      <c r="YS61" s="390"/>
      <c r="YT61" s="390"/>
      <c r="YU61" s="390"/>
      <c r="YV61" s="390"/>
      <c r="YW61" s="390"/>
      <c r="YX61" s="390"/>
      <c r="YY61" s="390"/>
      <c r="YZ61" s="390"/>
      <c r="ZA61" s="390"/>
      <c r="ZB61" s="390"/>
      <c r="ZC61" s="390"/>
      <c r="ZD61" s="390"/>
      <c r="ZE61" s="390"/>
      <c r="ZF61" s="390"/>
      <c r="ZG61" s="390"/>
      <c r="ZH61" s="390"/>
      <c r="ZI61" s="390"/>
      <c r="ZJ61" s="390"/>
      <c r="ZK61" s="390"/>
      <c r="ZL61" s="390"/>
      <c r="ZM61" s="390"/>
      <c r="ZN61" s="390"/>
      <c r="ZO61" s="390"/>
      <c r="ZP61" s="390"/>
      <c r="ZQ61" s="390"/>
      <c r="ZR61" s="390"/>
      <c r="ZS61" s="390"/>
      <c r="ZT61" s="390"/>
      <c r="ZU61" s="390"/>
      <c r="ZV61" s="390"/>
      <c r="ZW61" s="390"/>
      <c r="ZX61" s="390"/>
      <c r="ZY61" s="390"/>
      <c r="ZZ61" s="390"/>
      <c r="AAA61" s="390"/>
      <c r="AAB61" s="390"/>
      <c r="AAC61" s="390"/>
      <c r="AAD61" s="390"/>
      <c r="AAE61" s="390"/>
      <c r="AAF61" s="390"/>
      <c r="AAG61" s="390"/>
      <c r="AAH61" s="390"/>
      <c r="AAI61" s="390"/>
      <c r="AAJ61" s="390"/>
      <c r="AAK61" s="390"/>
      <c r="AAL61" s="390"/>
      <c r="AAM61" s="390"/>
      <c r="AAN61" s="390"/>
      <c r="AAO61" s="390"/>
      <c r="AAP61" s="390"/>
      <c r="AAQ61" s="390"/>
      <c r="AAR61" s="390"/>
      <c r="AAS61" s="390"/>
      <c r="AAT61" s="390"/>
      <c r="AAU61" s="390"/>
      <c r="AAV61" s="390"/>
      <c r="AAW61" s="390"/>
      <c r="AAX61" s="390"/>
      <c r="AAY61" s="390"/>
      <c r="AAZ61" s="390"/>
      <c r="ABA61" s="390"/>
      <c r="ABB61" s="390"/>
      <c r="ABC61" s="390"/>
      <c r="ABD61" s="390"/>
      <c r="ABE61" s="390"/>
      <c r="ABF61" s="390"/>
      <c r="ABG61" s="390"/>
      <c r="ABH61" s="390"/>
      <c r="ABI61" s="390"/>
      <c r="ABJ61" s="390"/>
      <c r="ABK61" s="390"/>
      <c r="ABL61" s="390"/>
      <c r="ABM61" s="390"/>
      <c r="ABN61" s="390"/>
      <c r="ABO61" s="390"/>
      <c r="ABP61" s="390"/>
      <c r="ABQ61" s="390"/>
      <c r="ABR61" s="390"/>
      <c r="ABS61" s="390"/>
      <c r="ABT61" s="390"/>
      <c r="ABU61" s="390"/>
      <c r="ABV61" s="390"/>
      <c r="ABW61" s="390"/>
      <c r="ABX61" s="390"/>
      <c r="ABY61" s="390"/>
      <c r="ABZ61" s="390"/>
      <c r="ACA61" s="390"/>
      <c r="ACB61" s="390"/>
      <c r="ACC61" s="390"/>
      <c r="ACD61" s="390"/>
      <c r="ACE61" s="390"/>
      <c r="ACF61" s="390"/>
      <c r="ACG61" s="390"/>
      <c r="ACH61" s="390"/>
      <c r="ACI61" s="390"/>
    </row>
    <row r="62" spans="1:763" ht="13.95" customHeight="1" x14ac:dyDescent="0.3">
      <c r="A62" s="390" t="str">
        <f>Проект!$A$364</f>
        <v>Администраторы</v>
      </c>
      <c r="B62" s="352"/>
      <c r="C62" s="402"/>
      <c r="D62" s="411"/>
      <c r="E62" s="411"/>
      <c r="F62" s="411"/>
      <c r="G62" s="411"/>
      <c r="H62" s="396"/>
      <c r="I62" s="390"/>
      <c r="J62" s="390"/>
      <c r="K62" s="390"/>
      <c r="L62" s="390"/>
      <c r="M62" s="390"/>
      <c r="N62" s="390"/>
      <c r="O62" s="390"/>
      <c r="P62" s="390"/>
      <c r="Q62" s="390"/>
      <c r="R62" s="390"/>
      <c r="S62" s="390"/>
      <c r="T62" s="390"/>
      <c r="U62" s="390"/>
      <c r="V62" s="390"/>
      <c r="W62" s="390"/>
      <c r="X62" s="390"/>
      <c r="Y62" s="390"/>
      <c r="Z62" s="390"/>
      <c r="AA62" s="390"/>
      <c r="AB62" s="390"/>
      <c r="AC62" s="390"/>
      <c r="AD62" s="390"/>
      <c r="AE62" s="390"/>
      <c r="AF62" s="390"/>
      <c r="AG62" s="390"/>
      <c r="AH62" s="390"/>
      <c r="AI62" s="390"/>
      <c r="AJ62" s="390"/>
      <c r="AK62" s="390"/>
      <c r="AL62" s="390"/>
      <c r="AM62" s="390"/>
      <c r="AN62" s="390"/>
      <c r="AO62" s="390"/>
      <c r="AP62" s="390"/>
      <c r="AQ62" s="390"/>
      <c r="AR62" s="390"/>
      <c r="AS62" s="390"/>
      <c r="AT62" s="390"/>
      <c r="AU62" s="390"/>
      <c r="AV62" s="390"/>
      <c r="AW62" s="390"/>
      <c r="AX62" s="390"/>
      <c r="AY62" s="390"/>
      <c r="AZ62" s="390"/>
      <c r="BA62" s="390"/>
      <c r="BB62" s="390"/>
      <c r="BC62" s="390"/>
      <c r="BD62" s="390"/>
      <c r="BE62" s="390"/>
      <c r="BF62" s="390"/>
      <c r="BG62" s="390"/>
      <c r="BH62" s="390"/>
      <c r="BI62" s="390"/>
      <c r="BJ62" s="390"/>
      <c r="BK62" s="390"/>
      <c r="BL62" s="390"/>
      <c r="BM62" s="390"/>
      <c r="BN62" s="390"/>
      <c r="BO62" s="390"/>
      <c r="BP62" s="390"/>
      <c r="BQ62" s="390"/>
      <c r="BR62" s="390"/>
      <c r="BS62" s="390"/>
      <c r="BT62" s="390"/>
      <c r="BU62" s="390"/>
      <c r="BV62" s="390"/>
      <c r="BW62" s="390"/>
      <c r="BX62" s="390"/>
      <c r="BY62" s="390"/>
      <c r="BZ62" s="390"/>
      <c r="CA62" s="390"/>
      <c r="CB62" s="390"/>
      <c r="CC62" s="390"/>
      <c r="CD62" s="390"/>
      <c r="CE62" s="390"/>
      <c r="CF62" s="390"/>
      <c r="CG62" s="390"/>
      <c r="CH62" s="390"/>
      <c r="CI62" s="390"/>
      <c r="CJ62" s="390"/>
      <c r="CK62" s="390"/>
      <c r="CL62" s="390"/>
      <c r="CM62" s="390"/>
      <c r="CN62" s="390"/>
      <c r="CO62" s="390"/>
      <c r="CP62" s="390"/>
      <c r="CQ62" s="390"/>
      <c r="CR62" s="390"/>
      <c r="CS62" s="390"/>
      <c r="CT62" s="390"/>
      <c r="CU62" s="390"/>
      <c r="CV62" s="390"/>
      <c r="CW62" s="390"/>
      <c r="CX62" s="390"/>
      <c r="CY62" s="390"/>
      <c r="CZ62" s="390"/>
      <c r="DA62" s="390"/>
      <c r="DB62" s="390"/>
      <c r="DC62" s="390"/>
      <c r="DD62" s="390"/>
      <c r="DE62" s="390"/>
      <c r="DF62" s="390"/>
      <c r="DG62" s="390"/>
      <c r="DH62" s="390"/>
      <c r="DI62" s="390"/>
      <c r="DJ62" s="390"/>
      <c r="DK62" s="390"/>
      <c r="DL62" s="390"/>
      <c r="DM62" s="390"/>
      <c r="DN62" s="390"/>
      <c r="DO62" s="390"/>
      <c r="DP62" s="390"/>
      <c r="DQ62" s="390"/>
      <c r="DR62" s="390"/>
      <c r="DS62" s="390"/>
      <c r="DT62" s="390"/>
      <c r="DU62" s="390"/>
      <c r="DV62" s="390"/>
      <c r="DW62" s="390"/>
      <c r="DX62" s="390"/>
      <c r="DY62" s="390"/>
      <c r="DZ62" s="390"/>
      <c r="EA62" s="390"/>
      <c r="EB62" s="390"/>
      <c r="EC62" s="390"/>
      <c r="ED62" s="390"/>
      <c r="EE62" s="390"/>
      <c r="EF62" s="390"/>
      <c r="EG62" s="390"/>
      <c r="EH62" s="390"/>
      <c r="EI62" s="390"/>
      <c r="EJ62" s="390"/>
      <c r="EK62" s="390"/>
      <c r="EL62" s="390"/>
      <c r="EM62" s="390"/>
      <c r="EN62" s="390"/>
      <c r="EO62" s="390"/>
      <c r="EP62" s="390"/>
      <c r="EQ62" s="390"/>
      <c r="ER62" s="390"/>
      <c r="ES62" s="390"/>
      <c r="ET62" s="390"/>
      <c r="EU62" s="390"/>
      <c r="EV62" s="390"/>
      <c r="EW62" s="390"/>
      <c r="EX62" s="390"/>
      <c r="EY62" s="390"/>
      <c r="EZ62" s="390"/>
      <c r="FA62" s="390"/>
      <c r="FB62" s="390"/>
      <c r="FC62" s="390"/>
      <c r="FD62" s="390"/>
      <c r="FE62" s="390"/>
      <c r="FF62" s="390"/>
      <c r="FG62" s="390"/>
      <c r="FH62" s="390"/>
      <c r="FI62" s="390"/>
      <c r="FJ62" s="390"/>
      <c r="FK62" s="390"/>
      <c r="FL62" s="390"/>
      <c r="FM62" s="390"/>
      <c r="FN62" s="390"/>
      <c r="FO62" s="390"/>
      <c r="FP62" s="390"/>
      <c r="FQ62" s="390"/>
      <c r="FR62" s="390"/>
      <c r="FS62" s="390"/>
      <c r="FT62" s="390"/>
      <c r="FU62" s="390"/>
      <c r="FV62" s="390"/>
      <c r="FW62" s="390"/>
      <c r="FX62" s="390"/>
      <c r="FY62" s="390"/>
      <c r="FZ62" s="390"/>
      <c r="GA62" s="390"/>
      <c r="GB62" s="390"/>
      <c r="GC62" s="390"/>
      <c r="GD62" s="390"/>
      <c r="GE62" s="390"/>
      <c r="GF62" s="390"/>
      <c r="GG62" s="390"/>
      <c r="GH62" s="390"/>
      <c r="GI62" s="390"/>
      <c r="GJ62" s="390"/>
      <c r="GK62" s="390"/>
      <c r="GL62" s="390"/>
      <c r="GM62" s="390"/>
      <c r="GN62" s="390"/>
      <c r="GO62" s="390"/>
      <c r="GP62" s="390"/>
      <c r="GQ62" s="390"/>
      <c r="GR62" s="390"/>
      <c r="GS62" s="390"/>
      <c r="GT62" s="390"/>
      <c r="GU62" s="390"/>
      <c r="GV62" s="390"/>
      <c r="GW62" s="390"/>
      <c r="GX62" s="390"/>
      <c r="GY62" s="390"/>
      <c r="GZ62" s="390"/>
      <c r="HA62" s="390"/>
      <c r="HB62" s="390"/>
      <c r="HC62" s="390"/>
      <c r="HD62" s="390"/>
      <c r="HE62" s="390"/>
      <c r="HF62" s="390"/>
      <c r="HG62" s="390"/>
      <c r="HH62" s="390"/>
      <c r="HI62" s="390"/>
      <c r="HJ62" s="390"/>
      <c r="HK62" s="390"/>
      <c r="HL62" s="390"/>
      <c r="HM62" s="390"/>
      <c r="HN62" s="390"/>
      <c r="HO62" s="390"/>
      <c r="HP62" s="390"/>
      <c r="HQ62" s="390"/>
      <c r="HR62" s="390"/>
      <c r="HS62" s="390"/>
      <c r="HT62" s="390"/>
      <c r="HU62" s="390"/>
      <c r="HV62" s="390"/>
      <c r="HW62" s="390"/>
      <c r="HX62" s="390"/>
      <c r="HY62" s="390"/>
      <c r="HZ62" s="390"/>
      <c r="IA62" s="390"/>
      <c r="IB62" s="390"/>
      <c r="IC62" s="390"/>
      <c r="ID62" s="390"/>
      <c r="IE62" s="390"/>
      <c r="IF62" s="390"/>
      <c r="IG62" s="390"/>
      <c r="IH62" s="390"/>
      <c r="II62" s="390"/>
      <c r="IJ62" s="390"/>
      <c r="IK62" s="390"/>
      <c r="IL62" s="390"/>
      <c r="IM62" s="390"/>
      <c r="IN62" s="390"/>
      <c r="IO62" s="390"/>
      <c r="IP62" s="390"/>
      <c r="IQ62" s="390"/>
      <c r="IR62" s="390"/>
      <c r="IS62" s="390"/>
      <c r="IT62" s="390"/>
      <c r="IU62" s="390"/>
      <c r="IV62" s="390"/>
      <c r="IW62" s="390"/>
      <c r="IX62" s="390"/>
      <c r="IY62" s="390"/>
      <c r="IZ62" s="390"/>
      <c r="JA62" s="390"/>
      <c r="JB62" s="390"/>
      <c r="JC62" s="390"/>
      <c r="JD62" s="390"/>
      <c r="JE62" s="390"/>
      <c r="JF62" s="390"/>
      <c r="JG62" s="390"/>
      <c r="JH62" s="390"/>
      <c r="JI62" s="390"/>
      <c r="JJ62" s="390"/>
      <c r="JK62" s="390"/>
      <c r="JL62" s="390"/>
      <c r="JM62" s="390"/>
      <c r="JN62" s="390"/>
      <c r="JO62" s="390"/>
      <c r="JP62" s="390"/>
      <c r="JQ62" s="390"/>
      <c r="JR62" s="390"/>
      <c r="JS62" s="390"/>
      <c r="JT62" s="390"/>
      <c r="JU62" s="390"/>
      <c r="JV62" s="390"/>
      <c r="JW62" s="390"/>
      <c r="JX62" s="390"/>
      <c r="JY62" s="390"/>
      <c r="JZ62" s="390"/>
      <c r="KA62" s="390"/>
      <c r="KB62" s="390"/>
      <c r="KC62" s="390"/>
      <c r="KD62" s="390"/>
      <c r="KE62" s="390"/>
      <c r="KF62" s="390"/>
      <c r="KG62" s="390"/>
      <c r="KH62" s="390"/>
      <c r="KI62" s="390"/>
      <c r="KJ62" s="390"/>
      <c r="KK62" s="390"/>
      <c r="KL62" s="390"/>
      <c r="KM62" s="390"/>
      <c r="KN62" s="390"/>
      <c r="KO62" s="390"/>
      <c r="KP62" s="390"/>
      <c r="KQ62" s="390"/>
      <c r="KR62" s="390"/>
      <c r="KS62" s="390"/>
      <c r="KT62" s="390"/>
      <c r="KU62" s="390"/>
      <c r="KV62" s="390"/>
      <c r="KW62" s="390"/>
      <c r="KX62" s="390"/>
      <c r="KY62" s="390"/>
      <c r="KZ62" s="390"/>
      <c r="LA62" s="390"/>
      <c r="LB62" s="390"/>
      <c r="LC62" s="390"/>
      <c r="LD62" s="390"/>
      <c r="LE62" s="390"/>
      <c r="LF62" s="390"/>
      <c r="LG62" s="390"/>
      <c r="LH62" s="390"/>
      <c r="LI62" s="390"/>
      <c r="LJ62" s="390"/>
      <c r="LK62" s="390"/>
      <c r="LL62" s="390"/>
      <c r="LM62" s="390"/>
      <c r="LN62" s="390"/>
      <c r="LO62" s="390"/>
      <c r="LP62" s="390"/>
      <c r="LQ62" s="390"/>
      <c r="LR62" s="390"/>
      <c r="LS62" s="390"/>
      <c r="LT62" s="390"/>
      <c r="LU62" s="390"/>
      <c r="LV62" s="390"/>
      <c r="LW62" s="390"/>
      <c r="LX62" s="390"/>
      <c r="LY62" s="390"/>
      <c r="LZ62" s="390"/>
      <c r="MA62" s="390"/>
      <c r="MB62" s="390"/>
      <c r="MC62" s="390"/>
      <c r="MD62" s="390"/>
      <c r="ME62" s="390"/>
      <c r="MF62" s="390"/>
      <c r="MG62" s="390"/>
      <c r="MH62" s="390"/>
      <c r="MI62" s="390"/>
      <c r="MJ62" s="390"/>
      <c r="MK62" s="390"/>
      <c r="ML62" s="390"/>
      <c r="MM62" s="390"/>
      <c r="MN62" s="390"/>
      <c r="MO62" s="390"/>
      <c r="MP62" s="390"/>
      <c r="MQ62" s="390"/>
      <c r="MR62" s="390"/>
      <c r="MS62" s="390"/>
      <c r="MT62" s="390"/>
      <c r="MU62" s="390"/>
      <c r="MV62" s="390"/>
      <c r="MW62" s="390"/>
      <c r="MX62" s="390"/>
      <c r="MY62" s="390"/>
      <c r="MZ62" s="390"/>
      <c r="NA62" s="390"/>
      <c r="NB62" s="390"/>
      <c r="NC62" s="390"/>
      <c r="ND62" s="390"/>
      <c r="NE62" s="390"/>
      <c r="NF62" s="390"/>
      <c r="NG62" s="390"/>
      <c r="NH62" s="390"/>
      <c r="NI62" s="390"/>
      <c r="NJ62" s="390"/>
      <c r="NK62" s="390"/>
      <c r="NL62" s="390"/>
      <c r="NM62" s="390"/>
      <c r="NN62" s="390"/>
      <c r="NO62" s="390"/>
      <c r="NP62" s="390"/>
      <c r="NQ62" s="390"/>
      <c r="NR62" s="390"/>
      <c r="NS62" s="390"/>
      <c r="NT62" s="390"/>
      <c r="NU62" s="390"/>
      <c r="NV62" s="390"/>
      <c r="NW62" s="390"/>
      <c r="NX62" s="390"/>
      <c r="NY62" s="390"/>
      <c r="NZ62" s="390"/>
      <c r="OA62" s="390"/>
      <c r="OB62" s="390"/>
      <c r="OC62" s="390"/>
      <c r="OD62" s="390"/>
      <c r="OE62" s="390"/>
      <c r="OF62" s="390"/>
      <c r="OG62" s="390"/>
      <c r="OH62" s="390"/>
      <c r="OI62" s="390"/>
      <c r="OJ62" s="390"/>
      <c r="OK62" s="390"/>
      <c r="OL62" s="390"/>
      <c r="OM62" s="390"/>
      <c r="ON62" s="390"/>
      <c r="OO62" s="390"/>
      <c r="OP62" s="390"/>
      <c r="OQ62" s="390"/>
      <c r="OR62" s="390"/>
      <c r="OS62" s="390"/>
      <c r="OT62" s="390"/>
      <c r="OU62" s="390"/>
      <c r="OV62" s="390"/>
      <c r="OW62" s="390"/>
      <c r="OX62" s="390"/>
      <c r="OY62" s="390"/>
      <c r="OZ62" s="390"/>
      <c r="PA62" s="390"/>
      <c r="PB62" s="390"/>
      <c r="PC62" s="390"/>
      <c r="PD62" s="390"/>
      <c r="PE62" s="390"/>
      <c r="PF62" s="390"/>
      <c r="PG62" s="390"/>
      <c r="PH62" s="390"/>
      <c r="PI62" s="390"/>
      <c r="PJ62" s="390"/>
      <c r="PK62" s="390"/>
      <c r="PL62" s="390"/>
      <c r="PM62" s="390"/>
      <c r="PN62" s="390"/>
      <c r="PO62" s="390"/>
      <c r="PP62" s="390"/>
      <c r="PQ62" s="390"/>
      <c r="PR62" s="390"/>
      <c r="PS62" s="390"/>
      <c r="PT62" s="390"/>
      <c r="PU62" s="390"/>
      <c r="PV62" s="390"/>
      <c r="PW62" s="390"/>
      <c r="PX62" s="390"/>
      <c r="PY62" s="390"/>
      <c r="PZ62" s="390"/>
      <c r="QA62" s="390"/>
      <c r="QB62" s="390"/>
      <c r="QC62" s="390"/>
      <c r="QD62" s="390"/>
      <c r="QE62" s="390"/>
      <c r="QF62" s="390"/>
      <c r="QG62" s="390"/>
      <c r="QH62" s="390"/>
      <c r="QI62" s="390"/>
      <c r="QJ62" s="390"/>
      <c r="QK62" s="390"/>
      <c r="QL62" s="390"/>
      <c r="QM62" s="390"/>
      <c r="QN62" s="390"/>
      <c r="QO62" s="390"/>
      <c r="QP62" s="390"/>
      <c r="QQ62" s="390"/>
      <c r="QR62" s="390"/>
      <c r="QS62" s="390"/>
      <c r="QT62" s="390"/>
      <c r="QU62" s="390"/>
      <c r="QV62" s="390"/>
      <c r="QW62" s="390"/>
      <c r="QX62" s="390"/>
      <c r="QY62" s="390"/>
      <c r="QZ62" s="390"/>
      <c r="RA62" s="390"/>
      <c r="RB62" s="390"/>
      <c r="RC62" s="390"/>
      <c r="RD62" s="390"/>
      <c r="RE62" s="390"/>
      <c r="RF62" s="390"/>
      <c r="RG62" s="390"/>
      <c r="RH62" s="390"/>
      <c r="RI62" s="390"/>
      <c r="RJ62" s="390"/>
      <c r="RK62" s="390"/>
      <c r="RL62" s="390"/>
      <c r="RM62" s="390"/>
      <c r="RN62" s="390"/>
      <c r="RO62" s="390"/>
      <c r="RP62" s="390"/>
      <c r="RQ62" s="390"/>
      <c r="RR62" s="390"/>
      <c r="RS62" s="390"/>
      <c r="RT62" s="390"/>
      <c r="RU62" s="390"/>
      <c r="RV62" s="390"/>
      <c r="RW62" s="390"/>
      <c r="RX62" s="390"/>
      <c r="RY62" s="390"/>
      <c r="RZ62" s="390"/>
      <c r="SA62" s="390"/>
      <c r="SB62" s="390"/>
      <c r="SC62" s="390"/>
      <c r="SD62" s="390"/>
      <c r="SE62" s="390"/>
      <c r="SF62" s="390"/>
      <c r="SG62" s="390"/>
      <c r="SH62" s="390"/>
      <c r="SI62" s="390"/>
      <c r="SJ62" s="390"/>
      <c r="SK62" s="390"/>
      <c r="SL62" s="390"/>
      <c r="SM62" s="390"/>
      <c r="SN62" s="390"/>
      <c r="SO62" s="390"/>
      <c r="SP62" s="390"/>
      <c r="SQ62" s="390"/>
      <c r="SR62" s="390"/>
      <c r="SS62" s="390"/>
      <c r="ST62" s="390"/>
      <c r="SU62" s="390"/>
      <c r="SV62" s="390"/>
      <c r="SW62" s="390"/>
      <c r="SX62" s="390"/>
      <c r="SY62" s="390"/>
      <c r="SZ62" s="390"/>
      <c r="TA62" s="390"/>
      <c r="TB62" s="390"/>
      <c r="TC62" s="390"/>
      <c r="TD62" s="390"/>
      <c r="TE62" s="390"/>
      <c r="TF62" s="390"/>
      <c r="TG62" s="390"/>
      <c r="TH62" s="390"/>
      <c r="TI62" s="390"/>
      <c r="TJ62" s="390"/>
      <c r="TK62" s="390"/>
      <c r="TL62" s="390"/>
      <c r="TM62" s="390"/>
      <c r="TN62" s="390"/>
      <c r="TO62" s="390"/>
      <c r="TP62" s="390"/>
      <c r="TQ62" s="390"/>
      <c r="TR62" s="390"/>
      <c r="TS62" s="390"/>
      <c r="TT62" s="390"/>
      <c r="TU62" s="390"/>
      <c r="TV62" s="390"/>
      <c r="TW62" s="390"/>
      <c r="TX62" s="390"/>
      <c r="TY62" s="390"/>
      <c r="TZ62" s="390"/>
      <c r="UA62" s="390"/>
      <c r="UB62" s="390"/>
      <c r="UC62" s="390"/>
      <c r="UD62" s="390"/>
      <c r="UE62" s="390"/>
      <c r="UF62" s="390"/>
      <c r="UG62" s="390"/>
      <c r="UH62" s="390"/>
      <c r="UI62" s="390"/>
      <c r="UJ62" s="390"/>
      <c r="UK62" s="390"/>
      <c r="UL62" s="390"/>
      <c r="UM62" s="390"/>
      <c r="UN62" s="390"/>
      <c r="UO62" s="390"/>
      <c r="UP62" s="390"/>
      <c r="UQ62" s="390"/>
      <c r="UR62" s="390"/>
      <c r="US62" s="390"/>
      <c r="UT62" s="390"/>
      <c r="UU62" s="390"/>
      <c r="UV62" s="390"/>
      <c r="UW62" s="390"/>
      <c r="UX62" s="390"/>
      <c r="UY62" s="390"/>
      <c r="UZ62" s="390"/>
      <c r="VA62" s="390"/>
      <c r="VB62" s="390"/>
      <c r="VC62" s="390"/>
      <c r="VD62" s="390"/>
      <c r="VE62" s="390"/>
      <c r="VF62" s="390"/>
      <c r="VG62" s="390"/>
      <c r="VH62" s="390"/>
      <c r="VI62" s="390"/>
      <c r="VJ62" s="390"/>
      <c r="VK62" s="390"/>
      <c r="VL62" s="390"/>
      <c r="VM62" s="390"/>
      <c r="VN62" s="390"/>
      <c r="VO62" s="390"/>
      <c r="VP62" s="390"/>
      <c r="VQ62" s="390"/>
      <c r="VR62" s="390"/>
      <c r="VS62" s="390"/>
      <c r="VT62" s="390"/>
      <c r="VU62" s="390"/>
      <c r="VV62" s="390"/>
      <c r="VW62" s="390"/>
      <c r="VX62" s="390"/>
      <c r="VY62" s="390"/>
      <c r="VZ62" s="390"/>
      <c r="WA62" s="390"/>
      <c r="WB62" s="390"/>
      <c r="WC62" s="390"/>
      <c r="WD62" s="390"/>
      <c r="WE62" s="390"/>
      <c r="WF62" s="390"/>
      <c r="WG62" s="390"/>
      <c r="WH62" s="390"/>
      <c r="WI62" s="390"/>
      <c r="WJ62" s="390"/>
      <c r="WK62" s="390"/>
      <c r="WL62" s="390"/>
      <c r="WM62" s="390"/>
      <c r="WN62" s="390"/>
      <c r="WO62" s="390"/>
      <c r="WP62" s="390"/>
      <c r="WQ62" s="390"/>
      <c r="WR62" s="390"/>
      <c r="WS62" s="390"/>
      <c r="WT62" s="390"/>
      <c r="WU62" s="390"/>
      <c r="WV62" s="390"/>
      <c r="WW62" s="390"/>
      <c r="WX62" s="390"/>
      <c r="WY62" s="390"/>
      <c r="WZ62" s="390"/>
      <c r="XA62" s="390"/>
      <c r="XB62" s="390"/>
      <c r="XC62" s="390"/>
      <c r="XD62" s="390"/>
      <c r="XE62" s="390"/>
      <c r="XF62" s="390"/>
      <c r="XG62" s="390"/>
      <c r="XH62" s="390"/>
      <c r="XI62" s="390"/>
      <c r="XJ62" s="390"/>
      <c r="XK62" s="390"/>
      <c r="XL62" s="390"/>
      <c r="XM62" s="390"/>
      <c r="XN62" s="390"/>
      <c r="XO62" s="390"/>
      <c r="XP62" s="390"/>
      <c r="XQ62" s="390"/>
      <c r="XR62" s="390"/>
      <c r="XS62" s="390"/>
      <c r="XT62" s="390"/>
      <c r="XU62" s="390"/>
      <c r="XV62" s="390"/>
      <c r="XW62" s="390"/>
      <c r="XX62" s="390"/>
      <c r="XY62" s="390"/>
      <c r="XZ62" s="390"/>
      <c r="YA62" s="390"/>
      <c r="YB62" s="390"/>
      <c r="YC62" s="390"/>
      <c r="YD62" s="390"/>
      <c r="YE62" s="390"/>
      <c r="YF62" s="390"/>
      <c r="YG62" s="390"/>
      <c r="YH62" s="390"/>
      <c r="YI62" s="390"/>
      <c r="YJ62" s="390"/>
      <c r="YK62" s="390"/>
      <c r="YL62" s="390"/>
      <c r="YM62" s="390"/>
      <c r="YN62" s="390"/>
      <c r="YO62" s="390"/>
      <c r="YP62" s="390"/>
      <c r="YQ62" s="390"/>
      <c r="YR62" s="390"/>
      <c r="YS62" s="390"/>
      <c r="YT62" s="390"/>
      <c r="YU62" s="390"/>
      <c r="YV62" s="390"/>
      <c r="YW62" s="390"/>
      <c r="YX62" s="390"/>
      <c r="YY62" s="390"/>
      <c r="YZ62" s="390"/>
      <c r="ZA62" s="390"/>
      <c r="ZB62" s="390"/>
      <c r="ZC62" s="390"/>
      <c r="ZD62" s="390"/>
      <c r="ZE62" s="390"/>
      <c r="ZF62" s="390"/>
      <c r="ZG62" s="390"/>
      <c r="ZH62" s="390"/>
      <c r="ZI62" s="390"/>
      <c r="ZJ62" s="390"/>
      <c r="ZK62" s="390"/>
      <c r="ZL62" s="390"/>
      <c r="ZM62" s="390"/>
      <c r="ZN62" s="390"/>
      <c r="ZO62" s="390"/>
      <c r="ZP62" s="390"/>
      <c r="ZQ62" s="390"/>
      <c r="ZR62" s="390"/>
      <c r="ZS62" s="390"/>
      <c r="ZT62" s="390"/>
      <c r="ZU62" s="390"/>
      <c r="ZV62" s="390"/>
      <c r="ZW62" s="390"/>
      <c r="ZX62" s="390"/>
      <c r="ZY62" s="390"/>
      <c r="ZZ62" s="390"/>
      <c r="AAA62" s="390"/>
      <c r="AAB62" s="390"/>
      <c r="AAC62" s="390"/>
      <c r="AAD62" s="390"/>
      <c r="AAE62" s="390"/>
      <c r="AAF62" s="390"/>
      <c r="AAG62" s="390"/>
      <c r="AAH62" s="390"/>
      <c r="AAI62" s="390"/>
      <c r="AAJ62" s="390"/>
      <c r="AAK62" s="390"/>
      <c r="AAL62" s="390"/>
      <c r="AAM62" s="390"/>
      <c r="AAN62" s="390"/>
      <c r="AAO62" s="390"/>
      <c r="AAP62" s="390"/>
      <c r="AAQ62" s="390"/>
      <c r="AAR62" s="390"/>
      <c r="AAS62" s="390"/>
      <c r="AAT62" s="390"/>
      <c r="AAU62" s="390"/>
      <c r="AAV62" s="390"/>
      <c r="AAW62" s="390"/>
      <c r="AAX62" s="390"/>
      <c r="AAY62" s="390"/>
      <c r="AAZ62" s="390"/>
      <c r="ABA62" s="390"/>
      <c r="ABB62" s="390"/>
      <c r="ABC62" s="390"/>
      <c r="ABD62" s="390"/>
      <c r="ABE62" s="390"/>
      <c r="ABF62" s="390"/>
      <c r="ABG62" s="390"/>
      <c r="ABH62" s="390"/>
      <c r="ABI62" s="390"/>
      <c r="ABJ62" s="390"/>
      <c r="ABK62" s="390"/>
      <c r="ABL62" s="390"/>
      <c r="ABM62" s="390"/>
      <c r="ABN62" s="390"/>
      <c r="ABO62" s="390"/>
      <c r="ABP62" s="390"/>
      <c r="ABQ62" s="390"/>
      <c r="ABR62" s="390"/>
      <c r="ABS62" s="390"/>
      <c r="ABT62" s="390"/>
      <c r="ABU62" s="390"/>
      <c r="ABV62" s="390"/>
      <c r="ABW62" s="390"/>
      <c r="ABX62" s="390"/>
      <c r="ABY62" s="390"/>
      <c r="ABZ62" s="390"/>
      <c r="ACA62" s="390"/>
      <c r="ACB62" s="390"/>
      <c r="ACC62" s="390"/>
      <c r="ACD62" s="390"/>
      <c r="ACE62" s="390"/>
      <c r="ACF62" s="390"/>
      <c r="ACG62" s="390"/>
      <c r="ACH62" s="390"/>
      <c r="ACI62" s="390"/>
    </row>
    <row r="63" spans="1:763" ht="13.95" customHeight="1" x14ac:dyDescent="0.3">
      <c r="A63" s="397" t="str">
        <f ca="1">Проект!$A$365</f>
        <v>численность</v>
      </c>
      <c r="B63" s="353">
        <f>Проект!$B$365</f>
        <v>3</v>
      </c>
      <c r="C63" s="402" t="str">
        <f ca="1">Проект!$C$365</f>
        <v>человек</v>
      </c>
      <c r="D63" s="354">
        <f>IFERROR(AVERAGE(Проект!$G$365:$R$365),"-")</f>
        <v>1.5</v>
      </c>
      <c r="E63" s="354">
        <f>IFERROR(AVERAGE(Проект!$S$365:$AD$365),"-")</f>
        <v>3</v>
      </c>
      <c r="F63" s="354">
        <f>IFERROR(AVERAGE(Проект!$AE$365:$AP$365),"-")</f>
        <v>3</v>
      </c>
      <c r="G63" s="354">
        <f>IFERROR(AVERAGE(Проект!$AQ$365:$BB$365),"-")</f>
        <v>3</v>
      </c>
      <c r="H63" s="396"/>
      <c r="I63" s="390"/>
      <c r="J63" s="390"/>
      <c r="K63" s="390"/>
      <c r="L63" s="390"/>
      <c r="M63" s="390"/>
      <c r="N63" s="390"/>
      <c r="O63" s="390"/>
      <c r="P63" s="390"/>
      <c r="Q63" s="390"/>
      <c r="R63" s="390"/>
      <c r="S63" s="390"/>
      <c r="T63" s="390"/>
      <c r="U63" s="390"/>
      <c r="V63" s="390"/>
      <c r="W63" s="390"/>
      <c r="X63" s="390"/>
      <c r="Y63" s="390"/>
      <c r="Z63" s="390"/>
      <c r="AA63" s="390"/>
      <c r="AB63" s="390"/>
      <c r="AC63" s="390"/>
      <c r="AD63" s="390"/>
      <c r="AE63" s="390"/>
      <c r="AF63" s="390"/>
      <c r="AG63" s="390"/>
      <c r="AH63" s="390"/>
      <c r="AI63" s="390"/>
      <c r="AJ63" s="390"/>
      <c r="AK63" s="390"/>
      <c r="AL63" s="390"/>
      <c r="AM63" s="390"/>
      <c r="AN63" s="390"/>
      <c r="AO63" s="390"/>
      <c r="AP63" s="390"/>
      <c r="AQ63" s="390"/>
      <c r="AR63" s="390"/>
      <c r="AS63" s="390"/>
      <c r="AT63" s="390"/>
      <c r="AU63" s="390"/>
      <c r="AV63" s="390"/>
      <c r="AW63" s="390"/>
      <c r="AX63" s="390"/>
      <c r="AY63" s="390"/>
      <c r="AZ63" s="390"/>
      <c r="BA63" s="390"/>
      <c r="BB63" s="390"/>
      <c r="BC63" s="390"/>
      <c r="BD63" s="390"/>
      <c r="BE63" s="390"/>
      <c r="BF63" s="390"/>
      <c r="BG63" s="390"/>
      <c r="BH63" s="390"/>
      <c r="BI63" s="390"/>
      <c r="BJ63" s="390"/>
      <c r="BK63" s="390"/>
      <c r="BL63" s="390"/>
      <c r="BM63" s="390"/>
      <c r="BN63" s="390"/>
      <c r="BO63" s="390"/>
      <c r="BP63" s="390"/>
      <c r="BQ63" s="390"/>
      <c r="BR63" s="390"/>
      <c r="BS63" s="390"/>
      <c r="BT63" s="390"/>
      <c r="BU63" s="390"/>
      <c r="BV63" s="390"/>
      <c r="BW63" s="390"/>
      <c r="BX63" s="390"/>
      <c r="BY63" s="390"/>
      <c r="BZ63" s="390"/>
      <c r="CA63" s="390"/>
      <c r="CB63" s="390"/>
      <c r="CC63" s="390"/>
      <c r="CD63" s="390"/>
      <c r="CE63" s="390"/>
      <c r="CF63" s="390"/>
      <c r="CG63" s="390"/>
      <c r="CH63" s="390"/>
      <c r="CI63" s="390"/>
      <c r="CJ63" s="390"/>
      <c r="CK63" s="390"/>
      <c r="CL63" s="390"/>
      <c r="CM63" s="390"/>
      <c r="CN63" s="390"/>
      <c r="CO63" s="390"/>
      <c r="CP63" s="390"/>
      <c r="CQ63" s="390"/>
      <c r="CR63" s="390"/>
      <c r="CS63" s="390"/>
      <c r="CT63" s="390"/>
      <c r="CU63" s="390"/>
      <c r="CV63" s="390"/>
      <c r="CW63" s="390"/>
      <c r="CX63" s="390"/>
      <c r="CY63" s="390"/>
      <c r="CZ63" s="390"/>
      <c r="DA63" s="390"/>
      <c r="DB63" s="390"/>
      <c r="DC63" s="390"/>
      <c r="DD63" s="390"/>
      <c r="DE63" s="390"/>
      <c r="DF63" s="390"/>
      <c r="DG63" s="390"/>
      <c r="DH63" s="390"/>
      <c r="DI63" s="390"/>
      <c r="DJ63" s="390"/>
      <c r="DK63" s="390"/>
      <c r="DL63" s="390"/>
      <c r="DM63" s="390"/>
      <c r="DN63" s="390"/>
      <c r="DO63" s="390"/>
      <c r="DP63" s="390"/>
      <c r="DQ63" s="390"/>
      <c r="DR63" s="390"/>
      <c r="DS63" s="390"/>
      <c r="DT63" s="390"/>
      <c r="DU63" s="390"/>
      <c r="DV63" s="390"/>
      <c r="DW63" s="390"/>
      <c r="DX63" s="390"/>
      <c r="DY63" s="390"/>
      <c r="DZ63" s="390"/>
      <c r="EA63" s="390"/>
      <c r="EB63" s="390"/>
      <c r="EC63" s="390"/>
      <c r="ED63" s="390"/>
      <c r="EE63" s="390"/>
      <c r="EF63" s="390"/>
      <c r="EG63" s="390"/>
      <c r="EH63" s="390"/>
      <c r="EI63" s="390"/>
      <c r="EJ63" s="390"/>
      <c r="EK63" s="390"/>
      <c r="EL63" s="390"/>
      <c r="EM63" s="390"/>
      <c r="EN63" s="390"/>
      <c r="EO63" s="390"/>
      <c r="EP63" s="390"/>
      <c r="EQ63" s="390"/>
      <c r="ER63" s="390"/>
      <c r="ES63" s="390"/>
      <c r="ET63" s="390"/>
      <c r="EU63" s="390"/>
      <c r="EV63" s="390"/>
      <c r="EW63" s="390"/>
      <c r="EX63" s="390"/>
      <c r="EY63" s="390"/>
      <c r="EZ63" s="390"/>
      <c r="FA63" s="390"/>
      <c r="FB63" s="390"/>
      <c r="FC63" s="390"/>
      <c r="FD63" s="390"/>
      <c r="FE63" s="390"/>
      <c r="FF63" s="390"/>
      <c r="FG63" s="390"/>
      <c r="FH63" s="390"/>
      <c r="FI63" s="390"/>
      <c r="FJ63" s="390"/>
      <c r="FK63" s="390"/>
      <c r="FL63" s="390"/>
      <c r="FM63" s="390"/>
      <c r="FN63" s="390"/>
      <c r="FO63" s="390"/>
      <c r="FP63" s="390"/>
      <c r="FQ63" s="390"/>
      <c r="FR63" s="390"/>
      <c r="FS63" s="390"/>
      <c r="FT63" s="390"/>
      <c r="FU63" s="390"/>
      <c r="FV63" s="390"/>
      <c r="FW63" s="390"/>
      <c r="FX63" s="390"/>
      <c r="FY63" s="390"/>
      <c r="FZ63" s="390"/>
      <c r="GA63" s="390"/>
      <c r="GB63" s="390"/>
      <c r="GC63" s="390"/>
      <c r="GD63" s="390"/>
      <c r="GE63" s="390"/>
      <c r="GF63" s="390"/>
      <c r="GG63" s="390"/>
      <c r="GH63" s="390"/>
      <c r="GI63" s="390"/>
      <c r="GJ63" s="390"/>
      <c r="GK63" s="390"/>
      <c r="GL63" s="390"/>
      <c r="GM63" s="390"/>
      <c r="GN63" s="390"/>
      <c r="GO63" s="390"/>
      <c r="GP63" s="390"/>
      <c r="GQ63" s="390"/>
      <c r="GR63" s="390"/>
      <c r="GS63" s="390"/>
      <c r="GT63" s="390"/>
      <c r="GU63" s="390"/>
      <c r="GV63" s="390"/>
      <c r="GW63" s="390"/>
      <c r="GX63" s="390"/>
      <c r="GY63" s="390"/>
      <c r="GZ63" s="390"/>
      <c r="HA63" s="390"/>
      <c r="HB63" s="390"/>
      <c r="HC63" s="390"/>
      <c r="HD63" s="390"/>
      <c r="HE63" s="390"/>
      <c r="HF63" s="390"/>
      <c r="HG63" s="390"/>
      <c r="HH63" s="390"/>
      <c r="HI63" s="390"/>
      <c r="HJ63" s="390"/>
      <c r="HK63" s="390"/>
      <c r="HL63" s="390"/>
      <c r="HM63" s="390"/>
      <c r="HN63" s="390"/>
      <c r="HO63" s="390"/>
      <c r="HP63" s="390"/>
      <c r="HQ63" s="390"/>
      <c r="HR63" s="390"/>
      <c r="HS63" s="390"/>
      <c r="HT63" s="390"/>
      <c r="HU63" s="390"/>
      <c r="HV63" s="390"/>
      <c r="HW63" s="390"/>
      <c r="HX63" s="390"/>
      <c r="HY63" s="390"/>
      <c r="HZ63" s="390"/>
      <c r="IA63" s="390"/>
      <c r="IB63" s="390"/>
      <c r="IC63" s="390"/>
      <c r="ID63" s="390"/>
      <c r="IE63" s="390"/>
      <c r="IF63" s="390"/>
      <c r="IG63" s="390"/>
      <c r="IH63" s="390"/>
      <c r="II63" s="390"/>
      <c r="IJ63" s="390"/>
      <c r="IK63" s="390"/>
      <c r="IL63" s="390"/>
      <c r="IM63" s="390"/>
      <c r="IN63" s="390"/>
      <c r="IO63" s="390"/>
      <c r="IP63" s="390"/>
      <c r="IQ63" s="390"/>
      <c r="IR63" s="390"/>
      <c r="IS63" s="390"/>
      <c r="IT63" s="390"/>
      <c r="IU63" s="390"/>
      <c r="IV63" s="390"/>
      <c r="IW63" s="390"/>
      <c r="IX63" s="390"/>
      <c r="IY63" s="390"/>
      <c r="IZ63" s="390"/>
      <c r="JA63" s="390"/>
      <c r="JB63" s="390"/>
      <c r="JC63" s="390"/>
      <c r="JD63" s="390"/>
      <c r="JE63" s="390"/>
      <c r="JF63" s="390"/>
      <c r="JG63" s="390"/>
      <c r="JH63" s="390"/>
      <c r="JI63" s="390"/>
      <c r="JJ63" s="390"/>
      <c r="JK63" s="390"/>
      <c r="JL63" s="390"/>
      <c r="JM63" s="390"/>
      <c r="JN63" s="390"/>
      <c r="JO63" s="390"/>
      <c r="JP63" s="390"/>
      <c r="JQ63" s="390"/>
      <c r="JR63" s="390"/>
      <c r="JS63" s="390"/>
      <c r="JT63" s="390"/>
      <c r="JU63" s="390"/>
      <c r="JV63" s="390"/>
      <c r="JW63" s="390"/>
      <c r="JX63" s="390"/>
      <c r="JY63" s="390"/>
      <c r="JZ63" s="390"/>
      <c r="KA63" s="390"/>
      <c r="KB63" s="390"/>
      <c r="KC63" s="390"/>
      <c r="KD63" s="390"/>
      <c r="KE63" s="390"/>
      <c r="KF63" s="390"/>
      <c r="KG63" s="390"/>
      <c r="KH63" s="390"/>
      <c r="KI63" s="390"/>
      <c r="KJ63" s="390"/>
      <c r="KK63" s="390"/>
      <c r="KL63" s="390"/>
      <c r="KM63" s="390"/>
      <c r="KN63" s="390"/>
      <c r="KO63" s="390"/>
      <c r="KP63" s="390"/>
      <c r="KQ63" s="390"/>
      <c r="KR63" s="390"/>
      <c r="KS63" s="390"/>
      <c r="KT63" s="390"/>
      <c r="KU63" s="390"/>
      <c r="KV63" s="390"/>
      <c r="KW63" s="390"/>
      <c r="KX63" s="390"/>
      <c r="KY63" s="390"/>
      <c r="KZ63" s="390"/>
      <c r="LA63" s="390"/>
      <c r="LB63" s="390"/>
      <c r="LC63" s="390"/>
      <c r="LD63" s="390"/>
      <c r="LE63" s="390"/>
      <c r="LF63" s="390"/>
      <c r="LG63" s="390"/>
      <c r="LH63" s="390"/>
      <c r="LI63" s="390"/>
      <c r="LJ63" s="390"/>
      <c r="LK63" s="390"/>
      <c r="LL63" s="390"/>
      <c r="LM63" s="390"/>
      <c r="LN63" s="390"/>
      <c r="LO63" s="390"/>
      <c r="LP63" s="390"/>
      <c r="LQ63" s="390"/>
      <c r="LR63" s="390"/>
      <c r="LS63" s="390"/>
      <c r="LT63" s="390"/>
      <c r="LU63" s="390"/>
      <c r="LV63" s="390"/>
      <c r="LW63" s="390"/>
      <c r="LX63" s="390"/>
      <c r="LY63" s="390"/>
      <c r="LZ63" s="390"/>
      <c r="MA63" s="390"/>
      <c r="MB63" s="390"/>
      <c r="MC63" s="390"/>
      <c r="MD63" s="390"/>
      <c r="ME63" s="390"/>
      <c r="MF63" s="390"/>
      <c r="MG63" s="390"/>
      <c r="MH63" s="390"/>
      <c r="MI63" s="390"/>
      <c r="MJ63" s="390"/>
      <c r="MK63" s="390"/>
      <c r="ML63" s="390"/>
      <c r="MM63" s="390"/>
      <c r="MN63" s="390"/>
      <c r="MO63" s="390"/>
      <c r="MP63" s="390"/>
      <c r="MQ63" s="390"/>
      <c r="MR63" s="390"/>
      <c r="MS63" s="390"/>
      <c r="MT63" s="390"/>
      <c r="MU63" s="390"/>
      <c r="MV63" s="390"/>
      <c r="MW63" s="390"/>
      <c r="MX63" s="390"/>
      <c r="MY63" s="390"/>
      <c r="MZ63" s="390"/>
      <c r="NA63" s="390"/>
      <c r="NB63" s="390"/>
      <c r="NC63" s="390"/>
      <c r="ND63" s="390"/>
      <c r="NE63" s="390"/>
      <c r="NF63" s="390"/>
      <c r="NG63" s="390"/>
      <c r="NH63" s="390"/>
      <c r="NI63" s="390"/>
      <c r="NJ63" s="390"/>
      <c r="NK63" s="390"/>
      <c r="NL63" s="390"/>
      <c r="NM63" s="390"/>
      <c r="NN63" s="390"/>
      <c r="NO63" s="390"/>
      <c r="NP63" s="390"/>
      <c r="NQ63" s="390"/>
      <c r="NR63" s="390"/>
      <c r="NS63" s="390"/>
      <c r="NT63" s="390"/>
      <c r="NU63" s="390"/>
      <c r="NV63" s="390"/>
      <c r="NW63" s="390"/>
      <c r="NX63" s="390"/>
      <c r="NY63" s="390"/>
      <c r="NZ63" s="390"/>
      <c r="OA63" s="390"/>
      <c r="OB63" s="390"/>
      <c r="OC63" s="390"/>
      <c r="OD63" s="390"/>
      <c r="OE63" s="390"/>
      <c r="OF63" s="390"/>
      <c r="OG63" s="390"/>
      <c r="OH63" s="390"/>
      <c r="OI63" s="390"/>
      <c r="OJ63" s="390"/>
      <c r="OK63" s="390"/>
      <c r="OL63" s="390"/>
      <c r="OM63" s="390"/>
      <c r="ON63" s="390"/>
      <c r="OO63" s="390"/>
      <c r="OP63" s="390"/>
      <c r="OQ63" s="390"/>
      <c r="OR63" s="390"/>
      <c r="OS63" s="390"/>
      <c r="OT63" s="390"/>
      <c r="OU63" s="390"/>
      <c r="OV63" s="390"/>
      <c r="OW63" s="390"/>
      <c r="OX63" s="390"/>
      <c r="OY63" s="390"/>
      <c r="OZ63" s="390"/>
      <c r="PA63" s="390"/>
      <c r="PB63" s="390"/>
      <c r="PC63" s="390"/>
      <c r="PD63" s="390"/>
      <c r="PE63" s="390"/>
      <c r="PF63" s="390"/>
      <c r="PG63" s="390"/>
      <c r="PH63" s="390"/>
      <c r="PI63" s="390"/>
      <c r="PJ63" s="390"/>
      <c r="PK63" s="390"/>
      <c r="PL63" s="390"/>
      <c r="PM63" s="390"/>
      <c r="PN63" s="390"/>
      <c r="PO63" s="390"/>
      <c r="PP63" s="390"/>
      <c r="PQ63" s="390"/>
      <c r="PR63" s="390"/>
      <c r="PS63" s="390"/>
      <c r="PT63" s="390"/>
      <c r="PU63" s="390"/>
      <c r="PV63" s="390"/>
      <c r="PW63" s="390"/>
      <c r="PX63" s="390"/>
      <c r="PY63" s="390"/>
      <c r="PZ63" s="390"/>
      <c r="QA63" s="390"/>
      <c r="QB63" s="390"/>
      <c r="QC63" s="390"/>
      <c r="QD63" s="390"/>
      <c r="QE63" s="390"/>
      <c r="QF63" s="390"/>
      <c r="QG63" s="390"/>
      <c r="QH63" s="390"/>
      <c r="QI63" s="390"/>
      <c r="QJ63" s="390"/>
      <c r="QK63" s="390"/>
      <c r="QL63" s="390"/>
      <c r="QM63" s="390"/>
      <c r="QN63" s="390"/>
      <c r="QO63" s="390"/>
      <c r="QP63" s="390"/>
      <c r="QQ63" s="390"/>
      <c r="QR63" s="390"/>
      <c r="QS63" s="390"/>
      <c r="QT63" s="390"/>
      <c r="QU63" s="390"/>
      <c r="QV63" s="390"/>
      <c r="QW63" s="390"/>
      <c r="QX63" s="390"/>
      <c r="QY63" s="390"/>
      <c r="QZ63" s="390"/>
      <c r="RA63" s="390"/>
      <c r="RB63" s="390"/>
      <c r="RC63" s="390"/>
      <c r="RD63" s="390"/>
      <c r="RE63" s="390"/>
      <c r="RF63" s="390"/>
      <c r="RG63" s="390"/>
      <c r="RH63" s="390"/>
      <c r="RI63" s="390"/>
      <c r="RJ63" s="390"/>
      <c r="RK63" s="390"/>
      <c r="RL63" s="390"/>
      <c r="RM63" s="390"/>
      <c r="RN63" s="390"/>
      <c r="RO63" s="390"/>
      <c r="RP63" s="390"/>
      <c r="RQ63" s="390"/>
      <c r="RR63" s="390"/>
      <c r="RS63" s="390"/>
      <c r="RT63" s="390"/>
      <c r="RU63" s="390"/>
      <c r="RV63" s="390"/>
      <c r="RW63" s="390"/>
      <c r="RX63" s="390"/>
      <c r="RY63" s="390"/>
      <c r="RZ63" s="390"/>
      <c r="SA63" s="390"/>
      <c r="SB63" s="390"/>
      <c r="SC63" s="390"/>
      <c r="SD63" s="390"/>
      <c r="SE63" s="390"/>
      <c r="SF63" s="390"/>
      <c r="SG63" s="390"/>
      <c r="SH63" s="390"/>
      <c r="SI63" s="390"/>
      <c r="SJ63" s="390"/>
      <c r="SK63" s="390"/>
      <c r="SL63" s="390"/>
      <c r="SM63" s="390"/>
      <c r="SN63" s="390"/>
      <c r="SO63" s="390"/>
      <c r="SP63" s="390"/>
      <c r="SQ63" s="390"/>
      <c r="SR63" s="390"/>
      <c r="SS63" s="390"/>
      <c r="ST63" s="390"/>
      <c r="SU63" s="390"/>
      <c r="SV63" s="390"/>
      <c r="SW63" s="390"/>
      <c r="SX63" s="390"/>
      <c r="SY63" s="390"/>
      <c r="SZ63" s="390"/>
      <c r="TA63" s="390"/>
      <c r="TB63" s="390"/>
      <c r="TC63" s="390"/>
      <c r="TD63" s="390"/>
      <c r="TE63" s="390"/>
      <c r="TF63" s="390"/>
      <c r="TG63" s="390"/>
      <c r="TH63" s="390"/>
      <c r="TI63" s="390"/>
      <c r="TJ63" s="390"/>
      <c r="TK63" s="390"/>
      <c r="TL63" s="390"/>
      <c r="TM63" s="390"/>
      <c r="TN63" s="390"/>
      <c r="TO63" s="390"/>
      <c r="TP63" s="390"/>
      <c r="TQ63" s="390"/>
      <c r="TR63" s="390"/>
      <c r="TS63" s="390"/>
      <c r="TT63" s="390"/>
      <c r="TU63" s="390"/>
      <c r="TV63" s="390"/>
      <c r="TW63" s="390"/>
      <c r="TX63" s="390"/>
      <c r="TY63" s="390"/>
      <c r="TZ63" s="390"/>
      <c r="UA63" s="390"/>
      <c r="UB63" s="390"/>
      <c r="UC63" s="390"/>
      <c r="UD63" s="390"/>
      <c r="UE63" s="390"/>
      <c r="UF63" s="390"/>
      <c r="UG63" s="390"/>
      <c r="UH63" s="390"/>
      <c r="UI63" s="390"/>
      <c r="UJ63" s="390"/>
      <c r="UK63" s="390"/>
      <c r="UL63" s="390"/>
      <c r="UM63" s="390"/>
      <c r="UN63" s="390"/>
      <c r="UO63" s="390"/>
      <c r="UP63" s="390"/>
      <c r="UQ63" s="390"/>
      <c r="UR63" s="390"/>
      <c r="US63" s="390"/>
      <c r="UT63" s="390"/>
      <c r="UU63" s="390"/>
      <c r="UV63" s="390"/>
      <c r="UW63" s="390"/>
      <c r="UX63" s="390"/>
      <c r="UY63" s="390"/>
      <c r="UZ63" s="390"/>
      <c r="VA63" s="390"/>
      <c r="VB63" s="390"/>
      <c r="VC63" s="390"/>
      <c r="VD63" s="390"/>
      <c r="VE63" s="390"/>
      <c r="VF63" s="390"/>
      <c r="VG63" s="390"/>
      <c r="VH63" s="390"/>
      <c r="VI63" s="390"/>
      <c r="VJ63" s="390"/>
      <c r="VK63" s="390"/>
      <c r="VL63" s="390"/>
      <c r="VM63" s="390"/>
      <c r="VN63" s="390"/>
      <c r="VO63" s="390"/>
      <c r="VP63" s="390"/>
      <c r="VQ63" s="390"/>
      <c r="VR63" s="390"/>
      <c r="VS63" s="390"/>
      <c r="VT63" s="390"/>
      <c r="VU63" s="390"/>
      <c r="VV63" s="390"/>
      <c r="VW63" s="390"/>
      <c r="VX63" s="390"/>
      <c r="VY63" s="390"/>
      <c r="VZ63" s="390"/>
      <c r="WA63" s="390"/>
      <c r="WB63" s="390"/>
      <c r="WC63" s="390"/>
      <c r="WD63" s="390"/>
      <c r="WE63" s="390"/>
      <c r="WF63" s="390"/>
      <c r="WG63" s="390"/>
      <c r="WH63" s="390"/>
      <c r="WI63" s="390"/>
      <c r="WJ63" s="390"/>
      <c r="WK63" s="390"/>
      <c r="WL63" s="390"/>
      <c r="WM63" s="390"/>
      <c r="WN63" s="390"/>
      <c r="WO63" s="390"/>
      <c r="WP63" s="390"/>
      <c r="WQ63" s="390"/>
      <c r="WR63" s="390"/>
      <c r="WS63" s="390"/>
      <c r="WT63" s="390"/>
      <c r="WU63" s="390"/>
      <c r="WV63" s="390"/>
      <c r="WW63" s="390"/>
      <c r="WX63" s="390"/>
      <c r="WY63" s="390"/>
      <c r="WZ63" s="390"/>
      <c r="XA63" s="390"/>
      <c r="XB63" s="390"/>
      <c r="XC63" s="390"/>
      <c r="XD63" s="390"/>
      <c r="XE63" s="390"/>
      <c r="XF63" s="390"/>
      <c r="XG63" s="390"/>
      <c r="XH63" s="390"/>
      <c r="XI63" s="390"/>
      <c r="XJ63" s="390"/>
      <c r="XK63" s="390"/>
      <c r="XL63" s="390"/>
      <c r="XM63" s="390"/>
      <c r="XN63" s="390"/>
      <c r="XO63" s="390"/>
      <c r="XP63" s="390"/>
      <c r="XQ63" s="390"/>
      <c r="XR63" s="390"/>
      <c r="XS63" s="390"/>
      <c r="XT63" s="390"/>
      <c r="XU63" s="390"/>
      <c r="XV63" s="390"/>
      <c r="XW63" s="390"/>
      <c r="XX63" s="390"/>
      <c r="XY63" s="390"/>
      <c r="XZ63" s="390"/>
      <c r="YA63" s="390"/>
      <c r="YB63" s="390"/>
      <c r="YC63" s="390"/>
      <c r="YD63" s="390"/>
      <c r="YE63" s="390"/>
      <c r="YF63" s="390"/>
      <c r="YG63" s="390"/>
      <c r="YH63" s="390"/>
      <c r="YI63" s="390"/>
      <c r="YJ63" s="390"/>
      <c r="YK63" s="390"/>
      <c r="YL63" s="390"/>
      <c r="YM63" s="390"/>
      <c r="YN63" s="390"/>
      <c r="YO63" s="390"/>
      <c r="YP63" s="390"/>
      <c r="YQ63" s="390"/>
      <c r="YR63" s="390"/>
      <c r="YS63" s="390"/>
      <c r="YT63" s="390"/>
      <c r="YU63" s="390"/>
      <c r="YV63" s="390"/>
      <c r="YW63" s="390"/>
      <c r="YX63" s="390"/>
      <c r="YY63" s="390"/>
      <c r="YZ63" s="390"/>
      <c r="ZA63" s="390"/>
      <c r="ZB63" s="390"/>
      <c r="ZC63" s="390"/>
      <c r="ZD63" s="390"/>
      <c r="ZE63" s="390"/>
      <c r="ZF63" s="390"/>
      <c r="ZG63" s="390"/>
      <c r="ZH63" s="390"/>
      <c r="ZI63" s="390"/>
      <c r="ZJ63" s="390"/>
      <c r="ZK63" s="390"/>
      <c r="ZL63" s="390"/>
      <c r="ZM63" s="390"/>
      <c r="ZN63" s="390"/>
      <c r="ZO63" s="390"/>
      <c r="ZP63" s="390"/>
      <c r="ZQ63" s="390"/>
      <c r="ZR63" s="390"/>
      <c r="ZS63" s="390"/>
      <c r="ZT63" s="390"/>
      <c r="ZU63" s="390"/>
      <c r="ZV63" s="390"/>
      <c r="ZW63" s="390"/>
      <c r="ZX63" s="390"/>
      <c r="ZY63" s="390"/>
      <c r="ZZ63" s="390"/>
      <c r="AAA63" s="390"/>
      <c r="AAB63" s="390"/>
      <c r="AAC63" s="390"/>
      <c r="AAD63" s="390"/>
      <c r="AAE63" s="390"/>
      <c r="AAF63" s="390"/>
      <c r="AAG63" s="390"/>
      <c r="AAH63" s="390"/>
      <c r="AAI63" s="390"/>
      <c r="AAJ63" s="390"/>
      <c r="AAK63" s="390"/>
      <c r="AAL63" s="390"/>
      <c r="AAM63" s="390"/>
      <c r="AAN63" s="390"/>
      <c r="AAO63" s="390"/>
      <c r="AAP63" s="390"/>
      <c r="AAQ63" s="390"/>
      <c r="AAR63" s="390"/>
      <c r="AAS63" s="390"/>
      <c r="AAT63" s="390"/>
      <c r="AAU63" s="390"/>
      <c r="AAV63" s="390"/>
      <c r="AAW63" s="390"/>
      <c r="AAX63" s="390"/>
      <c r="AAY63" s="390"/>
      <c r="AAZ63" s="390"/>
      <c r="ABA63" s="390"/>
      <c r="ABB63" s="390"/>
      <c r="ABC63" s="390"/>
      <c r="ABD63" s="390"/>
      <c r="ABE63" s="390"/>
      <c r="ABF63" s="390"/>
      <c r="ABG63" s="390"/>
      <c r="ABH63" s="390"/>
      <c r="ABI63" s="390"/>
      <c r="ABJ63" s="390"/>
      <c r="ABK63" s="390"/>
      <c r="ABL63" s="390"/>
      <c r="ABM63" s="390"/>
      <c r="ABN63" s="390"/>
      <c r="ABO63" s="390"/>
      <c r="ABP63" s="390"/>
      <c r="ABQ63" s="390"/>
      <c r="ABR63" s="390"/>
      <c r="ABS63" s="390"/>
      <c r="ABT63" s="390"/>
      <c r="ABU63" s="390"/>
      <c r="ABV63" s="390"/>
      <c r="ABW63" s="390"/>
      <c r="ABX63" s="390"/>
      <c r="ABY63" s="390"/>
      <c r="ABZ63" s="390"/>
      <c r="ACA63" s="390"/>
      <c r="ACB63" s="390"/>
      <c r="ACC63" s="390"/>
      <c r="ACD63" s="390"/>
      <c r="ACE63" s="390"/>
      <c r="ACF63" s="390"/>
      <c r="ACG63" s="390"/>
      <c r="ACH63" s="390"/>
      <c r="ACI63" s="390"/>
    </row>
    <row r="64" spans="1:763" ht="13.95" customHeight="1" x14ac:dyDescent="0.3">
      <c r="A64" s="397" t="str">
        <f ca="1">Проект!$A$366</f>
        <v>средний оклад, в месяц</v>
      </c>
      <c r="B64" s="350">
        <f>Проект!$B$366</f>
        <v>45000</v>
      </c>
      <c r="C64" s="402" t="str">
        <f ca="1">Проект!$C$366</f>
        <v>руб.</v>
      </c>
      <c r="D64" s="399">
        <f ca="1">IFERROR(AVERAGE(Проект!$G$366:$R$366),"-")</f>
        <v>46224.481282639405</v>
      </c>
      <c r="E64" s="399">
        <f ca="1">IFERROR(AVERAGE(Проект!$S$366:$AD$366),"-")</f>
        <v>48997.950159597771</v>
      </c>
      <c r="F64" s="399">
        <f ca="1">IFERROR(AVERAGE(Проект!$AE$366:$AP$366),"-")</f>
        <v>51937.827169173637</v>
      </c>
      <c r="G64" s="399">
        <f ca="1">IFERROR(AVERAGE(Проект!$AQ$366:$BB$366),"-")</f>
        <v>55054.09679932407</v>
      </c>
      <c r="H64" s="396"/>
      <c r="I64" s="390"/>
      <c r="J64" s="390"/>
      <c r="K64" s="390"/>
      <c r="L64" s="390"/>
      <c r="M64" s="390"/>
      <c r="N64" s="390"/>
      <c r="O64" s="390"/>
      <c r="P64" s="390"/>
      <c r="Q64" s="390"/>
      <c r="R64" s="390"/>
      <c r="S64" s="390"/>
      <c r="T64" s="390"/>
      <c r="U64" s="390"/>
      <c r="V64" s="390"/>
      <c r="W64" s="390"/>
      <c r="X64" s="390"/>
      <c r="Y64" s="390"/>
      <c r="Z64" s="390"/>
      <c r="AA64" s="390"/>
      <c r="AB64" s="390"/>
      <c r="AC64" s="390"/>
      <c r="AD64" s="390"/>
      <c r="AE64" s="390"/>
      <c r="AF64" s="390"/>
      <c r="AG64" s="390"/>
      <c r="AH64" s="390"/>
      <c r="AI64" s="390"/>
      <c r="AJ64" s="390"/>
      <c r="AK64" s="390"/>
      <c r="AL64" s="390"/>
      <c r="AM64" s="390"/>
      <c r="AN64" s="390"/>
      <c r="AO64" s="390"/>
      <c r="AP64" s="390"/>
      <c r="AQ64" s="390"/>
      <c r="AR64" s="390"/>
      <c r="AS64" s="390"/>
      <c r="AT64" s="390"/>
      <c r="AU64" s="390"/>
      <c r="AV64" s="390"/>
      <c r="AW64" s="390"/>
      <c r="AX64" s="390"/>
      <c r="AY64" s="390"/>
      <c r="AZ64" s="390"/>
      <c r="BA64" s="390"/>
      <c r="BB64" s="390"/>
      <c r="BC64" s="390"/>
      <c r="BD64" s="390"/>
      <c r="BE64" s="390"/>
      <c r="BF64" s="390"/>
      <c r="BG64" s="390"/>
      <c r="BH64" s="390"/>
      <c r="BI64" s="390"/>
      <c r="BJ64" s="390"/>
      <c r="BK64" s="390"/>
      <c r="BL64" s="390"/>
      <c r="BM64" s="390"/>
      <c r="BN64" s="390"/>
      <c r="BO64" s="390"/>
      <c r="BP64" s="390"/>
      <c r="BQ64" s="390"/>
      <c r="BR64" s="390"/>
      <c r="BS64" s="390"/>
      <c r="BT64" s="390"/>
      <c r="BU64" s="390"/>
      <c r="BV64" s="390"/>
      <c r="BW64" s="390"/>
      <c r="BX64" s="390"/>
      <c r="BY64" s="390"/>
      <c r="BZ64" s="390"/>
      <c r="CA64" s="390"/>
      <c r="CB64" s="390"/>
      <c r="CC64" s="390"/>
      <c r="CD64" s="390"/>
      <c r="CE64" s="390"/>
      <c r="CF64" s="390"/>
      <c r="CG64" s="390"/>
      <c r="CH64" s="390"/>
      <c r="CI64" s="390"/>
      <c r="CJ64" s="390"/>
      <c r="CK64" s="390"/>
      <c r="CL64" s="390"/>
      <c r="CM64" s="390"/>
      <c r="CN64" s="390"/>
      <c r="CO64" s="390"/>
      <c r="CP64" s="390"/>
      <c r="CQ64" s="390"/>
      <c r="CR64" s="390"/>
      <c r="CS64" s="390"/>
      <c r="CT64" s="390"/>
      <c r="CU64" s="390"/>
      <c r="CV64" s="390"/>
      <c r="CW64" s="390"/>
      <c r="CX64" s="390"/>
      <c r="CY64" s="390"/>
      <c r="CZ64" s="390"/>
      <c r="DA64" s="390"/>
      <c r="DB64" s="390"/>
      <c r="DC64" s="390"/>
      <c r="DD64" s="390"/>
      <c r="DE64" s="390"/>
      <c r="DF64" s="390"/>
      <c r="DG64" s="390"/>
      <c r="DH64" s="390"/>
      <c r="DI64" s="390"/>
      <c r="DJ64" s="390"/>
      <c r="DK64" s="390"/>
      <c r="DL64" s="390"/>
      <c r="DM64" s="390"/>
      <c r="DN64" s="390"/>
      <c r="DO64" s="390"/>
      <c r="DP64" s="390"/>
      <c r="DQ64" s="390"/>
      <c r="DR64" s="390"/>
      <c r="DS64" s="390"/>
      <c r="DT64" s="390"/>
      <c r="DU64" s="390"/>
      <c r="DV64" s="390"/>
      <c r="DW64" s="390"/>
      <c r="DX64" s="390"/>
      <c r="DY64" s="390"/>
      <c r="DZ64" s="390"/>
      <c r="EA64" s="390"/>
      <c r="EB64" s="390"/>
      <c r="EC64" s="390"/>
      <c r="ED64" s="390"/>
      <c r="EE64" s="390"/>
      <c r="EF64" s="390"/>
      <c r="EG64" s="390"/>
      <c r="EH64" s="390"/>
      <c r="EI64" s="390"/>
      <c r="EJ64" s="390"/>
      <c r="EK64" s="390"/>
      <c r="EL64" s="390"/>
      <c r="EM64" s="390"/>
      <c r="EN64" s="390"/>
      <c r="EO64" s="390"/>
      <c r="EP64" s="390"/>
      <c r="EQ64" s="390"/>
      <c r="ER64" s="390"/>
      <c r="ES64" s="390"/>
      <c r="ET64" s="390"/>
      <c r="EU64" s="390"/>
      <c r="EV64" s="390"/>
      <c r="EW64" s="390"/>
      <c r="EX64" s="390"/>
      <c r="EY64" s="390"/>
      <c r="EZ64" s="390"/>
      <c r="FA64" s="390"/>
      <c r="FB64" s="390"/>
      <c r="FC64" s="390"/>
      <c r="FD64" s="390"/>
      <c r="FE64" s="390"/>
      <c r="FF64" s="390"/>
      <c r="FG64" s="390"/>
      <c r="FH64" s="390"/>
      <c r="FI64" s="390"/>
      <c r="FJ64" s="390"/>
      <c r="FK64" s="390"/>
      <c r="FL64" s="390"/>
      <c r="FM64" s="390"/>
      <c r="FN64" s="390"/>
      <c r="FO64" s="390"/>
      <c r="FP64" s="390"/>
      <c r="FQ64" s="390"/>
      <c r="FR64" s="390"/>
      <c r="FS64" s="390"/>
      <c r="FT64" s="390"/>
      <c r="FU64" s="390"/>
      <c r="FV64" s="390"/>
      <c r="FW64" s="390"/>
      <c r="FX64" s="390"/>
      <c r="FY64" s="390"/>
      <c r="FZ64" s="390"/>
      <c r="GA64" s="390"/>
      <c r="GB64" s="390"/>
      <c r="GC64" s="390"/>
      <c r="GD64" s="390"/>
      <c r="GE64" s="390"/>
      <c r="GF64" s="390"/>
      <c r="GG64" s="390"/>
      <c r="GH64" s="390"/>
      <c r="GI64" s="390"/>
      <c r="GJ64" s="390"/>
      <c r="GK64" s="390"/>
      <c r="GL64" s="390"/>
      <c r="GM64" s="390"/>
      <c r="GN64" s="390"/>
      <c r="GO64" s="390"/>
      <c r="GP64" s="390"/>
      <c r="GQ64" s="390"/>
      <c r="GR64" s="390"/>
      <c r="GS64" s="390"/>
      <c r="GT64" s="390"/>
      <c r="GU64" s="390"/>
      <c r="GV64" s="390"/>
      <c r="GW64" s="390"/>
      <c r="GX64" s="390"/>
      <c r="GY64" s="390"/>
      <c r="GZ64" s="390"/>
      <c r="HA64" s="390"/>
      <c r="HB64" s="390"/>
      <c r="HC64" s="390"/>
      <c r="HD64" s="390"/>
      <c r="HE64" s="390"/>
      <c r="HF64" s="390"/>
      <c r="HG64" s="390"/>
      <c r="HH64" s="390"/>
      <c r="HI64" s="390"/>
      <c r="HJ64" s="390"/>
      <c r="HK64" s="390"/>
      <c r="HL64" s="390"/>
      <c r="HM64" s="390"/>
      <c r="HN64" s="390"/>
      <c r="HO64" s="390"/>
      <c r="HP64" s="390"/>
      <c r="HQ64" s="390"/>
      <c r="HR64" s="390"/>
      <c r="HS64" s="390"/>
      <c r="HT64" s="390"/>
      <c r="HU64" s="390"/>
      <c r="HV64" s="390"/>
      <c r="HW64" s="390"/>
      <c r="HX64" s="390"/>
      <c r="HY64" s="390"/>
      <c r="HZ64" s="390"/>
      <c r="IA64" s="390"/>
      <c r="IB64" s="390"/>
      <c r="IC64" s="390"/>
      <c r="ID64" s="390"/>
      <c r="IE64" s="390"/>
      <c r="IF64" s="390"/>
      <c r="IG64" s="390"/>
      <c r="IH64" s="390"/>
      <c r="II64" s="390"/>
      <c r="IJ64" s="390"/>
      <c r="IK64" s="390"/>
      <c r="IL64" s="390"/>
      <c r="IM64" s="390"/>
      <c r="IN64" s="390"/>
      <c r="IO64" s="390"/>
      <c r="IP64" s="390"/>
      <c r="IQ64" s="390"/>
      <c r="IR64" s="390"/>
      <c r="IS64" s="390"/>
      <c r="IT64" s="390"/>
      <c r="IU64" s="390"/>
      <c r="IV64" s="390"/>
      <c r="IW64" s="390"/>
      <c r="IX64" s="390"/>
      <c r="IY64" s="390"/>
      <c r="IZ64" s="390"/>
      <c r="JA64" s="390"/>
      <c r="JB64" s="390"/>
      <c r="JC64" s="390"/>
      <c r="JD64" s="390"/>
      <c r="JE64" s="390"/>
      <c r="JF64" s="390"/>
      <c r="JG64" s="390"/>
      <c r="JH64" s="390"/>
      <c r="JI64" s="390"/>
      <c r="JJ64" s="390"/>
      <c r="JK64" s="390"/>
      <c r="JL64" s="390"/>
      <c r="JM64" s="390"/>
      <c r="JN64" s="390"/>
      <c r="JO64" s="390"/>
      <c r="JP64" s="390"/>
      <c r="JQ64" s="390"/>
      <c r="JR64" s="390"/>
      <c r="JS64" s="390"/>
      <c r="JT64" s="390"/>
      <c r="JU64" s="390"/>
      <c r="JV64" s="390"/>
      <c r="JW64" s="390"/>
      <c r="JX64" s="390"/>
      <c r="JY64" s="390"/>
      <c r="JZ64" s="390"/>
      <c r="KA64" s="390"/>
      <c r="KB64" s="390"/>
      <c r="KC64" s="390"/>
      <c r="KD64" s="390"/>
      <c r="KE64" s="390"/>
      <c r="KF64" s="390"/>
      <c r="KG64" s="390"/>
      <c r="KH64" s="390"/>
      <c r="KI64" s="390"/>
      <c r="KJ64" s="390"/>
      <c r="KK64" s="390"/>
      <c r="KL64" s="390"/>
      <c r="KM64" s="390"/>
      <c r="KN64" s="390"/>
      <c r="KO64" s="390"/>
      <c r="KP64" s="390"/>
      <c r="KQ64" s="390"/>
      <c r="KR64" s="390"/>
      <c r="KS64" s="390"/>
      <c r="KT64" s="390"/>
      <c r="KU64" s="390"/>
      <c r="KV64" s="390"/>
      <c r="KW64" s="390"/>
      <c r="KX64" s="390"/>
      <c r="KY64" s="390"/>
      <c r="KZ64" s="390"/>
      <c r="LA64" s="390"/>
      <c r="LB64" s="390"/>
      <c r="LC64" s="390"/>
      <c r="LD64" s="390"/>
      <c r="LE64" s="390"/>
      <c r="LF64" s="390"/>
      <c r="LG64" s="390"/>
      <c r="LH64" s="390"/>
      <c r="LI64" s="390"/>
      <c r="LJ64" s="390"/>
      <c r="LK64" s="390"/>
      <c r="LL64" s="390"/>
      <c r="LM64" s="390"/>
      <c r="LN64" s="390"/>
      <c r="LO64" s="390"/>
      <c r="LP64" s="390"/>
      <c r="LQ64" s="390"/>
      <c r="LR64" s="390"/>
      <c r="LS64" s="390"/>
      <c r="LT64" s="390"/>
      <c r="LU64" s="390"/>
      <c r="LV64" s="390"/>
      <c r="LW64" s="390"/>
      <c r="LX64" s="390"/>
      <c r="LY64" s="390"/>
      <c r="LZ64" s="390"/>
      <c r="MA64" s="390"/>
      <c r="MB64" s="390"/>
      <c r="MC64" s="390"/>
      <c r="MD64" s="390"/>
      <c r="ME64" s="390"/>
      <c r="MF64" s="390"/>
      <c r="MG64" s="390"/>
      <c r="MH64" s="390"/>
      <c r="MI64" s="390"/>
      <c r="MJ64" s="390"/>
      <c r="MK64" s="390"/>
      <c r="ML64" s="390"/>
      <c r="MM64" s="390"/>
      <c r="MN64" s="390"/>
      <c r="MO64" s="390"/>
      <c r="MP64" s="390"/>
      <c r="MQ64" s="390"/>
      <c r="MR64" s="390"/>
      <c r="MS64" s="390"/>
      <c r="MT64" s="390"/>
      <c r="MU64" s="390"/>
      <c r="MV64" s="390"/>
      <c r="MW64" s="390"/>
      <c r="MX64" s="390"/>
      <c r="MY64" s="390"/>
      <c r="MZ64" s="390"/>
      <c r="NA64" s="390"/>
      <c r="NB64" s="390"/>
      <c r="NC64" s="390"/>
      <c r="ND64" s="390"/>
      <c r="NE64" s="390"/>
      <c r="NF64" s="390"/>
      <c r="NG64" s="390"/>
      <c r="NH64" s="390"/>
      <c r="NI64" s="390"/>
      <c r="NJ64" s="390"/>
      <c r="NK64" s="390"/>
      <c r="NL64" s="390"/>
      <c r="NM64" s="390"/>
      <c r="NN64" s="390"/>
      <c r="NO64" s="390"/>
      <c r="NP64" s="390"/>
      <c r="NQ64" s="390"/>
      <c r="NR64" s="390"/>
      <c r="NS64" s="390"/>
      <c r="NT64" s="390"/>
      <c r="NU64" s="390"/>
      <c r="NV64" s="390"/>
      <c r="NW64" s="390"/>
      <c r="NX64" s="390"/>
      <c r="NY64" s="390"/>
      <c r="NZ64" s="390"/>
      <c r="OA64" s="390"/>
      <c r="OB64" s="390"/>
      <c r="OC64" s="390"/>
      <c r="OD64" s="390"/>
      <c r="OE64" s="390"/>
      <c r="OF64" s="390"/>
      <c r="OG64" s="390"/>
      <c r="OH64" s="390"/>
      <c r="OI64" s="390"/>
      <c r="OJ64" s="390"/>
      <c r="OK64" s="390"/>
      <c r="OL64" s="390"/>
      <c r="OM64" s="390"/>
      <c r="ON64" s="390"/>
      <c r="OO64" s="390"/>
      <c r="OP64" s="390"/>
      <c r="OQ64" s="390"/>
      <c r="OR64" s="390"/>
      <c r="OS64" s="390"/>
      <c r="OT64" s="390"/>
      <c r="OU64" s="390"/>
      <c r="OV64" s="390"/>
      <c r="OW64" s="390"/>
      <c r="OX64" s="390"/>
      <c r="OY64" s="390"/>
      <c r="OZ64" s="390"/>
      <c r="PA64" s="390"/>
      <c r="PB64" s="390"/>
      <c r="PC64" s="390"/>
      <c r="PD64" s="390"/>
      <c r="PE64" s="390"/>
      <c r="PF64" s="390"/>
      <c r="PG64" s="390"/>
      <c r="PH64" s="390"/>
      <c r="PI64" s="390"/>
      <c r="PJ64" s="390"/>
      <c r="PK64" s="390"/>
      <c r="PL64" s="390"/>
      <c r="PM64" s="390"/>
      <c r="PN64" s="390"/>
      <c r="PO64" s="390"/>
      <c r="PP64" s="390"/>
      <c r="PQ64" s="390"/>
      <c r="PR64" s="390"/>
      <c r="PS64" s="390"/>
      <c r="PT64" s="390"/>
      <c r="PU64" s="390"/>
      <c r="PV64" s="390"/>
      <c r="PW64" s="390"/>
      <c r="PX64" s="390"/>
      <c r="PY64" s="390"/>
      <c r="PZ64" s="390"/>
      <c r="QA64" s="390"/>
      <c r="QB64" s="390"/>
      <c r="QC64" s="390"/>
      <c r="QD64" s="390"/>
      <c r="QE64" s="390"/>
      <c r="QF64" s="390"/>
      <c r="QG64" s="390"/>
      <c r="QH64" s="390"/>
      <c r="QI64" s="390"/>
      <c r="QJ64" s="390"/>
      <c r="QK64" s="390"/>
      <c r="QL64" s="390"/>
      <c r="QM64" s="390"/>
      <c r="QN64" s="390"/>
      <c r="QO64" s="390"/>
      <c r="QP64" s="390"/>
      <c r="QQ64" s="390"/>
      <c r="QR64" s="390"/>
      <c r="QS64" s="390"/>
      <c r="QT64" s="390"/>
      <c r="QU64" s="390"/>
      <c r="QV64" s="390"/>
      <c r="QW64" s="390"/>
      <c r="QX64" s="390"/>
      <c r="QY64" s="390"/>
      <c r="QZ64" s="390"/>
      <c r="RA64" s="390"/>
      <c r="RB64" s="390"/>
      <c r="RC64" s="390"/>
      <c r="RD64" s="390"/>
      <c r="RE64" s="390"/>
      <c r="RF64" s="390"/>
      <c r="RG64" s="390"/>
      <c r="RH64" s="390"/>
      <c r="RI64" s="390"/>
      <c r="RJ64" s="390"/>
      <c r="RK64" s="390"/>
      <c r="RL64" s="390"/>
      <c r="RM64" s="390"/>
      <c r="RN64" s="390"/>
      <c r="RO64" s="390"/>
      <c r="RP64" s="390"/>
      <c r="RQ64" s="390"/>
      <c r="RR64" s="390"/>
      <c r="RS64" s="390"/>
      <c r="RT64" s="390"/>
      <c r="RU64" s="390"/>
      <c r="RV64" s="390"/>
      <c r="RW64" s="390"/>
      <c r="RX64" s="390"/>
      <c r="RY64" s="390"/>
      <c r="RZ64" s="390"/>
      <c r="SA64" s="390"/>
      <c r="SB64" s="390"/>
      <c r="SC64" s="390"/>
      <c r="SD64" s="390"/>
      <c r="SE64" s="390"/>
      <c r="SF64" s="390"/>
      <c r="SG64" s="390"/>
      <c r="SH64" s="390"/>
      <c r="SI64" s="390"/>
      <c r="SJ64" s="390"/>
      <c r="SK64" s="390"/>
      <c r="SL64" s="390"/>
      <c r="SM64" s="390"/>
      <c r="SN64" s="390"/>
      <c r="SO64" s="390"/>
      <c r="SP64" s="390"/>
      <c r="SQ64" s="390"/>
      <c r="SR64" s="390"/>
      <c r="SS64" s="390"/>
      <c r="ST64" s="390"/>
      <c r="SU64" s="390"/>
      <c r="SV64" s="390"/>
      <c r="SW64" s="390"/>
      <c r="SX64" s="390"/>
      <c r="SY64" s="390"/>
      <c r="SZ64" s="390"/>
      <c r="TA64" s="390"/>
      <c r="TB64" s="390"/>
      <c r="TC64" s="390"/>
      <c r="TD64" s="390"/>
      <c r="TE64" s="390"/>
      <c r="TF64" s="390"/>
      <c r="TG64" s="390"/>
      <c r="TH64" s="390"/>
      <c r="TI64" s="390"/>
      <c r="TJ64" s="390"/>
      <c r="TK64" s="390"/>
      <c r="TL64" s="390"/>
      <c r="TM64" s="390"/>
      <c r="TN64" s="390"/>
      <c r="TO64" s="390"/>
      <c r="TP64" s="390"/>
      <c r="TQ64" s="390"/>
      <c r="TR64" s="390"/>
      <c r="TS64" s="390"/>
      <c r="TT64" s="390"/>
      <c r="TU64" s="390"/>
      <c r="TV64" s="390"/>
      <c r="TW64" s="390"/>
      <c r="TX64" s="390"/>
      <c r="TY64" s="390"/>
      <c r="TZ64" s="390"/>
      <c r="UA64" s="390"/>
      <c r="UB64" s="390"/>
      <c r="UC64" s="390"/>
      <c r="UD64" s="390"/>
      <c r="UE64" s="390"/>
      <c r="UF64" s="390"/>
      <c r="UG64" s="390"/>
      <c r="UH64" s="390"/>
      <c r="UI64" s="390"/>
      <c r="UJ64" s="390"/>
      <c r="UK64" s="390"/>
      <c r="UL64" s="390"/>
      <c r="UM64" s="390"/>
      <c r="UN64" s="390"/>
      <c r="UO64" s="390"/>
      <c r="UP64" s="390"/>
      <c r="UQ64" s="390"/>
      <c r="UR64" s="390"/>
      <c r="US64" s="390"/>
      <c r="UT64" s="390"/>
      <c r="UU64" s="390"/>
      <c r="UV64" s="390"/>
      <c r="UW64" s="390"/>
      <c r="UX64" s="390"/>
      <c r="UY64" s="390"/>
      <c r="UZ64" s="390"/>
      <c r="VA64" s="390"/>
      <c r="VB64" s="390"/>
      <c r="VC64" s="390"/>
      <c r="VD64" s="390"/>
      <c r="VE64" s="390"/>
      <c r="VF64" s="390"/>
      <c r="VG64" s="390"/>
      <c r="VH64" s="390"/>
      <c r="VI64" s="390"/>
      <c r="VJ64" s="390"/>
      <c r="VK64" s="390"/>
      <c r="VL64" s="390"/>
      <c r="VM64" s="390"/>
      <c r="VN64" s="390"/>
      <c r="VO64" s="390"/>
      <c r="VP64" s="390"/>
      <c r="VQ64" s="390"/>
      <c r="VR64" s="390"/>
      <c r="VS64" s="390"/>
      <c r="VT64" s="390"/>
      <c r="VU64" s="390"/>
      <c r="VV64" s="390"/>
      <c r="VW64" s="390"/>
      <c r="VX64" s="390"/>
      <c r="VY64" s="390"/>
      <c r="VZ64" s="390"/>
      <c r="WA64" s="390"/>
      <c r="WB64" s="390"/>
      <c r="WC64" s="390"/>
      <c r="WD64" s="390"/>
      <c r="WE64" s="390"/>
      <c r="WF64" s="390"/>
      <c r="WG64" s="390"/>
      <c r="WH64" s="390"/>
      <c r="WI64" s="390"/>
      <c r="WJ64" s="390"/>
      <c r="WK64" s="390"/>
      <c r="WL64" s="390"/>
      <c r="WM64" s="390"/>
      <c r="WN64" s="390"/>
      <c r="WO64" s="390"/>
      <c r="WP64" s="390"/>
      <c r="WQ64" s="390"/>
      <c r="WR64" s="390"/>
      <c r="WS64" s="390"/>
      <c r="WT64" s="390"/>
      <c r="WU64" s="390"/>
      <c r="WV64" s="390"/>
      <c r="WW64" s="390"/>
      <c r="WX64" s="390"/>
      <c r="WY64" s="390"/>
      <c r="WZ64" s="390"/>
      <c r="XA64" s="390"/>
      <c r="XB64" s="390"/>
      <c r="XC64" s="390"/>
      <c r="XD64" s="390"/>
      <c r="XE64" s="390"/>
      <c r="XF64" s="390"/>
      <c r="XG64" s="390"/>
      <c r="XH64" s="390"/>
      <c r="XI64" s="390"/>
      <c r="XJ64" s="390"/>
      <c r="XK64" s="390"/>
      <c r="XL64" s="390"/>
      <c r="XM64" s="390"/>
      <c r="XN64" s="390"/>
      <c r="XO64" s="390"/>
      <c r="XP64" s="390"/>
      <c r="XQ64" s="390"/>
      <c r="XR64" s="390"/>
      <c r="XS64" s="390"/>
      <c r="XT64" s="390"/>
      <c r="XU64" s="390"/>
      <c r="XV64" s="390"/>
      <c r="XW64" s="390"/>
      <c r="XX64" s="390"/>
      <c r="XY64" s="390"/>
      <c r="XZ64" s="390"/>
      <c r="YA64" s="390"/>
      <c r="YB64" s="390"/>
      <c r="YC64" s="390"/>
      <c r="YD64" s="390"/>
      <c r="YE64" s="390"/>
      <c r="YF64" s="390"/>
      <c r="YG64" s="390"/>
      <c r="YH64" s="390"/>
      <c r="YI64" s="390"/>
      <c r="YJ64" s="390"/>
      <c r="YK64" s="390"/>
      <c r="YL64" s="390"/>
      <c r="YM64" s="390"/>
      <c r="YN64" s="390"/>
      <c r="YO64" s="390"/>
      <c r="YP64" s="390"/>
      <c r="YQ64" s="390"/>
      <c r="YR64" s="390"/>
      <c r="YS64" s="390"/>
      <c r="YT64" s="390"/>
      <c r="YU64" s="390"/>
      <c r="YV64" s="390"/>
      <c r="YW64" s="390"/>
      <c r="YX64" s="390"/>
      <c r="YY64" s="390"/>
      <c r="YZ64" s="390"/>
      <c r="ZA64" s="390"/>
      <c r="ZB64" s="390"/>
      <c r="ZC64" s="390"/>
      <c r="ZD64" s="390"/>
      <c r="ZE64" s="390"/>
      <c r="ZF64" s="390"/>
      <c r="ZG64" s="390"/>
      <c r="ZH64" s="390"/>
      <c r="ZI64" s="390"/>
      <c r="ZJ64" s="390"/>
      <c r="ZK64" s="390"/>
      <c r="ZL64" s="390"/>
      <c r="ZM64" s="390"/>
      <c r="ZN64" s="390"/>
      <c r="ZO64" s="390"/>
      <c r="ZP64" s="390"/>
      <c r="ZQ64" s="390"/>
      <c r="ZR64" s="390"/>
      <c r="ZS64" s="390"/>
      <c r="ZT64" s="390"/>
      <c r="ZU64" s="390"/>
      <c r="ZV64" s="390"/>
      <c r="ZW64" s="390"/>
      <c r="ZX64" s="390"/>
      <c r="ZY64" s="390"/>
      <c r="ZZ64" s="390"/>
      <c r="AAA64" s="390"/>
      <c r="AAB64" s="390"/>
      <c r="AAC64" s="390"/>
      <c r="AAD64" s="390"/>
      <c r="AAE64" s="390"/>
      <c r="AAF64" s="390"/>
      <c r="AAG64" s="390"/>
      <c r="AAH64" s="390"/>
      <c r="AAI64" s="390"/>
      <c r="AAJ64" s="390"/>
      <c r="AAK64" s="390"/>
      <c r="AAL64" s="390"/>
      <c r="AAM64" s="390"/>
      <c r="AAN64" s="390"/>
      <c r="AAO64" s="390"/>
      <c r="AAP64" s="390"/>
      <c r="AAQ64" s="390"/>
      <c r="AAR64" s="390"/>
      <c r="AAS64" s="390"/>
      <c r="AAT64" s="390"/>
      <c r="AAU64" s="390"/>
      <c r="AAV64" s="390"/>
      <c r="AAW64" s="390"/>
      <c r="AAX64" s="390"/>
      <c r="AAY64" s="390"/>
      <c r="AAZ64" s="390"/>
      <c r="ABA64" s="390"/>
      <c r="ABB64" s="390"/>
      <c r="ABC64" s="390"/>
      <c r="ABD64" s="390"/>
      <c r="ABE64" s="390"/>
      <c r="ABF64" s="390"/>
      <c r="ABG64" s="390"/>
      <c r="ABH64" s="390"/>
      <c r="ABI64" s="390"/>
      <c r="ABJ64" s="390"/>
      <c r="ABK64" s="390"/>
      <c r="ABL64" s="390"/>
      <c r="ABM64" s="390"/>
      <c r="ABN64" s="390"/>
      <c r="ABO64" s="390"/>
      <c r="ABP64" s="390"/>
      <c r="ABQ64" s="390"/>
      <c r="ABR64" s="390"/>
      <c r="ABS64" s="390"/>
      <c r="ABT64" s="390"/>
      <c r="ABU64" s="390"/>
      <c r="ABV64" s="390"/>
      <c r="ABW64" s="390"/>
      <c r="ABX64" s="390"/>
      <c r="ABY64" s="390"/>
      <c r="ABZ64" s="390"/>
      <c r="ACA64" s="390"/>
      <c r="ACB64" s="390"/>
      <c r="ACC64" s="390"/>
      <c r="ACD64" s="390"/>
      <c r="ACE64" s="390"/>
      <c r="ACF64" s="390"/>
      <c r="ACG64" s="390"/>
      <c r="ACH64" s="390"/>
      <c r="ACI64" s="390"/>
    </row>
    <row r="65" spans="1:763" ht="13.95" customHeight="1" x14ac:dyDescent="0.3">
      <c r="A65" s="397" t="str">
        <f ca="1">Проект!$A$367</f>
        <v>заработная плата</v>
      </c>
      <c r="B65" s="352" t="str">
        <f ca="1">Проект!$B$367</f>
        <v>за период</v>
      </c>
      <c r="C65" s="402" t="str">
        <f ca="1">Проект!$C$367</f>
        <v>руб.</v>
      </c>
      <c r="D65" s="399">
        <f ca="1">SUM(Проект!$G$367:$R$367)</f>
        <v>844160.33105675969</v>
      </c>
      <c r="E65" s="399">
        <f ca="1">SUM(Проект!$S$367:$AD$367)</f>
        <v>1763926.2057455205</v>
      </c>
      <c r="F65" s="399">
        <f ca="1">SUM(Проект!$AE$367:$AP$367)</f>
        <v>1869761.7780902511</v>
      </c>
      <c r="G65" s="399">
        <f ca="1">SUM(Проект!$AQ$367:$BB$367)</f>
        <v>1981947.4847756666</v>
      </c>
      <c r="H65" s="392">
        <f ca="1">Проект!$BD$367</f>
        <v>6459795.7996681966</v>
      </c>
      <c r="I65" s="390"/>
      <c r="J65" s="390"/>
      <c r="K65" s="390"/>
      <c r="L65" s="390"/>
      <c r="M65" s="390"/>
      <c r="N65" s="390"/>
      <c r="O65" s="390"/>
      <c r="P65" s="390"/>
      <c r="Q65" s="390"/>
      <c r="R65" s="390"/>
      <c r="S65" s="390"/>
      <c r="T65" s="390"/>
      <c r="U65" s="390"/>
      <c r="V65" s="390"/>
      <c r="W65" s="390"/>
      <c r="X65" s="390"/>
      <c r="Y65" s="390"/>
      <c r="Z65" s="390"/>
      <c r="AA65" s="390"/>
      <c r="AB65" s="390"/>
      <c r="AC65" s="390"/>
      <c r="AD65" s="390"/>
      <c r="AE65" s="390"/>
      <c r="AF65" s="390"/>
      <c r="AG65" s="390"/>
      <c r="AH65" s="390"/>
      <c r="AI65" s="390"/>
      <c r="AJ65" s="390"/>
      <c r="AK65" s="390"/>
      <c r="AL65" s="390"/>
      <c r="AM65" s="390"/>
      <c r="AN65" s="390"/>
      <c r="AO65" s="390"/>
      <c r="AP65" s="390"/>
      <c r="AQ65" s="390"/>
      <c r="AR65" s="390"/>
      <c r="AS65" s="390"/>
      <c r="AT65" s="390"/>
      <c r="AU65" s="390"/>
      <c r="AV65" s="390"/>
      <c r="AW65" s="390"/>
      <c r="AX65" s="390"/>
      <c r="AY65" s="390"/>
      <c r="AZ65" s="390"/>
      <c r="BA65" s="390"/>
      <c r="BB65" s="390"/>
      <c r="BC65" s="390"/>
      <c r="BD65" s="390"/>
      <c r="BE65" s="390"/>
      <c r="BF65" s="390"/>
      <c r="BG65" s="390"/>
      <c r="BH65" s="390"/>
      <c r="BI65" s="390"/>
      <c r="BJ65" s="390"/>
      <c r="BK65" s="390"/>
      <c r="BL65" s="390"/>
      <c r="BM65" s="390"/>
      <c r="BN65" s="390"/>
      <c r="BO65" s="390"/>
      <c r="BP65" s="390"/>
      <c r="BQ65" s="390"/>
      <c r="BR65" s="390"/>
      <c r="BS65" s="390"/>
      <c r="BT65" s="390"/>
      <c r="BU65" s="390"/>
      <c r="BV65" s="390"/>
      <c r="BW65" s="390"/>
      <c r="BX65" s="390"/>
      <c r="BY65" s="390"/>
      <c r="BZ65" s="390"/>
      <c r="CA65" s="390"/>
      <c r="CB65" s="390"/>
      <c r="CC65" s="390"/>
      <c r="CD65" s="390"/>
      <c r="CE65" s="390"/>
      <c r="CF65" s="390"/>
      <c r="CG65" s="390"/>
      <c r="CH65" s="390"/>
      <c r="CI65" s="390"/>
      <c r="CJ65" s="390"/>
      <c r="CK65" s="390"/>
      <c r="CL65" s="390"/>
      <c r="CM65" s="390"/>
      <c r="CN65" s="390"/>
      <c r="CO65" s="390"/>
      <c r="CP65" s="390"/>
      <c r="CQ65" s="390"/>
      <c r="CR65" s="390"/>
      <c r="CS65" s="390"/>
      <c r="CT65" s="390"/>
      <c r="CU65" s="390"/>
      <c r="CV65" s="390"/>
      <c r="CW65" s="390"/>
      <c r="CX65" s="390"/>
      <c r="CY65" s="390"/>
      <c r="CZ65" s="390"/>
      <c r="DA65" s="390"/>
      <c r="DB65" s="390"/>
      <c r="DC65" s="390"/>
      <c r="DD65" s="390"/>
      <c r="DE65" s="390"/>
      <c r="DF65" s="390"/>
      <c r="DG65" s="390"/>
      <c r="DH65" s="390"/>
      <c r="DI65" s="390"/>
      <c r="DJ65" s="390"/>
      <c r="DK65" s="390"/>
      <c r="DL65" s="390"/>
      <c r="DM65" s="390"/>
      <c r="DN65" s="390"/>
      <c r="DO65" s="390"/>
      <c r="DP65" s="390"/>
      <c r="DQ65" s="390"/>
      <c r="DR65" s="390"/>
      <c r="DS65" s="390"/>
      <c r="DT65" s="390"/>
      <c r="DU65" s="390"/>
      <c r="DV65" s="390"/>
      <c r="DW65" s="390"/>
      <c r="DX65" s="390"/>
      <c r="DY65" s="390"/>
      <c r="DZ65" s="390"/>
      <c r="EA65" s="390"/>
      <c r="EB65" s="390"/>
      <c r="EC65" s="390"/>
      <c r="ED65" s="390"/>
      <c r="EE65" s="390"/>
      <c r="EF65" s="390"/>
      <c r="EG65" s="390"/>
      <c r="EH65" s="390"/>
      <c r="EI65" s="390"/>
      <c r="EJ65" s="390"/>
      <c r="EK65" s="390"/>
      <c r="EL65" s="390"/>
      <c r="EM65" s="390"/>
      <c r="EN65" s="390"/>
      <c r="EO65" s="390"/>
      <c r="EP65" s="390"/>
      <c r="EQ65" s="390"/>
      <c r="ER65" s="390"/>
      <c r="ES65" s="390"/>
      <c r="ET65" s="390"/>
      <c r="EU65" s="390"/>
      <c r="EV65" s="390"/>
      <c r="EW65" s="390"/>
      <c r="EX65" s="390"/>
      <c r="EY65" s="390"/>
      <c r="EZ65" s="390"/>
      <c r="FA65" s="390"/>
      <c r="FB65" s="390"/>
      <c r="FC65" s="390"/>
      <c r="FD65" s="390"/>
      <c r="FE65" s="390"/>
      <c r="FF65" s="390"/>
      <c r="FG65" s="390"/>
      <c r="FH65" s="390"/>
      <c r="FI65" s="390"/>
      <c r="FJ65" s="390"/>
      <c r="FK65" s="390"/>
      <c r="FL65" s="390"/>
      <c r="FM65" s="390"/>
      <c r="FN65" s="390"/>
      <c r="FO65" s="390"/>
      <c r="FP65" s="390"/>
      <c r="FQ65" s="390"/>
      <c r="FR65" s="390"/>
      <c r="FS65" s="390"/>
      <c r="FT65" s="390"/>
      <c r="FU65" s="390"/>
      <c r="FV65" s="390"/>
      <c r="FW65" s="390"/>
      <c r="FX65" s="390"/>
      <c r="FY65" s="390"/>
      <c r="FZ65" s="390"/>
      <c r="GA65" s="390"/>
      <c r="GB65" s="390"/>
      <c r="GC65" s="390"/>
      <c r="GD65" s="390"/>
      <c r="GE65" s="390"/>
      <c r="GF65" s="390"/>
      <c r="GG65" s="390"/>
      <c r="GH65" s="390"/>
      <c r="GI65" s="390"/>
      <c r="GJ65" s="390"/>
      <c r="GK65" s="390"/>
      <c r="GL65" s="390"/>
      <c r="GM65" s="390"/>
      <c r="GN65" s="390"/>
      <c r="GO65" s="390"/>
      <c r="GP65" s="390"/>
      <c r="GQ65" s="390"/>
      <c r="GR65" s="390"/>
      <c r="GS65" s="390"/>
      <c r="GT65" s="390"/>
      <c r="GU65" s="390"/>
      <c r="GV65" s="390"/>
      <c r="GW65" s="390"/>
      <c r="GX65" s="390"/>
      <c r="GY65" s="390"/>
      <c r="GZ65" s="390"/>
      <c r="HA65" s="390"/>
      <c r="HB65" s="390"/>
      <c r="HC65" s="390"/>
      <c r="HD65" s="390"/>
      <c r="HE65" s="390"/>
      <c r="HF65" s="390"/>
      <c r="HG65" s="390"/>
      <c r="HH65" s="390"/>
      <c r="HI65" s="390"/>
      <c r="HJ65" s="390"/>
      <c r="HK65" s="390"/>
      <c r="HL65" s="390"/>
      <c r="HM65" s="390"/>
      <c r="HN65" s="390"/>
      <c r="HO65" s="390"/>
      <c r="HP65" s="390"/>
      <c r="HQ65" s="390"/>
      <c r="HR65" s="390"/>
      <c r="HS65" s="390"/>
      <c r="HT65" s="390"/>
      <c r="HU65" s="390"/>
      <c r="HV65" s="390"/>
      <c r="HW65" s="390"/>
      <c r="HX65" s="390"/>
      <c r="HY65" s="390"/>
      <c r="HZ65" s="390"/>
      <c r="IA65" s="390"/>
      <c r="IB65" s="390"/>
      <c r="IC65" s="390"/>
      <c r="ID65" s="390"/>
      <c r="IE65" s="390"/>
      <c r="IF65" s="390"/>
      <c r="IG65" s="390"/>
      <c r="IH65" s="390"/>
      <c r="II65" s="390"/>
      <c r="IJ65" s="390"/>
      <c r="IK65" s="390"/>
      <c r="IL65" s="390"/>
      <c r="IM65" s="390"/>
      <c r="IN65" s="390"/>
      <c r="IO65" s="390"/>
      <c r="IP65" s="390"/>
      <c r="IQ65" s="390"/>
      <c r="IR65" s="390"/>
      <c r="IS65" s="390"/>
      <c r="IT65" s="390"/>
      <c r="IU65" s="390"/>
      <c r="IV65" s="390"/>
      <c r="IW65" s="390"/>
      <c r="IX65" s="390"/>
      <c r="IY65" s="390"/>
      <c r="IZ65" s="390"/>
      <c r="JA65" s="390"/>
      <c r="JB65" s="390"/>
      <c r="JC65" s="390"/>
      <c r="JD65" s="390"/>
      <c r="JE65" s="390"/>
      <c r="JF65" s="390"/>
      <c r="JG65" s="390"/>
      <c r="JH65" s="390"/>
      <c r="JI65" s="390"/>
      <c r="JJ65" s="390"/>
      <c r="JK65" s="390"/>
      <c r="JL65" s="390"/>
      <c r="JM65" s="390"/>
      <c r="JN65" s="390"/>
      <c r="JO65" s="390"/>
      <c r="JP65" s="390"/>
      <c r="JQ65" s="390"/>
      <c r="JR65" s="390"/>
      <c r="JS65" s="390"/>
      <c r="JT65" s="390"/>
      <c r="JU65" s="390"/>
      <c r="JV65" s="390"/>
      <c r="JW65" s="390"/>
      <c r="JX65" s="390"/>
      <c r="JY65" s="390"/>
      <c r="JZ65" s="390"/>
      <c r="KA65" s="390"/>
      <c r="KB65" s="390"/>
      <c r="KC65" s="390"/>
      <c r="KD65" s="390"/>
      <c r="KE65" s="390"/>
      <c r="KF65" s="390"/>
      <c r="KG65" s="390"/>
      <c r="KH65" s="390"/>
      <c r="KI65" s="390"/>
      <c r="KJ65" s="390"/>
      <c r="KK65" s="390"/>
      <c r="KL65" s="390"/>
      <c r="KM65" s="390"/>
      <c r="KN65" s="390"/>
      <c r="KO65" s="390"/>
      <c r="KP65" s="390"/>
      <c r="KQ65" s="390"/>
      <c r="KR65" s="390"/>
      <c r="KS65" s="390"/>
      <c r="KT65" s="390"/>
      <c r="KU65" s="390"/>
      <c r="KV65" s="390"/>
      <c r="KW65" s="390"/>
      <c r="KX65" s="390"/>
      <c r="KY65" s="390"/>
      <c r="KZ65" s="390"/>
      <c r="LA65" s="390"/>
      <c r="LB65" s="390"/>
      <c r="LC65" s="390"/>
      <c r="LD65" s="390"/>
      <c r="LE65" s="390"/>
      <c r="LF65" s="390"/>
      <c r="LG65" s="390"/>
      <c r="LH65" s="390"/>
      <c r="LI65" s="390"/>
      <c r="LJ65" s="390"/>
      <c r="LK65" s="390"/>
      <c r="LL65" s="390"/>
      <c r="LM65" s="390"/>
      <c r="LN65" s="390"/>
      <c r="LO65" s="390"/>
      <c r="LP65" s="390"/>
      <c r="LQ65" s="390"/>
      <c r="LR65" s="390"/>
      <c r="LS65" s="390"/>
      <c r="LT65" s="390"/>
      <c r="LU65" s="390"/>
      <c r="LV65" s="390"/>
      <c r="LW65" s="390"/>
      <c r="LX65" s="390"/>
      <c r="LY65" s="390"/>
      <c r="LZ65" s="390"/>
      <c r="MA65" s="390"/>
      <c r="MB65" s="390"/>
      <c r="MC65" s="390"/>
      <c r="MD65" s="390"/>
      <c r="ME65" s="390"/>
      <c r="MF65" s="390"/>
      <c r="MG65" s="390"/>
      <c r="MH65" s="390"/>
      <c r="MI65" s="390"/>
      <c r="MJ65" s="390"/>
      <c r="MK65" s="390"/>
      <c r="ML65" s="390"/>
      <c r="MM65" s="390"/>
      <c r="MN65" s="390"/>
      <c r="MO65" s="390"/>
      <c r="MP65" s="390"/>
      <c r="MQ65" s="390"/>
      <c r="MR65" s="390"/>
      <c r="MS65" s="390"/>
      <c r="MT65" s="390"/>
      <c r="MU65" s="390"/>
      <c r="MV65" s="390"/>
      <c r="MW65" s="390"/>
      <c r="MX65" s="390"/>
      <c r="MY65" s="390"/>
      <c r="MZ65" s="390"/>
      <c r="NA65" s="390"/>
      <c r="NB65" s="390"/>
      <c r="NC65" s="390"/>
      <c r="ND65" s="390"/>
      <c r="NE65" s="390"/>
      <c r="NF65" s="390"/>
      <c r="NG65" s="390"/>
      <c r="NH65" s="390"/>
      <c r="NI65" s="390"/>
      <c r="NJ65" s="390"/>
      <c r="NK65" s="390"/>
      <c r="NL65" s="390"/>
      <c r="NM65" s="390"/>
      <c r="NN65" s="390"/>
      <c r="NO65" s="390"/>
      <c r="NP65" s="390"/>
      <c r="NQ65" s="390"/>
      <c r="NR65" s="390"/>
      <c r="NS65" s="390"/>
      <c r="NT65" s="390"/>
      <c r="NU65" s="390"/>
      <c r="NV65" s="390"/>
      <c r="NW65" s="390"/>
      <c r="NX65" s="390"/>
      <c r="NY65" s="390"/>
      <c r="NZ65" s="390"/>
      <c r="OA65" s="390"/>
      <c r="OB65" s="390"/>
      <c r="OC65" s="390"/>
      <c r="OD65" s="390"/>
      <c r="OE65" s="390"/>
      <c r="OF65" s="390"/>
      <c r="OG65" s="390"/>
      <c r="OH65" s="390"/>
      <c r="OI65" s="390"/>
      <c r="OJ65" s="390"/>
      <c r="OK65" s="390"/>
      <c r="OL65" s="390"/>
      <c r="OM65" s="390"/>
      <c r="ON65" s="390"/>
      <c r="OO65" s="390"/>
      <c r="OP65" s="390"/>
      <c r="OQ65" s="390"/>
      <c r="OR65" s="390"/>
      <c r="OS65" s="390"/>
      <c r="OT65" s="390"/>
      <c r="OU65" s="390"/>
      <c r="OV65" s="390"/>
      <c r="OW65" s="390"/>
      <c r="OX65" s="390"/>
      <c r="OY65" s="390"/>
      <c r="OZ65" s="390"/>
      <c r="PA65" s="390"/>
      <c r="PB65" s="390"/>
      <c r="PC65" s="390"/>
      <c r="PD65" s="390"/>
      <c r="PE65" s="390"/>
      <c r="PF65" s="390"/>
      <c r="PG65" s="390"/>
      <c r="PH65" s="390"/>
      <c r="PI65" s="390"/>
      <c r="PJ65" s="390"/>
      <c r="PK65" s="390"/>
      <c r="PL65" s="390"/>
      <c r="PM65" s="390"/>
      <c r="PN65" s="390"/>
      <c r="PO65" s="390"/>
      <c r="PP65" s="390"/>
      <c r="PQ65" s="390"/>
      <c r="PR65" s="390"/>
      <c r="PS65" s="390"/>
      <c r="PT65" s="390"/>
      <c r="PU65" s="390"/>
      <c r="PV65" s="390"/>
      <c r="PW65" s="390"/>
      <c r="PX65" s="390"/>
      <c r="PY65" s="390"/>
      <c r="PZ65" s="390"/>
      <c r="QA65" s="390"/>
      <c r="QB65" s="390"/>
      <c r="QC65" s="390"/>
      <c r="QD65" s="390"/>
      <c r="QE65" s="390"/>
      <c r="QF65" s="390"/>
      <c r="QG65" s="390"/>
      <c r="QH65" s="390"/>
      <c r="QI65" s="390"/>
      <c r="QJ65" s="390"/>
      <c r="QK65" s="390"/>
      <c r="QL65" s="390"/>
      <c r="QM65" s="390"/>
      <c r="QN65" s="390"/>
      <c r="QO65" s="390"/>
      <c r="QP65" s="390"/>
      <c r="QQ65" s="390"/>
      <c r="QR65" s="390"/>
      <c r="QS65" s="390"/>
      <c r="QT65" s="390"/>
      <c r="QU65" s="390"/>
      <c r="QV65" s="390"/>
      <c r="QW65" s="390"/>
      <c r="QX65" s="390"/>
      <c r="QY65" s="390"/>
      <c r="QZ65" s="390"/>
      <c r="RA65" s="390"/>
      <c r="RB65" s="390"/>
      <c r="RC65" s="390"/>
      <c r="RD65" s="390"/>
      <c r="RE65" s="390"/>
      <c r="RF65" s="390"/>
      <c r="RG65" s="390"/>
      <c r="RH65" s="390"/>
      <c r="RI65" s="390"/>
      <c r="RJ65" s="390"/>
      <c r="RK65" s="390"/>
      <c r="RL65" s="390"/>
      <c r="RM65" s="390"/>
      <c r="RN65" s="390"/>
      <c r="RO65" s="390"/>
      <c r="RP65" s="390"/>
      <c r="RQ65" s="390"/>
      <c r="RR65" s="390"/>
      <c r="RS65" s="390"/>
      <c r="RT65" s="390"/>
      <c r="RU65" s="390"/>
      <c r="RV65" s="390"/>
      <c r="RW65" s="390"/>
      <c r="RX65" s="390"/>
      <c r="RY65" s="390"/>
      <c r="RZ65" s="390"/>
      <c r="SA65" s="390"/>
      <c r="SB65" s="390"/>
      <c r="SC65" s="390"/>
      <c r="SD65" s="390"/>
      <c r="SE65" s="390"/>
      <c r="SF65" s="390"/>
      <c r="SG65" s="390"/>
      <c r="SH65" s="390"/>
      <c r="SI65" s="390"/>
      <c r="SJ65" s="390"/>
      <c r="SK65" s="390"/>
      <c r="SL65" s="390"/>
      <c r="SM65" s="390"/>
      <c r="SN65" s="390"/>
      <c r="SO65" s="390"/>
      <c r="SP65" s="390"/>
      <c r="SQ65" s="390"/>
      <c r="SR65" s="390"/>
      <c r="SS65" s="390"/>
      <c r="ST65" s="390"/>
      <c r="SU65" s="390"/>
      <c r="SV65" s="390"/>
      <c r="SW65" s="390"/>
      <c r="SX65" s="390"/>
      <c r="SY65" s="390"/>
      <c r="SZ65" s="390"/>
      <c r="TA65" s="390"/>
      <c r="TB65" s="390"/>
      <c r="TC65" s="390"/>
      <c r="TD65" s="390"/>
      <c r="TE65" s="390"/>
      <c r="TF65" s="390"/>
      <c r="TG65" s="390"/>
      <c r="TH65" s="390"/>
      <c r="TI65" s="390"/>
      <c r="TJ65" s="390"/>
      <c r="TK65" s="390"/>
      <c r="TL65" s="390"/>
      <c r="TM65" s="390"/>
      <c r="TN65" s="390"/>
      <c r="TO65" s="390"/>
      <c r="TP65" s="390"/>
      <c r="TQ65" s="390"/>
      <c r="TR65" s="390"/>
      <c r="TS65" s="390"/>
      <c r="TT65" s="390"/>
      <c r="TU65" s="390"/>
      <c r="TV65" s="390"/>
      <c r="TW65" s="390"/>
      <c r="TX65" s="390"/>
      <c r="TY65" s="390"/>
      <c r="TZ65" s="390"/>
      <c r="UA65" s="390"/>
      <c r="UB65" s="390"/>
      <c r="UC65" s="390"/>
      <c r="UD65" s="390"/>
      <c r="UE65" s="390"/>
      <c r="UF65" s="390"/>
      <c r="UG65" s="390"/>
      <c r="UH65" s="390"/>
      <c r="UI65" s="390"/>
      <c r="UJ65" s="390"/>
      <c r="UK65" s="390"/>
      <c r="UL65" s="390"/>
      <c r="UM65" s="390"/>
      <c r="UN65" s="390"/>
      <c r="UO65" s="390"/>
      <c r="UP65" s="390"/>
      <c r="UQ65" s="390"/>
      <c r="UR65" s="390"/>
      <c r="US65" s="390"/>
      <c r="UT65" s="390"/>
      <c r="UU65" s="390"/>
      <c r="UV65" s="390"/>
      <c r="UW65" s="390"/>
      <c r="UX65" s="390"/>
      <c r="UY65" s="390"/>
      <c r="UZ65" s="390"/>
      <c r="VA65" s="390"/>
      <c r="VB65" s="390"/>
      <c r="VC65" s="390"/>
      <c r="VD65" s="390"/>
      <c r="VE65" s="390"/>
      <c r="VF65" s="390"/>
      <c r="VG65" s="390"/>
      <c r="VH65" s="390"/>
      <c r="VI65" s="390"/>
      <c r="VJ65" s="390"/>
      <c r="VK65" s="390"/>
      <c r="VL65" s="390"/>
      <c r="VM65" s="390"/>
      <c r="VN65" s="390"/>
      <c r="VO65" s="390"/>
      <c r="VP65" s="390"/>
      <c r="VQ65" s="390"/>
      <c r="VR65" s="390"/>
      <c r="VS65" s="390"/>
      <c r="VT65" s="390"/>
      <c r="VU65" s="390"/>
      <c r="VV65" s="390"/>
      <c r="VW65" s="390"/>
      <c r="VX65" s="390"/>
      <c r="VY65" s="390"/>
      <c r="VZ65" s="390"/>
      <c r="WA65" s="390"/>
      <c r="WB65" s="390"/>
      <c r="WC65" s="390"/>
      <c r="WD65" s="390"/>
      <c r="WE65" s="390"/>
      <c r="WF65" s="390"/>
      <c r="WG65" s="390"/>
      <c r="WH65" s="390"/>
      <c r="WI65" s="390"/>
      <c r="WJ65" s="390"/>
      <c r="WK65" s="390"/>
      <c r="WL65" s="390"/>
      <c r="WM65" s="390"/>
      <c r="WN65" s="390"/>
      <c r="WO65" s="390"/>
      <c r="WP65" s="390"/>
      <c r="WQ65" s="390"/>
      <c r="WR65" s="390"/>
      <c r="WS65" s="390"/>
      <c r="WT65" s="390"/>
      <c r="WU65" s="390"/>
      <c r="WV65" s="390"/>
      <c r="WW65" s="390"/>
      <c r="WX65" s="390"/>
      <c r="WY65" s="390"/>
      <c r="WZ65" s="390"/>
      <c r="XA65" s="390"/>
      <c r="XB65" s="390"/>
      <c r="XC65" s="390"/>
      <c r="XD65" s="390"/>
      <c r="XE65" s="390"/>
      <c r="XF65" s="390"/>
      <c r="XG65" s="390"/>
      <c r="XH65" s="390"/>
      <c r="XI65" s="390"/>
      <c r="XJ65" s="390"/>
      <c r="XK65" s="390"/>
      <c r="XL65" s="390"/>
      <c r="XM65" s="390"/>
      <c r="XN65" s="390"/>
      <c r="XO65" s="390"/>
      <c r="XP65" s="390"/>
      <c r="XQ65" s="390"/>
      <c r="XR65" s="390"/>
      <c r="XS65" s="390"/>
      <c r="XT65" s="390"/>
      <c r="XU65" s="390"/>
      <c r="XV65" s="390"/>
      <c r="XW65" s="390"/>
      <c r="XX65" s="390"/>
      <c r="XY65" s="390"/>
      <c r="XZ65" s="390"/>
      <c r="YA65" s="390"/>
      <c r="YB65" s="390"/>
      <c r="YC65" s="390"/>
      <c r="YD65" s="390"/>
      <c r="YE65" s="390"/>
      <c r="YF65" s="390"/>
      <c r="YG65" s="390"/>
      <c r="YH65" s="390"/>
      <c r="YI65" s="390"/>
      <c r="YJ65" s="390"/>
      <c r="YK65" s="390"/>
      <c r="YL65" s="390"/>
      <c r="YM65" s="390"/>
      <c r="YN65" s="390"/>
      <c r="YO65" s="390"/>
      <c r="YP65" s="390"/>
      <c r="YQ65" s="390"/>
      <c r="YR65" s="390"/>
      <c r="YS65" s="390"/>
      <c r="YT65" s="390"/>
      <c r="YU65" s="390"/>
      <c r="YV65" s="390"/>
      <c r="YW65" s="390"/>
      <c r="YX65" s="390"/>
      <c r="YY65" s="390"/>
      <c r="YZ65" s="390"/>
      <c r="ZA65" s="390"/>
      <c r="ZB65" s="390"/>
      <c r="ZC65" s="390"/>
      <c r="ZD65" s="390"/>
      <c r="ZE65" s="390"/>
      <c r="ZF65" s="390"/>
      <c r="ZG65" s="390"/>
      <c r="ZH65" s="390"/>
      <c r="ZI65" s="390"/>
      <c r="ZJ65" s="390"/>
      <c r="ZK65" s="390"/>
      <c r="ZL65" s="390"/>
      <c r="ZM65" s="390"/>
      <c r="ZN65" s="390"/>
      <c r="ZO65" s="390"/>
      <c r="ZP65" s="390"/>
      <c r="ZQ65" s="390"/>
      <c r="ZR65" s="390"/>
      <c r="ZS65" s="390"/>
      <c r="ZT65" s="390"/>
      <c r="ZU65" s="390"/>
      <c r="ZV65" s="390"/>
      <c r="ZW65" s="390"/>
      <c r="ZX65" s="390"/>
      <c r="ZY65" s="390"/>
      <c r="ZZ65" s="390"/>
      <c r="AAA65" s="390"/>
      <c r="AAB65" s="390"/>
      <c r="AAC65" s="390"/>
      <c r="AAD65" s="390"/>
      <c r="AAE65" s="390"/>
      <c r="AAF65" s="390"/>
      <c r="AAG65" s="390"/>
      <c r="AAH65" s="390"/>
      <c r="AAI65" s="390"/>
      <c r="AAJ65" s="390"/>
      <c r="AAK65" s="390"/>
      <c r="AAL65" s="390"/>
      <c r="AAM65" s="390"/>
      <c r="AAN65" s="390"/>
      <c r="AAO65" s="390"/>
      <c r="AAP65" s="390"/>
      <c r="AAQ65" s="390"/>
      <c r="AAR65" s="390"/>
      <c r="AAS65" s="390"/>
      <c r="AAT65" s="390"/>
      <c r="AAU65" s="390"/>
      <c r="AAV65" s="390"/>
      <c r="AAW65" s="390"/>
      <c r="AAX65" s="390"/>
      <c r="AAY65" s="390"/>
      <c r="AAZ65" s="390"/>
      <c r="ABA65" s="390"/>
      <c r="ABB65" s="390"/>
      <c r="ABC65" s="390"/>
      <c r="ABD65" s="390"/>
      <c r="ABE65" s="390"/>
      <c r="ABF65" s="390"/>
      <c r="ABG65" s="390"/>
      <c r="ABH65" s="390"/>
      <c r="ABI65" s="390"/>
      <c r="ABJ65" s="390"/>
      <c r="ABK65" s="390"/>
      <c r="ABL65" s="390"/>
      <c r="ABM65" s="390"/>
      <c r="ABN65" s="390"/>
      <c r="ABO65" s="390"/>
      <c r="ABP65" s="390"/>
      <c r="ABQ65" s="390"/>
      <c r="ABR65" s="390"/>
      <c r="ABS65" s="390"/>
      <c r="ABT65" s="390"/>
      <c r="ABU65" s="390"/>
      <c r="ABV65" s="390"/>
      <c r="ABW65" s="390"/>
      <c r="ABX65" s="390"/>
      <c r="ABY65" s="390"/>
      <c r="ABZ65" s="390"/>
      <c r="ACA65" s="390"/>
      <c r="ACB65" s="390"/>
      <c r="ACC65" s="390"/>
      <c r="ACD65" s="390"/>
      <c r="ACE65" s="390"/>
      <c r="ACF65" s="390"/>
      <c r="ACG65" s="390"/>
      <c r="ACH65" s="390"/>
      <c r="ACI65" s="390"/>
    </row>
    <row r="66" spans="1:763" ht="13.95" customHeight="1" x14ac:dyDescent="0.3">
      <c r="A66" s="390"/>
      <c r="B66" s="390"/>
      <c r="C66" s="390"/>
      <c r="D66" s="390"/>
      <c r="E66" s="390"/>
      <c r="F66" s="390"/>
      <c r="G66" s="390"/>
      <c r="H66" s="396"/>
      <c r="I66" s="390"/>
      <c r="J66" s="390"/>
      <c r="K66" s="390"/>
      <c r="L66" s="390"/>
      <c r="M66" s="390"/>
      <c r="N66" s="390"/>
      <c r="O66" s="390"/>
      <c r="P66" s="390"/>
      <c r="Q66" s="390"/>
      <c r="R66" s="390"/>
      <c r="S66" s="390"/>
      <c r="T66" s="390"/>
      <c r="U66" s="390"/>
      <c r="V66" s="390"/>
      <c r="W66" s="390"/>
      <c r="X66" s="390"/>
      <c r="Y66" s="390"/>
      <c r="Z66" s="390"/>
      <c r="AA66" s="390"/>
      <c r="AB66" s="390"/>
      <c r="AC66" s="390"/>
      <c r="AD66" s="390"/>
      <c r="AE66" s="390"/>
      <c r="AF66" s="390"/>
      <c r="AG66" s="390"/>
      <c r="AH66" s="390"/>
      <c r="AI66" s="390"/>
      <c r="AJ66" s="390"/>
      <c r="AK66" s="390"/>
      <c r="AL66" s="390"/>
      <c r="AM66" s="390"/>
      <c r="AN66" s="390"/>
      <c r="AO66" s="390"/>
      <c r="AP66" s="390"/>
      <c r="AQ66" s="390"/>
      <c r="AR66" s="390"/>
      <c r="AS66" s="390"/>
      <c r="AT66" s="390"/>
      <c r="AU66" s="390"/>
      <c r="AV66" s="390"/>
      <c r="AW66" s="390"/>
      <c r="AX66" s="390"/>
      <c r="AY66" s="390"/>
      <c r="AZ66" s="390"/>
      <c r="BA66" s="390"/>
      <c r="BB66" s="390"/>
      <c r="BC66" s="390"/>
      <c r="BD66" s="390"/>
      <c r="BE66" s="390"/>
      <c r="BF66" s="390"/>
      <c r="BG66" s="390"/>
      <c r="BH66" s="390"/>
      <c r="BI66" s="390"/>
      <c r="BJ66" s="390"/>
      <c r="BK66" s="390"/>
      <c r="BL66" s="390"/>
      <c r="BM66" s="390"/>
      <c r="BN66" s="390"/>
      <c r="BO66" s="390"/>
      <c r="BP66" s="390"/>
      <c r="BQ66" s="390"/>
      <c r="BR66" s="390"/>
      <c r="BS66" s="390"/>
      <c r="BT66" s="390"/>
      <c r="BU66" s="390"/>
      <c r="BV66" s="390"/>
      <c r="BW66" s="390"/>
      <c r="BX66" s="390"/>
      <c r="BY66" s="390"/>
      <c r="BZ66" s="390"/>
      <c r="CA66" s="390"/>
      <c r="CB66" s="390"/>
      <c r="CC66" s="390"/>
      <c r="CD66" s="390"/>
      <c r="CE66" s="390"/>
      <c r="CF66" s="390"/>
      <c r="CG66" s="390"/>
      <c r="CH66" s="390"/>
      <c r="CI66" s="390"/>
      <c r="CJ66" s="390"/>
      <c r="CK66" s="390"/>
      <c r="CL66" s="390"/>
      <c r="CM66" s="390"/>
      <c r="CN66" s="390"/>
      <c r="CO66" s="390"/>
      <c r="CP66" s="390"/>
      <c r="CQ66" s="390"/>
      <c r="CR66" s="390"/>
      <c r="CS66" s="390"/>
      <c r="CT66" s="390"/>
      <c r="CU66" s="390"/>
      <c r="CV66" s="390"/>
      <c r="CW66" s="390"/>
      <c r="CX66" s="390"/>
      <c r="CY66" s="390"/>
      <c r="CZ66" s="390"/>
      <c r="DA66" s="390"/>
      <c r="DB66" s="390"/>
      <c r="DC66" s="390"/>
      <c r="DD66" s="390"/>
      <c r="DE66" s="390"/>
      <c r="DF66" s="390"/>
      <c r="DG66" s="390"/>
      <c r="DH66" s="390"/>
      <c r="DI66" s="390"/>
      <c r="DJ66" s="390"/>
      <c r="DK66" s="390"/>
      <c r="DL66" s="390"/>
      <c r="DM66" s="390"/>
      <c r="DN66" s="390"/>
      <c r="DO66" s="390"/>
      <c r="DP66" s="390"/>
      <c r="DQ66" s="390"/>
      <c r="DR66" s="390"/>
      <c r="DS66" s="390"/>
      <c r="DT66" s="390"/>
      <c r="DU66" s="390"/>
      <c r="DV66" s="390"/>
      <c r="DW66" s="390"/>
      <c r="DX66" s="390"/>
      <c r="DY66" s="390"/>
      <c r="DZ66" s="390"/>
      <c r="EA66" s="390"/>
      <c r="EB66" s="390"/>
      <c r="EC66" s="390"/>
      <c r="ED66" s="390"/>
      <c r="EE66" s="390"/>
      <c r="EF66" s="390"/>
      <c r="EG66" s="390"/>
      <c r="EH66" s="390"/>
      <c r="EI66" s="390"/>
      <c r="EJ66" s="390"/>
      <c r="EK66" s="390"/>
      <c r="EL66" s="390"/>
      <c r="EM66" s="390"/>
      <c r="EN66" s="390"/>
      <c r="EO66" s="390"/>
      <c r="EP66" s="390"/>
      <c r="EQ66" s="390"/>
      <c r="ER66" s="390"/>
      <c r="ES66" s="390"/>
      <c r="ET66" s="390"/>
      <c r="EU66" s="390"/>
      <c r="EV66" s="390"/>
      <c r="EW66" s="390"/>
      <c r="EX66" s="390"/>
      <c r="EY66" s="390"/>
      <c r="EZ66" s="390"/>
      <c r="FA66" s="390"/>
      <c r="FB66" s="390"/>
      <c r="FC66" s="390"/>
      <c r="FD66" s="390"/>
      <c r="FE66" s="390"/>
      <c r="FF66" s="390"/>
      <c r="FG66" s="390"/>
      <c r="FH66" s="390"/>
      <c r="FI66" s="390"/>
      <c r="FJ66" s="390"/>
      <c r="FK66" s="390"/>
      <c r="FL66" s="390"/>
      <c r="FM66" s="390"/>
      <c r="FN66" s="390"/>
      <c r="FO66" s="390"/>
      <c r="FP66" s="390"/>
      <c r="FQ66" s="390"/>
      <c r="FR66" s="390"/>
      <c r="FS66" s="390"/>
      <c r="FT66" s="390"/>
      <c r="FU66" s="390"/>
      <c r="FV66" s="390"/>
      <c r="FW66" s="390"/>
      <c r="FX66" s="390"/>
      <c r="FY66" s="390"/>
      <c r="FZ66" s="390"/>
      <c r="GA66" s="390"/>
      <c r="GB66" s="390"/>
      <c r="GC66" s="390"/>
      <c r="GD66" s="390"/>
      <c r="GE66" s="390"/>
      <c r="GF66" s="390"/>
      <c r="GG66" s="390"/>
      <c r="GH66" s="390"/>
      <c r="GI66" s="390"/>
      <c r="GJ66" s="390"/>
      <c r="GK66" s="390"/>
      <c r="GL66" s="390"/>
      <c r="GM66" s="390"/>
      <c r="GN66" s="390"/>
      <c r="GO66" s="390"/>
      <c r="GP66" s="390"/>
      <c r="GQ66" s="390"/>
      <c r="GR66" s="390"/>
      <c r="GS66" s="390"/>
      <c r="GT66" s="390"/>
      <c r="GU66" s="390"/>
      <c r="GV66" s="390"/>
      <c r="GW66" s="390"/>
      <c r="GX66" s="390"/>
      <c r="GY66" s="390"/>
      <c r="GZ66" s="390"/>
      <c r="HA66" s="390"/>
      <c r="HB66" s="390"/>
      <c r="HC66" s="390"/>
      <c r="HD66" s="390"/>
      <c r="HE66" s="390"/>
      <c r="HF66" s="390"/>
      <c r="HG66" s="390"/>
      <c r="HH66" s="390"/>
      <c r="HI66" s="390"/>
      <c r="HJ66" s="390"/>
      <c r="HK66" s="390"/>
      <c r="HL66" s="390"/>
      <c r="HM66" s="390"/>
      <c r="HN66" s="390"/>
      <c r="HO66" s="390"/>
      <c r="HP66" s="390"/>
      <c r="HQ66" s="390"/>
      <c r="HR66" s="390"/>
      <c r="HS66" s="390"/>
      <c r="HT66" s="390"/>
      <c r="HU66" s="390"/>
      <c r="HV66" s="390"/>
      <c r="HW66" s="390"/>
      <c r="HX66" s="390"/>
      <c r="HY66" s="390"/>
      <c r="HZ66" s="390"/>
      <c r="IA66" s="390"/>
      <c r="IB66" s="390"/>
      <c r="IC66" s="390"/>
      <c r="ID66" s="390"/>
      <c r="IE66" s="390"/>
      <c r="IF66" s="390"/>
      <c r="IG66" s="390"/>
      <c r="IH66" s="390"/>
      <c r="II66" s="390"/>
      <c r="IJ66" s="390"/>
      <c r="IK66" s="390"/>
      <c r="IL66" s="390"/>
      <c r="IM66" s="390"/>
      <c r="IN66" s="390"/>
      <c r="IO66" s="390"/>
      <c r="IP66" s="390"/>
      <c r="IQ66" s="390"/>
      <c r="IR66" s="390"/>
      <c r="IS66" s="390"/>
      <c r="IT66" s="390"/>
      <c r="IU66" s="390"/>
      <c r="IV66" s="390"/>
      <c r="IW66" s="390"/>
      <c r="IX66" s="390"/>
      <c r="IY66" s="390"/>
      <c r="IZ66" s="390"/>
      <c r="JA66" s="390"/>
      <c r="JB66" s="390"/>
      <c r="JC66" s="390"/>
      <c r="JD66" s="390"/>
      <c r="JE66" s="390"/>
      <c r="JF66" s="390"/>
      <c r="JG66" s="390"/>
      <c r="JH66" s="390"/>
      <c r="JI66" s="390"/>
      <c r="JJ66" s="390"/>
      <c r="JK66" s="390"/>
      <c r="JL66" s="390"/>
      <c r="JM66" s="390"/>
      <c r="JN66" s="390"/>
      <c r="JO66" s="390"/>
      <c r="JP66" s="390"/>
      <c r="JQ66" s="390"/>
      <c r="JR66" s="390"/>
      <c r="JS66" s="390"/>
      <c r="JT66" s="390"/>
      <c r="JU66" s="390"/>
      <c r="JV66" s="390"/>
      <c r="JW66" s="390"/>
      <c r="JX66" s="390"/>
      <c r="JY66" s="390"/>
      <c r="JZ66" s="390"/>
      <c r="KA66" s="390"/>
      <c r="KB66" s="390"/>
      <c r="KC66" s="390"/>
      <c r="KD66" s="390"/>
      <c r="KE66" s="390"/>
      <c r="KF66" s="390"/>
      <c r="KG66" s="390"/>
      <c r="KH66" s="390"/>
      <c r="KI66" s="390"/>
      <c r="KJ66" s="390"/>
      <c r="KK66" s="390"/>
      <c r="KL66" s="390"/>
      <c r="KM66" s="390"/>
      <c r="KN66" s="390"/>
      <c r="KO66" s="390"/>
      <c r="KP66" s="390"/>
      <c r="KQ66" s="390"/>
      <c r="KR66" s="390"/>
      <c r="KS66" s="390"/>
      <c r="KT66" s="390"/>
      <c r="KU66" s="390"/>
      <c r="KV66" s="390"/>
      <c r="KW66" s="390"/>
      <c r="KX66" s="390"/>
      <c r="KY66" s="390"/>
      <c r="KZ66" s="390"/>
      <c r="LA66" s="390"/>
      <c r="LB66" s="390"/>
      <c r="LC66" s="390"/>
      <c r="LD66" s="390"/>
      <c r="LE66" s="390"/>
      <c r="LF66" s="390"/>
      <c r="LG66" s="390"/>
      <c r="LH66" s="390"/>
      <c r="LI66" s="390"/>
      <c r="LJ66" s="390"/>
      <c r="LK66" s="390"/>
      <c r="LL66" s="390"/>
      <c r="LM66" s="390"/>
      <c r="LN66" s="390"/>
      <c r="LO66" s="390"/>
      <c r="LP66" s="390"/>
      <c r="LQ66" s="390"/>
      <c r="LR66" s="390"/>
      <c r="LS66" s="390"/>
      <c r="LT66" s="390"/>
      <c r="LU66" s="390"/>
      <c r="LV66" s="390"/>
      <c r="LW66" s="390"/>
      <c r="LX66" s="390"/>
      <c r="LY66" s="390"/>
      <c r="LZ66" s="390"/>
      <c r="MA66" s="390"/>
      <c r="MB66" s="390"/>
      <c r="MC66" s="390"/>
      <c r="MD66" s="390"/>
      <c r="ME66" s="390"/>
      <c r="MF66" s="390"/>
      <c r="MG66" s="390"/>
      <c r="MH66" s="390"/>
      <c r="MI66" s="390"/>
      <c r="MJ66" s="390"/>
      <c r="MK66" s="390"/>
      <c r="ML66" s="390"/>
      <c r="MM66" s="390"/>
      <c r="MN66" s="390"/>
      <c r="MO66" s="390"/>
      <c r="MP66" s="390"/>
      <c r="MQ66" s="390"/>
      <c r="MR66" s="390"/>
      <c r="MS66" s="390"/>
      <c r="MT66" s="390"/>
      <c r="MU66" s="390"/>
      <c r="MV66" s="390"/>
      <c r="MW66" s="390"/>
      <c r="MX66" s="390"/>
      <c r="MY66" s="390"/>
      <c r="MZ66" s="390"/>
      <c r="NA66" s="390"/>
      <c r="NB66" s="390"/>
      <c r="NC66" s="390"/>
      <c r="ND66" s="390"/>
      <c r="NE66" s="390"/>
      <c r="NF66" s="390"/>
      <c r="NG66" s="390"/>
      <c r="NH66" s="390"/>
      <c r="NI66" s="390"/>
      <c r="NJ66" s="390"/>
      <c r="NK66" s="390"/>
      <c r="NL66" s="390"/>
      <c r="NM66" s="390"/>
      <c r="NN66" s="390"/>
      <c r="NO66" s="390"/>
      <c r="NP66" s="390"/>
      <c r="NQ66" s="390"/>
      <c r="NR66" s="390"/>
      <c r="NS66" s="390"/>
      <c r="NT66" s="390"/>
      <c r="NU66" s="390"/>
      <c r="NV66" s="390"/>
      <c r="NW66" s="390"/>
      <c r="NX66" s="390"/>
      <c r="NY66" s="390"/>
      <c r="NZ66" s="390"/>
      <c r="OA66" s="390"/>
      <c r="OB66" s="390"/>
      <c r="OC66" s="390"/>
      <c r="OD66" s="390"/>
      <c r="OE66" s="390"/>
      <c r="OF66" s="390"/>
      <c r="OG66" s="390"/>
      <c r="OH66" s="390"/>
      <c r="OI66" s="390"/>
      <c r="OJ66" s="390"/>
      <c r="OK66" s="390"/>
      <c r="OL66" s="390"/>
      <c r="OM66" s="390"/>
      <c r="ON66" s="390"/>
      <c r="OO66" s="390"/>
      <c r="OP66" s="390"/>
      <c r="OQ66" s="390"/>
      <c r="OR66" s="390"/>
      <c r="OS66" s="390"/>
      <c r="OT66" s="390"/>
      <c r="OU66" s="390"/>
      <c r="OV66" s="390"/>
      <c r="OW66" s="390"/>
      <c r="OX66" s="390"/>
      <c r="OY66" s="390"/>
      <c r="OZ66" s="390"/>
      <c r="PA66" s="390"/>
      <c r="PB66" s="390"/>
      <c r="PC66" s="390"/>
      <c r="PD66" s="390"/>
      <c r="PE66" s="390"/>
      <c r="PF66" s="390"/>
      <c r="PG66" s="390"/>
      <c r="PH66" s="390"/>
      <c r="PI66" s="390"/>
      <c r="PJ66" s="390"/>
      <c r="PK66" s="390"/>
      <c r="PL66" s="390"/>
      <c r="PM66" s="390"/>
      <c r="PN66" s="390"/>
      <c r="PO66" s="390"/>
      <c r="PP66" s="390"/>
      <c r="PQ66" s="390"/>
      <c r="PR66" s="390"/>
      <c r="PS66" s="390"/>
      <c r="PT66" s="390"/>
      <c r="PU66" s="390"/>
      <c r="PV66" s="390"/>
      <c r="PW66" s="390"/>
      <c r="PX66" s="390"/>
      <c r="PY66" s="390"/>
      <c r="PZ66" s="390"/>
      <c r="QA66" s="390"/>
      <c r="QB66" s="390"/>
      <c r="QC66" s="390"/>
      <c r="QD66" s="390"/>
      <c r="QE66" s="390"/>
      <c r="QF66" s="390"/>
      <c r="QG66" s="390"/>
      <c r="QH66" s="390"/>
      <c r="QI66" s="390"/>
      <c r="QJ66" s="390"/>
      <c r="QK66" s="390"/>
      <c r="QL66" s="390"/>
      <c r="QM66" s="390"/>
      <c r="QN66" s="390"/>
      <c r="QO66" s="390"/>
      <c r="QP66" s="390"/>
      <c r="QQ66" s="390"/>
      <c r="QR66" s="390"/>
      <c r="QS66" s="390"/>
      <c r="QT66" s="390"/>
      <c r="QU66" s="390"/>
      <c r="QV66" s="390"/>
      <c r="QW66" s="390"/>
      <c r="QX66" s="390"/>
      <c r="QY66" s="390"/>
      <c r="QZ66" s="390"/>
      <c r="RA66" s="390"/>
      <c r="RB66" s="390"/>
      <c r="RC66" s="390"/>
      <c r="RD66" s="390"/>
      <c r="RE66" s="390"/>
      <c r="RF66" s="390"/>
      <c r="RG66" s="390"/>
      <c r="RH66" s="390"/>
      <c r="RI66" s="390"/>
      <c r="RJ66" s="390"/>
      <c r="RK66" s="390"/>
      <c r="RL66" s="390"/>
      <c r="RM66" s="390"/>
      <c r="RN66" s="390"/>
      <c r="RO66" s="390"/>
      <c r="RP66" s="390"/>
      <c r="RQ66" s="390"/>
      <c r="RR66" s="390"/>
      <c r="RS66" s="390"/>
      <c r="RT66" s="390"/>
      <c r="RU66" s="390"/>
      <c r="RV66" s="390"/>
      <c r="RW66" s="390"/>
      <c r="RX66" s="390"/>
      <c r="RY66" s="390"/>
      <c r="RZ66" s="390"/>
      <c r="SA66" s="390"/>
      <c r="SB66" s="390"/>
      <c r="SC66" s="390"/>
      <c r="SD66" s="390"/>
      <c r="SE66" s="390"/>
      <c r="SF66" s="390"/>
      <c r="SG66" s="390"/>
      <c r="SH66" s="390"/>
      <c r="SI66" s="390"/>
      <c r="SJ66" s="390"/>
      <c r="SK66" s="390"/>
      <c r="SL66" s="390"/>
      <c r="SM66" s="390"/>
      <c r="SN66" s="390"/>
      <c r="SO66" s="390"/>
      <c r="SP66" s="390"/>
      <c r="SQ66" s="390"/>
      <c r="SR66" s="390"/>
      <c r="SS66" s="390"/>
      <c r="ST66" s="390"/>
      <c r="SU66" s="390"/>
      <c r="SV66" s="390"/>
      <c r="SW66" s="390"/>
      <c r="SX66" s="390"/>
      <c r="SY66" s="390"/>
      <c r="SZ66" s="390"/>
      <c r="TA66" s="390"/>
      <c r="TB66" s="390"/>
      <c r="TC66" s="390"/>
      <c r="TD66" s="390"/>
      <c r="TE66" s="390"/>
      <c r="TF66" s="390"/>
      <c r="TG66" s="390"/>
      <c r="TH66" s="390"/>
      <c r="TI66" s="390"/>
      <c r="TJ66" s="390"/>
      <c r="TK66" s="390"/>
      <c r="TL66" s="390"/>
      <c r="TM66" s="390"/>
      <c r="TN66" s="390"/>
      <c r="TO66" s="390"/>
      <c r="TP66" s="390"/>
      <c r="TQ66" s="390"/>
      <c r="TR66" s="390"/>
      <c r="TS66" s="390"/>
      <c r="TT66" s="390"/>
      <c r="TU66" s="390"/>
      <c r="TV66" s="390"/>
      <c r="TW66" s="390"/>
      <c r="TX66" s="390"/>
      <c r="TY66" s="390"/>
      <c r="TZ66" s="390"/>
      <c r="UA66" s="390"/>
      <c r="UB66" s="390"/>
      <c r="UC66" s="390"/>
      <c r="UD66" s="390"/>
      <c r="UE66" s="390"/>
      <c r="UF66" s="390"/>
      <c r="UG66" s="390"/>
      <c r="UH66" s="390"/>
      <c r="UI66" s="390"/>
      <c r="UJ66" s="390"/>
      <c r="UK66" s="390"/>
      <c r="UL66" s="390"/>
      <c r="UM66" s="390"/>
      <c r="UN66" s="390"/>
      <c r="UO66" s="390"/>
      <c r="UP66" s="390"/>
      <c r="UQ66" s="390"/>
      <c r="UR66" s="390"/>
      <c r="US66" s="390"/>
      <c r="UT66" s="390"/>
      <c r="UU66" s="390"/>
      <c r="UV66" s="390"/>
      <c r="UW66" s="390"/>
      <c r="UX66" s="390"/>
      <c r="UY66" s="390"/>
      <c r="UZ66" s="390"/>
      <c r="VA66" s="390"/>
      <c r="VB66" s="390"/>
      <c r="VC66" s="390"/>
      <c r="VD66" s="390"/>
      <c r="VE66" s="390"/>
      <c r="VF66" s="390"/>
      <c r="VG66" s="390"/>
      <c r="VH66" s="390"/>
      <c r="VI66" s="390"/>
      <c r="VJ66" s="390"/>
      <c r="VK66" s="390"/>
      <c r="VL66" s="390"/>
      <c r="VM66" s="390"/>
      <c r="VN66" s="390"/>
      <c r="VO66" s="390"/>
      <c r="VP66" s="390"/>
      <c r="VQ66" s="390"/>
      <c r="VR66" s="390"/>
      <c r="VS66" s="390"/>
      <c r="VT66" s="390"/>
      <c r="VU66" s="390"/>
      <c r="VV66" s="390"/>
      <c r="VW66" s="390"/>
      <c r="VX66" s="390"/>
      <c r="VY66" s="390"/>
      <c r="VZ66" s="390"/>
      <c r="WA66" s="390"/>
      <c r="WB66" s="390"/>
      <c r="WC66" s="390"/>
      <c r="WD66" s="390"/>
      <c r="WE66" s="390"/>
      <c r="WF66" s="390"/>
      <c r="WG66" s="390"/>
      <c r="WH66" s="390"/>
      <c r="WI66" s="390"/>
      <c r="WJ66" s="390"/>
      <c r="WK66" s="390"/>
      <c r="WL66" s="390"/>
      <c r="WM66" s="390"/>
      <c r="WN66" s="390"/>
      <c r="WO66" s="390"/>
      <c r="WP66" s="390"/>
      <c r="WQ66" s="390"/>
      <c r="WR66" s="390"/>
      <c r="WS66" s="390"/>
      <c r="WT66" s="390"/>
      <c r="WU66" s="390"/>
      <c r="WV66" s="390"/>
      <c r="WW66" s="390"/>
      <c r="WX66" s="390"/>
      <c r="WY66" s="390"/>
      <c r="WZ66" s="390"/>
      <c r="XA66" s="390"/>
      <c r="XB66" s="390"/>
      <c r="XC66" s="390"/>
      <c r="XD66" s="390"/>
      <c r="XE66" s="390"/>
      <c r="XF66" s="390"/>
      <c r="XG66" s="390"/>
      <c r="XH66" s="390"/>
      <c r="XI66" s="390"/>
      <c r="XJ66" s="390"/>
      <c r="XK66" s="390"/>
      <c r="XL66" s="390"/>
      <c r="XM66" s="390"/>
      <c r="XN66" s="390"/>
      <c r="XO66" s="390"/>
      <c r="XP66" s="390"/>
      <c r="XQ66" s="390"/>
      <c r="XR66" s="390"/>
      <c r="XS66" s="390"/>
      <c r="XT66" s="390"/>
      <c r="XU66" s="390"/>
      <c r="XV66" s="390"/>
      <c r="XW66" s="390"/>
      <c r="XX66" s="390"/>
      <c r="XY66" s="390"/>
      <c r="XZ66" s="390"/>
      <c r="YA66" s="390"/>
      <c r="YB66" s="390"/>
      <c r="YC66" s="390"/>
      <c r="YD66" s="390"/>
      <c r="YE66" s="390"/>
      <c r="YF66" s="390"/>
      <c r="YG66" s="390"/>
      <c r="YH66" s="390"/>
      <c r="YI66" s="390"/>
      <c r="YJ66" s="390"/>
      <c r="YK66" s="390"/>
      <c r="YL66" s="390"/>
      <c r="YM66" s="390"/>
      <c r="YN66" s="390"/>
      <c r="YO66" s="390"/>
      <c r="YP66" s="390"/>
      <c r="YQ66" s="390"/>
      <c r="YR66" s="390"/>
      <c r="YS66" s="390"/>
      <c r="YT66" s="390"/>
      <c r="YU66" s="390"/>
      <c r="YV66" s="390"/>
      <c r="YW66" s="390"/>
      <c r="YX66" s="390"/>
      <c r="YY66" s="390"/>
      <c r="YZ66" s="390"/>
      <c r="ZA66" s="390"/>
      <c r="ZB66" s="390"/>
      <c r="ZC66" s="390"/>
      <c r="ZD66" s="390"/>
      <c r="ZE66" s="390"/>
      <c r="ZF66" s="390"/>
      <c r="ZG66" s="390"/>
      <c r="ZH66" s="390"/>
      <c r="ZI66" s="390"/>
      <c r="ZJ66" s="390"/>
      <c r="ZK66" s="390"/>
      <c r="ZL66" s="390"/>
      <c r="ZM66" s="390"/>
      <c r="ZN66" s="390"/>
      <c r="ZO66" s="390"/>
      <c r="ZP66" s="390"/>
      <c r="ZQ66" s="390"/>
      <c r="ZR66" s="390"/>
      <c r="ZS66" s="390"/>
      <c r="ZT66" s="390"/>
      <c r="ZU66" s="390"/>
      <c r="ZV66" s="390"/>
      <c r="ZW66" s="390"/>
      <c r="ZX66" s="390"/>
      <c r="ZY66" s="390"/>
      <c r="ZZ66" s="390"/>
      <c r="AAA66" s="390"/>
      <c r="AAB66" s="390"/>
      <c r="AAC66" s="390"/>
      <c r="AAD66" s="390"/>
      <c r="AAE66" s="390"/>
      <c r="AAF66" s="390"/>
      <c r="AAG66" s="390"/>
      <c r="AAH66" s="390"/>
      <c r="AAI66" s="390"/>
      <c r="AAJ66" s="390"/>
      <c r="AAK66" s="390"/>
      <c r="AAL66" s="390"/>
      <c r="AAM66" s="390"/>
      <c r="AAN66" s="390"/>
      <c r="AAO66" s="390"/>
      <c r="AAP66" s="390"/>
      <c r="AAQ66" s="390"/>
      <c r="AAR66" s="390"/>
      <c r="AAS66" s="390"/>
      <c r="AAT66" s="390"/>
      <c r="AAU66" s="390"/>
      <c r="AAV66" s="390"/>
      <c r="AAW66" s="390"/>
      <c r="AAX66" s="390"/>
      <c r="AAY66" s="390"/>
      <c r="AAZ66" s="390"/>
      <c r="ABA66" s="390"/>
      <c r="ABB66" s="390"/>
      <c r="ABC66" s="390"/>
      <c r="ABD66" s="390"/>
      <c r="ABE66" s="390"/>
      <c r="ABF66" s="390"/>
      <c r="ABG66" s="390"/>
      <c r="ABH66" s="390"/>
      <c r="ABI66" s="390"/>
      <c r="ABJ66" s="390"/>
      <c r="ABK66" s="390"/>
      <c r="ABL66" s="390"/>
      <c r="ABM66" s="390"/>
      <c r="ABN66" s="390"/>
      <c r="ABO66" s="390"/>
      <c r="ABP66" s="390"/>
      <c r="ABQ66" s="390"/>
      <c r="ABR66" s="390"/>
      <c r="ABS66" s="390"/>
      <c r="ABT66" s="390"/>
      <c r="ABU66" s="390"/>
      <c r="ABV66" s="390"/>
      <c r="ABW66" s="390"/>
      <c r="ABX66" s="390"/>
      <c r="ABY66" s="390"/>
      <c r="ABZ66" s="390"/>
      <c r="ACA66" s="390"/>
      <c r="ACB66" s="390"/>
      <c r="ACC66" s="390"/>
      <c r="ACD66" s="390"/>
      <c r="ACE66" s="390"/>
      <c r="ACF66" s="390"/>
      <c r="ACG66" s="390"/>
      <c r="ACH66" s="390"/>
      <c r="ACI66" s="390"/>
    </row>
    <row r="67" spans="1:763" ht="13.95" customHeight="1" x14ac:dyDescent="0.3">
      <c r="A67" s="393" t="str">
        <f ca="1">Проект!$A$374</f>
        <v>Коммерческий персонал</v>
      </c>
      <c r="B67" s="390"/>
      <c r="C67" s="390"/>
      <c r="D67" s="390"/>
      <c r="E67" s="390"/>
      <c r="F67" s="390"/>
      <c r="G67" s="390"/>
      <c r="H67" s="396"/>
      <c r="I67" s="390"/>
      <c r="J67" s="390"/>
      <c r="K67" s="390"/>
      <c r="L67" s="390"/>
      <c r="M67" s="390"/>
      <c r="N67" s="390"/>
      <c r="O67" s="390"/>
      <c r="P67" s="390"/>
      <c r="Q67" s="390"/>
      <c r="R67" s="390"/>
      <c r="S67" s="390"/>
      <c r="T67" s="390"/>
      <c r="U67" s="390"/>
      <c r="V67" s="390"/>
      <c r="W67" s="390"/>
      <c r="X67" s="390"/>
      <c r="Y67" s="390"/>
      <c r="Z67" s="390"/>
      <c r="AA67" s="390"/>
      <c r="AB67" s="390"/>
      <c r="AC67" s="390"/>
      <c r="AD67" s="390"/>
      <c r="AE67" s="390"/>
      <c r="AF67" s="390"/>
      <c r="AG67" s="390"/>
      <c r="AH67" s="390"/>
      <c r="AI67" s="390"/>
      <c r="AJ67" s="390"/>
      <c r="AK67" s="390"/>
      <c r="AL67" s="390"/>
      <c r="AM67" s="390"/>
      <c r="AN67" s="390"/>
      <c r="AO67" s="390"/>
      <c r="AP67" s="390"/>
      <c r="AQ67" s="390"/>
      <c r="AR67" s="390"/>
      <c r="AS67" s="390"/>
      <c r="AT67" s="390"/>
      <c r="AU67" s="390"/>
      <c r="AV67" s="390"/>
      <c r="AW67" s="390"/>
      <c r="AX67" s="390"/>
      <c r="AY67" s="390"/>
      <c r="AZ67" s="390"/>
      <c r="BA67" s="390"/>
      <c r="BB67" s="390"/>
      <c r="BC67" s="390"/>
      <c r="BD67" s="390"/>
      <c r="BE67" s="390"/>
      <c r="BF67" s="390"/>
      <c r="BG67" s="390"/>
      <c r="BH67" s="390"/>
      <c r="BI67" s="390"/>
      <c r="BJ67" s="390"/>
      <c r="BK67" s="390"/>
      <c r="BL67" s="390"/>
      <c r="BM67" s="390"/>
      <c r="BN67" s="390"/>
      <c r="BO67" s="390"/>
      <c r="BP67" s="390"/>
      <c r="BQ67" s="390"/>
      <c r="BR67" s="390"/>
      <c r="BS67" s="390"/>
      <c r="BT67" s="390"/>
      <c r="BU67" s="390"/>
      <c r="BV67" s="390"/>
      <c r="BW67" s="390"/>
      <c r="BX67" s="390"/>
      <c r="BY67" s="390"/>
      <c r="BZ67" s="390"/>
      <c r="CA67" s="390"/>
      <c r="CB67" s="390"/>
      <c r="CC67" s="390"/>
      <c r="CD67" s="390"/>
      <c r="CE67" s="390"/>
      <c r="CF67" s="390"/>
      <c r="CG67" s="390"/>
      <c r="CH67" s="390"/>
      <c r="CI67" s="390"/>
      <c r="CJ67" s="390"/>
      <c r="CK67" s="390"/>
      <c r="CL67" s="390"/>
      <c r="CM67" s="390"/>
      <c r="CN67" s="390"/>
      <c r="CO67" s="390"/>
      <c r="CP67" s="390"/>
      <c r="CQ67" s="390"/>
      <c r="CR67" s="390"/>
      <c r="CS67" s="390"/>
      <c r="CT67" s="390"/>
      <c r="CU67" s="390"/>
      <c r="CV67" s="390"/>
      <c r="CW67" s="390"/>
      <c r="CX67" s="390"/>
      <c r="CY67" s="390"/>
      <c r="CZ67" s="390"/>
      <c r="DA67" s="390"/>
      <c r="DB67" s="390"/>
      <c r="DC67" s="390"/>
      <c r="DD67" s="390"/>
      <c r="DE67" s="390"/>
      <c r="DF67" s="390"/>
      <c r="DG67" s="390"/>
      <c r="DH67" s="390"/>
      <c r="DI67" s="390"/>
      <c r="DJ67" s="390"/>
      <c r="DK67" s="390"/>
      <c r="DL67" s="390"/>
      <c r="DM67" s="390"/>
      <c r="DN67" s="390"/>
      <c r="DO67" s="390"/>
      <c r="DP67" s="390"/>
      <c r="DQ67" s="390"/>
      <c r="DR67" s="390"/>
      <c r="DS67" s="390"/>
      <c r="DT67" s="390"/>
      <c r="DU67" s="390"/>
      <c r="DV67" s="390"/>
      <c r="DW67" s="390"/>
      <c r="DX67" s="390"/>
      <c r="DY67" s="390"/>
      <c r="DZ67" s="390"/>
      <c r="EA67" s="390"/>
      <c r="EB67" s="390"/>
      <c r="EC67" s="390"/>
      <c r="ED67" s="390"/>
      <c r="EE67" s="390"/>
      <c r="EF67" s="390"/>
      <c r="EG67" s="390"/>
      <c r="EH67" s="390"/>
      <c r="EI67" s="390"/>
      <c r="EJ67" s="390"/>
      <c r="EK67" s="390"/>
      <c r="EL67" s="390"/>
      <c r="EM67" s="390"/>
      <c r="EN67" s="390"/>
      <c r="EO67" s="390"/>
      <c r="EP67" s="390"/>
      <c r="EQ67" s="390"/>
      <c r="ER67" s="390"/>
      <c r="ES67" s="390"/>
      <c r="ET67" s="390"/>
      <c r="EU67" s="390"/>
      <c r="EV67" s="390"/>
      <c r="EW67" s="390"/>
      <c r="EX67" s="390"/>
      <c r="EY67" s="390"/>
      <c r="EZ67" s="390"/>
      <c r="FA67" s="390"/>
      <c r="FB67" s="390"/>
      <c r="FC67" s="390"/>
      <c r="FD67" s="390"/>
      <c r="FE67" s="390"/>
      <c r="FF67" s="390"/>
      <c r="FG67" s="390"/>
      <c r="FH67" s="390"/>
      <c r="FI67" s="390"/>
      <c r="FJ67" s="390"/>
      <c r="FK67" s="390"/>
      <c r="FL67" s="390"/>
      <c r="FM67" s="390"/>
      <c r="FN67" s="390"/>
      <c r="FO67" s="390"/>
      <c r="FP67" s="390"/>
      <c r="FQ67" s="390"/>
      <c r="FR67" s="390"/>
      <c r="FS67" s="390"/>
      <c r="FT67" s="390"/>
      <c r="FU67" s="390"/>
      <c r="FV67" s="390"/>
      <c r="FW67" s="390"/>
      <c r="FX67" s="390"/>
      <c r="FY67" s="390"/>
      <c r="FZ67" s="390"/>
      <c r="GA67" s="390"/>
      <c r="GB67" s="390"/>
      <c r="GC67" s="390"/>
      <c r="GD67" s="390"/>
      <c r="GE67" s="390"/>
      <c r="GF67" s="390"/>
      <c r="GG67" s="390"/>
      <c r="GH67" s="390"/>
      <c r="GI67" s="390"/>
      <c r="GJ67" s="390"/>
      <c r="GK67" s="390"/>
      <c r="GL67" s="390"/>
      <c r="GM67" s="390"/>
      <c r="GN67" s="390"/>
      <c r="GO67" s="390"/>
      <c r="GP67" s="390"/>
      <c r="GQ67" s="390"/>
      <c r="GR67" s="390"/>
      <c r="GS67" s="390"/>
      <c r="GT67" s="390"/>
      <c r="GU67" s="390"/>
      <c r="GV67" s="390"/>
      <c r="GW67" s="390"/>
      <c r="GX67" s="390"/>
      <c r="GY67" s="390"/>
      <c r="GZ67" s="390"/>
      <c r="HA67" s="390"/>
      <c r="HB67" s="390"/>
      <c r="HC67" s="390"/>
      <c r="HD67" s="390"/>
      <c r="HE67" s="390"/>
      <c r="HF67" s="390"/>
      <c r="HG67" s="390"/>
      <c r="HH67" s="390"/>
      <c r="HI67" s="390"/>
      <c r="HJ67" s="390"/>
      <c r="HK67" s="390"/>
      <c r="HL67" s="390"/>
      <c r="HM67" s="390"/>
      <c r="HN67" s="390"/>
      <c r="HO67" s="390"/>
      <c r="HP67" s="390"/>
      <c r="HQ67" s="390"/>
      <c r="HR67" s="390"/>
      <c r="HS67" s="390"/>
      <c r="HT67" s="390"/>
      <c r="HU67" s="390"/>
      <c r="HV67" s="390"/>
      <c r="HW67" s="390"/>
      <c r="HX67" s="390"/>
      <c r="HY67" s="390"/>
      <c r="HZ67" s="390"/>
      <c r="IA67" s="390"/>
      <c r="IB67" s="390"/>
      <c r="IC67" s="390"/>
      <c r="ID67" s="390"/>
      <c r="IE67" s="390"/>
      <c r="IF67" s="390"/>
      <c r="IG67" s="390"/>
      <c r="IH67" s="390"/>
      <c r="II67" s="390"/>
      <c r="IJ67" s="390"/>
      <c r="IK67" s="390"/>
      <c r="IL67" s="390"/>
      <c r="IM67" s="390"/>
      <c r="IN67" s="390"/>
      <c r="IO67" s="390"/>
      <c r="IP67" s="390"/>
      <c r="IQ67" s="390"/>
      <c r="IR67" s="390"/>
      <c r="IS67" s="390"/>
      <c r="IT67" s="390"/>
      <c r="IU67" s="390"/>
      <c r="IV67" s="390"/>
      <c r="IW67" s="390"/>
      <c r="IX67" s="390"/>
      <c r="IY67" s="390"/>
      <c r="IZ67" s="390"/>
      <c r="JA67" s="390"/>
      <c r="JB67" s="390"/>
      <c r="JC67" s="390"/>
      <c r="JD67" s="390"/>
      <c r="JE67" s="390"/>
      <c r="JF67" s="390"/>
      <c r="JG67" s="390"/>
      <c r="JH67" s="390"/>
      <c r="JI67" s="390"/>
      <c r="JJ67" s="390"/>
      <c r="JK67" s="390"/>
      <c r="JL67" s="390"/>
      <c r="JM67" s="390"/>
      <c r="JN67" s="390"/>
      <c r="JO67" s="390"/>
      <c r="JP67" s="390"/>
      <c r="JQ67" s="390"/>
      <c r="JR67" s="390"/>
      <c r="JS67" s="390"/>
      <c r="JT67" s="390"/>
      <c r="JU67" s="390"/>
      <c r="JV67" s="390"/>
      <c r="JW67" s="390"/>
      <c r="JX67" s="390"/>
      <c r="JY67" s="390"/>
      <c r="JZ67" s="390"/>
      <c r="KA67" s="390"/>
      <c r="KB67" s="390"/>
      <c r="KC67" s="390"/>
      <c r="KD67" s="390"/>
      <c r="KE67" s="390"/>
      <c r="KF67" s="390"/>
      <c r="KG67" s="390"/>
      <c r="KH67" s="390"/>
      <c r="KI67" s="390"/>
      <c r="KJ67" s="390"/>
      <c r="KK67" s="390"/>
      <c r="KL67" s="390"/>
      <c r="KM67" s="390"/>
      <c r="KN67" s="390"/>
      <c r="KO67" s="390"/>
      <c r="KP67" s="390"/>
      <c r="KQ67" s="390"/>
      <c r="KR67" s="390"/>
      <c r="KS67" s="390"/>
      <c r="KT67" s="390"/>
      <c r="KU67" s="390"/>
      <c r="KV67" s="390"/>
      <c r="KW67" s="390"/>
      <c r="KX67" s="390"/>
      <c r="KY67" s="390"/>
      <c r="KZ67" s="390"/>
      <c r="LA67" s="390"/>
      <c r="LB67" s="390"/>
      <c r="LC67" s="390"/>
      <c r="LD67" s="390"/>
      <c r="LE67" s="390"/>
      <c r="LF67" s="390"/>
      <c r="LG67" s="390"/>
      <c r="LH67" s="390"/>
      <c r="LI67" s="390"/>
      <c r="LJ67" s="390"/>
      <c r="LK67" s="390"/>
      <c r="LL67" s="390"/>
      <c r="LM67" s="390"/>
      <c r="LN67" s="390"/>
      <c r="LO67" s="390"/>
      <c r="LP67" s="390"/>
      <c r="LQ67" s="390"/>
      <c r="LR67" s="390"/>
      <c r="LS67" s="390"/>
      <c r="LT67" s="390"/>
      <c r="LU67" s="390"/>
      <c r="LV67" s="390"/>
      <c r="LW67" s="390"/>
      <c r="LX67" s="390"/>
      <c r="LY67" s="390"/>
      <c r="LZ67" s="390"/>
      <c r="MA67" s="390"/>
      <c r="MB67" s="390"/>
      <c r="MC67" s="390"/>
      <c r="MD67" s="390"/>
      <c r="ME67" s="390"/>
      <c r="MF67" s="390"/>
      <c r="MG67" s="390"/>
      <c r="MH67" s="390"/>
      <c r="MI67" s="390"/>
      <c r="MJ67" s="390"/>
      <c r="MK67" s="390"/>
      <c r="ML67" s="390"/>
      <c r="MM67" s="390"/>
      <c r="MN67" s="390"/>
      <c r="MO67" s="390"/>
      <c r="MP67" s="390"/>
      <c r="MQ67" s="390"/>
      <c r="MR67" s="390"/>
      <c r="MS67" s="390"/>
      <c r="MT67" s="390"/>
      <c r="MU67" s="390"/>
      <c r="MV67" s="390"/>
      <c r="MW67" s="390"/>
      <c r="MX67" s="390"/>
      <c r="MY67" s="390"/>
      <c r="MZ67" s="390"/>
      <c r="NA67" s="390"/>
      <c r="NB67" s="390"/>
      <c r="NC67" s="390"/>
      <c r="ND67" s="390"/>
      <c r="NE67" s="390"/>
      <c r="NF67" s="390"/>
      <c r="NG67" s="390"/>
      <c r="NH67" s="390"/>
      <c r="NI67" s="390"/>
      <c r="NJ67" s="390"/>
      <c r="NK67" s="390"/>
      <c r="NL67" s="390"/>
      <c r="NM67" s="390"/>
      <c r="NN67" s="390"/>
      <c r="NO67" s="390"/>
      <c r="NP67" s="390"/>
      <c r="NQ67" s="390"/>
      <c r="NR67" s="390"/>
      <c r="NS67" s="390"/>
      <c r="NT67" s="390"/>
      <c r="NU67" s="390"/>
      <c r="NV67" s="390"/>
      <c r="NW67" s="390"/>
      <c r="NX67" s="390"/>
      <c r="NY67" s="390"/>
      <c r="NZ67" s="390"/>
      <c r="OA67" s="390"/>
      <c r="OB67" s="390"/>
      <c r="OC67" s="390"/>
      <c r="OD67" s="390"/>
      <c r="OE67" s="390"/>
      <c r="OF67" s="390"/>
      <c r="OG67" s="390"/>
      <c r="OH67" s="390"/>
      <c r="OI67" s="390"/>
      <c r="OJ67" s="390"/>
      <c r="OK67" s="390"/>
      <c r="OL67" s="390"/>
      <c r="OM67" s="390"/>
      <c r="ON67" s="390"/>
      <c r="OO67" s="390"/>
      <c r="OP67" s="390"/>
      <c r="OQ67" s="390"/>
      <c r="OR67" s="390"/>
      <c r="OS67" s="390"/>
      <c r="OT67" s="390"/>
      <c r="OU67" s="390"/>
      <c r="OV67" s="390"/>
      <c r="OW67" s="390"/>
      <c r="OX67" s="390"/>
      <c r="OY67" s="390"/>
      <c r="OZ67" s="390"/>
      <c r="PA67" s="390"/>
      <c r="PB67" s="390"/>
      <c r="PC67" s="390"/>
      <c r="PD67" s="390"/>
      <c r="PE67" s="390"/>
      <c r="PF67" s="390"/>
      <c r="PG67" s="390"/>
      <c r="PH67" s="390"/>
      <c r="PI67" s="390"/>
      <c r="PJ67" s="390"/>
      <c r="PK67" s="390"/>
      <c r="PL67" s="390"/>
      <c r="PM67" s="390"/>
      <c r="PN67" s="390"/>
      <c r="PO67" s="390"/>
      <c r="PP67" s="390"/>
      <c r="PQ67" s="390"/>
      <c r="PR67" s="390"/>
      <c r="PS67" s="390"/>
      <c r="PT67" s="390"/>
      <c r="PU67" s="390"/>
      <c r="PV67" s="390"/>
      <c r="PW67" s="390"/>
      <c r="PX67" s="390"/>
      <c r="PY67" s="390"/>
      <c r="PZ67" s="390"/>
      <c r="QA67" s="390"/>
      <c r="QB67" s="390"/>
      <c r="QC67" s="390"/>
      <c r="QD67" s="390"/>
      <c r="QE67" s="390"/>
      <c r="QF67" s="390"/>
      <c r="QG67" s="390"/>
      <c r="QH67" s="390"/>
      <c r="QI67" s="390"/>
      <c r="QJ67" s="390"/>
      <c r="QK67" s="390"/>
      <c r="QL67" s="390"/>
      <c r="QM67" s="390"/>
      <c r="QN67" s="390"/>
      <c r="QO67" s="390"/>
      <c r="QP67" s="390"/>
      <c r="QQ67" s="390"/>
      <c r="QR67" s="390"/>
      <c r="QS67" s="390"/>
      <c r="QT67" s="390"/>
      <c r="QU67" s="390"/>
      <c r="QV67" s="390"/>
      <c r="QW67" s="390"/>
      <c r="QX67" s="390"/>
      <c r="QY67" s="390"/>
      <c r="QZ67" s="390"/>
      <c r="RA67" s="390"/>
      <c r="RB67" s="390"/>
      <c r="RC67" s="390"/>
      <c r="RD67" s="390"/>
      <c r="RE67" s="390"/>
      <c r="RF67" s="390"/>
      <c r="RG67" s="390"/>
      <c r="RH67" s="390"/>
      <c r="RI67" s="390"/>
      <c r="RJ67" s="390"/>
      <c r="RK67" s="390"/>
      <c r="RL67" s="390"/>
      <c r="RM67" s="390"/>
      <c r="RN67" s="390"/>
      <c r="RO67" s="390"/>
      <c r="RP67" s="390"/>
      <c r="RQ67" s="390"/>
      <c r="RR67" s="390"/>
      <c r="RS67" s="390"/>
      <c r="RT67" s="390"/>
      <c r="RU67" s="390"/>
      <c r="RV67" s="390"/>
      <c r="RW67" s="390"/>
      <c r="RX67" s="390"/>
      <c r="RY67" s="390"/>
      <c r="RZ67" s="390"/>
      <c r="SA67" s="390"/>
      <c r="SB67" s="390"/>
      <c r="SC67" s="390"/>
      <c r="SD67" s="390"/>
      <c r="SE67" s="390"/>
      <c r="SF67" s="390"/>
      <c r="SG67" s="390"/>
      <c r="SH67" s="390"/>
      <c r="SI67" s="390"/>
      <c r="SJ67" s="390"/>
      <c r="SK67" s="390"/>
      <c r="SL67" s="390"/>
      <c r="SM67" s="390"/>
      <c r="SN67" s="390"/>
      <c r="SO67" s="390"/>
      <c r="SP67" s="390"/>
      <c r="SQ67" s="390"/>
      <c r="SR67" s="390"/>
      <c r="SS67" s="390"/>
      <c r="ST67" s="390"/>
      <c r="SU67" s="390"/>
      <c r="SV67" s="390"/>
      <c r="SW67" s="390"/>
      <c r="SX67" s="390"/>
      <c r="SY67" s="390"/>
      <c r="SZ67" s="390"/>
      <c r="TA67" s="390"/>
      <c r="TB67" s="390"/>
      <c r="TC67" s="390"/>
      <c r="TD67" s="390"/>
      <c r="TE67" s="390"/>
      <c r="TF67" s="390"/>
      <c r="TG67" s="390"/>
      <c r="TH67" s="390"/>
      <c r="TI67" s="390"/>
      <c r="TJ67" s="390"/>
      <c r="TK67" s="390"/>
      <c r="TL67" s="390"/>
      <c r="TM67" s="390"/>
      <c r="TN67" s="390"/>
      <c r="TO67" s="390"/>
      <c r="TP67" s="390"/>
      <c r="TQ67" s="390"/>
      <c r="TR67" s="390"/>
      <c r="TS67" s="390"/>
      <c r="TT67" s="390"/>
      <c r="TU67" s="390"/>
      <c r="TV67" s="390"/>
      <c r="TW67" s="390"/>
      <c r="TX67" s="390"/>
      <c r="TY67" s="390"/>
      <c r="TZ67" s="390"/>
      <c r="UA67" s="390"/>
      <c r="UB67" s="390"/>
      <c r="UC67" s="390"/>
      <c r="UD67" s="390"/>
      <c r="UE67" s="390"/>
      <c r="UF67" s="390"/>
      <c r="UG67" s="390"/>
      <c r="UH67" s="390"/>
      <c r="UI67" s="390"/>
      <c r="UJ67" s="390"/>
      <c r="UK67" s="390"/>
      <c r="UL67" s="390"/>
      <c r="UM67" s="390"/>
      <c r="UN67" s="390"/>
      <c r="UO67" s="390"/>
      <c r="UP67" s="390"/>
      <c r="UQ67" s="390"/>
      <c r="UR67" s="390"/>
      <c r="US67" s="390"/>
      <c r="UT67" s="390"/>
      <c r="UU67" s="390"/>
      <c r="UV67" s="390"/>
      <c r="UW67" s="390"/>
      <c r="UX67" s="390"/>
      <c r="UY67" s="390"/>
      <c r="UZ67" s="390"/>
      <c r="VA67" s="390"/>
      <c r="VB67" s="390"/>
      <c r="VC67" s="390"/>
      <c r="VD67" s="390"/>
      <c r="VE67" s="390"/>
      <c r="VF67" s="390"/>
      <c r="VG67" s="390"/>
      <c r="VH67" s="390"/>
      <c r="VI67" s="390"/>
      <c r="VJ67" s="390"/>
      <c r="VK67" s="390"/>
      <c r="VL67" s="390"/>
      <c r="VM67" s="390"/>
      <c r="VN67" s="390"/>
      <c r="VO67" s="390"/>
      <c r="VP67" s="390"/>
      <c r="VQ67" s="390"/>
      <c r="VR67" s="390"/>
      <c r="VS67" s="390"/>
      <c r="VT67" s="390"/>
      <c r="VU67" s="390"/>
      <c r="VV67" s="390"/>
      <c r="VW67" s="390"/>
      <c r="VX67" s="390"/>
      <c r="VY67" s="390"/>
      <c r="VZ67" s="390"/>
      <c r="WA67" s="390"/>
      <c r="WB67" s="390"/>
      <c r="WC67" s="390"/>
      <c r="WD67" s="390"/>
      <c r="WE67" s="390"/>
      <c r="WF67" s="390"/>
      <c r="WG67" s="390"/>
      <c r="WH67" s="390"/>
      <c r="WI67" s="390"/>
      <c r="WJ67" s="390"/>
      <c r="WK67" s="390"/>
      <c r="WL67" s="390"/>
      <c r="WM67" s="390"/>
      <c r="WN67" s="390"/>
      <c r="WO67" s="390"/>
      <c r="WP67" s="390"/>
      <c r="WQ67" s="390"/>
      <c r="WR67" s="390"/>
      <c r="WS67" s="390"/>
      <c r="WT67" s="390"/>
      <c r="WU67" s="390"/>
      <c r="WV67" s="390"/>
      <c r="WW67" s="390"/>
      <c r="WX67" s="390"/>
      <c r="WY67" s="390"/>
      <c r="WZ67" s="390"/>
      <c r="XA67" s="390"/>
      <c r="XB67" s="390"/>
      <c r="XC67" s="390"/>
      <c r="XD67" s="390"/>
      <c r="XE67" s="390"/>
      <c r="XF67" s="390"/>
      <c r="XG67" s="390"/>
      <c r="XH67" s="390"/>
      <c r="XI67" s="390"/>
      <c r="XJ67" s="390"/>
      <c r="XK67" s="390"/>
      <c r="XL67" s="390"/>
      <c r="XM67" s="390"/>
      <c r="XN67" s="390"/>
      <c r="XO67" s="390"/>
      <c r="XP67" s="390"/>
      <c r="XQ67" s="390"/>
      <c r="XR67" s="390"/>
      <c r="XS67" s="390"/>
      <c r="XT67" s="390"/>
      <c r="XU67" s="390"/>
      <c r="XV67" s="390"/>
      <c r="XW67" s="390"/>
      <c r="XX67" s="390"/>
      <c r="XY67" s="390"/>
      <c r="XZ67" s="390"/>
      <c r="YA67" s="390"/>
      <c r="YB67" s="390"/>
      <c r="YC67" s="390"/>
      <c r="YD67" s="390"/>
      <c r="YE67" s="390"/>
      <c r="YF67" s="390"/>
      <c r="YG67" s="390"/>
      <c r="YH67" s="390"/>
      <c r="YI67" s="390"/>
      <c r="YJ67" s="390"/>
      <c r="YK67" s="390"/>
      <c r="YL67" s="390"/>
      <c r="YM67" s="390"/>
      <c r="YN67" s="390"/>
      <c r="YO67" s="390"/>
      <c r="YP67" s="390"/>
      <c r="YQ67" s="390"/>
      <c r="YR67" s="390"/>
      <c r="YS67" s="390"/>
      <c r="YT67" s="390"/>
      <c r="YU67" s="390"/>
      <c r="YV67" s="390"/>
      <c r="YW67" s="390"/>
      <c r="YX67" s="390"/>
      <c r="YY67" s="390"/>
      <c r="YZ67" s="390"/>
      <c r="ZA67" s="390"/>
      <c r="ZB67" s="390"/>
      <c r="ZC67" s="390"/>
      <c r="ZD67" s="390"/>
      <c r="ZE67" s="390"/>
      <c r="ZF67" s="390"/>
      <c r="ZG67" s="390"/>
      <c r="ZH67" s="390"/>
      <c r="ZI67" s="390"/>
      <c r="ZJ67" s="390"/>
      <c r="ZK67" s="390"/>
      <c r="ZL67" s="390"/>
      <c r="ZM67" s="390"/>
      <c r="ZN67" s="390"/>
      <c r="ZO67" s="390"/>
      <c r="ZP67" s="390"/>
      <c r="ZQ67" s="390"/>
      <c r="ZR67" s="390"/>
      <c r="ZS67" s="390"/>
      <c r="ZT67" s="390"/>
      <c r="ZU67" s="390"/>
      <c r="ZV67" s="390"/>
      <c r="ZW67" s="390"/>
      <c r="ZX67" s="390"/>
      <c r="ZY67" s="390"/>
      <c r="ZZ67" s="390"/>
      <c r="AAA67" s="390"/>
      <c r="AAB67" s="390"/>
      <c r="AAC67" s="390"/>
      <c r="AAD67" s="390"/>
      <c r="AAE67" s="390"/>
      <c r="AAF67" s="390"/>
      <c r="AAG67" s="390"/>
      <c r="AAH67" s="390"/>
      <c r="AAI67" s="390"/>
      <c r="AAJ67" s="390"/>
      <c r="AAK67" s="390"/>
      <c r="AAL67" s="390"/>
      <c r="AAM67" s="390"/>
      <c r="AAN67" s="390"/>
      <c r="AAO67" s="390"/>
      <c r="AAP67" s="390"/>
      <c r="AAQ67" s="390"/>
      <c r="AAR67" s="390"/>
      <c r="AAS67" s="390"/>
      <c r="AAT67" s="390"/>
      <c r="AAU67" s="390"/>
      <c r="AAV67" s="390"/>
      <c r="AAW67" s="390"/>
      <c r="AAX67" s="390"/>
      <c r="AAY67" s="390"/>
      <c r="AAZ67" s="390"/>
      <c r="ABA67" s="390"/>
      <c r="ABB67" s="390"/>
      <c r="ABC67" s="390"/>
      <c r="ABD67" s="390"/>
      <c r="ABE67" s="390"/>
      <c r="ABF67" s="390"/>
      <c r="ABG67" s="390"/>
      <c r="ABH67" s="390"/>
      <c r="ABI67" s="390"/>
      <c r="ABJ67" s="390"/>
      <c r="ABK67" s="390"/>
      <c r="ABL67" s="390"/>
      <c r="ABM67" s="390"/>
      <c r="ABN67" s="390"/>
      <c r="ABO67" s="390"/>
      <c r="ABP67" s="390"/>
      <c r="ABQ67" s="390"/>
      <c r="ABR67" s="390"/>
      <c r="ABS67" s="390"/>
      <c r="ABT67" s="390"/>
      <c r="ABU67" s="390"/>
      <c r="ABV67" s="390"/>
      <c r="ABW67" s="390"/>
      <c r="ABX67" s="390"/>
      <c r="ABY67" s="390"/>
      <c r="ABZ67" s="390"/>
      <c r="ACA67" s="390"/>
      <c r="ACB67" s="390"/>
      <c r="ACC67" s="390"/>
      <c r="ACD67" s="390"/>
      <c r="ACE67" s="390"/>
      <c r="ACF67" s="390"/>
      <c r="ACG67" s="390"/>
      <c r="ACH67" s="390"/>
      <c r="ACI67" s="390"/>
    </row>
    <row r="68" spans="1:763" ht="13.95" customHeight="1" x14ac:dyDescent="0.3">
      <c r="A68" s="409"/>
      <c r="B68" s="409"/>
      <c r="C68" s="409"/>
      <c r="D68" s="409"/>
      <c r="E68" s="409"/>
      <c r="F68" s="409"/>
      <c r="G68" s="409"/>
      <c r="H68" s="410"/>
      <c r="I68" s="390"/>
      <c r="J68" s="390"/>
      <c r="K68" s="390"/>
      <c r="L68" s="390"/>
      <c r="M68" s="390"/>
      <c r="N68" s="390"/>
      <c r="O68" s="390"/>
      <c r="P68" s="390"/>
      <c r="Q68" s="390"/>
      <c r="R68" s="390"/>
      <c r="S68" s="390"/>
      <c r="T68" s="390"/>
      <c r="U68" s="390"/>
      <c r="V68" s="390"/>
      <c r="W68" s="390"/>
      <c r="X68" s="390"/>
      <c r="Y68" s="390"/>
      <c r="Z68" s="390"/>
      <c r="AA68" s="390"/>
      <c r="AB68" s="390"/>
      <c r="AC68" s="390"/>
      <c r="AD68" s="390"/>
      <c r="AE68" s="390"/>
      <c r="AF68" s="390"/>
      <c r="AG68" s="390"/>
      <c r="AH68" s="390"/>
      <c r="AI68" s="390"/>
      <c r="AJ68" s="390"/>
      <c r="AK68" s="390"/>
      <c r="AL68" s="390"/>
      <c r="AM68" s="390"/>
      <c r="AN68" s="390"/>
      <c r="AO68" s="390"/>
      <c r="AP68" s="390"/>
      <c r="AQ68" s="390"/>
      <c r="AR68" s="390"/>
      <c r="AS68" s="390"/>
      <c r="AT68" s="390"/>
      <c r="AU68" s="390"/>
      <c r="AV68" s="390"/>
      <c r="AW68" s="390"/>
      <c r="AX68" s="390"/>
      <c r="AY68" s="390"/>
      <c r="AZ68" s="390"/>
      <c r="BA68" s="390"/>
      <c r="BB68" s="390"/>
      <c r="BC68" s="390"/>
      <c r="BD68" s="390"/>
      <c r="BE68" s="390"/>
      <c r="BF68" s="390"/>
      <c r="BG68" s="390"/>
      <c r="BH68" s="390"/>
      <c r="BI68" s="390"/>
      <c r="BJ68" s="390"/>
      <c r="BK68" s="390"/>
      <c r="BL68" s="390"/>
      <c r="BM68" s="390"/>
      <c r="BN68" s="390"/>
      <c r="BO68" s="390"/>
      <c r="BP68" s="390"/>
      <c r="BQ68" s="390"/>
      <c r="BR68" s="390"/>
      <c r="BS68" s="390"/>
      <c r="BT68" s="390"/>
      <c r="BU68" s="390"/>
      <c r="BV68" s="390"/>
      <c r="BW68" s="390"/>
      <c r="BX68" s="390"/>
      <c r="BY68" s="390"/>
      <c r="BZ68" s="390"/>
      <c r="CA68" s="390"/>
      <c r="CB68" s="390"/>
      <c r="CC68" s="390"/>
      <c r="CD68" s="390"/>
      <c r="CE68" s="390"/>
      <c r="CF68" s="390"/>
      <c r="CG68" s="390"/>
      <c r="CH68" s="390"/>
      <c r="CI68" s="390"/>
      <c r="CJ68" s="390"/>
      <c r="CK68" s="390"/>
      <c r="CL68" s="390"/>
      <c r="CM68" s="390"/>
      <c r="CN68" s="390"/>
      <c r="CO68" s="390"/>
      <c r="CP68" s="390"/>
      <c r="CQ68" s="390"/>
      <c r="CR68" s="390"/>
      <c r="CS68" s="390"/>
      <c r="CT68" s="390"/>
      <c r="CU68" s="390"/>
      <c r="CV68" s="390"/>
      <c r="CW68" s="390"/>
      <c r="CX68" s="390"/>
      <c r="CY68" s="390"/>
      <c r="CZ68" s="390"/>
      <c r="DA68" s="390"/>
      <c r="DB68" s="390"/>
      <c r="DC68" s="390"/>
      <c r="DD68" s="390"/>
      <c r="DE68" s="390"/>
      <c r="DF68" s="390"/>
      <c r="DG68" s="390"/>
      <c r="DH68" s="390"/>
      <c r="DI68" s="390"/>
      <c r="DJ68" s="390"/>
      <c r="DK68" s="390"/>
      <c r="DL68" s="390"/>
      <c r="DM68" s="390"/>
      <c r="DN68" s="390"/>
      <c r="DO68" s="390"/>
      <c r="DP68" s="390"/>
      <c r="DQ68" s="390"/>
      <c r="DR68" s="390"/>
      <c r="DS68" s="390"/>
      <c r="DT68" s="390"/>
      <c r="DU68" s="390"/>
      <c r="DV68" s="390"/>
      <c r="DW68" s="390"/>
      <c r="DX68" s="390"/>
      <c r="DY68" s="390"/>
      <c r="DZ68" s="390"/>
      <c r="EA68" s="390"/>
      <c r="EB68" s="390"/>
      <c r="EC68" s="390"/>
      <c r="ED68" s="390"/>
      <c r="EE68" s="390"/>
      <c r="EF68" s="390"/>
      <c r="EG68" s="390"/>
      <c r="EH68" s="390"/>
      <c r="EI68" s="390"/>
      <c r="EJ68" s="390"/>
      <c r="EK68" s="390"/>
      <c r="EL68" s="390"/>
      <c r="EM68" s="390"/>
      <c r="EN68" s="390"/>
      <c r="EO68" s="390"/>
      <c r="EP68" s="390"/>
      <c r="EQ68" s="390"/>
      <c r="ER68" s="390"/>
      <c r="ES68" s="390"/>
      <c r="ET68" s="390"/>
      <c r="EU68" s="390"/>
      <c r="EV68" s="390"/>
      <c r="EW68" s="390"/>
      <c r="EX68" s="390"/>
      <c r="EY68" s="390"/>
      <c r="EZ68" s="390"/>
      <c r="FA68" s="390"/>
      <c r="FB68" s="390"/>
      <c r="FC68" s="390"/>
      <c r="FD68" s="390"/>
      <c r="FE68" s="390"/>
      <c r="FF68" s="390"/>
      <c r="FG68" s="390"/>
      <c r="FH68" s="390"/>
      <c r="FI68" s="390"/>
      <c r="FJ68" s="390"/>
      <c r="FK68" s="390"/>
      <c r="FL68" s="390"/>
      <c r="FM68" s="390"/>
      <c r="FN68" s="390"/>
      <c r="FO68" s="390"/>
      <c r="FP68" s="390"/>
      <c r="FQ68" s="390"/>
      <c r="FR68" s="390"/>
      <c r="FS68" s="390"/>
      <c r="FT68" s="390"/>
      <c r="FU68" s="390"/>
      <c r="FV68" s="390"/>
      <c r="FW68" s="390"/>
      <c r="FX68" s="390"/>
      <c r="FY68" s="390"/>
      <c r="FZ68" s="390"/>
      <c r="GA68" s="390"/>
      <c r="GB68" s="390"/>
      <c r="GC68" s="390"/>
      <c r="GD68" s="390"/>
      <c r="GE68" s="390"/>
      <c r="GF68" s="390"/>
      <c r="GG68" s="390"/>
      <c r="GH68" s="390"/>
      <c r="GI68" s="390"/>
      <c r="GJ68" s="390"/>
      <c r="GK68" s="390"/>
      <c r="GL68" s="390"/>
      <c r="GM68" s="390"/>
      <c r="GN68" s="390"/>
      <c r="GO68" s="390"/>
      <c r="GP68" s="390"/>
      <c r="GQ68" s="390"/>
      <c r="GR68" s="390"/>
      <c r="GS68" s="390"/>
      <c r="GT68" s="390"/>
      <c r="GU68" s="390"/>
      <c r="GV68" s="390"/>
      <c r="GW68" s="390"/>
      <c r="GX68" s="390"/>
      <c r="GY68" s="390"/>
      <c r="GZ68" s="390"/>
      <c r="HA68" s="390"/>
      <c r="HB68" s="390"/>
      <c r="HC68" s="390"/>
      <c r="HD68" s="390"/>
      <c r="HE68" s="390"/>
      <c r="HF68" s="390"/>
      <c r="HG68" s="390"/>
      <c r="HH68" s="390"/>
      <c r="HI68" s="390"/>
      <c r="HJ68" s="390"/>
      <c r="HK68" s="390"/>
      <c r="HL68" s="390"/>
      <c r="HM68" s="390"/>
      <c r="HN68" s="390"/>
      <c r="HO68" s="390"/>
      <c r="HP68" s="390"/>
      <c r="HQ68" s="390"/>
      <c r="HR68" s="390"/>
      <c r="HS68" s="390"/>
      <c r="HT68" s="390"/>
      <c r="HU68" s="390"/>
      <c r="HV68" s="390"/>
      <c r="HW68" s="390"/>
      <c r="HX68" s="390"/>
      <c r="HY68" s="390"/>
      <c r="HZ68" s="390"/>
      <c r="IA68" s="390"/>
      <c r="IB68" s="390"/>
      <c r="IC68" s="390"/>
      <c r="ID68" s="390"/>
      <c r="IE68" s="390"/>
      <c r="IF68" s="390"/>
      <c r="IG68" s="390"/>
      <c r="IH68" s="390"/>
      <c r="II68" s="390"/>
      <c r="IJ68" s="390"/>
      <c r="IK68" s="390"/>
      <c r="IL68" s="390"/>
      <c r="IM68" s="390"/>
      <c r="IN68" s="390"/>
      <c r="IO68" s="390"/>
      <c r="IP68" s="390"/>
      <c r="IQ68" s="390"/>
      <c r="IR68" s="390"/>
      <c r="IS68" s="390"/>
      <c r="IT68" s="390"/>
      <c r="IU68" s="390"/>
      <c r="IV68" s="390"/>
      <c r="IW68" s="390"/>
      <c r="IX68" s="390"/>
      <c r="IY68" s="390"/>
      <c r="IZ68" s="390"/>
      <c r="JA68" s="390"/>
      <c r="JB68" s="390"/>
      <c r="JC68" s="390"/>
      <c r="JD68" s="390"/>
      <c r="JE68" s="390"/>
      <c r="JF68" s="390"/>
      <c r="JG68" s="390"/>
      <c r="JH68" s="390"/>
      <c r="JI68" s="390"/>
      <c r="JJ68" s="390"/>
      <c r="JK68" s="390"/>
      <c r="JL68" s="390"/>
      <c r="JM68" s="390"/>
      <c r="JN68" s="390"/>
      <c r="JO68" s="390"/>
      <c r="JP68" s="390"/>
      <c r="JQ68" s="390"/>
      <c r="JR68" s="390"/>
      <c r="JS68" s="390"/>
      <c r="JT68" s="390"/>
      <c r="JU68" s="390"/>
      <c r="JV68" s="390"/>
      <c r="JW68" s="390"/>
      <c r="JX68" s="390"/>
      <c r="JY68" s="390"/>
      <c r="JZ68" s="390"/>
      <c r="KA68" s="390"/>
      <c r="KB68" s="390"/>
      <c r="KC68" s="390"/>
      <c r="KD68" s="390"/>
      <c r="KE68" s="390"/>
      <c r="KF68" s="390"/>
      <c r="KG68" s="390"/>
      <c r="KH68" s="390"/>
      <c r="KI68" s="390"/>
      <c r="KJ68" s="390"/>
      <c r="KK68" s="390"/>
      <c r="KL68" s="390"/>
      <c r="KM68" s="390"/>
      <c r="KN68" s="390"/>
      <c r="KO68" s="390"/>
      <c r="KP68" s="390"/>
      <c r="KQ68" s="390"/>
      <c r="KR68" s="390"/>
      <c r="KS68" s="390"/>
      <c r="KT68" s="390"/>
      <c r="KU68" s="390"/>
      <c r="KV68" s="390"/>
      <c r="KW68" s="390"/>
      <c r="KX68" s="390"/>
      <c r="KY68" s="390"/>
      <c r="KZ68" s="390"/>
      <c r="LA68" s="390"/>
      <c r="LB68" s="390"/>
      <c r="LC68" s="390"/>
      <c r="LD68" s="390"/>
      <c r="LE68" s="390"/>
      <c r="LF68" s="390"/>
      <c r="LG68" s="390"/>
      <c r="LH68" s="390"/>
      <c r="LI68" s="390"/>
      <c r="LJ68" s="390"/>
      <c r="LK68" s="390"/>
      <c r="LL68" s="390"/>
      <c r="LM68" s="390"/>
      <c r="LN68" s="390"/>
      <c r="LO68" s="390"/>
      <c r="LP68" s="390"/>
      <c r="LQ68" s="390"/>
      <c r="LR68" s="390"/>
      <c r="LS68" s="390"/>
      <c r="LT68" s="390"/>
      <c r="LU68" s="390"/>
      <c r="LV68" s="390"/>
      <c r="LW68" s="390"/>
      <c r="LX68" s="390"/>
      <c r="LY68" s="390"/>
      <c r="LZ68" s="390"/>
      <c r="MA68" s="390"/>
      <c r="MB68" s="390"/>
      <c r="MC68" s="390"/>
      <c r="MD68" s="390"/>
      <c r="ME68" s="390"/>
      <c r="MF68" s="390"/>
      <c r="MG68" s="390"/>
      <c r="MH68" s="390"/>
      <c r="MI68" s="390"/>
      <c r="MJ68" s="390"/>
      <c r="MK68" s="390"/>
      <c r="ML68" s="390"/>
      <c r="MM68" s="390"/>
      <c r="MN68" s="390"/>
      <c r="MO68" s="390"/>
      <c r="MP68" s="390"/>
      <c r="MQ68" s="390"/>
      <c r="MR68" s="390"/>
      <c r="MS68" s="390"/>
      <c r="MT68" s="390"/>
      <c r="MU68" s="390"/>
      <c r="MV68" s="390"/>
      <c r="MW68" s="390"/>
      <c r="MX68" s="390"/>
      <c r="MY68" s="390"/>
      <c r="MZ68" s="390"/>
      <c r="NA68" s="390"/>
      <c r="NB68" s="390"/>
      <c r="NC68" s="390"/>
      <c r="ND68" s="390"/>
      <c r="NE68" s="390"/>
      <c r="NF68" s="390"/>
      <c r="NG68" s="390"/>
      <c r="NH68" s="390"/>
      <c r="NI68" s="390"/>
      <c r="NJ68" s="390"/>
      <c r="NK68" s="390"/>
      <c r="NL68" s="390"/>
      <c r="NM68" s="390"/>
      <c r="NN68" s="390"/>
      <c r="NO68" s="390"/>
      <c r="NP68" s="390"/>
      <c r="NQ68" s="390"/>
      <c r="NR68" s="390"/>
      <c r="NS68" s="390"/>
      <c r="NT68" s="390"/>
      <c r="NU68" s="390"/>
      <c r="NV68" s="390"/>
      <c r="NW68" s="390"/>
      <c r="NX68" s="390"/>
      <c r="NY68" s="390"/>
      <c r="NZ68" s="390"/>
      <c r="OA68" s="390"/>
      <c r="OB68" s="390"/>
      <c r="OC68" s="390"/>
      <c r="OD68" s="390"/>
      <c r="OE68" s="390"/>
      <c r="OF68" s="390"/>
      <c r="OG68" s="390"/>
      <c r="OH68" s="390"/>
      <c r="OI68" s="390"/>
      <c r="OJ68" s="390"/>
      <c r="OK68" s="390"/>
      <c r="OL68" s="390"/>
      <c r="OM68" s="390"/>
      <c r="ON68" s="390"/>
      <c r="OO68" s="390"/>
      <c r="OP68" s="390"/>
      <c r="OQ68" s="390"/>
      <c r="OR68" s="390"/>
      <c r="OS68" s="390"/>
      <c r="OT68" s="390"/>
      <c r="OU68" s="390"/>
      <c r="OV68" s="390"/>
      <c r="OW68" s="390"/>
      <c r="OX68" s="390"/>
      <c r="OY68" s="390"/>
      <c r="OZ68" s="390"/>
      <c r="PA68" s="390"/>
      <c r="PB68" s="390"/>
      <c r="PC68" s="390"/>
      <c r="PD68" s="390"/>
      <c r="PE68" s="390"/>
      <c r="PF68" s="390"/>
      <c r="PG68" s="390"/>
      <c r="PH68" s="390"/>
      <c r="PI68" s="390"/>
      <c r="PJ68" s="390"/>
      <c r="PK68" s="390"/>
      <c r="PL68" s="390"/>
      <c r="PM68" s="390"/>
      <c r="PN68" s="390"/>
      <c r="PO68" s="390"/>
      <c r="PP68" s="390"/>
      <c r="PQ68" s="390"/>
      <c r="PR68" s="390"/>
      <c r="PS68" s="390"/>
      <c r="PT68" s="390"/>
      <c r="PU68" s="390"/>
      <c r="PV68" s="390"/>
      <c r="PW68" s="390"/>
      <c r="PX68" s="390"/>
      <c r="PY68" s="390"/>
      <c r="PZ68" s="390"/>
      <c r="QA68" s="390"/>
      <c r="QB68" s="390"/>
      <c r="QC68" s="390"/>
      <c r="QD68" s="390"/>
      <c r="QE68" s="390"/>
      <c r="QF68" s="390"/>
      <c r="QG68" s="390"/>
      <c r="QH68" s="390"/>
      <c r="QI68" s="390"/>
      <c r="QJ68" s="390"/>
      <c r="QK68" s="390"/>
      <c r="QL68" s="390"/>
      <c r="QM68" s="390"/>
      <c r="QN68" s="390"/>
      <c r="QO68" s="390"/>
      <c r="QP68" s="390"/>
      <c r="QQ68" s="390"/>
      <c r="QR68" s="390"/>
      <c r="QS68" s="390"/>
      <c r="QT68" s="390"/>
      <c r="QU68" s="390"/>
      <c r="QV68" s="390"/>
      <c r="QW68" s="390"/>
      <c r="QX68" s="390"/>
      <c r="QY68" s="390"/>
      <c r="QZ68" s="390"/>
      <c r="RA68" s="390"/>
      <c r="RB68" s="390"/>
      <c r="RC68" s="390"/>
      <c r="RD68" s="390"/>
      <c r="RE68" s="390"/>
      <c r="RF68" s="390"/>
      <c r="RG68" s="390"/>
      <c r="RH68" s="390"/>
      <c r="RI68" s="390"/>
      <c r="RJ68" s="390"/>
      <c r="RK68" s="390"/>
      <c r="RL68" s="390"/>
      <c r="RM68" s="390"/>
      <c r="RN68" s="390"/>
      <c r="RO68" s="390"/>
      <c r="RP68" s="390"/>
      <c r="RQ68" s="390"/>
      <c r="RR68" s="390"/>
      <c r="RS68" s="390"/>
      <c r="RT68" s="390"/>
      <c r="RU68" s="390"/>
      <c r="RV68" s="390"/>
      <c r="RW68" s="390"/>
      <c r="RX68" s="390"/>
      <c r="RY68" s="390"/>
      <c r="RZ68" s="390"/>
      <c r="SA68" s="390"/>
      <c r="SB68" s="390"/>
      <c r="SC68" s="390"/>
      <c r="SD68" s="390"/>
      <c r="SE68" s="390"/>
      <c r="SF68" s="390"/>
      <c r="SG68" s="390"/>
      <c r="SH68" s="390"/>
      <c r="SI68" s="390"/>
      <c r="SJ68" s="390"/>
      <c r="SK68" s="390"/>
      <c r="SL68" s="390"/>
      <c r="SM68" s="390"/>
      <c r="SN68" s="390"/>
      <c r="SO68" s="390"/>
      <c r="SP68" s="390"/>
      <c r="SQ68" s="390"/>
      <c r="SR68" s="390"/>
      <c r="SS68" s="390"/>
      <c r="ST68" s="390"/>
      <c r="SU68" s="390"/>
      <c r="SV68" s="390"/>
      <c r="SW68" s="390"/>
      <c r="SX68" s="390"/>
      <c r="SY68" s="390"/>
      <c r="SZ68" s="390"/>
      <c r="TA68" s="390"/>
      <c r="TB68" s="390"/>
      <c r="TC68" s="390"/>
      <c r="TD68" s="390"/>
      <c r="TE68" s="390"/>
      <c r="TF68" s="390"/>
      <c r="TG68" s="390"/>
      <c r="TH68" s="390"/>
      <c r="TI68" s="390"/>
      <c r="TJ68" s="390"/>
      <c r="TK68" s="390"/>
      <c r="TL68" s="390"/>
      <c r="TM68" s="390"/>
      <c r="TN68" s="390"/>
      <c r="TO68" s="390"/>
      <c r="TP68" s="390"/>
      <c r="TQ68" s="390"/>
      <c r="TR68" s="390"/>
      <c r="TS68" s="390"/>
      <c r="TT68" s="390"/>
      <c r="TU68" s="390"/>
      <c r="TV68" s="390"/>
      <c r="TW68" s="390"/>
      <c r="TX68" s="390"/>
      <c r="TY68" s="390"/>
      <c r="TZ68" s="390"/>
      <c r="UA68" s="390"/>
      <c r="UB68" s="390"/>
      <c r="UC68" s="390"/>
      <c r="UD68" s="390"/>
      <c r="UE68" s="390"/>
      <c r="UF68" s="390"/>
      <c r="UG68" s="390"/>
      <c r="UH68" s="390"/>
      <c r="UI68" s="390"/>
      <c r="UJ68" s="390"/>
      <c r="UK68" s="390"/>
      <c r="UL68" s="390"/>
      <c r="UM68" s="390"/>
      <c r="UN68" s="390"/>
      <c r="UO68" s="390"/>
      <c r="UP68" s="390"/>
      <c r="UQ68" s="390"/>
      <c r="UR68" s="390"/>
      <c r="US68" s="390"/>
      <c r="UT68" s="390"/>
      <c r="UU68" s="390"/>
      <c r="UV68" s="390"/>
      <c r="UW68" s="390"/>
      <c r="UX68" s="390"/>
      <c r="UY68" s="390"/>
      <c r="UZ68" s="390"/>
      <c r="VA68" s="390"/>
      <c r="VB68" s="390"/>
      <c r="VC68" s="390"/>
      <c r="VD68" s="390"/>
      <c r="VE68" s="390"/>
      <c r="VF68" s="390"/>
      <c r="VG68" s="390"/>
      <c r="VH68" s="390"/>
      <c r="VI68" s="390"/>
      <c r="VJ68" s="390"/>
      <c r="VK68" s="390"/>
      <c r="VL68" s="390"/>
      <c r="VM68" s="390"/>
      <c r="VN68" s="390"/>
      <c r="VO68" s="390"/>
      <c r="VP68" s="390"/>
      <c r="VQ68" s="390"/>
      <c r="VR68" s="390"/>
      <c r="VS68" s="390"/>
      <c r="VT68" s="390"/>
      <c r="VU68" s="390"/>
      <c r="VV68" s="390"/>
      <c r="VW68" s="390"/>
      <c r="VX68" s="390"/>
      <c r="VY68" s="390"/>
      <c r="VZ68" s="390"/>
      <c r="WA68" s="390"/>
      <c r="WB68" s="390"/>
      <c r="WC68" s="390"/>
      <c r="WD68" s="390"/>
      <c r="WE68" s="390"/>
      <c r="WF68" s="390"/>
      <c r="WG68" s="390"/>
      <c r="WH68" s="390"/>
      <c r="WI68" s="390"/>
      <c r="WJ68" s="390"/>
      <c r="WK68" s="390"/>
      <c r="WL68" s="390"/>
      <c r="WM68" s="390"/>
      <c r="WN68" s="390"/>
      <c r="WO68" s="390"/>
      <c r="WP68" s="390"/>
      <c r="WQ68" s="390"/>
      <c r="WR68" s="390"/>
      <c r="WS68" s="390"/>
      <c r="WT68" s="390"/>
      <c r="WU68" s="390"/>
      <c r="WV68" s="390"/>
      <c r="WW68" s="390"/>
      <c r="WX68" s="390"/>
      <c r="WY68" s="390"/>
      <c r="WZ68" s="390"/>
      <c r="XA68" s="390"/>
      <c r="XB68" s="390"/>
      <c r="XC68" s="390"/>
      <c r="XD68" s="390"/>
      <c r="XE68" s="390"/>
      <c r="XF68" s="390"/>
      <c r="XG68" s="390"/>
      <c r="XH68" s="390"/>
      <c r="XI68" s="390"/>
      <c r="XJ68" s="390"/>
      <c r="XK68" s="390"/>
      <c r="XL68" s="390"/>
      <c r="XM68" s="390"/>
      <c r="XN68" s="390"/>
      <c r="XO68" s="390"/>
      <c r="XP68" s="390"/>
      <c r="XQ68" s="390"/>
      <c r="XR68" s="390"/>
      <c r="XS68" s="390"/>
      <c r="XT68" s="390"/>
      <c r="XU68" s="390"/>
      <c r="XV68" s="390"/>
      <c r="XW68" s="390"/>
      <c r="XX68" s="390"/>
      <c r="XY68" s="390"/>
      <c r="XZ68" s="390"/>
      <c r="YA68" s="390"/>
      <c r="YB68" s="390"/>
      <c r="YC68" s="390"/>
      <c r="YD68" s="390"/>
      <c r="YE68" s="390"/>
      <c r="YF68" s="390"/>
      <c r="YG68" s="390"/>
      <c r="YH68" s="390"/>
      <c r="YI68" s="390"/>
      <c r="YJ68" s="390"/>
      <c r="YK68" s="390"/>
      <c r="YL68" s="390"/>
      <c r="YM68" s="390"/>
      <c r="YN68" s="390"/>
      <c r="YO68" s="390"/>
      <c r="YP68" s="390"/>
      <c r="YQ68" s="390"/>
      <c r="YR68" s="390"/>
      <c r="YS68" s="390"/>
      <c r="YT68" s="390"/>
      <c r="YU68" s="390"/>
      <c r="YV68" s="390"/>
      <c r="YW68" s="390"/>
      <c r="YX68" s="390"/>
      <c r="YY68" s="390"/>
      <c r="YZ68" s="390"/>
      <c r="ZA68" s="390"/>
      <c r="ZB68" s="390"/>
      <c r="ZC68" s="390"/>
      <c r="ZD68" s="390"/>
      <c r="ZE68" s="390"/>
      <c r="ZF68" s="390"/>
      <c r="ZG68" s="390"/>
      <c r="ZH68" s="390"/>
      <c r="ZI68" s="390"/>
      <c r="ZJ68" s="390"/>
      <c r="ZK68" s="390"/>
      <c r="ZL68" s="390"/>
      <c r="ZM68" s="390"/>
      <c r="ZN68" s="390"/>
      <c r="ZO68" s="390"/>
      <c r="ZP68" s="390"/>
      <c r="ZQ68" s="390"/>
      <c r="ZR68" s="390"/>
      <c r="ZS68" s="390"/>
      <c r="ZT68" s="390"/>
      <c r="ZU68" s="390"/>
      <c r="ZV68" s="390"/>
      <c r="ZW68" s="390"/>
      <c r="ZX68" s="390"/>
      <c r="ZY68" s="390"/>
      <c r="ZZ68" s="390"/>
      <c r="AAA68" s="390"/>
      <c r="AAB68" s="390"/>
      <c r="AAC68" s="390"/>
      <c r="AAD68" s="390"/>
      <c r="AAE68" s="390"/>
      <c r="AAF68" s="390"/>
      <c r="AAG68" s="390"/>
      <c r="AAH68" s="390"/>
      <c r="AAI68" s="390"/>
      <c r="AAJ68" s="390"/>
      <c r="AAK68" s="390"/>
      <c r="AAL68" s="390"/>
      <c r="AAM68" s="390"/>
      <c r="AAN68" s="390"/>
      <c r="AAO68" s="390"/>
      <c r="AAP68" s="390"/>
      <c r="AAQ68" s="390"/>
      <c r="AAR68" s="390"/>
      <c r="AAS68" s="390"/>
      <c r="AAT68" s="390"/>
      <c r="AAU68" s="390"/>
      <c r="AAV68" s="390"/>
      <c r="AAW68" s="390"/>
      <c r="AAX68" s="390"/>
      <c r="AAY68" s="390"/>
      <c r="AAZ68" s="390"/>
      <c r="ABA68" s="390"/>
      <c r="ABB68" s="390"/>
      <c r="ABC68" s="390"/>
      <c r="ABD68" s="390"/>
      <c r="ABE68" s="390"/>
      <c r="ABF68" s="390"/>
      <c r="ABG68" s="390"/>
      <c r="ABH68" s="390"/>
      <c r="ABI68" s="390"/>
      <c r="ABJ68" s="390"/>
      <c r="ABK68" s="390"/>
      <c r="ABL68" s="390"/>
      <c r="ABM68" s="390"/>
      <c r="ABN68" s="390"/>
      <c r="ABO68" s="390"/>
      <c r="ABP68" s="390"/>
      <c r="ABQ68" s="390"/>
      <c r="ABR68" s="390"/>
      <c r="ABS68" s="390"/>
      <c r="ABT68" s="390"/>
      <c r="ABU68" s="390"/>
      <c r="ABV68" s="390"/>
      <c r="ABW68" s="390"/>
      <c r="ABX68" s="390"/>
      <c r="ABY68" s="390"/>
      <c r="ABZ68" s="390"/>
      <c r="ACA68" s="390"/>
      <c r="ACB68" s="390"/>
      <c r="ACC68" s="390"/>
      <c r="ACD68" s="390"/>
      <c r="ACE68" s="390"/>
      <c r="ACF68" s="390"/>
      <c r="ACG68" s="390"/>
      <c r="ACH68" s="390"/>
      <c r="ACI68" s="390"/>
    </row>
    <row r="69" spans="1:763" ht="13.95" customHeight="1" x14ac:dyDescent="0.3">
      <c r="A69" s="390" t="str">
        <f>Проект!$A$376</f>
        <v>Бухгалтер</v>
      </c>
      <c r="B69" s="352"/>
      <c r="C69" s="402"/>
      <c r="D69" s="411"/>
      <c r="E69" s="411"/>
      <c r="F69" s="411"/>
      <c r="G69" s="411"/>
      <c r="H69" s="396"/>
      <c r="I69" s="390"/>
      <c r="J69" s="390"/>
      <c r="K69" s="390"/>
      <c r="L69" s="390"/>
      <c r="M69" s="390"/>
      <c r="N69" s="390"/>
      <c r="O69" s="390"/>
      <c r="P69" s="390"/>
      <c r="Q69" s="390"/>
      <c r="R69" s="390"/>
      <c r="S69" s="390"/>
      <c r="T69" s="390"/>
      <c r="U69" s="390"/>
      <c r="V69" s="390"/>
      <c r="W69" s="390"/>
      <c r="X69" s="390"/>
      <c r="Y69" s="390"/>
      <c r="Z69" s="390"/>
      <c r="AA69" s="390"/>
      <c r="AB69" s="390"/>
      <c r="AC69" s="390"/>
      <c r="AD69" s="390"/>
      <c r="AE69" s="390"/>
      <c r="AF69" s="390"/>
      <c r="AG69" s="390"/>
      <c r="AH69" s="390"/>
      <c r="AI69" s="390"/>
      <c r="AJ69" s="390"/>
      <c r="AK69" s="390"/>
      <c r="AL69" s="390"/>
      <c r="AM69" s="390"/>
      <c r="AN69" s="390"/>
      <c r="AO69" s="390"/>
      <c r="AP69" s="390"/>
      <c r="AQ69" s="390"/>
      <c r="AR69" s="390"/>
      <c r="AS69" s="390"/>
      <c r="AT69" s="390"/>
      <c r="AU69" s="390"/>
      <c r="AV69" s="390"/>
      <c r="AW69" s="390"/>
      <c r="AX69" s="390"/>
      <c r="AY69" s="390"/>
      <c r="AZ69" s="390"/>
      <c r="BA69" s="390"/>
      <c r="BB69" s="390"/>
      <c r="BC69" s="390"/>
      <c r="BD69" s="390"/>
      <c r="BE69" s="390"/>
      <c r="BF69" s="390"/>
      <c r="BG69" s="390"/>
      <c r="BH69" s="390"/>
      <c r="BI69" s="390"/>
      <c r="BJ69" s="390"/>
      <c r="BK69" s="390"/>
      <c r="BL69" s="390"/>
      <c r="BM69" s="390"/>
      <c r="BN69" s="390"/>
      <c r="BO69" s="390"/>
      <c r="BP69" s="390"/>
      <c r="BQ69" s="390"/>
      <c r="BR69" s="390"/>
      <c r="BS69" s="390"/>
      <c r="BT69" s="390"/>
      <c r="BU69" s="390"/>
      <c r="BV69" s="390"/>
      <c r="BW69" s="390"/>
      <c r="BX69" s="390"/>
      <c r="BY69" s="390"/>
      <c r="BZ69" s="390"/>
      <c r="CA69" s="390"/>
      <c r="CB69" s="390"/>
      <c r="CC69" s="390"/>
      <c r="CD69" s="390"/>
      <c r="CE69" s="390"/>
      <c r="CF69" s="390"/>
      <c r="CG69" s="390"/>
      <c r="CH69" s="390"/>
      <c r="CI69" s="390"/>
      <c r="CJ69" s="390"/>
      <c r="CK69" s="390"/>
      <c r="CL69" s="390"/>
      <c r="CM69" s="390"/>
      <c r="CN69" s="390"/>
      <c r="CO69" s="390"/>
      <c r="CP69" s="390"/>
      <c r="CQ69" s="390"/>
      <c r="CR69" s="390"/>
      <c r="CS69" s="390"/>
      <c r="CT69" s="390"/>
      <c r="CU69" s="390"/>
      <c r="CV69" s="390"/>
      <c r="CW69" s="390"/>
      <c r="CX69" s="390"/>
      <c r="CY69" s="390"/>
      <c r="CZ69" s="390"/>
      <c r="DA69" s="390"/>
      <c r="DB69" s="390"/>
      <c r="DC69" s="390"/>
      <c r="DD69" s="390"/>
      <c r="DE69" s="390"/>
      <c r="DF69" s="390"/>
      <c r="DG69" s="390"/>
      <c r="DH69" s="390"/>
      <c r="DI69" s="390"/>
      <c r="DJ69" s="390"/>
      <c r="DK69" s="390"/>
      <c r="DL69" s="390"/>
      <c r="DM69" s="390"/>
      <c r="DN69" s="390"/>
      <c r="DO69" s="390"/>
      <c r="DP69" s="390"/>
      <c r="DQ69" s="390"/>
      <c r="DR69" s="390"/>
      <c r="DS69" s="390"/>
      <c r="DT69" s="390"/>
      <c r="DU69" s="390"/>
      <c r="DV69" s="390"/>
      <c r="DW69" s="390"/>
      <c r="DX69" s="390"/>
      <c r="DY69" s="390"/>
      <c r="DZ69" s="390"/>
      <c r="EA69" s="390"/>
      <c r="EB69" s="390"/>
      <c r="EC69" s="390"/>
      <c r="ED69" s="390"/>
      <c r="EE69" s="390"/>
      <c r="EF69" s="390"/>
      <c r="EG69" s="390"/>
      <c r="EH69" s="390"/>
      <c r="EI69" s="390"/>
      <c r="EJ69" s="390"/>
      <c r="EK69" s="390"/>
      <c r="EL69" s="390"/>
      <c r="EM69" s="390"/>
      <c r="EN69" s="390"/>
      <c r="EO69" s="390"/>
      <c r="EP69" s="390"/>
      <c r="EQ69" s="390"/>
      <c r="ER69" s="390"/>
      <c r="ES69" s="390"/>
      <c r="ET69" s="390"/>
      <c r="EU69" s="390"/>
      <c r="EV69" s="390"/>
      <c r="EW69" s="390"/>
      <c r="EX69" s="390"/>
      <c r="EY69" s="390"/>
      <c r="EZ69" s="390"/>
      <c r="FA69" s="390"/>
      <c r="FB69" s="390"/>
      <c r="FC69" s="390"/>
      <c r="FD69" s="390"/>
      <c r="FE69" s="390"/>
      <c r="FF69" s="390"/>
      <c r="FG69" s="390"/>
      <c r="FH69" s="390"/>
      <c r="FI69" s="390"/>
      <c r="FJ69" s="390"/>
      <c r="FK69" s="390"/>
      <c r="FL69" s="390"/>
      <c r="FM69" s="390"/>
      <c r="FN69" s="390"/>
      <c r="FO69" s="390"/>
      <c r="FP69" s="390"/>
      <c r="FQ69" s="390"/>
      <c r="FR69" s="390"/>
      <c r="FS69" s="390"/>
      <c r="FT69" s="390"/>
      <c r="FU69" s="390"/>
      <c r="FV69" s="390"/>
      <c r="FW69" s="390"/>
      <c r="FX69" s="390"/>
      <c r="FY69" s="390"/>
      <c r="FZ69" s="390"/>
      <c r="GA69" s="390"/>
      <c r="GB69" s="390"/>
      <c r="GC69" s="390"/>
      <c r="GD69" s="390"/>
      <c r="GE69" s="390"/>
      <c r="GF69" s="390"/>
      <c r="GG69" s="390"/>
      <c r="GH69" s="390"/>
      <c r="GI69" s="390"/>
      <c r="GJ69" s="390"/>
      <c r="GK69" s="390"/>
      <c r="GL69" s="390"/>
      <c r="GM69" s="390"/>
      <c r="GN69" s="390"/>
      <c r="GO69" s="390"/>
      <c r="GP69" s="390"/>
      <c r="GQ69" s="390"/>
      <c r="GR69" s="390"/>
      <c r="GS69" s="390"/>
      <c r="GT69" s="390"/>
      <c r="GU69" s="390"/>
      <c r="GV69" s="390"/>
      <c r="GW69" s="390"/>
      <c r="GX69" s="390"/>
      <c r="GY69" s="390"/>
      <c r="GZ69" s="390"/>
      <c r="HA69" s="390"/>
      <c r="HB69" s="390"/>
      <c r="HC69" s="390"/>
      <c r="HD69" s="390"/>
      <c r="HE69" s="390"/>
      <c r="HF69" s="390"/>
      <c r="HG69" s="390"/>
      <c r="HH69" s="390"/>
      <c r="HI69" s="390"/>
      <c r="HJ69" s="390"/>
      <c r="HK69" s="390"/>
      <c r="HL69" s="390"/>
      <c r="HM69" s="390"/>
      <c r="HN69" s="390"/>
      <c r="HO69" s="390"/>
      <c r="HP69" s="390"/>
      <c r="HQ69" s="390"/>
      <c r="HR69" s="390"/>
      <c r="HS69" s="390"/>
      <c r="HT69" s="390"/>
      <c r="HU69" s="390"/>
      <c r="HV69" s="390"/>
      <c r="HW69" s="390"/>
      <c r="HX69" s="390"/>
      <c r="HY69" s="390"/>
      <c r="HZ69" s="390"/>
      <c r="IA69" s="390"/>
      <c r="IB69" s="390"/>
      <c r="IC69" s="390"/>
      <c r="ID69" s="390"/>
      <c r="IE69" s="390"/>
      <c r="IF69" s="390"/>
      <c r="IG69" s="390"/>
      <c r="IH69" s="390"/>
      <c r="II69" s="390"/>
      <c r="IJ69" s="390"/>
      <c r="IK69" s="390"/>
      <c r="IL69" s="390"/>
      <c r="IM69" s="390"/>
      <c r="IN69" s="390"/>
      <c r="IO69" s="390"/>
      <c r="IP69" s="390"/>
      <c r="IQ69" s="390"/>
      <c r="IR69" s="390"/>
      <c r="IS69" s="390"/>
      <c r="IT69" s="390"/>
      <c r="IU69" s="390"/>
      <c r="IV69" s="390"/>
      <c r="IW69" s="390"/>
      <c r="IX69" s="390"/>
      <c r="IY69" s="390"/>
      <c r="IZ69" s="390"/>
      <c r="JA69" s="390"/>
      <c r="JB69" s="390"/>
      <c r="JC69" s="390"/>
      <c r="JD69" s="390"/>
      <c r="JE69" s="390"/>
      <c r="JF69" s="390"/>
      <c r="JG69" s="390"/>
      <c r="JH69" s="390"/>
      <c r="JI69" s="390"/>
      <c r="JJ69" s="390"/>
      <c r="JK69" s="390"/>
      <c r="JL69" s="390"/>
      <c r="JM69" s="390"/>
      <c r="JN69" s="390"/>
      <c r="JO69" s="390"/>
      <c r="JP69" s="390"/>
      <c r="JQ69" s="390"/>
      <c r="JR69" s="390"/>
      <c r="JS69" s="390"/>
      <c r="JT69" s="390"/>
      <c r="JU69" s="390"/>
      <c r="JV69" s="390"/>
      <c r="JW69" s="390"/>
      <c r="JX69" s="390"/>
      <c r="JY69" s="390"/>
      <c r="JZ69" s="390"/>
      <c r="KA69" s="390"/>
      <c r="KB69" s="390"/>
      <c r="KC69" s="390"/>
      <c r="KD69" s="390"/>
      <c r="KE69" s="390"/>
      <c r="KF69" s="390"/>
      <c r="KG69" s="390"/>
      <c r="KH69" s="390"/>
      <c r="KI69" s="390"/>
      <c r="KJ69" s="390"/>
      <c r="KK69" s="390"/>
      <c r="KL69" s="390"/>
      <c r="KM69" s="390"/>
      <c r="KN69" s="390"/>
      <c r="KO69" s="390"/>
      <c r="KP69" s="390"/>
      <c r="KQ69" s="390"/>
      <c r="KR69" s="390"/>
      <c r="KS69" s="390"/>
      <c r="KT69" s="390"/>
      <c r="KU69" s="390"/>
      <c r="KV69" s="390"/>
      <c r="KW69" s="390"/>
      <c r="KX69" s="390"/>
      <c r="KY69" s="390"/>
      <c r="KZ69" s="390"/>
      <c r="LA69" s="390"/>
      <c r="LB69" s="390"/>
      <c r="LC69" s="390"/>
      <c r="LD69" s="390"/>
      <c r="LE69" s="390"/>
      <c r="LF69" s="390"/>
      <c r="LG69" s="390"/>
      <c r="LH69" s="390"/>
      <c r="LI69" s="390"/>
      <c r="LJ69" s="390"/>
      <c r="LK69" s="390"/>
      <c r="LL69" s="390"/>
      <c r="LM69" s="390"/>
      <c r="LN69" s="390"/>
      <c r="LO69" s="390"/>
      <c r="LP69" s="390"/>
      <c r="LQ69" s="390"/>
      <c r="LR69" s="390"/>
      <c r="LS69" s="390"/>
      <c r="LT69" s="390"/>
      <c r="LU69" s="390"/>
      <c r="LV69" s="390"/>
      <c r="LW69" s="390"/>
      <c r="LX69" s="390"/>
      <c r="LY69" s="390"/>
      <c r="LZ69" s="390"/>
      <c r="MA69" s="390"/>
      <c r="MB69" s="390"/>
      <c r="MC69" s="390"/>
      <c r="MD69" s="390"/>
      <c r="ME69" s="390"/>
      <c r="MF69" s="390"/>
      <c r="MG69" s="390"/>
      <c r="MH69" s="390"/>
      <c r="MI69" s="390"/>
      <c r="MJ69" s="390"/>
      <c r="MK69" s="390"/>
      <c r="ML69" s="390"/>
      <c r="MM69" s="390"/>
      <c r="MN69" s="390"/>
      <c r="MO69" s="390"/>
      <c r="MP69" s="390"/>
      <c r="MQ69" s="390"/>
      <c r="MR69" s="390"/>
      <c r="MS69" s="390"/>
      <c r="MT69" s="390"/>
      <c r="MU69" s="390"/>
      <c r="MV69" s="390"/>
      <c r="MW69" s="390"/>
      <c r="MX69" s="390"/>
      <c r="MY69" s="390"/>
      <c r="MZ69" s="390"/>
      <c r="NA69" s="390"/>
      <c r="NB69" s="390"/>
      <c r="NC69" s="390"/>
      <c r="ND69" s="390"/>
      <c r="NE69" s="390"/>
      <c r="NF69" s="390"/>
      <c r="NG69" s="390"/>
      <c r="NH69" s="390"/>
      <c r="NI69" s="390"/>
      <c r="NJ69" s="390"/>
      <c r="NK69" s="390"/>
      <c r="NL69" s="390"/>
      <c r="NM69" s="390"/>
      <c r="NN69" s="390"/>
      <c r="NO69" s="390"/>
      <c r="NP69" s="390"/>
      <c r="NQ69" s="390"/>
      <c r="NR69" s="390"/>
      <c r="NS69" s="390"/>
      <c r="NT69" s="390"/>
      <c r="NU69" s="390"/>
      <c r="NV69" s="390"/>
      <c r="NW69" s="390"/>
      <c r="NX69" s="390"/>
      <c r="NY69" s="390"/>
      <c r="NZ69" s="390"/>
      <c r="OA69" s="390"/>
      <c r="OB69" s="390"/>
      <c r="OC69" s="390"/>
      <c r="OD69" s="390"/>
      <c r="OE69" s="390"/>
      <c r="OF69" s="390"/>
      <c r="OG69" s="390"/>
      <c r="OH69" s="390"/>
      <c r="OI69" s="390"/>
      <c r="OJ69" s="390"/>
      <c r="OK69" s="390"/>
      <c r="OL69" s="390"/>
      <c r="OM69" s="390"/>
      <c r="ON69" s="390"/>
      <c r="OO69" s="390"/>
      <c r="OP69" s="390"/>
      <c r="OQ69" s="390"/>
      <c r="OR69" s="390"/>
      <c r="OS69" s="390"/>
      <c r="OT69" s="390"/>
      <c r="OU69" s="390"/>
      <c r="OV69" s="390"/>
      <c r="OW69" s="390"/>
      <c r="OX69" s="390"/>
      <c r="OY69" s="390"/>
      <c r="OZ69" s="390"/>
      <c r="PA69" s="390"/>
      <c r="PB69" s="390"/>
      <c r="PC69" s="390"/>
      <c r="PD69" s="390"/>
      <c r="PE69" s="390"/>
      <c r="PF69" s="390"/>
      <c r="PG69" s="390"/>
      <c r="PH69" s="390"/>
      <c r="PI69" s="390"/>
      <c r="PJ69" s="390"/>
      <c r="PK69" s="390"/>
      <c r="PL69" s="390"/>
      <c r="PM69" s="390"/>
      <c r="PN69" s="390"/>
      <c r="PO69" s="390"/>
      <c r="PP69" s="390"/>
      <c r="PQ69" s="390"/>
      <c r="PR69" s="390"/>
      <c r="PS69" s="390"/>
      <c r="PT69" s="390"/>
      <c r="PU69" s="390"/>
      <c r="PV69" s="390"/>
      <c r="PW69" s="390"/>
      <c r="PX69" s="390"/>
      <c r="PY69" s="390"/>
      <c r="PZ69" s="390"/>
      <c r="QA69" s="390"/>
      <c r="QB69" s="390"/>
      <c r="QC69" s="390"/>
      <c r="QD69" s="390"/>
      <c r="QE69" s="390"/>
      <c r="QF69" s="390"/>
      <c r="QG69" s="390"/>
      <c r="QH69" s="390"/>
      <c r="QI69" s="390"/>
      <c r="QJ69" s="390"/>
      <c r="QK69" s="390"/>
      <c r="QL69" s="390"/>
      <c r="QM69" s="390"/>
      <c r="QN69" s="390"/>
      <c r="QO69" s="390"/>
      <c r="QP69" s="390"/>
      <c r="QQ69" s="390"/>
      <c r="QR69" s="390"/>
      <c r="QS69" s="390"/>
      <c r="QT69" s="390"/>
      <c r="QU69" s="390"/>
      <c r="QV69" s="390"/>
      <c r="QW69" s="390"/>
      <c r="QX69" s="390"/>
      <c r="QY69" s="390"/>
      <c r="QZ69" s="390"/>
      <c r="RA69" s="390"/>
      <c r="RB69" s="390"/>
      <c r="RC69" s="390"/>
      <c r="RD69" s="390"/>
      <c r="RE69" s="390"/>
      <c r="RF69" s="390"/>
      <c r="RG69" s="390"/>
      <c r="RH69" s="390"/>
      <c r="RI69" s="390"/>
      <c r="RJ69" s="390"/>
      <c r="RK69" s="390"/>
      <c r="RL69" s="390"/>
      <c r="RM69" s="390"/>
      <c r="RN69" s="390"/>
      <c r="RO69" s="390"/>
      <c r="RP69" s="390"/>
      <c r="RQ69" s="390"/>
      <c r="RR69" s="390"/>
      <c r="RS69" s="390"/>
      <c r="RT69" s="390"/>
      <c r="RU69" s="390"/>
      <c r="RV69" s="390"/>
      <c r="RW69" s="390"/>
      <c r="RX69" s="390"/>
      <c r="RY69" s="390"/>
      <c r="RZ69" s="390"/>
      <c r="SA69" s="390"/>
      <c r="SB69" s="390"/>
      <c r="SC69" s="390"/>
      <c r="SD69" s="390"/>
      <c r="SE69" s="390"/>
      <c r="SF69" s="390"/>
      <c r="SG69" s="390"/>
      <c r="SH69" s="390"/>
      <c r="SI69" s="390"/>
      <c r="SJ69" s="390"/>
      <c r="SK69" s="390"/>
      <c r="SL69" s="390"/>
      <c r="SM69" s="390"/>
      <c r="SN69" s="390"/>
      <c r="SO69" s="390"/>
      <c r="SP69" s="390"/>
      <c r="SQ69" s="390"/>
      <c r="SR69" s="390"/>
      <c r="SS69" s="390"/>
      <c r="ST69" s="390"/>
      <c r="SU69" s="390"/>
      <c r="SV69" s="390"/>
      <c r="SW69" s="390"/>
      <c r="SX69" s="390"/>
      <c r="SY69" s="390"/>
      <c r="SZ69" s="390"/>
      <c r="TA69" s="390"/>
      <c r="TB69" s="390"/>
      <c r="TC69" s="390"/>
      <c r="TD69" s="390"/>
      <c r="TE69" s="390"/>
      <c r="TF69" s="390"/>
      <c r="TG69" s="390"/>
      <c r="TH69" s="390"/>
      <c r="TI69" s="390"/>
      <c r="TJ69" s="390"/>
      <c r="TK69" s="390"/>
      <c r="TL69" s="390"/>
      <c r="TM69" s="390"/>
      <c r="TN69" s="390"/>
      <c r="TO69" s="390"/>
      <c r="TP69" s="390"/>
      <c r="TQ69" s="390"/>
      <c r="TR69" s="390"/>
      <c r="TS69" s="390"/>
      <c r="TT69" s="390"/>
      <c r="TU69" s="390"/>
      <c r="TV69" s="390"/>
      <c r="TW69" s="390"/>
      <c r="TX69" s="390"/>
      <c r="TY69" s="390"/>
      <c r="TZ69" s="390"/>
      <c r="UA69" s="390"/>
      <c r="UB69" s="390"/>
      <c r="UC69" s="390"/>
      <c r="UD69" s="390"/>
      <c r="UE69" s="390"/>
      <c r="UF69" s="390"/>
      <c r="UG69" s="390"/>
      <c r="UH69" s="390"/>
      <c r="UI69" s="390"/>
      <c r="UJ69" s="390"/>
      <c r="UK69" s="390"/>
      <c r="UL69" s="390"/>
      <c r="UM69" s="390"/>
      <c r="UN69" s="390"/>
      <c r="UO69" s="390"/>
      <c r="UP69" s="390"/>
      <c r="UQ69" s="390"/>
      <c r="UR69" s="390"/>
      <c r="US69" s="390"/>
      <c r="UT69" s="390"/>
      <c r="UU69" s="390"/>
      <c r="UV69" s="390"/>
      <c r="UW69" s="390"/>
      <c r="UX69" s="390"/>
      <c r="UY69" s="390"/>
      <c r="UZ69" s="390"/>
      <c r="VA69" s="390"/>
      <c r="VB69" s="390"/>
      <c r="VC69" s="390"/>
      <c r="VD69" s="390"/>
      <c r="VE69" s="390"/>
      <c r="VF69" s="390"/>
      <c r="VG69" s="390"/>
      <c r="VH69" s="390"/>
      <c r="VI69" s="390"/>
      <c r="VJ69" s="390"/>
      <c r="VK69" s="390"/>
      <c r="VL69" s="390"/>
      <c r="VM69" s="390"/>
      <c r="VN69" s="390"/>
      <c r="VO69" s="390"/>
      <c r="VP69" s="390"/>
      <c r="VQ69" s="390"/>
      <c r="VR69" s="390"/>
      <c r="VS69" s="390"/>
      <c r="VT69" s="390"/>
      <c r="VU69" s="390"/>
      <c r="VV69" s="390"/>
      <c r="VW69" s="390"/>
      <c r="VX69" s="390"/>
      <c r="VY69" s="390"/>
      <c r="VZ69" s="390"/>
      <c r="WA69" s="390"/>
      <c r="WB69" s="390"/>
      <c r="WC69" s="390"/>
      <c r="WD69" s="390"/>
      <c r="WE69" s="390"/>
      <c r="WF69" s="390"/>
      <c r="WG69" s="390"/>
      <c r="WH69" s="390"/>
      <c r="WI69" s="390"/>
      <c r="WJ69" s="390"/>
      <c r="WK69" s="390"/>
      <c r="WL69" s="390"/>
      <c r="WM69" s="390"/>
      <c r="WN69" s="390"/>
      <c r="WO69" s="390"/>
      <c r="WP69" s="390"/>
      <c r="WQ69" s="390"/>
      <c r="WR69" s="390"/>
      <c r="WS69" s="390"/>
      <c r="WT69" s="390"/>
      <c r="WU69" s="390"/>
      <c r="WV69" s="390"/>
      <c r="WW69" s="390"/>
      <c r="WX69" s="390"/>
      <c r="WY69" s="390"/>
      <c r="WZ69" s="390"/>
      <c r="XA69" s="390"/>
      <c r="XB69" s="390"/>
      <c r="XC69" s="390"/>
      <c r="XD69" s="390"/>
      <c r="XE69" s="390"/>
      <c r="XF69" s="390"/>
      <c r="XG69" s="390"/>
      <c r="XH69" s="390"/>
      <c r="XI69" s="390"/>
      <c r="XJ69" s="390"/>
      <c r="XK69" s="390"/>
      <c r="XL69" s="390"/>
      <c r="XM69" s="390"/>
      <c r="XN69" s="390"/>
      <c r="XO69" s="390"/>
      <c r="XP69" s="390"/>
      <c r="XQ69" s="390"/>
      <c r="XR69" s="390"/>
      <c r="XS69" s="390"/>
      <c r="XT69" s="390"/>
      <c r="XU69" s="390"/>
      <c r="XV69" s="390"/>
      <c r="XW69" s="390"/>
      <c r="XX69" s="390"/>
      <c r="XY69" s="390"/>
      <c r="XZ69" s="390"/>
      <c r="YA69" s="390"/>
      <c r="YB69" s="390"/>
      <c r="YC69" s="390"/>
      <c r="YD69" s="390"/>
      <c r="YE69" s="390"/>
      <c r="YF69" s="390"/>
      <c r="YG69" s="390"/>
      <c r="YH69" s="390"/>
      <c r="YI69" s="390"/>
      <c r="YJ69" s="390"/>
      <c r="YK69" s="390"/>
      <c r="YL69" s="390"/>
      <c r="YM69" s="390"/>
      <c r="YN69" s="390"/>
      <c r="YO69" s="390"/>
      <c r="YP69" s="390"/>
      <c r="YQ69" s="390"/>
      <c r="YR69" s="390"/>
      <c r="YS69" s="390"/>
      <c r="YT69" s="390"/>
      <c r="YU69" s="390"/>
      <c r="YV69" s="390"/>
      <c r="YW69" s="390"/>
      <c r="YX69" s="390"/>
      <c r="YY69" s="390"/>
      <c r="YZ69" s="390"/>
      <c r="ZA69" s="390"/>
      <c r="ZB69" s="390"/>
      <c r="ZC69" s="390"/>
      <c r="ZD69" s="390"/>
      <c r="ZE69" s="390"/>
      <c r="ZF69" s="390"/>
      <c r="ZG69" s="390"/>
      <c r="ZH69" s="390"/>
      <c r="ZI69" s="390"/>
      <c r="ZJ69" s="390"/>
      <c r="ZK69" s="390"/>
      <c r="ZL69" s="390"/>
      <c r="ZM69" s="390"/>
      <c r="ZN69" s="390"/>
      <c r="ZO69" s="390"/>
      <c r="ZP69" s="390"/>
      <c r="ZQ69" s="390"/>
      <c r="ZR69" s="390"/>
      <c r="ZS69" s="390"/>
      <c r="ZT69" s="390"/>
      <c r="ZU69" s="390"/>
      <c r="ZV69" s="390"/>
      <c r="ZW69" s="390"/>
      <c r="ZX69" s="390"/>
      <c r="ZY69" s="390"/>
      <c r="ZZ69" s="390"/>
      <c r="AAA69" s="390"/>
      <c r="AAB69" s="390"/>
      <c r="AAC69" s="390"/>
      <c r="AAD69" s="390"/>
      <c r="AAE69" s="390"/>
      <c r="AAF69" s="390"/>
      <c r="AAG69" s="390"/>
      <c r="AAH69" s="390"/>
      <c r="AAI69" s="390"/>
      <c r="AAJ69" s="390"/>
      <c r="AAK69" s="390"/>
      <c r="AAL69" s="390"/>
      <c r="AAM69" s="390"/>
      <c r="AAN69" s="390"/>
      <c r="AAO69" s="390"/>
      <c r="AAP69" s="390"/>
      <c r="AAQ69" s="390"/>
      <c r="AAR69" s="390"/>
      <c r="AAS69" s="390"/>
      <c r="AAT69" s="390"/>
      <c r="AAU69" s="390"/>
      <c r="AAV69" s="390"/>
      <c r="AAW69" s="390"/>
      <c r="AAX69" s="390"/>
      <c r="AAY69" s="390"/>
      <c r="AAZ69" s="390"/>
      <c r="ABA69" s="390"/>
      <c r="ABB69" s="390"/>
      <c r="ABC69" s="390"/>
      <c r="ABD69" s="390"/>
      <c r="ABE69" s="390"/>
      <c r="ABF69" s="390"/>
      <c r="ABG69" s="390"/>
      <c r="ABH69" s="390"/>
      <c r="ABI69" s="390"/>
      <c r="ABJ69" s="390"/>
      <c r="ABK69" s="390"/>
      <c r="ABL69" s="390"/>
      <c r="ABM69" s="390"/>
      <c r="ABN69" s="390"/>
      <c r="ABO69" s="390"/>
      <c r="ABP69" s="390"/>
      <c r="ABQ69" s="390"/>
      <c r="ABR69" s="390"/>
      <c r="ABS69" s="390"/>
      <c r="ABT69" s="390"/>
      <c r="ABU69" s="390"/>
      <c r="ABV69" s="390"/>
      <c r="ABW69" s="390"/>
      <c r="ABX69" s="390"/>
      <c r="ABY69" s="390"/>
      <c r="ABZ69" s="390"/>
      <c r="ACA69" s="390"/>
      <c r="ACB69" s="390"/>
      <c r="ACC69" s="390"/>
      <c r="ACD69" s="390"/>
      <c r="ACE69" s="390"/>
      <c r="ACF69" s="390"/>
      <c r="ACG69" s="390"/>
      <c r="ACH69" s="390"/>
      <c r="ACI69" s="390"/>
    </row>
    <row r="70" spans="1:763" ht="13.95" customHeight="1" x14ac:dyDescent="0.3">
      <c r="A70" s="397" t="str">
        <f ca="1">Проект!$A$377</f>
        <v>численность</v>
      </c>
      <c r="B70" s="353">
        <f>Проект!$B$377</f>
        <v>1</v>
      </c>
      <c r="C70" s="402" t="str">
        <f ca="1">Проект!$C$377</f>
        <v>человек</v>
      </c>
      <c r="D70" s="354">
        <f>IFERROR(AVERAGE(Проект!$G$377:$R$377),"-")</f>
        <v>0.5</v>
      </c>
      <c r="E70" s="354">
        <f>IFERROR(AVERAGE(Проект!$S$377:$AD$377),"-")</f>
        <v>1</v>
      </c>
      <c r="F70" s="354">
        <f>IFERROR(AVERAGE(Проект!$AE$377:$AP$377),"-")</f>
        <v>1</v>
      </c>
      <c r="G70" s="354">
        <f>IFERROR(AVERAGE(Проект!$AQ$377:$BB$377),"-")</f>
        <v>1</v>
      </c>
      <c r="H70" s="396"/>
      <c r="I70" s="390"/>
      <c r="J70" s="390"/>
      <c r="K70" s="390"/>
      <c r="L70" s="390"/>
      <c r="M70" s="390"/>
      <c r="N70" s="390"/>
      <c r="O70" s="390"/>
      <c r="P70" s="390"/>
      <c r="Q70" s="390"/>
      <c r="R70" s="390"/>
      <c r="S70" s="390"/>
      <c r="T70" s="390"/>
      <c r="U70" s="390"/>
      <c r="V70" s="390"/>
      <c r="W70" s="390"/>
      <c r="X70" s="390"/>
      <c r="Y70" s="390"/>
      <c r="Z70" s="390"/>
      <c r="AA70" s="390"/>
      <c r="AB70" s="390"/>
      <c r="AC70" s="390"/>
      <c r="AD70" s="390"/>
      <c r="AE70" s="390"/>
      <c r="AF70" s="390"/>
      <c r="AG70" s="390"/>
      <c r="AH70" s="390"/>
      <c r="AI70" s="390"/>
      <c r="AJ70" s="390"/>
      <c r="AK70" s="390"/>
      <c r="AL70" s="390"/>
      <c r="AM70" s="390"/>
      <c r="AN70" s="390"/>
      <c r="AO70" s="390"/>
      <c r="AP70" s="390"/>
      <c r="AQ70" s="390"/>
      <c r="AR70" s="390"/>
      <c r="AS70" s="390"/>
      <c r="AT70" s="390"/>
      <c r="AU70" s="390"/>
      <c r="AV70" s="390"/>
      <c r="AW70" s="390"/>
      <c r="AX70" s="390"/>
      <c r="AY70" s="390"/>
      <c r="AZ70" s="390"/>
      <c r="BA70" s="390"/>
      <c r="BB70" s="390"/>
      <c r="BC70" s="390"/>
      <c r="BD70" s="390"/>
      <c r="BE70" s="390"/>
      <c r="BF70" s="390"/>
      <c r="BG70" s="390"/>
      <c r="BH70" s="390"/>
      <c r="BI70" s="390"/>
      <c r="BJ70" s="390"/>
      <c r="BK70" s="390"/>
      <c r="BL70" s="390"/>
      <c r="BM70" s="390"/>
      <c r="BN70" s="390"/>
      <c r="BO70" s="390"/>
      <c r="BP70" s="390"/>
      <c r="BQ70" s="390"/>
      <c r="BR70" s="390"/>
      <c r="BS70" s="390"/>
      <c r="BT70" s="390"/>
      <c r="BU70" s="390"/>
      <c r="BV70" s="390"/>
      <c r="BW70" s="390"/>
      <c r="BX70" s="390"/>
      <c r="BY70" s="390"/>
      <c r="BZ70" s="390"/>
      <c r="CA70" s="390"/>
      <c r="CB70" s="390"/>
      <c r="CC70" s="390"/>
      <c r="CD70" s="390"/>
      <c r="CE70" s="390"/>
      <c r="CF70" s="390"/>
      <c r="CG70" s="390"/>
      <c r="CH70" s="390"/>
      <c r="CI70" s="390"/>
      <c r="CJ70" s="390"/>
      <c r="CK70" s="390"/>
      <c r="CL70" s="390"/>
      <c r="CM70" s="390"/>
      <c r="CN70" s="390"/>
      <c r="CO70" s="390"/>
      <c r="CP70" s="390"/>
      <c r="CQ70" s="390"/>
      <c r="CR70" s="390"/>
      <c r="CS70" s="390"/>
      <c r="CT70" s="390"/>
      <c r="CU70" s="390"/>
      <c r="CV70" s="390"/>
      <c r="CW70" s="390"/>
      <c r="CX70" s="390"/>
      <c r="CY70" s="390"/>
      <c r="CZ70" s="390"/>
      <c r="DA70" s="390"/>
      <c r="DB70" s="390"/>
      <c r="DC70" s="390"/>
      <c r="DD70" s="390"/>
      <c r="DE70" s="390"/>
      <c r="DF70" s="390"/>
      <c r="DG70" s="390"/>
      <c r="DH70" s="390"/>
      <c r="DI70" s="390"/>
      <c r="DJ70" s="390"/>
      <c r="DK70" s="390"/>
      <c r="DL70" s="390"/>
      <c r="DM70" s="390"/>
      <c r="DN70" s="390"/>
      <c r="DO70" s="390"/>
      <c r="DP70" s="390"/>
      <c r="DQ70" s="390"/>
      <c r="DR70" s="390"/>
      <c r="DS70" s="390"/>
      <c r="DT70" s="390"/>
      <c r="DU70" s="390"/>
      <c r="DV70" s="390"/>
      <c r="DW70" s="390"/>
      <c r="DX70" s="390"/>
      <c r="DY70" s="390"/>
      <c r="DZ70" s="390"/>
      <c r="EA70" s="390"/>
      <c r="EB70" s="390"/>
      <c r="EC70" s="390"/>
      <c r="ED70" s="390"/>
      <c r="EE70" s="390"/>
      <c r="EF70" s="390"/>
      <c r="EG70" s="390"/>
      <c r="EH70" s="390"/>
      <c r="EI70" s="390"/>
      <c r="EJ70" s="390"/>
      <c r="EK70" s="390"/>
      <c r="EL70" s="390"/>
      <c r="EM70" s="390"/>
      <c r="EN70" s="390"/>
      <c r="EO70" s="390"/>
      <c r="EP70" s="390"/>
      <c r="EQ70" s="390"/>
      <c r="ER70" s="390"/>
      <c r="ES70" s="390"/>
      <c r="ET70" s="390"/>
      <c r="EU70" s="390"/>
      <c r="EV70" s="390"/>
      <c r="EW70" s="390"/>
      <c r="EX70" s="390"/>
      <c r="EY70" s="390"/>
      <c r="EZ70" s="390"/>
      <c r="FA70" s="390"/>
      <c r="FB70" s="390"/>
      <c r="FC70" s="390"/>
      <c r="FD70" s="390"/>
      <c r="FE70" s="390"/>
      <c r="FF70" s="390"/>
      <c r="FG70" s="390"/>
      <c r="FH70" s="390"/>
      <c r="FI70" s="390"/>
      <c r="FJ70" s="390"/>
      <c r="FK70" s="390"/>
      <c r="FL70" s="390"/>
      <c r="FM70" s="390"/>
      <c r="FN70" s="390"/>
      <c r="FO70" s="390"/>
      <c r="FP70" s="390"/>
      <c r="FQ70" s="390"/>
      <c r="FR70" s="390"/>
      <c r="FS70" s="390"/>
      <c r="FT70" s="390"/>
      <c r="FU70" s="390"/>
      <c r="FV70" s="390"/>
      <c r="FW70" s="390"/>
      <c r="FX70" s="390"/>
      <c r="FY70" s="390"/>
      <c r="FZ70" s="390"/>
      <c r="GA70" s="390"/>
      <c r="GB70" s="390"/>
      <c r="GC70" s="390"/>
      <c r="GD70" s="390"/>
      <c r="GE70" s="390"/>
      <c r="GF70" s="390"/>
      <c r="GG70" s="390"/>
      <c r="GH70" s="390"/>
      <c r="GI70" s="390"/>
      <c r="GJ70" s="390"/>
      <c r="GK70" s="390"/>
      <c r="GL70" s="390"/>
      <c r="GM70" s="390"/>
      <c r="GN70" s="390"/>
      <c r="GO70" s="390"/>
      <c r="GP70" s="390"/>
      <c r="GQ70" s="390"/>
      <c r="GR70" s="390"/>
      <c r="GS70" s="390"/>
      <c r="GT70" s="390"/>
      <c r="GU70" s="390"/>
      <c r="GV70" s="390"/>
      <c r="GW70" s="390"/>
      <c r="GX70" s="390"/>
      <c r="GY70" s="390"/>
      <c r="GZ70" s="390"/>
      <c r="HA70" s="390"/>
      <c r="HB70" s="390"/>
      <c r="HC70" s="390"/>
      <c r="HD70" s="390"/>
      <c r="HE70" s="390"/>
      <c r="HF70" s="390"/>
      <c r="HG70" s="390"/>
      <c r="HH70" s="390"/>
      <c r="HI70" s="390"/>
      <c r="HJ70" s="390"/>
      <c r="HK70" s="390"/>
      <c r="HL70" s="390"/>
      <c r="HM70" s="390"/>
      <c r="HN70" s="390"/>
      <c r="HO70" s="390"/>
      <c r="HP70" s="390"/>
      <c r="HQ70" s="390"/>
      <c r="HR70" s="390"/>
      <c r="HS70" s="390"/>
      <c r="HT70" s="390"/>
      <c r="HU70" s="390"/>
      <c r="HV70" s="390"/>
      <c r="HW70" s="390"/>
      <c r="HX70" s="390"/>
      <c r="HY70" s="390"/>
      <c r="HZ70" s="390"/>
      <c r="IA70" s="390"/>
      <c r="IB70" s="390"/>
      <c r="IC70" s="390"/>
      <c r="ID70" s="390"/>
      <c r="IE70" s="390"/>
      <c r="IF70" s="390"/>
      <c r="IG70" s="390"/>
      <c r="IH70" s="390"/>
      <c r="II70" s="390"/>
      <c r="IJ70" s="390"/>
      <c r="IK70" s="390"/>
      <c r="IL70" s="390"/>
      <c r="IM70" s="390"/>
      <c r="IN70" s="390"/>
      <c r="IO70" s="390"/>
      <c r="IP70" s="390"/>
      <c r="IQ70" s="390"/>
      <c r="IR70" s="390"/>
      <c r="IS70" s="390"/>
      <c r="IT70" s="390"/>
      <c r="IU70" s="390"/>
      <c r="IV70" s="390"/>
      <c r="IW70" s="390"/>
      <c r="IX70" s="390"/>
      <c r="IY70" s="390"/>
      <c r="IZ70" s="390"/>
      <c r="JA70" s="390"/>
      <c r="JB70" s="390"/>
      <c r="JC70" s="390"/>
      <c r="JD70" s="390"/>
      <c r="JE70" s="390"/>
      <c r="JF70" s="390"/>
      <c r="JG70" s="390"/>
      <c r="JH70" s="390"/>
      <c r="JI70" s="390"/>
      <c r="JJ70" s="390"/>
      <c r="JK70" s="390"/>
      <c r="JL70" s="390"/>
      <c r="JM70" s="390"/>
      <c r="JN70" s="390"/>
      <c r="JO70" s="390"/>
      <c r="JP70" s="390"/>
      <c r="JQ70" s="390"/>
      <c r="JR70" s="390"/>
      <c r="JS70" s="390"/>
      <c r="JT70" s="390"/>
      <c r="JU70" s="390"/>
      <c r="JV70" s="390"/>
      <c r="JW70" s="390"/>
      <c r="JX70" s="390"/>
      <c r="JY70" s="390"/>
      <c r="JZ70" s="390"/>
      <c r="KA70" s="390"/>
      <c r="KB70" s="390"/>
      <c r="KC70" s="390"/>
      <c r="KD70" s="390"/>
      <c r="KE70" s="390"/>
      <c r="KF70" s="390"/>
      <c r="KG70" s="390"/>
      <c r="KH70" s="390"/>
      <c r="KI70" s="390"/>
      <c r="KJ70" s="390"/>
      <c r="KK70" s="390"/>
      <c r="KL70" s="390"/>
      <c r="KM70" s="390"/>
      <c r="KN70" s="390"/>
      <c r="KO70" s="390"/>
      <c r="KP70" s="390"/>
      <c r="KQ70" s="390"/>
      <c r="KR70" s="390"/>
      <c r="KS70" s="390"/>
      <c r="KT70" s="390"/>
      <c r="KU70" s="390"/>
      <c r="KV70" s="390"/>
      <c r="KW70" s="390"/>
      <c r="KX70" s="390"/>
      <c r="KY70" s="390"/>
      <c r="KZ70" s="390"/>
      <c r="LA70" s="390"/>
      <c r="LB70" s="390"/>
      <c r="LC70" s="390"/>
      <c r="LD70" s="390"/>
      <c r="LE70" s="390"/>
      <c r="LF70" s="390"/>
      <c r="LG70" s="390"/>
      <c r="LH70" s="390"/>
      <c r="LI70" s="390"/>
      <c r="LJ70" s="390"/>
      <c r="LK70" s="390"/>
      <c r="LL70" s="390"/>
      <c r="LM70" s="390"/>
      <c r="LN70" s="390"/>
      <c r="LO70" s="390"/>
      <c r="LP70" s="390"/>
      <c r="LQ70" s="390"/>
      <c r="LR70" s="390"/>
      <c r="LS70" s="390"/>
      <c r="LT70" s="390"/>
      <c r="LU70" s="390"/>
      <c r="LV70" s="390"/>
      <c r="LW70" s="390"/>
      <c r="LX70" s="390"/>
      <c r="LY70" s="390"/>
      <c r="LZ70" s="390"/>
      <c r="MA70" s="390"/>
      <c r="MB70" s="390"/>
      <c r="MC70" s="390"/>
      <c r="MD70" s="390"/>
      <c r="ME70" s="390"/>
      <c r="MF70" s="390"/>
      <c r="MG70" s="390"/>
      <c r="MH70" s="390"/>
      <c r="MI70" s="390"/>
      <c r="MJ70" s="390"/>
      <c r="MK70" s="390"/>
      <c r="ML70" s="390"/>
      <c r="MM70" s="390"/>
      <c r="MN70" s="390"/>
      <c r="MO70" s="390"/>
      <c r="MP70" s="390"/>
      <c r="MQ70" s="390"/>
      <c r="MR70" s="390"/>
      <c r="MS70" s="390"/>
      <c r="MT70" s="390"/>
      <c r="MU70" s="390"/>
      <c r="MV70" s="390"/>
      <c r="MW70" s="390"/>
      <c r="MX70" s="390"/>
      <c r="MY70" s="390"/>
      <c r="MZ70" s="390"/>
      <c r="NA70" s="390"/>
      <c r="NB70" s="390"/>
      <c r="NC70" s="390"/>
      <c r="ND70" s="390"/>
      <c r="NE70" s="390"/>
      <c r="NF70" s="390"/>
      <c r="NG70" s="390"/>
      <c r="NH70" s="390"/>
      <c r="NI70" s="390"/>
      <c r="NJ70" s="390"/>
      <c r="NK70" s="390"/>
      <c r="NL70" s="390"/>
      <c r="NM70" s="390"/>
      <c r="NN70" s="390"/>
      <c r="NO70" s="390"/>
      <c r="NP70" s="390"/>
      <c r="NQ70" s="390"/>
      <c r="NR70" s="390"/>
      <c r="NS70" s="390"/>
      <c r="NT70" s="390"/>
      <c r="NU70" s="390"/>
      <c r="NV70" s="390"/>
      <c r="NW70" s="390"/>
      <c r="NX70" s="390"/>
      <c r="NY70" s="390"/>
      <c r="NZ70" s="390"/>
      <c r="OA70" s="390"/>
      <c r="OB70" s="390"/>
      <c r="OC70" s="390"/>
      <c r="OD70" s="390"/>
      <c r="OE70" s="390"/>
      <c r="OF70" s="390"/>
      <c r="OG70" s="390"/>
      <c r="OH70" s="390"/>
      <c r="OI70" s="390"/>
      <c r="OJ70" s="390"/>
      <c r="OK70" s="390"/>
      <c r="OL70" s="390"/>
      <c r="OM70" s="390"/>
      <c r="ON70" s="390"/>
      <c r="OO70" s="390"/>
      <c r="OP70" s="390"/>
      <c r="OQ70" s="390"/>
      <c r="OR70" s="390"/>
      <c r="OS70" s="390"/>
      <c r="OT70" s="390"/>
      <c r="OU70" s="390"/>
      <c r="OV70" s="390"/>
      <c r="OW70" s="390"/>
      <c r="OX70" s="390"/>
      <c r="OY70" s="390"/>
      <c r="OZ70" s="390"/>
      <c r="PA70" s="390"/>
      <c r="PB70" s="390"/>
      <c r="PC70" s="390"/>
      <c r="PD70" s="390"/>
      <c r="PE70" s="390"/>
      <c r="PF70" s="390"/>
      <c r="PG70" s="390"/>
      <c r="PH70" s="390"/>
      <c r="PI70" s="390"/>
      <c r="PJ70" s="390"/>
      <c r="PK70" s="390"/>
      <c r="PL70" s="390"/>
      <c r="PM70" s="390"/>
      <c r="PN70" s="390"/>
      <c r="PO70" s="390"/>
      <c r="PP70" s="390"/>
      <c r="PQ70" s="390"/>
      <c r="PR70" s="390"/>
      <c r="PS70" s="390"/>
      <c r="PT70" s="390"/>
      <c r="PU70" s="390"/>
      <c r="PV70" s="390"/>
      <c r="PW70" s="390"/>
      <c r="PX70" s="390"/>
      <c r="PY70" s="390"/>
      <c r="PZ70" s="390"/>
      <c r="QA70" s="390"/>
      <c r="QB70" s="390"/>
      <c r="QC70" s="390"/>
      <c r="QD70" s="390"/>
      <c r="QE70" s="390"/>
      <c r="QF70" s="390"/>
      <c r="QG70" s="390"/>
      <c r="QH70" s="390"/>
      <c r="QI70" s="390"/>
      <c r="QJ70" s="390"/>
      <c r="QK70" s="390"/>
      <c r="QL70" s="390"/>
      <c r="QM70" s="390"/>
      <c r="QN70" s="390"/>
      <c r="QO70" s="390"/>
      <c r="QP70" s="390"/>
      <c r="QQ70" s="390"/>
      <c r="QR70" s="390"/>
      <c r="QS70" s="390"/>
      <c r="QT70" s="390"/>
      <c r="QU70" s="390"/>
      <c r="QV70" s="390"/>
      <c r="QW70" s="390"/>
      <c r="QX70" s="390"/>
      <c r="QY70" s="390"/>
      <c r="QZ70" s="390"/>
      <c r="RA70" s="390"/>
      <c r="RB70" s="390"/>
      <c r="RC70" s="390"/>
      <c r="RD70" s="390"/>
      <c r="RE70" s="390"/>
      <c r="RF70" s="390"/>
      <c r="RG70" s="390"/>
      <c r="RH70" s="390"/>
      <c r="RI70" s="390"/>
      <c r="RJ70" s="390"/>
      <c r="RK70" s="390"/>
      <c r="RL70" s="390"/>
      <c r="RM70" s="390"/>
      <c r="RN70" s="390"/>
      <c r="RO70" s="390"/>
      <c r="RP70" s="390"/>
      <c r="RQ70" s="390"/>
      <c r="RR70" s="390"/>
      <c r="RS70" s="390"/>
      <c r="RT70" s="390"/>
      <c r="RU70" s="390"/>
      <c r="RV70" s="390"/>
      <c r="RW70" s="390"/>
      <c r="RX70" s="390"/>
      <c r="RY70" s="390"/>
      <c r="RZ70" s="390"/>
      <c r="SA70" s="390"/>
      <c r="SB70" s="390"/>
      <c r="SC70" s="390"/>
      <c r="SD70" s="390"/>
      <c r="SE70" s="390"/>
      <c r="SF70" s="390"/>
      <c r="SG70" s="390"/>
      <c r="SH70" s="390"/>
      <c r="SI70" s="390"/>
      <c r="SJ70" s="390"/>
      <c r="SK70" s="390"/>
      <c r="SL70" s="390"/>
      <c r="SM70" s="390"/>
      <c r="SN70" s="390"/>
      <c r="SO70" s="390"/>
      <c r="SP70" s="390"/>
      <c r="SQ70" s="390"/>
      <c r="SR70" s="390"/>
      <c r="SS70" s="390"/>
      <c r="ST70" s="390"/>
      <c r="SU70" s="390"/>
      <c r="SV70" s="390"/>
      <c r="SW70" s="390"/>
      <c r="SX70" s="390"/>
      <c r="SY70" s="390"/>
      <c r="SZ70" s="390"/>
      <c r="TA70" s="390"/>
      <c r="TB70" s="390"/>
      <c r="TC70" s="390"/>
      <c r="TD70" s="390"/>
      <c r="TE70" s="390"/>
      <c r="TF70" s="390"/>
      <c r="TG70" s="390"/>
      <c r="TH70" s="390"/>
      <c r="TI70" s="390"/>
      <c r="TJ70" s="390"/>
      <c r="TK70" s="390"/>
      <c r="TL70" s="390"/>
      <c r="TM70" s="390"/>
      <c r="TN70" s="390"/>
      <c r="TO70" s="390"/>
      <c r="TP70" s="390"/>
      <c r="TQ70" s="390"/>
      <c r="TR70" s="390"/>
      <c r="TS70" s="390"/>
      <c r="TT70" s="390"/>
      <c r="TU70" s="390"/>
      <c r="TV70" s="390"/>
      <c r="TW70" s="390"/>
      <c r="TX70" s="390"/>
      <c r="TY70" s="390"/>
      <c r="TZ70" s="390"/>
      <c r="UA70" s="390"/>
      <c r="UB70" s="390"/>
      <c r="UC70" s="390"/>
      <c r="UD70" s="390"/>
      <c r="UE70" s="390"/>
      <c r="UF70" s="390"/>
      <c r="UG70" s="390"/>
      <c r="UH70" s="390"/>
      <c r="UI70" s="390"/>
      <c r="UJ70" s="390"/>
      <c r="UK70" s="390"/>
      <c r="UL70" s="390"/>
      <c r="UM70" s="390"/>
      <c r="UN70" s="390"/>
      <c r="UO70" s="390"/>
      <c r="UP70" s="390"/>
      <c r="UQ70" s="390"/>
      <c r="UR70" s="390"/>
      <c r="US70" s="390"/>
      <c r="UT70" s="390"/>
      <c r="UU70" s="390"/>
      <c r="UV70" s="390"/>
      <c r="UW70" s="390"/>
      <c r="UX70" s="390"/>
      <c r="UY70" s="390"/>
      <c r="UZ70" s="390"/>
      <c r="VA70" s="390"/>
      <c r="VB70" s="390"/>
      <c r="VC70" s="390"/>
      <c r="VD70" s="390"/>
      <c r="VE70" s="390"/>
      <c r="VF70" s="390"/>
      <c r="VG70" s="390"/>
      <c r="VH70" s="390"/>
      <c r="VI70" s="390"/>
      <c r="VJ70" s="390"/>
      <c r="VK70" s="390"/>
      <c r="VL70" s="390"/>
      <c r="VM70" s="390"/>
      <c r="VN70" s="390"/>
      <c r="VO70" s="390"/>
      <c r="VP70" s="390"/>
      <c r="VQ70" s="390"/>
      <c r="VR70" s="390"/>
      <c r="VS70" s="390"/>
      <c r="VT70" s="390"/>
      <c r="VU70" s="390"/>
      <c r="VV70" s="390"/>
      <c r="VW70" s="390"/>
      <c r="VX70" s="390"/>
      <c r="VY70" s="390"/>
      <c r="VZ70" s="390"/>
      <c r="WA70" s="390"/>
      <c r="WB70" s="390"/>
      <c r="WC70" s="390"/>
      <c r="WD70" s="390"/>
      <c r="WE70" s="390"/>
      <c r="WF70" s="390"/>
      <c r="WG70" s="390"/>
      <c r="WH70" s="390"/>
      <c r="WI70" s="390"/>
      <c r="WJ70" s="390"/>
      <c r="WK70" s="390"/>
      <c r="WL70" s="390"/>
      <c r="WM70" s="390"/>
      <c r="WN70" s="390"/>
      <c r="WO70" s="390"/>
      <c r="WP70" s="390"/>
      <c r="WQ70" s="390"/>
      <c r="WR70" s="390"/>
      <c r="WS70" s="390"/>
      <c r="WT70" s="390"/>
      <c r="WU70" s="390"/>
      <c r="WV70" s="390"/>
      <c r="WW70" s="390"/>
      <c r="WX70" s="390"/>
      <c r="WY70" s="390"/>
      <c r="WZ70" s="390"/>
      <c r="XA70" s="390"/>
      <c r="XB70" s="390"/>
      <c r="XC70" s="390"/>
      <c r="XD70" s="390"/>
      <c r="XE70" s="390"/>
      <c r="XF70" s="390"/>
      <c r="XG70" s="390"/>
      <c r="XH70" s="390"/>
      <c r="XI70" s="390"/>
      <c r="XJ70" s="390"/>
      <c r="XK70" s="390"/>
      <c r="XL70" s="390"/>
      <c r="XM70" s="390"/>
      <c r="XN70" s="390"/>
      <c r="XO70" s="390"/>
      <c r="XP70" s="390"/>
      <c r="XQ70" s="390"/>
      <c r="XR70" s="390"/>
      <c r="XS70" s="390"/>
      <c r="XT70" s="390"/>
      <c r="XU70" s="390"/>
      <c r="XV70" s="390"/>
      <c r="XW70" s="390"/>
      <c r="XX70" s="390"/>
      <c r="XY70" s="390"/>
      <c r="XZ70" s="390"/>
      <c r="YA70" s="390"/>
      <c r="YB70" s="390"/>
      <c r="YC70" s="390"/>
      <c r="YD70" s="390"/>
      <c r="YE70" s="390"/>
      <c r="YF70" s="390"/>
      <c r="YG70" s="390"/>
      <c r="YH70" s="390"/>
      <c r="YI70" s="390"/>
      <c r="YJ70" s="390"/>
      <c r="YK70" s="390"/>
      <c r="YL70" s="390"/>
      <c r="YM70" s="390"/>
      <c r="YN70" s="390"/>
      <c r="YO70" s="390"/>
      <c r="YP70" s="390"/>
      <c r="YQ70" s="390"/>
      <c r="YR70" s="390"/>
      <c r="YS70" s="390"/>
      <c r="YT70" s="390"/>
      <c r="YU70" s="390"/>
      <c r="YV70" s="390"/>
      <c r="YW70" s="390"/>
      <c r="YX70" s="390"/>
      <c r="YY70" s="390"/>
      <c r="YZ70" s="390"/>
      <c r="ZA70" s="390"/>
      <c r="ZB70" s="390"/>
      <c r="ZC70" s="390"/>
      <c r="ZD70" s="390"/>
      <c r="ZE70" s="390"/>
      <c r="ZF70" s="390"/>
      <c r="ZG70" s="390"/>
      <c r="ZH70" s="390"/>
      <c r="ZI70" s="390"/>
      <c r="ZJ70" s="390"/>
      <c r="ZK70" s="390"/>
      <c r="ZL70" s="390"/>
      <c r="ZM70" s="390"/>
      <c r="ZN70" s="390"/>
      <c r="ZO70" s="390"/>
      <c r="ZP70" s="390"/>
      <c r="ZQ70" s="390"/>
      <c r="ZR70" s="390"/>
      <c r="ZS70" s="390"/>
      <c r="ZT70" s="390"/>
      <c r="ZU70" s="390"/>
      <c r="ZV70" s="390"/>
      <c r="ZW70" s="390"/>
      <c r="ZX70" s="390"/>
      <c r="ZY70" s="390"/>
      <c r="ZZ70" s="390"/>
      <c r="AAA70" s="390"/>
      <c r="AAB70" s="390"/>
      <c r="AAC70" s="390"/>
      <c r="AAD70" s="390"/>
      <c r="AAE70" s="390"/>
      <c r="AAF70" s="390"/>
      <c r="AAG70" s="390"/>
      <c r="AAH70" s="390"/>
      <c r="AAI70" s="390"/>
      <c r="AAJ70" s="390"/>
      <c r="AAK70" s="390"/>
      <c r="AAL70" s="390"/>
      <c r="AAM70" s="390"/>
      <c r="AAN70" s="390"/>
      <c r="AAO70" s="390"/>
      <c r="AAP70" s="390"/>
      <c r="AAQ70" s="390"/>
      <c r="AAR70" s="390"/>
      <c r="AAS70" s="390"/>
      <c r="AAT70" s="390"/>
      <c r="AAU70" s="390"/>
      <c r="AAV70" s="390"/>
      <c r="AAW70" s="390"/>
      <c r="AAX70" s="390"/>
      <c r="AAY70" s="390"/>
      <c r="AAZ70" s="390"/>
      <c r="ABA70" s="390"/>
      <c r="ABB70" s="390"/>
      <c r="ABC70" s="390"/>
      <c r="ABD70" s="390"/>
      <c r="ABE70" s="390"/>
      <c r="ABF70" s="390"/>
      <c r="ABG70" s="390"/>
      <c r="ABH70" s="390"/>
      <c r="ABI70" s="390"/>
      <c r="ABJ70" s="390"/>
      <c r="ABK70" s="390"/>
      <c r="ABL70" s="390"/>
      <c r="ABM70" s="390"/>
      <c r="ABN70" s="390"/>
      <c r="ABO70" s="390"/>
      <c r="ABP70" s="390"/>
      <c r="ABQ70" s="390"/>
      <c r="ABR70" s="390"/>
      <c r="ABS70" s="390"/>
      <c r="ABT70" s="390"/>
      <c r="ABU70" s="390"/>
      <c r="ABV70" s="390"/>
      <c r="ABW70" s="390"/>
      <c r="ABX70" s="390"/>
      <c r="ABY70" s="390"/>
      <c r="ABZ70" s="390"/>
      <c r="ACA70" s="390"/>
      <c r="ACB70" s="390"/>
      <c r="ACC70" s="390"/>
      <c r="ACD70" s="390"/>
      <c r="ACE70" s="390"/>
      <c r="ACF70" s="390"/>
      <c r="ACG70" s="390"/>
      <c r="ACH70" s="390"/>
      <c r="ACI70" s="390"/>
    </row>
    <row r="71" spans="1:763" ht="13.95" customHeight="1" x14ac:dyDescent="0.3">
      <c r="A71" s="397" t="str">
        <f ca="1">Проект!$A$378</f>
        <v>средний оклад, в месяц</v>
      </c>
      <c r="B71" s="350">
        <f>Проект!$B$378</f>
        <v>35000</v>
      </c>
      <c r="C71" s="402" t="str">
        <f ca="1">Проект!$C$378</f>
        <v>руб.</v>
      </c>
      <c r="D71" s="399">
        <f ca="1">IFERROR(AVERAGE(Проект!$G$378:$R$378),"-")</f>
        <v>35952.374330941748</v>
      </c>
      <c r="E71" s="399">
        <f ca="1">IFERROR(AVERAGE(Проект!$S$378:$AD$378),"-")</f>
        <v>38109.516790798261</v>
      </c>
      <c r="F71" s="399">
        <f ca="1">IFERROR(AVERAGE(Проект!$AE$378:$AP$378),"-")</f>
        <v>40396.087798246175</v>
      </c>
      <c r="G71" s="399">
        <f ca="1">IFERROR(AVERAGE(Проект!$AQ$378:$BB$378),"-")</f>
        <v>42819.853066140939</v>
      </c>
      <c r="H71" s="396"/>
      <c r="I71" s="390"/>
      <c r="J71" s="390"/>
      <c r="K71" s="390"/>
      <c r="L71" s="390"/>
      <c r="M71" s="390"/>
      <c r="N71" s="390"/>
      <c r="O71" s="390"/>
      <c r="P71" s="390"/>
      <c r="Q71" s="390"/>
      <c r="R71" s="390"/>
      <c r="S71" s="390"/>
      <c r="T71" s="390"/>
      <c r="U71" s="390"/>
      <c r="V71" s="390"/>
      <c r="W71" s="390"/>
      <c r="X71" s="390"/>
      <c r="Y71" s="390"/>
      <c r="Z71" s="390"/>
      <c r="AA71" s="390"/>
      <c r="AB71" s="390"/>
      <c r="AC71" s="390"/>
      <c r="AD71" s="390"/>
      <c r="AE71" s="390"/>
      <c r="AF71" s="390"/>
      <c r="AG71" s="390"/>
      <c r="AH71" s="390"/>
      <c r="AI71" s="390"/>
      <c r="AJ71" s="390"/>
      <c r="AK71" s="390"/>
      <c r="AL71" s="390"/>
      <c r="AM71" s="390"/>
      <c r="AN71" s="390"/>
      <c r="AO71" s="390"/>
      <c r="AP71" s="390"/>
      <c r="AQ71" s="390"/>
      <c r="AR71" s="390"/>
      <c r="AS71" s="390"/>
      <c r="AT71" s="390"/>
      <c r="AU71" s="390"/>
      <c r="AV71" s="390"/>
      <c r="AW71" s="390"/>
      <c r="AX71" s="390"/>
      <c r="AY71" s="390"/>
      <c r="AZ71" s="390"/>
      <c r="BA71" s="390"/>
      <c r="BB71" s="390"/>
      <c r="BC71" s="390"/>
      <c r="BD71" s="390"/>
      <c r="BE71" s="390"/>
      <c r="BF71" s="390"/>
      <c r="BG71" s="390"/>
      <c r="BH71" s="390"/>
      <c r="BI71" s="390"/>
      <c r="BJ71" s="390"/>
      <c r="BK71" s="390"/>
      <c r="BL71" s="390"/>
      <c r="BM71" s="390"/>
      <c r="BN71" s="390"/>
      <c r="BO71" s="390"/>
      <c r="BP71" s="390"/>
      <c r="BQ71" s="390"/>
      <c r="BR71" s="390"/>
      <c r="BS71" s="390"/>
      <c r="BT71" s="390"/>
      <c r="BU71" s="390"/>
      <c r="BV71" s="390"/>
      <c r="BW71" s="390"/>
      <c r="BX71" s="390"/>
      <c r="BY71" s="390"/>
      <c r="BZ71" s="390"/>
      <c r="CA71" s="390"/>
      <c r="CB71" s="390"/>
      <c r="CC71" s="390"/>
      <c r="CD71" s="390"/>
      <c r="CE71" s="390"/>
      <c r="CF71" s="390"/>
      <c r="CG71" s="390"/>
      <c r="CH71" s="390"/>
      <c r="CI71" s="390"/>
      <c r="CJ71" s="390"/>
      <c r="CK71" s="390"/>
      <c r="CL71" s="390"/>
      <c r="CM71" s="390"/>
      <c r="CN71" s="390"/>
      <c r="CO71" s="390"/>
      <c r="CP71" s="390"/>
      <c r="CQ71" s="390"/>
      <c r="CR71" s="390"/>
      <c r="CS71" s="390"/>
      <c r="CT71" s="390"/>
      <c r="CU71" s="390"/>
      <c r="CV71" s="390"/>
      <c r="CW71" s="390"/>
      <c r="CX71" s="390"/>
      <c r="CY71" s="390"/>
      <c r="CZ71" s="390"/>
      <c r="DA71" s="390"/>
      <c r="DB71" s="390"/>
      <c r="DC71" s="390"/>
      <c r="DD71" s="390"/>
      <c r="DE71" s="390"/>
      <c r="DF71" s="390"/>
      <c r="DG71" s="390"/>
      <c r="DH71" s="390"/>
      <c r="DI71" s="390"/>
      <c r="DJ71" s="390"/>
      <c r="DK71" s="390"/>
      <c r="DL71" s="390"/>
      <c r="DM71" s="390"/>
      <c r="DN71" s="390"/>
      <c r="DO71" s="390"/>
      <c r="DP71" s="390"/>
      <c r="DQ71" s="390"/>
      <c r="DR71" s="390"/>
      <c r="DS71" s="390"/>
      <c r="DT71" s="390"/>
      <c r="DU71" s="390"/>
      <c r="DV71" s="390"/>
      <c r="DW71" s="390"/>
      <c r="DX71" s="390"/>
      <c r="DY71" s="390"/>
      <c r="DZ71" s="390"/>
      <c r="EA71" s="390"/>
      <c r="EB71" s="390"/>
      <c r="EC71" s="390"/>
      <c r="ED71" s="390"/>
      <c r="EE71" s="390"/>
      <c r="EF71" s="390"/>
      <c r="EG71" s="390"/>
      <c r="EH71" s="390"/>
      <c r="EI71" s="390"/>
      <c r="EJ71" s="390"/>
      <c r="EK71" s="390"/>
      <c r="EL71" s="390"/>
      <c r="EM71" s="390"/>
      <c r="EN71" s="390"/>
      <c r="EO71" s="390"/>
      <c r="EP71" s="390"/>
      <c r="EQ71" s="390"/>
      <c r="ER71" s="390"/>
      <c r="ES71" s="390"/>
      <c r="ET71" s="390"/>
      <c r="EU71" s="390"/>
      <c r="EV71" s="390"/>
      <c r="EW71" s="390"/>
      <c r="EX71" s="390"/>
      <c r="EY71" s="390"/>
      <c r="EZ71" s="390"/>
      <c r="FA71" s="390"/>
      <c r="FB71" s="390"/>
      <c r="FC71" s="390"/>
      <c r="FD71" s="390"/>
      <c r="FE71" s="390"/>
      <c r="FF71" s="390"/>
      <c r="FG71" s="390"/>
      <c r="FH71" s="390"/>
      <c r="FI71" s="390"/>
      <c r="FJ71" s="390"/>
      <c r="FK71" s="390"/>
      <c r="FL71" s="390"/>
      <c r="FM71" s="390"/>
      <c r="FN71" s="390"/>
      <c r="FO71" s="390"/>
      <c r="FP71" s="390"/>
      <c r="FQ71" s="390"/>
      <c r="FR71" s="390"/>
      <c r="FS71" s="390"/>
      <c r="FT71" s="390"/>
      <c r="FU71" s="390"/>
      <c r="FV71" s="390"/>
      <c r="FW71" s="390"/>
      <c r="FX71" s="390"/>
      <c r="FY71" s="390"/>
      <c r="FZ71" s="390"/>
      <c r="GA71" s="390"/>
      <c r="GB71" s="390"/>
      <c r="GC71" s="390"/>
      <c r="GD71" s="390"/>
      <c r="GE71" s="390"/>
      <c r="GF71" s="390"/>
      <c r="GG71" s="390"/>
      <c r="GH71" s="390"/>
      <c r="GI71" s="390"/>
      <c r="GJ71" s="390"/>
      <c r="GK71" s="390"/>
      <c r="GL71" s="390"/>
      <c r="GM71" s="390"/>
      <c r="GN71" s="390"/>
      <c r="GO71" s="390"/>
      <c r="GP71" s="390"/>
      <c r="GQ71" s="390"/>
      <c r="GR71" s="390"/>
      <c r="GS71" s="390"/>
      <c r="GT71" s="390"/>
      <c r="GU71" s="390"/>
      <c r="GV71" s="390"/>
      <c r="GW71" s="390"/>
      <c r="GX71" s="390"/>
      <c r="GY71" s="390"/>
      <c r="GZ71" s="390"/>
      <c r="HA71" s="390"/>
      <c r="HB71" s="390"/>
      <c r="HC71" s="390"/>
      <c r="HD71" s="390"/>
      <c r="HE71" s="390"/>
      <c r="HF71" s="390"/>
      <c r="HG71" s="390"/>
      <c r="HH71" s="390"/>
      <c r="HI71" s="390"/>
      <c r="HJ71" s="390"/>
      <c r="HK71" s="390"/>
      <c r="HL71" s="390"/>
      <c r="HM71" s="390"/>
      <c r="HN71" s="390"/>
      <c r="HO71" s="390"/>
      <c r="HP71" s="390"/>
      <c r="HQ71" s="390"/>
      <c r="HR71" s="390"/>
      <c r="HS71" s="390"/>
      <c r="HT71" s="390"/>
      <c r="HU71" s="390"/>
      <c r="HV71" s="390"/>
      <c r="HW71" s="390"/>
      <c r="HX71" s="390"/>
      <c r="HY71" s="390"/>
      <c r="HZ71" s="390"/>
      <c r="IA71" s="390"/>
      <c r="IB71" s="390"/>
      <c r="IC71" s="390"/>
      <c r="ID71" s="390"/>
      <c r="IE71" s="390"/>
      <c r="IF71" s="390"/>
      <c r="IG71" s="390"/>
      <c r="IH71" s="390"/>
      <c r="II71" s="390"/>
      <c r="IJ71" s="390"/>
      <c r="IK71" s="390"/>
      <c r="IL71" s="390"/>
      <c r="IM71" s="390"/>
      <c r="IN71" s="390"/>
      <c r="IO71" s="390"/>
      <c r="IP71" s="390"/>
      <c r="IQ71" s="390"/>
      <c r="IR71" s="390"/>
      <c r="IS71" s="390"/>
      <c r="IT71" s="390"/>
      <c r="IU71" s="390"/>
      <c r="IV71" s="390"/>
      <c r="IW71" s="390"/>
      <c r="IX71" s="390"/>
      <c r="IY71" s="390"/>
      <c r="IZ71" s="390"/>
      <c r="JA71" s="390"/>
      <c r="JB71" s="390"/>
      <c r="JC71" s="390"/>
      <c r="JD71" s="390"/>
      <c r="JE71" s="390"/>
      <c r="JF71" s="390"/>
      <c r="JG71" s="390"/>
      <c r="JH71" s="390"/>
      <c r="JI71" s="390"/>
      <c r="JJ71" s="390"/>
      <c r="JK71" s="390"/>
      <c r="JL71" s="390"/>
      <c r="JM71" s="390"/>
      <c r="JN71" s="390"/>
      <c r="JO71" s="390"/>
      <c r="JP71" s="390"/>
      <c r="JQ71" s="390"/>
      <c r="JR71" s="390"/>
      <c r="JS71" s="390"/>
      <c r="JT71" s="390"/>
      <c r="JU71" s="390"/>
      <c r="JV71" s="390"/>
      <c r="JW71" s="390"/>
      <c r="JX71" s="390"/>
      <c r="JY71" s="390"/>
      <c r="JZ71" s="390"/>
      <c r="KA71" s="390"/>
      <c r="KB71" s="390"/>
      <c r="KC71" s="390"/>
      <c r="KD71" s="390"/>
      <c r="KE71" s="390"/>
      <c r="KF71" s="390"/>
      <c r="KG71" s="390"/>
      <c r="KH71" s="390"/>
      <c r="KI71" s="390"/>
      <c r="KJ71" s="390"/>
      <c r="KK71" s="390"/>
      <c r="KL71" s="390"/>
      <c r="KM71" s="390"/>
      <c r="KN71" s="390"/>
      <c r="KO71" s="390"/>
      <c r="KP71" s="390"/>
      <c r="KQ71" s="390"/>
      <c r="KR71" s="390"/>
      <c r="KS71" s="390"/>
      <c r="KT71" s="390"/>
      <c r="KU71" s="390"/>
      <c r="KV71" s="390"/>
      <c r="KW71" s="390"/>
      <c r="KX71" s="390"/>
      <c r="KY71" s="390"/>
      <c r="KZ71" s="390"/>
      <c r="LA71" s="390"/>
      <c r="LB71" s="390"/>
      <c r="LC71" s="390"/>
      <c r="LD71" s="390"/>
      <c r="LE71" s="390"/>
      <c r="LF71" s="390"/>
      <c r="LG71" s="390"/>
      <c r="LH71" s="390"/>
      <c r="LI71" s="390"/>
      <c r="LJ71" s="390"/>
      <c r="LK71" s="390"/>
      <c r="LL71" s="390"/>
      <c r="LM71" s="390"/>
      <c r="LN71" s="390"/>
      <c r="LO71" s="390"/>
      <c r="LP71" s="390"/>
      <c r="LQ71" s="390"/>
      <c r="LR71" s="390"/>
      <c r="LS71" s="390"/>
      <c r="LT71" s="390"/>
      <c r="LU71" s="390"/>
      <c r="LV71" s="390"/>
      <c r="LW71" s="390"/>
      <c r="LX71" s="390"/>
      <c r="LY71" s="390"/>
      <c r="LZ71" s="390"/>
      <c r="MA71" s="390"/>
      <c r="MB71" s="390"/>
      <c r="MC71" s="390"/>
      <c r="MD71" s="390"/>
      <c r="ME71" s="390"/>
      <c r="MF71" s="390"/>
      <c r="MG71" s="390"/>
      <c r="MH71" s="390"/>
      <c r="MI71" s="390"/>
      <c r="MJ71" s="390"/>
      <c r="MK71" s="390"/>
      <c r="ML71" s="390"/>
      <c r="MM71" s="390"/>
      <c r="MN71" s="390"/>
      <c r="MO71" s="390"/>
      <c r="MP71" s="390"/>
      <c r="MQ71" s="390"/>
      <c r="MR71" s="390"/>
      <c r="MS71" s="390"/>
      <c r="MT71" s="390"/>
      <c r="MU71" s="390"/>
      <c r="MV71" s="390"/>
      <c r="MW71" s="390"/>
      <c r="MX71" s="390"/>
      <c r="MY71" s="390"/>
      <c r="MZ71" s="390"/>
      <c r="NA71" s="390"/>
      <c r="NB71" s="390"/>
      <c r="NC71" s="390"/>
      <c r="ND71" s="390"/>
      <c r="NE71" s="390"/>
      <c r="NF71" s="390"/>
      <c r="NG71" s="390"/>
      <c r="NH71" s="390"/>
      <c r="NI71" s="390"/>
      <c r="NJ71" s="390"/>
      <c r="NK71" s="390"/>
      <c r="NL71" s="390"/>
      <c r="NM71" s="390"/>
      <c r="NN71" s="390"/>
      <c r="NO71" s="390"/>
      <c r="NP71" s="390"/>
      <c r="NQ71" s="390"/>
      <c r="NR71" s="390"/>
      <c r="NS71" s="390"/>
      <c r="NT71" s="390"/>
      <c r="NU71" s="390"/>
      <c r="NV71" s="390"/>
      <c r="NW71" s="390"/>
      <c r="NX71" s="390"/>
      <c r="NY71" s="390"/>
      <c r="NZ71" s="390"/>
      <c r="OA71" s="390"/>
      <c r="OB71" s="390"/>
      <c r="OC71" s="390"/>
      <c r="OD71" s="390"/>
      <c r="OE71" s="390"/>
      <c r="OF71" s="390"/>
      <c r="OG71" s="390"/>
      <c r="OH71" s="390"/>
      <c r="OI71" s="390"/>
      <c r="OJ71" s="390"/>
      <c r="OK71" s="390"/>
      <c r="OL71" s="390"/>
      <c r="OM71" s="390"/>
      <c r="ON71" s="390"/>
      <c r="OO71" s="390"/>
      <c r="OP71" s="390"/>
      <c r="OQ71" s="390"/>
      <c r="OR71" s="390"/>
      <c r="OS71" s="390"/>
      <c r="OT71" s="390"/>
      <c r="OU71" s="390"/>
      <c r="OV71" s="390"/>
      <c r="OW71" s="390"/>
      <c r="OX71" s="390"/>
      <c r="OY71" s="390"/>
      <c r="OZ71" s="390"/>
      <c r="PA71" s="390"/>
      <c r="PB71" s="390"/>
      <c r="PC71" s="390"/>
      <c r="PD71" s="390"/>
      <c r="PE71" s="390"/>
      <c r="PF71" s="390"/>
      <c r="PG71" s="390"/>
      <c r="PH71" s="390"/>
      <c r="PI71" s="390"/>
      <c r="PJ71" s="390"/>
      <c r="PK71" s="390"/>
      <c r="PL71" s="390"/>
      <c r="PM71" s="390"/>
      <c r="PN71" s="390"/>
      <c r="PO71" s="390"/>
      <c r="PP71" s="390"/>
      <c r="PQ71" s="390"/>
      <c r="PR71" s="390"/>
      <c r="PS71" s="390"/>
      <c r="PT71" s="390"/>
      <c r="PU71" s="390"/>
      <c r="PV71" s="390"/>
      <c r="PW71" s="390"/>
      <c r="PX71" s="390"/>
      <c r="PY71" s="390"/>
      <c r="PZ71" s="390"/>
      <c r="QA71" s="390"/>
      <c r="QB71" s="390"/>
      <c r="QC71" s="390"/>
      <c r="QD71" s="390"/>
      <c r="QE71" s="390"/>
      <c r="QF71" s="390"/>
      <c r="QG71" s="390"/>
      <c r="QH71" s="390"/>
      <c r="QI71" s="390"/>
      <c r="QJ71" s="390"/>
      <c r="QK71" s="390"/>
      <c r="QL71" s="390"/>
      <c r="QM71" s="390"/>
      <c r="QN71" s="390"/>
      <c r="QO71" s="390"/>
      <c r="QP71" s="390"/>
      <c r="QQ71" s="390"/>
      <c r="QR71" s="390"/>
      <c r="QS71" s="390"/>
      <c r="QT71" s="390"/>
      <c r="QU71" s="390"/>
      <c r="QV71" s="390"/>
      <c r="QW71" s="390"/>
      <c r="QX71" s="390"/>
      <c r="QY71" s="390"/>
      <c r="QZ71" s="390"/>
      <c r="RA71" s="390"/>
      <c r="RB71" s="390"/>
      <c r="RC71" s="390"/>
      <c r="RD71" s="390"/>
      <c r="RE71" s="390"/>
      <c r="RF71" s="390"/>
      <c r="RG71" s="390"/>
      <c r="RH71" s="390"/>
      <c r="RI71" s="390"/>
      <c r="RJ71" s="390"/>
      <c r="RK71" s="390"/>
      <c r="RL71" s="390"/>
      <c r="RM71" s="390"/>
      <c r="RN71" s="390"/>
      <c r="RO71" s="390"/>
      <c r="RP71" s="390"/>
      <c r="RQ71" s="390"/>
      <c r="RR71" s="390"/>
      <c r="RS71" s="390"/>
      <c r="RT71" s="390"/>
      <c r="RU71" s="390"/>
      <c r="RV71" s="390"/>
      <c r="RW71" s="390"/>
      <c r="RX71" s="390"/>
      <c r="RY71" s="390"/>
      <c r="RZ71" s="390"/>
      <c r="SA71" s="390"/>
      <c r="SB71" s="390"/>
      <c r="SC71" s="390"/>
      <c r="SD71" s="390"/>
      <c r="SE71" s="390"/>
      <c r="SF71" s="390"/>
      <c r="SG71" s="390"/>
      <c r="SH71" s="390"/>
      <c r="SI71" s="390"/>
      <c r="SJ71" s="390"/>
      <c r="SK71" s="390"/>
      <c r="SL71" s="390"/>
      <c r="SM71" s="390"/>
      <c r="SN71" s="390"/>
      <c r="SO71" s="390"/>
      <c r="SP71" s="390"/>
      <c r="SQ71" s="390"/>
      <c r="SR71" s="390"/>
      <c r="SS71" s="390"/>
      <c r="ST71" s="390"/>
      <c r="SU71" s="390"/>
      <c r="SV71" s="390"/>
      <c r="SW71" s="390"/>
      <c r="SX71" s="390"/>
      <c r="SY71" s="390"/>
      <c r="SZ71" s="390"/>
      <c r="TA71" s="390"/>
      <c r="TB71" s="390"/>
      <c r="TC71" s="390"/>
      <c r="TD71" s="390"/>
      <c r="TE71" s="390"/>
      <c r="TF71" s="390"/>
      <c r="TG71" s="390"/>
      <c r="TH71" s="390"/>
      <c r="TI71" s="390"/>
      <c r="TJ71" s="390"/>
      <c r="TK71" s="390"/>
      <c r="TL71" s="390"/>
      <c r="TM71" s="390"/>
      <c r="TN71" s="390"/>
      <c r="TO71" s="390"/>
      <c r="TP71" s="390"/>
      <c r="TQ71" s="390"/>
      <c r="TR71" s="390"/>
      <c r="TS71" s="390"/>
      <c r="TT71" s="390"/>
      <c r="TU71" s="390"/>
      <c r="TV71" s="390"/>
      <c r="TW71" s="390"/>
      <c r="TX71" s="390"/>
      <c r="TY71" s="390"/>
      <c r="TZ71" s="390"/>
      <c r="UA71" s="390"/>
      <c r="UB71" s="390"/>
      <c r="UC71" s="390"/>
      <c r="UD71" s="390"/>
      <c r="UE71" s="390"/>
      <c r="UF71" s="390"/>
      <c r="UG71" s="390"/>
      <c r="UH71" s="390"/>
      <c r="UI71" s="390"/>
      <c r="UJ71" s="390"/>
      <c r="UK71" s="390"/>
      <c r="UL71" s="390"/>
      <c r="UM71" s="390"/>
      <c r="UN71" s="390"/>
      <c r="UO71" s="390"/>
      <c r="UP71" s="390"/>
      <c r="UQ71" s="390"/>
      <c r="UR71" s="390"/>
      <c r="US71" s="390"/>
      <c r="UT71" s="390"/>
      <c r="UU71" s="390"/>
      <c r="UV71" s="390"/>
      <c r="UW71" s="390"/>
      <c r="UX71" s="390"/>
      <c r="UY71" s="390"/>
      <c r="UZ71" s="390"/>
      <c r="VA71" s="390"/>
      <c r="VB71" s="390"/>
      <c r="VC71" s="390"/>
      <c r="VD71" s="390"/>
      <c r="VE71" s="390"/>
      <c r="VF71" s="390"/>
      <c r="VG71" s="390"/>
      <c r="VH71" s="390"/>
      <c r="VI71" s="390"/>
      <c r="VJ71" s="390"/>
      <c r="VK71" s="390"/>
      <c r="VL71" s="390"/>
      <c r="VM71" s="390"/>
      <c r="VN71" s="390"/>
      <c r="VO71" s="390"/>
      <c r="VP71" s="390"/>
      <c r="VQ71" s="390"/>
      <c r="VR71" s="390"/>
      <c r="VS71" s="390"/>
      <c r="VT71" s="390"/>
      <c r="VU71" s="390"/>
      <c r="VV71" s="390"/>
      <c r="VW71" s="390"/>
      <c r="VX71" s="390"/>
      <c r="VY71" s="390"/>
      <c r="VZ71" s="390"/>
      <c r="WA71" s="390"/>
      <c r="WB71" s="390"/>
      <c r="WC71" s="390"/>
      <c r="WD71" s="390"/>
      <c r="WE71" s="390"/>
      <c r="WF71" s="390"/>
      <c r="WG71" s="390"/>
      <c r="WH71" s="390"/>
      <c r="WI71" s="390"/>
      <c r="WJ71" s="390"/>
      <c r="WK71" s="390"/>
      <c r="WL71" s="390"/>
      <c r="WM71" s="390"/>
      <c r="WN71" s="390"/>
      <c r="WO71" s="390"/>
      <c r="WP71" s="390"/>
      <c r="WQ71" s="390"/>
      <c r="WR71" s="390"/>
      <c r="WS71" s="390"/>
      <c r="WT71" s="390"/>
      <c r="WU71" s="390"/>
      <c r="WV71" s="390"/>
      <c r="WW71" s="390"/>
      <c r="WX71" s="390"/>
      <c r="WY71" s="390"/>
      <c r="WZ71" s="390"/>
      <c r="XA71" s="390"/>
      <c r="XB71" s="390"/>
      <c r="XC71" s="390"/>
      <c r="XD71" s="390"/>
      <c r="XE71" s="390"/>
      <c r="XF71" s="390"/>
      <c r="XG71" s="390"/>
      <c r="XH71" s="390"/>
      <c r="XI71" s="390"/>
      <c r="XJ71" s="390"/>
      <c r="XK71" s="390"/>
      <c r="XL71" s="390"/>
      <c r="XM71" s="390"/>
      <c r="XN71" s="390"/>
      <c r="XO71" s="390"/>
      <c r="XP71" s="390"/>
      <c r="XQ71" s="390"/>
      <c r="XR71" s="390"/>
      <c r="XS71" s="390"/>
      <c r="XT71" s="390"/>
      <c r="XU71" s="390"/>
      <c r="XV71" s="390"/>
      <c r="XW71" s="390"/>
      <c r="XX71" s="390"/>
      <c r="XY71" s="390"/>
      <c r="XZ71" s="390"/>
      <c r="YA71" s="390"/>
      <c r="YB71" s="390"/>
      <c r="YC71" s="390"/>
      <c r="YD71" s="390"/>
      <c r="YE71" s="390"/>
      <c r="YF71" s="390"/>
      <c r="YG71" s="390"/>
      <c r="YH71" s="390"/>
      <c r="YI71" s="390"/>
      <c r="YJ71" s="390"/>
      <c r="YK71" s="390"/>
      <c r="YL71" s="390"/>
      <c r="YM71" s="390"/>
      <c r="YN71" s="390"/>
      <c r="YO71" s="390"/>
      <c r="YP71" s="390"/>
      <c r="YQ71" s="390"/>
      <c r="YR71" s="390"/>
      <c r="YS71" s="390"/>
      <c r="YT71" s="390"/>
      <c r="YU71" s="390"/>
      <c r="YV71" s="390"/>
      <c r="YW71" s="390"/>
      <c r="YX71" s="390"/>
      <c r="YY71" s="390"/>
      <c r="YZ71" s="390"/>
      <c r="ZA71" s="390"/>
      <c r="ZB71" s="390"/>
      <c r="ZC71" s="390"/>
      <c r="ZD71" s="390"/>
      <c r="ZE71" s="390"/>
      <c r="ZF71" s="390"/>
      <c r="ZG71" s="390"/>
      <c r="ZH71" s="390"/>
      <c r="ZI71" s="390"/>
      <c r="ZJ71" s="390"/>
      <c r="ZK71" s="390"/>
      <c r="ZL71" s="390"/>
      <c r="ZM71" s="390"/>
      <c r="ZN71" s="390"/>
      <c r="ZO71" s="390"/>
      <c r="ZP71" s="390"/>
      <c r="ZQ71" s="390"/>
      <c r="ZR71" s="390"/>
      <c r="ZS71" s="390"/>
      <c r="ZT71" s="390"/>
      <c r="ZU71" s="390"/>
      <c r="ZV71" s="390"/>
      <c r="ZW71" s="390"/>
      <c r="ZX71" s="390"/>
      <c r="ZY71" s="390"/>
      <c r="ZZ71" s="390"/>
      <c r="AAA71" s="390"/>
      <c r="AAB71" s="390"/>
      <c r="AAC71" s="390"/>
      <c r="AAD71" s="390"/>
      <c r="AAE71" s="390"/>
      <c r="AAF71" s="390"/>
      <c r="AAG71" s="390"/>
      <c r="AAH71" s="390"/>
      <c r="AAI71" s="390"/>
      <c r="AAJ71" s="390"/>
      <c r="AAK71" s="390"/>
      <c r="AAL71" s="390"/>
      <c r="AAM71" s="390"/>
      <c r="AAN71" s="390"/>
      <c r="AAO71" s="390"/>
      <c r="AAP71" s="390"/>
      <c r="AAQ71" s="390"/>
      <c r="AAR71" s="390"/>
      <c r="AAS71" s="390"/>
      <c r="AAT71" s="390"/>
      <c r="AAU71" s="390"/>
      <c r="AAV71" s="390"/>
      <c r="AAW71" s="390"/>
      <c r="AAX71" s="390"/>
      <c r="AAY71" s="390"/>
      <c r="AAZ71" s="390"/>
      <c r="ABA71" s="390"/>
      <c r="ABB71" s="390"/>
      <c r="ABC71" s="390"/>
      <c r="ABD71" s="390"/>
      <c r="ABE71" s="390"/>
      <c r="ABF71" s="390"/>
      <c r="ABG71" s="390"/>
      <c r="ABH71" s="390"/>
      <c r="ABI71" s="390"/>
      <c r="ABJ71" s="390"/>
      <c r="ABK71" s="390"/>
      <c r="ABL71" s="390"/>
      <c r="ABM71" s="390"/>
      <c r="ABN71" s="390"/>
      <c r="ABO71" s="390"/>
      <c r="ABP71" s="390"/>
      <c r="ABQ71" s="390"/>
      <c r="ABR71" s="390"/>
      <c r="ABS71" s="390"/>
      <c r="ABT71" s="390"/>
      <c r="ABU71" s="390"/>
      <c r="ABV71" s="390"/>
      <c r="ABW71" s="390"/>
      <c r="ABX71" s="390"/>
      <c r="ABY71" s="390"/>
      <c r="ABZ71" s="390"/>
      <c r="ACA71" s="390"/>
      <c r="ACB71" s="390"/>
      <c r="ACC71" s="390"/>
      <c r="ACD71" s="390"/>
      <c r="ACE71" s="390"/>
      <c r="ACF71" s="390"/>
      <c r="ACG71" s="390"/>
      <c r="ACH71" s="390"/>
      <c r="ACI71" s="390"/>
    </row>
    <row r="72" spans="1:763" ht="13.95" customHeight="1" x14ac:dyDescent="0.3">
      <c r="A72" s="397" t="str">
        <f ca="1">Проект!$A$379</f>
        <v>заработная плата</v>
      </c>
      <c r="B72" s="352" t="str">
        <f ca="1">Проект!$B$379</f>
        <v>за период</v>
      </c>
      <c r="C72" s="402" t="str">
        <f ca="1">Проект!$C$379</f>
        <v>руб.</v>
      </c>
      <c r="D72" s="399">
        <f ca="1">SUM(Проект!$G$379:$R$379)</f>
        <v>218856.38212582655</v>
      </c>
      <c r="E72" s="399">
        <f ca="1">SUM(Проект!$S$379:$AD$379)</f>
        <v>457314.20148957917</v>
      </c>
      <c r="F72" s="399">
        <f ca="1">SUM(Проект!$AE$379:$AP$379)</f>
        <v>484753.05357895407</v>
      </c>
      <c r="G72" s="399">
        <f ca="1">SUM(Проект!$AQ$379:$BB$379)</f>
        <v>513838.23679369123</v>
      </c>
      <c r="H72" s="392">
        <f ca="1">Проект!$BD$379</f>
        <v>1674761.873988051</v>
      </c>
      <c r="I72" s="390"/>
      <c r="J72" s="390"/>
      <c r="K72" s="390"/>
      <c r="L72" s="390"/>
      <c r="M72" s="390"/>
      <c r="N72" s="390"/>
      <c r="O72" s="390"/>
      <c r="P72" s="390"/>
      <c r="Q72" s="390"/>
      <c r="R72" s="390"/>
      <c r="S72" s="390"/>
      <c r="T72" s="390"/>
      <c r="U72" s="390"/>
      <c r="V72" s="390"/>
      <c r="W72" s="390"/>
      <c r="X72" s="390"/>
      <c r="Y72" s="390"/>
      <c r="Z72" s="390"/>
      <c r="AA72" s="390"/>
      <c r="AB72" s="390"/>
      <c r="AC72" s="390"/>
      <c r="AD72" s="390"/>
      <c r="AE72" s="390"/>
      <c r="AF72" s="390"/>
      <c r="AG72" s="390"/>
      <c r="AH72" s="390"/>
      <c r="AI72" s="390"/>
      <c r="AJ72" s="390"/>
      <c r="AK72" s="390"/>
      <c r="AL72" s="390"/>
      <c r="AM72" s="390"/>
      <c r="AN72" s="390"/>
      <c r="AO72" s="390"/>
      <c r="AP72" s="390"/>
      <c r="AQ72" s="390"/>
      <c r="AR72" s="390"/>
      <c r="AS72" s="390"/>
      <c r="AT72" s="390"/>
      <c r="AU72" s="390"/>
      <c r="AV72" s="390"/>
      <c r="AW72" s="390"/>
      <c r="AX72" s="390"/>
      <c r="AY72" s="390"/>
      <c r="AZ72" s="390"/>
      <c r="BA72" s="390"/>
      <c r="BB72" s="390"/>
      <c r="BC72" s="390"/>
      <c r="BD72" s="390"/>
      <c r="BE72" s="390"/>
      <c r="BF72" s="390"/>
      <c r="BG72" s="390"/>
      <c r="BH72" s="390"/>
      <c r="BI72" s="390"/>
      <c r="BJ72" s="390"/>
      <c r="BK72" s="390"/>
      <c r="BL72" s="390"/>
      <c r="BM72" s="390"/>
      <c r="BN72" s="390"/>
      <c r="BO72" s="390"/>
      <c r="BP72" s="390"/>
      <c r="BQ72" s="390"/>
      <c r="BR72" s="390"/>
      <c r="BS72" s="390"/>
      <c r="BT72" s="390"/>
      <c r="BU72" s="390"/>
      <c r="BV72" s="390"/>
      <c r="BW72" s="390"/>
      <c r="BX72" s="390"/>
      <c r="BY72" s="390"/>
      <c r="BZ72" s="390"/>
      <c r="CA72" s="390"/>
      <c r="CB72" s="390"/>
      <c r="CC72" s="390"/>
      <c r="CD72" s="390"/>
      <c r="CE72" s="390"/>
      <c r="CF72" s="390"/>
      <c r="CG72" s="390"/>
      <c r="CH72" s="390"/>
      <c r="CI72" s="390"/>
      <c r="CJ72" s="390"/>
      <c r="CK72" s="390"/>
      <c r="CL72" s="390"/>
      <c r="CM72" s="390"/>
      <c r="CN72" s="390"/>
      <c r="CO72" s="390"/>
      <c r="CP72" s="390"/>
      <c r="CQ72" s="390"/>
      <c r="CR72" s="390"/>
      <c r="CS72" s="390"/>
      <c r="CT72" s="390"/>
      <c r="CU72" s="390"/>
      <c r="CV72" s="390"/>
      <c r="CW72" s="390"/>
      <c r="CX72" s="390"/>
      <c r="CY72" s="390"/>
      <c r="CZ72" s="390"/>
      <c r="DA72" s="390"/>
      <c r="DB72" s="390"/>
      <c r="DC72" s="390"/>
      <c r="DD72" s="390"/>
      <c r="DE72" s="390"/>
      <c r="DF72" s="390"/>
      <c r="DG72" s="390"/>
      <c r="DH72" s="390"/>
      <c r="DI72" s="390"/>
      <c r="DJ72" s="390"/>
      <c r="DK72" s="390"/>
      <c r="DL72" s="390"/>
      <c r="DM72" s="390"/>
      <c r="DN72" s="390"/>
      <c r="DO72" s="390"/>
      <c r="DP72" s="390"/>
      <c r="DQ72" s="390"/>
      <c r="DR72" s="390"/>
      <c r="DS72" s="390"/>
      <c r="DT72" s="390"/>
      <c r="DU72" s="390"/>
      <c r="DV72" s="390"/>
      <c r="DW72" s="390"/>
      <c r="DX72" s="390"/>
      <c r="DY72" s="390"/>
      <c r="DZ72" s="390"/>
      <c r="EA72" s="390"/>
      <c r="EB72" s="390"/>
      <c r="EC72" s="390"/>
      <c r="ED72" s="390"/>
      <c r="EE72" s="390"/>
      <c r="EF72" s="390"/>
      <c r="EG72" s="390"/>
      <c r="EH72" s="390"/>
      <c r="EI72" s="390"/>
      <c r="EJ72" s="390"/>
      <c r="EK72" s="390"/>
      <c r="EL72" s="390"/>
      <c r="EM72" s="390"/>
      <c r="EN72" s="390"/>
      <c r="EO72" s="390"/>
      <c r="EP72" s="390"/>
      <c r="EQ72" s="390"/>
      <c r="ER72" s="390"/>
      <c r="ES72" s="390"/>
      <c r="ET72" s="390"/>
      <c r="EU72" s="390"/>
      <c r="EV72" s="390"/>
      <c r="EW72" s="390"/>
      <c r="EX72" s="390"/>
      <c r="EY72" s="390"/>
      <c r="EZ72" s="390"/>
      <c r="FA72" s="390"/>
      <c r="FB72" s="390"/>
      <c r="FC72" s="390"/>
      <c r="FD72" s="390"/>
      <c r="FE72" s="390"/>
      <c r="FF72" s="390"/>
      <c r="FG72" s="390"/>
      <c r="FH72" s="390"/>
      <c r="FI72" s="390"/>
      <c r="FJ72" s="390"/>
      <c r="FK72" s="390"/>
      <c r="FL72" s="390"/>
      <c r="FM72" s="390"/>
      <c r="FN72" s="390"/>
      <c r="FO72" s="390"/>
      <c r="FP72" s="390"/>
      <c r="FQ72" s="390"/>
      <c r="FR72" s="390"/>
      <c r="FS72" s="390"/>
      <c r="FT72" s="390"/>
      <c r="FU72" s="390"/>
      <c r="FV72" s="390"/>
      <c r="FW72" s="390"/>
      <c r="FX72" s="390"/>
      <c r="FY72" s="390"/>
      <c r="FZ72" s="390"/>
      <c r="GA72" s="390"/>
      <c r="GB72" s="390"/>
      <c r="GC72" s="390"/>
      <c r="GD72" s="390"/>
      <c r="GE72" s="390"/>
      <c r="GF72" s="390"/>
      <c r="GG72" s="390"/>
      <c r="GH72" s="390"/>
      <c r="GI72" s="390"/>
      <c r="GJ72" s="390"/>
      <c r="GK72" s="390"/>
      <c r="GL72" s="390"/>
      <c r="GM72" s="390"/>
      <c r="GN72" s="390"/>
      <c r="GO72" s="390"/>
      <c r="GP72" s="390"/>
      <c r="GQ72" s="390"/>
      <c r="GR72" s="390"/>
      <c r="GS72" s="390"/>
      <c r="GT72" s="390"/>
      <c r="GU72" s="390"/>
      <c r="GV72" s="390"/>
      <c r="GW72" s="390"/>
      <c r="GX72" s="390"/>
      <c r="GY72" s="390"/>
      <c r="GZ72" s="390"/>
      <c r="HA72" s="390"/>
      <c r="HB72" s="390"/>
      <c r="HC72" s="390"/>
      <c r="HD72" s="390"/>
      <c r="HE72" s="390"/>
      <c r="HF72" s="390"/>
      <c r="HG72" s="390"/>
      <c r="HH72" s="390"/>
      <c r="HI72" s="390"/>
      <c r="HJ72" s="390"/>
      <c r="HK72" s="390"/>
      <c r="HL72" s="390"/>
      <c r="HM72" s="390"/>
      <c r="HN72" s="390"/>
      <c r="HO72" s="390"/>
      <c r="HP72" s="390"/>
      <c r="HQ72" s="390"/>
      <c r="HR72" s="390"/>
      <c r="HS72" s="390"/>
      <c r="HT72" s="390"/>
      <c r="HU72" s="390"/>
      <c r="HV72" s="390"/>
      <c r="HW72" s="390"/>
      <c r="HX72" s="390"/>
      <c r="HY72" s="390"/>
      <c r="HZ72" s="390"/>
      <c r="IA72" s="390"/>
      <c r="IB72" s="390"/>
      <c r="IC72" s="390"/>
      <c r="ID72" s="390"/>
      <c r="IE72" s="390"/>
      <c r="IF72" s="390"/>
      <c r="IG72" s="390"/>
      <c r="IH72" s="390"/>
      <c r="II72" s="390"/>
      <c r="IJ72" s="390"/>
      <c r="IK72" s="390"/>
      <c r="IL72" s="390"/>
      <c r="IM72" s="390"/>
      <c r="IN72" s="390"/>
      <c r="IO72" s="390"/>
      <c r="IP72" s="390"/>
      <c r="IQ72" s="390"/>
      <c r="IR72" s="390"/>
      <c r="IS72" s="390"/>
      <c r="IT72" s="390"/>
      <c r="IU72" s="390"/>
      <c r="IV72" s="390"/>
      <c r="IW72" s="390"/>
      <c r="IX72" s="390"/>
      <c r="IY72" s="390"/>
      <c r="IZ72" s="390"/>
      <c r="JA72" s="390"/>
      <c r="JB72" s="390"/>
      <c r="JC72" s="390"/>
      <c r="JD72" s="390"/>
      <c r="JE72" s="390"/>
      <c r="JF72" s="390"/>
      <c r="JG72" s="390"/>
      <c r="JH72" s="390"/>
      <c r="JI72" s="390"/>
      <c r="JJ72" s="390"/>
      <c r="JK72" s="390"/>
      <c r="JL72" s="390"/>
      <c r="JM72" s="390"/>
      <c r="JN72" s="390"/>
      <c r="JO72" s="390"/>
      <c r="JP72" s="390"/>
      <c r="JQ72" s="390"/>
      <c r="JR72" s="390"/>
      <c r="JS72" s="390"/>
      <c r="JT72" s="390"/>
      <c r="JU72" s="390"/>
      <c r="JV72" s="390"/>
      <c r="JW72" s="390"/>
      <c r="JX72" s="390"/>
      <c r="JY72" s="390"/>
      <c r="JZ72" s="390"/>
      <c r="KA72" s="390"/>
      <c r="KB72" s="390"/>
      <c r="KC72" s="390"/>
      <c r="KD72" s="390"/>
      <c r="KE72" s="390"/>
      <c r="KF72" s="390"/>
      <c r="KG72" s="390"/>
      <c r="KH72" s="390"/>
      <c r="KI72" s="390"/>
      <c r="KJ72" s="390"/>
      <c r="KK72" s="390"/>
      <c r="KL72" s="390"/>
      <c r="KM72" s="390"/>
      <c r="KN72" s="390"/>
      <c r="KO72" s="390"/>
      <c r="KP72" s="390"/>
      <c r="KQ72" s="390"/>
      <c r="KR72" s="390"/>
      <c r="KS72" s="390"/>
      <c r="KT72" s="390"/>
      <c r="KU72" s="390"/>
      <c r="KV72" s="390"/>
      <c r="KW72" s="390"/>
      <c r="KX72" s="390"/>
      <c r="KY72" s="390"/>
      <c r="KZ72" s="390"/>
      <c r="LA72" s="390"/>
      <c r="LB72" s="390"/>
      <c r="LC72" s="390"/>
      <c r="LD72" s="390"/>
      <c r="LE72" s="390"/>
      <c r="LF72" s="390"/>
      <c r="LG72" s="390"/>
      <c r="LH72" s="390"/>
      <c r="LI72" s="390"/>
      <c r="LJ72" s="390"/>
      <c r="LK72" s="390"/>
      <c r="LL72" s="390"/>
      <c r="LM72" s="390"/>
      <c r="LN72" s="390"/>
      <c r="LO72" s="390"/>
      <c r="LP72" s="390"/>
      <c r="LQ72" s="390"/>
      <c r="LR72" s="390"/>
      <c r="LS72" s="390"/>
      <c r="LT72" s="390"/>
      <c r="LU72" s="390"/>
      <c r="LV72" s="390"/>
      <c r="LW72" s="390"/>
      <c r="LX72" s="390"/>
      <c r="LY72" s="390"/>
      <c r="LZ72" s="390"/>
      <c r="MA72" s="390"/>
      <c r="MB72" s="390"/>
      <c r="MC72" s="390"/>
      <c r="MD72" s="390"/>
      <c r="ME72" s="390"/>
      <c r="MF72" s="390"/>
      <c r="MG72" s="390"/>
      <c r="MH72" s="390"/>
      <c r="MI72" s="390"/>
      <c r="MJ72" s="390"/>
      <c r="MK72" s="390"/>
      <c r="ML72" s="390"/>
      <c r="MM72" s="390"/>
      <c r="MN72" s="390"/>
      <c r="MO72" s="390"/>
      <c r="MP72" s="390"/>
      <c r="MQ72" s="390"/>
      <c r="MR72" s="390"/>
      <c r="MS72" s="390"/>
      <c r="MT72" s="390"/>
      <c r="MU72" s="390"/>
      <c r="MV72" s="390"/>
      <c r="MW72" s="390"/>
      <c r="MX72" s="390"/>
      <c r="MY72" s="390"/>
      <c r="MZ72" s="390"/>
      <c r="NA72" s="390"/>
      <c r="NB72" s="390"/>
      <c r="NC72" s="390"/>
      <c r="ND72" s="390"/>
      <c r="NE72" s="390"/>
      <c r="NF72" s="390"/>
      <c r="NG72" s="390"/>
      <c r="NH72" s="390"/>
      <c r="NI72" s="390"/>
      <c r="NJ72" s="390"/>
      <c r="NK72" s="390"/>
      <c r="NL72" s="390"/>
      <c r="NM72" s="390"/>
      <c r="NN72" s="390"/>
      <c r="NO72" s="390"/>
      <c r="NP72" s="390"/>
      <c r="NQ72" s="390"/>
      <c r="NR72" s="390"/>
      <c r="NS72" s="390"/>
      <c r="NT72" s="390"/>
      <c r="NU72" s="390"/>
      <c r="NV72" s="390"/>
      <c r="NW72" s="390"/>
      <c r="NX72" s="390"/>
      <c r="NY72" s="390"/>
      <c r="NZ72" s="390"/>
      <c r="OA72" s="390"/>
      <c r="OB72" s="390"/>
      <c r="OC72" s="390"/>
      <c r="OD72" s="390"/>
      <c r="OE72" s="390"/>
      <c r="OF72" s="390"/>
      <c r="OG72" s="390"/>
      <c r="OH72" s="390"/>
      <c r="OI72" s="390"/>
      <c r="OJ72" s="390"/>
      <c r="OK72" s="390"/>
      <c r="OL72" s="390"/>
      <c r="OM72" s="390"/>
      <c r="ON72" s="390"/>
      <c r="OO72" s="390"/>
      <c r="OP72" s="390"/>
      <c r="OQ72" s="390"/>
      <c r="OR72" s="390"/>
      <c r="OS72" s="390"/>
      <c r="OT72" s="390"/>
      <c r="OU72" s="390"/>
      <c r="OV72" s="390"/>
      <c r="OW72" s="390"/>
      <c r="OX72" s="390"/>
      <c r="OY72" s="390"/>
      <c r="OZ72" s="390"/>
      <c r="PA72" s="390"/>
      <c r="PB72" s="390"/>
      <c r="PC72" s="390"/>
      <c r="PD72" s="390"/>
      <c r="PE72" s="390"/>
      <c r="PF72" s="390"/>
      <c r="PG72" s="390"/>
      <c r="PH72" s="390"/>
      <c r="PI72" s="390"/>
      <c r="PJ72" s="390"/>
      <c r="PK72" s="390"/>
      <c r="PL72" s="390"/>
      <c r="PM72" s="390"/>
      <c r="PN72" s="390"/>
      <c r="PO72" s="390"/>
      <c r="PP72" s="390"/>
      <c r="PQ72" s="390"/>
      <c r="PR72" s="390"/>
      <c r="PS72" s="390"/>
      <c r="PT72" s="390"/>
      <c r="PU72" s="390"/>
      <c r="PV72" s="390"/>
      <c r="PW72" s="390"/>
      <c r="PX72" s="390"/>
      <c r="PY72" s="390"/>
      <c r="PZ72" s="390"/>
      <c r="QA72" s="390"/>
      <c r="QB72" s="390"/>
      <c r="QC72" s="390"/>
      <c r="QD72" s="390"/>
      <c r="QE72" s="390"/>
      <c r="QF72" s="390"/>
      <c r="QG72" s="390"/>
      <c r="QH72" s="390"/>
      <c r="QI72" s="390"/>
      <c r="QJ72" s="390"/>
      <c r="QK72" s="390"/>
      <c r="QL72" s="390"/>
      <c r="QM72" s="390"/>
      <c r="QN72" s="390"/>
      <c r="QO72" s="390"/>
      <c r="QP72" s="390"/>
      <c r="QQ72" s="390"/>
      <c r="QR72" s="390"/>
      <c r="QS72" s="390"/>
      <c r="QT72" s="390"/>
      <c r="QU72" s="390"/>
      <c r="QV72" s="390"/>
      <c r="QW72" s="390"/>
      <c r="QX72" s="390"/>
      <c r="QY72" s="390"/>
      <c r="QZ72" s="390"/>
      <c r="RA72" s="390"/>
      <c r="RB72" s="390"/>
      <c r="RC72" s="390"/>
      <c r="RD72" s="390"/>
      <c r="RE72" s="390"/>
      <c r="RF72" s="390"/>
      <c r="RG72" s="390"/>
      <c r="RH72" s="390"/>
      <c r="RI72" s="390"/>
      <c r="RJ72" s="390"/>
      <c r="RK72" s="390"/>
      <c r="RL72" s="390"/>
      <c r="RM72" s="390"/>
      <c r="RN72" s="390"/>
      <c r="RO72" s="390"/>
      <c r="RP72" s="390"/>
      <c r="RQ72" s="390"/>
      <c r="RR72" s="390"/>
      <c r="RS72" s="390"/>
      <c r="RT72" s="390"/>
      <c r="RU72" s="390"/>
      <c r="RV72" s="390"/>
      <c r="RW72" s="390"/>
      <c r="RX72" s="390"/>
      <c r="RY72" s="390"/>
      <c r="RZ72" s="390"/>
      <c r="SA72" s="390"/>
      <c r="SB72" s="390"/>
      <c r="SC72" s="390"/>
      <c r="SD72" s="390"/>
      <c r="SE72" s="390"/>
      <c r="SF72" s="390"/>
      <c r="SG72" s="390"/>
      <c r="SH72" s="390"/>
      <c r="SI72" s="390"/>
      <c r="SJ72" s="390"/>
      <c r="SK72" s="390"/>
      <c r="SL72" s="390"/>
      <c r="SM72" s="390"/>
      <c r="SN72" s="390"/>
      <c r="SO72" s="390"/>
      <c r="SP72" s="390"/>
      <c r="SQ72" s="390"/>
      <c r="SR72" s="390"/>
      <c r="SS72" s="390"/>
      <c r="ST72" s="390"/>
      <c r="SU72" s="390"/>
      <c r="SV72" s="390"/>
      <c r="SW72" s="390"/>
      <c r="SX72" s="390"/>
      <c r="SY72" s="390"/>
      <c r="SZ72" s="390"/>
      <c r="TA72" s="390"/>
      <c r="TB72" s="390"/>
      <c r="TC72" s="390"/>
      <c r="TD72" s="390"/>
      <c r="TE72" s="390"/>
      <c r="TF72" s="390"/>
      <c r="TG72" s="390"/>
      <c r="TH72" s="390"/>
      <c r="TI72" s="390"/>
      <c r="TJ72" s="390"/>
      <c r="TK72" s="390"/>
      <c r="TL72" s="390"/>
      <c r="TM72" s="390"/>
      <c r="TN72" s="390"/>
      <c r="TO72" s="390"/>
      <c r="TP72" s="390"/>
      <c r="TQ72" s="390"/>
      <c r="TR72" s="390"/>
      <c r="TS72" s="390"/>
      <c r="TT72" s="390"/>
      <c r="TU72" s="390"/>
      <c r="TV72" s="390"/>
      <c r="TW72" s="390"/>
      <c r="TX72" s="390"/>
      <c r="TY72" s="390"/>
      <c r="TZ72" s="390"/>
      <c r="UA72" s="390"/>
      <c r="UB72" s="390"/>
      <c r="UC72" s="390"/>
      <c r="UD72" s="390"/>
      <c r="UE72" s="390"/>
      <c r="UF72" s="390"/>
      <c r="UG72" s="390"/>
      <c r="UH72" s="390"/>
      <c r="UI72" s="390"/>
      <c r="UJ72" s="390"/>
      <c r="UK72" s="390"/>
      <c r="UL72" s="390"/>
      <c r="UM72" s="390"/>
      <c r="UN72" s="390"/>
      <c r="UO72" s="390"/>
      <c r="UP72" s="390"/>
      <c r="UQ72" s="390"/>
      <c r="UR72" s="390"/>
      <c r="US72" s="390"/>
      <c r="UT72" s="390"/>
      <c r="UU72" s="390"/>
      <c r="UV72" s="390"/>
      <c r="UW72" s="390"/>
      <c r="UX72" s="390"/>
      <c r="UY72" s="390"/>
      <c r="UZ72" s="390"/>
      <c r="VA72" s="390"/>
      <c r="VB72" s="390"/>
      <c r="VC72" s="390"/>
      <c r="VD72" s="390"/>
      <c r="VE72" s="390"/>
      <c r="VF72" s="390"/>
      <c r="VG72" s="390"/>
      <c r="VH72" s="390"/>
      <c r="VI72" s="390"/>
      <c r="VJ72" s="390"/>
      <c r="VK72" s="390"/>
      <c r="VL72" s="390"/>
      <c r="VM72" s="390"/>
      <c r="VN72" s="390"/>
      <c r="VO72" s="390"/>
      <c r="VP72" s="390"/>
      <c r="VQ72" s="390"/>
      <c r="VR72" s="390"/>
      <c r="VS72" s="390"/>
      <c r="VT72" s="390"/>
      <c r="VU72" s="390"/>
      <c r="VV72" s="390"/>
      <c r="VW72" s="390"/>
      <c r="VX72" s="390"/>
      <c r="VY72" s="390"/>
      <c r="VZ72" s="390"/>
      <c r="WA72" s="390"/>
      <c r="WB72" s="390"/>
      <c r="WC72" s="390"/>
      <c r="WD72" s="390"/>
      <c r="WE72" s="390"/>
      <c r="WF72" s="390"/>
      <c r="WG72" s="390"/>
      <c r="WH72" s="390"/>
      <c r="WI72" s="390"/>
      <c r="WJ72" s="390"/>
      <c r="WK72" s="390"/>
      <c r="WL72" s="390"/>
      <c r="WM72" s="390"/>
      <c r="WN72" s="390"/>
      <c r="WO72" s="390"/>
      <c r="WP72" s="390"/>
      <c r="WQ72" s="390"/>
      <c r="WR72" s="390"/>
      <c r="WS72" s="390"/>
      <c r="WT72" s="390"/>
      <c r="WU72" s="390"/>
      <c r="WV72" s="390"/>
      <c r="WW72" s="390"/>
      <c r="WX72" s="390"/>
      <c r="WY72" s="390"/>
      <c r="WZ72" s="390"/>
      <c r="XA72" s="390"/>
      <c r="XB72" s="390"/>
      <c r="XC72" s="390"/>
      <c r="XD72" s="390"/>
      <c r="XE72" s="390"/>
      <c r="XF72" s="390"/>
      <c r="XG72" s="390"/>
      <c r="XH72" s="390"/>
      <c r="XI72" s="390"/>
      <c r="XJ72" s="390"/>
      <c r="XK72" s="390"/>
      <c r="XL72" s="390"/>
      <c r="XM72" s="390"/>
      <c r="XN72" s="390"/>
      <c r="XO72" s="390"/>
      <c r="XP72" s="390"/>
      <c r="XQ72" s="390"/>
      <c r="XR72" s="390"/>
      <c r="XS72" s="390"/>
      <c r="XT72" s="390"/>
      <c r="XU72" s="390"/>
      <c r="XV72" s="390"/>
      <c r="XW72" s="390"/>
      <c r="XX72" s="390"/>
      <c r="XY72" s="390"/>
      <c r="XZ72" s="390"/>
      <c r="YA72" s="390"/>
      <c r="YB72" s="390"/>
      <c r="YC72" s="390"/>
      <c r="YD72" s="390"/>
      <c r="YE72" s="390"/>
      <c r="YF72" s="390"/>
      <c r="YG72" s="390"/>
      <c r="YH72" s="390"/>
      <c r="YI72" s="390"/>
      <c r="YJ72" s="390"/>
      <c r="YK72" s="390"/>
      <c r="YL72" s="390"/>
      <c r="YM72" s="390"/>
      <c r="YN72" s="390"/>
      <c r="YO72" s="390"/>
      <c r="YP72" s="390"/>
      <c r="YQ72" s="390"/>
      <c r="YR72" s="390"/>
      <c r="YS72" s="390"/>
      <c r="YT72" s="390"/>
      <c r="YU72" s="390"/>
      <c r="YV72" s="390"/>
      <c r="YW72" s="390"/>
      <c r="YX72" s="390"/>
      <c r="YY72" s="390"/>
      <c r="YZ72" s="390"/>
      <c r="ZA72" s="390"/>
      <c r="ZB72" s="390"/>
      <c r="ZC72" s="390"/>
      <c r="ZD72" s="390"/>
      <c r="ZE72" s="390"/>
      <c r="ZF72" s="390"/>
      <c r="ZG72" s="390"/>
      <c r="ZH72" s="390"/>
      <c r="ZI72" s="390"/>
      <c r="ZJ72" s="390"/>
      <c r="ZK72" s="390"/>
      <c r="ZL72" s="390"/>
      <c r="ZM72" s="390"/>
      <c r="ZN72" s="390"/>
      <c r="ZO72" s="390"/>
      <c r="ZP72" s="390"/>
      <c r="ZQ72" s="390"/>
      <c r="ZR72" s="390"/>
      <c r="ZS72" s="390"/>
      <c r="ZT72" s="390"/>
      <c r="ZU72" s="390"/>
      <c r="ZV72" s="390"/>
      <c r="ZW72" s="390"/>
      <c r="ZX72" s="390"/>
      <c r="ZY72" s="390"/>
      <c r="ZZ72" s="390"/>
      <c r="AAA72" s="390"/>
      <c r="AAB72" s="390"/>
      <c r="AAC72" s="390"/>
      <c r="AAD72" s="390"/>
      <c r="AAE72" s="390"/>
      <c r="AAF72" s="390"/>
      <c r="AAG72" s="390"/>
      <c r="AAH72" s="390"/>
      <c r="AAI72" s="390"/>
      <c r="AAJ72" s="390"/>
      <c r="AAK72" s="390"/>
      <c r="AAL72" s="390"/>
      <c r="AAM72" s="390"/>
      <c r="AAN72" s="390"/>
      <c r="AAO72" s="390"/>
      <c r="AAP72" s="390"/>
      <c r="AAQ72" s="390"/>
      <c r="AAR72" s="390"/>
      <c r="AAS72" s="390"/>
      <c r="AAT72" s="390"/>
      <c r="AAU72" s="390"/>
      <c r="AAV72" s="390"/>
      <c r="AAW72" s="390"/>
      <c r="AAX72" s="390"/>
      <c r="AAY72" s="390"/>
      <c r="AAZ72" s="390"/>
      <c r="ABA72" s="390"/>
      <c r="ABB72" s="390"/>
      <c r="ABC72" s="390"/>
      <c r="ABD72" s="390"/>
      <c r="ABE72" s="390"/>
      <c r="ABF72" s="390"/>
      <c r="ABG72" s="390"/>
      <c r="ABH72" s="390"/>
      <c r="ABI72" s="390"/>
      <c r="ABJ72" s="390"/>
      <c r="ABK72" s="390"/>
      <c r="ABL72" s="390"/>
      <c r="ABM72" s="390"/>
      <c r="ABN72" s="390"/>
      <c r="ABO72" s="390"/>
      <c r="ABP72" s="390"/>
      <c r="ABQ72" s="390"/>
      <c r="ABR72" s="390"/>
      <c r="ABS72" s="390"/>
      <c r="ABT72" s="390"/>
      <c r="ABU72" s="390"/>
      <c r="ABV72" s="390"/>
      <c r="ABW72" s="390"/>
      <c r="ABX72" s="390"/>
      <c r="ABY72" s="390"/>
      <c r="ABZ72" s="390"/>
      <c r="ACA72" s="390"/>
      <c r="ACB72" s="390"/>
      <c r="ACC72" s="390"/>
      <c r="ACD72" s="390"/>
      <c r="ACE72" s="390"/>
      <c r="ACF72" s="390"/>
      <c r="ACG72" s="390"/>
      <c r="ACH72" s="390"/>
      <c r="ACI72" s="390"/>
    </row>
    <row r="73" spans="1:763" ht="13.95" customHeight="1" x14ac:dyDescent="0.3">
      <c r="A73" s="390"/>
      <c r="B73" s="390"/>
      <c r="C73" s="390"/>
      <c r="D73" s="390"/>
      <c r="E73" s="390"/>
      <c r="F73" s="390"/>
      <c r="G73" s="390"/>
      <c r="H73" s="396"/>
      <c r="I73" s="390"/>
      <c r="J73" s="390"/>
      <c r="K73" s="390"/>
      <c r="L73" s="390"/>
      <c r="M73" s="390"/>
      <c r="N73" s="390"/>
      <c r="O73" s="390"/>
      <c r="P73" s="390"/>
      <c r="Q73" s="390"/>
      <c r="R73" s="390"/>
      <c r="S73" s="390"/>
      <c r="T73" s="390"/>
      <c r="U73" s="390"/>
      <c r="V73" s="390"/>
      <c r="W73" s="390"/>
      <c r="X73" s="390"/>
      <c r="Y73" s="390"/>
      <c r="Z73" s="390"/>
      <c r="AA73" s="390"/>
      <c r="AB73" s="390"/>
      <c r="AC73" s="390"/>
      <c r="AD73" s="390"/>
      <c r="AE73" s="390"/>
      <c r="AF73" s="390"/>
      <c r="AG73" s="390"/>
      <c r="AH73" s="390"/>
      <c r="AI73" s="390"/>
      <c r="AJ73" s="390"/>
      <c r="AK73" s="390"/>
      <c r="AL73" s="390"/>
      <c r="AM73" s="390"/>
      <c r="AN73" s="390"/>
      <c r="AO73" s="390"/>
      <c r="AP73" s="390"/>
      <c r="AQ73" s="390"/>
      <c r="AR73" s="390"/>
      <c r="AS73" s="390"/>
      <c r="AT73" s="390"/>
      <c r="AU73" s="390"/>
      <c r="AV73" s="390"/>
      <c r="AW73" s="390"/>
      <c r="AX73" s="390"/>
      <c r="AY73" s="390"/>
      <c r="AZ73" s="390"/>
      <c r="BA73" s="390"/>
      <c r="BB73" s="390"/>
      <c r="BC73" s="390"/>
      <c r="BD73" s="390"/>
      <c r="BE73" s="390"/>
      <c r="BF73" s="390"/>
      <c r="BG73" s="390"/>
      <c r="BH73" s="390"/>
      <c r="BI73" s="390"/>
      <c r="BJ73" s="390"/>
      <c r="BK73" s="390"/>
      <c r="BL73" s="390"/>
      <c r="BM73" s="390"/>
      <c r="BN73" s="390"/>
      <c r="BO73" s="390"/>
      <c r="BP73" s="390"/>
      <c r="BQ73" s="390"/>
      <c r="BR73" s="390"/>
      <c r="BS73" s="390"/>
      <c r="BT73" s="390"/>
      <c r="BU73" s="390"/>
      <c r="BV73" s="390"/>
      <c r="BW73" s="390"/>
      <c r="BX73" s="390"/>
      <c r="BY73" s="390"/>
      <c r="BZ73" s="390"/>
      <c r="CA73" s="390"/>
      <c r="CB73" s="390"/>
      <c r="CC73" s="390"/>
      <c r="CD73" s="390"/>
      <c r="CE73" s="390"/>
      <c r="CF73" s="390"/>
      <c r="CG73" s="390"/>
      <c r="CH73" s="390"/>
      <c r="CI73" s="390"/>
      <c r="CJ73" s="390"/>
      <c r="CK73" s="390"/>
      <c r="CL73" s="390"/>
      <c r="CM73" s="390"/>
      <c r="CN73" s="390"/>
      <c r="CO73" s="390"/>
      <c r="CP73" s="390"/>
      <c r="CQ73" s="390"/>
      <c r="CR73" s="390"/>
      <c r="CS73" s="390"/>
      <c r="CT73" s="390"/>
      <c r="CU73" s="390"/>
      <c r="CV73" s="390"/>
      <c r="CW73" s="390"/>
      <c r="CX73" s="390"/>
      <c r="CY73" s="390"/>
      <c r="CZ73" s="390"/>
      <c r="DA73" s="390"/>
      <c r="DB73" s="390"/>
      <c r="DC73" s="390"/>
      <c r="DD73" s="390"/>
      <c r="DE73" s="390"/>
      <c r="DF73" s="390"/>
      <c r="DG73" s="390"/>
      <c r="DH73" s="390"/>
      <c r="DI73" s="390"/>
      <c r="DJ73" s="390"/>
      <c r="DK73" s="390"/>
      <c r="DL73" s="390"/>
      <c r="DM73" s="390"/>
      <c r="DN73" s="390"/>
      <c r="DO73" s="390"/>
      <c r="DP73" s="390"/>
      <c r="DQ73" s="390"/>
      <c r="DR73" s="390"/>
      <c r="DS73" s="390"/>
      <c r="DT73" s="390"/>
      <c r="DU73" s="390"/>
      <c r="DV73" s="390"/>
      <c r="DW73" s="390"/>
      <c r="DX73" s="390"/>
      <c r="DY73" s="390"/>
      <c r="DZ73" s="390"/>
      <c r="EA73" s="390"/>
      <c r="EB73" s="390"/>
      <c r="EC73" s="390"/>
      <c r="ED73" s="390"/>
      <c r="EE73" s="390"/>
      <c r="EF73" s="390"/>
      <c r="EG73" s="390"/>
      <c r="EH73" s="390"/>
      <c r="EI73" s="390"/>
      <c r="EJ73" s="390"/>
      <c r="EK73" s="390"/>
      <c r="EL73" s="390"/>
      <c r="EM73" s="390"/>
      <c r="EN73" s="390"/>
      <c r="EO73" s="390"/>
      <c r="EP73" s="390"/>
      <c r="EQ73" s="390"/>
      <c r="ER73" s="390"/>
      <c r="ES73" s="390"/>
      <c r="ET73" s="390"/>
      <c r="EU73" s="390"/>
      <c r="EV73" s="390"/>
      <c r="EW73" s="390"/>
      <c r="EX73" s="390"/>
      <c r="EY73" s="390"/>
      <c r="EZ73" s="390"/>
      <c r="FA73" s="390"/>
      <c r="FB73" s="390"/>
      <c r="FC73" s="390"/>
      <c r="FD73" s="390"/>
      <c r="FE73" s="390"/>
      <c r="FF73" s="390"/>
      <c r="FG73" s="390"/>
      <c r="FH73" s="390"/>
      <c r="FI73" s="390"/>
      <c r="FJ73" s="390"/>
      <c r="FK73" s="390"/>
      <c r="FL73" s="390"/>
      <c r="FM73" s="390"/>
      <c r="FN73" s="390"/>
      <c r="FO73" s="390"/>
      <c r="FP73" s="390"/>
      <c r="FQ73" s="390"/>
      <c r="FR73" s="390"/>
      <c r="FS73" s="390"/>
      <c r="FT73" s="390"/>
      <c r="FU73" s="390"/>
      <c r="FV73" s="390"/>
      <c r="FW73" s="390"/>
      <c r="FX73" s="390"/>
      <c r="FY73" s="390"/>
      <c r="FZ73" s="390"/>
      <c r="GA73" s="390"/>
      <c r="GB73" s="390"/>
      <c r="GC73" s="390"/>
      <c r="GD73" s="390"/>
      <c r="GE73" s="390"/>
      <c r="GF73" s="390"/>
      <c r="GG73" s="390"/>
      <c r="GH73" s="390"/>
      <c r="GI73" s="390"/>
      <c r="GJ73" s="390"/>
      <c r="GK73" s="390"/>
      <c r="GL73" s="390"/>
      <c r="GM73" s="390"/>
      <c r="GN73" s="390"/>
      <c r="GO73" s="390"/>
      <c r="GP73" s="390"/>
      <c r="GQ73" s="390"/>
      <c r="GR73" s="390"/>
      <c r="GS73" s="390"/>
      <c r="GT73" s="390"/>
      <c r="GU73" s="390"/>
      <c r="GV73" s="390"/>
      <c r="GW73" s="390"/>
      <c r="GX73" s="390"/>
      <c r="GY73" s="390"/>
      <c r="GZ73" s="390"/>
      <c r="HA73" s="390"/>
      <c r="HB73" s="390"/>
      <c r="HC73" s="390"/>
      <c r="HD73" s="390"/>
      <c r="HE73" s="390"/>
      <c r="HF73" s="390"/>
      <c r="HG73" s="390"/>
      <c r="HH73" s="390"/>
      <c r="HI73" s="390"/>
      <c r="HJ73" s="390"/>
      <c r="HK73" s="390"/>
      <c r="HL73" s="390"/>
      <c r="HM73" s="390"/>
      <c r="HN73" s="390"/>
      <c r="HO73" s="390"/>
      <c r="HP73" s="390"/>
      <c r="HQ73" s="390"/>
      <c r="HR73" s="390"/>
      <c r="HS73" s="390"/>
      <c r="HT73" s="390"/>
      <c r="HU73" s="390"/>
      <c r="HV73" s="390"/>
      <c r="HW73" s="390"/>
      <c r="HX73" s="390"/>
      <c r="HY73" s="390"/>
      <c r="HZ73" s="390"/>
      <c r="IA73" s="390"/>
      <c r="IB73" s="390"/>
      <c r="IC73" s="390"/>
      <c r="ID73" s="390"/>
      <c r="IE73" s="390"/>
      <c r="IF73" s="390"/>
      <c r="IG73" s="390"/>
      <c r="IH73" s="390"/>
      <c r="II73" s="390"/>
      <c r="IJ73" s="390"/>
      <c r="IK73" s="390"/>
      <c r="IL73" s="390"/>
      <c r="IM73" s="390"/>
      <c r="IN73" s="390"/>
      <c r="IO73" s="390"/>
      <c r="IP73" s="390"/>
      <c r="IQ73" s="390"/>
      <c r="IR73" s="390"/>
      <c r="IS73" s="390"/>
      <c r="IT73" s="390"/>
      <c r="IU73" s="390"/>
      <c r="IV73" s="390"/>
      <c r="IW73" s="390"/>
      <c r="IX73" s="390"/>
      <c r="IY73" s="390"/>
      <c r="IZ73" s="390"/>
      <c r="JA73" s="390"/>
      <c r="JB73" s="390"/>
      <c r="JC73" s="390"/>
      <c r="JD73" s="390"/>
      <c r="JE73" s="390"/>
      <c r="JF73" s="390"/>
      <c r="JG73" s="390"/>
      <c r="JH73" s="390"/>
      <c r="JI73" s="390"/>
      <c r="JJ73" s="390"/>
      <c r="JK73" s="390"/>
      <c r="JL73" s="390"/>
      <c r="JM73" s="390"/>
      <c r="JN73" s="390"/>
      <c r="JO73" s="390"/>
      <c r="JP73" s="390"/>
      <c r="JQ73" s="390"/>
      <c r="JR73" s="390"/>
      <c r="JS73" s="390"/>
      <c r="JT73" s="390"/>
      <c r="JU73" s="390"/>
      <c r="JV73" s="390"/>
      <c r="JW73" s="390"/>
      <c r="JX73" s="390"/>
      <c r="JY73" s="390"/>
      <c r="JZ73" s="390"/>
      <c r="KA73" s="390"/>
      <c r="KB73" s="390"/>
      <c r="KC73" s="390"/>
      <c r="KD73" s="390"/>
      <c r="KE73" s="390"/>
      <c r="KF73" s="390"/>
      <c r="KG73" s="390"/>
      <c r="KH73" s="390"/>
      <c r="KI73" s="390"/>
      <c r="KJ73" s="390"/>
      <c r="KK73" s="390"/>
      <c r="KL73" s="390"/>
      <c r="KM73" s="390"/>
      <c r="KN73" s="390"/>
      <c r="KO73" s="390"/>
      <c r="KP73" s="390"/>
      <c r="KQ73" s="390"/>
      <c r="KR73" s="390"/>
      <c r="KS73" s="390"/>
      <c r="KT73" s="390"/>
      <c r="KU73" s="390"/>
      <c r="KV73" s="390"/>
      <c r="KW73" s="390"/>
      <c r="KX73" s="390"/>
      <c r="KY73" s="390"/>
      <c r="KZ73" s="390"/>
      <c r="LA73" s="390"/>
      <c r="LB73" s="390"/>
      <c r="LC73" s="390"/>
      <c r="LD73" s="390"/>
      <c r="LE73" s="390"/>
      <c r="LF73" s="390"/>
      <c r="LG73" s="390"/>
      <c r="LH73" s="390"/>
      <c r="LI73" s="390"/>
      <c r="LJ73" s="390"/>
      <c r="LK73" s="390"/>
      <c r="LL73" s="390"/>
      <c r="LM73" s="390"/>
      <c r="LN73" s="390"/>
      <c r="LO73" s="390"/>
      <c r="LP73" s="390"/>
      <c r="LQ73" s="390"/>
      <c r="LR73" s="390"/>
      <c r="LS73" s="390"/>
      <c r="LT73" s="390"/>
      <c r="LU73" s="390"/>
      <c r="LV73" s="390"/>
      <c r="LW73" s="390"/>
      <c r="LX73" s="390"/>
      <c r="LY73" s="390"/>
      <c r="LZ73" s="390"/>
      <c r="MA73" s="390"/>
      <c r="MB73" s="390"/>
      <c r="MC73" s="390"/>
      <c r="MD73" s="390"/>
      <c r="ME73" s="390"/>
      <c r="MF73" s="390"/>
      <c r="MG73" s="390"/>
      <c r="MH73" s="390"/>
      <c r="MI73" s="390"/>
      <c r="MJ73" s="390"/>
      <c r="MK73" s="390"/>
      <c r="ML73" s="390"/>
      <c r="MM73" s="390"/>
      <c r="MN73" s="390"/>
      <c r="MO73" s="390"/>
      <c r="MP73" s="390"/>
      <c r="MQ73" s="390"/>
      <c r="MR73" s="390"/>
      <c r="MS73" s="390"/>
      <c r="MT73" s="390"/>
      <c r="MU73" s="390"/>
      <c r="MV73" s="390"/>
      <c r="MW73" s="390"/>
      <c r="MX73" s="390"/>
      <c r="MY73" s="390"/>
      <c r="MZ73" s="390"/>
      <c r="NA73" s="390"/>
      <c r="NB73" s="390"/>
      <c r="NC73" s="390"/>
      <c r="ND73" s="390"/>
      <c r="NE73" s="390"/>
      <c r="NF73" s="390"/>
      <c r="NG73" s="390"/>
      <c r="NH73" s="390"/>
      <c r="NI73" s="390"/>
      <c r="NJ73" s="390"/>
      <c r="NK73" s="390"/>
      <c r="NL73" s="390"/>
      <c r="NM73" s="390"/>
      <c r="NN73" s="390"/>
      <c r="NO73" s="390"/>
      <c r="NP73" s="390"/>
      <c r="NQ73" s="390"/>
      <c r="NR73" s="390"/>
      <c r="NS73" s="390"/>
      <c r="NT73" s="390"/>
      <c r="NU73" s="390"/>
      <c r="NV73" s="390"/>
      <c r="NW73" s="390"/>
      <c r="NX73" s="390"/>
      <c r="NY73" s="390"/>
      <c r="NZ73" s="390"/>
      <c r="OA73" s="390"/>
      <c r="OB73" s="390"/>
      <c r="OC73" s="390"/>
      <c r="OD73" s="390"/>
      <c r="OE73" s="390"/>
      <c r="OF73" s="390"/>
      <c r="OG73" s="390"/>
      <c r="OH73" s="390"/>
      <c r="OI73" s="390"/>
      <c r="OJ73" s="390"/>
      <c r="OK73" s="390"/>
      <c r="OL73" s="390"/>
      <c r="OM73" s="390"/>
      <c r="ON73" s="390"/>
      <c r="OO73" s="390"/>
      <c r="OP73" s="390"/>
      <c r="OQ73" s="390"/>
      <c r="OR73" s="390"/>
      <c r="OS73" s="390"/>
      <c r="OT73" s="390"/>
      <c r="OU73" s="390"/>
      <c r="OV73" s="390"/>
      <c r="OW73" s="390"/>
      <c r="OX73" s="390"/>
      <c r="OY73" s="390"/>
      <c r="OZ73" s="390"/>
      <c r="PA73" s="390"/>
      <c r="PB73" s="390"/>
      <c r="PC73" s="390"/>
      <c r="PD73" s="390"/>
      <c r="PE73" s="390"/>
      <c r="PF73" s="390"/>
      <c r="PG73" s="390"/>
      <c r="PH73" s="390"/>
      <c r="PI73" s="390"/>
      <c r="PJ73" s="390"/>
      <c r="PK73" s="390"/>
      <c r="PL73" s="390"/>
      <c r="PM73" s="390"/>
      <c r="PN73" s="390"/>
      <c r="PO73" s="390"/>
      <c r="PP73" s="390"/>
      <c r="PQ73" s="390"/>
      <c r="PR73" s="390"/>
      <c r="PS73" s="390"/>
      <c r="PT73" s="390"/>
      <c r="PU73" s="390"/>
      <c r="PV73" s="390"/>
      <c r="PW73" s="390"/>
      <c r="PX73" s="390"/>
      <c r="PY73" s="390"/>
      <c r="PZ73" s="390"/>
      <c r="QA73" s="390"/>
      <c r="QB73" s="390"/>
      <c r="QC73" s="390"/>
      <c r="QD73" s="390"/>
      <c r="QE73" s="390"/>
      <c r="QF73" s="390"/>
      <c r="QG73" s="390"/>
      <c r="QH73" s="390"/>
      <c r="QI73" s="390"/>
      <c r="QJ73" s="390"/>
      <c r="QK73" s="390"/>
      <c r="QL73" s="390"/>
      <c r="QM73" s="390"/>
      <c r="QN73" s="390"/>
      <c r="QO73" s="390"/>
      <c r="QP73" s="390"/>
      <c r="QQ73" s="390"/>
      <c r="QR73" s="390"/>
      <c r="QS73" s="390"/>
      <c r="QT73" s="390"/>
      <c r="QU73" s="390"/>
      <c r="QV73" s="390"/>
      <c r="QW73" s="390"/>
      <c r="QX73" s="390"/>
      <c r="QY73" s="390"/>
      <c r="QZ73" s="390"/>
      <c r="RA73" s="390"/>
      <c r="RB73" s="390"/>
      <c r="RC73" s="390"/>
      <c r="RD73" s="390"/>
      <c r="RE73" s="390"/>
      <c r="RF73" s="390"/>
      <c r="RG73" s="390"/>
      <c r="RH73" s="390"/>
      <c r="RI73" s="390"/>
      <c r="RJ73" s="390"/>
      <c r="RK73" s="390"/>
      <c r="RL73" s="390"/>
      <c r="RM73" s="390"/>
      <c r="RN73" s="390"/>
      <c r="RO73" s="390"/>
      <c r="RP73" s="390"/>
      <c r="RQ73" s="390"/>
      <c r="RR73" s="390"/>
      <c r="RS73" s="390"/>
      <c r="RT73" s="390"/>
      <c r="RU73" s="390"/>
      <c r="RV73" s="390"/>
      <c r="RW73" s="390"/>
      <c r="RX73" s="390"/>
      <c r="RY73" s="390"/>
      <c r="RZ73" s="390"/>
      <c r="SA73" s="390"/>
      <c r="SB73" s="390"/>
      <c r="SC73" s="390"/>
      <c r="SD73" s="390"/>
      <c r="SE73" s="390"/>
      <c r="SF73" s="390"/>
      <c r="SG73" s="390"/>
      <c r="SH73" s="390"/>
      <c r="SI73" s="390"/>
      <c r="SJ73" s="390"/>
      <c r="SK73" s="390"/>
      <c r="SL73" s="390"/>
      <c r="SM73" s="390"/>
      <c r="SN73" s="390"/>
      <c r="SO73" s="390"/>
      <c r="SP73" s="390"/>
      <c r="SQ73" s="390"/>
      <c r="SR73" s="390"/>
      <c r="SS73" s="390"/>
      <c r="ST73" s="390"/>
      <c r="SU73" s="390"/>
      <c r="SV73" s="390"/>
      <c r="SW73" s="390"/>
      <c r="SX73" s="390"/>
      <c r="SY73" s="390"/>
      <c r="SZ73" s="390"/>
      <c r="TA73" s="390"/>
      <c r="TB73" s="390"/>
      <c r="TC73" s="390"/>
      <c r="TD73" s="390"/>
      <c r="TE73" s="390"/>
      <c r="TF73" s="390"/>
      <c r="TG73" s="390"/>
      <c r="TH73" s="390"/>
      <c r="TI73" s="390"/>
      <c r="TJ73" s="390"/>
      <c r="TK73" s="390"/>
      <c r="TL73" s="390"/>
      <c r="TM73" s="390"/>
      <c r="TN73" s="390"/>
      <c r="TO73" s="390"/>
      <c r="TP73" s="390"/>
      <c r="TQ73" s="390"/>
      <c r="TR73" s="390"/>
      <c r="TS73" s="390"/>
      <c r="TT73" s="390"/>
      <c r="TU73" s="390"/>
      <c r="TV73" s="390"/>
      <c r="TW73" s="390"/>
      <c r="TX73" s="390"/>
      <c r="TY73" s="390"/>
      <c r="TZ73" s="390"/>
      <c r="UA73" s="390"/>
      <c r="UB73" s="390"/>
      <c r="UC73" s="390"/>
      <c r="UD73" s="390"/>
      <c r="UE73" s="390"/>
      <c r="UF73" s="390"/>
      <c r="UG73" s="390"/>
      <c r="UH73" s="390"/>
      <c r="UI73" s="390"/>
      <c r="UJ73" s="390"/>
      <c r="UK73" s="390"/>
      <c r="UL73" s="390"/>
      <c r="UM73" s="390"/>
      <c r="UN73" s="390"/>
      <c r="UO73" s="390"/>
      <c r="UP73" s="390"/>
      <c r="UQ73" s="390"/>
      <c r="UR73" s="390"/>
      <c r="US73" s="390"/>
      <c r="UT73" s="390"/>
      <c r="UU73" s="390"/>
      <c r="UV73" s="390"/>
      <c r="UW73" s="390"/>
      <c r="UX73" s="390"/>
      <c r="UY73" s="390"/>
      <c r="UZ73" s="390"/>
      <c r="VA73" s="390"/>
      <c r="VB73" s="390"/>
      <c r="VC73" s="390"/>
      <c r="VD73" s="390"/>
      <c r="VE73" s="390"/>
      <c r="VF73" s="390"/>
      <c r="VG73" s="390"/>
      <c r="VH73" s="390"/>
      <c r="VI73" s="390"/>
      <c r="VJ73" s="390"/>
      <c r="VK73" s="390"/>
      <c r="VL73" s="390"/>
      <c r="VM73" s="390"/>
      <c r="VN73" s="390"/>
      <c r="VO73" s="390"/>
      <c r="VP73" s="390"/>
      <c r="VQ73" s="390"/>
      <c r="VR73" s="390"/>
      <c r="VS73" s="390"/>
      <c r="VT73" s="390"/>
      <c r="VU73" s="390"/>
      <c r="VV73" s="390"/>
      <c r="VW73" s="390"/>
      <c r="VX73" s="390"/>
      <c r="VY73" s="390"/>
      <c r="VZ73" s="390"/>
      <c r="WA73" s="390"/>
      <c r="WB73" s="390"/>
      <c r="WC73" s="390"/>
      <c r="WD73" s="390"/>
      <c r="WE73" s="390"/>
      <c r="WF73" s="390"/>
      <c r="WG73" s="390"/>
      <c r="WH73" s="390"/>
      <c r="WI73" s="390"/>
      <c r="WJ73" s="390"/>
      <c r="WK73" s="390"/>
      <c r="WL73" s="390"/>
      <c r="WM73" s="390"/>
      <c r="WN73" s="390"/>
      <c r="WO73" s="390"/>
      <c r="WP73" s="390"/>
      <c r="WQ73" s="390"/>
      <c r="WR73" s="390"/>
      <c r="WS73" s="390"/>
      <c r="WT73" s="390"/>
      <c r="WU73" s="390"/>
      <c r="WV73" s="390"/>
      <c r="WW73" s="390"/>
      <c r="WX73" s="390"/>
      <c r="WY73" s="390"/>
      <c r="WZ73" s="390"/>
      <c r="XA73" s="390"/>
      <c r="XB73" s="390"/>
      <c r="XC73" s="390"/>
      <c r="XD73" s="390"/>
      <c r="XE73" s="390"/>
      <c r="XF73" s="390"/>
      <c r="XG73" s="390"/>
      <c r="XH73" s="390"/>
      <c r="XI73" s="390"/>
      <c r="XJ73" s="390"/>
      <c r="XK73" s="390"/>
      <c r="XL73" s="390"/>
      <c r="XM73" s="390"/>
      <c r="XN73" s="390"/>
      <c r="XO73" s="390"/>
      <c r="XP73" s="390"/>
      <c r="XQ73" s="390"/>
      <c r="XR73" s="390"/>
      <c r="XS73" s="390"/>
      <c r="XT73" s="390"/>
      <c r="XU73" s="390"/>
      <c r="XV73" s="390"/>
      <c r="XW73" s="390"/>
      <c r="XX73" s="390"/>
      <c r="XY73" s="390"/>
      <c r="XZ73" s="390"/>
      <c r="YA73" s="390"/>
      <c r="YB73" s="390"/>
      <c r="YC73" s="390"/>
      <c r="YD73" s="390"/>
      <c r="YE73" s="390"/>
      <c r="YF73" s="390"/>
      <c r="YG73" s="390"/>
      <c r="YH73" s="390"/>
      <c r="YI73" s="390"/>
      <c r="YJ73" s="390"/>
      <c r="YK73" s="390"/>
      <c r="YL73" s="390"/>
      <c r="YM73" s="390"/>
      <c r="YN73" s="390"/>
      <c r="YO73" s="390"/>
      <c r="YP73" s="390"/>
      <c r="YQ73" s="390"/>
      <c r="YR73" s="390"/>
      <c r="YS73" s="390"/>
      <c r="YT73" s="390"/>
      <c r="YU73" s="390"/>
      <c r="YV73" s="390"/>
      <c r="YW73" s="390"/>
      <c r="YX73" s="390"/>
      <c r="YY73" s="390"/>
      <c r="YZ73" s="390"/>
      <c r="ZA73" s="390"/>
      <c r="ZB73" s="390"/>
      <c r="ZC73" s="390"/>
      <c r="ZD73" s="390"/>
      <c r="ZE73" s="390"/>
      <c r="ZF73" s="390"/>
      <c r="ZG73" s="390"/>
      <c r="ZH73" s="390"/>
      <c r="ZI73" s="390"/>
      <c r="ZJ73" s="390"/>
      <c r="ZK73" s="390"/>
      <c r="ZL73" s="390"/>
      <c r="ZM73" s="390"/>
      <c r="ZN73" s="390"/>
      <c r="ZO73" s="390"/>
      <c r="ZP73" s="390"/>
      <c r="ZQ73" s="390"/>
      <c r="ZR73" s="390"/>
      <c r="ZS73" s="390"/>
      <c r="ZT73" s="390"/>
      <c r="ZU73" s="390"/>
      <c r="ZV73" s="390"/>
      <c r="ZW73" s="390"/>
      <c r="ZX73" s="390"/>
      <c r="ZY73" s="390"/>
      <c r="ZZ73" s="390"/>
      <c r="AAA73" s="390"/>
      <c r="AAB73" s="390"/>
      <c r="AAC73" s="390"/>
      <c r="AAD73" s="390"/>
      <c r="AAE73" s="390"/>
      <c r="AAF73" s="390"/>
      <c r="AAG73" s="390"/>
      <c r="AAH73" s="390"/>
      <c r="AAI73" s="390"/>
      <c r="AAJ73" s="390"/>
      <c r="AAK73" s="390"/>
      <c r="AAL73" s="390"/>
      <c r="AAM73" s="390"/>
      <c r="AAN73" s="390"/>
      <c r="AAO73" s="390"/>
      <c r="AAP73" s="390"/>
      <c r="AAQ73" s="390"/>
      <c r="AAR73" s="390"/>
      <c r="AAS73" s="390"/>
      <c r="AAT73" s="390"/>
      <c r="AAU73" s="390"/>
      <c r="AAV73" s="390"/>
      <c r="AAW73" s="390"/>
      <c r="AAX73" s="390"/>
      <c r="AAY73" s="390"/>
      <c r="AAZ73" s="390"/>
      <c r="ABA73" s="390"/>
      <c r="ABB73" s="390"/>
      <c r="ABC73" s="390"/>
      <c r="ABD73" s="390"/>
      <c r="ABE73" s="390"/>
      <c r="ABF73" s="390"/>
      <c r="ABG73" s="390"/>
      <c r="ABH73" s="390"/>
      <c r="ABI73" s="390"/>
      <c r="ABJ73" s="390"/>
      <c r="ABK73" s="390"/>
      <c r="ABL73" s="390"/>
      <c r="ABM73" s="390"/>
      <c r="ABN73" s="390"/>
      <c r="ABO73" s="390"/>
      <c r="ABP73" s="390"/>
      <c r="ABQ73" s="390"/>
      <c r="ABR73" s="390"/>
      <c r="ABS73" s="390"/>
      <c r="ABT73" s="390"/>
      <c r="ABU73" s="390"/>
      <c r="ABV73" s="390"/>
      <c r="ABW73" s="390"/>
      <c r="ABX73" s="390"/>
      <c r="ABY73" s="390"/>
      <c r="ABZ73" s="390"/>
      <c r="ACA73" s="390"/>
      <c r="ACB73" s="390"/>
      <c r="ACC73" s="390"/>
      <c r="ACD73" s="390"/>
      <c r="ACE73" s="390"/>
      <c r="ACF73" s="390"/>
      <c r="ACG73" s="390"/>
      <c r="ACH73" s="390"/>
      <c r="ACI73" s="390"/>
    </row>
    <row r="74" spans="1:763" ht="13.95" customHeight="1" x14ac:dyDescent="0.3">
      <c r="A74" s="390" t="str">
        <f ca="1">Проект!$A$386</f>
        <v>Затраты на производственный персонал, с соц. взносами</v>
      </c>
      <c r="B74" s="355"/>
      <c r="C74" s="391" t="str">
        <f ca="1">Проект!$C$386</f>
        <v>руб.</v>
      </c>
      <c r="D74" s="399">
        <f ca="1">SUM(Проект!$G$386:$R$386)</f>
        <v>6102653.8895914415</v>
      </c>
      <c r="E74" s="399">
        <f ca="1">SUM(Проект!$S$386:$AD$386)</f>
        <v>12751879.855535852</v>
      </c>
      <c r="F74" s="399">
        <f ca="1">SUM(Проект!$AE$386:$AP$386)</f>
        <v>13516992.646868005</v>
      </c>
      <c r="G74" s="399">
        <f ca="1">SUM(Проект!$AQ$386:$BB$386)</f>
        <v>14328012.205680085</v>
      </c>
      <c r="H74" s="392">
        <f ca="1">Проект!$BD$386</f>
        <v>46699538.597675376</v>
      </c>
      <c r="I74" s="390"/>
      <c r="J74" s="390"/>
      <c r="K74" s="390"/>
      <c r="L74" s="390"/>
      <c r="M74" s="390"/>
      <c r="N74" s="390"/>
      <c r="O74" s="390"/>
      <c r="P74" s="390"/>
      <c r="Q74" s="390"/>
      <c r="R74" s="390"/>
      <c r="S74" s="390"/>
      <c r="T74" s="390"/>
      <c r="U74" s="390"/>
      <c r="V74" s="390"/>
      <c r="W74" s="390"/>
      <c r="X74" s="390"/>
      <c r="Y74" s="390"/>
      <c r="Z74" s="390"/>
      <c r="AA74" s="390"/>
      <c r="AB74" s="390"/>
      <c r="AC74" s="390"/>
      <c r="AD74" s="390"/>
      <c r="AE74" s="390"/>
      <c r="AF74" s="390"/>
      <c r="AG74" s="390"/>
      <c r="AH74" s="390"/>
      <c r="AI74" s="390"/>
      <c r="AJ74" s="390"/>
      <c r="AK74" s="390"/>
      <c r="AL74" s="390"/>
      <c r="AM74" s="390"/>
      <c r="AN74" s="390"/>
      <c r="AO74" s="390"/>
      <c r="AP74" s="390"/>
      <c r="AQ74" s="390"/>
      <c r="AR74" s="390"/>
      <c r="AS74" s="390"/>
      <c r="AT74" s="390"/>
      <c r="AU74" s="390"/>
      <c r="AV74" s="390"/>
      <c r="AW74" s="390"/>
      <c r="AX74" s="390"/>
      <c r="AY74" s="390"/>
      <c r="AZ74" s="390"/>
      <c r="BA74" s="390"/>
      <c r="BB74" s="390"/>
      <c r="BC74" s="390"/>
      <c r="BD74" s="390"/>
      <c r="BE74" s="390"/>
      <c r="BF74" s="390"/>
      <c r="BG74" s="390"/>
      <c r="BH74" s="390"/>
      <c r="BI74" s="390"/>
      <c r="BJ74" s="390"/>
      <c r="BK74" s="390"/>
      <c r="BL74" s="390"/>
      <c r="BM74" s="390"/>
      <c r="BN74" s="390"/>
      <c r="BO74" s="390"/>
      <c r="BP74" s="390"/>
      <c r="BQ74" s="390"/>
      <c r="BR74" s="390"/>
      <c r="BS74" s="390"/>
      <c r="BT74" s="390"/>
      <c r="BU74" s="390"/>
      <c r="BV74" s="390"/>
      <c r="BW74" s="390"/>
      <c r="BX74" s="390"/>
      <c r="BY74" s="390"/>
      <c r="BZ74" s="390"/>
      <c r="CA74" s="390"/>
      <c r="CB74" s="390"/>
      <c r="CC74" s="390"/>
      <c r="CD74" s="390"/>
      <c r="CE74" s="390"/>
      <c r="CF74" s="390"/>
      <c r="CG74" s="390"/>
      <c r="CH74" s="390"/>
      <c r="CI74" s="390"/>
      <c r="CJ74" s="390"/>
      <c r="CK74" s="390"/>
      <c r="CL74" s="390"/>
      <c r="CM74" s="390"/>
      <c r="CN74" s="390"/>
      <c r="CO74" s="390"/>
      <c r="CP74" s="390"/>
      <c r="CQ74" s="390"/>
      <c r="CR74" s="390"/>
      <c r="CS74" s="390"/>
      <c r="CT74" s="390"/>
      <c r="CU74" s="390"/>
      <c r="CV74" s="390"/>
      <c r="CW74" s="390"/>
      <c r="CX74" s="390"/>
      <c r="CY74" s="390"/>
      <c r="CZ74" s="390"/>
      <c r="DA74" s="390"/>
      <c r="DB74" s="390"/>
      <c r="DC74" s="390"/>
      <c r="DD74" s="390"/>
      <c r="DE74" s="390"/>
      <c r="DF74" s="390"/>
      <c r="DG74" s="390"/>
      <c r="DH74" s="390"/>
      <c r="DI74" s="390"/>
      <c r="DJ74" s="390"/>
      <c r="DK74" s="390"/>
      <c r="DL74" s="390"/>
      <c r="DM74" s="390"/>
      <c r="DN74" s="390"/>
      <c r="DO74" s="390"/>
      <c r="DP74" s="390"/>
      <c r="DQ74" s="390"/>
      <c r="DR74" s="390"/>
      <c r="DS74" s="390"/>
      <c r="DT74" s="390"/>
      <c r="DU74" s="390"/>
      <c r="DV74" s="390"/>
      <c r="DW74" s="390"/>
      <c r="DX74" s="390"/>
      <c r="DY74" s="390"/>
      <c r="DZ74" s="390"/>
      <c r="EA74" s="390"/>
      <c r="EB74" s="390"/>
      <c r="EC74" s="390"/>
      <c r="ED74" s="390"/>
      <c r="EE74" s="390"/>
      <c r="EF74" s="390"/>
      <c r="EG74" s="390"/>
      <c r="EH74" s="390"/>
      <c r="EI74" s="390"/>
      <c r="EJ74" s="390"/>
      <c r="EK74" s="390"/>
      <c r="EL74" s="390"/>
      <c r="EM74" s="390"/>
      <c r="EN74" s="390"/>
      <c r="EO74" s="390"/>
      <c r="EP74" s="390"/>
      <c r="EQ74" s="390"/>
      <c r="ER74" s="390"/>
      <c r="ES74" s="390"/>
      <c r="ET74" s="390"/>
      <c r="EU74" s="390"/>
      <c r="EV74" s="390"/>
      <c r="EW74" s="390"/>
      <c r="EX74" s="390"/>
      <c r="EY74" s="390"/>
      <c r="EZ74" s="390"/>
      <c r="FA74" s="390"/>
      <c r="FB74" s="390"/>
      <c r="FC74" s="390"/>
      <c r="FD74" s="390"/>
      <c r="FE74" s="390"/>
      <c r="FF74" s="390"/>
      <c r="FG74" s="390"/>
      <c r="FH74" s="390"/>
      <c r="FI74" s="390"/>
      <c r="FJ74" s="390"/>
      <c r="FK74" s="390"/>
      <c r="FL74" s="390"/>
      <c r="FM74" s="390"/>
      <c r="FN74" s="390"/>
      <c r="FO74" s="390"/>
      <c r="FP74" s="390"/>
      <c r="FQ74" s="390"/>
      <c r="FR74" s="390"/>
      <c r="FS74" s="390"/>
      <c r="FT74" s="390"/>
      <c r="FU74" s="390"/>
      <c r="FV74" s="390"/>
      <c r="FW74" s="390"/>
      <c r="FX74" s="390"/>
      <c r="FY74" s="390"/>
      <c r="FZ74" s="390"/>
      <c r="GA74" s="390"/>
      <c r="GB74" s="390"/>
      <c r="GC74" s="390"/>
      <c r="GD74" s="390"/>
      <c r="GE74" s="390"/>
      <c r="GF74" s="390"/>
      <c r="GG74" s="390"/>
      <c r="GH74" s="390"/>
      <c r="GI74" s="390"/>
      <c r="GJ74" s="390"/>
      <c r="GK74" s="390"/>
      <c r="GL74" s="390"/>
      <c r="GM74" s="390"/>
      <c r="GN74" s="390"/>
      <c r="GO74" s="390"/>
      <c r="GP74" s="390"/>
      <c r="GQ74" s="390"/>
      <c r="GR74" s="390"/>
      <c r="GS74" s="390"/>
      <c r="GT74" s="390"/>
      <c r="GU74" s="390"/>
      <c r="GV74" s="390"/>
      <c r="GW74" s="390"/>
      <c r="GX74" s="390"/>
      <c r="GY74" s="390"/>
      <c r="GZ74" s="390"/>
      <c r="HA74" s="390"/>
      <c r="HB74" s="390"/>
      <c r="HC74" s="390"/>
      <c r="HD74" s="390"/>
      <c r="HE74" s="390"/>
      <c r="HF74" s="390"/>
      <c r="HG74" s="390"/>
      <c r="HH74" s="390"/>
      <c r="HI74" s="390"/>
      <c r="HJ74" s="390"/>
      <c r="HK74" s="390"/>
      <c r="HL74" s="390"/>
      <c r="HM74" s="390"/>
      <c r="HN74" s="390"/>
      <c r="HO74" s="390"/>
      <c r="HP74" s="390"/>
      <c r="HQ74" s="390"/>
      <c r="HR74" s="390"/>
      <c r="HS74" s="390"/>
      <c r="HT74" s="390"/>
      <c r="HU74" s="390"/>
      <c r="HV74" s="390"/>
      <c r="HW74" s="390"/>
      <c r="HX74" s="390"/>
      <c r="HY74" s="390"/>
      <c r="HZ74" s="390"/>
      <c r="IA74" s="390"/>
      <c r="IB74" s="390"/>
      <c r="IC74" s="390"/>
      <c r="ID74" s="390"/>
      <c r="IE74" s="390"/>
      <c r="IF74" s="390"/>
      <c r="IG74" s="390"/>
      <c r="IH74" s="390"/>
      <c r="II74" s="390"/>
      <c r="IJ74" s="390"/>
      <c r="IK74" s="390"/>
      <c r="IL74" s="390"/>
      <c r="IM74" s="390"/>
      <c r="IN74" s="390"/>
      <c r="IO74" s="390"/>
      <c r="IP74" s="390"/>
      <c r="IQ74" s="390"/>
      <c r="IR74" s="390"/>
      <c r="IS74" s="390"/>
      <c r="IT74" s="390"/>
      <c r="IU74" s="390"/>
      <c r="IV74" s="390"/>
      <c r="IW74" s="390"/>
      <c r="IX74" s="390"/>
      <c r="IY74" s="390"/>
      <c r="IZ74" s="390"/>
      <c r="JA74" s="390"/>
      <c r="JB74" s="390"/>
      <c r="JC74" s="390"/>
      <c r="JD74" s="390"/>
      <c r="JE74" s="390"/>
      <c r="JF74" s="390"/>
      <c r="JG74" s="390"/>
      <c r="JH74" s="390"/>
      <c r="JI74" s="390"/>
      <c r="JJ74" s="390"/>
      <c r="JK74" s="390"/>
      <c r="JL74" s="390"/>
      <c r="JM74" s="390"/>
      <c r="JN74" s="390"/>
      <c r="JO74" s="390"/>
      <c r="JP74" s="390"/>
      <c r="JQ74" s="390"/>
      <c r="JR74" s="390"/>
      <c r="JS74" s="390"/>
      <c r="JT74" s="390"/>
      <c r="JU74" s="390"/>
      <c r="JV74" s="390"/>
      <c r="JW74" s="390"/>
      <c r="JX74" s="390"/>
      <c r="JY74" s="390"/>
      <c r="JZ74" s="390"/>
      <c r="KA74" s="390"/>
      <c r="KB74" s="390"/>
      <c r="KC74" s="390"/>
      <c r="KD74" s="390"/>
      <c r="KE74" s="390"/>
      <c r="KF74" s="390"/>
      <c r="KG74" s="390"/>
      <c r="KH74" s="390"/>
      <c r="KI74" s="390"/>
      <c r="KJ74" s="390"/>
      <c r="KK74" s="390"/>
      <c r="KL74" s="390"/>
      <c r="KM74" s="390"/>
      <c r="KN74" s="390"/>
      <c r="KO74" s="390"/>
      <c r="KP74" s="390"/>
      <c r="KQ74" s="390"/>
      <c r="KR74" s="390"/>
      <c r="KS74" s="390"/>
      <c r="KT74" s="390"/>
      <c r="KU74" s="390"/>
      <c r="KV74" s="390"/>
      <c r="KW74" s="390"/>
      <c r="KX74" s="390"/>
      <c r="KY74" s="390"/>
      <c r="KZ74" s="390"/>
      <c r="LA74" s="390"/>
      <c r="LB74" s="390"/>
      <c r="LC74" s="390"/>
      <c r="LD74" s="390"/>
      <c r="LE74" s="390"/>
      <c r="LF74" s="390"/>
      <c r="LG74" s="390"/>
      <c r="LH74" s="390"/>
      <c r="LI74" s="390"/>
      <c r="LJ74" s="390"/>
      <c r="LK74" s="390"/>
      <c r="LL74" s="390"/>
      <c r="LM74" s="390"/>
      <c r="LN74" s="390"/>
      <c r="LO74" s="390"/>
      <c r="LP74" s="390"/>
      <c r="LQ74" s="390"/>
      <c r="LR74" s="390"/>
      <c r="LS74" s="390"/>
      <c r="LT74" s="390"/>
      <c r="LU74" s="390"/>
      <c r="LV74" s="390"/>
      <c r="LW74" s="390"/>
      <c r="LX74" s="390"/>
      <c r="LY74" s="390"/>
      <c r="LZ74" s="390"/>
      <c r="MA74" s="390"/>
      <c r="MB74" s="390"/>
      <c r="MC74" s="390"/>
      <c r="MD74" s="390"/>
      <c r="ME74" s="390"/>
      <c r="MF74" s="390"/>
      <c r="MG74" s="390"/>
      <c r="MH74" s="390"/>
      <c r="MI74" s="390"/>
      <c r="MJ74" s="390"/>
      <c r="MK74" s="390"/>
      <c r="ML74" s="390"/>
      <c r="MM74" s="390"/>
      <c r="MN74" s="390"/>
      <c r="MO74" s="390"/>
      <c r="MP74" s="390"/>
      <c r="MQ74" s="390"/>
      <c r="MR74" s="390"/>
      <c r="MS74" s="390"/>
      <c r="MT74" s="390"/>
      <c r="MU74" s="390"/>
      <c r="MV74" s="390"/>
      <c r="MW74" s="390"/>
      <c r="MX74" s="390"/>
      <c r="MY74" s="390"/>
      <c r="MZ74" s="390"/>
      <c r="NA74" s="390"/>
      <c r="NB74" s="390"/>
      <c r="NC74" s="390"/>
      <c r="ND74" s="390"/>
      <c r="NE74" s="390"/>
      <c r="NF74" s="390"/>
      <c r="NG74" s="390"/>
      <c r="NH74" s="390"/>
      <c r="NI74" s="390"/>
      <c r="NJ74" s="390"/>
      <c r="NK74" s="390"/>
      <c r="NL74" s="390"/>
      <c r="NM74" s="390"/>
      <c r="NN74" s="390"/>
      <c r="NO74" s="390"/>
      <c r="NP74" s="390"/>
      <c r="NQ74" s="390"/>
      <c r="NR74" s="390"/>
      <c r="NS74" s="390"/>
      <c r="NT74" s="390"/>
      <c r="NU74" s="390"/>
      <c r="NV74" s="390"/>
      <c r="NW74" s="390"/>
      <c r="NX74" s="390"/>
      <c r="NY74" s="390"/>
      <c r="NZ74" s="390"/>
      <c r="OA74" s="390"/>
      <c r="OB74" s="390"/>
      <c r="OC74" s="390"/>
      <c r="OD74" s="390"/>
      <c r="OE74" s="390"/>
      <c r="OF74" s="390"/>
      <c r="OG74" s="390"/>
      <c r="OH74" s="390"/>
      <c r="OI74" s="390"/>
      <c r="OJ74" s="390"/>
      <c r="OK74" s="390"/>
      <c r="OL74" s="390"/>
      <c r="OM74" s="390"/>
      <c r="ON74" s="390"/>
      <c r="OO74" s="390"/>
      <c r="OP74" s="390"/>
      <c r="OQ74" s="390"/>
      <c r="OR74" s="390"/>
      <c r="OS74" s="390"/>
      <c r="OT74" s="390"/>
      <c r="OU74" s="390"/>
      <c r="OV74" s="390"/>
      <c r="OW74" s="390"/>
      <c r="OX74" s="390"/>
      <c r="OY74" s="390"/>
      <c r="OZ74" s="390"/>
      <c r="PA74" s="390"/>
      <c r="PB74" s="390"/>
      <c r="PC74" s="390"/>
      <c r="PD74" s="390"/>
      <c r="PE74" s="390"/>
      <c r="PF74" s="390"/>
      <c r="PG74" s="390"/>
      <c r="PH74" s="390"/>
      <c r="PI74" s="390"/>
      <c r="PJ74" s="390"/>
      <c r="PK74" s="390"/>
      <c r="PL74" s="390"/>
      <c r="PM74" s="390"/>
      <c r="PN74" s="390"/>
      <c r="PO74" s="390"/>
      <c r="PP74" s="390"/>
      <c r="PQ74" s="390"/>
      <c r="PR74" s="390"/>
      <c r="PS74" s="390"/>
      <c r="PT74" s="390"/>
      <c r="PU74" s="390"/>
      <c r="PV74" s="390"/>
      <c r="PW74" s="390"/>
      <c r="PX74" s="390"/>
      <c r="PY74" s="390"/>
      <c r="PZ74" s="390"/>
      <c r="QA74" s="390"/>
      <c r="QB74" s="390"/>
      <c r="QC74" s="390"/>
      <c r="QD74" s="390"/>
      <c r="QE74" s="390"/>
      <c r="QF74" s="390"/>
      <c r="QG74" s="390"/>
      <c r="QH74" s="390"/>
      <c r="QI74" s="390"/>
      <c r="QJ74" s="390"/>
      <c r="QK74" s="390"/>
      <c r="QL74" s="390"/>
      <c r="QM74" s="390"/>
      <c r="QN74" s="390"/>
      <c r="QO74" s="390"/>
      <c r="QP74" s="390"/>
      <c r="QQ74" s="390"/>
      <c r="QR74" s="390"/>
      <c r="QS74" s="390"/>
      <c r="QT74" s="390"/>
      <c r="QU74" s="390"/>
      <c r="QV74" s="390"/>
      <c r="QW74" s="390"/>
      <c r="QX74" s="390"/>
      <c r="QY74" s="390"/>
      <c r="QZ74" s="390"/>
      <c r="RA74" s="390"/>
      <c r="RB74" s="390"/>
      <c r="RC74" s="390"/>
      <c r="RD74" s="390"/>
      <c r="RE74" s="390"/>
      <c r="RF74" s="390"/>
      <c r="RG74" s="390"/>
      <c r="RH74" s="390"/>
      <c r="RI74" s="390"/>
      <c r="RJ74" s="390"/>
      <c r="RK74" s="390"/>
      <c r="RL74" s="390"/>
      <c r="RM74" s="390"/>
      <c r="RN74" s="390"/>
      <c r="RO74" s="390"/>
      <c r="RP74" s="390"/>
      <c r="RQ74" s="390"/>
      <c r="RR74" s="390"/>
      <c r="RS74" s="390"/>
      <c r="RT74" s="390"/>
      <c r="RU74" s="390"/>
      <c r="RV74" s="390"/>
      <c r="RW74" s="390"/>
      <c r="RX74" s="390"/>
      <c r="RY74" s="390"/>
      <c r="RZ74" s="390"/>
      <c r="SA74" s="390"/>
      <c r="SB74" s="390"/>
      <c r="SC74" s="390"/>
      <c r="SD74" s="390"/>
      <c r="SE74" s="390"/>
      <c r="SF74" s="390"/>
      <c r="SG74" s="390"/>
      <c r="SH74" s="390"/>
      <c r="SI74" s="390"/>
      <c r="SJ74" s="390"/>
      <c r="SK74" s="390"/>
      <c r="SL74" s="390"/>
      <c r="SM74" s="390"/>
      <c r="SN74" s="390"/>
      <c r="SO74" s="390"/>
      <c r="SP74" s="390"/>
      <c r="SQ74" s="390"/>
      <c r="SR74" s="390"/>
      <c r="SS74" s="390"/>
      <c r="ST74" s="390"/>
      <c r="SU74" s="390"/>
      <c r="SV74" s="390"/>
      <c r="SW74" s="390"/>
      <c r="SX74" s="390"/>
      <c r="SY74" s="390"/>
      <c r="SZ74" s="390"/>
      <c r="TA74" s="390"/>
      <c r="TB74" s="390"/>
      <c r="TC74" s="390"/>
      <c r="TD74" s="390"/>
      <c r="TE74" s="390"/>
      <c r="TF74" s="390"/>
      <c r="TG74" s="390"/>
      <c r="TH74" s="390"/>
      <c r="TI74" s="390"/>
      <c r="TJ74" s="390"/>
      <c r="TK74" s="390"/>
      <c r="TL74" s="390"/>
      <c r="TM74" s="390"/>
      <c r="TN74" s="390"/>
      <c r="TO74" s="390"/>
      <c r="TP74" s="390"/>
      <c r="TQ74" s="390"/>
      <c r="TR74" s="390"/>
      <c r="TS74" s="390"/>
      <c r="TT74" s="390"/>
      <c r="TU74" s="390"/>
      <c r="TV74" s="390"/>
      <c r="TW74" s="390"/>
      <c r="TX74" s="390"/>
      <c r="TY74" s="390"/>
      <c r="TZ74" s="390"/>
      <c r="UA74" s="390"/>
      <c r="UB74" s="390"/>
      <c r="UC74" s="390"/>
      <c r="UD74" s="390"/>
      <c r="UE74" s="390"/>
      <c r="UF74" s="390"/>
      <c r="UG74" s="390"/>
      <c r="UH74" s="390"/>
      <c r="UI74" s="390"/>
      <c r="UJ74" s="390"/>
      <c r="UK74" s="390"/>
      <c r="UL74" s="390"/>
      <c r="UM74" s="390"/>
      <c r="UN74" s="390"/>
      <c r="UO74" s="390"/>
      <c r="UP74" s="390"/>
      <c r="UQ74" s="390"/>
      <c r="UR74" s="390"/>
      <c r="US74" s="390"/>
      <c r="UT74" s="390"/>
      <c r="UU74" s="390"/>
      <c r="UV74" s="390"/>
      <c r="UW74" s="390"/>
      <c r="UX74" s="390"/>
      <c r="UY74" s="390"/>
      <c r="UZ74" s="390"/>
      <c r="VA74" s="390"/>
      <c r="VB74" s="390"/>
      <c r="VC74" s="390"/>
      <c r="VD74" s="390"/>
      <c r="VE74" s="390"/>
      <c r="VF74" s="390"/>
      <c r="VG74" s="390"/>
      <c r="VH74" s="390"/>
      <c r="VI74" s="390"/>
      <c r="VJ74" s="390"/>
      <c r="VK74" s="390"/>
      <c r="VL74" s="390"/>
      <c r="VM74" s="390"/>
      <c r="VN74" s="390"/>
      <c r="VO74" s="390"/>
      <c r="VP74" s="390"/>
      <c r="VQ74" s="390"/>
      <c r="VR74" s="390"/>
      <c r="VS74" s="390"/>
      <c r="VT74" s="390"/>
      <c r="VU74" s="390"/>
      <c r="VV74" s="390"/>
      <c r="VW74" s="390"/>
      <c r="VX74" s="390"/>
      <c r="VY74" s="390"/>
      <c r="VZ74" s="390"/>
      <c r="WA74" s="390"/>
      <c r="WB74" s="390"/>
      <c r="WC74" s="390"/>
      <c r="WD74" s="390"/>
      <c r="WE74" s="390"/>
      <c r="WF74" s="390"/>
      <c r="WG74" s="390"/>
      <c r="WH74" s="390"/>
      <c r="WI74" s="390"/>
      <c r="WJ74" s="390"/>
      <c r="WK74" s="390"/>
      <c r="WL74" s="390"/>
      <c r="WM74" s="390"/>
      <c r="WN74" s="390"/>
      <c r="WO74" s="390"/>
      <c r="WP74" s="390"/>
      <c r="WQ74" s="390"/>
      <c r="WR74" s="390"/>
      <c r="WS74" s="390"/>
      <c r="WT74" s="390"/>
      <c r="WU74" s="390"/>
      <c r="WV74" s="390"/>
      <c r="WW74" s="390"/>
      <c r="WX74" s="390"/>
      <c r="WY74" s="390"/>
      <c r="WZ74" s="390"/>
      <c r="XA74" s="390"/>
      <c r="XB74" s="390"/>
      <c r="XC74" s="390"/>
      <c r="XD74" s="390"/>
      <c r="XE74" s="390"/>
      <c r="XF74" s="390"/>
      <c r="XG74" s="390"/>
      <c r="XH74" s="390"/>
      <c r="XI74" s="390"/>
      <c r="XJ74" s="390"/>
      <c r="XK74" s="390"/>
      <c r="XL74" s="390"/>
      <c r="XM74" s="390"/>
      <c r="XN74" s="390"/>
      <c r="XO74" s="390"/>
      <c r="XP74" s="390"/>
      <c r="XQ74" s="390"/>
      <c r="XR74" s="390"/>
      <c r="XS74" s="390"/>
      <c r="XT74" s="390"/>
      <c r="XU74" s="390"/>
      <c r="XV74" s="390"/>
      <c r="XW74" s="390"/>
      <c r="XX74" s="390"/>
      <c r="XY74" s="390"/>
      <c r="XZ74" s="390"/>
      <c r="YA74" s="390"/>
      <c r="YB74" s="390"/>
      <c r="YC74" s="390"/>
      <c r="YD74" s="390"/>
      <c r="YE74" s="390"/>
      <c r="YF74" s="390"/>
      <c r="YG74" s="390"/>
      <c r="YH74" s="390"/>
      <c r="YI74" s="390"/>
      <c r="YJ74" s="390"/>
      <c r="YK74" s="390"/>
      <c r="YL74" s="390"/>
      <c r="YM74" s="390"/>
      <c r="YN74" s="390"/>
      <c r="YO74" s="390"/>
      <c r="YP74" s="390"/>
      <c r="YQ74" s="390"/>
      <c r="YR74" s="390"/>
      <c r="YS74" s="390"/>
      <c r="YT74" s="390"/>
      <c r="YU74" s="390"/>
      <c r="YV74" s="390"/>
      <c r="YW74" s="390"/>
      <c r="YX74" s="390"/>
      <c r="YY74" s="390"/>
      <c r="YZ74" s="390"/>
      <c r="ZA74" s="390"/>
      <c r="ZB74" s="390"/>
      <c r="ZC74" s="390"/>
      <c r="ZD74" s="390"/>
      <c r="ZE74" s="390"/>
      <c r="ZF74" s="390"/>
      <c r="ZG74" s="390"/>
      <c r="ZH74" s="390"/>
      <c r="ZI74" s="390"/>
      <c r="ZJ74" s="390"/>
      <c r="ZK74" s="390"/>
      <c r="ZL74" s="390"/>
      <c r="ZM74" s="390"/>
      <c r="ZN74" s="390"/>
      <c r="ZO74" s="390"/>
      <c r="ZP74" s="390"/>
      <c r="ZQ74" s="390"/>
      <c r="ZR74" s="390"/>
      <c r="ZS74" s="390"/>
      <c r="ZT74" s="390"/>
      <c r="ZU74" s="390"/>
      <c r="ZV74" s="390"/>
      <c r="ZW74" s="390"/>
      <c r="ZX74" s="390"/>
      <c r="ZY74" s="390"/>
      <c r="ZZ74" s="390"/>
      <c r="AAA74" s="390"/>
      <c r="AAB74" s="390"/>
      <c r="AAC74" s="390"/>
      <c r="AAD74" s="390"/>
      <c r="AAE74" s="390"/>
      <c r="AAF74" s="390"/>
      <c r="AAG74" s="390"/>
      <c r="AAH74" s="390"/>
      <c r="AAI74" s="390"/>
      <c r="AAJ74" s="390"/>
      <c r="AAK74" s="390"/>
      <c r="AAL74" s="390"/>
      <c r="AAM74" s="390"/>
      <c r="AAN74" s="390"/>
      <c r="AAO74" s="390"/>
      <c r="AAP74" s="390"/>
      <c r="AAQ74" s="390"/>
      <c r="AAR74" s="390"/>
      <c r="AAS74" s="390"/>
      <c r="AAT74" s="390"/>
      <c r="AAU74" s="390"/>
      <c r="AAV74" s="390"/>
      <c r="AAW74" s="390"/>
      <c r="AAX74" s="390"/>
      <c r="AAY74" s="390"/>
      <c r="AAZ74" s="390"/>
      <c r="ABA74" s="390"/>
      <c r="ABB74" s="390"/>
      <c r="ABC74" s="390"/>
      <c r="ABD74" s="390"/>
      <c r="ABE74" s="390"/>
      <c r="ABF74" s="390"/>
      <c r="ABG74" s="390"/>
      <c r="ABH74" s="390"/>
      <c r="ABI74" s="390"/>
      <c r="ABJ74" s="390"/>
      <c r="ABK74" s="390"/>
      <c r="ABL74" s="390"/>
      <c r="ABM74" s="390"/>
      <c r="ABN74" s="390"/>
      <c r="ABO74" s="390"/>
      <c r="ABP74" s="390"/>
      <c r="ABQ74" s="390"/>
      <c r="ABR74" s="390"/>
      <c r="ABS74" s="390"/>
      <c r="ABT74" s="390"/>
      <c r="ABU74" s="390"/>
      <c r="ABV74" s="390"/>
      <c r="ABW74" s="390"/>
      <c r="ABX74" s="390"/>
      <c r="ABY74" s="390"/>
      <c r="ABZ74" s="390"/>
      <c r="ACA74" s="390"/>
      <c r="ACB74" s="390"/>
      <c r="ACC74" s="390"/>
      <c r="ACD74" s="390"/>
      <c r="ACE74" s="390"/>
      <c r="ACF74" s="390"/>
      <c r="ACG74" s="390"/>
      <c r="ACH74" s="390"/>
      <c r="ACI74" s="390"/>
    </row>
    <row r="75" spans="1:763" ht="13.95" customHeight="1" x14ac:dyDescent="0.3">
      <c r="A75" s="390" t="str">
        <f ca="1">Проект!$A$394</f>
        <v>Затраты на административный персонал, с соц. взносами</v>
      </c>
      <c r="B75" s="356"/>
      <c r="C75" s="391" t="str">
        <f ca="1">Проект!$C$394</f>
        <v>руб.</v>
      </c>
      <c r="D75" s="399">
        <f ca="1">SUM(Проект!$G$394:$R$394)</f>
        <v>1597338.9375440688</v>
      </c>
      <c r="E75" s="399">
        <f ca="1">SUM(Проект!$S$394:$AD$394)</f>
        <v>3337740.3648718004</v>
      </c>
      <c r="F75" s="399">
        <f ca="1">SUM(Проект!$AE$394:$AP$394)</f>
        <v>3538004.7867641086</v>
      </c>
      <c r="G75" s="399">
        <f ca="1">SUM(Проект!$AQ$394:$BB$394)</f>
        <v>3750285.0739699565</v>
      </c>
      <c r="H75" s="392">
        <f ca="1">Проект!$BD$394</f>
        <v>12223369.163149932</v>
      </c>
      <c r="I75" s="390"/>
      <c r="J75" s="390"/>
      <c r="K75" s="390"/>
      <c r="L75" s="390"/>
      <c r="M75" s="390"/>
      <c r="N75" s="390"/>
      <c r="O75" s="390"/>
      <c r="P75" s="390"/>
      <c r="Q75" s="390"/>
      <c r="R75" s="390"/>
      <c r="S75" s="390"/>
      <c r="T75" s="390"/>
      <c r="U75" s="390"/>
      <c r="V75" s="390"/>
      <c r="W75" s="390"/>
      <c r="X75" s="390"/>
      <c r="Y75" s="390"/>
      <c r="Z75" s="390"/>
      <c r="AA75" s="390"/>
      <c r="AB75" s="390"/>
      <c r="AC75" s="390"/>
      <c r="AD75" s="390"/>
      <c r="AE75" s="390"/>
      <c r="AF75" s="390"/>
      <c r="AG75" s="390"/>
      <c r="AH75" s="390"/>
      <c r="AI75" s="390"/>
      <c r="AJ75" s="390"/>
      <c r="AK75" s="390"/>
      <c r="AL75" s="390"/>
      <c r="AM75" s="390"/>
      <c r="AN75" s="390"/>
      <c r="AO75" s="390"/>
      <c r="AP75" s="390"/>
      <c r="AQ75" s="390"/>
      <c r="AR75" s="390"/>
      <c r="AS75" s="390"/>
      <c r="AT75" s="390"/>
      <c r="AU75" s="390"/>
      <c r="AV75" s="390"/>
      <c r="AW75" s="390"/>
      <c r="AX75" s="390"/>
      <c r="AY75" s="390"/>
      <c r="AZ75" s="390"/>
      <c r="BA75" s="390"/>
      <c r="BB75" s="390"/>
      <c r="BC75" s="390"/>
      <c r="BD75" s="390"/>
      <c r="BE75" s="390"/>
      <c r="BF75" s="390"/>
      <c r="BG75" s="390"/>
      <c r="BH75" s="390"/>
      <c r="BI75" s="390"/>
      <c r="BJ75" s="390"/>
      <c r="BK75" s="390"/>
      <c r="BL75" s="390"/>
      <c r="BM75" s="390"/>
      <c r="BN75" s="390"/>
      <c r="BO75" s="390"/>
      <c r="BP75" s="390"/>
      <c r="BQ75" s="390"/>
      <c r="BR75" s="390"/>
      <c r="BS75" s="390"/>
      <c r="BT75" s="390"/>
      <c r="BU75" s="390"/>
      <c r="BV75" s="390"/>
      <c r="BW75" s="390"/>
      <c r="BX75" s="390"/>
      <c r="BY75" s="390"/>
      <c r="BZ75" s="390"/>
      <c r="CA75" s="390"/>
      <c r="CB75" s="390"/>
      <c r="CC75" s="390"/>
      <c r="CD75" s="390"/>
      <c r="CE75" s="390"/>
      <c r="CF75" s="390"/>
      <c r="CG75" s="390"/>
      <c r="CH75" s="390"/>
      <c r="CI75" s="390"/>
      <c r="CJ75" s="390"/>
      <c r="CK75" s="390"/>
      <c r="CL75" s="390"/>
      <c r="CM75" s="390"/>
      <c r="CN75" s="390"/>
      <c r="CO75" s="390"/>
      <c r="CP75" s="390"/>
      <c r="CQ75" s="390"/>
      <c r="CR75" s="390"/>
      <c r="CS75" s="390"/>
      <c r="CT75" s="390"/>
      <c r="CU75" s="390"/>
      <c r="CV75" s="390"/>
      <c r="CW75" s="390"/>
      <c r="CX75" s="390"/>
      <c r="CY75" s="390"/>
      <c r="CZ75" s="390"/>
      <c r="DA75" s="390"/>
      <c r="DB75" s="390"/>
      <c r="DC75" s="390"/>
      <c r="DD75" s="390"/>
      <c r="DE75" s="390"/>
      <c r="DF75" s="390"/>
      <c r="DG75" s="390"/>
      <c r="DH75" s="390"/>
      <c r="DI75" s="390"/>
      <c r="DJ75" s="390"/>
      <c r="DK75" s="390"/>
      <c r="DL75" s="390"/>
      <c r="DM75" s="390"/>
      <c r="DN75" s="390"/>
      <c r="DO75" s="390"/>
      <c r="DP75" s="390"/>
      <c r="DQ75" s="390"/>
      <c r="DR75" s="390"/>
      <c r="DS75" s="390"/>
      <c r="DT75" s="390"/>
      <c r="DU75" s="390"/>
      <c r="DV75" s="390"/>
      <c r="DW75" s="390"/>
      <c r="DX75" s="390"/>
      <c r="DY75" s="390"/>
      <c r="DZ75" s="390"/>
      <c r="EA75" s="390"/>
      <c r="EB75" s="390"/>
      <c r="EC75" s="390"/>
      <c r="ED75" s="390"/>
      <c r="EE75" s="390"/>
      <c r="EF75" s="390"/>
      <c r="EG75" s="390"/>
      <c r="EH75" s="390"/>
      <c r="EI75" s="390"/>
      <c r="EJ75" s="390"/>
      <c r="EK75" s="390"/>
      <c r="EL75" s="390"/>
      <c r="EM75" s="390"/>
      <c r="EN75" s="390"/>
      <c r="EO75" s="390"/>
      <c r="EP75" s="390"/>
      <c r="EQ75" s="390"/>
      <c r="ER75" s="390"/>
      <c r="ES75" s="390"/>
      <c r="ET75" s="390"/>
      <c r="EU75" s="390"/>
      <c r="EV75" s="390"/>
      <c r="EW75" s="390"/>
      <c r="EX75" s="390"/>
      <c r="EY75" s="390"/>
      <c r="EZ75" s="390"/>
      <c r="FA75" s="390"/>
      <c r="FB75" s="390"/>
      <c r="FC75" s="390"/>
      <c r="FD75" s="390"/>
      <c r="FE75" s="390"/>
      <c r="FF75" s="390"/>
      <c r="FG75" s="390"/>
      <c r="FH75" s="390"/>
      <c r="FI75" s="390"/>
      <c r="FJ75" s="390"/>
      <c r="FK75" s="390"/>
      <c r="FL75" s="390"/>
      <c r="FM75" s="390"/>
      <c r="FN75" s="390"/>
      <c r="FO75" s="390"/>
      <c r="FP75" s="390"/>
      <c r="FQ75" s="390"/>
      <c r="FR75" s="390"/>
      <c r="FS75" s="390"/>
      <c r="FT75" s="390"/>
      <c r="FU75" s="390"/>
      <c r="FV75" s="390"/>
      <c r="FW75" s="390"/>
      <c r="FX75" s="390"/>
      <c r="FY75" s="390"/>
      <c r="FZ75" s="390"/>
      <c r="GA75" s="390"/>
      <c r="GB75" s="390"/>
      <c r="GC75" s="390"/>
      <c r="GD75" s="390"/>
      <c r="GE75" s="390"/>
      <c r="GF75" s="390"/>
      <c r="GG75" s="390"/>
      <c r="GH75" s="390"/>
      <c r="GI75" s="390"/>
      <c r="GJ75" s="390"/>
      <c r="GK75" s="390"/>
      <c r="GL75" s="390"/>
      <c r="GM75" s="390"/>
      <c r="GN75" s="390"/>
      <c r="GO75" s="390"/>
      <c r="GP75" s="390"/>
      <c r="GQ75" s="390"/>
      <c r="GR75" s="390"/>
      <c r="GS75" s="390"/>
      <c r="GT75" s="390"/>
      <c r="GU75" s="390"/>
      <c r="GV75" s="390"/>
      <c r="GW75" s="390"/>
      <c r="GX75" s="390"/>
      <c r="GY75" s="390"/>
      <c r="GZ75" s="390"/>
      <c r="HA75" s="390"/>
      <c r="HB75" s="390"/>
      <c r="HC75" s="390"/>
      <c r="HD75" s="390"/>
      <c r="HE75" s="390"/>
      <c r="HF75" s="390"/>
      <c r="HG75" s="390"/>
      <c r="HH75" s="390"/>
      <c r="HI75" s="390"/>
      <c r="HJ75" s="390"/>
      <c r="HK75" s="390"/>
      <c r="HL75" s="390"/>
      <c r="HM75" s="390"/>
      <c r="HN75" s="390"/>
      <c r="HO75" s="390"/>
      <c r="HP75" s="390"/>
      <c r="HQ75" s="390"/>
      <c r="HR75" s="390"/>
      <c r="HS75" s="390"/>
      <c r="HT75" s="390"/>
      <c r="HU75" s="390"/>
      <c r="HV75" s="390"/>
      <c r="HW75" s="390"/>
      <c r="HX75" s="390"/>
      <c r="HY75" s="390"/>
      <c r="HZ75" s="390"/>
      <c r="IA75" s="390"/>
      <c r="IB75" s="390"/>
      <c r="IC75" s="390"/>
      <c r="ID75" s="390"/>
      <c r="IE75" s="390"/>
      <c r="IF75" s="390"/>
      <c r="IG75" s="390"/>
      <c r="IH75" s="390"/>
      <c r="II75" s="390"/>
      <c r="IJ75" s="390"/>
      <c r="IK75" s="390"/>
      <c r="IL75" s="390"/>
      <c r="IM75" s="390"/>
      <c r="IN75" s="390"/>
      <c r="IO75" s="390"/>
      <c r="IP75" s="390"/>
      <c r="IQ75" s="390"/>
      <c r="IR75" s="390"/>
      <c r="IS75" s="390"/>
      <c r="IT75" s="390"/>
      <c r="IU75" s="390"/>
      <c r="IV75" s="390"/>
      <c r="IW75" s="390"/>
      <c r="IX75" s="390"/>
      <c r="IY75" s="390"/>
      <c r="IZ75" s="390"/>
      <c r="JA75" s="390"/>
      <c r="JB75" s="390"/>
      <c r="JC75" s="390"/>
      <c r="JD75" s="390"/>
      <c r="JE75" s="390"/>
      <c r="JF75" s="390"/>
      <c r="JG75" s="390"/>
      <c r="JH75" s="390"/>
      <c r="JI75" s="390"/>
      <c r="JJ75" s="390"/>
      <c r="JK75" s="390"/>
      <c r="JL75" s="390"/>
      <c r="JM75" s="390"/>
      <c r="JN75" s="390"/>
      <c r="JO75" s="390"/>
      <c r="JP75" s="390"/>
      <c r="JQ75" s="390"/>
      <c r="JR75" s="390"/>
      <c r="JS75" s="390"/>
      <c r="JT75" s="390"/>
      <c r="JU75" s="390"/>
      <c r="JV75" s="390"/>
      <c r="JW75" s="390"/>
      <c r="JX75" s="390"/>
      <c r="JY75" s="390"/>
      <c r="JZ75" s="390"/>
      <c r="KA75" s="390"/>
      <c r="KB75" s="390"/>
      <c r="KC75" s="390"/>
      <c r="KD75" s="390"/>
      <c r="KE75" s="390"/>
      <c r="KF75" s="390"/>
      <c r="KG75" s="390"/>
      <c r="KH75" s="390"/>
      <c r="KI75" s="390"/>
      <c r="KJ75" s="390"/>
      <c r="KK75" s="390"/>
      <c r="KL75" s="390"/>
      <c r="KM75" s="390"/>
      <c r="KN75" s="390"/>
      <c r="KO75" s="390"/>
      <c r="KP75" s="390"/>
      <c r="KQ75" s="390"/>
      <c r="KR75" s="390"/>
      <c r="KS75" s="390"/>
      <c r="KT75" s="390"/>
      <c r="KU75" s="390"/>
      <c r="KV75" s="390"/>
      <c r="KW75" s="390"/>
      <c r="KX75" s="390"/>
      <c r="KY75" s="390"/>
      <c r="KZ75" s="390"/>
      <c r="LA75" s="390"/>
      <c r="LB75" s="390"/>
      <c r="LC75" s="390"/>
      <c r="LD75" s="390"/>
      <c r="LE75" s="390"/>
      <c r="LF75" s="390"/>
      <c r="LG75" s="390"/>
      <c r="LH75" s="390"/>
      <c r="LI75" s="390"/>
      <c r="LJ75" s="390"/>
      <c r="LK75" s="390"/>
      <c r="LL75" s="390"/>
      <c r="LM75" s="390"/>
      <c r="LN75" s="390"/>
      <c r="LO75" s="390"/>
      <c r="LP75" s="390"/>
      <c r="LQ75" s="390"/>
      <c r="LR75" s="390"/>
      <c r="LS75" s="390"/>
      <c r="LT75" s="390"/>
      <c r="LU75" s="390"/>
      <c r="LV75" s="390"/>
      <c r="LW75" s="390"/>
      <c r="LX75" s="390"/>
      <c r="LY75" s="390"/>
      <c r="LZ75" s="390"/>
      <c r="MA75" s="390"/>
      <c r="MB75" s="390"/>
      <c r="MC75" s="390"/>
      <c r="MD75" s="390"/>
      <c r="ME75" s="390"/>
      <c r="MF75" s="390"/>
      <c r="MG75" s="390"/>
      <c r="MH75" s="390"/>
      <c r="MI75" s="390"/>
      <c r="MJ75" s="390"/>
      <c r="MK75" s="390"/>
      <c r="ML75" s="390"/>
      <c r="MM75" s="390"/>
      <c r="MN75" s="390"/>
      <c r="MO75" s="390"/>
      <c r="MP75" s="390"/>
      <c r="MQ75" s="390"/>
      <c r="MR75" s="390"/>
      <c r="MS75" s="390"/>
      <c r="MT75" s="390"/>
      <c r="MU75" s="390"/>
      <c r="MV75" s="390"/>
      <c r="MW75" s="390"/>
      <c r="MX75" s="390"/>
      <c r="MY75" s="390"/>
      <c r="MZ75" s="390"/>
      <c r="NA75" s="390"/>
      <c r="NB75" s="390"/>
      <c r="NC75" s="390"/>
      <c r="ND75" s="390"/>
      <c r="NE75" s="390"/>
      <c r="NF75" s="390"/>
      <c r="NG75" s="390"/>
      <c r="NH75" s="390"/>
      <c r="NI75" s="390"/>
      <c r="NJ75" s="390"/>
      <c r="NK75" s="390"/>
      <c r="NL75" s="390"/>
      <c r="NM75" s="390"/>
      <c r="NN75" s="390"/>
      <c r="NO75" s="390"/>
      <c r="NP75" s="390"/>
      <c r="NQ75" s="390"/>
      <c r="NR75" s="390"/>
      <c r="NS75" s="390"/>
      <c r="NT75" s="390"/>
      <c r="NU75" s="390"/>
      <c r="NV75" s="390"/>
      <c r="NW75" s="390"/>
      <c r="NX75" s="390"/>
      <c r="NY75" s="390"/>
      <c r="NZ75" s="390"/>
      <c r="OA75" s="390"/>
      <c r="OB75" s="390"/>
      <c r="OC75" s="390"/>
      <c r="OD75" s="390"/>
      <c r="OE75" s="390"/>
      <c r="OF75" s="390"/>
      <c r="OG75" s="390"/>
      <c r="OH75" s="390"/>
      <c r="OI75" s="390"/>
      <c r="OJ75" s="390"/>
      <c r="OK75" s="390"/>
      <c r="OL75" s="390"/>
      <c r="OM75" s="390"/>
      <c r="ON75" s="390"/>
      <c r="OO75" s="390"/>
      <c r="OP75" s="390"/>
      <c r="OQ75" s="390"/>
      <c r="OR75" s="390"/>
      <c r="OS75" s="390"/>
      <c r="OT75" s="390"/>
      <c r="OU75" s="390"/>
      <c r="OV75" s="390"/>
      <c r="OW75" s="390"/>
      <c r="OX75" s="390"/>
      <c r="OY75" s="390"/>
      <c r="OZ75" s="390"/>
      <c r="PA75" s="390"/>
      <c r="PB75" s="390"/>
      <c r="PC75" s="390"/>
      <c r="PD75" s="390"/>
      <c r="PE75" s="390"/>
      <c r="PF75" s="390"/>
      <c r="PG75" s="390"/>
      <c r="PH75" s="390"/>
      <c r="PI75" s="390"/>
      <c r="PJ75" s="390"/>
      <c r="PK75" s="390"/>
      <c r="PL75" s="390"/>
      <c r="PM75" s="390"/>
      <c r="PN75" s="390"/>
      <c r="PO75" s="390"/>
      <c r="PP75" s="390"/>
      <c r="PQ75" s="390"/>
      <c r="PR75" s="390"/>
      <c r="PS75" s="390"/>
      <c r="PT75" s="390"/>
      <c r="PU75" s="390"/>
      <c r="PV75" s="390"/>
      <c r="PW75" s="390"/>
      <c r="PX75" s="390"/>
      <c r="PY75" s="390"/>
      <c r="PZ75" s="390"/>
      <c r="QA75" s="390"/>
      <c r="QB75" s="390"/>
      <c r="QC75" s="390"/>
      <c r="QD75" s="390"/>
      <c r="QE75" s="390"/>
      <c r="QF75" s="390"/>
      <c r="QG75" s="390"/>
      <c r="QH75" s="390"/>
      <c r="QI75" s="390"/>
      <c r="QJ75" s="390"/>
      <c r="QK75" s="390"/>
      <c r="QL75" s="390"/>
      <c r="QM75" s="390"/>
      <c r="QN75" s="390"/>
      <c r="QO75" s="390"/>
      <c r="QP75" s="390"/>
      <c r="QQ75" s="390"/>
      <c r="QR75" s="390"/>
      <c r="QS75" s="390"/>
      <c r="QT75" s="390"/>
      <c r="QU75" s="390"/>
      <c r="QV75" s="390"/>
      <c r="QW75" s="390"/>
      <c r="QX75" s="390"/>
      <c r="QY75" s="390"/>
      <c r="QZ75" s="390"/>
      <c r="RA75" s="390"/>
      <c r="RB75" s="390"/>
      <c r="RC75" s="390"/>
      <c r="RD75" s="390"/>
      <c r="RE75" s="390"/>
      <c r="RF75" s="390"/>
      <c r="RG75" s="390"/>
      <c r="RH75" s="390"/>
      <c r="RI75" s="390"/>
      <c r="RJ75" s="390"/>
      <c r="RK75" s="390"/>
      <c r="RL75" s="390"/>
      <c r="RM75" s="390"/>
      <c r="RN75" s="390"/>
      <c r="RO75" s="390"/>
      <c r="RP75" s="390"/>
      <c r="RQ75" s="390"/>
      <c r="RR75" s="390"/>
      <c r="RS75" s="390"/>
      <c r="RT75" s="390"/>
      <c r="RU75" s="390"/>
      <c r="RV75" s="390"/>
      <c r="RW75" s="390"/>
      <c r="RX75" s="390"/>
      <c r="RY75" s="390"/>
      <c r="RZ75" s="390"/>
      <c r="SA75" s="390"/>
      <c r="SB75" s="390"/>
      <c r="SC75" s="390"/>
      <c r="SD75" s="390"/>
      <c r="SE75" s="390"/>
      <c r="SF75" s="390"/>
      <c r="SG75" s="390"/>
      <c r="SH75" s="390"/>
      <c r="SI75" s="390"/>
      <c r="SJ75" s="390"/>
      <c r="SK75" s="390"/>
      <c r="SL75" s="390"/>
      <c r="SM75" s="390"/>
      <c r="SN75" s="390"/>
      <c r="SO75" s="390"/>
      <c r="SP75" s="390"/>
      <c r="SQ75" s="390"/>
      <c r="SR75" s="390"/>
      <c r="SS75" s="390"/>
      <c r="ST75" s="390"/>
      <c r="SU75" s="390"/>
      <c r="SV75" s="390"/>
      <c r="SW75" s="390"/>
      <c r="SX75" s="390"/>
      <c r="SY75" s="390"/>
      <c r="SZ75" s="390"/>
      <c r="TA75" s="390"/>
      <c r="TB75" s="390"/>
      <c r="TC75" s="390"/>
      <c r="TD75" s="390"/>
      <c r="TE75" s="390"/>
      <c r="TF75" s="390"/>
      <c r="TG75" s="390"/>
      <c r="TH75" s="390"/>
      <c r="TI75" s="390"/>
      <c r="TJ75" s="390"/>
      <c r="TK75" s="390"/>
      <c r="TL75" s="390"/>
      <c r="TM75" s="390"/>
      <c r="TN75" s="390"/>
      <c r="TO75" s="390"/>
      <c r="TP75" s="390"/>
      <c r="TQ75" s="390"/>
      <c r="TR75" s="390"/>
      <c r="TS75" s="390"/>
      <c r="TT75" s="390"/>
      <c r="TU75" s="390"/>
      <c r="TV75" s="390"/>
      <c r="TW75" s="390"/>
      <c r="TX75" s="390"/>
      <c r="TY75" s="390"/>
      <c r="TZ75" s="390"/>
      <c r="UA75" s="390"/>
      <c r="UB75" s="390"/>
      <c r="UC75" s="390"/>
      <c r="UD75" s="390"/>
      <c r="UE75" s="390"/>
      <c r="UF75" s="390"/>
      <c r="UG75" s="390"/>
      <c r="UH75" s="390"/>
      <c r="UI75" s="390"/>
      <c r="UJ75" s="390"/>
      <c r="UK75" s="390"/>
      <c r="UL75" s="390"/>
      <c r="UM75" s="390"/>
      <c r="UN75" s="390"/>
      <c r="UO75" s="390"/>
      <c r="UP75" s="390"/>
      <c r="UQ75" s="390"/>
      <c r="UR75" s="390"/>
      <c r="US75" s="390"/>
      <c r="UT75" s="390"/>
      <c r="UU75" s="390"/>
      <c r="UV75" s="390"/>
      <c r="UW75" s="390"/>
      <c r="UX75" s="390"/>
      <c r="UY75" s="390"/>
      <c r="UZ75" s="390"/>
      <c r="VA75" s="390"/>
      <c r="VB75" s="390"/>
      <c r="VC75" s="390"/>
      <c r="VD75" s="390"/>
      <c r="VE75" s="390"/>
      <c r="VF75" s="390"/>
      <c r="VG75" s="390"/>
      <c r="VH75" s="390"/>
      <c r="VI75" s="390"/>
      <c r="VJ75" s="390"/>
      <c r="VK75" s="390"/>
      <c r="VL75" s="390"/>
      <c r="VM75" s="390"/>
      <c r="VN75" s="390"/>
      <c r="VO75" s="390"/>
      <c r="VP75" s="390"/>
      <c r="VQ75" s="390"/>
      <c r="VR75" s="390"/>
      <c r="VS75" s="390"/>
      <c r="VT75" s="390"/>
      <c r="VU75" s="390"/>
      <c r="VV75" s="390"/>
      <c r="VW75" s="390"/>
      <c r="VX75" s="390"/>
      <c r="VY75" s="390"/>
      <c r="VZ75" s="390"/>
      <c r="WA75" s="390"/>
      <c r="WB75" s="390"/>
      <c r="WC75" s="390"/>
      <c r="WD75" s="390"/>
      <c r="WE75" s="390"/>
      <c r="WF75" s="390"/>
      <c r="WG75" s="390"/>
      <c r="WH75" s="390"/>
      <c r="WI75" s="390"/>
      <c r="WJ75" s="390"/>
      <c r="WK75" s="390"/>
      <c r="WL75" s="390"/>
      <c r="WM75" s="390"/>
      <c r="WN75" s="390"/>
      <c r="WO75" s="390"/>
      <c r="WP75" s="390"/>
      <c r="WQ75" s="390"/>
      <c r="WR75" s="390"/>
      <c r="WS75" s="390"/>
      <c r="WT75" s="390"/>
      <c r="WU75" s="390"/>
      <c r="WV75" s="390"/>
      <c r="WW75" s="390"/>
      <c r="WX75" s="390"/>
      <c r="WY75" s="390"/>
      <c r="WZ75" s="390"/>
      <c r="XA75" s="390"/>
      <c r="XB75" s="390"/>
      <c r="XC75" s="390"/>
      <c r="XD75" s="390"/>
      <c r="XE75" s="390"/>
      <c r="XF75" s="390"/>
      <c r="XG75" s="390"/>
      <c r="XH75" s="390"/>
      <c r="XI75" s="390"/>
      <c r="XJ75" s="390"/>
      <c r="XK75" s="390"/>
      <c r="XL75" s="390"/>
      <c r="XM75" s="390"/>
      <c r="XN75" s="390"/>
      <c r="XO75" s="390"/>
      <c r="XP75" s="390"/>
      <c r="XQ75" s="390"/>
      <c r="XR75" s="390"/>
      <c r="XS75" s="390"/>
      <c r="XT75" s="390"/>
      <c r="XU75" s="390"/>
      <c r="XV75" s="390"/>
      <c r="XW75" s="390"/>
      <c r="XX75" s="390"/>
      <c r="XY75" s="390"/>
      <c r="XZ75" s="390"/>
      <c r="YA75" s="390"/>
      <c r="YB75" s="390"/>
      <c r="YC75" s="390"/>
      <c r="YD75" s="390"/>
      <c r="YE75" s="390"/>
      <c r="YF75" s="390"/>
      <c r="YG75" s="390"/>
      <c r="YH75" s="390"/>
      <c r="YI75" s="390"/>
      <c r="YJ75" s="390"/>
      <c r="YK75" s="390"/>
      <c r="YL75" s="390"/>
      <c r="YM75" s="390"/>
      <c r="YN75" s="390"/>
      <c r="YO75" s="390"/>
      <c r="YP75" s="390"/>
      <c r="YQ75" s="390"/>
      <c r="YR75" s="390"/>
      <c r="YS75" s="390"/>
      <c r="YT75" s="390"/>
      <c r="YU75" s="390"/>
      <c r="YV75" s="390"/>
      <c r="YW75" s="390"/>
      <c r="YX75" s="390"/>
      <c r="YY75" s="390"/>
      <c r="YZ75" s="390"/>
      <c r="ZA75" s="390"/>
      <c r="ZB75" s="390"/>
      <c r="ZC75" s="390"/>
      <c r="ZD75" s="390"/>
      <c r="ZE75" s="390"/>
      <c r="ZF75" s="390"/>
      <c r="ZG75" s="390"/>
      <c r="ZH75" s="390"/>
      <c r="ZI75" s="390"/>
      <c r="ZJ75" s="390"/>
      <c r="ZK75" s="390"/>
      <c r="ZL75" s="390"/>
      <c r="ZM75" s="390"/>
      <c r="ZN75" s="390"/>
      <c r="ZO75" s="390"/>
      <c r="ZP75" s="390"/>
      <c r="ZQ75" s="390"/>
      <c r="ZR75" s="390"/>
      <c r="ZS75" s="390"/>
      <c r="ZT75" s="390"/>
      <c r="ZU75" s="390"/>
      <c r="ZV75" s="390"/>
      <c r="ZW75" s="390"/>
      <c r="ZX75" s="390"/>
      <c r="ZY75" s="390"/>
      <c r="ZZ75" s="390"/>
      <c r="AAA75" s="390"/>
      <c r="AAB75" s="390"/>
      <c r="AAC75" s="390"/>
      <c r="AAD75" s="390"/>
      <c r="AAE75" s="390"/>
      <c r="AAF75" s="390"/>
      <c r="AAG75" s="390"/>
      <c r="AAH75" s="390"/>
      <c r="AAI75" s="390"/>
      <c r="AAJ75" s="390"/>
      <c r="AAK75" s="390"/>
      <c r="AAL75" s="390"/>
      <c r="AAM75" s="390"/>
      <c r="AAN75" s="390"/>
      <c r="AAO75" s="390"/>
      <c r="AAP75" s="390"/>
      <c r="AAQ75" s="390"/>
      <c r="AAR75" s="390"/>
      <c r="AAS75" s="390"/>
      <c r="AAT75" s="390"/>
      <c r="AAU75" s="390"/>
      <c r="AAV75" s="390"/>
      <c r="AAW75" s="390"/>
      <c r="AAX75" s="390"/>
      <c r="AAY75" s="390"/>
      <c r="AAZ75" s="390"/>
      <c r="ABA75" s="390"/>
      <c r="ABB75" s="390"/>
      <c r="ABC75" s="390"/>
      <c r="ABD75" s="390"/>
      <c r="ABE75" s="390"/>
      <c r="ABF75" s="390"/>
      <c r="ABG75" s="390"/>
      <c r="ABH75" s="390"/>
      <c r="ABI75" s="390"/>
      <c r="ABJ75" s="390"/>
      <c r="ABK75" s="390"/>
      <c r="ABL75" s="390"/>
      <c r="ABM75" s="390"/>
      <c r="ABN75" s="390"/>
      <c r="ABO75" s="390"/>
      <c r="ABP75" s="390"/>
      <c r="ABQ75" s="390"/>
      <c r="ABR75" s="390"/>
      <c r="ABS75" s="390"/>
      <c r="ABT75" s="390"/>
      <c r="ABU75" s="390"/>
      <c r="ABV75" s="390"/>
      <c r="ABW75" s="390"/>
      <c r="ABX75" s="390"/>
      <c r="ABY75" s="390"/>
      <c r="ABZ75" s="390"/>
      <c r="ACA75" s="390"/>
      <c r="ACB75" s="390"/>
      <c r="ACC75" s="390"/>
      <c r="ACD75" s="390"/>
      <c r="ACE75" s="390"/>
      <c r="ACF75" s="390"/>
      <c r="ACG75" s="390"/>
      <c r="ACH75" s="390"/>
      <c r="ACI75" s="390"/>
    </row>
    <row r="76" spans="1:763" ht="13.95" customHeight="1" x14ac:dyDescent="0.3">
      <c r="A76" s="390" t="str">
        <f ca="1">Проект!$A$402</f>
        <v>Затраты на коммерческий персонал, с соц. взносами</v>
      </c>
      <c r="B76" s="356"/>
      <c r="C76" s="391" t="str">
        <f ca="1">Проект!$C$402</f>
        <v>руб.</v>
      </c>
      <c r="D76" s="399">
        <f ca="1">SUM(Проект!$G$402:$R$402)</f>
        <v>286701.86058483284</v>
      </c>
      <c r="E76" s="399">
        <f ca="1">SUM(Проект!$S$402:$AD$402)</f>
        <v>599081.60395134869</v>
      </c>
      <c r="F76" s="399">
        <f ca="1">SUM(Проект!$AE$402:$AP$402)</f>
        <v>635026.50018842972</v>
      </c>
      <c r="G76" s="399">
        <f ca="1">SUM(Проект!$AQ$402:$BB$402)</f>
        <v>673128.09019973571</v>
      </c>
      <c r="H76" s="392">
        <f ca="1">Проект!$BD$402</f>
        <v>2193938.0549243474</v>
      </c>
      <c r="I76" s="390"/>
      <c r="J76" s="390"/>
      <c r="K76" s="390"/>
      <c r="L76" s="390"/>
      <c r="M76" s="390"/>
      <c r="N76" s="390"/>
      <c r="O76" s="390"/>
      <c r="P76" s="390"/>
      <c r="Q76" s="390"/>
      <c r="R76" s="390"/>
      <c r="S76" s="390"/>
      <c r="T76" s="390"/>
      <c r="U76" s="390"/>
      <c r="V76" s="390"/>
      <c r="W76" s="390"/>
      <c r="X76" s="390"/>
      <c r="Y76" s="390"/>
      <c r="Z76" s="390"/>
      <c r="AA76" s="390"/>
      <c r="AB76" s="390"/>
      <c r="AC76" s="390"/>
      <c r="AD76" s="390"/>
      <c r="AE76" s="390"/>
      <c r="AF76" s="390"/>
      <c r="AG76" s="390"/>
      <c r="AH76" s="390"/>
      <c r="AI76" s="390"/>
      <c r="AJ76" s="390"/>
      <c r="AK76" s="390"/>
      <c r="AL76" s="390"/>
      <c r="AM76" s="390"/>
      <c r="AN76" s="390"/>
      <c r="AO76" s="390"/>
      <c r="AP76" s="390"/>
      <c r="AQ76" s="390"/>
      <c r="AR76" s="390"/>
      <c r="AS76" s="390"/>
      <c r="AT76" s="390"/>
      <c r="AU76" s="390"/>
      <c r="AV76" s="390"/>
      <c r="AW76" s="390"/>
      <c r="AX76" s="390"/>
      <c r="AY76" s="390"/>
      <c r="AZ76" s="390"/>
      <c r="BA76" s="390"/>
      <c r="BB76" s="390"/>
      <c r="BC76" s="390"/>
      <c r="BD76" s="390"/>
      <c r="BE76" s="390"/>
      <c r="BF76" s="390"/>
      <c r="BG76" s="390"/>
      <c r="BH76" s="390"/>
      <c r="BI76" s="390"/>
      <c r="BJ76" s="390"/>
      <c r="BK76" s="390"/>
      <c r="BL76" s="390"/>
      <c r="BM76" s="390"/>
      <c r="BN76" s="390"/>
      <c r="BO76" s="390"/>
      <c r="BP76" s="390"/>
      <c r="BQ76" s="390"/>
      <c r="BR76" s="390"/>
      <c r="BS76" s="390"/>
      <c r="BT76" s="390"/>
      <c r="BU76" s="390"/>
      <c r="BV76" s="390"/>
      <c r="BW76" s="390"/>
      <c r="BX76" s="390"/>
      <c r="BY76" s="390"/>
      <c r="BZ76" s="390"/>
      <c r="CA76" s="390"/>
      <c r="CB76" s="390"/>
      <c r="CC76" s="390"/>
      <c r="CD76" s="390"/>
      <c r="CE76" s="390"/>
      <c r="CF76" s="390"/>
      <c r="CG76" s="390"/>
      <c r="CH76" s="390"/>
      <c r="CI76" s="390"/>
      <c r="CJ76" s="390"/>
      <c r="CK76" s="390"/>
      <c r="CL76" s="390"/>
      <c r="CM76" s="390"/>
      <c r="CN76" s="390"/>
      <c r="CO76" s="390"/>
      <c r="CP76" s="390"/>
      <c r="CQ76" s="390"/>
      <c r="CR76" s="390"/>
      <c r="CS76" s="390"/>
      <c r="CT76" s="390"/>
      <c r="CU76" s="390"/>
      <c r="CV76" s="390"/>
      <c r="CW76" s="390"/>
      <c r="CX76" s="390"/>
      <c r="CY76" s="390"/>
      <c r="CZ76" s="390"/>
      <c r="DA76" s="390"/>
      <c r="DB76" s="390"/>
      <c r="DC76" s="390"/>
      <c r="DD76" s="390"/>
      <c r="DE76" s="390"/>
      <c r="DF76" s="390"/>
      <c r="DG76" s="390"/>
      <c r="DH76" s="390"/>
      <c r="DI76" s="390"/>
      <c r="DJ76" s="390"/>
      <c r="DK76" s="390"/>
      <c r="DL76" s="390"/>
      <c r="DM76" s="390"/>
      <c r="DN76" s="390"/>
      <c r="DO76" s="390"/>
      <c r="DP76" s="390"/>
      <c r="DQ76" s="390"/>
      <c r="DR76" s="390"/>
      <c r="DS76" s="390"/>
      <c r="DT76" s="390"/>
      <c r="DU76" s="390"/>
      <c r="DV76" s="390"/>
      <c r="DW76" s="390"/>
      <c r="DX76" s="390"/>
      <c r="DY76" s="390"/>
      <c r="DZ76" s="390"/>
      <c r="EA76" s="390"/>
      <c r="EB76" s="390"/>
      <c r="EC76" s="390"/>
      <c r="ED76" s="390"/>
      <c r="EE76" s="390"/>
      <c r="EF76" s="390"/>
      <c r="EG76" s="390"/>
      <c r="EH76" s="390"/>
      <c r="EI76" s="390"/>
      <c r="EJ76" s="390"/>
      <c r="EK76" s="390"/>
      <c r="EL76" s="390"/>
      <c r="EM76" s="390"/>
      <c r="EN76" s="390"/>
      <c r="EO76" s="390"/>
      <c r="EP76" s="390"/>
      <c r="EQ76" s="390"/>
      <c r="ER76" s="390"/>
      <c r="ES76" s="390"/>
      <c r="ET76" s="390"/>
      <c r="EU76" s="390"/>
      <c r="EV76" s="390"/>
      <c r="EW76" s="390"/>
      <c r="EX76" s="390"/>
      <c r="EY76" s="390"/>
      <c r="EZ76" s="390"/>
      <c r="FA76" s="390"/>
      <c r="FB76" s="390"/>
      <c r="FC76" s="390"/>
      <c r="FD76" s="390"/>
      <c r="FE76" s="390"/>
      <c r="FF76" s="390"/>
      <c r="FG76" s="390"/>
      <c r="FH76" s="390"/>
      <c r="FI76" s="390"/>
      <c r="FJ76" s="390"/>
      <c r="FK76" s="390"/>
      <c r="FL76" s="390"/>
      <c r="FM76" s="390"/>
      <c r="FN76" s="390"/>
      <c r="FO76" s="390"/>
      <c r="FP76" s="390"/>
      <c r="FQ76" s="390"/>
      <c r="FR76" s="390"/>
      <c r="FS76" s="390"/>
      <c r="FT76" s="390"/>
      <c r="FU76" s="390"/>
      <c r="FV76" s="390"/>
      <c r="FW76" s="390"/>
      <c r="FX76" s="390"/>
      <c r="FY76" s="390"/>
      <c r="FZ76" s="390"/>
      <c r="GA76" s="390"/>
      <c r="GB76" s="390"/>
      <c r="GC76" s="390"/>
      <c r="GD76" s="390"/>
      <c r="GE76" s="390"/>
      <c r="GF76" s="390"/>
      <c r="GG76" s="390"/>
      <c r="GH76" s="390"/>
      <c r="GI76" s="390"/>
      <c r="GJ76" s="390"/>
      <c r="GK76" s="390"/>
      <c r="GL76" s="390"/>
      <c r="GM76" s="390"/>
      <c r="GN76" s="390"/>
      <c r="GO76" s="390"/>
      <c r="GP76" s="390"/>
      <c r="GQ76" s="390"/>
      <c r="GR76" s="390"/>
      <c r="GS76" s="390"/>
      <c r="GT76" s="390"/>
      <c r="GU76" s="390"/>
      <c r="GV76" s="390"/>
      <c r="GW76" s="390"/>
      <c r="GX76" s="390"/>
      <c r="GY76" s="390"/>
      <c r="GZ76" s="390"/>
      <c r="HA76" s="390"/>
      <c r="HB76" s="390"/>
      <c r="HC76" s="390"/>
      <c r="HD76" s="390"/>
      <c r="HE76" s="390"/>
      <c r="HF76" s="390"/>
      <c r="HG76" s="390"/>
      <c r="HH76" s="390"/>
      <c r="HI76" s="390"/>
      <c r="HJ76" s="390"/>
      <c r="HK76" s="390"/>
      <c r="HL76" s="390"/>
      <c r="HM76" s="390"/>
      <c r="HN76" s="390"/>
      <c r="HO76" s="390"/>
      <c r="HP76" s="390"/>
      <c r="HQ76" s="390"/>
      <c r="HR76" s="390"/>
      <c r="HS76" s="390"/>
      <c r="HT76" s="390"/>
      <c r="HU76" s="390"/>
      <c r="HV76" s="390"/>
      <c r="HW76" s="390"/>
      <c r="HX76" s="390"/>
      <c r="HY76" s="390"/>
      <c r="HZ76" s="390"/>
      <c r="IA76" s="390"/>
      <c r="IB76" s="390"/>
      <c r="IC76" s="390"/>
      <c r="ID76" s="390"/>
      <c r="IE76" s="390"/>
      <c r="IF76" s="390"/>
      <c r="IG76" s="390"/>
      <c r="IH76" s="390"/>
      <c r="II76" s="390"/>
      <c r="IJ76" s="390"/>
      <c r="IK76" s="390"/>
      <c r="IL76" s="390"/>
      <c r="IM76" s="390"/>
      <c r="IN76" s="390"/>
      <c r="IO76" s="390"/>
      <c r="IP76" s="390"/>
      <c r="IQ76" s="390"/>
      <c r="IR76" s="390"/>
      <c r="IS76" s="390"/>
      <c r="IT76" s="390"/>
      <c r="IU76" s="390"/>
      <c r="IV76" s="390"/>
      <c r="IW76" s="390"/>
      <c r="IX76" s="390"/>
      <c r="IY76" s="390"/>
      <c r="IZ76" s="390"/>
      <c r="JA76" s="390"/>
      <c r="JB76" s="390"/>
      <c r="JC76" s="390"/>
      <c r="JD76" s="390"/>
      <c r="JE76" s="390"/>
      <c r="JF76" s="390"/>
      <c r="JG76" s="390"/>
      <c r="JH76" s="390"/>
      <c r="JI76" s="390"/>
      <c r="JJ76" s="390"/>
      <c r="JK76" s="390"/>
      <c r="JL76" s="390"/>
      <c r="JM76" s="390"/>
      <c r="JN76" s="390"/>
      <c r="JO76" s="390"/>
      <c r="JP76" s="390"/>
      <c r="JQ76" s="390"/>
      <c r="JR76" s="390"/>
      <c r="JS76" s="390"/>
      <c r="JT76" s="390"/>
      <c r="JU76" s="390"/>
      <c r="JV76" s="390"/>
      <c r="JW76" s="390"/>
      <c r="JX76" s="390"/>
      <c r="JY76" s="390"/>
      <c r="JZ76" s="390"/>
      <c r="KA76" s="390"/>
      <c r="KB76" s="390"/>
      <c r="KC76" s="390"/>
      <c r="KD76" s="390"/>
      <c r="KE76" s="390"/>
      <c r="KF76" s="390"/>
      <c r="KG76" s="390"/>
      <c r="KH76" s="390"/>
      <c r="KI76" s="390"/>
      <c r="KJ76" s="390"/>
      <c r="KK76" s="390"/>
      <c r="KL76" s="390"/>
      <c r="KM76" s="390"/>
      <c r="KN76" s="390"/>
      <c r="KO76" s="390"/>
      <c r="KP76" s="390"/>
      <c r="KQ76" s="390"/>
      <c r="KR76" s="390"/>
      <c r="KS76" s="390"/>
      <c r="KT76" s="390"/>
      <c r="KU76" s="390"/>
      <c r="KV76" s="390"/>
      <c r="KW76" s="390"/>
      <c r="KX76" s="390"/>
      <c r="KY76" s="390"/>
      <c r="KZ76" s="390"/>
      <c r="LA76" s="390"/>
      <c r="LB76" s="390"/>
      <c r="LC76" s="390"/>
      <c r="LD76" s="390"/>
      <c r="LE76" s="390"/>
      <c r="LF76" s="390"/>
      <c r="LG76" s="390"/>
      <c r="LH76" s="390"/>
      <c r="LI76" s="390"/>
      <c r="LJ76" s="390"/>
      <c r="LK76" s="390"/>
      <c r="LL76" s="390"/>
      <c r="LM76" s="390"/>
      <c r="LN76" s="390"/>
      <c r="LO76" s="390"/>
      <c r="LP76" s="390"/>
      <c r="LQ76" s="390"/>
      <c r="LR76" s="390"/>
      <c r="LS76" s="390"/>
      <c r="LT76" s="390"/>
      <c r="LU76" s="390"/>
      <c r="LV76" s="390"/>
      <c r="LW76" s="390"/>
      <c r="LX76" s="390"/>
      <c r="LY76" s="390"/>
      <c r="LZ76" s="390"/>
      <c r="MA76" s="390"/>
      <c r="MB76" s="390"/>
      <c r="MC76" s="390"/>
      <c r="MD76" s="390"/>
      <c r="ME76" s="390"/>
      <c r="MF76" s="390"/>
      <c r="MG76" s="390"/>
      <c r="MH76" s="390"/>
      <c r="MI76" s="390"/>
      <c r="MJ76" s="390"/>
      <c r="MK76" s="390"/>
      <c r="ML76" s="390"/>
      <c r="MM76" s="390"/>
      <c r="MN76" s="390"/>
      <c r="MO76" s="390"/>
      <c r="MP76" s="390"/>
      <c r="MQ76" s="390"/>
      <c r="MR76" s="390"/>
      <c r="MS76" s="390"/>
      <c r="MT76" s="390"/>
      <c r="MU76" s="390"/>
      <c r="MV76" s="390"/>
      <c r="MW76" s="390"/>
      <c r="MX76" s="390"/>
      <c r="MY76" s="390"/>
      <c r="MZ76" s="390"/>
      <c r="NA76" s="390"/>
      <c r="NB76" s="390"/>
      <c r="NC76" s="390"/>
      <c r="ND76" s="390"/>
      <c r="NE76" s="390"/>
      <c r="NF76" s="390"/>
      <c r="NG76" s="390"/>
      <c r="NH76" s="390"/>
      <c r="NI76" s="390"/>
      <c r="NJ76" s="390"/>
      <c r="NK76" s="390"/>
      <c r="NL76" s="390"/>
      <c r="NM76" s="390"/>
      <c r="NN76" s="390"/>
      <c r="NO76" s="390"/>
      <c r="NP76" s="390"/>
      <c r="NQ76" s="390"/>
      <c r="NR76" s="390"/>
      <c r="NS76" s="390"/>
      <c r="NT76" s="390"/>
      <c r="NU76" s="390"/>
      <c r="NV76" s="390"/>
      <c r="NW76" s="390"/>
      <c r="NX76" s="390"/>
      <c r="NY76" s="390"/>
      <c r="NZ76" s="390"/>
      <c r="OA76" s="390"/>
      <c r="OB76" s="390"/>
      <c r="OC76" s="390"/>
      <c r="OD76" s="390"/>
      <c r="OE76" s="390"/>
      <c r="OF76" s="390"/>
      <c r="OG76" s="390"/>
      <c r="OH76" s="390"/>
      <c r="OI76" s="390"/>
      <c r="OJ76" s="390"/>
      <c r="OK76" s="390"/>
      <c r="OL76" s="390"/>
      <c r="OM76" s="390"/>
      <c r="ON76" s="390"/>
      <c r="OO76" s="390"/>
      <c r="OP76" s="390"/>
      <c r="OQ76" s="390"/>
      <c r="OR76" s="390"/>
      <c r="OS76" s="390"/>
      <c r="OT76" s="390"/>
      <c r="OU76" s="390"/>
      <c r="OV76" s="390"/>
      <c r="OW76" s="390"/>
      <c r="OX76" s="390"/>
      <c r="OY76" s="390"/>
      <c r="OZ76" s="390"/>
      <c r="PA76" s="390"/>
      <c r="PB76" s="390"/>
      <c r="PC76" s="390"/>
      <c r="PD76" s="390"/>
      <c r="PE76" s="390"/>
      <c r="PF76" s="390"/>
      <c r="PG76" s="390"/>
      <c r="PH76" s="390"/>
      <c r="PI76" s="390"/>
      <c r="PJ76" s="390"/>
      <c r="PK76" s="390"/>
      <c r="PL76" s="390"/>
      <c r="PM76" s="390"/>
      <c r="PN76" s="390"/>
      <c r="PO76" s="390"/>
      <c r="PP76" s="390"/>
      <c r="PQ76" s="390"/>
      <c r="PR76" s="390"/>
      <c r="PS76" s="390"/>
      <c r="PT76" s="390"/>
      <c r="PU76" s="390"/>
      <c r="PV76" s="390"/>
      <c r="PW76" s="390"/>
      <c r="PX76" s="390"/>
      <c r="PY76" s="390"/>
      <c r="PZ76" s="390"/>
      <c r="QA76" s="390"/>
      <c r="QB76" s="390"/>
      <c r="QC76" s="390"/>
      <c r="QD76" s="390"/>
      <c r="QE76" s="390"/>
      <c r="QF76" s="390"/>
      <c r="QG76" s="390"/>
      <c r="QH76" s="390"/>
      <c r="QI76" s="390"/>
      <c r="QJ76" s="390"/>
      <c r="QK76" s="390"/>
      <c r="QL76" s="390"/>
      <c r="QM76" s="390"/>
      <c r="QN76" s="390"/>
      <c r="QO76" s="390"/>
      <c r="QP76" s="390"/>
      <c r="QQ76" s="390"/>
      <c r="QR76" s="390"/>
      <c r="QS76" s="390"/>
      <c r="QT76" s="390"/>
      <c r="QU76" s="390"/>
      <c r="QV76" s="390"/>
      <c r="QW76" s="390"/>
      <c r="QX76" s="390"/>
      <c r="QY76" s="390"/>
      <c r="QZ76" s="390"/>
      <c r="RA76" s="390"/>
      <c r="RB76" s="390"/>
      <c r="RC76" s="390"/>
      <c r="RD76" s="390"/>
      <c r="RE76" s="390"/>
      <c r="RF76" s="390"/>
      <c r="RG76" s="390"/>
      <c r="RH76" s="390"/>
      <c r="RI76" s="390"/>
      <c r="RJ76" s="390"/>
      <c r="RK76" s="390"/>
      <c r="RL76" s="390"/>
      <c r="RM76" s="390"/>
      <c r="RN76" s="390"/>
      <c r="RO76" s="390"/>
      <c r="RP76" s="390"/>
      <c r="RQ76" s="390"/>
      <c r="RR76" s="390"/>
      <c r="RS76" s="390"/>
      <c r="RT76" s="390"/>
      <c r="RU76" s="390"/>
      <c r="RV76" s="390"/>
      <c r="RW76" s="390"/>
      <c r="RX76" s="390"/>
      <c r="RY76" s="390"/>
      <c r="RZ76" s="390"/>
      <c r="SA76" s="390"/>
      <c r="SB76" s="390"/>
      <c r="SC76" s="390"/>
      <c r="SD76" s="390"/>
      <c r="SE76" s="390"/>
      <c r="SF76" s="390"/>
      <c r="SG76" s="390"/>
      <c r="SH76" s="390"/>
      <c r="SI76" s="390"/>
      <c r="SJ76" s="390"/>
      <c r="SK76" s="390"/>
      <c r="SL76" s="390"/>
      <c r="SM76" s="390"/>
      <c r="SN76" s="390"/>
      <c r="SO76" s="390"/>
      <c r="SP76" s="390"/>
      <c r="SQ76" s="390"/>
      <c r="SR76" s="390"/>
      <c r="SS76" s="390"/>
      <c r="ST76" s="390"/>
      <c r="SU76" s="390"/>
      <c r="SV76" s="390"/>
      <c r="SW76" s="390"/>
      <c r="SX76" s="390"/>
      <c r="SY76" s="390"/>
      <c r="SZ76" s="390"/>
      <c r="TA76" s="390"/>
      <c r="TB76" s="390"/>
      <c r="TC76" s="390"/>
      <c r="TD76" s="390"/>
      <c r="TE76" s="390"/>
      <c r="TF76" s="390"/>
      <c r="TG76" s="390"/>
      <c r="TH76" s="390"/>
      <c r="TI76" s="390"/>
      <c r="TJ76" s="390"/>
      <c r="TK76" s="390"/>
      <c r="TL76" s="390"/>
      <c r="TM76" s="390"/>
      <c r="TN76" s="390"/>
      <c r="TO76" s="390"/>
      <c r="TP76" s="390"/>
      <c r="TQ76" s="390"/>
      <c r="TR76" s="390"/>
      <c r="TS76" s="390"/>
      <c r="TT76" s="390"/>
      <c r="TU76" s="390"/>
      <c r="TV76" s="390"/>
      <c r="TW76" s="390"/>
      <c r="TX76" s="390"/>
      <c r="TY76" s="390"/>
      <c r="TZ76" s="390"/>
      <c r="UA76" s="390"/>
      <c r="UB76" s="390"/>
      <c r="UC76" s="390"/>
      <c r="UD76" s="390"/>
      <c r="UE76" s="390"/>
      <c r="UF76" s="390"/>
      <c r="UG76" s="390"/>
      <c r="UH76" s="390"/>
      <c r="UI76" s="390"/>
      <c r="UJ76" s="390"/>
      <c r="UK76" s="390"/>
      <c r="UL76" s="390"/>
      <c r="UM76" s="390"/>
      <c r="UN76" s="390"/>
      <c r="UO76" s="390"/>
      <c r="UP76" s="390"/>
      <c r="UQ76" s="390"/>
      <c r="UR76" s="390"/>
      <c r="US76" s="390"/>
      <c r="UT76" s="390"/>
      <c r="UU76" s="390"/>
      <c r="UV76" s="390"/>
      <c r="UW76" s="390"/>
      <c r="UX76" s="390"/>
      <c r="UY76" s="390"/>
      <c r="UZ76" s="390"/>
      <c r="VA76" s="390"/>
      <c r="VB76" s="390"/>
      <c r="VC76" s="390"/>
      <c r="VD76" s="390"/>
      <c r="VE76" s="390"/>
      <c r="VF76" s="390"/>
      <c r="VG76" s="390"/>
      <c r="VH76" s="390"/>
      <c r="VI76" s="390"/>
      <c r="VJ76" s="390"/>
      <c r="VK76" s="390"/>
      <c r="VL76" s="390"/>
      <c r="VM76" s="390"/>
      <c r="VN76" s="390"/>
      <c r="VO76" s="390"/>
      <c r="VP76" s="390"/>
      <c r="VQ76" s="390"/>
      <c r="VR76" s="390"/>
      <c r="VS76" s="390"/>
      <c r="VT76" s="390"/>
      <c r="VU76" s="390"/>
      <c r="VV76" s="390"/>
      <c r="VW76" s="390"/>
      <c r="VX76" s="390"/>
      <c r="VY76" s="390"/>
      <c r="VZ76" s="390"/>
      <c r="WA76" s="390"/>
      <c r="WB76" s="390"/>
      <c r="WC76" s="390"/>
      <c r="WD76" s="390"/>
      <c r="WE76" s="390"/>
      <c r="WF76" s="390"/>
      <c r="WG76" s="390"/>
      <c r="WH76" s="390"/>
      <c r="WI76" s="390"/>
      <c r="WJ76" s="390"/>
      <c r="WK76" s="390"/>
      <c r="WL76" s="390"/>
      <c r="WM76" s="390"/>
      <c r="WN76" s="390"/>
      <c r="WO76" s="390"/>
      <c r="WP76" s="390"/>
      <c r="WQ76" s="390"/>
      <c r="WR76" s="390"/>
      <c r="WS76" s="390"/>
      <c r="WT76" s="390"/>
      <c r="WU76" s="390"/>
      <c r="WV76" s="390"/>
      <c r="WW76" s="390"/>
      <c r="WX76" s="390"/>
      <c r="WY76" s="390"/>
      <c r="WZ76" s="390"/>
      <c r="XA76" s="390"/>
      <c r="XB76" s="390"/>
      <c r="XC76" s="390"/>
      <c r="XD76" s="390"/>
      <c r="XE76" s="390"/>
      <c r="XF76" s="390"/>
      <c r="XG76" s="390"/>
      <c r="XH76" s="390"/>
      <c r="XI76" s="390"/>
      <c r="XJ76" s="390"/>
      <c r="XK76" s="390"/>
      <c r="XL76" s="390"/>
      <c r="XM76" s="390"/>
      <c r="XN76" s="390"/>
      <c r="XO76" s="390"/>
      <c r="XP76" s="390"/>
      <c r="XQ76" s="390"/>
      <c r="XR76" s="390"/>
      <c r="XS76" s="390"/>
      <c r="XT76" s="390"/>
      <c r="XU76" s="390"/>
      <c r="XV76" s="390"/>
      <c r="XW76" s="390"/>
      <c r="XX76" s="390"/>
      <c r="XY76" s="390"/>
      <c r="XZ76" s="390"/>
      <c r="YA76" s="390"/>
      <c r="YB76" s="390"/>
      <c r="YC76" s="390"/>
      <c r="YD76" s="390"/>
      <c r="YE76" s="390"/>
      <c r="YF76" s="390"/>
      <c r="YG76" s="390"/>
      <c r="YH76" s="390"/>
      <c r="YI76" s="390"/>
      <c r="YJ76" s="390"/>
      <c r="YK76" s="390"/>
      <c r="YL76" s="390"/>
      <c r="YM76" s="390"/>
      <c r="YN76" s="390"/>
      <c r="YO76" s="390"/>
      <c r="YP76" s="390"/>
      <c r="YQ76" s="390"/>
      <c r="YR76" s="390"/>
      <c r="YS76" s="390"/>
      <c r="YT76" s="390"/>
      <c r="YU76" s="390"/>
      <c r="YV76" s="390"/>
      <c r="YW76" s="390"/>
      <c r="YX76" s="390"/>
      <c r="YY76" s="390"/>
      <c r="YZ76" s="390"/>
      <c r="ZA76" s="390"/>
      <c r="ZB76" s="390"/>
      <c r="ZC76" s="390"/>
      <c r="ZD76" s="390"/>
      <c r="ZE76" s="390"/>
      <c r="ZF76" s="390"/>
      <c r="ZG76" s="390"/>
      <c r="ZH76" s="390"/>
      <c r="ZI76" s="390"/>
      <c r="ZJ76" s="390"/>
      <c r="ZK76" s="390"/>
      <c r="ZL76" s="390"/>
      <c r="ZM76" s="390"/>
      <c r="ZN76" s="390"/>
      <c r="ZO76" s="390"/>
      <c r="ZP76" s="390"/>
      <c r="ZQ76" s="390"/>
      <c r="ZR76" s="390"/>
      <c r="ZS76" s="390"/>
      <c r="ZT76" s="390"/>
      <c r="ZU76" s="390"/>
      <c r="ZV76" s="390"/>
      <c r="ZW76" s="390"/>
      <c r="ZX76" s="390"/>
      <c r="ZY76" s="390"/>
      <c r="ZZ76" s="390"/>
      <c r="AAA76" s="390"/>
      <c r="AAB76" s="390"/>
      <c r="AAC76" s="390"/>
      <c r="AAD76" s="390"/>
      <c r="AAE76" s="390"/>
      <c r="AAF76" s="390"/>
      <c r="AAG76" s="390"/>
      <c r="AAH76" s="390"/>
      <c r="AAI76" s="390"/>
      <c r="AAJ76" s="390"/>
      <c r="AAK76" s="390"/>
      <c r="AAL76" s="390"/>
      <c r="AAM76" s="390"/>
      <c r="AAN76" s="390"/>
      <c r="AAO76" s="390"/>
      <c r="AAP76" s="390"/>
      <c r="AAQ76" s="390"/>
      <c r="AAR76" s="390"/>
      <c r="AAS76" s="390"/>
      <c r="AAT76" s="390"/>
      <c r="AAU76" s="390"/>
      <c r="AAV76" s="390"/>
      <c r="AAW76" s="390"/>
      <c r="AAX76" s="390"/>
      <c r="AAY76" s="390"/>
      <c r="AAZ76" s="390"/>
      <c r="ABA76" s="390"/>
      <c r="ABB76" s="390"/>
      <c r="ABC76" s="390"/>
      <c r="ABD76" s="390"/>
      <c r="ABE76" s="390"/>
      <c r="ABF76" s="390"/>
      <c r="ABG76" s="390"/>
      <c r="ABH76" s="390"/>
      <c r="ABI76" s="390"/>
      <c r="ABJ76" s="390"/>
      <c r="ABK76" s="390"/>
      <c r="ABL76" s="390"/>
      <c r="ABM76" s="390"/>
      <c r="ABN76" s="390"/>
      <c r="ABO76" s="390"/>
      <c r="ABP76" s="390"/>
      <c r="ABQ76" s="390"/>
      <c r="ABR76" s="390"/>
      <c r="ABS76" s="390"/>
      <c r="ABT76" s="390"/>
      <c r="ABU76" s="390"/>
      <c r="ABV76" s="390"/>
      <c r="ABW76" s="390"/>
      <c r="ABX76" s="390"/>
      <c r="ABY76" s="390"/>
      <c r="ABZ76" s="390"/>
      <c r="ACA76" s="390"/>
      <c r="ACB76" s="390"/>
      <c r="ACC76" s="390"/>
      <c r="ACD76" s="390"/>
      <c r="ACE76" s="390"/>
      <c r="ACF76" s="390"/>
      <c r="ACG76" s="390"/>
      <c r="ACH76" s="390"/>
      <c r="ACI76" s="390"/>
    </row>
    <row r="77" spans="1:763" ht="13.95" customHeight="1" x14ac:dyDescent="0.3">
      <c r="A77" s="393" t="str">
        <f ca="1">Проект!$A$410</f>
        <v>Итого: затраты на персонал, с соц. взносами</v>
      </c>
      <c r="B77" s="357"/>
      <c r="C77" s="391" t="str">
        <f ca="1">Проект!$C$410</f>
        <v>руб.</v>
      </c>
      <c r="D77" s="412">
        <f ca="1">SUM(Проект!$G$410:$R$410)</f>
        <v>7986694.6877203435</v>
      </c>
      <c r="E77" s="412">
        <f ca="1">SUM(Проект!$S$410:$AD$410)</f>
        <v>16688701.824359</v>
      </c>
      <c r="F77" s="412">
        <f ca="1">SUM(Проект!$AE$410:$AP$410)</f>
        <v>17690023.933820546</v>
      </c>
      <c r="G77" s="412">
        <f ca="1">SUM(Проект!$AQ$410:$BB$410)</f>
        <v>18751425.369849779</v>
      </c>
      <c r="H77" s="413">
        <f ca="1">Проект!$BD$410</f>
        <v>61116845.81574966</v>
      </c>
      <c r="I77" s="390"/>
      <c r="J77" s="390"/>
      <c r="K77" s="390"/>
      <c r="L77" s="390"/>
      <c r="M77" s="390"/>
      <c r="N77" s="390"/>
      <c r="O77" s="390"/>
      <c r="P77" s="390"/>
      <c r="Q77" s="390"/>
      <c r="R77" s="390"/>
      <c r="S77" s="390"/>
      <c r="T77" s="390"/>
      <c r="U77" s="390"/>
      <c r="V77" s="390"/>
      <c r="W77" s="390"/>
      <c r="X77" s="390"/>
      <c r="Y77" s="390"/>
      <c r="Z77" s="390"/>
      <c r="AA77" s="390"/>
      <c r="AB77" s="390"/>
      <c r="AC77" s="390"/>
      <c r="AD77" s="390"/>
      <c r="AE77" s="390"/>
      <c r="AF77" s="390"/>
      <c r="AG77" s="390"/>
      <c r="AH77" s="390"/>
      <c r="AI77" s="390"/>
      <c r="AJ77" s="390"/>
      <c r="AK77" s="390"/>
      <c r="AL77" s="390"/>
      <c r="AM77" s="390"/>
      <c r="AN77" s="390"/>
      <c r="AO77" s="390"/>
      <c r="AP77" s="390"/>
      <c r="AQ77" s="390"/>
      <c r="AR77" s="390"/>
      <c r="AS77" s="390"/>
      <c r="AT77" s="390"/>
      <c r="AU77" s="390"/>
      <c r="AV77" s="390"/>
      <c r="AW77" s="390"/>
      <c r="AX77" s="390"/>
      <c r="AY77" s="390"/>
      <c r="AZ77" s="390"/>
      <c r="BA77" s="390"/>
      <c r="BB77" s="390"/>
      <c r="BC77" s="390"/>
      <c r="BD77" s="390"/>
      <c r="BE77" s="390"/>
      <c r="BF77" s="390"/>
      <c r="BG77" s="390"/>
      <c r="BH77" s="390"/>
      <c r="BI77" s="390"/>
      <c r="BJ77" s="390"/>
      <c r="BK77" s="390"/>
      <c r="BL77" s="390"/>
      <c r="BM77" s="390"/>
      <c r="BN77" s="390"/>
      <c r="BO77" s="390"/>
      <c r="BP77" s="390"/>
      <c r="BQ77" s="390"/>
      <c r="BR77" s="390"/>
      <c r="BS77" s="390"/>
      <c r="BT77" s="390"/>
      <c r="BU77" s="390"/>
      <c r="BV77" s="390"/>
      <c r="BW77" s="390"/>
      <c r="BX77" s="390"/>
      <c r="BY77" s="390"/>
      <c r="BZ77" s="390"/>
      <c r="CA77" s="390"/>
      <c r="CB77" s="390"/>
      <c r="CC77" s="390"/>
      <c r="CD77" s="390"/>
      <c r="CE77" s="390"/>
      <c r="CF77" s="390"/>
      <c r="CG77" s="390"/>
      <c r="CH77" s="390"/>
      <c r="CI77" s="390"/>
      <c r="CJ77" s="390"/>
      <c r="CK77" s="390"/>
      <c r="CL77" s="390"/>
      <c r="CM77" s="390"/>
      <c r="CN77" s="390"/>
      <c r="CO77" s="390"/>
      <c r="CP77" s="390"/>
      <c r="CQ77" s="390"/>
      <c r="CR77" s="390"/>
      <c r="CS77" s="390"/>
      <c r="CT77" s="390"/>
      <c r="CU77" s="390"/>
      <c r="CV77" s="390"/>
      <c r="CW77" s="390"/>
      <c r="CX77" s="390"/>
      <c r="CY77" s="390"/>
      <c r="CZ77" s="390"/>
      <c r="DA77" s="390"/>
      <c r="DB77" s="390"/>
      <c r="DC77" s="390"/>
      <c r="DD77" s="390"/>
      <c r="DE77" s="390"/>
      <c r="DF77" s="390"/>
      <c r="DG77" s="390"/>
      <c r="DH77" s="390"/>
      <c r="DI77" s="390"/>
      <c r="DJ77" s="390"/>
      <c r="DK77" s="390"/>
      <c r="DL77" s="390"/>
      <c r="DM77" s="390"/>
      <c r="DN77" s="390"/>
      <c r="DO77" s="390"/>
      <c r="DP77" s="390"/>
      <c r="DQ77" s="390"/>
      <c r="DR77" s="390"/>
      <c r="DS77" s="390"/>
      <c r="DT77" s="390"/>
      <c r="DU77" s="390"/>
      <c r="DV77" s="390"/>
      <c r="DW77" s="390"/>
      <c r="DX77" s="390"/>
      <c r="DY77" s="390"/>
      <c r="DZ77" s="390"/>
      <c r="EA77" s="390"/>
      <c r="EB77" s="390"/>
      <c r="EC77" s="390"/>
      <c r="ED77" s="390"/>
      <c r="EE77" s="390"/>
      <c r="EF77" s="390"/>
      <c r="EG77" s="390"/>
      <c r="EH77" s="390"/>
      <c r="EI77" s="390"/>
      <c r="EJ77" s="390"/>
      <c r="EK77" s="390"/>
      <c r="EL77" s="390"/>
      <c r="EM77" s="390"/>
      <c r="EN77" s="390"/>
      <c r="EO77" s="390"/>
      <c r="EP77" s="390"/>
      <c r="EQ77" s="390"/>
      <c r="ER77" s="390"/>
      <c r="ES77" s="390"/>
      <c r="ET77" s="390"/>
      <c r="EU77" s="390"/>
      <c r="EV77" s="390"/>
      <c r="EW77" s="390"/>
      <c r="EX77" s="390"/>
      <c r="EY77" s="390"/>
      <c r="EZ77" s="390"/>
      <c r="FA77" s="390"/>
      <c r="FB77" s="390"/>
      <c r="FC77" s="390"/>
      <c r="FD77" s="390"/>
      <c r="FE77" s="390"/>
      <c r="FF77" s="390"/>
      <c r="FG77" s="390"/>
      <c r="FH77" s="390"/>
      <c r="FI77" s="390"/>
      <c r="FJ77" s="390"/>
      <c r="FK77" s="390"/>
      <c r="FL77" s="390"/>
      <c r="FM77" s="390"/>
      <c r="FN77" s="390"/>
      <c r="FO77" s="390"/>
      <c r="FP77" s="390"/>
      <c r="FQ77" s="390"/>
      <c r="FR77" s="390"/>
      <c r="FS77" s="390"/>
      <c r="FT77" s="390"/>
      <c r="FU77" s="390"/>
      <c r="FV77" s="390"/>
      <c r="FW77" s="390"/>
      <c r="FX77" s="390"/>
      <c r="FY77" s="390"/>
      <c r="FZ77" s="390"/>
      <c r="GA77" s="390"/>
      <c r="GB77" s="390"/>
      <c r="GC77" s="390"/>
      <c r="GD77" s="390"/>
      <c r="GE77" s="390"/>
      <c r="GF77" s="390"/>
      <c r="GG77" s="390"/>
      <c r="GH77" s="390"/>
      <c r="GI77" s="390"/>
      <c r="GJ77" s="390"/>
      <c r="GK77" s="390"/>
      <c r="GL77" s="390"/>
      <c r="GM77" s="390"/>
      <c r="GN77" s="390"/>
      <c r="GO77" s="390"/>
      <c r="GP77" s="390"/>
      <c r="GQ77" s="390"/>
      <c r="GR77" s="390"/>
      <c r="GS77" s="390"/>
      <c r="GT77" s="390"/>
      <c r="GU77" s="390"/>
      <c r="GV77" s="390"/>
      <c r="GW77" s="390"/>
      <c r="GX77" s="390"/>
      <c r="GY77" s="390"/>
      <c r="GZ77" s="390"/>
      <c r="HA77" s="390"/>
      <c r="HB77" s="390"/>
      <c r="HC77" s="390"/>
      <c r="HD77" s="390"/>
      <c r="HE77" s="390"/>
      <c r="HF77" s="390"/>
      <c r="HG77" s="390"/>
      <c r="HH77" s="390"/>
      <c r="HI77" s="390"/>
      <c r="HJ77" s="390"/>
      <c r="HK77" s="390"/>
      <c r="HL77" s="390"/>
      <c r="HM77" s="390"/>
      <c r="HN77" s="390"/>
      <c r="HO77" s="390"/>
      <c r="HP77" s="390"/>
      <c r="HQ77" s="390"/>
      <c r="HR77" s="390"/>
      <c r="HS77" s="390"/>
      <c r="HT77" s="390"/>
      <c r="HU77" s="390"/>
      <c r="HV77" s="390"/>
      <c r="HW77" s="390"/>
      <c r="HX77" s="390"/>
      <c r="HY77" s="390"/>
      <c r="HZ77" s="390"/>
      <c r="IA77" s="390"/>
      <c r="IB77" s="390"/>
      <c r="IC77" s="390"/>
      <c r="ID77" s="390"/>
      <c r="IE77" s="390"/>
      <c r="IF77" s="390"/>
      <c r="IG77" s="390"/>
      <c r="IH77" s="390"/>
      <c r="II77" s="390"/>
      <c r="IJ77" s="390"/>
      <c r="IK77" s="390"/>
      <c r="IL77" s="390"/>
      <c r="IM77" s="390"/>
      <c r="IN77" s="390"/>
      <c r="IO77" s="390"/>
      <c r="IP77" s="390"/>
      <c r="IQ77" s="390"/>
      <c r="IR77" s="390"/>
      <c r="IS77" s="390"/>
      <c r="IT77" s="390"/>
      <c r="IU77" s="390"/>
      <c r="IV77" s="390"/>
      <c r="IW77" s="390"/>
      <c r="IX77" s="390"/>
      <c r="IY77" s="390"/>
      <c r="IZ77" s="390"/>
      <c r="JA77" s="390"/>
      <c r="JB77" s="390"/>
      <c r="JC77" s="390"/>
      <c r="JD77" s="390"/>
      <c r="JE77" s="390"/>
      <c r="JF77" s="390"/>
      <c r="JG77" s="390"/>
      <c r="JH77" s="390"/>
      <c r="JI77" s="390"/>
      <c r="JJ77" s="390"/>
      <c r="JK77" s="390"/>
      <c r="JL77" s="390"/>
      <c r="JM77" s="390"/>
      <c r="JN77" s="390"/>
      <c r="JO77" s="390"/>
      <c r="JP77" s="390"/>
      <c r="JQ77" s="390"/>
      <c r="JR77" s="390"/>
      <c r="JS77" s="390"/>
      <c r="JT77" s="390"/>
      <c r="JU77" s="390"/>
      <c r="JV77" s="390"/>
      <c r="JW77" s="390"/>
      <c r="JX77" s="390"/>
      <c r="JY77" s="390"/>
      <c r="JZ77" s="390"/>
      <c r="KA77" s="390"/>
      <c r="KB77" s="390"/>
      <c r="KC77" s="390"/>
      <c r="KD77" s="390"/>
      <c r="KE77" s="390"/>
      <c r="KF77" s="390"/>
      <c r="KG77" s="390"/>
      <c r="KH77" s="390"/>
      <c r="KI77" s="390"/>
      <c r="KJ77" s="390"/>
      <c r="KK77" s="390"/>
      <c r="KL77" s="390"/>
      <c r="KM77" s="390"/>
      <c r="KN77" s="390"/>
      <c r="KO77" s="390"/>
      <c r="KP77" s="390"/>
      <c r="KQ77" s="390"/>
      <c r="KR77" s="390"/>
      <c r="KS77" s="390"/>
      <c r="KT77" s="390"/>
      <c r="KU77" s="390"/>
      <c r="KV77" s="390"/>
      <c r="KW77" s="390"/>
      <c r="KX77" s="390"/>
      <c r="KY77" s="390"/>
      <c r="KZ77" s="390"/>
      <c r="LA77" s="390"/>
      <c r="LB77" s="390"/>
      <c r="LC77" s="390"/>
      <c r="LD77" s="390"/>
      <c r="LE77" s="390"/>
      <c r="LF77" s="390"/>
      <c r="LG77" s="390"/>
      <c r="LH77" s="390"/>
      <c r="LI77" s="390"/>
      <c r="LJ77" s="390"/>
      <c r="LK77" s="390"/>
      <c r="LL77" s="390"/>
      <c r="LM77" s="390"/>
      <c r="LN77" s="390"/>
      <c r="LO77" s="390"/>
      <c r="LP77" s="390"/>
      <c r="LQ77" s="390"/>
      <c r="LR77" s="390"/>
      <c r="LS77" s="390"/>
      <c r="LT77" s="390"/>
      <c r="LU77" s="390"/>
      <c r="LV77" s="390"/>
      <c r="LW77" s="390"/>
      <c r="LX77" s="390"/>
      <c r="LY77" s="390"/>
      <c r="LZ77" s="390"/>
      <c r="MA77" s="390"/>
      <c r="MB77" s="390"/>
      <c r="MC77" s="390"/>
      <c r="MD77" s="390"/>
      <c r="ME77" s="390"/>
      <c r="MF77" s="390"/>
      <c r="MG77" s="390"/>
      <c r="MH77" s="390"/>
      <c r="MI77" s="390"/>
      <c r="MJ77" s="390"/>
      <c r="MK77" s="390"/>
      <c r="ML77" s="390"/>
      <c r="MM77" s="390"/>
      <c r="MN77" s="390"/>
      <c r="MO77" s="390"/>
      <c r="MP77" s="390"/>
      <c r="MQ77" s="390"/>
      <c r="MR77" s="390"/>
      <c r="MS77" s="390"/>
      <c r="MT77" s="390"/>
      <c r="MU77" s="390"/>
      <c r="MV77" s="390"/>
      <c r="MW77" s="390"/>
      <c r="MX77" s="390"/>
      <c r="MY77" s="390"/>
      <c r="MZ77" s="390"/>
      <c r="NA77" s="390"/>
      <c r="NB77" s="390"/>
      <c r="NC77" s="390"/>
      <c r="ND77" s="390"/>
      <c r="NE77" s="390"/>
      <c r="NF77" s="390"/>
      <c r="NG77" s="390"/>
      <c r="NH77" s="390"/>
      <c r="NI77" s="390"/>
      <c r="NJ77" s="390"/>
      <c r="NK77" s="390"/>
      <c r="NL77" s="390"/>
      <c r="NM77" s="390"/>
      <c r="NN77" s="390"/>
      <c r="NO77" s="390"/>
      <c r="NP77" s="390"/>
      <c r="NQ77" s="390"/>
      <c r="NR77" s="390"/>
      <c r="NS77" s="390"/>
      <c r="NT77" s="390"/>
      <c r="NU77" s="390"/>
      <c r="NV77" s="390"/>
      <c r="NW77" s="390"/>
      <c r="NX77" s="390"/>
      <c r="NY77" s="390"/>
      <c r="NZ77" s="390"/>
      <c r="OA77" s="390"/>
      <c r="OB77" s="390"/>
      <c r="OC77" s="390"/>
      <c r="OD77" s="390"/>
      <c r="OE77" s="390"/>
      <c r="OF77" s="390"/>
      <c r="OG77" s="390"/>
      <c r="OH77" s="390"/>
      <c r="OI77" s="390"/>
      <c r="OJ77" s="390"/>
      <c r="OK77" s="390"/>
      <c r="OL77" s="390"/>
      <c r="OM77" s="390"/>
      <c r="ON77" s="390"/>
      <c r="OO77" s="390"/>
      <c r="OP77" s="390"/>
      <c r="OQ77" s="390"/>
      <c r="OR77" s="390"/>
      <c r="OS77" s="390"/>
      <c r="OT77" s="390"/>
      <c r="OU77" s="390"/>
      <c r="OV77" s="390"/>
      <c r="OW77" s="390"/>
      <c r="OX77" s="390"/>
      <c r="OY77" s="390"/>
      <c r="OZ77" s="390"/>
      <c r="PA77" s="390"/>
      <c r="PB77" s="390"/>
      <c r="PC77" s="390"/>
      <c r="PD77" s="390"/>
      <c r="PE77" s="390"/>
      <c r="PF77" s="390"/>
      <c r="PG77" s="390"/>
      <c r="PH77" s="390"/>
      <c r="PI77" s="390"/>
      <c r="PJ77" s="390"/>
      <c r="PK77" s="390"/>
      <c r="PL77" s="390"/>
      <c r="PM77" s="390"/>
      <c r="PN77" s="390"/>
      <c r="PO77" s="390"/>
      <c r="PP77" s="390"/>
      <c r="PQ77" s="390"/>
      <c r="PR77" s="390"/>
      <c r="PS77" s="390"/>
      <c r="PT77" s="390"/>
      <c r="PU77" s="390"/>
      <c r="PV77" s="390"/>
      <c r="PW77" s="390"/>
      <c r="PX77" s="390"/>
      <c r="PY77" s="390"/>
      <c r="PZ77" s="390"/>
      <c r="QA77" s="390"/>
      <c r="QB77" s="390"/>
      <c r="QC77" s="390"/>
      <c r="QD77" s="390"/>
      <c r="QE77" s="390"/>
      <c r="QF77" s="390"/>
      <c r="QG77" s="390"/>
      <c r="QH77" s="390"/>
      <c r="QI77" s="390"/>
      <c r="QJ77" s="390"/>
      <c r="QK77" s="390"/>
      <c r="QL77" s="390"/>
      <c r="QM77" s="390"/>
      <c r="QN77" s="390"/>
      <c r="QO77" s="390"/>
      <c r="QP77" s="390"/>
      <c r="QQ77" s="390"/>
      <c r="QR77" s="390"/>
      <c r="QS77" s="390"/>
      <c r="QT77" s="390"/>
      <c r="QU77" s="390"/>
      <c r="QV77" s="390"/>
      <c r="QW77" s="390"/>
      <c r="QX77" s="390"/>
      <c r="QY77" s="390"/>
      <c r="QZ77" s="390"/>
      <c r="RA77" s="390"/>
      <c r="RB77" s="390"/>
      <c r="RC77" s="390"/>
      <c r="RD77" s="390"/>
      <c r="RE77" s="390"/>
      <c r="RF77" s="390"/>
      <c r="RG77" s="390"/>
      <c r="RH77" s="390"/>
      <c r="RI77" s="390"/>
      <c r="RJ77" s="390"/>
      <c r="RK77" s="390"/>
      <c r="RL77" s="390"/>
      <c r="RM77" s="390"/>
      <c r="RN77" s="390"/>
      <c r="RO77" s="390"/>
      <c r="RP77" s="390"/>
      <c r="RQ77" s="390"/>
      <c r="RR77" s="390"/>
      <c r="RS77" s="390"/>
      <c r="RT77" s="390"/>
      <c r="RU77" s="390"/>
      <c r="RV77" s="390"/>
      <c r="RW77" s="390"/>
      <c r="RX77" s="390"/>
      <c r="RY77" s="390"/>
      <c r="RZ77" s="390"/>
      <c r="SA77" s="390"/>
      <c r="SB77" s="390"/>
      <c r="SC77" s="390"/>
      <c r="SD77" s="390"/>
      <c r="SE77" s="390"/>
      <c r="SF77" s="390"/>
      <c r="SG77" s="390"/>
      <c r="SH77" s="390"/>
      <c r="SI77" s="390"/>
      <c r="SJ77" s="390"/>
      <c r="SK77" s="390"/>
      <c r="SL77" s="390"/>
      <c r="SM77" s="390"/>
      <c r="SN77" s="390"/>
      <c r="SO77" s="390"/>
      <c r="SP77" s="390"/>
      <c r="SQ77" s="390"/>
      <c r="SR77" s="390"/>
      <c r="SS77" s="390"/>
      <c r="ST77" s="390"/>
      <c r="SU77" s="390"/>
      <c r="SV77" s="390"/>
      <c r="SW77" s="390"/>
      <c r="SX77" s="390"/>
      <c r="SY77" s="390"/>
      <c r="SZ77" s="390"/>
      <c r="TA77" s="390"/>
      <c r="TB77" s="390"/>
      <c r="TC77" s="390"/>
      <c r="TD77" s="390"/>
      <c r="TE77" s="390"/>
      <c r="TF77" s="390"/>
      <c r="TG77" s="390"/>
      <c r="TH77" s="390"/>
      <c r="TI77" s="390"/>
      <c r="TJ77" s="390"/>
      <c r="TK77" s="390"/>
      <c r="TL77" s="390"/>
      <c r="TM77" s="390"/>
      <c r="TN77" s="390"/>
      <c r="TO77" s="390"/>
      <c r="TP77" s="390"/>
      <c r="TQ77" s="390"/>
      <c r="TR77" s="390"/>
      <c r="TS77" s="390"/>
      <c r="TT77" s="390"/>
      <c r="TU77" s="390"/>
      <c r="TV77" s="390"/>
      <c r="TW77" s="390"/>
      <c r="TX77" s="390"/>
      <c r="TY77" s="390"/>
      <c r="TZ77" s="390"/>
      <c r="UA77" s="390"/>
      <c r="UB77" s="390"/>
      <c r="UC77" s="390"/>
      <c r="UD77" s="390"/>
      <c r="UE77" s="390"/>
      <c r="UF77" s="390"/>
      <c r="UG77" s="390"/>
      <c r="UH77" s="390"/>
      <c r="UI77" s="390"/>
      <c r="UJ77" s="390"/>
      <c r="UK77" s="390"/>
      <c r="UL77" s="390"/>
      <c r="UM77" s="390"/>
      <c r="UN77" s="390"/>
      <c r="UO77" s="390"/>
      <c r="UP77" s="390"/>
      <c r="UQ77" s="390"/>
      <c r="UR77" s="390"/>
      <c r="US77" s="390"/>
      <c r="UT77" s="390"/>
      <c r="UU77" s="390"/>
      <c r="UV77" s="390"/>
      <c r="UW77" s="390"/>
      <c r="UX77" s="390"/>
      <c r="UY77" s="390"/>
      <c r="UZ77" s="390"/>
      <c r="VA77" s="390"/>
      <c r="VB77" s="390"/>
      <c r="VC77" s="390"/>
      <c r="VD77" s="390"/>
      <c r="VE77" s="390"/>
      <c r="VF77" s="390"/>
      <c r="VG77" s="390"/>
      <c r="VH77" s="390"/>
      <c r="VI77" s="390"/>
      <c r="VJ77" s="390"/>
      <c r="VK77" s="390"/>
      <c r="VL77" s="390"/>
      <c r="VM77" s="390"/>
      <c r="VN77" s="390"/>
      <c r="VO77" s="390"/>
      <c r="VP77" s="390"/>
      <c r="VQ77" s="390"/>
      <c r="VR77" s="390"/>
      <c r="VS77" s="390"/>
      <c r="VT77" s="390"/>
      <c r="VU77" s="390"/>
      <c r="VV77" s="390"/>
      <c r="VW77" s="390"/>
      <c r="VX77" s="390"/>
      <c r="VY77" s="390"/>
      <c r="VZ77" s="390"/>
      <c r="WA77" s="390"/>
      <c r="WB77" s="390"/>
      <c r="WC77" s="390"/>
      <c r="WD77" s="390"/>
      <c r="WE77" s="390"/>
      <c r="WF77" s="390"/>
      <c r="WG77" s="390"/>
      <c r="WH77" s="390"/>
      <c r="WI77" s="390"/>
      <c r="WJ77" s="390"/>
      <c r="WK77" s="390"/>
      <c r="WL77" s="390"/>
      <c r="WM77" s="390"/>
      <c r="WN77" s="390"/>
      <c r="WO77" s="390"/>
      <c r="WP77" s="390"/>
      <c r="WQ77" s="390"/>
      <c r="WR77" s="390"/>
      <c r="WS77" s="390"/>
      <c r="WT77" s="390"/>
      <c r="WU77" s="390"/>
      <c r="WV77" s="390"/>
      <c r="WW77" s="390"/>
      <c r="WX77" s="390"/>
      <c r="WY77" s="390"/>
      <c r="WZ77" s="390"/>
      <c r="XA77" s="390"/>
      <c r="XB77" s="390"/>
      <c r="XC77" s="390"/>
      <c r="XD77" s="390"/>
      <c r="XE77" s="390"/>
      <c r="XF77" s="390"/>
      <c r="XG77" s="390"/>
      <c r="XH77" s="390"/>
      <c r="XI77" s="390"/>
      <c r="XJ77" s="390"/>
      <c r="XK77" s="390"/>
      <c r="XL77" s="390"/>
      <c r="XM77" s="390"/>
      <c r="XN77" s="390"/>
      <c r="XO77" s="390"/>
      <c r="XP77" s="390"/>
      <c r="XQ77" s="390"/>
      <c r="XR77" s="390"/>
      <c r="XS77" s="390"/>
      <c r="XT77" s="390"/>
      <c r="XU77" s="390"/>
      <c r="XV77" s="390"/>
      <c r="XW77" s="390"/>
      <c r="XX77" s="390"/>
      <c r="XY77" s="390"/>
      <c r="XZ77" s="390"/>
      <c r="YA77" s="390"/>
      <c r="YB77" s="390"/>
      <c r="YC77" s="390"/>
      <c r="YD77" s="390"/>
      <c r="YE77" s="390"/>
      <c r="YF77" s="390"/>
      <c r="YG77" s="390"/>
      <c r="YH77" s="390"/>
      <c r="YI77" s="390"/>
      <c r="YJ77" s="390"/>
      <c r="YK77" s="390"/>
      <c r="YL77" s="390"/>
      <c r="YM77" s="390"/>
      <c r="YN77" s="390"/>
      <c r="YO77" s="390"/>
      <c r="YP77" s="390"/>
      <c r="YQ77" s="390"/>
      <c r="YR77" s="390"/>
      <c r="YS77" s="390"/>
      <c r="YT77" s="390"/>
      <c r="YU77" s="390"/>
      <c r="YV77" s="390"/>
      <c r="YW77" s="390"/>
      <c r="YX77" s="390"/>
      <c r="YY77" s="390"/>
      <c r="YZ77" s="390"/>
      <c r="ZA77" s="390"/>
      <c r="ZB77" s="390"/>
      <c r="ZC77" s="390"/>
      <c r="ZD77" s="390"/>
      <c r="ZE77" s="390"/>
      <c r="ZF77" s="390"/>
      <c r="ZG77" s="390"/>
      <c r="ZH77" s="390"/>
      <c r="ZI77" s="390"/>
      <c r="ZJ77" s="390"/>
      <c r="ZK77" s="390"/>
      <c r="ZL77" s="390"/>
      <c r="ZM77" s="390"/>
      <c r="ZN77" s="390"/>
      <c r="ZO77" s="390"/>
      <c r="ZP77" s="390"/>
      <c r="ZQ77" s="390"/>
      <c r="ZR77" s="390"/>
      <c r="ZS77" s="390"/>
      <c r="ZT77" s="390"/>
      <c r="ZU77" s="390"/>
      <c r="ZV77" s="390"/>
      <c r="ZW77" s="390"/>
      <c r="ZX77" s="390"/>
      <c r="ZY77" s="390"/>
      <c r="ZZ77" s="390"/>
      <c r="AAA77" s="390"/>
      <c r="AAB77" s="390"/>
      <c r="AAC77" s="390"/>
      <c r="AAD77" s="390"/>
      <c r="AAE77" s="390"/>
      <c r="AAF77" s="390"/>
      <c r="AAG77" s="390"/>
      <c r="AAH77" s="390"/>
      <c r="AAI77" s="390"/>
      <c r="AAJ77" s="390"/>
      <c r="AAK77" s="390"/>
      <c r="AAL77" s="390"/>
      <c r="AAM77" s="390"/>
      <c r="AAN77" s="390"/>
      <c r="AAO77" s="390"/>
      <c r="AAP77" s="390"/>
      <c r="AAQ77" s="390"/>
      <c r="AAR77" s="390"/>
      <c r="AAS77" s="390"/>
      <c r="AAT77" s="390"/>
      <c r="AAU77" s="390"/>
      <c r="AAV77" s="390"/>
      <c r="AAW77" s="390"/>
      <c r="AAX77" s="390"/>
      <c r="AAY77" s="390"/>
      <c r="AAZ77" s="390"/>
      <c r="ABA77" s="390"/>
      <c r="ABB77" s="390"/>
      <c r="ABC77" s="390"/>
      <c r="ABD77" s="390"/>
      <c r="ABE77" s="390"/>
      <c r="ABF77" s="390"/>
      <c r="ABG77" s="390"/>
      <c r="ABH77" s="390"/>
      <c r="ABI77" s="390"/>
      <c r="ABJ77" s="390"/>
      <c r="ABK77" s="390"/>
      <c r="ABL77" s="390"/>
      <c r="ABM77" s="390"/>
      <c r="ABN77" s="390"/>
      <c r="ABO77" s="390"/>
      <c r="ABP77" s="390"/>
      <c r="ABQ77" s="390"/>
      <c r="ABR77" s="390"/>
      <c r="ABS77" s="390"/>
      <c r="ABT77" s="390"/>
      <c r="ABU77" s="390"/>
      <c r="ABV77" s="390"/>
      <c r="ABW77" s="390"/>
      <c r="ABX77" s="390"/>
      <c r="ABY77" s="390"/>
      <c r="ABZ77" s="390"/>
      <c r="ACA77" s="390"/>
      <c r="ACB77" s="390"/>
      <c r="ACC77" s="390"/>
      <c r="ACD77" s="390"/>
      <c r="ACE77" s="390"/>
      <c r="ACF77" s="390"/>
      <c r="ACG77" s="390"/>
      <c r="ACH77" s="390"/>
      <c r="ACI77" s="390"/>
    </row>
    <row r="78" spans="1:763" ht="13.95" customHeight="1" x14ac:dyDescent="0.3">
      <c r="A78" s="390" t="str">
        <f ca="1">Проект!$A$411</f>
        <v>Численность персонала</v>
      </c>
      <c r="B78" s="356"/>
      <c r="C78" s="391" t="str">
        <f ca="1">Проект!$C$411</f>
        <v>человек</v>
      </c>
      <c r="D78" s="399">
        <f>IFERROR(AVERAGE(Проект!$G$411:$R$411),"-")</f>
        <v>12.5</v>
      </c>
      <c r="E78" s="399">
        <f>IFERROR(AVERAGE(Проект!$S$411:$AD$411),"-")</f>
        <v>25</v>
      </c>
      <c r="F78" s="399">
        <f>IFERROR(AVERAGE(Проект!$AE$411:$AP$411),"-")</f>
        <v>25</v>
      </c>
      <c r="G78" s="399">
        <f>IFERROR(AVERAGE(Проект!$AQ$411:$BB$411),"-")</f>
        <v>25</v>
      </c>
      <c r="H78" s="392"/>
      <c r="I78" s="390"/>
      <c r="J78" s="390"/>
      <c r="K78" s="390"/>
      <c r="L78" s="390"/>
      <c r="M78" s="390"/>
      <c r="N78" s="390"/>
      <c r="O78" s="390"/>
      <c r="P78" s="390"/>
      <c r="Q78" s="390"/>
      <c r="R78" s="390"/>
      <c r="S78" s="390"/>
      <c r="T78" s="390"/>
      <c r="U78" s="390"/>
      <c r="V78" s="390"/>
      <c r="W78" s="390"/>
      <c r="X78" s="390"/>
      <c r="Y78" s="390"/>
      <c r="Z78" s="390"/>
      <c r="AA78" s="390"/>
      <c r="AB78" s="390"/>
      <c r="AC78" s="390"/>
      <c r="AD78" s="390"/>
      <c r="AE78" s="390"/>
      <c r="AF78" s="390"/>
      <c r="AG78" s="390"/>
      <c r="AH78" s="390"/>
      <c r="AI78" s="390"/>
      <c r="AJ78" s="390"/>
      <c r="AK78" s="390"/>
      <c r="AL78" s="390"/>
      <c r="AM78" s="390"/>
      <c r="AN78" s="390"/>
      <c r="AO78" s="390"/>
      <c r="AP78" s="390"/>
      <c r="AQ78" s="390"/>
      <c r="AR78" s="390"/>
      <c r="AS78" s="390"/>
      <c r="AT78" s="390"/>
      <c r="AU78" s="390"/>
      <c r="AV78" s="390"/>
      <c r="AW78" s="390"/>
      <c r="AX78" s="390"/>
      <c r="AY78" s="390"/>
      <c r="AZ78" s="390"/>
      <c r="BA78" s="390"/>
      <c r="BB78" s="390"/>
      <c r="BC78" s="390"/>
      <c r="BD78" s="390"/>
      <c r="BE78" s="390"/>
      <c r="BF78" s="390"/>
      <c r="BG78" s="390"/>
      <c r="BH78" s="390"/>
      <c r="BI78" s="390"/>
      <c r="BJ78" s="390"/>
      <c r="BK78" s="390"/>
      <c r="BL78" s="390"/>
      <c r="BM78" s="390"/>
      <c r="BN78" s="390"/>
      <c r="BO78" s="390"/>
      <c r="BP78" s="390"/>
      <c r="BQ78" s="390"/>
      <c r="BR78" s="390"/>
      <c r="BS78" s="390"/>
      <c r="BT78" s="390"/>
      <c r="BU78" s="390"/>
      <c r="BV78" s="390"/>
      <c r="BW78" s="390"/>
      <c r="BX78" s="390"/>
      <c r="BY78" s="390"/>
      <c r="BZ78" s="390"/>
      <c r="CA78" s="390"/>
      <c r="CB78" s="390"/>
      <c r="CC78" s="390"/>
      <c r="CD78" s="390"/>
      <c r="CE78" s="390"/>
      <c r="CF78" s="390"/>
      <c r="CG78" s="390"/>
      <c r="CH78" s="390"/>
      <c r="CI78" s="390"/>
      <c r="CJ78" s="390"/>
      <c r="CK78" s="390"/>
      <c r="CL78" s="390"/>
      <c r="CM78" s="390"/>
      <c r="CN78" s="390"/>
      <c r="CO78" s="390"/>
      <c r="CP78" s="390"/>
      <c r="CQ78" s="390"/>
      <c r="CR78" s="390"/>
      <c r="CS78" s="390"/>
      <c r="CT78" s="390"/>
      <c r="CU78" s="390"/>
      <c r="CV78" s="390"/>
      <c r="CW78" s="390"/>
      <c r="CX78" s="390"/>
      <c r="CY78" s="390"/>
      <c r="CZ78" s="390"/>
      <c r="DA78" s="390"/>
      <c r="DB78" s="390"/>
      <c r="DC78" s="390"/>
      <c r="DD78" s="390"/>
      <c r="DE78" s="390"/>
      <c r="DF78" s="390"/>
      <c r="DG78" s="390"/>
      <c r="DH78" s="390"/>
      <c r="DI78" s="390"/>
      <c r="DJ78" s="390"/>
      <c r="DK78" s="390"/>
      <c r="DL78" s="390"/>
      <c r="DM78" s="390"/>
      <c r="DN78" s="390"/>
      <c r="DO78" s="390"/>
      <c r="DP78" s="390"/>
      <c r="DQ78" s="390"/>
      <c r="DR78" s="390"/>
      <c r="DS78" s="390"/>
      <c r="DT78" s="390"/>
      <c r="DU78" s="390"/>
      <c r="DV78" s="390"/>
      <c r="DW78" s="390"/>
      <c r="DX78" s="390"/>
      <c r="DY78" s="390"/>
      <c r="DZ78" s="390"/>
      <c r="EA78" s="390"/>
      <c r="EB78" s="390"/>
      <c r="EC78" s="390"/>
      <c r="ED78" s="390"/>
      <c r="EE78" s="390"/>
      <c r="EF78" s="390"/>
      <c r="EG78" s="390"/>
      <c r="EH78" s="390"/>
      <c r="EI78" s="390"/>
      <c r="EJ78" s="390"/>
      <c r="EK78" s="390"/>
      <c r="EL78" s="390"/>
      <c r="EM78" s="390"/>
      <c r="EN78" s="390"/>
      <c r="EO78" s="390"/>
      <c r="EP78" s="390"/>
      <c r="EQ78" s="390"/>
      <c r="ER78" s="390"/>
      <c r="ES78" s="390"/>
      <c r="ET78" s="390"/>
      <c r="EU78" s="390"/>
      <c r="EV78" s="390"/>
      <c r="EW78" s="390"/>
      <c r="EX78" s="390"/>
      <c r="EY78" s="390"/>
      <c r="EZ78" s="390"/>
      <c r="FA78" s="390"/>
      <c r="FB78" s="390"/>
      <c r="FC78" s="390"/>
      <c r="FD78" s="390"/>
      <c r="FE78" s="390"/>
      <c r="FF78" s="390"/>
      <c r="FG78" s="390"/>
      <c r="FH78" s="390"/>
      <c r="FI78" s="390"/>
      <c r="FJ78" s="390"/>
      <c r="FK78" s="390"/>
      <c r="FL78" s="390"/>
      <c r="FM78" s="390"/>
      <c r="FN78" s="390"/>
      <c r="FO78" s="390"/>
      <c r="FP78" s="390"/>
      <c r="FQ78" s="390"/>
      <c r="FR78" s="390"/>
      <c r="FS78" s="390"/>
      <c r="FT78" s="390"/>
      <c r="FU78" s="390"/>
      <c r="FV78" s="390"/>
      <c r="FW78" s="390"/>
      <c r="FX78" s="390"/>
      <c r="FY78" s="390"/>
      <c r="FZ78" s="390"/>
      <c r="GA78" s="390"/>
      <c r="GB78" s="390"/>
      <c r="GC78" s="390"/>
      <c r="GD78" s="390"/>
      <c r="GE78" s="390"/>
      <c r="GF78" s="390"/>
      <c r="GG78" s="390"/>
      <c r="GH78" s="390"/>
      <c r="GI78" s="390"/>
      <c r="GJ78" s="390"/>
      <c r="GK78" s="390"/>
      <c r="GL78" s="390"/>
      <c r="GM78" s="390"/>
      <c r="GN78" s="390"/>
      <c r="GO78" s="390"/>
      <c r="GP78" s="390"/>
      <c r="GQ78" s="390"/>
      <c r="GR78" s="390"/>
      <c r="GS78" s="390"/>
      <c r="GT78" s="390"/>
      <c r="GU78" s="390"/>
      <c r="GV78" s="390"/>
      <c r="GW78" s="390"/>
      <c r="GX78" s="390"/>
      <c r="GY78" s="390"/>
      <c r="GZ78" s="390"/>
      <c r="HA78" s="390"/>
      <c r="HB78" s="390"/>
      <c r="HC78" s="390"/>
      <c r="HD78" s="390"/>
      <c r="HE78" s="390"/>
      <c r="HF78" s="390"/>
      <c r="HG78" s="390"/>
      <c r="HH78" s="390"/>
      <c r="HI78" s="390"/>
      <c r="HJ78" s="390"/>
      <c r="HK78" s="390"/>
      <c r="HL78" s="390"/>
      <c r="HM78" s="390"/>
      <c r="HN78" s="390"/>
      <c r="HO78" s="390"/>
      <c r="HP78" s="390"/>
      <c r="HQ78" s="390"/>
      <c r="HR78" s="390"/>
      <c r="HS78" s="390"/>
      <c r="HT78" s="390"/>
      <c r="HU78" s="390"/>
      <c r="HV78" s="390"/>
      <c r="HW78" s="390"/>
      <c r="HX78" s="390"/>
      <c r="HY78" s="390"/>
      <c r="HZ78" s="390"/>
      <c r="IA78" s="390"/>
      <c r="IB78" s="390"/>
      <c r="IC78" s="390"/>
      <c r="ID78" s="390"/>
      <c r="IE78" s="390"/>
      <c r="IF78" s="390"/>
      <c r="IG78" s="390"/>
      <c r="IH78" s="390"/>
      <c r="II78" s="390"/>
      <c r="IJ78" s="390"/>
      <c r="IK78" s="390"/>
      <c r="IL78" s="390"/>
      <c r="IM78" s="390"/>
      <c r="IN78" s="390"/>
      <c r="IO78" s="390"/>
      <c r="IP78" s="390"/>
      <c r="IQ78" s="390"/>
      <c r="IR78" s="390"/>
      <c r="IS78" s="390"/>
      <c r="IT78" s="390"/>
      <c r="IU78" s="390"/>
      <c r="IV78" s="390"/>
      <c r="IW78" s="390"/>
      <c r="IX78" s="390"/>
      <c r="IY78" s="390"/>
      <c r="IZ78" s="390"/>
      <c r="JA78" s="390"/>
      <c r="JB78" s="390"/>
      <c r="JC78" s="390"/>
      <c r="JD78" s="390"/>
      <c r="JE78" s="390"/>
      <c r="JF78" s="390"/>
      <c r="JG78" s="390"/>
      <c r="JH78" s="390"/>
      <c r="JI78" s="390"/>
      <c r="JJ78" s="390"/>
      <c r="JK78" s="390"/>
      <c r="JL78" s="390"/>
      <c r="JM78" s="390"/>
      <c r="JN78" s="390"/>
      <c r="JO78" s="390"/>
      <c r="JP78" s="390"/>
      <c r="JQ78" s="390"/>
      <c r="JR78" s="390"/>
      <c r="JS78" s="390"/>
      <c r="JT78" s="390"/>
      <c r="JU78" s="390"/>
      <c r="JV78" s="390"/>
      <c r="JW78" s="390"/>
      <c r="JX78" s="390"/>
      <c r="JY78" s="390"/>
      <c r="JZ78" s="390"/>
      <c r="KA78" s="390"/>
      <c r="KB78" s="390"/>
      <c r="KC78" s="390"/>
      <c r="KD78" s="390"/>
      <c r="KE78" s="390"/>
      <c r="KF78" s="390"/>
      <c r="KG78" s="390"/>
      <c r="KH78" s="390"/>
      <c r="KI78" s="390"/>
      <c r="KJ78" s="390"/>
      <c r="KK78" s="390"/>
      <c r="KL78" s="390"/>
      <c r="KM78" s="390"/>
      <c r="KN78" s="390"/>
      <c r="KO78" s="390"/>
      <c r="KP78" s="390"/>
      <c r="KQ78" s="390"/>
      <c r="KR78" s="390"/>
      <c r="KS78" s="390"/>
      <c r="KT78" s="390"/>
      <c r="KU78" s="390"/>
      <c r="KV78" s="390"/>
      <c r="KW78" s="390"/>
      <c r="KX78" s="390"/>
      <c r="KY78" s="390"/>
      <c r="KZ78" s="390"/>
      <c r="LA78" s="390"/>
      <c r="LB78" s="390"/>
      <c r="LC78" s="390"/>
      <c r="LD78" s="390"/>
      <c r="LE78" s="390"/>
      <c r="LF78" s="390"/>
      <c r="LG78" s="390"/>
      <c r="LH78" s="390"/>
      <c r="LI78" s="390"/>
      <c r="LJ78" s="390"/>
      <c r="LK78" s="390"/>
      <c r="LL78" s="390"/>
      <c r="LM78" s="390"/>
      <c r="LN78" s="390"/>
      <c r="LO78" s="390"/>
      <c r="LP78" s="390"/>
      <c r="LQ78" s="390"/>
      <c r="LR78" s="390"/>
      <c r="LS78" s="390"/>
      <c r="LT78" s="390"/>
      <c r="LU78" s="390"/>
      <c r="LV78" s="390"/>
      <c r="LW78" s="390"/>
      <c r="LX78" s="390"/>
      <c r="LY78" s="390"/>
      <c r="LZ78" s="390"/>
      <c r="MA78" s="390"/>
      <c r="MB78" s="390"/>
      <c r="MC78" s="390"/>
      <c r="MD78" s="390"/>
      <c r="ME78" s="390"/>
      <c r="MF78" s="390"/>
      <c r="MG78" s="390"/>
      <c r="MH78" s="390"/>
      <c r="MI78" s="390"/>
      <c r="MJ78" s="390"/>
      <c r="MK78" s="390"/>
      <c r="ML78" s="390"/>
      <c r="MM78" s="390"/>
      <c r="MN78" s="390"/>
      <c r="MO78" s="390"/>
      <c r="MP78" s="390"/>
      <c r="MQ78" s="390"/>
      <c r="MR78" s="390"/>
      <c r="MS78" s="390"/>
      <c r="MT78" s="390"/>
      <c r="MU78" s="390"/>
      <c r="MV78" s="390"/>
      <c r="MW78" s="390"/>
      <c r="MX78" s="390"/>
      <c r="MY78" s="390"/>
      <c r="MZ78" s="390"/>
      <c r="NA78" s="390"/>
      <c r="NB78" s="390"/>
      <c r="NC78" s="390"/>
      <c r="ND78" s="390"/>
      <c r="NE78" s="390"/>
      <c r="NF78" s="390"/>
      <c r="NG78" s="390"/>
      <c r="NH78" s="390"/>
      <c r="NI78" s="390"/>
      <c r="NJ78" s="390"/>
      <c r="NK78" s="390"/>
      <c r="NL78" s="390"/>
      <c r="NM78" s="390"/>
      <c r="NN78" s="390"/>
      <c r="NO78" s="390"/>
      <c r="NP78" s="390"/>
      <c r="NQ78" s="390"/>
      <c r="NR78" s="390"/>
      <c r="NS78" s="390"/>
      <c r="NT78" s="390"/>
      <c r="NU78" s="390"/>
      <c r="NV78" s="390"/>
      <c r="NW78" s="390"/>
      <c r="NX78" s="390"/>
      <c r="NY78" s="390"/>
      <c r="NZ78" s="390"/>
      <c r="OA78" s="390"/>
      <c r="OB78" s="390"/>
      <c r="OC78" s="390"/>
      <c r="OD78" s="390"/>
      <c r="OE78" s="390"/>
      <c r="OF78" s="390"/>
      <c r="OG78" s="390"/>
      <c r="OH78" s="390"/>
      <c r="OI78" s="390"/>
      <c r="OJ78" s="390"/>
      <c r="OK78" s="390"/>
      <c r="OL78" s="390"/>
      <c r="OM78" s="390"/>
      <c r="ON78" s="390"/>
      <c r="OO78" s="390"/>
      <c r="OP78" s="390"/>
      <c r="OQ78" s="390"/>
      <c r="OR78" s="390"/>
      <c r="OS78" s="390"/>
      <c r="OT78" s="390"/>
      <c r="OU78" s="390"/>
      <c r="OV78" s="390"/>
      <c r="OW78" s="390"/>
      <c r="OX78" s="390"/>
      <c r="OY78" s="390"/>
      <c r="OZ78" s="390"/>
      <c r="PA78" s="390"/>
      <c r="PB78" s="390"/>
      <c r="PC78" s="390"/>
      <c r="PD78" s="390"/>
      <c r="PE78" s="390"/>
      <c r="PF78" s="390"/>
      <c r="PG78" s="390"/>
      <c r="PH78" s="390"/>
      <c r="PI78" s="390"/>
      <c r="PJ78" s="390"/>
      <c r="PK78" s="390"/>
      <c r="PL78" s="390"/>
      <c r="PM78" s="390"/>
      <c r="PN78" s="390"/>
      <c r="PO78" s="390"/>
      <c r="PP78" s="390"/>
      <c r="PQ78" s="390"/>
      <c r="PR78" s="390"/>
      <c r="PS78" s="390"/>
      <c r="PT78" s="390"/>
      <c r="PU78" s="390"/>
      <c r="PV78" s="390"/>
      <c r="PW78" s="390"/>
      <c r="PX78" s="390"/>
      <c r="PY78" s="390"/>
      <c r="PZ78" s="390"/>
      <c r="QA78" s="390"/>
      <c r="QB78" s="390"/>
      <c r="QC78" s="390"/>
      <c r="QD78" s="390"/>
      <c r="QE78" s="390"/>
      <c r="QF78" s="390"/>
      <c r="QG78" s="390"/>
      <c r="QH78" s="390"/>
      <c r="QI78" s="390"/>
      <c r="QJ78" s="390"/>
      <c r="QK78" s="390"/>
      <c r="QL78" s="390"/>
      <c r="QM78" s="390"/>
      <c r="QN78" s="390"/>
      <c r="QO78" s="390"/>
      <c r="QP78" s="390"/>
      <c r="QQ78" s="390"/>
      <c r="QR78" s="390"/>
      <c r="QS78" s="390"/>
      <c r="QT78" s="390"/>
      <c r="QU78" s="390"/>
      <c r="QV78" s="390"/>
      <c r="QW78" s="390"/>
      <c r="QX78" s="390"/>
      <c r="QY78" s="390"/>
      <c r="QZ78" s="390"/>
      <c r="RA78" s="390"/>
      <c r="RB78" s="390"/>
      <c r="RC78" s="390"/>
      <c r="RD78" s="390"/>
      <c r="RE78" s="390"/>
      <c r="RF78" s="390"/>
      <c r="RG78" s="390"/>
      <c r="RH78" s="390"/>
      <c r="RI78" s="390"/>
      <c r="RJ78" s="390"/>
      <c r="RK78" s="390"/>
      <c r="RL78" s="390"/>
      <c r="RM78" s="390"/>
      <c r="RN78" s="390"/>
      <c r="RO78" s="390"/>
      <c r="RP78" s="390"/>
      <c r="RQ78" s="390"/>
      <c r="RR78" s="390"/>
      <c r="RS78" s="390"/>
      <c r="RT78" s="390"/>
      <c r="RU78" s="390"/>
      <c r="RV78" s="390"/>
      <c r="RW78" s="390"/>
      <c r="RX78" s="390"/>
      <c r="RY78" s="390"/>
      <c r="RZ78" s="390"/>
      <c r="SA78" s="390"/>
      <c r="SB78" s="390"/>
      <c r="SC78" s="390"/>
      <c r="SD78" s="390"/>
      <c r="SE78" s="390"/>
      <c r="SF78" s="390"/>
      <c r="SG78" s="390"/>
      <c r="SH78" s="390"/>
      <c r="SI78" s="390"/>
      <c r="SJ78" s="390"/>
      <c r="SK78" s="390"/>
      <c r="SL78" s="390"/>
      <c r="SM78" s="390"/>
      <c r="SN78" s="390"/>
      <c r="SO78" s="390"/>
      <c r="SP78" s="390"/>
      <c r="SQ78" s="390"/>
      <c r="SR78" s="390"/>
      <c r="SS78" s="390"/>
      <c r="ST78" s="390"/>
      <c r="SU78" s="390"/>
      <c r="SV78" s="390"/>
      <c r="SW78" s="390"/>
      <c r="SX78" s="390"/>
      <c r="SY78" s="390"/>
      <c r="SZ78" s="390"/>
      <c r="TA78" s="390"/>
      <c r="TB78" s="390"/>
      <c r="TC78" s="390"/>
      <c r="TD78" s="390"/>
      <c r="TE78" s="390"/>
      <c r="TF78" s="390"/>
      <c r="TG78" s="390"/>
      <c r="TH78" s="390"/>
      <c r="TI78" s="390"/>
      <c r="TJ78" s="390"/>
      <c r="TK78" s="390"/>
      <c r="TL78" s="390"/>
      <c r="TM78" s="390"/>
      <c r="TN78" s="390"/>
      <c r="TO78" s="390"/>
      <c r="TP78" s="390"/>
      <c r="TQ78" s="390"/>
      <c r="TR78" s="390"/>
      <c r="TS78" s="390"/>
      <c r="TT78" s="390"/>
      <c r="TU78" s="390"/>
      <c r="TV78" s="390"/>
      <c r="TW78" s="390"/>
      <c r="TX78" s="390"/>
      <c r="TY78" s="390"/>
      <c r="TZ78" s="390"/>
      <c r="UA78" s="390"/>
      <c r="UB78" s="390"/>
      <c r="UC78" s="390"/>
      <c r="UD78" s="390"/>
      <c r="UE78" s="390"/>
      <c r="UF78" s="390"/>
      <c r="UG78" s="390"/>
      <c r="UH78" s="390"/>
      <c r="UI78" s="390"/>
      <c r="UJ78" s="390"/>
      <c r="UK78" s="390"/>
      <c r="UL78" s="390"/>
      <c r="UM78" s="390"/>
      <c r="UN78" s="390"/>
      <c r="UO78" s="390"/>
      <c r="UP78" s="390"/>
      <c r="UQ78" s="390"/>
      <c r="UR78" s="390"/>
      <c r="US78" s="390"/>
      <c r="UT78" s="390"/>
      <c r="UU78" s="390"/>
      <c r="UV78" s="390"/>
      <c r="UW78" s="390"/>
      <c r="UX78" s="390"/>
      <c r="UY78" s="390"/>
      <c r="UZ78" s="390"/>
      <c r="VA78" s="390"/>
      <c r="VB78" s="390"/>
      <c r="VC78" s="390"/>
      <c r="VD78" s="390"/>
      <c r="VE78" s="390"/>
      <c r="VF78" s="390"/>
      <c r="VG78" s="390"/>
      <c r="VH78" s="390"/>
      <c r="VI78" s="390"/>
      <c r="VJ78" s="390"/>
      <c r="VK78" s="390"/>
      <c r="VL78" s="390"/>
      <c r="VM78" s="390"/>
      <c r="VN78" s="390"/>
      <c r="VO78" s="390"/>
      <c r="VP78" s="390"/>
      <c r="VQ78" s="390"/>
      <c r="VR78" s="390"/>
      <c r="VS78" s="390"/>
      <c r="VT78" s="390"/>
      <c r="VU78" s="390"/>
      <c r="VV78" s="390"/>
      <c r="VW78" s="390"/>
      <c r="VX78" s="390"/>
      <c r="VY78" s="390"/>
      <c r="VZ78" s="390"/>
      <c r="WA78" s="390"/>
      <c r="WB78" s="390"/>
      <c r="WC78" s="390"/>
      <c r="WD78" s="390"/>
      <c r="WE78" s="390"/>
      <c r="WF78" s="390"/>
      <c r="WG78" s="390"/>
      <c r="WH78" s="390"/>
      <c r="WI78" s="390"/>
      <c r="WJ78" s="390"/>
      <c r="WK78" s="390"/>
      <c r="WL78" s="390"/>
      <c r="WM78" s="390"/>
      <c r="WN78" s="390"/>
      <c r="WO78" s="390"/>
      <c r="WP78" s="390"/>
      <c r="WQ78" s="390"/>
      <c r="WR78" s="390"/>
      <c r="WS78" s="390"/>
      <c r="WT78" s="390"/>
      <c r="WU78" s="390"/>
      <c r="WV78" s="390"/>
      <c r="WW78" s="390"/>
      <c r="WX78" s="390"/>
      <c r="WY78" s="390"/>
      <c r="WZ78" s="390"/>
      <c r="XA78" s="390"/>
      <c r="XB78" s="390"/>
      <c r="XC78" s="390"/>
      <c r="XD78" s="390"/>
      <c r="XE78" s="390"/>
      <c r="XF78" s="390"/>
      <c r="XG78" s="390"/>
      <c r="XH78" s="390"/>
      <c r="XI78" s="390"/>
      <c r="XJ78" s="390"/>
      <c r="XK78" s="390"/>
      <c r="XL78" s="390"/>
      <c r="XM78" s="390"/>
      <c r="XN78" s="390"/>
      <c r="XO78" s="390"/>
      <c r="XP78" s="390"/>
      <c r="XQ78" s="390"/>
      <c r="XR78" s="390"/>
      <c r="XS78" s="390"/>
      <c r="XT78" s="390"/>
      <c r="XU78" s="390"/>
      <c r="XV78" s="390"/>
      <c r="XW78" s="390"/>
      <c r="XX78" s="390"/>
      <c r="XY78" s="390"/>
      <c r="XZ78" s="390"/>
      <c r="YA78" s="390"/>
      <c r="YB78" s="390"/>
      <c r="YC78" s="390"/>
      <c r="YD78" s="390"/>
      <c r="YE78" s="390"/>
      <c r="YF78" s="390"/>
      <c r="YG78" s="390"/>
      <c r="YH78" s="390"/>
      <c r="YI78" s="390"/>
      <c r="YJ78" s="390"/>
      <c r="YK78" s="390"/>
      <c r="YL78" s="390"/>
      <c r="YM78" s="390"/>
      <c r="YN78" s="390"/>
      <c r="YO78" s="390"/>
      <c r="YP78" s="390"/>
      <c r="YQ78" s="390"/>
      <c r="YR78" s="390"/>
      <c r="YS78" s="390"/>
      <c r="YT78" s="390"/>
      <c r="YU78" s="390"/>
      <c r="YV78" s="390"/>
      <c r="YW78" s="390"/>
      <c r="YX78" s="390"/>
      <c r="YY78" s="390"/>
      <c r="YZ78" s="390"/>
      <c r="ZA78" s="390"/>
      <c r="ZB78" s="390"/>
      <c r="ZC78" s="390"/>
      <c r="ZD78" s="390"/>
      <c r="ZE78" s="390"/>
      <c r="ZF78" s="390"/>
      <c r="ZG78" s="390"/>
      <c r="ZH78" s="390"/>
      <c r="ZI78" s="390"/>
      <c r="ZJ78" s="390"/>
      <c r="ZK78" s="390"/>
      <c r="ZL78" s="390"/>
      <c r="ZM78" s="390"/>
      <c r="ZN78" s="390"/>
      <c r="ZO78" s="390"/>
      <c r="ZP78" s="390"/>
      <c r="ZQ78" s="390"/>
      <c r="ZR78" s="390"/>
      <c r="ZS78" s="390"/>
      <c r="ZT78" s="390"/>
      <c r="ZU78" s="390"/>
      <c r="ZV78" s="390"/>
      <c r="ZW78" s="390"/>
      <c r="ZX78" s="390"/>
      <c r="ZY78" s="390"/>
      <c r="ZZ78" s="390"/>
      <c r="AAA78" s="390"/>
      <c r="AAB78" s="390"/>
      <c r="AAC78" s="390"/>
      <c r="AAD78" s="390"/>
      <c r="AAE78" s="390"/>
      <c r="AAF78" s="390"/>
      <c r="AAG78" s="390"/>
      <c r="AAH78" s="390"/>
      <c r="AAI78" s="390"/>
      <c r="AAJ78" s="390"/>
      <c r="AAK78" s="390"/>
      <c r="AAL78" s="390"/>
      <c r="AAM78" s="390"/>
      <c r="AAN78" s="390"/>
      <c r="AAO78" s="390"/>
      <c r="AAP78" s="390"/>
      <c r="AAQ78" s="390"/>
      <c r="AAR78" s="390"/>
      <c r="AAS78" s="390"/>
      <c r="AAT78" s="390"/>
      <c r="AAU78" s="390"/>
      <c r="AAV78" s="390"/>
      <c r="AAW78" s="390"/>
      <c r="AAX78" s="390"/>
      <c r="AAY78" s="390"/>
      <c r="AAZ78" s="390"/>
      <c r="ABA78" s="390"/>
      <c r="ABB78" s="390"/>
      <c r="ABC78" s="390"/>
      <c r="ABD78" s="390"/>
      <c r="ABE78" s="390"/>
      <c r="ABF78" s="390"/>
      <c r="ABG78" s="390"/>
      <c r="ABH78" s="390"/>
      <c r="ABI78" s="390"/>
      <c r="ABJ78" s="390"/>
      <c r="ABK78" s="390"/>
      <c r="ABL78" s="390"/>
      <c r="ABM78" s="390"/>
      <c r="ABN78" s="390"/>
      <c r="ABO78" s="390"/>
      <c r="ABP78" s="390"/>
      <c r="ABQ78" s="390"/>
      <c r="ABR78" s="390"/>
      <c r="ABS78" s="390"/>
      <c r="ABT78" s="390"/>
      <c r="ABU78" s="390"/>
      <c r="ABV78" s="390"/>
      <c r="ABW78" s="390"/>
      <c r="ABX78" s="390"/>
      <c r="ABY78" s="390"/>
      <c r="ABZ78" s="390"/>
      <c r="ACA78" s="390"/>
      <c r="ACB78" s="390"/>
      <c r="ACC78" s="390"/>
      <c r="ACD78" s="390"/>
      <c r="ACE78" s="390"/>
      <c r="ACF78" s="390"/>
      <c r="ACG78" s="390"/>
      <c r="ACH78" s="390"/>
      <c r="ACI78" s="390"/>
    </row>
    <row r="79" spans="1:763" ht="13.95" customHeight="1" x14ac:dyDescent="0.3">
      <c r="A79" s="406"/>
      <c r="B79" s="406"/>
      <c r="C79" s="406"/>
      <c r="D79" s="406"/>
      <c r="E79" s="406"/>
      <c r="F79" s="406"/>
      <c r="G79" s="406"/>
      <c r="H79" s="408"/>
      <c r="I79" s="390"/>
      <c r="J79" s="390"/>
      <c r="K79" s="390"/>
      <c r="L79" s="390"/>
      <c r="M79" s="390"/>
      <c r="N79" s="390"/>
      <c r="O79" s="390"/>
      <c r="P79" s="390"/>
      <c r="Q79" s="390"/>
      <c r="R79" s="390"/>
      <c r="S79" s="390"/>
      <c r="T79" s="390"/>
      <c r="U79" s="390"/>
      <c r="V79" s="390"/>
      <c r="W79" s="390"/>
      <c r="X79" s="390"/>
      <c r="Y79" s="390"/>
      <c r="Z79" s="390"/>
      <c r="AA79" s="390"/>
      <c r="AB79" s="390"/>
      <c r="AC79" s="390"/>
      <c r="AD79" s="390"/>
      <c r="AE79" s="390"/>
      <c r="AF79" s="390"/>
      <c r="AG79" s="390"/>
      <c r="AH79" s="390"/>
      <c r="AI79" s="390"/>
      <c r="AJ79" s="390"/>
      <c r="AK79" s="390"/>
      <c r="AL79" s="390"/>
      <c r="AM79" s="390"/>
      <c r="AN79" s="390"/>
      <c r="AO79" s="390"/>
      <c r="AP79" s="390"/>
      <c r="AQ79" s="390"/>
      <c r="AR79" s="390"/>
      <c r="AS79" s="390"/>
      <c r="AT79" s="390"/>
      <c r="AU79" s="390"/>
      <c r="AV79" s="390"/>
      <c r="AW79" s="390"/>
      <c r="AX79" s="390"/>
      <c r="AY79" s="390"/>
      <c r="AZ79" s="390"/>
      <c r="BA79" s="390"/>
      <c r="BB79" s="390"/>
      <c r="BC79" s="390"/>
      <c r="BD79" s="390"/>
      <c r="BE79" s="390"/>
      <c r="BF79" s="390"/>
      <c r="BG79" s="390"/>
      <c r="BH79" s="390"/>
      <c r="BI79" s="390"/>
      <c r="BJ79" s="390"/>
      <c r="BK79" s="390"/>
      <c r="BL79" s="390"/>
      <c r="BM79" s="390"/>
      <c r="BN79" s="390"/>
      <c r="BO79" s="390"/>
      <c r="BP79" s="390"/>
      <c r="BQ79" s="390"/>
      <c r="BR79" s="390"/>
      <c r="BS79" s="390"/>
      <c r="BT79" s="390"/>
      <c r="BU79" s="390"/>
      <c r="BV79" s="390"/>
      <c r="BW79" s="390"/>
      <c r="BX79" s="390"/>
      <c r="BY79" s="390"/>
      <c r="BZ79" s="390"/>
      <c r="CA79" s="390"/>
      <c r="CB79" s="390"/>
      <c r="CC79" s="390"/>
      <c r="CD79" s="390"/>
      <c r="CE79" s="390"/>
      <c r="CF79" s="390"/>
      <c r="CG79" s="390"/>
      <c r="CH79" s="390"/>
      <c r="CI79" s="390"/>
      <c r="CJ79" s="390"/>
      <c r="CK79" s="390"/>
      <c r="CL79" s="390"/>
      <c r="CM79" s="390"/>
      <c r="CN79" s="390"/>
      <c r="CO79" s="390"/>
      <c r="CP79" s="390"/>
      <c r="CQ79" s="390"/>
      <c r="CR79" s="390"/>
      <c r="CS79" s="390"/>
      <c r="CT79" s="390"/>
      <c r="CU79" s="390"/>
      <c r="CV79" s="390"/>
      <c r="CW79" s="390"/>
      <c r="CX79" s="390"/>
      <c r="CY79" s="390"/>
      <c r="CZ79" s="390"/>
      <c r="DA79" s="390"/>
      <c r="DB79" s="390"/>
      <c r="DC79" s="390"/>
      <c r="DD79" s="390"/>
      <c r="DE79" s="390"/>
      <c r="DF79" s="390"/>
      <c r="DG79" s="390"/>
      <c r="DH79" s="390"/>
      <c r="DI79" s="390"/>
      <c r="DJ79" s="390"/>
      <c r="DK79" s="390"/>
      <c r="DL79" s="390"/>
      <c r="DM79" s="390"/>
      <c r="DN79" s="390"/>
      <c r="DO79" s="390"/>
      <c r="DP79" s="390"/>
      <c r="DQ79" s="390"/>
      <c r="DR79" s="390"/>
      <c r="DS79" s="390"/>
      <c r="DT79" s="390"/>
      <c r="DU79" s="390"/>
      <c r="DV79" s="390"/>
      <c r="DW79" s="390"/>
      <c r="DX79" s="390"/>
      <c r="DY79" s="390"/>
      <c r="DZ79" s="390"/>
      <c r="EA79" s="390"/>
      <c r="EB79" s="390"/>
      <c r="EC79" s="390"/>
      <c r="ED79" s="390"/>
      <c r="EE79" s="390"/>
      <c r="EF79" s="390"/>
      <c r="EG79" s="390"/>
      <c r="EH79" s="390"/>
      <c r="EI79" s="390"/>
      <c r="EJ79" s="390"/>
      <c r="EK79" s="390"/>
      <c r="EL79" s="390"/>
      <c r="EM79" s="390"/>
      <c r="EN79" s="390"/>
      <c r="EO79" s="390"/>
      <c r="EP79" s="390"/>
      <c r="EQ79" s="390"/>
      <c r="ER79" s="390"/>
      <c r="ES79" s="390"/>
      <c r="ET79" s="390"/>
      <c r="EU79" s="390"/>
      <c r="EV79" s="390"/>
      <c r="EW79" s="390"/>
      <c r="EX79" s="390"/>
      <c r="EY79" s="390"/>
      <c r="EZ79" s="390"/>
      <c r="FA79" s="390"/>
      <c r="FB79" s="390"/>
      <c r="FC79" s="390"/>
      <c r="FD79" s="390"/>
      <c r="FE79" s="390"/>
      <c r="FF79" s="390"/>
      <c r="FG79" s="390"/>
      <c r="FH79" s="390"/>
      <c r="FI79" s="390"/>
      <c r="FJ79" s="390"/>
      <c r="FK79" s="390"/>
      <c r="FL79" s="390"/>
      <c r="FM79" s="390"/>
      <c r="FN79" s="390"/>
      <c r="FO79" s="390"/>
      <c r="FP79" s="390"/>
      <c r="FQ79" s="390"/>
      <c r="FR79" s="390"/>
      <c r="FS79" s="390"/>
      <c r="FT79" s="390"/>
      <c r="FU79" s="390"/>
      <c r="FV79" s="390"/>
      <c r="FW79" s="390"/>
      <c r="FX79" s="390"/>
      <c r="FY79" s="390"/>
      <c r="FZ79" s="390"/>
      <c r="GA79" s="390"/>
      <c r="GB79" s="390"/>
      <c r="GC79" s="390"/>
      <c r="GD79" s="390"/>
      <c r="GE79" s="390"/>
      <c r="GF79" s="390"/>
      <c r="GG79" s="390"/>
      <c r="GH79" s="390"/>
      <c r="GI79" s="390"/>
      <c r="GJ79" s="390"/>
      <c r="GK79" s="390"/>
      <c r="GL79" s="390"/>
      <c r="GM79" s="390"/>
      <c r="GN79" s="390"/>
      <c r="GO79" s="390"/>
      <c r="GP79" s="390"/>
      <c r="GQ79" s="390"/>
      <c r="GR79" s="390"/>
      <c r="GS79" s="390"/>
      <c r="GT79" s="390"/>
      <c r="GU79" s="390"/>
      <c r="GV79" s="390"/>
      <c r="GW79" s="390"/>
      <c r="GX79" s="390"/>
      <c r="GY79" s="390"/>
      <c r="GZ79" s="390"/>
      <c r="HA79" s="390"/>
      <c r="HB79" s="390"/>
      <c r="HC79" s="390"/>
      <c r="HD79" s="390"/>
      <c r="HE79" s="390"/>
      <c r="HF79" s="390"/>
      <c r="HG79" s="390"/>
      <c r="HH79" s="390"/>
      <c r="HI79" s="390"/>
      <c r="HJ79" s="390"/>
      <c r="HK79" s="390"/>
      <c r="HL79" s="390"/>
      <c r="HM79" s="390"/>
      <c r="HN79" s="390"/>
      <c r="HO79" s="390"/>
      <c r="HP79" s="390"/>
      <c r="HQ79" s="390"/>
      <c r="HR79" s="390"/>
      <c r="HS79" s="390"/>
      <c r="HT79" s="390"/>
      <c r="HU79" s="390"/>
      <c r="HV79" s="390"/>
      <c r="HW79" s="390"/>
      <c r="HX79" s="390"/>
      <c r="HY79" s="390"/>
      <c r="HZ79" s="390"/>
      <c r="IA79" s="390"/>
      <c r="IB79" s="390"/>
      <c r="IC79" s="390"/>
      <c r="ID79" s="390"/>
      <c r="IE79" s="390"/>
      <c r="IF79" s="390"/>
      <c r="IG79" s="390"/>
      <c r="IH79" s="390"/>
      <c r="II79" s="390"/>
      <c r="IJ79" s="390"/>
      <c r="IK79" s="390"/>
      <c r="IL79" s="390"/>
      <c r="IM79" s="390"/>
      <c r="IN79" s="390"/>
      <c r="IO79" s="390"/>
      <c r="IP79" s="390"/>
      <c r="IQ79" s="390"/>
      <c r="IR79" s="390"/>
      <c r="IS79" s="390"/>
      <c r="IT79" s="390"/>
      <c r="IU79" s="390"/>
      <c r="IV79" s="390"/>
      <c r="IW79" s="390"/>
      <c r="IX79" s="390"/>
      <c r="IY79" s="390"/>
      <c r="IZ79" s="390"/>
      <c r="JA79" s="390"/>
      <c r="JB79" s="390"/>
      <c r="JC79" s="390"/>
      <c r="JD79" s="390"/>
      <c r="JE79" s="390"/>
      <c r="JF79" s="390"/>
      <c r="JG79" s="390"/>
      <c r="JH79" s="390"/>
      <c r="JI79" s="390"/>
      <c r="JJ79" s="390"/>
      <c r="JK79" s="390"/>
      <c r="JL79" s="390"/>
      <c r="JM79" s="390"/>
      <c r="JN79" s="390"/>
      <c r="JO79" s="390"/>
      <c r="JP79" s="390"/>
      <c r="JQ79" s="390"/>
      <c r="JR79" s="390"/>
      <c r="JS79" s="390"/>
      <c r="JT79" s="390"/>
      <c r="JU79" s="390"/>
      <c r="JV79" s="390"/>
      <c r="JW79" s="390"/>
      <c r="JX79" s="390"/>
      <c r="JY79" s="390"/>
      <c r="JZ79" s="390"/>
      <c r="KA79" s="390"/>
      <c r="KB79" s="390"/>
      <c r="KC79" s="390"/>
      <c r="KD79" s="390"/>
      <c r="KE79" s="390"/>
      <c r="KF79" s="390"/>
      <c r="KG79" s="390"/>
      <c r="KH79" s="390"/>
      <c r="KI79" s="390"/>
      <c r="KJ79" s="390"/>
      <c r="KK79" s="390"/>
      <c r="KL79" s="390"/>
      <c r="KM79" s="390"/>
      <c r="KN79" s="390"/>
      <c r="KO79" s="390"/>
      <c r="KP79" s="390"/>
      <c r="KQ79" s="390"/>
      <c r="KR79" s="390"/>
      <c r="KS79" s="390"/>
      <c r="KT79" s="390"/>
      <c r="KU79" s="390"/>
      <c r="KV79" s="390"/>
      <c r="KW79" s="390"/>
      <c r="KX79" s="390"/>
      <c r="KY79" s="390"/>
      <c r="KZ79" s="390"/>
      <c r="LA79" s="390"/>
      <c r="LB79" s="390"/>
      <c r="LC79" s="390"/>
      <c r="LD79" s="390"/>
      <c r="LE79" s="390"/>
      <c r="LF79" s="390"/>
      <c r="LG79" s="390"/>
      <c r="LH79" s="390"/>
      <c r="LI79" s="390"/>
      <c r="LJ79" s="390"/>
      <c r="LK79" s="390"/>
      <c r="LL79" s="390"/>
      <c r="LM79" s="390"/>
      <c r="LN79" s="390"/>
      <c r="LO79" s="390"/>
      <c r="LP79" s="390"/>
      <c r="LQ79" s="390"/>
      <c r="LR79" s="390"/>
      <c r="LS79" s="390"/>
      <c r="LT79" s="390"/>
      <c r="LU79" s="390"/>
      <c r="LV79" s="390"/>
      <c r="LW79" s="390"/>
      <c r="LX79" s="390"/>
      <c r="LY79" s="390"/>
      <c r="LZ79" s="390"/>
      <c r="MA79" s="390"/>
      <c r="MB79" s="390"/>
      <c r="MC79" s="390"/>
      <c r="MD79" s="390"/>
      <c r="ME79" s="390"/>
      <c r="MF79" s="390"/>
      <c r="MG79" s="390"/>
      <c r="MH79" s="390"/>
      <c r="MI79" s="390"/>
      <c r="MJ79" s="390"/>
      <c r="MK79" s="390"/>
      <c r="ML79" s="390"/>
      <c r="MM79" s="390"/>
      <c r="MN79" s="390"/>
      <c r="MO79" s="390"/>
      <c r="MP79" s="390"/>
      <c r="MQ79" s="390"/>
      <c r="MR79" s="390"/>
      <c r="MS79" s="390"/>
      <c r="MT79" s="390"/>
      <c r="MU79" s="390"/>
      <c r="MV79" s="390"/>
      <c r="MW79" s="390"/>
      <c r="MX79" s="390"/>
      <c r="MY79" s="390"/>
      <c r="MZ79" s="390"/>
      <c r="NA79" s="390"/>
      <c r="NB79" s="390"/>
      <c r="NC79" s="390"/>
      <c r="ND79" s="390"/>
      <c r="NE79" s="390"/>
      <c r="NF79" s="390"/>
      <c r="NG79" s="390"/>
      <c r="NH79" s="390"/>
      <c r="NI79" s="390"/>
      <c r="NJ79" s="390"/>
      <c r="NK79" s="390"/>
      <c r="NL79" s="390"/>
      <c r="NM79" s="390"/>
      <c r="NN79" s="390"/>
      <c r="NO79" s="390"/>
      <c r="NP79" s="390"/>
      <c r="NQ79" s="390"/>
      <c r="NR79" s="390"/>
      <c r="NS79" s="390"/>
      <c r="NT79" s="390"/>
      <c r="NU79" s="390"/>
      <c r="NV79" s="390"/>
      <c r="NW79" s="390"/>
      <c r="NX79" s="390"/>
      <c r="NY79" s="390"/>
      <c r="NZ79" s="390"/>
      <c r="OA79" s="390"/>
      <c r="OB79" s="390"/>
      <c r="OC79" s="390"/>
      <c r="OD79" s="390"/>
      <c r="OE79" s="390"/>
      <c r="OF79" s="390"/>
      <c r="OG79" s="390"/>
      <c r="OH79" s="390"/>
      <c r="OI79" s="390"/>
      <c r="OJ79" s="390"/>
      <c r="OK79" s="390"/>
      <c r="OL79" s="390"/>
      <c r="OM79" s="390"/>
      <c r="ON79" s="390"/>
      <c r="OO79" s="390"/>
      <c r="OP79" s="390"/>
      <c r="OQ79" s="390"/>
      <c r="OR79" s="390"/>
      <c r="OS79" s="390"/>
      <c r="OT79" s="390"/>
      <c r="OU79" s="390"/>
      <c r="OV79" s="390"/>
      <c r="OW79" s="390"/>
      <c r="OX79" s="390"/>
      <c r="OY79" s="390"/>
      <c r="OZ79" s="390"/>
      <c r="PA79" s="390"/>
      <c r="PB79" s="390"/>
      <c r="PC79" s="390"/>
      <c r="PD79" s="390"/>
      <c r="PE79" s="390"/>
      <c r="PF79" s="390"/>
      <c r="PG79" s="390"/>
      <c r="PH79" s="390"/>
      <c r="PI79" s="390"/>
      <c r="PJ79" s="390"/>
      <c r="PK79" s="390"/>
      <c r="PL79" s="390"/>
      <c r="PM79" s="390"/>
      <c r="PN79" s="390"/>
      <c r="PO79" s="390"/>
      <c r="PP79" s="390"/>
      <c r="PQ79" s="390"/>
      <c r="PR79" s="390"/>
      <c r="PS79" s="390"/>
      <c r="PT79" s="390"/>
      <c r="PU79" s="390"/>
      <c r="PV79" s="390"/>
      <c r="PW79" s="390"/>
      <c r="PX79" s="390"/>
      <c r="PY79" s="390"/>
      <c r="PZ79" s="390"/>
      <c r="QA79" s="390"/>
      <c r="QB79" s="390"/>
      <c r="QC79" s="390"/>
      <c r="QD79" s="390"/>
      <c r="QE79" s="390"/>
      <c r="QF79" s="390"/>
      <c r="QG79" s="390"/>
      <c r="QH79" s="390"/>
      <c r="QI79" s="390"/>
      <c r="QJ79" s="390"/>
      <c r="QK79" s="390"/>
      <c r="QL79" s="390"/>
      <c r="QM79" s="390"/>
      <c r="QN79" s="390"/>
      <c r="QO79" s="390"/>
      <c r="QP79" s="390"/>
      <c r="QQ79" s="390"/>
      <c r="QR79" s="390"/>
      <c r="QS79" s="390"/>
      <c r="QT79" s="390"/>
      <c r="QU79" s="390"/>
      <c r="QV79" s="390"/>
      <c r="QW79" s="390"/>
      <c r="QX79" s="390"/>
      <c r="QY79" s="390"/>
      <c r="QZ79" s="390"/>
      <c r="RA79" s="390"/>
      <c r="RB79" s="390"/>
      <c r="RC79" s="390"/>
      <c r="RD79" s="390"/>
      <c r="RE79" s="390"/>
      <c r="RF79" s="390"/>
      <c r="RG79" s="390"/>
      <c r="RH79" s="390"/>
      <c r="RI79" s="390"/>
      <c r="RJ79" s="390"/>
      <c r="RK79" s="390"/>
      <c r="RL79" s="390"/>
      <c r="RM79" s="390"/>
      <c r="RN79" s="390"/>
      <c r="RO79" s="390"/>
      <c r="RP79" s="390"/>
      <c r="RQ79" s="390"/>
      <c r="RR79" s="390"/>
      <c r="RS79" s="390"/>
      <c r="RT79" s="390"/>
      <c r="RU79" s="390"/>
      <c r="RV79" s="390"/>
      <c r="RW79" s="390"/>
      <c r="RX79" s="390"/>
      <c r="RY79" s="390"/>
      <c r="RZ79" s="390"/>
      <c r="SA79" s="390"/>
      <c r="SB79" s="390"/>
      <c r="SC79" s="390"/>
      <c r="SD79" s="390"/>
      <c r="SE79" s="390"/>
      <c r="SF79" s="390"/>
      <c r="SG79" s="390"/>
      <c r="SH79" s="390"/>
      <c r="SI79" s="390"/>
      <c r="SJ79" s="390"/>
      <c r="SK79" s="390"/>
      <c r="SL79" s="390"/>
      <c r="SM79" s="390"/>
      <c r="SN79" s="390"/>
      <c r="SO79" s="390"/>
      <c r="SP79" s="390"/>
      <c r="SQ79" s="390"/>
      <c r="SR79" s="390"/>
      <c r="SS79" s="390"/>
      <c r="ST79" s="390"/>
      <c r="SU79" s="390"/>
      <c r="SV79" s="390"/>
      <c r="SW79" s="390"/>
      <c r="SX79" s="390"/>
      <c r="SY79" s="390"/>
      <c r="SZ79" s="390"/>
      <c r="TA79" s="390"/>
      <c r="TB79" s="390"/>
      <c r="TC79" s="390"/>
      <c r="TD79" s="390"/>
      <c r="TE79" s="390"/>
      <c r="TF79" s="390"/>
      <c r="TG79" s="390"/>
      <c r="TH79" s="390"/>
      <c r="TI79" s="390"/>
      <c r="TJ79" s="390"/>
      <c r="TK79" s="390"/>
      <c r="TL79" s="390"/>
      <c r="TM79" s="390"/>
      <c r="TN79" s="390"/>
      <c r="TO79" s="390"/>
      <c r="TP79" s="390"/>
      <c r="TQ79" s="390"/>
      <c r="TR79" s="390"/>
      <c r="TS79" s="390"/>
      <c r="TT79" s="390"/>
      <c r="TU79" s="390"/>
      <c r="TV79" s="390"/>
      <c r="TW79" s="390"/>
      <c r="TX79" s="390"/>
      <c r="TY79" s="390"/>
      <c r="TZ79" s="390"/>
      <c r="UA79" s="390"/>
      <c r="UB79" s="390"/>
      <c r="UC79" s="390"/>
      <c r="UD79" s="390"/>
      <c r="UE79" s="390"/>
      <c r="UF79" s="390"/>
      <c r="UG79" s="390"/>
      <c r="UH79" s="390"/>
      <c r="UI79" s="390"/>
      <c r="UJ79" s="390"/>
      <c r="UK79" s="390"/>
      <c r="UL79" s="390"/>
      <c r="UM79" s="390"/>
      <c r="UN79" s="390"/>
      <c r="UO79" s="390"/>
      <c r="UP79" s="390"/>
      <c r="UQ79" s="390"/>
      <c r="UR79" s="390"/>
      <c r="US79" s="390"/>
      <c r="UT79" s="390"/>
      <c r="UU79" s="390"/>
      <c r="UV79" s="390"/>
      <c r="UW79" s="390"/>
      <c r="UX79" s="390"/>
      <c r="UY79" s="390"/>
      <c r="UZ79" s="390"/>
      <c r="VA79" s="390"/>
      <c r="VB79" s="390"/>
      <c r="VC79" s="390"/>
      <c r="VD79" s="390"/>
      <c r="VE79" s="390"/>
      <c r="VF79" s="390"/>
      <c r="VG79" s="390"/>
      <c r="VH79" s="390"/>
      <c r="VI79" s="390"/>
      <c r="VJ79" s="390"/>
      <c r="VK79" s="390"/>
      <c r="VL79" s="390"/>
      <c r="VM79" s="390"/>
      <c r="VN79" s="390"/>
      <c r="VO79" s="390"/>
      <c r="VP79" s="390"/>
      <c r="VQ79" s="390"/>
      <c r="VR79" s="390"/>
      <c r="VS79" s="390"/>
      <c r="VT79" s="390"/>
      <c r="VU79" s="390"/>
      <c r="VV79" s="390"/>
      <c r="VW79" s="390"/>
      <c r="VX79" s="390"/>
      <c r="VY79" s="390"/>
      <c r="VZ79" s="390"/>
      <c r="WA79" s="390"/>
      <c r="WB79" s="390"/>
      <c r="WC79" s="390"/>
      <c r="WD79" s="390"/>
      <c r="WE79" s="390"/>
      <c r="WF79" s="390"/>
      <c r="WG79" s="390"/>
      <c r="WH79" s="390"/>
      <c r="WI79" s="390"/>
      <c r="WJ79" s="390"/>
      <c r="WK79" s="390"/>
      <c r="WL79" s="390"/>
      <c r="WM79" s="390"/>
      <c r="WN79" s="390"/>
      <c r="WO79" s="390"/>
      <c r="WP79" s="390"/>
      <c r="WQ79" s="390"/>
      <c r="WR79" s="390"/>
      <c r="WS79" s="390"/>
      <c r="WT79" s="390"/>
      <c r="WU79" s="390"/>
      <c r="WV79" s="390"/>
      <c r="WW79" s="390"/>
      <c r="WX79" s="390"/>
      <c r="WY79" s="390"/>
      <c r="WZ79" s="390"/>
      <c r="XA79" s="390"/>
      <c r="XB79" s="390"/>
      <c r="XC79" s="390"/>
      <c r="XD79" s="390"/>
      <c r="XE79" s="390"/>
      <c r="XF79" s="390"/>
      <c r="XG79" s="390"/>
      <c r="XH79" s="390"/>
      <c r="XI79" s="390"/>
      <c r="XJ79" s="390"/>
      <c r="XK79" s="390"/>
      <c r="XL79" s="390"/>
      <c r="XM79" s="390"/>
      <c r="XN79" s="390"/>
      <c r="XO79" s="390"/>
      <c r="XP79" s="390"/>
      <c r="XQ79" s="390"/>
      <c r="XR79" s="390"/>
      <c r="XS79" s="390"/>
      <c r="XT79" s="390"/>
      <c r="XU79" s="390"/>
      <c r="XV79" s="390"/>
      <c r="XW79" s="390"/>
      <c r="XX79" s="390"/>
      <c r="XY79" s="390"/>
      <c r="XZ79" s="390"/>
      <c r="YA79" s="390"/>
      <c r="YB79" s="390"/>
      <c r="YC79" s="390"/>
      <c r="YD79" s="390"/>
      <c r="YE79" s="390"/>
      <c r="YF79" s="390"/>
      <c r="YG79" s="390"/>
      <c r="YH79" s="390"/>
      <c r="YI79" s="390"/>
      <c r="YJ79" s="390"/>
      <c r="YK79" s="390"/>
      <c r="YL79" s="390"/>
      <c r="YM79" s="390"/>
      <c r="YN79" s="390"/>
      <c r="YO79" s="390"/>
      <c r="YP79" s="390"/>
      <c r="YQ79" s="390"/>
      <c r="YR79" s="390"/>
      <c r="YS79" s="390"/>
      <c r="YT79" s="390"/>
      <c r="YU79" s="390"/>
      <c r="YV79" s="390"/>
      <c r="YW79" s="390"/>
      <c r="YX79" s="390"/>
      <c r="YY79" s="390"/>
      <c r="YZ79" s="390"/>
      <c r="ZA79" s="390"/>
      <c r="ZB79" s="390"/>
      <c r="ZC79" s="390"/>
      <c r="ZD79" s="390"/>
      <c r="ZE79" s="390"/>
      <c r="ZF79" s="390"/>
      <c r="ZG79" s="390"/>
      <c r="ZH79" s="390"/>
      <c r="ZI79" s="390"/>
      <c r="ZJ79" s="390"/>
      <c r="ZK79" s="390"/>
      <c r="ZL79" s="390"/>
      <c r="ZM79" s="390"/>
      <c r="ZN79" s="390"/>
      <c r="ZO79" s="390"/>
      <c r="ZP79" s="390"/>
      <c r="ZQ79" s="390"/>
      <c r="ZR79" s="390"/>
      <c r="ZS79" s="390"/>
      <c r="ZT79" s="390"/>
      <c r="ZU79" s="390"/>
      <c r="ZV79" s="390"/>
      <c r="ZW79" s="390"/>
      <c r="ZX79" s="390"/>
      <c r="ZY79" s="390"/>
      <c r="ZZ79" s="390"/>
      <c r="AAA79" s="390"/>
      <c r="AAB79" s="390"/>
      <c r="AAC79" s="390"/>
      <c r="AAD79" s="390"/>
      <c r="AAE79" s="390"/>
      <c r="AAF79" s="390"/>
      <c r="AAG79" s="390"/>
      <c r="AAH79" s="390"/>
      <c r="AAI79" s="390"/>
      <c r="AAJ79" s="390"/>
      <c r="AAK79" s="390"/>
      <c r="AAL79" s="390"/>
      <c r="AAM79" s="390"/>
      <c r="AAN79" s="390"/>
      <c r="AAO79" s="390"/>
      <c r="AAP79" s="390"/>
      <c r="AAQ79" s="390"/>
      <c r="AAR79" s="390"/>
      <c r="AAS79" s="390"/>
      <c r="AAT79" s="390"/>
      <c r="AAU79" s="390"/>
      <c r="AAV79" s="390"/>
      <c r="AAW79" s="390"/>
      <c r="AAX79" s="390"/>
      <c r="AAY79" s="390"/>
      <c r="AAZ79" s="390"/>
      <c r="ABA79" s="390"/>
      <c r="ABB79" s="390"/>
      <c r="ABC79" s="390"/>
      <c r="ABD79" s="390"/>
      <c r="ABE79" s="390"/>
      <c r="ABF79" s="390"/>
      <c r="ABG79" s="390"/>
      <c r="ABH79" s="390"/>
      <c r="ABI79" s="390"/>
      <c r="ABJ79" s="390"/>
      <c r="ABK79" s="390"/>
      <c r="ABL79" s="390"/>
      <c r="ABM79" s="390"/>
      <c r="ABN79" s="390"/>
      <c r="ABO79" s="390"/>
      <c r="ABP79" s="390"/>
      <c r="ABQ79" s="390"/>
      <c r="ABR79" s="390"/>
      <c r="ABS79" s="390"/>
      <c r="ABT79" s="390"/>
      <c r="ABU79" s="390"/>
      <c r="ABV79" s="390"/>
      <c r="ABW79" s="390"/>
      <c r="ABX79" s="390"/>
      <c r="ABY79" s="390"/>
      <c r="ABZ79" s="390"/>
      <c r="ACA79" s="390"/>
      <c r="ACB79" s="390"/>
      <c r="ACC79" s="390"/>
      <c r="ACD79" s="390"/>
      <c r="ACE79" s="390"/>
      <c r="ACF79" s="390"/>
      <c r="ACG79" s="390"/>
      <c r="ACH79" s="390"/>
      <c r="ACI79" s="390"/>
    </row>
    <row r="82" spans="1:10" ht="25.5" customHeight="1" thickBot="1" x14ac:dyDescent="0.35">
      <c r="A82" s="417" t="str">
        <f ca="1">Результаты!$A$4</f>
        <v>ОТЧЕТ - ДОХОДЫ (без НДС)</v>
      </c>
      <c r="B82" s="419"/>
      <c r="C82" s="420"/>
      <c r="D82" s="422" t="str">
        <f>"2025"</f>
        <v>2025</v>
      </c>
      <c r="E82" s="423" t="str">
        <f>"2026"</f>
        <v>2026</v>
      </c>
      <c r="F82" s="423" t="str">
        <f>"2027"</f>
        <v>2027</v>
      </c>
      <c r="G82" s="423" t="str">
        <f>"2028"</f>
        <v>2028</v>
      </c>
      <c r="H82" s="425" t="str">
        <f ca="1">Результаты!$BD$4</f>
        <v>ИТОГО</v>
      </c>
      <c r="I82" s="383"/>
      <c r="J82" s="383"/>
    </row>
    <row r="83" spans="1:10" ht="15" customHeight="1" thickTop="1" x14ac:dyDescent="0.3">
      <c r="A83" s="416"/>
      <c r="B83" s="418"/>
      <c r="C83" s="418"/>
      <c r="D83" s="421"/>
      <c r="E83" s="421"/>
      <c r="F83" s="421"/>
      <c r="G83" s="421"/>
      <c r="H83" s="424"/>
      <c r="I83" s="390"/>
      <c r="J83" s="390"/>
    </row>
    <row r="84" spans="1:10" ht="13.95" customHeight="1" x14ac:dyDescent="0.3">
      <c r="A84" s="380" t="str">
        <f ca="1">Результаты!$A$6</f>
        <v>Выручка от реализации</v>
      </c>
      <c r="B84" s="358">
        <f ca="1">Результаты!$B$6</f>
        <v>772825124.64958811</v>
      </c>
      <c r="C84" s="414" t="str">
        <f ca="1">Результаты!$C$6</f>
        <v>руб.</v>
      </c>
      <c r="D84" s="412">
        <f ca="1">SUM(Результаты!$G$6:$R$6)</f>
        <v>75921591.70614852</v>
      </c>
      <c r="E84" s="412">
        <f ca="1">SUM(Результаты!$S$6:$AD$6)</f>
        <v>218904238.26593775</v>
      </c>
      <c r="F84" s="412">
        <f ca="1">SUM(Результаты!$AE$6:$AP$6)</f>
        <v>232038492.561894</v>
      </c>
      <c r="G84" s="412">
        <f ca="1">SUM(Результаты!$AQ$6:$BB$6)</f>
        <v>245960802.11560777</v>
      </c>
      <c r="H84" s="413">
        <f ca="1">Результаты!$BD$6</f>
        <v>772825124.64958811</v>
      </c>
      <c r="I84" s="390"/>
      <c r="J84" s="390"/>
    </row>
    <row r="85" spans="1:10" ht="13.95" customHeight="1" x14ac:dyDescent="0.3">
      <c r="A85" s="426" t="str">
        <f>Результаты!$A$7</f>
        <v xml:space="preserve">Проживание гостей (Групповые и семейные номера) </v>
      </c>
      <c r="B85" s="359">
        <f ca="1">Результаты!$B$7</f>
        <v>612138712.59373331</v>
      </c>
      <c r="C85" s="427" t="str">
        <f ca="1">Результаты!$C$7</f>
        <v>руб.</v>
      </c>
      <c r="D85" s="399">
        <f ca="1">SUM(Результаты!$G$7:$R$7)</f>
        <v>60135914.222691894</v>
      </c>
      <c r="E85" s="399">
        <f ca="1">SUM(Результаты!$S$7:$AD$7)</f>
        <v>173389495.65618831</v>
      </c>
      <c r="F85" s="399">
        <f ca="1">SUM(Результаты!$AE$7:$AP$7)</f>
        <v>183792865.39555964</v>
      </c>
      <c r="G85" s="399">
        <f ca="1">SUM(Результаты!$AQ$7:$BB$7)</f>
        <v>194820437.31929329</v>
      </c>
      <c r="H85" s="392">
        <f ca="1">Результаты!$BD$7</f>
        <v>612138712.59373331</v>
      </c>
      <c r="I85" s="390"/>
      <c r="J85" s="390"/>
    </row>
    <row r="86" spans="1:10" ht="13.95" customHeight="1" x14ac:dyDescent="0.3">
      <c r="A86" s="426" t="str">
        <f>Результаты!$A$8</f>
        <v>Питание гостей</v>
      </c>
      <c r="B86" s="359">
        <f ca="1">Результаты!$B$8</f>
        <v>107124274.70390318</v>
      </c>
      <c r="C86" s="427" t="str">
        <f ca="1">Результаты!$C$8</f>
        <v>руб.</v>
      </c>
      <c r="D86" s="399">
        <f ca="1">SUM(Результаты!$G$8:$R$8)</f>
        <v>10523784.988971079</v>
      </c>
      <c r="E86" s="399">
        <f ca="1">SUM(Результаты!$S$8:$AD$8)</f>
        <v>30343161.739832934</v>
      </c>
      <c r="F86" s="399">
        <f ca="1">SUM(Результаты!$AE$8:$AP$8)</f>
        <v>32163751.444222912</v>
      </c>
      <c r="G86" s="399">
        <f ca="1">SUM(Результаты!$AQ$8:$BB$8)</f>
        <v>34093576.530876279</v>
      </c>
      <c r="H86" s="392">
        <f ca="1">Результаты!$BD$8</f>
        <v>107124274.70390318</v>
      </c>
      <c r="I86" s="390"/>
      <c r="J86" s="390"/>
    </row>
    <row r="87" spans="1:10" ht="13.95" customHeight="1" x14ac:dyDescent="0.3">
      <c r="A87" s="426" t="str">
        <f>Результаты!$A$9</f>
        <v>Дополнительные услуги и аренда</v>
      </c>
      <c r="B87" s="359">
        <f ca="1">Результаты!$B$9</f>
        <v>30606935.629686661</v>
      </c>
      <c r="C87" s="427" t="str">
        <f ca="1">Результаты!$C$9</f>
        <v>руб.</v>
      </c>
      <c r="D87" s="399">
        <f ca="1">SUM(Результаты!$G$9:$R$9)</f>
        <v>3006795.7111345949</v>
      </c>
      <c r="E87" s="399">
        <f ca="1">SUM(Результаты!$S$9:$AD$9)</f>
        <v>8669474.7828094158</v>
      </c>
      <c r="F87" s="399">
        <f ca="1">SUM(Результаты!$AE$9:$AP$9)</f>
        <v>9189643.2697779816</v>
      </c>
      <c r="G87" s="399">
        <f ca="1">SUM(Результаты!$AQ$9:$BB$9)</f>
        <v>9741021.8659646641</v>
      </c>
      <c r="H87" s="392">
        <f ca="1">Результаты!$BD$9</f>
        <v>30606935.629686661</v>
      </c>
      <c r="I87" s="390"/>
      <c r="J87" s="390"/>
    </row>
    <row r="88" spans="1:10" ht="13.95" customHeight="1" x14ac:dyDescent="0.3">
      <c r="A88" s="426" t="str">
        <f>Результаты!$A$10</f>
        <v>Спа/банные услуги</v>
      </c>
      <c r="B88" s="359">
        <f ca="1">Результаты!$B$10</f>
        <v>22955201.722264975</v>
      </c>
      <c r="C88" s="427" t="str">
        <f ca="1">Результаты!$C$10</f>
        <v>руб.</v>
      </c>
      <c r="D88" s="399">
        <f ca="1">SUM(Результаты!$G$10:$R$10)</f>
        <v>2255096.7833509455</v>
      </c>
      <c r="E88" s="399">
        <f ca="1">SUM(Результаты!$S$10:$AD$10)</f>
        <v>6502106.0871070577</v>
      </c>
      <c r="F88" s="399">
        <f ca="1">SUM(Результаты!$AE$10:$AP$10)</f>
        <v>6892232.452333482</v>
      </c>
      <c r="G88" s="399">
        <f ca="1">SUM(Результаты!$AQ$10:$BB$10)</f>
        <v>7305766.399473493</v>
      </c>
      <c r="H88" s="392">
        <f ca="1">Результаты!$BD$10</f>
        <v>22955201.722264975</v>
      </c>
      <c r="I88" s="390"/>
      <c r="J88" s="390"/>
    </row>
    <row r="89" spans="1:10" ht="13.95" customHeight="1" x14ac:dyDescent="0.3">
      <c r="A89" s="428"/>
      <c r="B89" s="428"/>
      <c r="C89" s="428"/>
      <c r="D89" s="429"/>
      <c r="E89" s="429"/>
      <c r="F89" s="429"/>
      <c r="G89" s="429"/>
      <c r="H89" s="430"/>
      <c r="I89" s="390"/>
      <c r="J89" s="390"/>
    </row>
    <row r="92" spans="1:10" ht="25.5" customHeight="1" thickBot="1" x14ac:dyDescent="0.35">
      <c r="A92" s="417" t="str">
        <f ca="1">Результаты!$A$25</f>
        <v>ОТЧЕТ – ЗАТРАТЫ (без НДС)</v>
      </c>
      <c r="B92" s="419"/>
      <c r="C92" s="420"/>
      <c r="D92" s="422" t="str">
        <f>"2025"</f>
        <v>2025</v>
      </c>
      <c r="E92" s="423" t="str">
        <f>"2026"</f>
        <v>2026</v>
      </c>
      <c r="F92" s="423" t="str">
        <f>"2027"</f>
        <v>2027</v>
      </c>
      <c r="G92" s="423" t="str">
        <f>"2028"</f>
        <v>2028</v>
      </c>
      <c r="H92" s="425" t="str">
        <f ca="1">Результаты!$BD$25</f>
        <v>ИТОГО</v>
      </c>
      <c r="I92" s="383"/>
      <c r="J92" s="383"/>
    </row>
    <row r="93" spans="1:10" ht="15" customHeight="1" thickTop="1" x14ac:dyDescent="0.3">
      <c r="A93" s="416"/>
      <c r="B93" s="360"/>
      <c r="C93" s="418"/>
      <c r="D93" s="362"/>
      <c r="E93" s="362"/>
      <c r="F93" s="362"/>
      <c r="G93" s="362"/>
      <c r="H93" s="431"/>
      <c r="I93" s="390"/>
      <c r="J93" s="390"/>
    </row>
    <row r="94" spans="1:10" ht="13.95" customHeight="1" x14ac:dyDescent="0.3">
      <c r="A94" s="380" t="str">
        <f ca="1">Результаты!$A$27</f>
        <v>Сырье и материальные затраты</v>
      </c>
      <c r="B94" s="358">
        <f ca="1">Результаты!$B$27</f>
        <v>137887682.04801384</v>
      </c>
      <c r="C94" s="414" t="str">
        <f ca="1">Результаты!$C$27</f>
        <v>руб.</v>
      </c>
      <c r="D94" s="412">
        <f ca="1">SUM(Результаты!$G$27:$R$27)</f>
        <v>14966863.113548551</v>
      </c>
      <c r="E94" s="412">
        <f ca="1">SUM(Результаты!$S$27:$AD$27)</f>
        <v>37082720.227859825</v>
      </c>
      <c r="F94" s="412">
        <f ca="1">SUM(Результаты!$AE$27:$AP$27)</f>
        <v>40835598.637237765</v>
      </c>
      <c r="G94" s="412">
        <f ca="1">SUM(Результаты!$AQ$27:$BB$27)</f>
        <v>45002500.069367662</v>
      </c>
      <c r="H94" s="413">
        <f ca="1">Результаты!$BD$27</f>
        <v>137887682.04801384</v>
      </c>
      <c r="I94" s="393"/>
      <c r="J94" s="393"/>
    </row>
    <row r="95" spans="1:10" ht="13.95" customHeight="1" x14ac:dyDescent="0.3">
      <c r="A95" s="426" t="str">
        <f>Результаты!$A$28</f>
        <v>Себестоимость еды</v>
      </c>
      <c r="B95" s="359">
        <f ca="1">Результаты!$B$28</f>
        <v>46995899.829427972</v>
      </c>
      <c r="C95" s="427" t="str">
        <f ca="1">Результаты!$C$28</f>
        <v>руб.</v>
      </c>
      <c r="D95" s="399">
        <f ca="1">SUM(Результаты!$G$28:$R$28)</f>
        <v>5421597.2631241158</v>
      </c>
      <c r="E95" s="399">
        <f ca="1">SUM(Результаты!$S$28:$AD$28)</f>
        <v>13058896.39599945</v>
      </c>
      <c r="F95" s="399">
        <f ca="1">SUM(Результаты!$AE$28:$AP$28)</f>
        <v>13842430.179759424</v>
      </c>
      <c r="G95" s="399">
        <f ca="1">SUM(Результаты!$AQ$28:$BB$28)</f>
        <v>14672975.990544992</v>
      </c>
      <c r="H95" s="392">
        <f ca="1">Результаты!$BD$28</f>
        <v>46995899.829427972</v>
      </c>
      <c r="I95" s="390"/>
      <c r="J95" s="390"/>
    </row>
    <row r="96" spans="1:10" ht="13.95" customHeight="1" x14ac:dyDescent="0.3">
      <c r="A96" s="426" t="str">
        <f>Результаты!$A$29</f>
        <v>Эквайринг (2,5%)</v>
      </c>
      <c r="B96" s="359">
        <f ca="1">Результаты!$B$29</f>
        <v>22722945.554646458</v>
      </c>
      <c r="C96" s="427" t="str">
        <f ca="1">Результаты!$C$29</f>
        <v>руб.</v>
      </c>
      <c r="D96" s="399">
        <f ca="1">SUM(Результаты!$G$29:$R$29)</f>
        <v>2386316.4626061087</v>
      </c>
      <c r="E96" s="399">
        <f ca="1">SUM(Результаты!$S$29:$AD$29)</f>
        <v>6005955.9579650955</v>
      </c>
      <c r="F96" s="399">
        <f ca="1">SUM(Результаты!$AE$29:$AP$29)</f>
        <v>6748292.1143695842</v>
      </c>
      <c r="G96" s="399">
        <f ca="1">SUM(Результаты!$AQ$29:$BB$29)</f>
        <v>7582381.01970567</v>
      </c>
      <c r="H96" s="392">
        <f ca="1">Результаты!$BD$29</f>
        <v>22722945.554646458</v>
      </c>
      <c r="I96" s="390"/>
      <c r="J96" s="390"/>
    </row>
    <row r="97" spans="1:10" ht="13.95" customHeight="1" x14ac:dyDescent="0.3">
      <c r="A97" s="426" t="str">
        <f>Результаты!$A$30</f>
        <v>Агрегаторы бронирования (50% от потока, 15% комиссия)</v>
      </c>
      <c r="B97" s="359">
        <f ca="1">Результаты!$B$30</f>
        <v>68168836.663939372</v>
      </c>
      <c r="C97" s="427" t="str">
        <f ca="1">Результаты!$C$30</f>
        <v>руб.</v>
      </c>
      <c r="D97" s="399">
        <f ca="1">SUM(Результаты!$G$30:$R$30)</f>
        <v>7158949.3878183253</v>
      </c>
      <c r="E97" s="399">
        <f ca="1">SUM(Результаты!$S$30:$AD$30)</f>
        <v>18017867.873895284</v>
      </c>
      <c r="F97" s="399">
        <f ca="1">SUM(Результаты!$AE$30:$AP$30)</f>
        <v>20244876.343108755</v>
      </c>
      <c r="G97" s="399">
        <f ca="1">SUM(Результаты!$AQ$30:$BB$30)</f>
        <v>22747143.059117008</v>
      </c>
      <c r="H97" s="392">
        <f ca="1">Результаты!$BD$30</f>
        <v>68168836.663939372</v>
      </c>
      <c r="I97" s="390"/>
      <c r="J97" s="390"/>
    </row>
    <row r="98" spans="1:10" ht="13.95" customHeight="1" x14ac:dyDescent="0.3">
      <c r="A98" s="384"/>
      <c r="B98" s="363"/>
      <c r="C98" s="384"/>
      <c r="D98" s="364"/>
      <c r="E98" s="364"/>
      <c r="F98" s="364"/>
      <c r="G98" s="364"/>
      <c r="H98" s="433"/>
      <c r="I98" s="390"/>
      <c r="J98" s="390"/>
    </row>
    <row r="99" spans="1:10" ht="13.95" customHeight="1" x14ac:dyDescent="0.3">
      <c r="A99" s="380" t="str">
        <f ca="1">Результаты!$A$32</f>
        <v>Персонал</v>
      </c>
      <c r="B99" s="358">
        <f ca="1">Результаты!$B$32</f>
        <v>61116845.81574966</v>
      </c>
      <c r="C99" s="414" t="str">
        <f ca="1">Результаты!$C$32</f>
        <v>руб.</v>
      </c>
      <c r="D99" s="412">
        <f ca="1">SUM(Результаты!$G$32:$R$32)</f>
        <v>7986694.6877203435</v>
      </c>
      <c r="E99" s="412">
        <f ca="1">SUM(Результаты!$S$32:$AD$32)</f>
        <v>16688701.824359</v>
      </c>
      <c r="F99" s="412">
        <f ca="1">SUM(Результаты!$AE$32:$AP$32)</f>
        <v>17690023.933820546</v>
      </c>
      <c r="G99" s="412">
        <f ca="1">SUM(Результаты!$AQ$32:$BB$32)</f>
        <v>18751425.369849779</v>
      </c>
      <c r="H99" s="413">
        <f ca="1">Результаты!$BD$32</f>
        <v>61116845.81574966</v>
      </c>
      <c r="I99" s="393"/>
      <c r="J99" s="393"/>
    </row>
    <row r="100" spans="1:10" ht="13.95" customHeight="1" x14ac:dyDescent="0.3">
      <c r="A100" s="380"/>
      <c r="B100" s="358"/>
      <c r="C100" s="414"/>
      <c r="D100" s="412"/>
      <c r="E100" s="412"/>
      <c r="F100" s="412"/>
      <c r="G100" s="412"/>
      <c r="H100" s="413"/>
      <c r="I100" s="393"/>
      <c r="J100" s="393"/>
    </row>
    <row r="101" spans="1:10" ht="13.95" customHeight="1" x14ac:dyDescent="0.3">
      <c r="A101" s="380" t="str">
        <f ca="1">Результаты!$A$34</f>
        <v>Производственный персонал</v>
      </c>
      <c r="B101" s="358">
        <f ca="1">Результаты!$B$34</f>
        <v>46699538.597675391</v>
      </c>
      <c r="C101" s="414" t="str">
        <f ca="1">Результаты!$C$34</f>
        <v>руб.</v>
      </c>
      <c r="D101" s="412">
        <f ca="1">SUM(Результаты!$G$34:$R$34)</f>
        <v>6102653.8895914424</v>
      </c>
      <c r="E101" s="412">
        <f ca="1">SUM(Результаты!$S$34:$AD$34)</f>
        <v>12751879.855535852</v>
      </c>
      <c r="F101" s="412">
        <f ca="1">SUM(Результаты!$AE$34:$AP$34)</f>
        <v>13516992.646868005</v>
      </c>
      <c r="G101" s="412">
        <f ca="1">SUM(Результаты!$AQ$34:$BB$34)</f>
        <v>14328012.205680085</v>
      </c>
      <c r="H101" s="413">
        <f ca="1">Результаты!$BD$34</f>
        <v>46699538.597675391</v>
      </c>
      <c r="I101" s="393"/>
      <c r="J101" s="393"/>
    </row>
    <row r="102" spans="1:10" ht="13.95" customHeight="1" x14ac:dyDescent="0.3">
      <c r="A102" s="426" t="str">
        <f>Результаты!$A$35</f>
        <v>Горничная</v>
      </c>
      <c r="B102" s="359">
        <f ca="1">Результаты!$B$35</f>
        <v>15044146.662338376</v>
      </c>
      <c r="C102" s="427" t="str">
        <f ca="1">Результаты!$C$35</f>
        <v>руб.</v>
      </c>
      <c r="D102" s="399">
        <f ca="1">SUM(Результаты!$G$35:$R$35)</f>
        <v>1965955.6154388539</v>
      </c>
      <c r="E102" s="399">
        <f ca="1">SUM(Результаты!$S$35:$AD$35)</f>
        <v>4107988.1413806775</v>
      </c>
      <c r="F102" s="399">
        <f ca="1">SUM(Результаты!$AE$35:$AP$35)</f>
        <v>4354467.4298635181</v>
      </c>
      <c r="G102" s="399">
        <f ca="1">SUM(Результаты!$AQ$35:$BB$35)</f>
        <v>4615735.4756553294</v>
      </c>
      <c r="H102" s="392">
        <f ca="1">Результаты!$BD$35</f>
        <v>15044146.662338376</v>
      </c>
      <c r="I102" s="390"/>
      <c r="J102" s="390"/>
    </row>
    <row r="103" spans="1:10" ht="13.95" customHeight="1" x14ac:dyDescent="0.3">
      <c r="A103" s="426" t="str">
        <f>Результаты!$A$36</f>
        <v>Охранник</v>
      </c>
      <c r="B103" s="359">
        <f ca="1">Результаты!$B$36</f>
        <v>8775752.2196973898</v>
      </c>
      <c r="C103" s="427" t="str">
        <f ca="1">Результаты!$C$36</f>
        <v>руб.</v>
      </c>
      <c r="D103" s="399">
        <f ca="1">SUM(Результаты!$G$36:$R$36)</f>
        <v>1146807.4423393314</v>
      </c>
      <c r="E103" s="399">
        <f ca="1">SUM(Результаты!$S$36:$AD$36)</f>
        <v>2396326.4158053948</v>
      </c>
      <c r="F103" s="399">
        <f ca="1">SUM(Результаты!$AE$36:$AP$36)</f>
        <v>2540106.0007537189</v>
      </c>
      <c r="G103" s="399">
        <f ca="1">SUM(Результаты!$AQ$36:$BB$36)</f>
        <v>2692512.3607989429</v>
      </c>
      <c r="H103" s="392">
        <f ca="1">Результаты!$BD$36</f>
        <v>8775752.2196973898</v>
      </c>
      <c r="I103" s="390"/>
      <c r="J103" s="390"/>
    </row>
    <row r="104" spans="1:10" ht="13.95" customHeight="1" x14ac:dyDescent="0.3">
      <c r="A104" s="426" t="str">
        <f>Результаты!$A$37</f>
        <v>Дворник</v>
      </c>
      <c r="B104" s="359">
        <f ca="1">Результаты!$B$37</f>
        <v>2193938.0549243474</v>
      </c>
      <c r="C104" s="427" t="str">
        <f ca="1">Результаты!$C$37</f>
        <v>руб.</v>
      </c>
      <c r="D104" s="399">
        <f ca="1">SUM(Результаты!$G$37:$R$37)</f>
        <v>286701.86058483284</v>
      </c>
      <c r="E104" s="399">
        <f ca="1">SUM(Результаты!$S$37:$AD$37)</f>
        <v>599081.60395134869</v>
      </c>
      <c r="F104" s="399">
        <f ca="1">SUM(Результаты!$AE$37:$AP$37)</f>
        <v>635026.50018842972</v>
      </c>
      <c r="G104" s="399">
        <f ca="1">SUM(Результаты!$AQ$37:$BB$37)</f>
        <v>673128.09019973571</v>
      </c>
      <c r="H104" s="392">
        <f ca="1">Результаты!$BD$37</f>
        <v>2193938.0549243474</v>
      </c>
      <c r="I104" s="390"/>
      <c r="J104" s="390"/>
    </row>
    <row r="105" spans="1:10" ht="13.95" customHeight="1" x14ac:dyDescent="0.3">
      <c r="A105" s="426" t="str">
        <f>Результаты!$A$38</f>
        <v>Сотрудник бани</v>
      </c>
      <c r="B105" s="359">
        <f ca="1">Результаты!$B$38</f>
        <v>7522073.331169188</v>
      </c>
      <c r="C105" s="427" t="str">
        <f ca="1">Результаты!$C$38</f>
        <v>руб.</v>
      </c>
      <c r="D105" s="399">
        <f ca="1">SUM(Результаты!$G$38:$R$38)</f>
        <v>982977.80771942693</v>
      </c>
      <c r="E105" s="399">
        <f ca="1">SUM(Результаты!$S$38:$AD$38)</f>
        <v>2053994.0706903387</v>
      </c>
      <c r="F105" s="399">
        <f ca="1">SUM(Результаты!$AE$38:$AP$38)</f>
        <v>2177233.7149317591</v>
      </c>
      <c r="G105" s="399">
        <f ca="1">SUM(Результаты!$AQ$38:$BB$38)</f>
        <v>2307867.7378276647</v>
      </c>
      <c r="H105" s="392">
        <f ca="1">Результаты!$BD$38</f>
        <v>7522073.331169188</v>
      </c>
      <c r="I105" s="390"/>
      <c r="J105" s="390"/>
    </row>
    <row r="106" spans="1:10" ht="13.95" customHeight="1" x14ac:dyDescent="0.3">
      <c r="A106" s="426" t="str">
        <f>Результаты!$A$39</f>
        <v>Сотрудник кухни</v>
      </c>
      <c r="B106" s="359">
        <f ca="1">Результаты!$B$39</f>
        <v>13163628.329546081</v>
      </c>
      <c r="C106" s="427" t="str">
        <f ca="1">Результаты!$C$39</f>
        <v>руб.</v>
      </c>
      <c r="D106" s="399">
        <f ca="1">SUM(Результаты!$G$39:$R$39)</f>
        <v>1720211.1635089968</v>
      </c>
      <c r="E106" s="399">
        <f ca="1">SUM(Результаты!$S$39:$AD$39)</f>
        <v>3594489.6237080921</v>
      </c>
      <c r="F106" s="399">
        <f ca="1">SUM(Результаты!$AE$39:$AP$39)</f>
        <v>3810159.0011305786</v>
      </c>
      <c r="G106" s="399">
        <f ca="1">SUM(Результаты!$AQ$39:$BB$39)</f>
        <v>4038768.5411984138</v>
      </c>
      <c r="H106" s="392">
        <f ca="1">Результаты!$BD$39</f>
        <v>13163628.329546081</v>
      </c>
      <c r="I106" s="390"/>
      <c r="J106" s="390"/>
    </row>
    <row r="107" spans="1:10" ht="13.95" customHeight="1" x14ac:dyDescent="0.3">
      <c r="A107" s="383"/>
      <c r="B107" s="359"/>
      <c r="C107" s="427"/>
      <c r="D107" s="361"/>
      <c r="E107" s="361"/>
      <c r="F107" s="361"/>
      <c r="G107" s="361"/>
      <c r="H107" s="392"/>
      <c r="I107" s="390"/>
      <c r="J107" s="390"/>
    </row>
    <row r="108" spans="1:10" ht="13.95" customHeight="1" x14ac:dyDescent="0.3">
      <c r="A108" s="380" t="str">
        <f ca="1">Результаты!$A$41</f>
        <v>Административный персонал</v>
      </c>
      <c r="B108" s="358">
        <f ca="1">Результаты!$B$41</f>
        <v>12223369.163149931</v>
      </c>
      <c r="C108" s="414" t="str">
        <f ca="1">Результаты!$C$41</f>
        <v>руб.</v>
      </c>
      <c r="D108" s="412">
        <f ca="1">SUM(Результаты!$G$41:$R$41)</f>
        <v>1597338.9375440688</v>
      </c>
      <c r="E108" s="412">
        <f ca="1">SUM(Результаты!$S$41:$AD$41)</f>
        <v>3337740.3648718004</v>
      </c>
      <c r="F108" s="412">
        <f ca="1">SUM(Результаты!$AE$41:$AP$41)</f>
        <v>3538004.7867641086</v>
      </c>
      <c r="G108" s="412">
        <f ca="1">SUM(Результаты!$AQ$41:$BB$41)</f>
        <v>3750285.0739699565</v>
      </c>
      <c r="H108" s="413">
        <f ca="1">Результаты!$BD$41</f>
        <v>12223369.163149931</v>
      </c>
      <c r="I108" s="393"/>
      <c r="J108" s="393"/>
    </row>
    <row r="109" spans="1:10" ht="13.95" customHeight="1" x14ac:dyDescent="0.3">
      <c r="A109" s="426" t="str">
        <f>Результаты!$A$42</f>
        <v>Управляющий</v>
      </c>
      <c r="B109" s="359">
        <f ca="1">Результаты!$B$42</f>
        <v>3761036.665584594</v>
      </c>
      <c r="C109" s="427" t="str">
        <f ca="1">Результаты!$C$42</f>
        <v>руб.</v>
      </c>
      <c r="D109" s="399">
        <f ca="1">SUM(Результаты!$G$42:$R$42)</f>
        <v>491488.90385971341</v>
      </c>
      <c r="E109" s="399">
        <f ca="1">SUM(Результаты!$S$42:$AD$42)</f>
        <v>1026997.035345169</v>
      </c>
      <c r="F109" s="399">
        <f ca="1">SUM(Результаты!$AE$42:$AP$42)</f>
        <v>1088616.8574658793</v>
      </c>
      <c r="G109" s="399">
        <f ca="1">SUM(Результаты!$AQ$42:$BB$42)</f>
        <v>1153933.8689138326</v>
      </c>
      <c r="H109" s="392">
        <f ca="1">Результаты!$BD$42</f>
        <v>3761036.665584594</v>
      </c>
      <c r="I109" s="390"/>
      <c r="J109" s="390"/>
    </row>
    <row r="110" spans="1:10" ht="13.95" customHeight="1" x14ac:dyDescent="0.3">
      <c r="A110" s="426" t="str">
        <f>Результаты!$A$43</f>
        <v>Администраторы</v>
      </c>
      <c r="B110" s="359">
        <f ca="1">Результаты!$B$43</f>
        <v>8462332.4975653384</v>
      </c>
      <c r="C110" s="427" t="str">
        <f ca="1">Результаты!$C$43</f>
        <v>руб.</v>
      </c>
      <c r="D110" s="399">
        <f ca="1">SUM(Результаты!$G$43:$R$43)</f>
        <v>1105850.0336843552</v>
      </c>
      <c r="E110" s="399">
        <f ca="1">SUM(Результаты!$S$43:$AD$43)</f>
        <v>2310743.3295266312</v>
      </c>
      <c r="F110" s="399">
        <f ca="1">SUM(Результаты!$AE$43:$AP$43)</f>
        <v>2449387.929298229</v>
      </c>
      <c r="G110" s="399">
        <f ca="1">SUM(Результаты!$AQ$43:$BB$43)</f>
        <v>2596351.2050561234</v>
      </c>
      <c r="H110" s="392">
        <f ca="1">Результаты!$BD$43</f>
        <v>8462332.4975653384</v>
      </c>
      <c r="I110" s="390"/>
      <c r="J110" s="390"/>
    </row>
    <row r="111" spans="1:10" ht="13.95" customHeight="1" x14ac:dyDescent="0.3">
      <c r="A111" s="383"/>
      <c r="B111" s="359"/>
      <c r="C111" s="427"/>
      <c r="D111" s="361"/>
      <c r="E111" s="361"/>
      <c r="F111" s="361"/>
      <c r="G111" s="361"/>
      <c r="H111" s="392"/>
      <c r="I111" s="390"/>
      <c r="J111" s="390"/>
    </row>
    <row r="112" spans="1:10" ht="13.95" customHeight="1" x14ac:dyDescent="0.3">
      <c r="A112" s="380" t="str">
        <f ca="1">Результаты!$A$45</f>
        <v>Коммерческий персонал</v>
      </c>
      <c r="B112" s="358">
        <f ca="1">Результаты!$B$45</f>
        <v>2193938.0549243474</v>
      </c>
      <c r="C112" s="414" t="str">
        <f ca="1">Результаты!$C$45</f>
        <v>руб.</v>
      </c>
      <c r="D112" s="412">
        <f ca="1">SUM(Результаты!$G$45:$R$45)</f>
        <v>286701.86058483284</v>
      </c>
      <c r="E112" s="412">
        <f ca="1">SUM(Результаты!$S$45:$AD$45)</f>
        <v>599081.60395134869</v>
      </c>
      <c r="F112" s="412">
        <f ca="1">SUM(Результаты!$AE$45:$AP$45)</f>
        <v>635026.50018842972</v>
      </c>
      <c r="G112" s="412">
        <f ca="1">SUM(Результаты!$AQ$45:$BB$45)</f>
        <v>673128.09019973571</v>
      </c>
      <c r="H112" s="413">
        <f ca="1">Результаты!$BD$45</f>
        <v>2193938.0549243474</v>
      </c>
      <c r="I112" s="393"/>
      <c r="J112" s="393"/>
    </row>
    <row r="113" spans="1:10" ht="13.95" customHeight="1" x14ac:dyDescent="0.3">
      <c r="A113" s="426" t="str">
        <f>Результаты!$A$46</f>
        <v>Бухгалтер</v>
      </c>
      <c r="B113" s="359">
        <f ca="1">Результаты!$B$46</f>
        <v>2193938.0549243474</v>
      </c>
      <c r="C113" s="427" t="str">
        <f ca="1">Результаты!$C$46</f>
        <v>руб.</v>
      </c>
      <c r="D113" s="399">
        <f ca="1">SUM(Результаты!$G$46:$R$46)</f>
        <v>286701.86058483284</v>
      </c>
      <c r="E113" s="399">
        <f ca="1">SUM(Результаты!$S$46:$AD$46)</f>
        <v>599081.60395134869</v>
      </c>
      <c r="F113" s="399">
        <f ca="1">SUM(Результаты!$AE$46:$AP$46)</f>
        <v>635026.50018842972</v>
      </c>
      <c r="G113" s="399">
        <f ca="1">SUM(Результаты!$AQ$46:$BB$46)</f>
        <v>673128.09019973571</v>
      </c>
      <c r="H113" s="392">
        <f ca="1">Результаты!$BD$46</f>
        <v>2193938.0549243474</v>
      </c>
      <c r="I113" s="390"/>
      <c r="J113" s="390"/>
    </row>
    <row r="114" spans="1:10" ht="13.95" customHeight="1" x14ac:dyDescent="0.3">
      <c r="A114" s="384"/>
      <c r="B114" s="363"/>
      <c r="C114" s="384"/>
      <c r="D114" s="364"/>
      <c r="E114" s="364"/>
      <c r="F114" s="364"/>
      <c r="G114" s="364"/>
      <c r="H114" s="433"/>
      <c r="I114" s="390"/>
      <c r="J114" s="390"/>
    </row>
    <row r="115" spans="1:10" ht="13.95" customHeight="1" x14ac:dyDescent="0.3">
      <c r="A115" s="380" t="str">
        <f ca="1">Результаты!$A$48</f>
        <v>Операционные расходы</v>
      </c>
      <c r="B115" s="358">
        <f ca="1">Результаты!$B$48</f>
        <v>111402298.56518772</v>
      </c>
      <c r="C115" s="414" t="str">
        <f ca="1">Результаты!$C$48</f>
        <v>руб.</v>
      </c>
      <c r="D115" s="412">
        <f ca="1">SUM(Результаты!$G$48:$R$48)</f>
        <v>10852524.806840546</v>
      </c>
      <c r="E115" s="412">
        <f ca="1">SUM(Результаты!$S$48:$AD$48)</f>
        <v>30068477.361390162</v>
      </c>
      <c r="F115" s="412">
        <f ca="1">SUM(Результаты!$AE$48:$AP$48)</f>
        <v>33387779.253050148</v>
      </c>
      <c r="G115" s="412">
        <f ca="1">SUM(Результаты!$AQ$48:$BB$48)</f>
        <v>37093517.143906854</v>
      </c>
      <c r="H115" s="413">
        <f ca="1">Результаты!$BD$48</f>
        <v>111402298.56518772</v>
      </c>
      <c r="I115" s="393"/>
      <c r="J115" s="393"/>
    </row>
    <row r="116" spans="1:10" ht="13.95" customHeight="1" x14ac:dyDescent="0.3">
      <c r="A116" s="380"/>
      <c r="B116" s="358"/>
      <c r="C116" s="414"/>
      <c r="D116" s="412"/>
      <c r="E116" s="412"/>
      <c r="F116" s="412"/>
      <c r="G116" s="412"/>
      <c r="H116" s="413"/>
      <c r="I116" s="393"/>
      <c r="J116" s="393"/>
    </row>
    <row r="117" spans="1:10" ht="13.95" customHeight="1" x14ac:dyDescent="0.3">
      <c r="A117" s="380" t="str">
        <f ca="1">Результаты!$A$50</f>
        <v>Производственные издержки</v>
      </c>
      <c r="B117" s="358">
        <f ca="1">Результаты!$B$50</f>
        <v>67104252.195133716</v>
      </c>
      <c r="C117" s="414" t="str">
        <f ca="1">Результаты!$C$50</f>
        <v>руб.</v>
      </c>
      <c r="D117" s="412">
        <f ca="1">SUM(Результаты!$G$50:$R$50)</f>
        <v>6889077.1293430431</v>
      </c>
      <c r="E117" s="412">
        <f ca="1">SUM(Результаты!$S$50:$AD$50)</f>
        <v>18156580.742077507</v>
      </c>
      <c r="F117" s="412">
        <f ca="1">SUM(Результаты!$AE$50:$AP$50)</f>
        <v>20003572.21159045</v>
      </c>
      <c r="G117" s="412">
        <f ca="1">SUM(Результаты!$AQ$50:$BB$50)</f>
        <v>22055022.112122722</v>
      </c>
      <c r="H117" s="413">
        <f ca="1">Результаты!$BD$50</f>
        <v>67104252.195133716</v>
      </c>
      <c r="I117" s="393"/>
      <c r="J117" s="393"/>
    </row>
    <row r="118" spans="1:10" ht="13.95" customHeight="1" x14ac:dyDescent="0.3">
      <c r="A118" s="426" t="str">
        <f>Результаты!$A$51</f>
        <v>Коммунальные расходы всего объекта</v>
      </c>
      <c r="B118" s="359">
        <f ca="1">Результаты!$B$51</f>
        <v>3857471.4793863553</v>
      </c>
      <c r="C118" s="427" t="str">
        <f ca="1">Результаты!$C$51</f>
        <v>руб.</v>
      </c>
      <c r="D118" s="399">
        <f ca="1">SUM(Результаты!$G$51:$R$51)</f>
        <v>449425.8140790445</v>
      </c>
      <c r="E118" s="399">
        <f ca="1">SUM(Результаты!$S$51:$AD$51)</f>
        <v>1070500.5859113298</v>
      </c>
      <c r="F118" s="399">
        <f ca="1">SUM(Результаты!$AE$51:$AP$51)</f>
        <v>1134730.6210660101</v>
      </c>
      <c r="G118" s="399">
        <f ca="1">SUM(Результаты!$AQ$51:$BB$51)</f>
        <v>1202814.4583299707</v>
      </c>
      <c r="H118" s="392">
        <f ca="1">Результаты!$BD$51</f>
        <v>3857471.4793863553</v>
      </c>
      <c r="I118" s="390"/>
      <c r="J118" s="390"/>
    </row>
    <row r="119" spans="1:10" ht="13.95" customHeight="1" x14ac:dyDescent="0.3">
      <c r="A119" s="426" t="str">
        <f>Результаты!$A$52</f>
        <v>ПО и связь</v>
      </c>
      <c r="B119" s="359">
        <f ca="1">Результаты!$B$52</f>
        <v>478503.39256801468</v>
      </c>
      <c r="C119" s="427" t="str">
        <f ca="1">Результаты!$C$52</f>
        <v>руб.</v>
      </c>
      <c r="D119" s="399">
        <f ca="1">SUM(Результаты!$G$52:$R$52)</f>
        <v>62530.394893093297</v>
      </c>
      <c r="E119" s="399">
        <f ca="1">SUM(Результаты!$S$52:$AD$52)</f>
        <v>130661.20042559404</v>
      </c>
      <c r="F119" s="399">
        <f ca="1">SUM(Результаты!$AE$52:$AP$52)</f>
        <v>138500.87245112975</v>
      </c>
      <c r="G119" s="399">
        <f ca="1">SUM(Результаты!$AQ$52:$BB$52)</f>
        <v>146810.92479819752</v>
      </c>
      <c r="H119" s="392">
        <f ca="1">Результаты!$BD$52</f>
        <v>478503.39256801468</v>
      </c>
      <c r="I119" s="390"/>
      <c r="J119" s="390"/>
    </row>
    <row r="120" spans="1:10" ht="13.95" customHeight="1" x14ac:dyDescent="0.3">
      <c r="A120" s="426" t="str">
        <f>Результаты!$A$53</f>
        <v>Непредвиденные расходы (5%)</v>
      </c>
      <c r="B120" s="359">
        <f ca="1">Результаты!$B$53</f>
        <v>44298046.370053977</v>
      </c>
      <c r="C120" s="427" t="str">
        <f ca="1">Результаты!$C$53</f>
        <v>руб.</v>
      </c>
      <c r="D120" s="399">
        <f ca="1">SUM(Результаты!$G$53:$R$53)</f>
        <v>3963447.6774975033</v>
      </c>
      <c r="E120" s="399">
        <f ca="1">SUM(Результаты!$S$53:$AD$53)</f>
        <v>11911896.61931265</v>
      </c>
      <c r="F120" s="399">
        <f ca="1">SUM(Результаты!$AE$53:$AP$53)</f>
        <v>13384207.0414597</v>
      </c>
      <c r="G120" s="399">
        <f ca="1">SUM(Результаты!$AQ$53:$BB$53)</f>
        <v>15038495.03178413</v>
      </c>
      <c r="H120" s="392">
        <f ca="1">Результаты!$BD$53</f>
        <v>44298046.370053977</v>
      </c>
      <c r="I120" s="390"/>
      <c r="J120" s="390"/>
    </row>
    <row r="121" spans="1:10" ht="13.95" customHeight="1" x14ac:dyDescent="0.3">
      <c r="A121" s="426" t="str">
        <f>Результаты!$A$54</f>
        <v>Питание штата</v>
      </c>
      <c r="B121" s="359">
        <f ca="1">Результаты!$B$54</f>
        <v>17943877.22130055</v>
      </c>
      <c r="C121" s="427" t="str">
        <f ca="1">Результаты!$C$54</f>
        <v>руб.</v>
      </c>
      <c r="D121" s="399">
        <f ca="1">SUM(Результаты!$G$54:$R$54)</f>
        <v>2344889.808490999</v>
      </c>
      <c r="E121" s="399">
        <f ca="1">SUM(Результаты!$S$54:$AD$54)</f>
        <v>4899795.015959776</v>
      </c>
      <c r="F121" s="399">
        <f ca="1">SUM(Результаты!$AE$54:$AP$54)</f>
        <v>5193782.7169173649</v>
      </c>
      <c r="G121" s="399">
        <f ca="1">SUM(Результаты!$AQ$54:$BB$54)</f>
        <v>5505409.679932409</v>
      </c>
      <c r="H121" s="392">
        <f ca="1">Результаты!$BD$54</f>
        <v>17943877.22130055</v>
      </c>
      <c r="I121" s="390"/>
      <c r="J121" s="390"/>
    </row>
    <row r="122" spans="1:10" ht="13.95" customHeight="1" x14ac:dyDescent="0.3">
      <c r="A122" s="426" t="str">
        <f>Результаты!$A$55</f>
        <v>Вывоз твердых бытовых расходов</v>
      </c>
      <c r="B122" s="359">
        <f ca="1">Результаты!$B$55</f>
        <v>287102.03554080881</v>
      </c>
      <c r="C122" s="427" t="str">
        <f ca="1">Результаты!$C$55</f>
        <v>руб.</v>
      </c>
      <c r="D122" s="399">
        <f ca="1">SUM(Результаты!$G$55:$R$55)</f>
        <v>37518.236935855988</v>
      </c>
      <c r="E122" s="399">
        <f ca="1">SUM(Результаты!$S$55:$AD$55)</f>
        <v>78396.720255356413</v>
      </c>
      <c r="F122" s="399">
        <f ca="1">SUM(Результаты!$AE$55:$AP$55)</f>
        <v>83100.523470677843</v>
      </c>
      <c r="G122" s="399">
        <f ca="1">SUM(Результаты!$AQ$55:$BB$55)</f>
        <v>88086.554878918527</v>
      </c>
      <c r="H122" s="392">
        <f ca="1">Результаты!$BD$55</f>
        <v>287102.03554080881</v>
      </c>
      <c r="I122" s="390"/>
      <c r="J122" s="390"/>
    </row>
    <row r="123" spans="1:10" ht="13.95" customHeight="1" x14ac:dyDescent="0.3">
      <c r="A123" s="426" t="str">
        <f>Результаты!$A$56</f>
        <v>Тревожная кнопка</v>
      </c>
      <c r="B123" s="359">
        <f ca="1">Результаты!$B$56</f>
        <v>239251.69628400734</v>
      </c>
      <c r="C123" s="427" t="str">
        <f ca="1">Результаты!$C$56</f>
        <v>руб.</v>
      </c>
      <c r="D123" s="399">
        <f ca="1">SUM(Результаты!$G$56:$R$56)</f>
        <v>31265.197446546648</v>
      </c>
      <c r="E123" s="399">
        <f ca="1">SUM(Результаты!$S$56:$AD$56)</f>
        <v>65330.600212797021</v>
      </c>
      <c r="F123" s="399">
        <f ca="1">SUM(Результаты!$AE$56:$AP$56)</f>
        <v>69250.436225564874</v>
      </c>
      <c r="G123" s="399">
        <f ca="1">SUM(Результаты!$AQ$56:$BB$56)</f>
        <v>73405.46239909876</v>
      </c>
      <c r="H123" s="392">
        <f ca="1">Результаты!$BD$56</f>
        <v>239251.69628400734</v>
      </c>
      <c r="I123" s="390"/>
      <c r="J123" s="390"/>
    </row>
    <row r="124" spans="1:10" ht="13.95" customHeight="1" x14ac:dyDescent="0.3">
      <c r="A124" s="383"/>
      <c r="B124" s="359"/>
      <c r="C124" s="427"/>
      <c r="D124" s="361"/>
      <c r="E124" s="361"/>
      <c r="F124" s="361"/>
      <c r="G124" s="361"/>
      <c r="H124" s="392"/>
      <c r="I124" s="390"/>
      <c r="J124" s="390"/>
    </row>
    <row r="125" spans="1:10" ht="13.95" customHeight="1" x14ac:dyDescent="0.3">
      <c r="A125" s="380" t="str">
        <f ca="1">Результаты!$A$60</f>
        <v>Коммерческие издержки</v>
      </c>
      <c r="B125" s="358">
        <f ca="1">Результаты!$B$60</f>
        <v>44298046.370053977</v>
      </c>
      <c r="C125" s="414" t="str">
        <f ca="1">Результаты!$C$60</f>
        <v>руб.</v>
      </c>
      <c r="D125" s="412">
        <f ca="1">SUM(Результаты!$G$60:$R$60)</f>
        <v>3963447.6774975033</v>
      </c>
      <c r="E125" s="412">
        <f ca="1">SUM(Результаты!$S$60:$AD$60)</f>
        <v>11911896.61931265</v>
      </c>
      <c r="F125" s="412">
        <f ca="1">SUM(Результаты!$AE$60:$AP$60)</f>
        <v>13384207.0414597</v>
      </c>
      <c r="G125" s="412">
        <f ca="1">SUM(Результаты!$AQ$60:$BB$60)</f>
        <v>15038495.03178413</v>
      </c>
      <c r="H125" s="413">
        <f ca="1">Результаты!$BD$60</f>
        <v>44298046.370053977</v>
      </c>
      <c r="I125" s="393"/>
      <c r="J125" s="393"/>
    </row>
    <row r="126" spans="1:10" ht="13.95" customHeight="1" x14ac:dyDescent="0.3">
      <c r="A126" s="426" t="str">
        <f>Результаты!$A$61</f>
        <v>Маркетинговые расходы (5%)</v>
      </c>
      <c r="B126" s="359">
        <f ca="1">Результаты!$B$61</f>
        <v>44298046.370053977</v>
      </c>
      <c r="C126" s="427" t="str">
        <f ca="1">Результаты!$C$61</f>
        <v>руб.</v>
      </c>
      <c r="D126" s="399">
        <f ca="1">SUM(Результаты!$G$61:$R$61)</f>
        <v>3963447.6774975033</v>
      </c>
      <c r="E126" s="399">
        <f ca="1">SUM(Результаты!$S$61:$AD$61)</f>
        <v>11911896.61931265</v>
      </c>
      <c r="F126" s="399">
        <f ca="1">SUM(Результаты!$AE$61:$AP$61)</f>
        <v>13384207.0414597</v>
      </c>
      <c r="G126" s="399">
        <f ca="1">SUM(Результаты!$AQ$61:$BB$61)</f>
        <v>15038495.03178413</v>
      </c>
      <c r="H126" s="392">
        <f ca="1">Результаты!$BD$61</f>
        <v>44298046.370053977</v>
      </c>
      <c r="I126" s="390"/>
      <c r="J126" s="390"/>
    </row>
    <row r="127" spans="1:10" ht="13.95" customHeight="1" x14ac:dyDescent="0.3">
      <c r="A127" s="384"/>
      <c r="B127" s="363"/>
      <c r="C127" s="384"/>
      <c r="D127" s="364"/>
      <c r="E127" s="364"/>
      <c r="F127" s="364"/>
      <c r="G127" s="364"/>
      <c r="H127" s="433"/>
      <c r="I127" s="390"/>
      <c r="J127" s="390"/>
    </row>
    <row r="128" spans="1:10" ht="13.95" customHeight="1" x14ac:dyDescent="0.3">
      <c r="A128" s="380" t="str">
        <f ca="1">Результаты!$A$63</f>
        <v>Амортизация</v>
      </c>
      <c r="B128" s="358">
        <f ca="1">Результаты!$B$63</f>
        <v>26034166.666666687</v>
      </c>
      <c r="C128" s="414" t="str">
        <f ca="1">Результаты!$C$63</f>
        <v>руб.</v>
      </c>
      <c r="D128" s="412">
        <f ca="1">SUM(Результаты!$G$63:$R$63)</f>
        <v>3719166.666666666</v>
      </c>
      <c r="E128" s="412">
        <f ca="1">SUM(Результаты!$S$63:$AD$63)</f>
        <v>7438333.3333333321</v>
      </c>
      <c r="F128" s="412">
        <f ca="1">SUM(Результаты!$AE$63:$AP$63)</f>
        <v>7438333.3333333321</v>
      </c>
      <c r="G128" s="412">
        <f ca="1">SUM(Результаты!$AQ$63:$BB$63)</f>
        <v>7438333.3333333321</v>
      </c>
      <c r="H128" s="413">
        <f ca="1">Результаты!$BD$63</f>
        <v>26034166.666666687</v>
      </c>
      <c r="I128" s="393"/>
      <c r="J128" s="393"/>
    </row>
    <row r="129" spans="1:10" ht="13.95" customHeight="1" x14ac:dyDescent="0.3">
      <c r="A129" s="381"/>
      <c r="B129" s="365"/>
      <c r="C129" s="415"/>
      <c r="D129" s="434"/>
      <c r="E129" s="434"/>
      <c r="F129" s="434"/>
      <c r="G129" s="434"/>
      <c r="H129" s="435"/>
      <c r="I129" s="393"/>
      <c r="J129" s="393"/>
    </row>
    <row r="130" spans="1:10" ht="13.95" customHeight="1" x14ac:dyDescent="0.3">
      <c r="A130" s="380" t="str">
        <f ca="1">Результаты!$A$65</f>
        <v>Итого</v>
      </c>
      <c r="B130" s="358">
        <f ca="1">Результаты!$B$65</f>
        <v>336440993.09561789</v>
      </c>
      <c r="C130" s="414" t="str">
        <f ca="1">Результаты!$C$65</f>
        <v>руб.</v>
      </c>
      <c r="D130" s="412">
        <f ca="1">SUM(Результаты!$G$65:$R$65)</f>
        <v>37525249.274776101</v>
      </c>
      <c r="E130" s="412">
        <f ca="1">SUM(Результаты!$S$65:$AD$65)</f>
        <v>91278232.746942326</v>
      </c>
      <c r="F130" s="412">
        <f ca="1">SUM(Результаты!$AE$65:$AP$65)</f>
        <v>99351735.157441795</v>
      </c>
      <c r="G130" s="412">
        <f ca="1">SUM(Результаты!$AQ$65:$BB$65)</f>
        <v>108285775.91645762</v>
      </c>
      <c r="H130" s="413">
        <f ca="1">Результаты!$BD$65</f>
        <v>336440993.09561789</v>
      </c>
      <c r="I130" s="393"/>
      <c r="J130" s="393"/>
    </row>
    <row r="131" spans="1:10" ht="13.95" customHeight="1" x14ac:dyDescent="0.3">
      <c r="A131" s="428"/>
      <c r="B131" s="366"/>
      <c r="C131" s="428"/>
      <c r="D131" s="367"/>
      <c r="E131" s="367"/>
      <c r="F131" s="367"/>
      <c r="G131" s="367"/>
      <c r="H131" s="436"/>
      <c r="I131" s="390"/>
      <c r="J131" s="390"/>
    </row>
    <row r="134" spans="1:10" ht="25.5" customHeight="1" thickBot="1" x14ac:dyDescent="0.35">
      <c r="A134" s="417" t="str">
        <f ca="1">Результаты!$A$69</f>
        <v>ОТЧЕТ – ИНВЕСТИЦИИ (с НДС)</v>
      </c>
      <c r="B134" s="419"/>
      <c r="C134" s="420"/>
      <c r="D134" s="422" t="str">
        <f>"2025"</f>
        <v>2025</v>
      </c>
      <c r="E134" s="423" t="str">
        <f>"2026"</f>
        <v>2026</v>
      </c>
      <c r="F134" s="423" t="str">
        <f>"2027"</f>
        <v>2027</v>
      </c>
      <c r="G134" s="423" t="str">
        <f>"2028"</f>
        <v>2028</v>
      </c>
      <c r="H134" s="425" t="str">
        <f ca="1">Результаты!$BD$69</f>
        <v>ИТОГО</v>
      </c>
      <c r="I134" s="383"/>
      <c r="J134" s="383"/>
    </row>
    <row r="135" spans="1:10" ht="15" customHeight="1" thickTop="1" x14ac:dyDescent="0.3">
      <c r="A135" s="416"/>
      <c r="B135" s="360"/>
      <c r="C135" s="418"/>
      <c r="D135" s="362"/>
      <c r="E135" s="362"/>
      <c r="F135" s="362"/>
      <c r="G135" s="362"/>
      <c r="H135" s="431"/>
      <c r="I135" s="399"/>
      <c r="J135" s="399"/>
    </row>
    <row r="136" spans="1:10" ht="13.95" customHeight="1" x14ac:dyDescent="0.3">
      <c r="A136" s="393" t="str">
        <f ca="1">Результаты!$A$71</f>
        <v>Земля</v>
      </c>
      <c r="B136" s="358">
        <f>Результаты!$B$71</f>
        <v>800000</v>
      </c>
      <c r="C136" s="414" t="str">
        <f ca="1">Результаты!$C$71</f>
        <v>руб.</v>
      </c>
      <c r="D136" s="412">
        <f>SUM(Результаты!$G$71:$R$71)</f>
        <v>800000</v>
      </c>
      <c r="E136" s="412">
        <f>SUM(Результаты!$S$71:$AD$71)</f>
        <v>0</v>
      </c>
      <c r="F136" s="412">
        <f>SUM(Результаты!$AE$71:$AP$71)</f>
        <v>0</v>
      </c>
      <c r="G136" s="412">
        <f>SUM(Результаты!$AQ$71:$BB$71)</f>
        <v>0</v>
      </c>
      <c r="H136" s="413">
        <f>Результаты!$BD$71</f>
        <v>800000</v>
      </c>
      <c r="I136" s="390"/>
      <c r="J136" s="390"/>
    </row>
    <row r="137" spans="1:10" ht="13.95" customHeight="1" x14ac:dyDescent="0.3">
      <c r="A137" s="397" t="str">
        <f>Результаты!$A$72</f>
        <v>Облагораживание территории</v>
      </c>
      <c r="B137" s="359">
        <f>Результаты!$B$72</f>
        <v>800000</v>
      </c>
      <c r="C137" s="427" t="str">
        <f ca="1">Результаты!$C$72</f>
        <v>руб.</v>
      </c>
      <c r="D137" s="399">
        <f>SUM(Результаты!$G$72:$R$72)</f>
        <v>800000</v>
      </c>
      <c r="E137" s="399">
        <f>SUM(Результаты!$S$72:$AD$72)</f>
        <v>0</v>
      </c>
      <c r="F137" s="399">
        <f>SUM(Результаты!$AE$72:$AP$72)</f>
        <v>0</v>
      </c>
      <c r="G137" s="399">
        <f>SUM(Результаты!$AQ$72:$BB$72)</f>
        <v>0</v>
      </c>
      <c r="H137" s="392">
        <f>Результаты!$BD$72</f>
        <v>800000</v>
      </c>
      <c r="I137" s="390"/>
      <c r="J137" s="390"/>
    </row>
    <row r="138" spans="1:10" ht="13.95" customHeight="1" x14ac:dyDescent="0.3">
      <c r="A138" s="409"/>
      <c r="B138" s="409"/>
      <c r="C138" s="409"/>
      <c r="D138" s="409"/>
      <c r="E138" s="409"/>
      <c r="F138" s="409"/>
      <c r="G138" s="409"/>
      <c r="H138" s="410"/>
      <c r="I138" s="390"/>
      <c r="J138" s="390"/>
    </row>
    <row r="139" spans="1:10" ht="13.95" customHeight="1" x14ac:dyDescent="0.3">
      <c r="A139" s="393" t="str">
        <f ca="1">Результаты!$A$74</f>
        <v>Здания и сооружения</v>
      </c>
      <c r="B139" s="358">
        <f>Результаты!$B$74</f>
        <v>205000000</v>
      </c>
      <c r="C139" s="414" t="str">
        <f ca="1">Результаты!$C$74</f>
        <v>руб.</v>
      </c>
      <c r="D139" s="412">
        <f>SUM(Результаты!$G$74:$R$74)</f>
        <v>205000000</v>
      </c>
      <c r="E139" s="412">
        <f>SUM(Результаты!$S$74:$AD$74)</f>
        <v>0</v>
      </c>
      <c r="F139" s="412">
        <f>SUM(Результаты!$AE$74:$AP$74)</f>
        <v>0</v>
      </c>
      <c r="G139" s="412">
        <f>SUM(Результаты!$AQ$74:$BB$74)</f>
        <v>0</v>
      </c>
      <c r="H139" s="413">
        <f>Результаты!$BD$74</f>
        <v>205000000</v>
      </c>
      <c r="I139" s="390"/>
      <c r="J139" s="390"/>
    </row>
    <row r="140" spans="1:10" ht="13.95" customHeight="1" x14ac:dyDescent="0.3">
      <c r="A140" s="397" t="str">
        <f>Результаты!$A$75</f>
        <v>Покупка здания ресторана</v>
      </c>
      <c r="B140" s="359">
        <f>Результаты!$B$75</f>
        <v>50000000</v>
      </c>
      <c r="C140" s="427" t="str">
        <f ca="1">Результаты!$C$75</f>
        <v>руб.</v>
      </c>
      <c r="D140" s="399">
        <f>SUM(Результаты!$G$75:$R$75)</f>
        <v>50000000</v>
      </c>
      <c r="E140" s="399">
        <f>SUM(Результаты!$S$75:$AD$75)</f>
        <v>0</v>
      </c>
      <c r="F140" s="399">
        <f>SUM(Результаты!$AE$75:$AP$75)</f>
        <v>0</v>
      </c>
      <c r="G140" s="399">
        <f>SUM(Результаты!$AQ$75:$BB$75)</f>
        <v>0</v>
      </c>
      <c r="H140" s="392">
        <f>Результаты!$BD$75</f>
        <v>50000000</v>
      </c>
      <c r="I140" s="390"/>
      <c r="J140" s="390"/>
    </row>
    <row r="141" spans="1:10" ht="13.95" customHeight="1" x14ac:dyDescent="0.3">
      <c r="A141" s="397" t="str">
        <f>Результаты!$A$76</f>
        <v>Реконструкция здания ресторана</v>
      </c>
      <c r="B141" s="359">
        <f>Результаты!$B$76</f>
        <v>60000000</v>
      </c>
      <c r="C141" s="427" t="str">
        <f ca="1">Результаты!$C$76</f>
        <v>руб.</v>
      </c>
      <c r="D141" s="399">
        <f>SUM(Результаты!$G$76:$R$76)</f>
        <v>60000000</v>
      </c>
      <c r="E141" s="399">
        <f>SUM(Результаты!$S$76:$AD$76)</f>
        <v>0</v>
      </c>
      <c r="F141" s="399">
        <f>SUM(Результаты!$AE$76:$AP$76)</f>
        <v>0</v>
      </c>
      <c r="G141" s="399">
        <f>SUM(Результаты!$AQ$76:$BB$76)</f>
        <v>0</v>
      </c>
      <c r="H141" s="392">
        <f>Результаты!$BD$76</f>
        <v>60000000</v>
      </c>
      <c r="I141" s="390"/>
      <c r="J141" s="390"/>
    </row>
    <row r="142" spans="1:10" ht="13.95" customHeight="1" x14ac:dyDescent="0.3">
      <c r="A142" s="397" t="str">
        <f>Результаты!$A$77</f>
        <v>Выкуп незавершенного строительства корпуса</v>
      </c>
      <c r="B142" s="359">
        <f>Результаты!$B$77</f>
        <v>75000000</v>
      </c>
      <c r="C142" s="427" t="str">
        <f ca="1">Результаты!$C$77</f>
        <v>руб.</v>
      </c>
      <c r="D142" s="399">
        <f>SUM(Результаты!$G$77:$R$77)</f>
        <v>75000000</v>
      </c>
      <c r="E142" s="399">
        <f>SUM(Результаты!$S$77:$AD$77)</f>
        <v>0</v>
      </c>
      <c r="F142" s="399">
        <f>SUM(Результаты!$AE$77:$AP$77)</f>
        <v>0</v>
      </c>
      <c r="G142" s="399">
        <f>SUM(Результаты!$AQ$77:$BB$77)</f>
        <v>0</v>
      </c>
      <c r="H142" s="392">
        <f>Результаты!$BD$77</f>
        <v>75000000</v>
      </c>
      <c r="I142" s="390"/>
      <c r="J142" s="390"/>
    </row>
    <row r="143" spans="1:10" ht="13.95" customHeight="1" x14ac:dyDescent="0.3">
      <c r="A143" s="397" t="str">
        <f>Результаты!$A$78</f>
        <v>Завершение строительства корпуса</v>
      </c>
      <c r="B143" s="359">
        <f>Результаты!$B$78</f>
        <v>20000000</v>
      </c>
      <c r="C143" s="427" t="str">
        <f ca="1">Результаты!$C$78</f>
        <v>руб.</v>
      </c>
      <c r="D143" s="399">
        <f>SUM(Результаты!$G$78:$R$78)</f>
        <v>20000000</v>
      </c>
      <c r="E143" s="399">
        <f>SUM(Результаты!$S$78:$AD$78)</f>
        <v>0</v>
      </c>
      <c r="F143" s="399">
        <f>SUM(Результаты!$AE$78:$AP$78)</f>
        <v>0</v>
      </c>
      <c r="G143" s="399">
        <f>SUM(Результаты!$AQ$78:$BB$78)</f>
        <v>0</v>
      </c>
      <c r="H143" s="392">
        <f>Результаты!$BD$78</f>
        <v>20000000</v>
      </c>
      <c r="I143" s="390"/>
      <c r="J143" s="390"/>
    </row>
    <row r="144" spans="1:10" ht="13.95" customHeight="1" x14ac:dyDescent="0.3">
      <c r="A144" s="409"/>
      <c r="B144" s="409"/>
      <c r="C144" s="409"/>
      <c r="D144" s="409"/>
      <c r="E144" s="409"/>
      <c r="F144" s="409"/>
      <c r="G144" s="409"/>
      <c r="H144" s="410"/>
      <c r="I144" s="390"/>
      <c r="J144" s="390"/>
    </row>
    <row r="145" spans="1:10" ht="13.95" customHeight="1" x14ac:dyDescent="0.3">
      <c r="A145" s="393" t="str">
        <f ca="1">Результаты!$A$80</f>
        <v>Оборудование</v>
      </c>
      <c r="B145" s="358">
        <f>Результаты!$B$80</f>
        <v>5900000</v>
      </c>
      <c r="C145" s="414" t="str">
        <f ca="1">Результаты!$C$80</f>
        <v>руб.</v>
      </c>
      <c r="D145" s="412">
        <f>SUM(Результаты!$G$80:$R$80)</f>
        <v>5900000</v>
      </c>
      <c r="E145" s="412">
        <f>SUM(Результаты!$S$80:$AD$80)</f>
        <v>0</v>
      </c>
      <c r="F145" s="412">
        <f>SUM(Результаты!$AE$80:$AP$80)</f>
        <v>0</v>
      </c>
      <c r="G145" s="412">
        <f>SUM(Результаты!$AQ$80:$BB$80)</f>
        <v>0</v>
      </c>
      <c r="H145" s="413">
        <f>Результаты!$BD$80</f>
        <v>5900000</v>
      </c>
      <c r="I145" s="390"/>
      <c r="J145" s="390"/>
    </row>
    <row r="146" spans="1:10" ht="13.95" customHeight="1" x14ac:dyDescent="0.3">
      <c r="A146" s="397" t="str">
        <f>Результаты!$A$81</f>
        <v>Инвентарь для проекта</v>
      </c>
      <c r="B146" s="359">
        <f>Результаты!$B$81</f>
        <v>1800000</v>
      </c>
      <c r="C146" s="427" t="str">
        <f ca="1">Результаты!$C$81</f>
        <v>руб.</v>
      </c>
      <c r="D146" s="399">
        <f>SUM(Результаты!$G$81:$R$81)</f>
        <v>1800000</v>
      </c>
      <c r="E146" s="399">
        <f>SUM(Результаты!$S$81:$AD$81)</f>
        <v>0</v>
      </c>
      <c r="F146" s="399">
        <f>SUM(Результаты!$AE$81:$AP$81)</f>
        <v>0</v>
      </c>
      <c r="G146" s="399">
        <f>SUM(Результаты!$AQ$81:$BB$81)</f>
        <v>0</v>
      </c>
      <c r="H146" s="392">
        <f>Результаты!$BD$81</f>
        <v>1800000</v>
      </c>
      <c r="I146" s="390"/>
      <c r="J146" s="390"/>
    </row>
    <row r="147" spans="1:10" ht="13.95" customHeight="1" x14ac:dyDescent="0.3">
      <c r="A147" s="397" t="str">
        <f>Результаты!$A$82</f>
        <v>Инженерные сети</v>
      </c>
      <c r="B147" s="359">
        <f>Результаты!$B$82</f>
        <v>4100000</v>
      </c>
      <c r="C147" s="427" t="str">
        <f ca="1">Результаты!$C$82</f>
        <v>руб.</v>
      </c>
      <c r="D147" s="399">
        <f>SUM(Результаты!$G$82:$R$82)</f>
        <v>4100000</v>
      </c>
      <c r="E147" s="399">
        <f>SUM(Результаты!$S$82:$AD$82)</f>
        <v>0</v>
      </c>
      <c r="F147" s="399">
        <f>SUM(Результаты!$AE$82:$AP$82)</f>
        <v>0</v>
      </c>
      <c r="G147" s="399">
        <f>SUM(Результаты!$AQ$82:$BB$82)</f>
        <v>0</v>
      </c>
      <c r="H147" s="392">
        <f>Результаты!$BD$82</f>
        <v>4100000</v>
      </c>
      <c r="I147" s="390"/>
      <c r="J147" s="390"/>
    </row>
    <row r="148" spans="1:10" ht="13.95" customHeight="1" x14ac:dyDescent="0.3">
      <c r="A148" s="409"/>
      <c r="B148" s="409"/>
      <c r="C148" s="409"/>
      <c r="D148" s="409"/>
      <c r="E148" s="409"/>
      <c r="F148" s="409"/>
      <c r="G148" s="409"/>
      <c r="H148" s="410"/>
      <c r="I148" s="390"/>
      <c r="J148" s="390"/>
    </row>
    <row r="149" spans="1:10" ht="13.95" customHeight="1" x14ac:dyDescent="0.3">
      <c r="A149" s="393" t="str">
        <f ca="1">Результаты!$A$84</f>
        <v>Нематериальные активы</v>
      </c>
      <c r="B149" s="358">
        <f>Результаты!$B$84</f>
        <v>150000</v>
      </c>
      <c r="C149" s="414" t="str">
        <f ca="1">Результаты!$C$84</f>
        <v>руб.</v>
      </c>
      <c r="D149" s="412">
        <f>SUM(Результаты!$G$84:$R$84)</f>
        <v>150000</v>
      </c>
      <c r="E149" s="412">
        <f>SUM(Результаты!$S$84:$AD$84)</f>
        <v>0</v>
      </c>
      <c r="F149" s="412">
        <f>SUM(Результаты!$AE$84:$AP$84)</f>
        <v>0</v>
      </c>
      <c r="G149" s="412">
        <f>SUM(Результаты!$AQ$84:$BB$84)</f>
        <v>0</v>
      </c>
      <c r="H149" s="413">
        <f>Результаты!$BD$84</f>
        <v>150000</v>
      </c>
      <c r="I149" s="390"/>
      <c r="J149" s="390"/>
    </row>
    <row r="150" spans="1:10" ht="13.95" customHeight="1" x14ac:dyDescent="0.3">
      <c r="A150" s="397" t="str">
        <f>Результаты!$A$85</f>
        <v>Регистрационные действия при открытии проекта</v>
      </c>
      <c r="B150" s="359">
        <f>Результаты!$B$85</f>
        <v>150000</v>
      </c>
      <c r="C150" s="427" t="str">
        <f ca="1">Результаты!$C$85</f>
        <v>руб.</v>
      </c>
      <c r="D150" s="399">
        <f>SUM(Результаты!$G$85:$R$85)</f>
        <v>150000</v>
      </c>
      <c r="E150" s="399">
        <f>SUM(Результаты!$S$85:$AD$85)</f>
        <v>0</v>
      </c>
      <c r="F150" s="399">
        <f>SUM(Результаты!$AE$85:$AP$85)</f>
        <v>0</v>
      </c>
      <c r="G150" s="399">
        <f>SUM(Результаты!$AQ$85:$BB$85)</f>
        <v>0</v>
      </c>
      <c r="H150" s="392">
        <f>Результаты!$BD$85</f>
        <v>150000</v>
      </c>
      <c r="I150" s="390"/>
      <c r="J150" s="390"/>
    </row>
    <row r="151" spans="1:10" ht="13.95" customHeight="1" x14ac:dyDescent="0.3">
      <c r="A151" s="384"/>
      <c r="B151" s="363"/>
      <c r="C151" s="384"/>
      <c r="D151" s="364"/>
      <c r="E151" s="364"/>
      <c r="F151" s="364"/>
      <c r="G151" s="364"/>
      <c r="H151" s="433"/>
      <c r="I151" s="399"/>
      <c r="J151" s="399"/>
    </row>
    <row r="152" spans="1:10" ht="13.95" customHeight="1" x14ac:dyDescent="0.3">
      <c r="A152" s="380" t="str">
        <f ca="1">Результаты!$A$87</f>
        <v>Итого</v>
      </c>
      <c r="B152" s="358">
        <f ca="1">Результаты!$B$87</f>
        <v>211849999.99999997</v>
      </c>
      <c r="C152" s="414" t="str">
        <f ca="1">Результаты!$C$87</f>
        <v>руб.</v>
      </c>
      <c r="D152" s="412">
        <f ca="1">SUM(Результаты!$G$87:$R$87)</f>
        <v>211849999.99999997</v>
      </c>
      <c r="E152" s="412">
        <f ca="1">SUM(Результаты!$S$87:$AD$87)</f>
        <v>0</v>
      </c>
      <c r="F152" s="412">
        <f ca="1">SUM(Результаты!$AE$87:$AP$87)</f>
        <v>0</v>
      </c>
      <c r="G152" s="412">
        <f ca="1">SUM(Результаты!$AQ$87:$BB$87)</f>
        <v>0</v>
      </c>
      <c r="H152" s="413">
        <f ca="1">Результаты!$BD$87</f>
        <v>211849999.99999997</v>
      </c>
      <c r="I152" s="393"/>
      <c r="J152" s="393"/>
    </row>
    <row r="153" spans="1:10" ht="13.95" customHeight="1" x14ac:dyDescent="0.3">
      <c r="A153" s="428"/>
      <c r="B153" s="366"/>
      <c r="C153" s="428"/>
      <c r="D153" s="367"/>
      <c r="E153" s="367"/>
      <c r="F153" s="367"/>
      <c r="G153" s="367"/>
      <c r="H153" s="436"/>
      <c r="I153" s="399"/>
      <c r="J153" s="399"/>
    </row>
    <row r="156" spans="1:10" ht="25.5" customHeight="1" thickBot="1" x14ac:dyDescent="0.35">
      <c r="A156" s="417" t="str">
        <f ca="1">Результаты!$A$91</f>
        <v>ОТЧЕТ О ПРИБЫЛЯХ И УБЫТКАХ</v>
      </c>
      <c r="B156" s="419"/>
      <c r="C156" s="420"/>
      <c r="D156" s="422" t="str">
        <f>"2025"</f>
        <v>2025</v>
      </c>
      <c r="E156" s="423" t="str">
        <f>"2026"</f>
        <v>2026</v>
      </c>
      <c r="F156" s="423" t="str">
        <f>"2027"</f>
        <v>2027</v>
      </c>
      <c r="G156" s="423" t="str">
        <f>"2028"</f>
        <v>2028</v>
      </c>
      <c r="H156" s="425" t="str">
        <f ca="1">Результаты!$BD$91</f>
        <v>ИТОГО</v>
      </c>
      <c r="I156" s="383"/>
      <c r="J156" s="383"/>
    </row>
    <row r="157" spans="1:10" ht="15" customHeight="1" thickTop="1" x14ac:dyDescent="0.3">
      <c r="A157" s="416"/>
      <c r="B157" s="437"/>
      <c r="C157" s="438"/>
      <c r="D157" s="439"/>
      <c r="E157" s="439"/>
      <c r="F157" s="439"/>
      <c r="G157" s="439"/>
      <c r="H157" s="439"/>
      <c r="I157" s="390"/>
      <c r="J157" s="390"/>
    </row>
    <row r="158" spans="1:10" ht="13.95" customHeight="1" x14ac:dyDescent="0.3">
      <c r="A158" s="440" t="str">
        <f ca="1">Результаты!$A$93</f>
        <v>Выручка</v>
      </c>
      <c r="B158" s="398"/>
      <c r="C158" s="427" t="str">
        <f ca="1">Результаты!$C$93</f>
        <v>руб.</v>
      </c>
      <c r="D158" s="399">
        <f ca="1">SUM(Результаты!$G$93:$R$93)</f>
        <v>75921591.70614852</v>
      </c>
      <c r="E158" s="399">
        <f ca="1">SUM(Результаты!$S$93:$AD$93)</f>
        <v>218904238.26593775</v>
      </c>
      <c r="F158" s="399">
        <f ca="1">SUM(Результаты!$AE$93:$AP$93)</f>
        <v>232038492.561894</v>
      </c>
      <c r="G158" s="399">
        <f ca="1">SUM(Результаты!$AQ$93:$BB$93)</f>
        <v>245960802.11560777</v>
      </c>
      <c r="H158" s="392">
        <f ca="1">Результаты!$BD$93</f>
        <v>772825124.64958811</v>
      </c>
      <c r="I158" s="390"/>
      <c r="J158" s="390"/>
    </row>
    <row r="159" spans="1:10" ht="13.95" customHeight="1" x14ac:dyDescent="0.3">
      <c r="A159" s="440" t="str">
        <f ca="1">Результаты!$A$94</f>
        <v>Себестоимость:</v>
      </c>
      <c r="B159" s="398"/>
      <c r="C159" s="427" t="str">
        <f ca="1">Результаты!$C$94</f>
        <v>руб.</v>
      </c>
      <c r="D159" s="399">
        <f ca="1">SUM(Результаты!$G$94:$R$94)</f>
        <v>-25428819.940631382</v>
      </c>
      <c r="E159" s="399">
        <f ca="1">SUM(Результаты!$S$94:$AD$94)</f>
        <v>-67736466.010452777</v>
      </c>
      <c r="F159" s="399">
        <f ca="1">SUM(Результаты!$AE$94:$AP$94)</f>
        <v>-74073443.846044824</v>
      </c>
      <c r="G159" s="399">
        <f ca="1">SUM(Результаты!$AQ$94:$BB$94)</f>
        <v>-81071557.180318058</v>
      </c>
      <c r="H159" s="392">
        <f ca="1">Результаты!$BD$94</f>
        <v>-248310286.977447</v>
      </c>
      <c r="I159" s="390"/>
      <c r="J159" s="390"/>
    </row>
    <row r="160" spans="1:10" ht="13.95" customHeight="1" x14ac:dyDescent="0.3">
      <c r="A160" s="397" t="str">
        <f ca="1">Результаты!$A$95</f>
        <v>сырье и материалы</v>
      </c>
      <c r="B160" s="398"/>
      <c r="C160" s="427" t="str">
        <f ca="1">Результаты!$C$95</f>
        <v>руб.</v>
      </c>
      <c r="D160" s="399">
        <f ca="1">SUM(Результаты!$G$95:$R$95)</f>
        <v>-12437088.921696898</v>
      </c>
      <c r="E160" s="399">
        <f ca="1">SUM(Результаты!$S$95:$AD$95)</f>
        <v>-36828005.41283942</v>
      </c>
      <c r="F160" s="399">
        <f ca="1">SUM(Результаты!$AE$95:$AP$95)</f>
        <v>-40552878.987586372</v>
      </c>
      <c r="G160" s="399">
        <f ca="1">SUM(Результаты!$AQ$95:$BB$95)</f>
        <v>-44688522.862515248</v>
      </c>
      <c r="H160" s="392">
        <f ca="1">Результаты!$BD$95</f>
        <v>-134506496.18463793</v>
      </c>
      <c r="I160" s="390"/>
      <c r="J160" s="390"/>
    </row>
    <row r="161" spans="1:10" ht="13.95" customHeight="1" x14ac:dyDescent="0.3">
      <c r="A161" s="397" t="str">
        <f ca="1">Результаты!$A$96</f>
        <v>производственный персонал</v>
      </c>
      <c r="B161" s="398"/>
      <c r="C161" s="427" t="str">
        <f ca="1">Результаты!$C$96</f>
        <v>руб.</v>
      </c>
      <c r="D161" s="399">
        <f ca="1">SUM(Результаты!$G$96:$R$96)</f>
        <v>-6102653.8895914424</v>
      </c>
      <c r="E161" s="399">
        <f ca="1">SUM(Результаты!$S$96:$AD$96)</f>
        <v>-12751879.855535852</v>
      </c>
      <c r="F161" s="399">
        <f ca="1">SUM(Результаты!$AE$96:$AP$96)</f>
        <v>-13516992.646868005</v>
      </c>
      <c r="G161" s="399">
        <f ca="1">SUM(Результаты!$AQ$96:$BB$96)</f>
        <v>-14328012.205680085</v>
      </c>
      <c r="H161" s="392">
        <f ca="1">Результаты!$BD$96</f>
        <v>-46699538.597675391</v>
      </c>
      <c r="I161" s="390"/>
      <c r="J161" s="390"/>
    </row>
    <row r="162" spans="1:10" ht="13.95" customHeight="1" x14ac:dyDescent="0.3">
      <c r="A162" s="397" t="str">
        <f ca="1">Результаты!$A$97</f>
        <v>производственные расходы</v>
      </c>
      <c r="B162" s="398"/>
      <c r="C162" s="427" t="str">
        <f ca="1">Результаты!$C$97</f>
        <v>руб.</v>
      </c>
      <c r="D162" s="399">
        <f ca="1">SUM(Результаты!$G$97:$R$97)</f>
        <v>-6889077.1293430431</v>
      </c>
      <c r="E162" s="399">
        <f ca="1">SUM(Результаты!$S$97:$AD$97)</f>
        <v>-18156580.742077507</v>
      </c>
      <c r="F162" s="399">
        <f ca="1">SUM(Результаты!$AE$97:$AP$97)</f>
        <v>-20003572.21159045</v>
      </c>
      <c r="G162" s="399">
        <f ca="1">SUM(Результаты!$AQ$97:$BB$97)</f>
        <v>-22055022.112122722</v>
      </c>
      <c r="H162" s="392">
        <f ca="1">Результаты!$BD$97</f>
        <v>-67104252.195133716</v>
      </c>
      <c r="I162" s="390"/>
      <c r="J162" s="390"/>
    </row>
    <row r="163" spans="1:10" ht="13.95" customHeight="1" x14ac:dyDescent="0.3">
      <c r="A163" s="441" t="str">
        <f ca="1">Результаты!$A$98</f>
        <v>Валовая прибыль</v>
      </c>
      <c r="B163" s="398"/>
      <c r="C163" s="427" t="str">
        <f ca="1">Результаты!$C$98</f>
        <v>руб.</v>
      </c>
      <c r="D163" s="412">
        <f ca="1">SUM(Результаты!$G$98:$R$98)</f>
        <v>50492771.765517138</v>
      </c>
      <c r="E163" s="412">
        <f ca="1">SUM(Результаты!$S$98:$AD$98)</f>
        <v>151167772.25548494</v>
      </c>
      <c r="F163" s="412">
        <f ca="1">SUM(Результаты!$AE$98:$AP$98)</f>
        <v>157965048.71584919</v>
      </c>
      <c r="G163" s="412">
        <f ca="1">SUM(Результаты!$AQ$98:$BB$98)</f>
        <v>164889244.93528971</v>
      </c>
      <c r="H163" s="413">
        <f ca="1">Результаты!$BD$98</f>
        <v>524514837.67214108</v>
      </c>
      <c r="I163" s="390"/>
      <c r="J163" s="390"/>
    </row>
    <row r="164" spans="1:10" ht="13.95" customHeight="1" x14ac:dyDescent="0.3">
      <c r="A164" s="442"/>
      <c r="B164" s="443"/>
      <c r="C164" s="444"/>
      <c r="D164" s="445"/>
      <c r="E164" s="445"/>
      <c r="F164" s="445"/>
      <c r="G164" s="445"/>
      <c r="H164" s="446"/>
      <c r="I164" s="390"/>
      <c r="J164" s="390"/>
    </row>
    <row r="165" spans="1:10" ht="13.95" customHeight="1" x14ac:dyDescent="0.3">
      <c r="A165" s="397" t="str">
        <f ca="1">Результаты!$A$100</f>
        <v>Административный и коммерческий персонал</v>
      </c>
      <c r="B165" s="398"/>
      <c r="C165" s="427" t="str">
        <f ca="1">Результаты!$C$100</f>
        <v>руб.</v>
      </c>
      <c r="D165" s="399">
        <f ca="1">SUM(Результаты!$G$100:$R$100)</f>
        <v>-1884040.7981289015</v>
      </c>
      <c r="E165" s="399">
        <f ca="1">SUM(Результаты!$S$100:$AD$100)</f>
        <v>-3936821.9688231489</v>
      </c>
      <c r="F165" s="399">
        <f ca="1">SUM(Результаты!$AE$100:$AP$100)</f>
        <v>-4173031.2869525384</v>
      </c>
      <c r="G165" s="399">
        <f ca="1">SUM(Результаты!$AQ$100:$BB$100)</f>
        <v>-4423413.1641696915</v>
      </c>
      <c r="H165" s="392">
        <f ca="1">Результаты!$BD$100</f>
        <v>-14417307.218074279</v>
      </c>
      <c r="I165" s="390"/>
      <c r="J165" s="390"/>
    </row>
    <row r="166" spans="1:10" ht="13.95" customHeight="1" x14ac:dyDescent="0.3">
      <c r="A166" s="397" t="str">
        <f ca="1">Результаты!$A$101</f>
        <v>Административные расходы</v>
      </c>
      <c r="B166" s="398"/>
      <c r="C166" s="427" t="str">
        <f ca="1">Результаты!$C$101</f>
        <v>руб.</v>
      </c>
      <c r="D166" s="399">
        <f>SUM(Результаты!$G$101:$R$101)</f>
        <v>0</v>
      </c>
      <c r="E166" s="399">
        <f>SUM(Результаты!$S$101:$AD$101)</f>
        <v>0</v>
      </c>
      <c r="F166" s="399">
        <f>SUM(Результаты!$AE$101:$AP$101)</f>
        <v>0</v>
      </c>
      <c r="G166" s="399">
        <f>SUM(Результаты!$AQ$101:$BB$101)</f>
        <v>0</v>
      </c>
      <c r="H166" s="392">
        <f>Результаты!$BD$101</f>
        <v>0</v>
      </c>
      <c r="I166" s="390"/>
      <c r="J166" s="390"/>
    </row>
    <row r="167" spans="1:10" ht="13.95" customHeight="1" x14ac:dyDescent="0.3">
      <c r="A167" s="397" t="str">
        <f ca="1">Результаты!$A$102</f>
        <v>Коммерческие расходы</v>
      </c>
      <c r="B167" s="398"/>
      <c r="C167" s="427" t="str">
        <f ca="1">Результаты!$C$102</f>
        <v>руб.</v>
      </c>
      <c r="D167" s="399">
        <f ca="1">SUM(Результаты!$G$102:$R$102)</f>
        <v>-3963447.6774975033</v>
      </c>
      <c r="E167" s="399">
        <f ca="1">SUM(Результаты!$S$102:$AD$102)</f>
        <v>-11911896.61931265</v>
      </c>
      <c r="F167" s="399">
        <f ca="1">SUM(Результаты!$AE$102:$AP$102)</f>
        <v>-13384207.0414597</v>
      </c>
      <c r="G167" s="399">
        <f ca="1">SUM(Результаты!$AQ$102:$BB$102)</f>
        <v>-15038495.03178413</v>
      </c>
      <c r="H167" s="392">
        <f ca="1">Результаты!$BD$102</f>
        <v>-44298046.370053977</v>
      </c>
      <c r="I167" s="390"/>
      <c r="J167" s="390"/>
    </row>
    <row r="168" spans="1:10" ht="13.95" customHeight="1" x14ac:dyDescent="0.3">
      <c r="A168" s="397" t="str">
        <f ca="1">Результаты!$A$103</f>
        <v>Налоги и сборы</v>
      </c>
      <c r="B168" s="398"/>
      <c r="C168" s="427" t="str">
        <f ca="1">Результаты!$C$103</f>
        <v>руб.</v>
      </c>
      <c r="D168" s="399">
        <f ca="1">SUM(Результаты!$G$103:$R$103)</f>
        <v>0</v>
      </c>
      <c r="E168" s="399">
        <f ca="1">SUM(Результаты!$S$103:$AD$103)</f>
        <v>0</v>
      </c>
      <c r="F168" s="399">
        <f ca="1">SUM(Результаты!$AE$103:$AP$103)</f>
        <v>0</v>
      </c>
      <c r="G168" s="399">
        <f ca="1">SUM(Результаты!$AQ$103:$BB$103)</f>
        <v>0</v>
      </c>
      <c r="H168" s="392">
        <f ca="1">Результаты!$BD$103</f>
        <v>0</v>
      </c>
      <c r="I168" s="390"/>
      <c r="J168" s="390"/>
    </row>
    <row r="169" spans="1:10" ht="13.95" customHeight="1" x14ac:dyDescent="0.3">
      <c r="A169" s="441" t="str">
        <f ca="1">Результаты!$A$104</f>
        <v>EBITDA</v>
      </c>
      <c r="B169" s="398"/>
      <c r="C169" s="427" t="str">
        <f ca="1">Результаты!$C$104</f>
        <v>руб.</v>
      </c>
      <c r="D169" s="412">
        <f ca="1">SUM(Результаты!$G$104:$R$104)</f>
        <v>44645283.289890736</v>
      </c>
      <c r="E169" s="412">
        <f ca="1">SUM(Результаты!$S$104:$AD$104)</f>
        <v>135319053.66734916</v>
      </c>
      <c r="F169" s="412">
        <f ca="1">SUM(Результаты!$AE$104:$AP$104)</f>
        <v>140407810.38743696</v>
      </c>
      <c r="G169" s="412">
        <f ca="1">SUM(Результаты!$AQ$104:$BB$104)</f>
        <v>145427336.73933589</v>
      </c>
      <c r="H169" s="413">
        <f ca="1">Результаты!$BD$104</f>
        <v>465799484.08401281</v>
      </c>
      <c r="I169" s="390"/>
      <c r="J169" s="390"/>
    </row>
    <row r="170" spans="1:10" ht="13.95" customHeight="1" x14ac:dyDescent="0.3">
      <c r="A170" s="442"/>
      <c r="B170" s="443"/>
      <c r="C170" s="444"/>
      <c r="D170" s="445"/>
      <c r="E170" s="445"/>
      <c r="F170" s="445"/>
      <c r="G170" s="445"/>
      <c r="H170" s="446"/>
      <c r="I170" s="390"/>
      <c r="J170" s="390"/>
    </row>
    <row r="171" spans="1:10" ht="13.95" customHeight="1" x14ac:dyDescent="0.3">
      <c r="A171" s="397" t="str">
        <f ca="1">Результаты!$A$106</f>
        <v>Лизинговые платежи</v>
      </c>
      <c r="B171" s="398"/>
      <c r="C171" s="427" t="str">
        <f ca="1">Результаты!$C$106</f>
        <v>руб.</v>
      </c>
      <c r="D171" s="399">
        <f>SUM(Результаты!$G$106:$R$106)</f>
        <v>0</v>
      </c>
      <c r="E171" s="399">
        <f>SUM(Результаты!$S$106:$AD$106)</f>
        <v>0</v>
      </c>
      <c r="F171" s="399">
        <f>SUM(Результаты!$AE$106:$AP$106)</f>
        <v>0</v>
      </c>
      <c r="G171" s="399">
        <f>SUM(Результаты!$AQ$106:$BB$106)</f>
        <v>0</v>
      </c>
      <c r="H171" s="392">
        <f>Результаты!$BD$106</f>
        <v>0</v>
      </c>
      <c r="I171" s="390"/>
      <c r="J171" s="390"/>
    </row>
    <row r="172" spans="1:10" ht="13.95" customHeight="1" x14ac:dyDescent="0.3">
      <c r="A172" s="397" t="str">
        <f ca="1">Результаты!$A$107</f>
        <v>Амортизация</v>
      </c>
      <c r="B172" s="398"/>
      <c r="C172" s="427" t="str">
        <f ca="1">Результаты!$C$107</f>
        <v>руб.</v>
      </c>
      <c r="D172" s="399">
        <f ca="1">SUM(Результаты!$G$107:$R$107)</f>
        <v>-3719166.666666666</v>
      </c>
      <c r="E172" s="399">
        <f ca="1">SUM(Результаты!$S$107:$AD$107)</f>
        <v>-7438333.3333333321</v>
      </c>
      <c r="F172" s="399">
        <f ca="1">SUM(Результаты!$AE$107:$AP$107)</f>
        <v>-7438333.3333333321</v>
      </c>
      <c r="G172" s="399">
        <f ca="1">SUM(Результаты!$AQ$107:$BB$107)</f>
        <v>-7438333.3333333321</v>
      </c>
      <c r="H172" s="392">
        <f ca="1">Результаты!$BD$107</f>
        <v>-26034166.666666687</v>
      </c>
      <c r="I172" s="390"/>
      <c r="J172" s="390"/>
    </row>
    <row r="173" spans="1:10" ht="13.95" customHeight="1" x14ac:dyDescent="0.3">
      <c r="A173" s="397" t="str">
        <f ca="1">Результаты!$A$108</f>
        <v>Проценты к уплате</v>
      </c>
      <c r="B173" s="398"/>
      <c r="C173" s="427" t="str">
        <f ca="1">Результаты!$C$108</f>
        <v>руб.</v>
      </c>
      <c r="D173" s="399">
        <f>SUM(Результаты!$G$108:$R$108)</f>
        <v>-51983333.583333336</v>
      </c>
      <c r="E173" s="399">
        <f>SUM(Результаты!$S$108:$AD$108)</f>
        <v>-40212500.25</v>
      </c>
      <c r="F173" s="399">
        <f>SUM(Результаты!$AE$108:$AP$108)</f>
        <v>-17212500.25</v>
      </c>
      <c r="G173" s="399">
        <f>SUM(Результаты!$AQ$108:$BB$108)</f>
        <v>-553125.0625</v>
      </c>
      <c r="H173" s="392">
        <f>Результаты!$BD$108</f>
        <v>-109961459.14583334</v>
      </c>
      <c r="I173" s="390"/>
      <c r="J173" s="390"/>
    </row>
    <row r="174" spans="1:10" ht="13.95" customHeight="1" x14ac:dyDescent="0.3">
      <c r="A174" s="440" t="str">
        <f ca="1">Результаты!$A$109</f>
        <v>Прибыль (убыток) от операционной деятельности</v>
      </c>
      <c r="B174" s="398"/>
      <c r="C174" s="427" t="str">
        <f ca="1">Результаты!$C$109</f>
        <v>руб.</v>
      </c>
      <c r="D174" s="399">
        <f ca="1">SUM(Результаты!$G$109:$R$109)</f>
        <v>-11057216.960109266</v>
      </c>
      <c r="E174" s="399">
        <f ca="1">SUM(Результаты!$S$109:$AD$109)</f>
        <v>87668220.084015831</v>
      </c>
      <c r="F174" s="399">
        <f ca="1">SUM(Результаты!$AE$109:$AP$109)</f>
        <v>115756976.80410361</v>
      </c>
      <c r="G174" s="399">
        <f ca="1">SUM(Результаты!$AQ$109:$BB$109)</f>
        <v>137435878.34350255</v>
      </c>
      <c r="H174" s="392">
        <f ca="1">Результаты!$BD$109</f>
        <v>329803858.27151275</v>
      </c>
      <c r="I174" s="390"/>
      <c r="J174" s="390"/>
    </row>
    <row r="175" spans="1:10" ht="13.95" customHeight="1" x14ac:dyDescent="0.3">
      <c r="A175" s="440"/>
      <c r="B175" s="398"/>
      <c r="C175" s="427"/>
      <c r="D175" s="399"/>
      <c r="E175" s="399"/>
      <c r="F175" s="399"/>
      <c r="G175" s="399"/>
      <c r="H175" s="392"/>
      <c r="I175" s="390"/>
      <c r="J175" s="390"/>
    </row>
    <row r="176" spans="1:10" ht="13.95" customHeight="1" x14ac:dyDescent="0.3">
      <c r="A176" s="397" t="str">
        <f ca="1">Результаты!$A$111</f>
        <v>Доходы от реализации внеоборотных активов</v>
      </c>
      <c r="B176" s="398"/>
      <c r="C176" s="427" t="str">
        <f ca="1">Результаты!$C$111</f>
        <v>руб.</v>
      </c>
      <c r="D176" s="399">
        <f>SUM(Результаты!$G$111:$R$111)</f>
        <v>0</v>
      </c>
      <c r="E176" s="399">
        <f>SUM(Результаты!$S$111:$AD$111)</f>
        <v>0</v>
      </c>
      <c r="F176" s="399">
        <f>SUM(Результаты!$AE$111:$AP$111)</f>
        <v>0</v>
      </c>
      <c r="G176" s="399">
        <f>SUM(Результаты!$AQ$111:$BB$111)</f>
        <v>0</v>
      </c>
      <c r="H176" s="392">
        <f>Результаты!$BD$111</f>
        <v>0</v>
      </c>
      <c r="I176" s="390"/>
      <c r="J176" s="390"/>
    </row>
    <row r="177" spans="1:10" ht="13.95" customHeight="1" x14ac:dyDescent="0.3">
      <c r="A177" s="397" t="str">
        <f ca="1">Результаты!$A$112</f>
        <v>Курсовые разницы</v>
      </c>
      <c r="B177" s="398"/>
      <c r="C177" s="427" t="str">
        <f ca="1">Результаты!$C$112</f>
        <v>руб.</v>
      </c>
      <c r="D177" s="399">
        <f>SUM(Результаты!$G$112:$R$112)</f>
        <v>-1.6763806343078613E-8</v>
      </c>
      <c r="E177" s="399">
        <f>SUM(Результаты!$S$112:$AD$112)</f>
        <v>9.3132257461547852E-9</v>
      </c>
      <c r="F177" s="399">
        <f>SUM(Результаты!$AE$112:$AP$112)</f>
        <v>-7.4505805969238281E-9</v>
      </c>
      <c r="G177" s="399">
        <f>SUM(Результаты!$AQ$112:$BB$112)</f>
        <v>0</v>
      </c>
      <c r="H177" s="392">
        <f>Результаты!$BD$112</f>
        <v>-1.4901161193847656E-8</v>
      </c>
      <c r="I177" s="390"/>
      <c r="J177" s="390"/>
    </row>
    <row r="178" spans="1:10" ht="13.95" customHeight="1" x14ac:dyDescent="0.3">
      <c r="A178" s="397" t="str">
        <f ca="1">Результаты!$A$113</f>
        <v>Прочие доходы</v>
      </c>
      <c r="B178" s="398"/>
      <c r="C178" s="427" t="str">
        <f ca="1">Результаты!$C$113</f>
        <v>руб.</v>
      </c>
      <c r="D178" s="399">
        <f>SUM(Результаты!$G$113:$R$113)</f>
        <v>0</v>
      </c>
      <c r="E178" s="399">
        <f>SUM(Результаты!$S$113:$AD$113)</f>
        <v>0</v>
      </c>
      <c r="F178" s="399">
        <f>SUM(Результаты!$AE$113:$AP$113)</f>
        <v>0</v>
      </c>
      <c r="G178" s="399">
        <f>SUM(Результаты!$AQ$113:$BB$113)</f>
        <v>0</v>
      </c>
      <c r="H178" s="392">
        <f>Результаты!$BD$113</f>
        <v>0</v>
      </c>
      <c r="I178" s="390"/>
      <c r="J178" s="390"/>
    </row>
    <row r="179" spans="1:10" ht="13.95" customHeight="1" x14ac:dyDescent="0.3">
      <c r="A179" s="397" t="str">
        <f ca="1">Результаты!$A$114</f>
        <v>Прочие расходы</v>
      </c>
      <c r="B179" s="398"/>
      <c r="C179" s="427" t="str">
        <f ca="1">Результаты!$C$114</f>
        <v>руб.</v>
      </c>
      <c r="D179" s="399">
        <f>SUM(Результаты!$G$114:$R$114)</f>
        <v>0</v>
      </c>
      <c r="E179" s="399">
        <f>SUM(Результаты!$S$114:$AD$114)</f>
        <v>0</v>
      </c>
      <c r="F179" s="399">
        <f>SUM(Результаты!$AE$114:$AP$114)</f>
        <v>0</v>
      </c>
      <c r="G179" s="399">
        <f>SUM(Результаты!$AQ$114:$BB$114)</f>
        <v>0</v>
      </c>
      <c r="H179" s="392">
        <f>Результаты!$BD$114</f>
        <v>0</v>
      </c>
      <c r="I179" s="390"/>
      <c r="J179" s="390"/>
    </row>
    <row r="180" spans="1:10" ht="13.95" customHeight="1" x14ac:dyDescent="0.3">
      <c r="A180" s="440" t="str">
        <f ca="1">Результаты!$A$115</f>
        <v>Прибыль до налогообложения</v>
      </c>
      <c r="B180" s="398"/>
      <c r="C180" s="427" t="str">
        <f ca="1">Результаты!$C$115</f>
        <v>руб.</v>
      </c>
      <c r="D180" s="399">
        <f ca="1">SUM(Результаты!$G$115:$R$115)</f>
        <v>-11057216.960109282</v>
      </c>
      <c r="E180" s="399">
        <f ca="1">SUM(Результаты!$S$115:$AD$115)</f>
        <v>87668220.084015846</v>
      </c>
      <c r="F180" s="399">
        <f ca="1">SUM(Результаты!$AE$115:$AP$115)</f>
        <v>115756976.80410361</v>
      </c>
      <c r="G180" s="399">
        <f ca="1">SUM(Результаты!$AQ$115:$BB$115)</f>
        <v>137435878.34350255</v>
      </c>
      <c r="H180" s="392">
        <f ca="1">Результаты!$BD$115</f>
        <v>329803858.27151275</v>
      </c>
      <c r="I180" s="390"/>
      <c r="J180" s="390"/>
    </row>
    <row r="181" spans="1:10" ht="13.95" customHeight="1" x14ac:dyDescent="0.3">
      <c r="A181" s="397" t="str">
        <f ca="1">Результаты!$A$116</f>
        <v>Налог на прибыль</v>
      </c>
      <c r="B181" s="398"/>
      <c r="C181" s="427" t="str">
        <f ca="1">Результаты!$C$116</f>
        <v>руб.</v>
      </c>
      <c r="D181" s="399">
        <f ca="1">SUM(Результаты!$G$116:$R$116)</f>
        <v>-4248456.257906762</v>
      </c>
      <c r="E181" s="399">
        <f ca="1">SUM(Результаты!$S$116:$AD$116)</f>
        <v>-13115843.941288535</v>
      </c>
      <c r="F181" s="399">
        <f ca="1">SUM(Результаты!$AE$116:$AP$116)</f>
        <v>-13902794.57776585</v>
      </c>
      <c r="G181" s="399">
        <f ca="1">SUM(Результаты!$AQ$116:$BB$116)</f>
        <v>-14736962.252431804</v>
      </c>
      <c r="H181" s="392">
        <f ca="1">Результаты!$BD$116</f>
        <v>-46004057.029392935</v>
      </c>
      <c r="I181" s="390"/>
      <c r="J181" s="390"/>
    </row>
    <row r="182" spans="1:10" ht="13.95" customHeight="1" x14ac:dyDescent="0.3">
      <c r="A182" s="441" t="str">
        <f ca="1">Результаты!$A$117</f>
        <v>Чистая прибыль (убыток)</v>
      </c>
      <c r="B182" s="398"/>
      <c r="C182" s="427" t="str">
        <f ca="1">Результаты!$C$117</f>
        <v>руб.</v>
      </c>
      <c r="D182" s="412">
        <f ca="1">SUM(Результаты!$G$117:$R$117)</f>
        <v>-15305673.218016047</v>
      </c>
      <c r="E182" s="412">
        <f ca="1">SUM(Результаты!$S$117:$AD$117)</f>
        <v>74552376.142727301</v>
      </c>
      <c r="F182" s="412">
        <f ca="1">SUM(Результаты!$AE$117:$AP$117)</f>
        <v>101854182.22633776</v>
      </c>
      <c r="G182" s="412">
        <f ca="1">SUM(Результаты!$AQ$117:$BB$117)</f>
        <v>122698916.09107076</v>
      </c>
      <c r="H182" s="413">
        <f ca="1">Результаты!$BD$117</f>
        <v>283799801.24211979</v>
      </c>
      <c r="I182" s="390"/>
      <c r="J182" s="390"/>
    </row>
    <row r="183" spans="1:10" ht="13.95" customHeight="1" x14ac:dyDescent="0.3">
      <c r="A183" s="442"/>
      <c r="B183" s="443"/>
      <c r="C183" s="444"/>
      <c r="D183" s="445"/>
      <c r="E183" s="445"/>
      <c r="F183" s="445"/>
      <c r="G183" s="445"/>
      <c r="H183" s="446"/>
      <c r="I183" s="390"/>
      <c r="J183" s="390"/>
    </row>
    <row r="184" spans="1:10" ht="13.95" customHeight="1" x14ac:dyDescent="0.3">
      <c r="A184" s="397" t="str">
        <f ca="1">Результаты!$A$119</f>
        <v>Выплаченные дивиденды</v>
      </c>
      <c r="B184" s="398"/>
      <c r="C184" s="427" t="str">
        <f ca="1">Результаты!$C$119</f>
        <v>руб.</v>
      </c>
      <c r="D184" s="399">
        <f>SUM(Результаты!$G$119:$R$119)</f>
        <v>0</v>
      </c>
      <c r="E184" s="399">
        <f>SUM(Результаты!$S$119:$AD$119)</f>
        <v>0</v>
      </c>
      <c r="F184" s="399">
        <f>SUM(Результаты!$AE$119:$AP$119)</f>
        <v>0</v>
      </c>
      <c r="G184" s="399">
        <f>SUM(Результаты!$AQ$119:$BB$119)</f>
        <v>0</v>
      </c>
      <c r="H184" s="392">
        <f>Результаты!$BD$119</f>
        <v>0</v>
      </c>
      <c r="I184" s="390"/>
      <c r="J184" s="390"/>
    </row>
    <row r="185" spans="1:10" ht="13.95" customHeight="1" x14ac:dyDescent="0.3">
      <c r="A185" s="397" t="str">
        <f ca="1">Результаты!$A$120</f>
        <v>Нераспределенная чистая прибыль за период</v>
      </c>
      <c r="B185" s="398"/>
      <c r="C185" s="427" t="str">
        <f ca="1">Результаты!$C$120</f>
        <v>руб.</v>
      </c>
      <c r="D185" s="399">
        <f ca="1">SUM(Результаты!$G$120:$R$120)</f>
        <v>-15305673.218016047</v>
      </c>
      <c r="E185" s="399">
        <f ca="1">SUM(Результаты!$S$120:$AD$120)</f>
        <v>74552376.142727301</v>
      </c>
      <c r="F185" s="399">
        <f ca="1">SUM(Результаты!$AE$120:$AP$120)</f>
        <v>101854182.22633776</v>
      </c>
      <c r="G185" s="399">
        <f ca="1">SUM(Результаты!$AQ$120:$BB$120)</f>
        <v>122698916.09107076</v>
      </c>
      <c r="H185" s="392">
        <f ca="1">Результаты!$BD$120</f>
        <v>283799801.24211979</v>
      </c>
      <c r="I185" s="390"/>
      <c r="J185" s="390"/>
    </row>
    <row r="186" spans="1:10" ht="13.95" customHeight="1" x14ac:dyDescent="0.3">
      <c r="A186" s="447"/>
      <c r="B186" s="448"/>
      <c r="C186" s="432"/>
      <c r="D186" s="406"/>
      <c r="E186" s="406"/>
      <c r="F186" s="406"/>
      <c r="G186" s="406"/>
      <c r="H186" s="406"/>
      <c r="I186" s="390"/>
      <c r="J186" s="390"/>
    </row>
    <row r="189" spans="1:10" ht="25.5" customHeight="1" thickBot="1" x14ac:dyDescent="0.35">
      <c r="A189" s="417" t="str">
        <f ca="1">Результаты!$A$269</f>
        <v>ЭФФЕКТИВНОСТЬ ДЛЯ ПРОЕКТА (FCFF)</v>
      </c>
      <c r="B189" s="419"/>
      <c r="C189" s="420"/>
      <c r="D189" s="422" t="str">
        <f>"2025"</f>
        <v>2025</v>
      </c>
      <c r="E189" s="423" t="str">
        <f>"2026"</f>
        <v>2026</v>
      </c>
      <c r="F189" s="423" t="str">
        <f>"2027"</f>
        <v>2027</v>
      </c>
      <c r="G189" s="423" t="str">
        <f>"2028"</f>
        <v>2028</v>
      </c>
      <c r="H189" s="425" t="str">
        <f ca="1">Результаты!$BD$269</f>
        <v>ИТОГО</v>
      </c>
      <c r="I189" s="383"/>
      <c r="J189" s="383"/>
    </row>
    <row r="190" spans="1:10" ht="15" customHeight="1" thickTop="1" x14ac:dyDescent="0.3">
      <c r="A190" s="416"/>
      <c r="B190" s="437"/>
      <c r="C190" s="438"/>
      <c r="D190" s="439"/>
      <c r="E190" s="439"/>
      <c r="F190" s="439"/>
      <c r="G190" s="439"/>
      <c r="H190" s="439"/>
      <c r="I190" s="390"/>
      <c r="J190" s="390"/>
    </row>
    <row r="191" spans="1:10" ht="13.95" customHeight="1" x14ac:dyDescent="0.3">
      <c r="A191" s="440" t="str">
        <f ca="1">Результаты!$A$271</f>
        <v>Ставка дисконтирования</v>
      </c>
      <c r="B191" s="368">
        <f>Результаты!$B$271</f>
        <v>0.2</v>
      </c>
      <c r="C191" s="427" t="str">
        <f>Результаты!$C$271</f>
        <v>%</v>
      </c>
      <c r="D191" s="390"/>
      <c r="E191" s="390"/>
      <c r="F191" s="390"/>
      <c r="G191" s="390"/>
      <c r="H191" s="390"/>
      <c r="I191" s="390"/>
      <c r="J191" s="390"/>
    </row>
    <row r="192" spans="1:10" ht="13.95" customHeight="1" x14ac:dyDescent="0.3">
      <c r="A192" s="397" t="str">
        <f ca="1">Результаты!$A$272</f>
        <v>ставка на расчетный период</v>
      </c>
      <c r="B192" s="398"/>
      <c r="C192" s="427" t="str">
        <f>Результаты!$C$272</f>
        <v>%</v>
      </c>
      <c r="D192" s="449">
        <f>IFERROR(AVERAGE(Результаты!$G$272:$R$272),"-")</f>
        <v>1.5309470499731193E-2</v>
      </c>
      <c r="E192" s="449">
        <f>IFERROR(AVERAGE(Результаты!$S$272:$AD$272),"-")</f>
        <v>1.5309470499731193E-2</v>
      </c>
      <c r="F192" s="449">
        <f>IFERROR(AVERAGE(Результаты!$AE$272:$AP$272),"-")</f>
        <v>1.5309470499731193E-2</v>
      </c>
      <c r="G192" s="449">
        <f>IFERROR(AVERAGE(Результаты!$AQ$272:$BB$272),"-")</f>
        <v>1.5309470499731193E-2</v>
      </c>
      <c r="H192" s="390"/>
      <c r="I192" s="390"/>
      <c r="J192" s="390"/>
    </row>
    <row r="193" spans="1:10" ht="13.95" customHeight="1" x14ac:dyDescent="0.3">
      <c r="A193" s="397" t="str">
        <f ca="1">Результаты!$A$273</f>
        <v>коэффициент дисконта на начало периода</v>
      </c>
      <c r="B193" s="398"/>
      <c r="C193" s="427" t="str">
        <f ca="1">Результаты!$C$273</f>
        <v>раз</v>
      </c>
      <c r="D193" s="450">
        <f>IFERROR(AVERAGE(Результаты!$G$273:$R$273),"-")</f>
        <v>1.0886507581669316</v>
      </c>
      <c r="E193" s="450">
        <f>IFERROR(AVERAGE(Результаты!$S$273:$AD$273),"-")</f>
        <v>1.3063809098003178</v>
      </c>
      <c r="F193" s="450">
        <f>IFERROR(AVERAGE(Результаты!$AE$273:$AP$273),"-")</f>
        <v>1.5676570917603814</v>
      </c>
      <c r="G193" s="450">
        <f>IFERROR(AVERAGE(Результаты!$AQ$273:$BB$273),"-")</f>
        <v>1.8811885101124564</v>
      </c>
      <c r="H193" s="390"/>
      <c r="I193" s="390"/>
      <c r="J193" s="390"/>
    </row>
    <row r="194" spans="1:10" ht="13.95" customHeight="1" x14ac:dyDescent="0.3">
      <c r="A194" s="440" t="str">
        <f ca="1">Результаты!$A$274</f>
        <v>Свободный денежный поток компании, FCFF</v>
      </c>
      <c r="B194" s="398"/>
      <c r="C194" s="427" t="str">
        <f ca="1">Результаты!$C$274</f>
        <v>руб.</v>
      </c>
      <c r="D194" s="399">
        <f ca="1">SUM(Результаты!$G$274:$R$274)</f>
        <v>-177833279.59225309</v>
      </c>
      <c r="E194" s="399">
        <f ca="1">SUM(Результаты!$S$274:$AD$274)</f>
        <v>121793217.74831149</v>
      </c>
      <c r="F194" s="399">
        <f ca="1">SUM(Результаты!$AE$274:$AP$274)</f>
        <v>125961615.59579371</v>
      </c>
      <c r="G194" s="399">
        <f ca="1">SUM(Результаты!$AQ$274:$BB$274)</f>
        <v>130877380.45002289</v>
      </c>
      <c r="H194" s="392">
        <f ca="1">Результаты!$BD$274</f>
        <v>200798934.20187497</v>
      </c>
      <c r="I194" s="390"/>
      <c r="J194" s="390"/>
    </row>
    <row r="195" spans="1:10" ht="13.95" customHeight="1" x14ac:dyDescent="0.3">
      <c r="A195" s="397" t="str">
        <f ca="1">Результаты!$A$275</f>
        <v>Денежные потоки от операционной деятельности</v>
      </c>
      <c r="B195" s="398"/>
      <c r="C195" s="427" t="str">
        <f ca="1">Результаты!$C$275</f>
        <v>руб.</v>
      </c>
      <c r="D195" s="399">
        <f ca="1">SUM(Результаты!$G$275:$R$275)</f>
        <v>17258386.991080217</v>
      </c>
      <c r="E195" s="399">
        <f ca="1">SUM(Результаты!$S$275:$AD$275)</f>
        <v>81580717.498311475</v>
      </c>
      <c r="F195" s="399">
        <f ca="1">SUM(Результаты!$AE$275:$AP$275)</f>
        <v>108749115.34579369</v>
      </c>
      <c r="G195" s="399">
        <f ca="1">SUM(Результаты!$AQ$275:$BB$275)</f>
        <v>130324255.38752289</v>
      </c>
      <c r="H195" s="392">
        <f ca="1">Результаты!$BD$275</f>
        <v>337912475.22270823</v>
      </c>
      <c r="I195" s="390"/>
      <c r="J195" s="390"/>
    </row>
    <row r="196" spans="1:10" ht="13.95" customHeight="1" x14ac:dyDescent="0.3">
      <c r="A196" s="397" t="str">
        <f ca="1">Результаты!$A$276</f>
        <v>Скорректированные проценты по кредитам, * (1 - налог)</v>
      </c>
      <c r="B196" s="398"/>
      <c r="C196" s="427" t="str">
        <f ca="1">Результаты!$C$276</f>
        <v>руб.</v>
      </c>
      <c r="D196" s="399">
        <f>SUM(Результаты!$G$276:$R$276)</f>
        <v>16758333.416666666</v>
      </c>
      <c r="E196" s="399">
        <f>SUM(Результаты!$S$276:$AD$276)</f>
        <v>40212500.25</v>
      </c>
      <c r="F196" s="399">
        <f>SUM(Результаты!$AE$276:$AP$276)</f>
        <v>17212500.25</v>
      </c>
      <c r="G196" s="399">
        <f>SUM(Результаты!$AQ$276:$BB$276)</f>
        <v>553125.0625</v>
      </c>
      <c r="H196" s="392">
        <f>Результаты!$BD$276</f>
        <v>74736458.979166672</v>
      </c>
      <c r="I196" s="390"/>
      <c r="J196" s="390"/>
    </row>
    <row r="197" spans="1:10" ht="13.95" customHeight="1" x14ac:dyDescent="0.3">
      <c r="A197" s="397" t="str">
        <f ca="1">Результаты!$A$277</f>
        <v>Денежные потоки от инвестиционной деятельности</v>
      </c>
      <c r="B197" s="398"/>
      <c r="C197" s="427" t="str">
        <f ca="1">Результаты!$C$277</f>
        <v>руб.</v>
      </c>
      <c r="D197" s="399">
        <f>SUM(Результаты!$G$277:$R$277)</f>
        <v>-211849999.99999997</v>
      </c>
      <c r="E197" s="399">
        <f>SUM(Результаты!$S$277:$AD$277)</f>
        <v>0</v>
      </c>
      <c r="F197" s="399">
        <f>SUM(Результаты!$AE$277:$AP$277)</f>
        <v>0</v>
      </c>
      <c r="G197" s="399">
        <f>SUM(Результаты!$AQ$277:$BB$277)</f>
        <v>0</v>
      </c>
      <c r="H197" s="392">
        <f>Результаты!$BD$277</f>
        <v>-211849999.99999997</v>
      </c>
      <c r="I197" s="390"/>
      <c r="J197" s="390"/>
    </row>
    <row r="198" spans="1:10" ht="13.95" customHeight="1" x14ac:dyDescent="0.3">
      <c r="A198" s="440" t="str">
        <f ca="1">Результаты!$A$278</f>
        <v>Дисконтированный денежный поток</v>
      </c>
      <c r="B198" s="398"/>
      <c r="C198" s="427" t="str">
        <f ca="1">Результаты!$C$278</f>
        <v>руб.</v>
      </c>
      <c r="D198" s="399">
        <f ca="1">SUM(Результаты!$G$278:$R$278)</f>
        <v>-173163288.32176512</v>
      </c>
      <c r="E198" s="399">
        <f ca="1">SUM(Результаты!$S$278:$AD$278)</f>
        <v>93635265.554313377</v>
      </c>
      <c r="F198" s="399">
        <f ca="1">SUM(Результаты!$AE$278:$AP$278)</f>
        <v>80698385.379540056</v>
      </c>
      <c r="G198" s="399">
        <f ca="1">SUM(Результаты!$AQ$278:$BB$278)</f>
        <v>69841805.064197302</v>
      </c>
      <c r="H198" s="392">
        <f ca="1">Результаты!$BD$278</f>
        <v>71012167.676285639</v>
      </c>
      <c r="I198" s="390"/>
      <c r="J198" s="390"/>
    </row>
    <row r="199" spans="1:10" ht="13.95" customHeight="1" x14ac:dyDescent="0.3">
      <c r="A199" s="440" t="str">
        <f ca="1">Результаты!$A$279</f>
        <v>Дисконтированный поток нарастающим итогом</v>
      </c>
      <c r="B199" s="398"/>
      <c r="C199" s="427" t="str">
        <f ca="1">Результаты!$C$279</f>
        <v>руб.</v>
      </c>
      <c r="D199" s="399">
        <f ca="1">Результаты!$R$279</f>
        <v>-173163288.32176512</v>
      </c>
      <c r="E199" s="399">
        <f ca="1">Результаты!$AD$279</f>
        <v>-79528022.767451733</v>
      </c>
      <c r="F199" s="399">
        <f ca="1">Результаты!$AP$279</f>
        <v>1170362.6120883278</v>
      </c>
      <c r="G199" s="399">
        <f ca="1">Результаты!$BB$279</f>
        <v>71012167.676285639</v>
      </c>
      <c r="H199" s="392"/>
      <c r="I199" s="390"/>
      <c r="J199" s="390"/>
    </row>
    <row r="200" spans="1:10" ht="13.95" customHeight="1" x14ac:dyDescent="0.3">
      <c r="A200" s="440" t="str">
        <f ca="1">Результаты!$A$280</f>
        <v>Чистая приведенная стоимость потоков проекта</v>
      </c>
      <c r="B200" s="353">
        <f ca="1">Результаты!$B$280</f>
        <v>71012167.676285639</v>
      </c>
      <c r="C200" s="427" t="str">
        <f ca="1">Результаты!$C$280</f>
        <v>руб.</v>
      </c>
      <c r="D200" s="399"/>
      <c r="E200" s="399"/>
      <c r="F200" s="399"/>
      <c r="G200" s="399"/>
      <c r="H200" s="390"/>
      <c r="I200" s="390"/>
      <c r="J200" s="390"/>
    </row>
    <row r="201" spans="1:10" ht="13.95" customHeight="1" x14ac:dyDescent="0.3">
      <c r="A201" s="440"/>
      <c r="B201" s="353"/>
      <c r="C201" s="427"/>
      <c r="D201" s="399"/>
      <c r="E201" s="399"/>
      <c r="F201" s="399"/>
      <c r="G201" s="399"/>
      <c r="H201" s="390"/>
      <c r="I201" s="390"/>
      <c r="J201" s="390"/>
    </row>
    <row r="202" spans="1:10" ht="13.95" customHeight="1" x14ac:dyDescent="0.3">
      <c r="A202" s="440" t="str">
        <f ca="1">Результаты!$A$282</f>
        <v>Учет активов начального баланса</v>
      </c>
      <c r="B202" s="353" t="str">
        <f ca="1">Результаты!$B$282</f>
        <v>Нет</v>
      </c>
      <c r="C202" s="427" t="str">
        <f ca="1">Результаты!$C$282</f>
        <v>руб.</v>
      </c>
      <c r="D202" s="399">
        <f>SUM(Результаты!$G$282:$R$282)</f>
        <v>0</v>
      </c>
      <c r="E202" s="399">
        <f>SUM(Результаты!$S$282:$AD$282)</f>
        <v>0</v>
      </c>
      <c r="F202" s="399">
        <f>SUM(Результаты!$AE$282:$AP$282)</f>
        <v>0</v>
      </c>
      <c r="G202" s="399">
        <f>SUM(Результаты!$AQ$282:$BB$282)</f>
        <v>0</v>
      </c>
      <c r="H202" s="392">
        <f>Результаты!$BD$282</f>
        <v>0</v>
      </c>
      <c r="I202" s="390"/>
      <c r="J202" s="390"/>
    </row>
    <row r="203" spans="1:10" ht="13.95" customHeight="1" x14ac:dyDescent="0.3">
      <c r="A203" s="451" t="str">
        <f ca="1">Результаты!$A$283</f>
        <v>Учет продленной стоимости</v>
      </c>
      <c r="B203" s="353" t="str">
        <f ca="1">Результаты!$B$283</f>
        <v>Нет</v>
      </c>
      <c r="C203" s="452" t="str">
        <f ca="1">Результаты!$C$283</f>
        <v>руб.</v>
      </c>
      <c r="D203" s="404">
        <f>SUM(Результаты!$G$283:$R$283)</f>
        <v>0</v>
      </c>
      <c r="E203" s="404">
        <f>SUM(Результаты!$S$283:$AD$283)</f>
        <v>0</v>
      </c>
      <c r="F203" s="404">
        <f>SUM(Результаты!$AE$283:$AP$283)</f>
        <v>0</v>
      </c>
      <c r="G203" s="404">
        <f>SUM(Результаты!$AQ$283:$BB$283)</f>
        <v>0</v>
      </c>
      <c r="H203" s="405">
        <f>Результаты!$BD$283</f>
        <v>0</v>
      </c>
      <c r="I203" s="395"/>
      <c r="J203" s="395"/>
    </row>
    <row r="204" spans="1:10" ht="13.95" customHeight="1" x14ac:dyDescent="0.3">
      <c r="A204" s="401" t="str">
        <f ca="1">Результаты!$A$284</f>
        <v>NOPLAT</v>
      </c>
      <c r="B204" s="353"/>
      <c r="C204" s="452" t="str">
        <f ca="1">Результаты!$C$284</f>
        <v>руб.</v>
      </c>
      <c r="D204" s="404">
        <f ca="1">SUM(Результаты!$G$284:$R$284)</f>
        <v>40926116.623224065</v>
      </c>
      <c r="E204" s="404">
        <f ca="1">SUM(Результаты!$S$284:$AD$284)</f>
        <v>127880720.33401583</v>
      </c>
      <c r="F204" s="404">
        <f ca="1">SUM(Результаты!$AE$284:$AP$284)</f>
        <v>132969477.05410361</v>
      </c>
      <c r="G204" s="404">
        <f ca="1">SUM(Результаты!$AQ$284:$BB$284)</f>
        <v>137989003.40600255</v>
      </c>
      <c r="H204" s="405">
        <f ca="1">Результаты!$BD$284</f>
        <v>439765317.417346</v>
      </c>
      <c r="I204" s="395"/>
      <c r="J204" s="395"/>
    </row>
    <row r="205" spans="1:10" ht="13.95" customHeight="1" x14ac:dyDescent="0.3">
      <c r="A205" s="441" t="str">
        <f ca="1">Результаты!$A$285</f>
        <v>Денежный поток для расчета эффективности</v>
      </c>
      <c r="B205" s="369"/>
      <c r="C205" s="414" t="str">
        <f ca="1">Результаты!$C$285</f>
        <v>руб.</v>
      </c>
      <c r="D205" s="412">
        <f ca="1">SUM(Результаты!$G$285:$R$285)</f>
        <v>-177833279.59225309</v>
      </c>
      <c r="E205" s="412">
        <f ca="1">SUM(Результаты!$S$285:$AD$285)</f>
        <v>121793217.74831149</v>
      </c>
      <c r="F205" s="412">
        <f ca="1">SUM(Результаты!$AE$285:$AP$285)</f>
        <v>125961615.59579371</v>
      </c>
      <c r="G205" s="412">
        <f ca="1">SUM(Результаты!$AQ$285:$BB$285)</f>
        <v>130877380.45002289</v>
      </c>
      <c r="H205" s="412">
        <f ca="1">Результаты!$BD$285</f>
        <v>200798934.20187497</v>
      </c>
      <c r="I205" s="393"/>
      <c r="J205" s="393"/>
    </row>
    <row r="206" spans="1:10" ht="13.95" customHeight="1" x14ac:dyDescent="0.3">
      <c r="A206" s="440" t="str">
        <f ca="1">Результаты!$A$286</f>
        <v>Дисконтированный денежный поток</v>
      </c>
      <c r="B206" s="353"/>
      <c r="C206" s="427" t="str">
        <f ca="1">Результаты!$C$286</f>
        <v>руб.</v>
      </c>
      <c r="D206" s="399">
        <f ca="1">SUM(Результаты!$G$286:$R$286)</f>
        <v>-173163288.32176512</v>
      </c>
      <c r="E206" s="399">
        <f ca="1">SUM(Результаты!$S$286:$AD$286)</f>
        <v>93635265.554313377</v>
      </c>
      <c r="F206" s="399">
        <f ca="1">SUM(Результаты!$AE$286:$AP$286)</f>
        <v>80698385.379540056</v>
      </c>
      <c r="G206" s="399">
        <f ca="1">SUM(Результаты!$AQ$286:$BB$286)</f>
        <v>69841805.064197302</v>
      </c>
      <c r="H206" s="392">
        <f ca="1">Результаты!$BD$286</f>
        <v>71012167.676285639</v>
      </c>
      <c r="I206" s="390"/>
      <c r="J206" s="390"/>
    </row>
    <row r="207" spans="1:10" ht="13.95" customHeight="1" x14ac:dyDescent="0.3">
      <c r="A207" s="440" t="str">
        <f ca="1">Результаты!$A$287</f>
        <v>Дисконтированный поток нарастающим итогом</v>
      </c>
      <c r="B207" s="353"/>
      <c r="C207" s="427" t="str">
        <f ca="1">Результаты!$C$287</f>
        <v>руб.</v>
      </c>
      <c r="D207" s="399">
        <f ca="1">Результаты!$R$287</f>
        <v>-173163288.32176512</v>
      </c>
      <c r="E207" s="399">
        <f ca="1">Результаты!$AD$287</f>
        <v>-79528022.767451733</v>
      </c>
      <c r="F207" s="399">
        <f ca="1">Результаты!$AP$287</f>
        <v>1170362.6120883278</v>
      </c>
      <c r="G207" s="399">
        <f ca="1">Результаты!$BB$287</f>
        <v>71012167.676285639</v>
      </c>
      <c r="H207" s="390"/>
      <c r="I207" s="390"/>
      <c r="J207" s="390"/>
    </row>
    <row r="208" spans="1:10" ht="13.95" customHeight="1" x14ac:dyDescent="0.3">
      <c r="A208" s="440"/>
      <c r="B208" s="353"/>
      <c r="C208" s="427"/>
      <c r="D208" s="399"/>
      <c r="E208" s="399"/>
      <c r="F208" s="399"/>
      <c r="G208" s="399"/>
      <c r="H208" s="390"/>
      <c r="I208" s="390"/>
      <c r="J208" s="390"/>
    </row>
    <row r="209" spans="1:10" ht="13.95" customHeight="1" x14ac:dyDescent="0.3">
      <c r="A209" s="441" t="str">
        <f ca="1">Результаты!$A$289</f>
        <v>Чистая приведенная стоимость, NPV</v>
      </c>
      <c r="B209" s="369">
        <f ca="1">Результаты!$B$289</f>
        <v>71012167.676285639</v>
      </c>
      <c r="C209" s="427" t="str">
        <f ca="1">Результаты!$C$289</f>
        <v>руб.</v>
      </c>
      <c r="D209" s="399"/>
      <c r="E209" s="399"/>
      <c r="F209" s="399"/>
      <c r="G209" s="399"/>
      <c r="H209" s="390"/>
      <c r="I209" s="390"/>
      <c r="J209" s="390"/>
    </row>
    <row r="210" spans="1:10" ht="13.95" customHeight="1" x14ac:dyDescent="0.3">
      <c r="A210" s="440"/>
      <c r="B210" s="398"/>
      <c r="C210" s="427"/>
      <c r="D210" s="399"/>
      <c r="E210" s="399"/>
      <c r="F210" s="399"/>
      <c r="G210" s="399"/>
      <c r="H210" s="390"/>
      <c r="I210" s="390"/>
      <c r="J210" s="390"/>
    </row>
    <row r="211" spans="1:10" ht="13.95" customHeight="1" x14ac:dyDescent="0.3">
      <c r="A211" s="441" t="str">
        <f ca="1">Результаты!$A$291</f>
        <v>Внутренняя норма рентабельности, IRR</v>
      </c>
      <c r="B211" s="368">
        <f ca="1">Результаты!$B$291</f>
        <v>0.49509032155244537</v>
      </c>
      <c r="C211" s="427" t="str">
        <f>Результаты!$C$291</f>
        <v>%</v>
      </c>
      <c r="D211" s="396" t="str">
        <f ca="1">Результаты!$G$291</f>
        <v>(с учетом инфляции, номинальная)</v>
      </c>
      <c r="E211" s="390"/>
      <c r="F211" s="390"/>
      <c r="G211" s="390"/>
      <c r="H211" s="390"/>
      <c r="I211" s="390"/>
      <c r="J211" s="390"/>
    </row>
    <row r="212" spans="1:10" ht="13.95" customHeight="1" x14ac:dyDescent="0.3">
      <c r="A212" s="440" t="str">
        <f ca="1">Результаты!$A$292</f>
        <v>Темпы роста цен, базовые</v>
      </c>
      <c r="B212" s="390"/>
      <c r="C212" s="427" t="str">
        <f ca="1">Результаты!$C$292</f>
        <v>% в год</v>
      </c>
      <c r="D212" s="449">
        <f>IFERROR(AVERAGE(Результаты!$G$292:$R$292),"-")</f>
        <v>6.0000000000000019E-2</v>
      </c>
      <c r="E212" s="449">
        <f>IFERROR(AVERAGE(Результаты!$S$292:$AD$292),"-")</f>
        <v>6.0000000000000019E-2</v>
      </c>
      <c r="F212" s="449">
        <f>IFERROR(AVERAGE(Результаты!$AE$292:$AP$292),"-")</f>
        <v>6.0000000000000019E-2</v>
      </c>
      <c r="G212" s="449">
        <f>IFERROR(AVERAGE(Результаты!$AQ$292:$BB$292),"-")</f>
        <v>6.0000000000000019E-2</v>
      </c>
      <c r="H212" s="390"/>
      <c r="I212" s="390"/>
      <c r="J212" s="390"/>
    </row>
    <row r="213" spans="1:10" ht="13.95" customHeight="1" x14ac:dyDescent="0.3">
      <c r="A213" s="397" t="str">
        <f ca="1">Результаты!$A$293</f>
        <v>коэффициент изменения цен к началу проекта</v>
      </c>
      <c r="B213" s="356"/>
      <c r="C213" s="427" t="str">
        <f ca="1">Результаты!$C$293</f>
        <v>раз</v>
      </c>
      <c r="D213" s="411">
        <f ca="1">IFERROR(AVERAGE(Результаты!$G$293:$R$293),"-")</f>
        <v>1.0272106951697644</v>
      </c>
      <c r="E213" s="411">
        <f ca="1">IFERROR(AVERAGE(Результаты!$S$293:$AD$293),"-")</f>
        <v>1.0888433368799504</v>
      </c>
      <c r="F213" s="411">
        <f ca="1">IFERROR(AVERAGE(Результаты!$AE$293:$AP$293),"-")</f>
        <v>1.1541739370927477</v>
      </c>
      <c r="G213" s="411">
        <f ca="1">IFERROR(AVERAGE(Результаты!$AQ$293:$BB$293),"-")</f>
        <v>1.2234243733183128</v>
      </c>
      <c r="H213" s="390"/>
      <c r="I213" s="390"/>
      <c r="J213" s="390"/>
    </row>
    <row r="214" spans="1:10" ht="13.95" customHeight="1" x14ac:dyDescent="0.3">
      <c r="A214" s="440" t="str">
        <f ca="1">Результаты!$A$294</f>
        <v>Денежный поток для расчета эффективности</v>
      </c>
      <c r="B214" s="368"/>
      <c r="C214" s="427" t="str">
        <f ca="1">Результаты!$C$294</f>
        <v>руб.</v>
      </c>
      <c r="D214" s="399">
        <f ca="1">SUM(Результаты!$G$294:$R$294)</f>
        <v>-179295247.87063152</v>
      </c>
      <c r="E214" s="399">
        <f ca="1">SUM(Результаты!$S$294:$AD$294)</f>
        <v>132539097.86070964</v>
      </c>
      <c r="F214" s="399">
        <f ca="1">SUM(Результаты!$AE$294:$AP$294)</f>
        <v>145300554.0359852</v>
      </c>
      <c r="G214" s="399">
        <f ca="1">SUM(Результаты!$AQ$294:$BB$294)</f>
        <v>160053102.05650401</v>
      </c>
      <c r="H214" s="392">
        <f ca="1">Результаты!$BD$294</f>
        <v>258597506.08256739</v>
      </c>
      <c r="I214" s="390"/>
      <c r="J214" s="390"/>
    </row>
    <row r="215" spans="1:10" ht="13.95" customHeight="1" x14ac:dyDescent="0.3">
      <c r="A215" s="440"/>
      <c r="B215" s="368"/>
      <c r="C215" s="427"/>
      <c r="D215" s="396"/>
      <c r="E215" s="390"/>
      <c r="F215" s="390"/>
      <c r="G215" s="390"/>
      <c r="H215" s="390"/>
      <c r="I215" s="390"/>
      <c r="J215" s="390"/>
    </row>
    <row r="216" spans="1:10" ht="13.95" customHeight="1" x14ac:dyDescent="0.3">
      <c r="A216" s="440" t="str">
        <f ca="1">Результаты!$A$296</f>
        <v>Модифицированная IRR, MIRR</v>
      </c>
      <c r="B216" s="370">
        <f ca="1">Результаты!$B$296</f>
        <v>0.27407231733186288</v>
      </c>
      <c r="C216" s="427" t="str">
        <f>Результаты!$C$296</f>
        <v>%</v>
      </c>
      <c r="D216" s="396" t="str">
        <f ca="1">Результаты!$G$296</f>
        <v>(с учетом инфляции, номинальная)</v>
      </c>
      <c r="E216" s="390"/>
      <c r="F216" s="390"/>
      <c r="G216" s="390"/>
      <c r="H216" s="390"/>
      <c r="I216" s="390"/>
      <c r="J216" s="390"/>
    </row>
    <row r="217" spans="1:10" ht="13.95" customHeight="1" x14ac:dyDescent="0.3">
      <c r="A217" s="440" t="str">
        <f ca="1">Результаты!$A$297</f>
        <v>Денежный поток для расчета эффективности</v>
      </c>
      <c r="B217" s="370"/>
      <c r="C217" s="427" t="str">
        <f ca="1">Результаты!$C$297</f>
        <v>руб.</v>
      </c>
      <c r="D217" s="399">
        <f ca="1">SUM(Результаты!$G$297:$R$297)</f>
        <v>-163244674.91525561</v>
      </c>
      <c r="E217" s="399">
        <f ca="1">SUM(Результаты!$S$297:$AD$297)</f>
        <v>195213854.47013181</v>
      </c>
      <c r="F217" s="399">
        <f ca="1">SUM(Результаты!$AE$297:$AP$297)</f>
        <v>166852023.65795398</v>
      </c>
      <c r="G217" s="399">
        <f ca="1">SUM(Результаты!$AQ$297:$BB$297)</f>
        <v>143208694.09390876</v>
      </c>
      <c r="H217" s="392">
        <f ca="1">Результаты!$BD$297</f>
        <v>342029897.30673897</v>
      </c>
      <c r="I217" s="390"/>
      <c r="J217" s="390"/>
    </row>
    <row r="218" spans="1:10" ht="13.95" customHeight="1" x14ac:dyDescent="0.3">
      <c r="A218" s="440" t="str">
        <f ca="1">Результаты!$A$298</f>
        <v>Модифицированный денежный поток</v>
      </c>
      <c r="B218" s="370"/>
      <c r="C218" s="427" t="str">
        <f ca="1">Результаты!$C$298</f>
        <v>руб.</v>
      </c>
      <c r="D218" s="399">
        <f ca="1">SUM(Результаты!$G$298:$R$298)</f>
        <v>-216157153.10770085</v>
      </c>
      <c r="E218" s="399">
        <f ca="1">SUM(Результаты!$S$298:$AD$298)</f>
        <v>0</v>
      </c>
      <c r="F218" s="399">
        <f ca="1">SUM(Результаты!$AE$298:$AP$298)</f>
        <v>0</v>
      </c>
      <c r="G218" s="399">
        <f ca="1">SUM(Результаты!$AQ$298:$BB$298)</f>
        <v>558187050.4144398</v>
      </c>
      <c r="H218" s="392">
        <f ca="1">Результаты!$BD$298</f>
        <v>342029897.30673897</v>
      </c>
      <c r="I218" s="390"/>
      <c r="J218" s="390"/>
    </row>
    <row r="219" spans="1:10" ht="13.95" customHeight="1" x14ac:dyDescent="0.3">
      <c r="A219" s="440"/>
      <c r="B219" s="398"/>
      <c r="C219" s="427"/>
      <c r="D219" s="399"/>
      <c r="E219" s="390"/>
      <c r="F219" s="390"/>
      <c r="G219" s="390"/>
      <c r="H219" s="390"/>
      <c r="I219" s="390"/>
      <c r="J219" s="390"/>
    </row>
    <row r="220" spans="1:10" ht="13.95" customHeight="1" x14ac:dyDescent="0.3">
      <c r="A220" s="441" t="str">
        <f ca="1">Результаты!$A$300</f>
        <v>Дисконтированный срок окупаемости, PBP</v>
      </c>
      <c r="B220" s="371">
        <f ca="1">Результаты!$B$300</f>
        <v>2.9776216255155146</v>
      </c>
      <c r="C220" s="427" t="str">
        <f ca="1">Результаты!$C$300</f>
        <v>лет</v>
      </c>
      <c r="D220" s="390"/>
      <c r="E220" s="390"/>
      <c r="F220" s="390"/>
      <c r="G220" s="390"/>
      <c r="H220" s="390"/>
      <c r="I220" s="390"/>
      <c r="J220" s="390"/>
    </row>
    <row r="221" spans="1:10" ht="13.95" customHeight="1" x14ac:dyDescent="0.3">
      <c r="A221" s="440" t="str">
        <f ca="1">Результаты!$A$301</f>
        <v>Флаг периода окупаемости</v>
      </c>
      <c r="B221" s="372">
        <f ca="1">Результаты!$B$301</f>
        <v>36</v>
      </c>
      <c r="C221" s="427" t="str">
        <f ca="1">Результаты!$C$301</f>
        <v>мес.</v>
      </c>
      <c r="D221" s="453">
        <f ca="1">MAX(Результаты!$G$301:$R$301)</f>
        <v>0</v>
      </c>
      <c r="E221" s="453">
        <f ca="1">MAX(Результаты!$S$301:$AD$301)</f>
        <v>0</v>
      </c>
      <c r="F221" s="453">
        <f ca="1">MAX(Результаты!$AE$301:$AP$301)</f>
        <v>36</v>
      </c>
      <c r="G221" s="453">
        <f ca="1">MAX(Результаты!$AQ$301:$BB$301)</f>
        <v>0</v>
      </c>
      <c r="H221" s="454"/>
      <c r="I221" s="390"/>
      <c r="J221" s="390"/>
    </row>
    <row r="222" spans="1:10" ht="13.95" customHeight="1" x14ac:dyDescent="0.3">
      <c r="A222" s="440" t="str">
        <f ca="1">Результаты!$A$302</f>
        <v>Расчет окупаемости в месяцах</v>
      </c>
      <c r="B222" s="373">
        <f ca="1">Результаты!$B$302</f>
        <v>35.731459506186177</v>
      </c>
      <c r="C222" s="427" t="str">
        <f ca="1">Результаты!$C$302</f>
        <v>мес.</v>
      </c>
      <c r="D222" s="454">
        <f ca="1">MAX(Результаты!$G$302:$R$302)</f>
        <v>1</v>
      </c>
      <c r="E222" s="454">
        <f ca="1">MAX(Результаты!$S$302:$AD$302)</f>
        <v>1</v>
      </c>
      <c r="F222" s="454">
        <f ca="1">MAX(Результаты!$AE$302:$AP$302)</f>
        <v>1</v>
      </c>
      <c r="G222" s="454">
        <f ca="1">MAX(Результаты!$AQ$302:$BB$302)</f>
        <v>0</v>
      </c>
      <c r="H222" s="455">
        <f ca="1">Результаты!$BD$302</f>
        <v>35.731459506186177</v>
      </c>
      <c r="I222" s="390"/>
      <c r="J222" s="390"/>
    </row>
    <row r="223" spans="1:10" ht="13.95" customHeight="1" x14ac:dyDescent="0.3">
      <c r="A223" s="440"/>
      <c r="B223" s="373"/>
      <c r="C223" s="427"/>
      <c r="D223" s="454"/>
      <c r="E223" s="454"/>
      <c r="F223" s="454"/>
      <c r="G223" s="454"/>
      <c r="H223" s="455"/>
      <c r="I223" s="390"/>
      <c r="J223" s="390"/>
    </row>
    <row r="224" spans="1:10" ht="13.95" customHeight="1" x14ac:dyDescent="0.3">
      <c r="A224" s="440" t="str">
        <f ca="1">Результаты!$A$304</f>
        <v>Простой срок окупаемости</v>
      </c>
      <c r="B224" s="371">
        <f ca="1">Результаты!$B$304</f>
        <v>2.4871224800620788</v>
      </c>
      <c r="C224" s="427" t="str">
        <f ca="1">Результаты!$C$304</f>
        <v>лет</v>
      </c>
      <c r="D224" s="390"/>
      <c r="E224" s="390"/>
      <c r="F224" s="390"/>
      <c r="G224" s="390"/>
      <c r="H224" s="390"/>
      <c r="I224" s="390"/>
      <c r="J224" s="390"/>
    </row>
    <row r="225" spans="1:10" ht="13.95" customHeight="1" x14ac:dyDescent="0.3">
      <c r="A225" s="440" t="str">
        <f ca="1">Результаты!$A$305</f>
        <v>Недисконтированный поток нарастающим итогом</v>
      </c>
      <c r="B225" s="353"/>
      <c r="C225" s="427" t="str">
        <f ca="1">Результаты!$C$305</f>
        <v>руб.</v>
      </c>
      <c r="D225" s="399">
        <f ca="1">Результаты!$R$305</f>
        <v>-177833279.59225309</v>
      </c>
      <c r="E225" s="399">
        <f ca="1">Результаты!$AD$305</f>
        <v>-56040061.843941584</v>
      </c>
      <c r="F225" s="399">
        <f ca="1">Результаты!$AP$305</f>
        <v>69921553.75185211</v>
      </c>
      <c r="G225" s="399">
        <f ca="1">Результаты!$BB$305</f>
        <v>200798934.20187497</v>
      </c>
      <c r="H225" s="390"/>
      <c r="I225" s="390"/>
      <c r="J225" s="390"/>
    </row>
    <row r="226" spans="1:10" ht="13.95" customHeight="1" x14ac:dyDescent="0.3">
      <c r="A226" s="440" t="str">
        <f ca="1">Результаты!$A$306</f>
        <v>Флаг периода окупаемости</v>
      </c>
      <c r="B226" s="372">
        <f ca="1">Результаты!$B$306</f>
        <v>30</v>
      </c>
      <c r="C226" s="427" t="str">
        <f ca="1">Результаты!$C$306</f>
        <v>мес.</v>
      </c>
      <c r="D226" s="453">
        <f ca="1">MAX(Результаты!$G$306:$R$306)</f>
        <v>0</v>
      </c>
      <c r="E226" s="453">
        <f ca="1">MAX(Результаты!$S$306:$AD$306)</f>
        <v>0</v>
      </c>
      <c r="F226" s="453">
        <f ca="1">MAX(Результаты!$AE$306:$AP$306)</f>
        <v>30</v>
      </c>
      <c r="G226" s="453">
        <f ca="1">MAX(Результаты!$AQ$306:$BB$306)</f>
        <v>0</v>
      </c>
      <c r="H226" s="454"/>
      <c r="I226" s="390"/>
      <c r="J226" s="390"/>
    </row>
    <row r="227" spans="1:10" ht="13.95" customHeight="1" x14ac:dyDescent="0.3">
      <c r="A227" s="440" t="str">
        <f ca="1">Результаты!$A$307</f>
        <v>Расчет окупаемости в месяцах</v>
      </c>
      <c r="B227" s="373">
        <f ca="1">Результаты!$B$307</f>
        <v>29.845469760744948</v>
      </c>
      <c r="C227" s="427" t="str">
        <f ca="1">Результаты!$C$307</f>
        <v>мес.</v>
      </c>
      <c r="D227" s="454">
        <f ca="1">MAX(Результаты!$G$307:$R$307)</f>
        <v>1</v>
      </c>
      <c r="E227" s="454">
        <f ca="1">MAX(Результаты!$S$307:$AD$307)</f>
        <v>1</v>
      </c>
      <c r="F227" s="454">
        <f ca="1">MAX(Результаты!$AE$307:$AP$307)</f>
        <v>1</v>
      </c>
      <c r="G227" s="454">
        <f ca="1">MAX(Результаты!$AQ$307:$BB$307)</f>
        <v>0</v>
      </c>
      <c r="H227" s="455">
        <f ca="1">Результаты!$BD$307</f>
        <v>29.845469760744948</v>
      </c>
      <c r="I227" s="390"/>
      <c r="J227" s="390"/>
    </row>
    <row r="228" spans="1:10" ht="13.95" customHeight="1" x14ac:dyDescent="0.3">
      <c r="A228" s="440"/>
      <c r="B228" s="373"/>
      <c r="C228" s="427"/>
      <c r="D228" s="454"/>
      <c r="E228" s="454"/>
      <c r="F228" s="454"/>
      <c r="G228" s="454"/>
      <c r="H228" s="455"/>
      <c r="I228" s="390"/>
      <c r="J228" s="390"/>
    </row>
    <row r="229" spans="1:10" ht="13.95" customHeight="1" x14ac:dyDescent="0.3">
      <c r="A229" s="440" t="str">
        <f ca="1">Результаты!$A$309</f>
        <v>Норма доходности дисконтированных затрат (PI)</v>
      </c>
      <c r="B229" s="373">
        <f ca="1">Результаты!$B$309</f>
        <v>1.3579069196508198</v>
      </c>
      <c r="C229" s="427" t="str">
        <f ca="1">Результаты!$C$309</f>
        <v>раз</v>
      </c>
      <c r="D229" s="399"/>
      <c r="E229" s="399"/>
      <c r="F229" s="399"/>
      <c r="G229" s="399"/>
      <c r="H229" s="455"/>
      <c r="I229" s="390"/>
      <c r="J229" s="390"/>
    </row>
    <row r="230" spans="1:10" ht="13.95" customHeight="1" x14ac:dyDescent="0.3">
      <c r="A230" s="397" t="str">
        <f ca="1">Результаты!$A$310</f>
        <v>притоки</v>
      </c>
      <c r="B230" s="373"/>
      <c r="C230" s="427" t="str">
        <f ca="1">Результаты!$C$310</f>
        <v>руб.</v>
      </c>
      <c r="D230" s="399">
        <f ca="1">SUM(Результаты!$G$310:$R$310)</f>
        <v>29213603.660837814</v>
      </c>
      <c r="E230" s="399">
        <f ca="1">SUM(Результаты!$S$310:$AD$310)</f>
        <v>121793217.74831149</v>
      </c>
      <c r="F230" s="399">
        <f ca="1">SUM(Результаты!$AE$310:$AP$310)</f>
        <v>125961615.59579371</v>
      </c>
      <c r="G230" s="399">
        <f ca="1">SUM(Результаты!$AQ$310:$BB$310)</f>
        <v>130877380.45002289</v>
      </c>
      <c r="H230" s="392">
        <f ca="1">Результаты!$BD$310</f>
        <v>407845817.45496589</v>
      </c>
      <c r="I230" s="390"/>
      <c r="J230" s="390"/>
    </row>
    <row r="231" spans="1:10" ht="13.95" customHeight="1" x14ac:dyDescent="0.3">
      <c r="A231" s="397" t="str">
        <f ca="1">Результаты!$A$311</f>
        <v>дисконтированные притоки</v>
      </c>
      <c r="B231" s="373"/>
      <c r="C231" s="427" t="str">
        <f ca="1">Результаты!$C$311</f>
        <v>руб.</v>
      </c>
      <c r="D231" s="399">
        <f ca="1">SUM(Результаты!$G$311:$R$311)</f>
        <v>25246308.635919403</v>
      </c>
      <c r="E231" s="399">
        <f ca="1">SUM(Результаты!$S$311:$AD$311)</f>
        <v>93635265.554313377</v>
      </c>
      <c r="F231" s="399">
        <f ca="1">SUM(Результаты!$AE$311:$AP$311)</f>
        <v>80698385.379540056</v>
      </c>
      <c r="G231" s="399">
        <f ca="1">SUM(Результаты!$AQ$311:$BB$311)</f>
        <v>69841805.064197302</v>
      </c>
      <c r="H231" s="392">
        <f ca="1">Результаты!$BD$311</f>
        <v>269421764.63397008</v>
      </c>
      <c r="I231" s="390"/>
      <c r="J231" s="390"/>
    </row>
    <row r="232" spans="1:10" ht="13.95" customHeight="1" x14ac:dyDescent="0.3">
      <c r="A232" s="397" t="str">
        <f ca="1">Результаты!$A$312</f>
        <v>оттоки</v>
      </c>
      <c r="B232" s="373"/>
      <c r="C232" s="427" t="str">
        <f ca="1">Результаты!$C$312</f>
        <v>руб.</v>
      </c>
      <c r="D232" s="399">
        <f ca="1">SUM(Результаты!$G$312:$R$312)</f>
        <v>-207046883.25309092</v>
      </c>
      <c r="E232" s="399">
        <f ca="1">SUM(Результаты!$S$312:$AD$312)</f>
        <v>0</v>
      </c>
      <c r="F232" s="399">
        <f ca="1">SUM(Результаты!$AE$312:$AP$312)</f>
        <v>0</v>
      </c>
      <c r="G232" s="399">
        <f ca="1">SUM(Результаты!$AQ$312:$BB$312)</f>
        <v>0</v>
      </c>
      <c r="H232" s="392">
        <f ca="1">Результаты!$BD$312</f>
        <v>-207046883.25309092</v>
      </c>
      <c r="I232" s="390"/>
      <c r="J232" s="390"/>
    </row>
    <row r="233" spans="1:10" ht="13.95" customHeight="1" x14ac:dyDescent="0.3">
      <c r="A233" s="397" t="str">
        <f ca="1">Результаты!$A$313</f>
        <v>дисконтированные оттоки</v>
      </c>
      <c r="B233" s="373"/>
      <c r="C233" s="427" t="str">
        <f ca="1">Результаты!$C$313</f>
        <v>руб.</v>
      </c>
      <c r="D233" s="399">
        <f ca="1">SUM(Результаты!$G$313:$R$313)</f>
        <v>-198409596.95768455</v>
      </c>
      <c r="E233" s="399">
        <f ca="1">SUM(Результаты!$S$313:$AD$313)</f>
        <v>0</v>
      </c>
      <c r="F233" s="399">
        <f ca="1">SUM(Результаты!$AE$313:$AP$313)</f>
        <v>0</v>
      </c>
      <c r="G233" s="399">
        <f ca="1">SUM(Результаты!$AQ$313:$BB$313)</f>
        <v>0</v>
      </c>
      <c r="H233" s="392">
        <f ca="1">Результаты!$BD$313</f>
        <v>-198409596.95768455</v>
      </c>
      <c r="I233" s="390"/>
      <c r="J233" s="390"/>
    </row>
    <row r="234" spans="1:10" ht="13.95" customHeight="1" x14ac:dyDescent="0.3">
      <c r="A234" s="447"/>
      <c r="B234" s="448"/>
      <c r="C234" s="432"/>
      <c r="D234" s="406"/>
      <c r="E234" s="406"/>
      <c r="F234" s="406"/>
      <c r="G234" s="406"/>
      <c r="H234" s="406"/>
      <c r="I234" s="390"/>
      <c r="J234" s="390"/>
    </row>
    <row r="237" spans="1:10" ht="25.5" customHeight="1" thickBot="1" x14ac:dyDescent="0.35">
      <c r="A237" s="379" t="str">
        <f ca="1">Графики!$A$2</f>
        <v>График: Продажи</v>
      </c>
      <c r="B237" s="385"/>
      <c r="C237" s="385"/>
    </row>
    <row r="238" spans="1:10" ht="14.4" thickTop="1" x14ac:dyDescent="0.3"/>
    <row r="261" spans="1:3" x14ac:dyDescent="0.3">
      <c r="A261" s="5" t="s">
        <v>3485</v>
      </c>
    </row>
    <row r="263" spans="1:3" ht="25.5" customHeight="1" thickBot="1" x14ac:dyDescent="0.35">
      <c r="A263" s="379" t="str">
        <f ca="1">Графики!$A$132</f>
        <v>График окупаемости (FCFF)</v>
      </c>
      <c r="B263" s="385"/>
      <c r="C263" s="385"/>
    </row>
    <row r="264" spans="1:3" ht="14.4" thickTop="1" x14ac:dyDescent="0.3"/>
    <row r="287" spans="1:1" x14ac:dyDescent="0.3">
      <c r="A287" s="5" t="s">
        <v>3485</v>
      </c>
    </row>
    <row r="290" spans="1:54" ht="25.5" customHeight="1" thickBot="1" x14ac:dyDescent="0.35">
      <c r="A290" s="417" t="str">
        <f ca="1">Результаты!$A$69</f>
        <v>ОТЧЕТ – ИНВЕСТИЦИИ (с НДС)</v>
      </c>
      <c r="B290" s="419"/>
      <c r="C290" s="420"/>
      <c r="D290" s="422" t="str">
        <f ca="1">Language!$A$63 &amp; ". 25"</f>
        <v>янв. 25</v>
      </c>
      <c r="E290" s="422" t="str">
        <f ca="1">Language!$A$64 &amp; ". 25"</f>
        <v>фев. 25</v>
      </c>
      <c r="F290" s="422" t="str">
        <f ca="1">Language!$A$65 &amp; ". 25"</f>
        <v>мар. 25</v>
      </c>
      <c r="G290" s="422" t="str">
        <f ca="1">Language!$A$66 &amp; ". 25"</f>
        <v>апр. 25</v>
      </c>
      <c r="H290" s="422" t="str">
        <f ca="1">Language!$A$67 &amp; ". 25"</f>
        <v>май. 25</v>
      </c>
      <c r="I290" s="422" t="str">
        <f ca="1">Language!$A$68 &amp; ". 25"</f>
        <v>июн. 25</v>
      </c>
      <c r="J290" s="423" t="str">
        <f ca="1">Language!$A$69 &amp; ". 25"</f>
        <v>июл. 25</v>
      </c>
      <c r="K290" s="423" t="str">
        <f ca="1">Language!$A$70 &amp; ". 25"</f>
        <v>авг. 25</v>
      </c>
      <c r="L290" s="423" t="str">
        <f ca="1">Language!$A$71 &amp; ". 25"</f>
        <v>сен. 25</v>
      </c>
      <c r="M290" s="423" t="str">
        <f ca="1">Language!$A$72 &amp; ". 25"</f>
        <v>окт. 25</v>
      </c>
      <c r="N290" s="423" t="str">
        <f ca="1">Language!$A$73 &amp; ". 25"</f>
        <v>ноя. 25</v>
      </c>
      <c r="O290" s="423" t="str">
        <f ca="1">Language!$A$74 &amp; ". 25"</f>
        <v>дек. 25</v>
      </c>
      <c r="P290" s="423" t="str">
        <f ca="1">Language!$A$63 &amp; ". 26"</f>
        <v>янв. 26</v>
      </c>
      <c r="Q290" s="423" t="str">
        <f ca="1">Language!$A$64 &amp; ". 26"</f>
        <v>фев. 26</v>
      </c>
      <c r="R290" s="423" t="str">
        <f ca="1">Language!$A$65 &amp; ". 26"</f>
        <v>мар. 26</v>
      </c>
      <c r="S290" s="423" t="str">
        <f ca="1">Language!$A$66 &amp; ". 26"</f>
        <v>апр. 26</v>
      </c>
      <c r="T290" s="423" t="str">
        <f ca="1">Language!$A$67 &amp; ". 26"</f>
        <v>май. 26</v>
      </c>
      <c r="U290" s="423" t="str">
        <f ca="1">Language!$A$68 &amp; ". 26"</f>
        <v>июн. 26</v>
      </c>
      <c r="V290" s="423" t="str">
        <f ca="1">Language!$A$69 &amp; ". 26"</f>
        <v>июл. 26</v>
      </c>
      <c r="W290" s="423" t="str">
        <f ca="1">Language!$A$70 &amp; ". 26"</f>
        <v>авг. 26</v>
      </c>
      <c r="X290" s="423" t="str">
        <f ca="1">Language!$A$71 &amp; ". 26"</f>
        <v>сен. 26</v>
      </c>
      <c r="Y290" s="423" t="str">
        <f ca="1">Language!$A$72 &amp; ". 26"</f>
        <v>окт. 26</v>
      </c>
      <c r="Z290" s="423" t="str">
        <f ca="1">Language!$A$73 &amp; ". 26"</f>
        <v>ноя. 26</v>
      </c>
      <c r="AA290" s="423" t="str">
        <f ca="1">Language!$A$74 &amp; ". 26"</f>
        <v>дек. 26</v>
      </c>
      <c r="AB290" s="423" t="str">
        <f ca="1">Language!$A$63 &amp; ". 27"</f>
        <v>янв. 27</v>
      </c>
      <c r="AC290" s="423" t="str">
        <f ca="1">Language!$A$64 &amp; ". 27"</f>
        <v>фев. 27</v>
      </c>
      <c r="AD290" s="423" t="str">
        <f ca="1">Language!$A$65 &amp; ". 27"</f>
        <v>мар. 27</v>
      </c>
      <c r="AE290" s="423" t="str">
        <f ca="1">Language!$A$66 &amp; ". 27"</f>
        <v>апр. 27</v>
      </c>
      <c r="AF290" s="423" t="str">
        <f ca="1">Language!$A$67 &amp; ". 27"</f>
        <v>май. 27</v>
      </c>
      <c r="AG290" s="423" t="str">
        <f ca="1">Language!$A$68 &amp; ". 27"</f>
        <v>июн. 27</v>
      </c>
      <c r="AH290" s="423" t="str">
        <f ca="1">Language!$A$69 &amp; ". 27"</f>
        <v>июл. 27</v>
      </c>
      <c r="AI290" s="423" t="str">
        <f ca="1">Language!$A$70 &amp; ". 27"</f>
        <v>авг. 27</v>
      </c>
      <c r="AJ290" s="423" t="str">
        <f ca="1">Language!$A$71 &amp; ". 27"</f>
        <v>сен. 27</v>
      </c>
      <c r="AK290" s="423" t="str">
        <f ca="1">Language!$A$72 &amp; ". 27"</f>
        <v>окт. 27</v>
      </c>
      <c r="AL290" s="423" t="str">
        <f ca="1">Language!$A$73 &amp; ". 27"</f>
        <v>ноя. 27</v>
      </c>
      <c r="AM290" s="423" t="str">
        <f ca="1">Language!$A$74 &amp; ". 27"</f>
        <v>дек. 27</v>
      </c>
      <c r="AN290" s="423" t="str">
        <f ca="1">Language!$A$63 &amp; ". 28"</f>
        <v>янв. 28</v>
      </c>
      <c r="AO290" s="423" t="str">
        <f ca="1">Language!$A$64 &amp; ". 28"</f>
        <v>фев. 28</v>
      </c>
      <c r="AP290" s="423" t="str">
        <f ca="1">Language!$A$65 &amp; ". 28"</f>
        <v>мар. 28</v>
      </c>
      <c r="AQ290" s="423" t="str">
        <f ca="1">Language!$A$66 &amp; ". 28"</f>
        <v>апр. 28</v>
      </c>
      <c r="AR290" s="423" t="str">
        <f ca="1">Language!$A$67 &amp; ". 28"</f>
        <v>май. 28</v>
      </c>
      <c r="AS290" s="423" t="str">
        <f ca="1">Language!$A$68 &amp; ". 28"</f>
        <v>июн. 28</v>
      </c>
      <c r="AT290" s="423" t="str">
        <f ca="1">Language!$A$69 &amp; ". 28"</f>
        <v>июл. 28</v>
      </c>
      <c r="AU290" s="423" t="str">
        <f ca="1">Language!$A$70 &amp; ". 28"</f>
        <v>авг. 28</v>
      </c>
      <c r="AV290" s="423" t="str">
        <f ca="1">Language!$A$71 &amp; ". 28"</f>
        <v>сен. 28</v>
      </c>
      <c r="AW290" s="423" t="str">
        <f ca="1">Language!$A$72 &amp; ". 28"</f>
        <v>окт. 28</v>
      </c>
      <c r="AX290" s="423" t="str">
        <f ca="1">Language!$A$73 &amp; ". 28"</f>
        <v>ноя. 28</v>
      </c>
      <c r="AY290" s="423" t="str">
        <f ca="1">Language!$A$74 &amp; ". 28"</f>
        <v>дек. 28</v>
      </c>
      <c r="AZ290" s="425" t="str">
        <f ca="1">Результаты!$BD$69</f>
        <v>ИТОГО</v>
      </c>
      <c r="BA290" s="383"/>
      <c r="BB290" s="383"/>
    </row>
    <row r="291" spans="1:54" ht="15" customHeight="1" thickTop="1" x14ac:dyDescent="0.3">
      <c r="A291" s="416"/>
      <c r="B291" s="360"/>
      <c r="C291" s="418"/>
      <c r="D291" s="362"/>
      <c r="E291" s="362"/>
      <c r="F291" s="362"/>
      <c r="G291" s="362"/>
      <c r="H291" s="362"/>
      <c r="I291" s="362"/>
      <c r="J291" s="362"/>
      <c r="K291" s="362"/>
      <c r="L291" s="362"/>
      <c r="M291" s="362"/>
      <c r="N291" s="362"/>
      <c r="O291" s="362"/>
      <c r="P291" s="362"/>
      <c r="Q291" s="362"/>
      <c r="R291" s="362"/>
      <c r="S291" s="362"/>
      <c r="T291" s="362"/>
      <c r="U291" s="362"/>
      <c r="V291" s="362"/>
      <c r="W291" s="362"/>
      <c r="X291" s="362"/>
      <c r="Y291" s="362"/>
      <c r="Z291" s="362"/>
      <c r="AA291" s="362"/>
      <c r="AB291" s="362"/>
      <c r="AC291" s="362"/>
      <c r="AD291" s="362"/>
      <c r="AE291" s="362"/>
      <c r="AF291" s="362"/>
      <c r="AG291" s="362"/>
      <c r="AH291" s="362"/>
      <c r="AI291" s="362"/>
      <c r="AJ291" s="362"/>
      <c r="AK291" s="362"/>
      <c r="AL291" s="362"/>
      <c r="AM291" s="362"/>
      <c r="AN291" s="362"/>
      <c r="AO291" s="362"/>
      <c r="AP291" s="362"/>
      <c r="AQ291" s="362"/>
      <c r="AR291" s="362"/>
      <c r="AS291" s="362"/>
      <c r="AT291" s="362"/>
      <c r="AU291" s="362"/>
      <c r="AV291" s="362"/>
      <c r="AW291" s="362"/>
      <c r="AX291" s="362"/>
      <c r="AY291" s="362"/>
      <c r="AZ291" s="431"/>
      <c r="BA291" s="399"/>
      <c r="BB291" s="399"/>
    </row>
    <row r="292" spans="1:54" ht="13.95" customHeight="1" x14ac:dyDescent="0.3">
      <c r="A292" s="393" t="str">
        <f ca="1">Результаты!$A$71</f>
        <v>Земля</v>
      </c>
      <c r="B292" s="358">
        <f>Результаты!$B$71</f>
        <v>800000</v>
      </c>
      <c r="C292" s="414" t="str">
        <f ca="1">Результаты!$C$71</f>
        <v>руб.</v>
      </c>
      <c r="D292" s="412">
        <f>Результаты!$G$71</f>
        <v>266667</v>
      </c>
      <c r="E292" s="412">
        <f>Результаты!$H$71</f>
        <v>266667</v>
      </c>
      <c r="F292" s="412">
        <f>Результаты!$I$71</f>
        <v>266666</v>
      </c>
      <c r="G292" s="412">
        <f>Результаты!$J$71</f>
        <v>0</v>
      </c>
      <c r="H292" s="412">
        <f>Результаты!$K$71</f>
        <v>0</v>
      </c>
      <c r="I292" s="412">
        <f>Результаты!$L$71</f>
        <v>0</v>
      </c>
      <c r="J292" s="412">
        <f>Результаты!$M$71</f>
        <v>0</v>
      </c>
      <c r="K292" s="412">
        <f>Результаты!$N$71</f>
        <v>0</v>
      </c>
      <c r="L292" s="412">
        <f>Результаты!$O$71</f>
        <v>0</v>
      </c>
      <c r="M292" s="412">
        <f>Результаты!$P$71</f>
        <v>0</v>
      </c>
      <c r="N292" s="412">
        <f>Результаты!$Q$71</f>
        <v>0</v>
      </c>
      <c r="O292" s="412">
        <f>Результаты!$R$71</f>
        <v>0</v>
      </c>
      <c r="P292" s="412">
        <f>Результаты!$S$71</f>
        <v>0</v>
      </c>
      <c r="Q292" s="412">
        <f>Результаты!$T$71</f>
        <v>0</v>
      </c>
      <c r="R292" s="412">
        <f>Результаты!$U$71</f>
        <v>0</v>
      </c>
      <c r="S292" s="412">
        <f>Результаты!$V$71</f>
        <v>0</v>
      </c>
      <c r="T292" s="412">
        <f>Результаты!$W$71</f>
        <v>0</v>
      </c>
      <c r="U292" s="412">
        <f>Результаты!$X$71</f>
        <v>0</v>
      </c>
      <c r="V292" s="412">
        <f>Результаты!$Y$71</f>
        <v>0</v>
      </c>
      <c r="W292" s="412">
        <f>Результаты!$Z$71</f>
        <v>0</v>
      </c>
      <c r="X292" s="412">
        <f>Результаты!$AA$71</f>
        <v>0</v>
      </c>
      <c r="Y292" s="412">
        <f>Результаты!$AB$71</f>
        <v>0</v>
      </c>
      <c r="Z292" s="412">
        <f>Результаты!$AC$71</f>
        <v>0</v>
      </c>
      <c r="AA292" s="412">
        <f>Результаты!$AD$71</f>
        <v>0</v>
      </c>
      <c r="AB292" s="412">
        <f>Результаты!$AE$71</f>
        <v>0</v>
      </c>
      <c r="AC292" s="412">
        <f>Результаты!$AF$71</f>
        <v>0</v>
      </c>
      <c r="AD292" s="412">
        <f>Результаты!$AG$71</f>
        <v>0</v>
      </c>
      <c r="AE292" s="412">
        <f>Результаты!$AH$71</f>
        <v>0</v>
      </c>
      <c r="AF292" s="412">
        <f>Результаты!$AI$71</f>
        <v>0</v>
      </c>
      <c r="AG292" s="412">
        <f>Результаты!$AJ$71</f>
        <v>0</v>
      </c>
      <c r="AH292" s="412">
        <f>Результаты!$AK$71</f>
        <v>0</v>
      </c>
      <c r="AI292" s="412">
        <f>Результаты!$AL$71</f>
        <v>0</v>
      </c>
      <c r="AJ292" s="412">
        <f>Результаты!$AM$71</f>
        <v>0</v>
      </c>
      <c r="AK292" s="412">
        <f>Результаты!$AN$71</f>
        <v>0</v>
      </c>
      <c r="AL292" s="412">
        <f>Результаты!$AO$71</f>
        <v>0</v>
      </c>
      <c r="AM292" s="412">
        <f>Результаты!$AP$71</f>
        <v>0</v>
      </c>
      <c r="AN292" s="412">
        <f>Результаты!$AQ$71</f>
        <v>0</v>
      </c>
      <c r="AO292" s="412">
        <f>Результаты!$AR$71</f>
        <v>0</v>
      </c>
      <c r="AP292" s="412">
        <f>Результаты!$AS$71</f>
        <v>0</v>
      </c>
      <c r="AQ292" s="412">
        <f>Результаты!$AT$71</f>
        <v>0</v>
      </c>
      <c r="AR292" s="412">
        <f>Результаты!$AU$71</f>
        <v>0</v>
      </c>
      <c r="AS292" s="412">
        <f>Результаты!$AV$71</f>
        <v>0</v>
      </c>
      <c r="AT292" s="412">
        <f>Результаты!$AW$71</f>
        <v>0</v>
      </c>
      <c r="AU292" s="412">
        <f>Результаты!$AX$71</f>
        <v>0</v>
      </c>
      <c r="AV292" s="412">
        <f>Результаты!$AY$71</f>
        <v>0</v>
      </c>
      <c r="AW292" s="412">
        <f>Результаты!$AZ$71</f>
        <v>0</v>
      </c>
      <c r="AX292" s="412">
        <f>Результаты!$BA$71</f>
        <v>0</v>
      </c>
      <c r="AY292" s="412">
        <f>Результаты!$BB$71</f>
        <v>0</v>
      </c>
      <c r="AZ292" s="413">
        <f>Результаты!$BD$71</f>
        <v>800000</v>
      </c>
      <c r="BA292" s="390"/>
      <c r="BB292" s="390"/>
    </row>
    <row r="293" spans="1:54" ht="13.95" customHeight="1" x14ac:dyDescent="0.3">
      <c r="A293" s="397" t="str">
        <f>Результаты!$A$72</f>
        <v>Облагораживание территории</v>
      </c>
      <c r="B293" s="359">
        <f>Результаты!$B$72</f>
        <v>800000</v>
      </c>
      <c r="C293" s="427" t="str">
        <f ca="1">Результаты!$C$72</f>
        <v>руб.</v>
      </c>
      <c r="D293" s="399">
        <f>Результаты!$G$72</f>
        <v>266667</v>
      </c>
      <c r="E293" s="399">
        <f>Результаты!$H$72</f>
        <v>266667</v>
      </c>
      <c r="F293" s="399">
        <f>Результаты!$I$72</f>
        <v>266666</v>
      </c>
      <c r="G293" s="399">
        <f>Результаты!$J$72</f>
        <v>0</v>
      </c>
      <c r="H293" s="399">
        <f>Результаты!$K$72</f>
        <v>0</v>
      </c>
      <c r="I293" s="399">
        <f>Результаты!$L$72</f>
        <v>0</v>
      </c>
      <c r="J293" s="399">
        <f>Результаты!$M$72</f>
        <v>0</v>
      </c>
      <c r="K293" s="399">
        <f>Результаты!$N$72</f>
        <v>0</v>
      </c>
      <c r="L293" s="399">
        <f>Результаты!$O$72</f>
        <v>0</v>
      </c>
      <c r="M293" s="399">
        <f>Результаты!$P$72</f>
        <v>0</v>
      </c>
      <c r="N293" s="399">
        <f>Результаты!$Q$72</f>
        <v>0</v>
      </c>
      <c r="O293" s="399">
        <f>Результаты!$R$72</f>
        <v>0</v>
      </c>
      <c r="P293" s="399">
        <f>Результаты!$S$72</f>
        <v>0</v>
      </c>
      <c r="Q293" s="399">
        <f>Результаты!$T$72</f>
        <v>0</v>
      </c>
      <c r="R293" s="399">
        <f>Результаты!$U$72</f>
        <v>0</v>
      </c>
      <c r="S293" s="399">
        <f>Результаты!$V$72</f>
        <v>0</v>
      </c>
      <c r="T293" s="399">
        <f>Результаты!$W$72</f>
        <v>0</v>
      </c>
      <c r="U293" s="399">
        <f>Результаты!$X$72</f>
        <v>0</v>
      </c>
      <c r="V293" s="399">
        <f>Результаты!$Y$72</f>
        <v>0</v>
      </c>
      <c r="W293" s="399">
        <f>Результаты!$Z$72</f>
        <v>0</v>
      </c>
      <c r="X293" s="399">
        <f>Результаты!$AA$72</f>
        <v>0</v>
      </c>
      <c r="Y293" s="399">
        <f>Результаты!$AB$72</f>
        <v>0</v>
      </c>
      <c r="Z293" s="399">
        <f>Результаты!$AC$72</f>
        <v>0</v>
      </c>
      <c r="AA293" s="399">
        <f>Результаты!$AD$72</f>
        <v>0</v>
      </c>
      <c r="AB293" s="399">
        <f>Результаты!$AE$72</f>
        <v>0</v>
      </c>
      <c r="AC293" s="399">
        <f>Результаты!$AF$72</f>
        <v>0</v>
      </c>
      <c r="AD293" s="399">
        <f>Результаты!$AG$72</f>
        <v>0</v>
      </c>
      <c r="AE293" s="399">
        <f>Результаты!$AH$72</f>
        <v>0</v>
      </c>
      <c r="AF293" s="399">
        <f>Результаты!$AI$72</f>
        <v>0</v>
      </c>
      <c r="AG293" s="399">
        <f>Результаты!$AJ$72</f>
        <v>0</v>
      </c>
      <c r="AH293" s="399">
        <f>Результаты!$AK$72</f>
        <v>0</v>
      </c>
      <c r="AI293" s="399">
        <f>Результаты!$AL$72</f>
        <v>0</v>
      </c>
      <c r="AJ293" s="399">
        <f>Результаты!$AM$72</f>
        <v>0</v>
      </c>
      <c r="AK293" s="399">
        <f>Результаты!$AN$72</f>
        <v>0</v>
      </c>
      <c r="AL293" s="399">
        <f>Результаты!$AO$72</f>
        <v>0</v>
      </c>
      <c r="AM293" s="399">
        <f>Результаты!$AP$72</f>
        <v>0</v>
      </c>
      <c r="AN293" s="399">
        <f>Результаты!$AQ$72</f>
        <v>0</v>
      </c>
      <c r="AO293" s="399">
        <f>Результаты!$AR$72</f>
        <v>0</v>
      </c>
      <c r="AP293" s="399">
        <f>Результаты!$AS$72</f>
        <v>0</v>
      </c>
      <c r="AQ293" s="399">
        <f>Результаты!$AT$72</f>
        <v>0</v>
      </c>
      <c r="AR293" s="399">
        <f>Результаты!$AU$72</f>
        <v>0</v>
      </c>
      <c r="AS293" s="399">
        <f>Результаты!$AV$72</f>
        <v>0</v>
      </c>
      <c r="AT293" s="399">
        <f>Результаты!$AW$72</f>
        <v>0</v>
      </c>
      <c r="AU293" s="399">
        <f>Результаты!$AX$72</f>
        <v>0</v>
      </c>
      <c r="AV293" s="399">
        <f>Результаты!$AY$72</f>
        <v>0</v>
      </c>
      <c r="AW293" s="399">
        <f>Результаты!$AZ$72</f>
        <v>0</v>
      </c>
      <c r="AX293" s="399">
        <f>Результаты!$BA$72</f>
        <v>0</v>
      </c>
      <c r="AY293" s="399">
        <f>Результаты!$BB$72</f>
        <v>0</v>
      </c>
      <c r="AZ293" s="392">
        <f>Результаты!$BD$72</f>
        <v>800000</v>
      </c>
      <c r="BA293" s="390"/>
      <c r="BB293" s="390"/>
    </row>
    <row r="294" spans="1:54" ht="13.95" customHeight="1" x14ac:dyDescent="0.3">
      <c r="A294" s="409"/>
      <c r="B294" s="409"/>
      <c r="C294" s="409"/>
      <c r="D294" s="409"/>
      <c r="E294" s="409"/>
      <c r="F294" s="409"/>
      <c r="G294" s="409"/>
      <c r="H294" s="409"/>
      <c r="I294" s="409"/>
      <c r="J294" s="409"/>
      <c r="K294" s="409"/>
      <c r="L294" s="409"/>
      <c r="M294" s="409"/>
      <c r="N294" s="409"/>
      <c r="O294" s="409"/>
      <c r="P294" s="409"/>
      <c r="Q294" s="409"/>
      <c r="R294" s="409"/>
      <c r="S294" s="409"/>
      <c r="T294" s="409"/>
      <c r="U294" s="409"/>
      <c r="V294" s="409"/>
      <c r="W294" s="409"/>
      <c r="X294" s="409"/>
      <c r="Y294" s="409"/>
      <c r="Z294" s="409"/>
      <c r="AA294" s="409"/>
      <c r="AB294" s="409"/>
      <c r="AC294" s="409"/>
      <c r="AD294" s="409"/>
      <c r="AE294" s="409"/>
      <c r="AF294" s="409"/>
      <c r="AG294" s="409"/>
      <c r="AH294" s="409"/>
      <c r="AI294" s="409"/>
      <c r="AJ294" s="409"/>
      <c r="AK294" s="409"/>
      <c r="AL294" s="409"/>
      <c r="AM294" s="409"/>
      <c r="AN294" s="409"/>
      <c r="AO294" s="409"/>
      <c r="AP294" s="409"/>
      <c r="AQ294" s="409"/>
      <c r="AR294" s="409"/>
      <c r="AS294" s="409"/>
      <c r="AT294" s="409"/>
      <c r="AU294" s="409"/>
      <c r="AV294" s="409"/>
      <c r="AW294" s="409"/>
      <c r="AX294" s="409"/>
      <c r="AY294" s="409"/>
      <c r="AZ294" s="410"/>
      <c r="BA294" s="390"/>
      <c r="BB294" s="390"/>
    </row>
    <row r="295" spans="1:54" ht="13.95" customHeight="1" x14ac:dyDescent="0.3">
      <c r="A295" s="393" t="str">
        <f ca="1">Результаты!$A$74</f>
        <v>Здания и сооружения</v>
      </c>
      <c r="B295" s="358">
        <f>Результаты!$B$74</f>
        <v>205000000</v>
      </c>
      <c r="C295" s="414" t="str">
        <f ca="1">Результаты!$C$74</f>
        <v>руб.</v>
      </c>
      <c r="D295" s="412">
        <f>Результаты!$G$74</f>
        <v>0</v>
      </c>
      <c r="E295" s="412">
        <f>Результаты!$H$74</f>
        <v>0</v>
      </c>
      <c r="F295" s="412">
        <f>Результаты!$I$74</f>
        <v>135000000</v>
      </c>
      <c r="G295" s="412">
        <f>Результаты!$J$74</f>
        <v>17000000</v>
      </c>
      <c r="H295" s="412">
        <f>Результаты!$K$74</f>
        <v>17000000</v>
      </c>
      <c r="I295" s="412">
        <f>Результаты!$L$74</f>
        <v>16000000</v>
      </c>
      <c r="J295" s="412">
        <f>Результаты!$M$74</f>
        <v>10000000</v>
      </c>
      <c r="K295" s="412">
        <f>Результаты!$N$74</f>
        <v>10000000</v>
      </c>
      <c r="L295" s="412">
        <f>Результаты!$O$74</f>
        <v>0</v>
      </c>
      <c r="M295" s="412">
        <f>Результаты!$P$74</f>
        <v>0</v>
      </c>
      <c r="N295" s="412">
        <f>Результаты!$Q$74</f>
        <v>0</v>
      </c>
      <c r="O295" s="412">
        <f>Результаты!$R$74</f>
        <v>0</v>
      </c>
      <c r="P295" s="412">
        <f>Результаты!$S$74</f>
        <v>0</v>
      </c>
      <c r="Q295" s="412">
        <f>Результаты!$T$74</f>
        <v>0</v>
      </c>
      <c r="R295" s="412">
        <f>Результаты!$U$74</f>
        <v>0</v>
      </c>
      <c r="S295" s="412">
        <f>Результаты!$V$74</f>
        <v>0</v>
      </c>
      <c r="T295" s="412">
        <f>Результаты!$W$74</f>
        <v>0</v>
      </c>
      <c r="U295" s="412">
        <f>Результаты!$X$74</f>
        <v>0</v>
      </c>
      <c r="V295" s="412">
        <f>Результаты!$Y$74</f>
        <v>0</v>
      </c>
      <c r="W295" s="412">
        <f>Результаты!$Z$74</f>
        <v>0</v>
      </c>
      <c r="X295" s="412">
        <f>Результаты!$AA$74</f>
        <v>0</v>
      </c>
      <c r="Y295" s="412">
        <f>Результаты!$AB$74</f>
        <v>0</v>
      </c>
      <c r="Z295" s="412">
        <f>Результаты!$AC$74</f>
        <v>0</v>
      </c>
      <c r="AA295" s="412">
        <f>Результаты!$AD$74</f>
        <v>0</v>
      </c>
      <c r="AB295" s="412">
        <f>Результаты!$AE$74</f>
        <v>0</v>
      </c>
      <c r="AC295" s="412">
        <f>Результаты!$AF$74</f>
        <v>0</v>
      </c>
      <c r="AD295" s="412">
        <f>Результаты!$AG$74</f>
        <v>0</v>
      </c>
      <c r="AE295" s="412">
        <f>Результаты!$AH$74</f>
        <v>0</v>
      </c>
      <c r="AF295" s="412">
        <f>Результаты!$AI$74</f>
        <v>0</v>
      </c>
      <c r="AG295" s="412">
        <f>Результаты!$AJ$74</f>
        <v>0</v>
      </c>
      <c r="AH295" s="412">
        <f>Результаты!$AK$74</f>
        <v>0</v>
      </c>
      <c r="AI295" s="412">
        <f>Результаты!$AL$74</f>
        <v>0</v>
      </c>
      <c r="AJ295" s="412">
        <f>Результаты!$AM$74</f>
        <v>0</v>
      </c>
      <c r="AK295" s="412">
        <f>Результаты!$AN$74</f>
        <v>0</v>
      </c>
      <c r="AL295" s="412">
        <f>Результаты!$AO$74</f>
        <v>0</v>
      </c>
      <c r="AM295" s="412">
        <f>Результаты!$AP$74</f>
        <v>0</v>
      </c>
      <c r="AN295" s="412">
        <f>Результаты!$AQ$74</f>
        <v>0</v>
      </c>
      <c r="AO295" s="412">
        <f>Результаты!$AR$74</f>
        <v>0</v>
      </c>
      <c r="AP295" s="412">
        <f>Результаты!$AS$74</f>
        <v>0</v>
      </c>
      <c r="AQ295" s="412">
        <f>Результаты!$AT$74</f>
        <v>0</v>
      </c>
      <c r="AR295" s="412">
        <f>Результаты!$AU$74</f>
        <v>0</v>
      </c>
      <c r="AS295" s="412">
        <f>Результаты!$AV$74</f>
        <v>0</v>
      </c>
      <c r="AT295" s="412">
        <f>Результаты!$AW$74</f>
        <v>0</v>
      </c>
      <c r="AU295" s="412">
        <f>Результаты!$AX$74</f>
        <v>0</v>
      </c>
      <c r="AV295" s="412">
        <f>Результаты!$AY$74</f>
        <v>0</v>
      </c>
      <c r="AW295" s="412">
        <f>Результаты!$AZ$74</f>
        <v>0</v>
      </c>
      <c r="AX295" s="412">
        <f>Результаты!$BA$74</f>
        <v>0</v>
      </c>
      <c r="AY295" s="412">
        <f>Результаты!$BB$74</f>
        <v>0</v>
      </c>
      <c r="AZ295" s="413">
        <f>Результаты!$BD$74</f>
        <v>205000000</v>
      </c>
      <c r="BA295" s="390"/>
      <c r="BB295" s="390"/>
    </row>
    <row r="296" spans="1:54" ht="13.95" customHeight="1" x14ac:dyDescent="0.3">
      <c r="A296" s="397" t="str">
        <f>Результаты!$A$75</f>
        <v>Покупка здания ресторана</v>
      </c>
      <c r="B296" s="359">
        <f>Результаты!$B$75</f>
        <v>50000000</v>
      </c>
      <c r="C296" s="427" t="str">
        <f ca="1">Результаты!$C$75</f>
        <v>руб.</v>
      </c>
      <c r="D296" s="399">
        <f>Результаты!$G$75</f>
        <v>0</v>
      </c>
      <c r="E296" s="399">
        <f>Результаты!$H$75</f>
        <v>0</v>
      </c>
      <c r="F296" s="399">
        <f>Результаты!$I$75</f>
        <v>50000000</v>
      </c>
      <c r="G296" s="399">
        <f>Результаты!$J$75</f>
        <v>0</v>
      </c>
      <c r="H296" s="399">
        <f>Результаты!$K$75</f>
        <v>0</v>
      </c>
      <c r="I296" s="399">
        <f>Результаты!$L$75</f>
        <v>0</v>
      </c>
      <c r="J296" s="399">
        <f>Результаты!$M$75</f>
        <v>0</v>
      </c>
      <c r="K296" s="399">
        <f>Результаты!$N$75</f>
        <v>0</v>
      </c>
      <c r="L296" s="399">
        <f>Результаты!$O$75</f>
        <v>0</v>
      </c>
      <c r="M296" s="399">
        <f>Результаты!$P$75</f>
        <v>0</v>
      </c>
      <c r="N296" s="399">
        <f>Результаты!$Q$75</f>
        <v>0</v>
      </c>
      <c r="O296" s="399">
        <f>Результаты!$R$75</f>
        <v>0</v>
      </c>
      <c r="P296" s="399">
        <f>Результаты!$S$75</f>
        <v>0</v>
      </c>
      <c r="Q296" s="399">
        <f>Результаты!$T$75</f>
        <v>0</v>
      </c>
      <c r="R296" s="399">
        <f>Результаты!$U$75</f>
        <v>0</v>
      </c>
      <c r="S296" s="399">
        <f>Результаты!$V$75</f>
        <v>0</v>
      </c>
      <c r="T296" s="399">
        <f>Результаты!$W$75</f>
        <v>0</v>
      </c>
      <c r="U296" s="399">
        <f>Результаты!$X$75</f>
        <v>0</v>
      </c>
      <c r="V296" s="399">
        <f>Результаты!$Y$75</f>
        <v>0</v>
      </c>
      <c r="W296" s="399">
        <f>Результаты!$Z$75</f>
        <v>0</v>
      </c>
      <c r="X296" s="399">
        <f>Результаты!$AA$75</f>
        <v>0</v>
      </c>
      <c r="Y296" s="399">
        <f>Результаты!$AB$75</f>
        <v>0</v>
      </c>
      <c r="Z296" s="399">
        <f>Результаты!$AC$75</f>
        <v>0</v>
      </c>
      <c r="AA296" s="399">
        <f>Результаты!$AD$75</f>
        <v>0</v>
      </c>
      <c r="AB296" s="399">
        <f>Результаты!$AE$75</f>
        <v>0</v>
      </c>
      <c r="AC296" s="399">
        <f>Результаты!$AF$75</f>
        <v>0</v>
      </c>
      <c r="AD296" s="399">
        <f>Результаты!$AG$75</f>
        <v>0</v>
      </c>
      <c r="AE296" s="399">
        <f>Результаты!$AH$75</f>
        <v>0</v>
      </c>
      <c r="AF296" s="399">
        <f>Результаты!$AI$75</f>
        <v>0</v>
      </c>
      <c r="AG296" s="399">
        <f>Результаты!$AJ$75</f>
        <v>0</v>
      </c>
      <c r="AH296" s="399">
        <f>Результаты!$AK$75</f>
        <v>0</v>
      </c>
      <c r="AI296" s="399">
        <f>Результаты!$AL$75</f>
        <v>0</v>
      </c>
      <c r="AJ296" s="399">
        <f>Результаты!$AM$75</f>
        <v>0</v>
      </c>
      <c r="AK296" s="399">
        <f>Результаты!$AN$75</f>
        <v>0</v>
      </c>
      <c r="AL296" s="399">
        <f>Результаты!$AO$75</f>
        <v>0</v>
      </c>
      <c r="AM296" s="399">
        <f>Результаты!$AP$75</f>
        <v>0</v>
      </c>
      <c r="AN296" s="399">
        <f>Результаты!$AQ$75</f>
        <v>0</v>
      </c>
      <c r="AO296" s="399">
        <f>Результаты!$AR$75</f>
        <v>0</v>
      </c>
      <c r="AP296" s="399">
        <f>Результаты!$AS$75</f>
        <v>0</v>
      </c>
      <c r="AQ296" s="399">
        <f>Результаты!$AT$75</f>
        <v>0</v>
      </c>
      <c r="AR296" s="399">
        <f>Результаты!$AU$75</f>
        <v>0</v>
      </c>
      <c r="AS296" s="399">
        <f>Результаты!$AV$75</f>
        <v>0</v>
      </c>
      <c r="AT296" s="399">
        <f>Результаты!$AW$75</f>
        <v>0</v>
      </c>
      <c r="AU296" s="399">
        <f>Результаты!$AX$75</f>
        <v>0</v>
      </c>
      <c r="AV296" s="399">
        <f>Результаты!$AY$75</f>
        <v>0</v>
      </c>
      <c r="AW296" s="399">
        <f>Результаты!$AZ$75</f>
        <v>0</v>
      </c>
      <c r="AX296" s="399">
        <f>Результаты!$BA$75</f>
        <v>0</v>
      </c>
      <c r="AY296" s="399">
        <f>Результаты!$BB$75</f>
        <v>0</v>
      </c>
      <c r="AZ296" s="392">
        <f>Результаты!$BD$75</f>
        <v>50000000</v>
      </c>
      <c r="BA296" s="390"/>
      <c r="BB296" s="390"/>
    </row>
    <row r="297" spans="1:54" ht="13.95" customHeight="1" x14ac:dyDescent="0.3">
      <c r="A297" s="397" t="str">
        <f>Результаты!$A$76</f>
        <v>Реконструкция здания ресторана</v>
      </c>
      <c r="B297" s="359">
        <f>Результаты!$B$76</f>
        <v>60000000</v>
      </c>
      <c r="C297" s="427" t="str">
        <f ca="1">Результаты!$C$76</f>
        <v>руб.</v>
      </c>
      <c r="D297" s="399">
        <f>Результаты!$G$76</f>
        <v>0</v>
      </c>
      <c r="E297" s="399">
        <f>Результаты!$H$76</f>
        <v>0</v>
      </c>
      <c r="F297" s="399">
        <f>Результаты!$I$76</f>
        <v>10000000</v>
      </c>
      <c r="G297" s="399">
        <f>Результаты!$J$76</f>
        <v>10000000</v>
      </c>
      <c r="H297" s="399">
        <f>Результаты!$K$76</f>
        <v>10000000</v>
      </c>
      <c r="I297" s="399">
        <f>Результаты!$L$76</f>
        <v>10000000</v>
      </c>
      <c r="J297" s="399">
        <f>Результаты!$M$76</f>
        <v>10000000</v>
      </c>
      <c r="K297" s="399">
        <f>Результаты!$N$76</f>
        <v>10000000</v>
      </c>
      <c r="L297" s="399">
        <f>Результаты!$O$76</f>
        <v>0</v>
      </c>
      <c r="M297" s="399">
        <f>Результаты!$P$76</f>
        <v>0</v>
      </c>
      <c r="N297" s="399">
        <f>Результаты!$Q$76</f>
        <v>0</v>
      </c>
      <c r="O297" s="399">
        <f>Результаты!$R$76</f>
        <v>0</v>
      </c>
      <c r="P297" s="399">
        <f>Результаты!$S$76</f>
        <v>0</v>
      </c>
      <c r="Q297" s="399">
        <f>Результаты!$T$76</f>
        <v>0</v>
      </c>
      <c r="R297" s="399">
        <f>Результаты!$U$76</f>
        <v>0</v>
      </c>
      <c r="S297" s="399">
        <f>Результаты!$V$76</f>
        <v>0</v>
      </c>
      <c r="T297" s="399">
        <f>Результаты!$W$76</f>
        <v>0</v>
      </c>
      <c r="U297" s="399">
        <f>Результаты!$X$76</f>
        <v>0</v>
      </c>
      <c r="V297" s="399">
        <f>Результаты!$Y$76</f>
        <v>0</v>
      </c>
      <c r="W297" s="399">
        <f>Результаты!$Z$76</f>
        <v>0</v>
      </c>
      <c r="X297" s="399">
        <f>Результаты!$AA$76</f>
        <v>0</v>
      </c>
      <c r="Y297" s="399">
        <f>Результаты!$AB$76</f>
        <v>0</v>
      </c>
      <c r="Z297" s="399">
        <f>Результаты!$AC$76</f>
        <v>0</v>
      </c>
      <c r="AA297" s="399">
        <f>Результаты!$AD$76</f>
        <v>0</v>
      </c>
      <c r="AB297" s="399">
        <f>Результаты!$AE$76</f>
        <v>0</v>
      </c>
      <c r="AC297" s="399">
        <f>Результаты!$AF$76</f>
        <v>0</v>
      </c>
      <c r="AD297" s="399">
        <f>Результаты!$AG$76</f>
        <v>0</v>
      </c>
      <c r="AE297" s="399">
        <f>Результаты!$AH$76</f>
        <v>0</v>
      </c>
      <c r="AF297" s="399">
        <f>Результаты!$AI$76</f>
        <v>0</v>
      </c>
      <c r="AG297" s="399">
        <f>Результаты!$AJ$76</f>
        <v>0</v>
      </c>
      <c r="AH297" s="399">
        <f>Результаты!$AK$76</f>
        <v>0</v>
      </c>
      <c r="AI297" s="399">
        <f>Результаты!$AL$76</f>
        <v>0</v>
      </c>
      <c r="AJ297" s="399">
        <f>Результаты!$AM$76</f>
        <v>0</v>
      </c>
      <c r="AK297" s="399">
        <f>Результаты!$AN$76</f>
        <v>0</v>
      </c>
      <c r="AL297" s="399">
        <f>Результаты!$AO$76</f>
        <v>0</v>
      </c>
      <c r="AM297" s="399">
        <f>Результаты!$AP$76</f>
        <v>0</v>
      </c>
      <c r="AN297" s="399">
        <f>Результаты!$AQ$76</f>
        <v>0</v>
      </c>
      <c r="AO297" s="399">
        <f>Результаты!$AR$76</f>
        <v>0</v>
      </c>
      <c r="AP297" s="399">
        <f>Результаты!$AS$76</f>
        <v>0</v>
      </c>
      <c r="AQ297" s="399">
        <f>Результаты!$AT$76</f>
        <v>0</v>
      </c>
      <c r="AR297" s="399">
        <f>Результаты!$AU$76</f>
        <v>0</v>
      </c>
      <c r="AS297" s="399">
        <f>Результаты!$AV$76</f>
        <v>0</v>
      </c>
      <c r="AT297" s="399">
        <f>Результаты!$AW$76</f>
        <v>0</v>
      </c>
      <c r="AU297" s="399">
        <f>Результаты!$AX$76</f>
        <v>0</v>
      </c>
      <c r="AV297" s="399">
        <f>Результаты!$AY$76</f>
        <v>0</v>
      </c>
      <c r="AW297" s="399">
        <f>Результаты!$AZ$76</f>
        <v>0</v>
      </c>
      <c r="AX297" s="399">
        <f>Результаты!$BA$76</f>
        <v>0</v>
      </c>
      <c r="AY297" s="399">
        <f>Результаты!$BB$76</f>
        <v>0</v>
      </c>
      <c r="AZ297" s="392">
        <f>Результаты!$BD$76</f>
        <v>60000000</v>
      </c>
      <c r="BA297" s="390"/>
      <c r="BB297" s="390"/>
    </row>
    <row r="298" spans="1:54" ht="13.95" customHeight="1" x14ac:dyDescent="0.3">
      <c r="A298" s="397" t="str">
        <f>Результаты!$A$77</f>
        <v>Выкуп незавершенного строительства корпуса</v>
      </c>
      <c r="B298" s="359">
        <f>Результаты!$B$77</f>
        <v>75000000</v>
      </c>
      <c r="C298" s="427" t="str">
        <f ca="1">Результаты!$C$77</f>
        <v>руб.</v>
      </c>
      <c r="D298" s="399">
        <f>Результаты!$G$77</f>
        <v>0</v>
      </c>
      <c r="E298" s="399">
        <f>Результаты!$H$77</f>
        <v>0</v>
      </c>
      <c r="F298" s="399">
        <f>Результаты!$I$77</f>
        <v>75000000</v>
      </c>
      <c r="G298" s="399">
        <f>Результаты!$J$77</f>
        <v>0</v>
      </c>
      <c r="H298" s="399">
        <f>Результаты!$K$77</f>
        <v>0</v>
      </c>
      <c r="I298" s="399">
        <f>Результаты!$L$77</f>
        <v>0</v>
      </c>
      <c r="J298" s="399">
        <f>Результаты!$M$77</f>
        <v>0</v>
      </c>
      <c r="K298" s="399">
        <f>Результаты!$N$77</f>
        <v>0</v>
      </c>
      <c r="L298" s="399">
        <f>Результаты!$O$77</f>
        <v>0</v>
      </c>
      <c r="M298" s="399">
        <f>Результаты!$P$77</f>
        <v>0</v>
      </c>
      <c r="N298" s="399">
        <f>Результаты!$Q$77</f>
        <v>0</v>
      </c>
      <c r="O298" s="399">
        <f>Результаты!$R$77</f>
        <v>0</v>
      </c>
      <c r="P298" s="399">
        <f>Результаты!$S$77</f>
        <v>0</v>
      </c>
      <c r="Q298" s="399">
        <f>Результаты!$T$77</f>
        <v>0</v>
      </c>
      <c r="R298" s="399">
        <f>Результаты!$U$77</f>
        <v>0</v>
      </c>
      <c r="S298" s="399">
        <f>Результаты!$V$77</f>
        <v>0</v>
      </c>
      <c r="T298" s="399">
        <f>Результаты!$W$77</f>
        <v>0</v>
      </c>
      <c r="U298" s="399">
        <f>Результаты!$X$77</f>
        <v>0</v>
      </c>
      <c r="V298" s="399">
        <f>Результаты!$Y$77</f>
        <v>0</v>
      </c>
      <c r="W298" s="399">
        <f>Результаты!$Z$77</f>
        <v>0</v>
      </c>
      <c r="X298" s="399">
        <f>Результаты!$AA$77</f>
        <v>0</v>
      </c>
      <c r="Y298" s="399">
        <f>Результаты!$AB$77</f>
        <v>0</v>
      </c>
      <c r="Z298" s="399">
        <f>Результаты!$AC$77</f>
        <v>0</v>
      </c>
      <c r="AA298" s="399">
        <f>Результаты!$AD$77</f>
        <v>0</v>
      </c>
      <c r="AB298" s="399">
        <f>Результаты!$AE$77</f>
        <v>0</v>
      </c>
      <c r="AC298" s="399">
        <f>Результаты!$AF$77</f>
        <v>0</v>
      </c>
      <c r="AD298" s="399">
        <f>Результаты!$AG$77</f>
        <v>0</v>
      </c>
      <c r="AE298" s="399">
        <f>Результаты!$AH$77</f>
        <v>0</v>
      </c>
      <c r="AF298" s="399">
        <f>Результаты!$AI$77</f>
        <v>0</v>
      </c>
      <c r="AG298" s="399">
        <f>Результаты!$AJ$77</f>
        <v>0</v>
      </c>
      <c r="AH298" s="399">
        <f>Результаты!$AK$77</f>
        <v>0</v>
      </c>
      <c r="AI298" s="399">
        <f>Результаты!$AL$77</f>
        <v>0</v>
      </c>
      <c r="AJ298" s="399">
        <f>Результаты!$AM$77</f>
        <v>0</v>
      </c>
      <c r="AK298" s="399">
        <f>Результаты!$AN$77</f>
        <v>0</v>
      </c>
      <c r="AL298" s="399">
        <f>Результаты!$AO$77</f>
        <v>0</v>
      </c>
      <c r="AM298" s="399">
        <f>Результаты!$AP$77</f>
        <v>0</v>
      </c>
      <c r="AN298" s="399">
        <f>Результаты!$AQ$77</f>
        <v>0</v>
      </c>
      <c r="AO298" s="399">
        <f>Результаты!$AR$77</f>
        <v>0</v>
      </c>
      <c r="AP298" s="399">
        <f>Результаты!$AS$77</f>
        <v>0</v>
      </c>
      <c r="AQ298" s="399">
        <f>Результаты!$AT$77</f>
        <v>0</v>
      </c>
      <c r="AR298" s="399">
        <f>Результаты!$AU$77</f>
        <v>0</v>
      </c>
      <c r="AS298" s="399">
        <f>Результаты!$AV$77</f>
        <v>0</v>
      </c>
      <c r="AT298" s="399">
        <f>Результаты!$AW$77</f>
        <v>0</v>
      </c>
      <c r="AU298" s="399">
        <f>Результаты!$AX$77</f>
        <v>0</v>
      </c>
      <c r="AV298" s="399">
        <f>Результаты!$AY$77</f>
        <v>0</v>
      </c>
      <c r="AW298" s="399">
        <f>Результаты!$AZ$77</f>
        <v>0</v>
      </c>
      <c r="AX298" s="399">
        <f>Результаты!$BA$77</f>
        <v>0</v>
      </c>
      <c r="AY298" s="399">
        <f>Результаты!$BB$77</f>
        <v>0</v>
      </c>
      <c r="AZ298" s="392">
        <f>Результаты!$BD$77</f>
        <v>75000000</v>
      </c>
      <c r="BA298" s="390"/>
      <c r="BB298" s="390"/>
    </row>
    <row r="299" spans="1:54" ht="13.95" customHeight="1" x14ac:dyDescent="0.3">
      <c r="A299" s="397" t="str">
        <f>Результаты!$A$78</f>
        <v>Завершение строительства корпуса</v>
      </c>
      <c r="B299" s="359">
        <f>Результаты!$B$78</f>
        <v>20000000</v>
      </c>
      <c r="C299" s="427" t="str">
        <f ca="1">Результаты!$C$78</f>
        <v>руб.</v>
      </c>
      <c r="D299" s="399">
        <f>Результаты!$G$78</f>
        <v>0</v>
      </c>
      <c r="E299" s="399">
        <f>Результаты!$H$78</f>
        <v>0</v>
      </c>
      <c r="F299" s="399">
        <f>Результаты!$I$78</f>
        <v>0</v>
      </c>
      <c r="G299" s="399">
        <f>Результаты!$J$78</f>
        <v>7000000</v>
      </c>
      <c r="H299" s="399">
        <f>Результаты!$K$78</f>
        <v>7000000</v>
      </c>
      <c r="I299" s="399">
        <f>Результаты!$L$78</f>
        <v>6000000</v>
      </c>
      <c r="J299" s="399">
        <f>Результаты!$M$78</f>
        <v>0</v>
      </c>
      <c r="K299" s="399">
        <f>Результаты!$N$78</f>
        <v>0</v>
      </c>
      <c r="L299" s="399">
        <f>Результаты!$O$78</f>
        <v>0</v>
      </c>
      <c r="M299" s="399">
        <f>Результаты!$P$78</f>
        <v>0</v>
      </c>
      <c r="N299" s="399">
        <f>Результаты!$Q$78</f>
        <v>0</v>
      </c>
      <c r="O299" s="399">
        <f>Результаты!$R$78</f>
        <v>0</v>
      </c>
      <c r="P299" s="399">
        <f>Результаты!$S$78</f>
        <v>0</v>
      </c>
      <c r="Q299" s="399">
        <f>Результаты!$T$78</f>
        <v>0</v>
      </c>
      <c r="R299" s="399">
        <f>Результаты!$U$78</f>
        <v>0</v>
      </c>
      <c r="S299" s="399">
        <f>Результаты!$V$78</f>
        <v>0</v>
      </c>
      <c r="T299" s="399">
        <f>Результаты!$W$78</f>
        <v>0</v>
      </c>
      <c r="U299" s="399">
        <f>Результаты!$X$78</f>
        <v>0</v>
      </c>
      <c r="V299" s="399">
        <f>Результаты!$Y$78</f>
        <v>0</v>
      </c>
      <c r="W299" s="399">
        <f>Результаты!$Z$78</f>
        <v>0</v>
      </c>
      <c r="X299" s="399">
        <f>Результаты!$AA$78</f>
        <v>0</v>
      </c>
      <c r="Y299" s="399">
        <f>Результаты!$AB$78</f>
        <v>0</v>
      </c>
      <c r="Z299" s="399">
        <f>Результаты!$AC$78</f>
        <v>0</v>
      </c>
      <c r="AA299" s="399">
        <f>Результаты!$AD$78</f>
        <v>0</v>
      </c>
      <c r="AB299" s="399">
        <f>Результаты!$AE$78</f>
        <v>0</v>
      </c>
      <c r="AC299" s="399">
        <f>Результаты!$AF$78</f>
        <v>0</v>
      </c>
      <c r="AD299" s="399">
        <f>Результаты!$AG$78</f>
        <v>0</v>
      </c>
      <c r="AE299" s="399">
        <f>Результаты!$AH$78</f>
        <v>0</v>
      </c>
      <c r="AF299" s="399">
        <f>Результаты!$AI$78</f>
        <v>0</v>
      </c>
      <c r="AG299" s="399">
        <f>Результаты!$AJ$78</f>
        <v>0</v>
      </c>
      <c r="AH299" s="399">
        <f>Результаты!$AK$78</f>
        <v>0</v>
      </c>
      <c r="AI299" s="399">
        <f>Результаты!$AL$78</f>
        <v>0</v>
      </c>
      <c r="AJ299" s="399">
        <f>Результаты!$AM$78</f>
        <v>0</v>
      </c>
      <c r="AK299" s="399">
        <f>Результаты!$AN$78</f>
        <v>0</v>
      </c>
      <c r="AL299" s="399">
        <f>Результаты!$AO$78</f>
        <v>0</v>
      </c>
      <c r="AM299" s="399">
        <f>Результаты!$AP$78</f>
        <v>0</v>
      </c>
      <c r="AN299" s="399">
        <f>Результаты!$AQ$78</f>
        <v>0</v>
      </c>
      <c r="AO299" s="399">
        <f>Результаты!$AR$78</f>
        <v>0</v>
      </c>
      <c r="AP299" s="399">
        <f>Результаты!$AS$78</f>
        <v>0</v>
      </c>
      <c r="AQ299" s="399">
        <f>Результаты!$AT$78</f>
        <v>0</v>
      </c>
      <c r="AR299" s="399">
        <f>Результаты!$AU$78</f>
        <v>0</v>
      </c>
      <c r="AS299" s="399">
        <f>Результаты!$AV$78</f>
        <v>0</v>
      </c>
      <c r="AT299" s="399">
        <f>Результаты!$AW$78</f>
        <v>0</v>
      </c>
      <c r="AU299" s="399">
        <f>Результаты!$AX$78</f>
        <v>0</v>
      </c>
      <c r="AV299" s="399">
        <f>Результаты!$AY$78</f>
        <v>0</v>
      </c>
      <c r="AW299" s="399">
        <f>Результаты!$AZ$78</f>
        <v>0</v>
      </c>
      <c r="AX299" s="399">
        <f>Результаты!$BA$78</f>
        <v>0</v>
      </c>
      <c r="AY299" s="399">
        <f>Результаты!$BB$78</f>
        <v>0</v>
      </c>
      <c r="AZ299" s="392">
        <f>Результаты!$BD$78</f>
        <v>20000000</v>
      </c>
      <c r="BA299" s="390"/>
      <c r="BB299" s="390"/>
    </row>
    <row r="300" spans="1:54" ht="13.95" customHeight="1" x14ac:dyDescent="0.3">
      <c r="A300" s="409"/>
      <c r="B300" s="409"/>
      <c r="C300" s="409"/>
      <c r="D300" s="409"/>
      <c r="E300" s="409"/>
      <c r="F300" s="409"/>
      <c r="G300" s="409"/>
      <c r="H300" s="409"/>
      <c r="I300" s="409"/>
      <c r="J300" s="409"/>
      <c r="K300" s="409"/>
      <c r="L300" s="409"/>
      <c r="M300" s="409"/>
      <c r="N300" s="409"/>
      <c r="O300" s="409"/>
      <c r="P300" s="409"/>
      <c r="Q300" s="409"/>
      <c r="R300" s="409"/>
      <c r="S300" s="409"/>
      <c r="T300" s="409"/>
      <c r="U300" s="409"/>
      <c r="V300" s="409"/>
      <c r="W300" s="409"/>
      <c r="X300" s="409"/>
      <c r="Y300" s="409"/>
      <c r="Z300" s="409"/>
      <c r="AA300" s="409"/>
      <c r="AB300" s="409"/>
      <c r="AC300" s="409"/>
      <c r="AD300" s="409"/>
      <c r="AE300" s="409"/>
      <c r="AF300" s="409"/>
      <c r="AG300" s="409"/>
      <c r="AH300" s="409"/>
      <c r="AI300" s="409"/>
      <c r="AJ300" s="409"/>
      <c r="AK300" s="409"/>
      <c r="AL300" s="409"/>
      <c r="AM300" s="409"/>
      <c r="AN300" s="409"/>
      <c r="AO300" s="409"/>
      <c r="AP300" s="409"/>
      <c r="AQ300" s="409"/>
      <c r="AR300" s="409"/>
      <c r="AS300" s="409"/>
      <c r="AT300" s="409"/>
      <c r="AU300" s="409"/>
      <c r="AV300" s="409"/>
      <c r="AW300" s="409"/>
      <c r="AX300" s="409"/>
      <c r="AY300" s="409"/>
      <c r="AZ300" s="410"/>
      <c r="BA300" s="390"/>
      <c r="BB300" s="390"/>
    </row>
    <row r="301" spans="1:54" ht="13.95" customHeight="1" x14ac:dyDescent="0.3">
      <c r="A301" s="393" t="str">
        <f ca="1">Результаты!$A$80</f>
        <v>Оборудование</v>
      </c>
      <c r="B301" s="358">
        <f>Результаты!$B$80</f>
        <v>5900000</v>
      </c>
      <c r="C301" s="414" t="str">
        <f ca="1">Результаты!$C$80</f>
        <v>руб.</v>
      </c>
      <c r="D301" s="412">
        <f>Результаты!$G$80</f>
        <v>0</v>
      </c>
      <c r="E301" s="412">
        <f>Результаты!$H$80</f>
        <v>1366666.6666666667</v>
      </c>
      <c r="F301" s="412">
        <f>Результаты!$I$80</f>
        <v>1366666.6666666667</v>
      </c>
      <c r="G301" s="412">
        <f>Результаты!$J$80</f>
        <v>1366666.6666666667</v>
      </c>
      <c r="H301" s="412">
        <f>Результаты!$K$80</f>
        <v>0</v>
      </c>
      <c r="I301" s="412">
        <f>Результаты!$L$80</f>
        <v>1800000</v>
      </c>
      <c r="J301" s="412">
        <f>Результаты!$M$80</f>
        <v>0</v>
      </c>
      <c r="K301" s="412">
        <f>Результаты!$N$80</f>
        <v>0</v>
      </c>
      <c r="L301" s="412">
        <f>Результаты!$O$80</f>
        <v>0</v>
      </c>
      <c r="M301" s="412">
        <f>Результаты!$P$80</f>
        <v>0</v>
      </c>
      <c r="N301" s="412">
        <f>Результаты!$Q$80</f>
        <v>0</v>
      </c>
      <c r="O301" s="412">
        <f>Результаты!$R$80</f>
        <v>0</v>
      </c>
      <c r="P301" s="412">
        <f>Результаты!$S$80</f>
        <v>0</v>
      </c>
      <c r="Q301" s="412">
        <f>Результаты!$T$80</f>
        <v>0</v>
      </c>
      <c r="R301" s="412">
        <f>Результаты!$U$80</f>
        <v>0</v>
      </c>
      <c r="S301" s="412">
        <f>Результаты!$V$80</f>
        <v>0</v>
      </c>
      <c r="T301" s="412">
        <f>Результаты!$W$80</f>
        <v>0</v>
      </c>
      <c r="U301" s="412">
        <f>Результаты!$X$80</f>
        <v>0</v>
      </c>
      <c r="V301" s="412">
        <f>Результаты!$Y$80</f>
        <v>0</v>
      </c>
      <c r="W301" s="412">
        <f>Результаты!$Z$80</f>
        <v>0</v>
      </c>
      <c r="X301" s="412">
        <f>Результаты!$AA$80</f>
        <v>0</v>
      </c>
      <c r="Y301" s="412">
        <f>Результаты!$AB$80</f>
        <v>0</v>
      </c>
      <c r="Z301" s="412">
        <f>Результаты!$AC$80</f>
        <v>0</v>
      </c>
      <c r="AA301" s="412">
        <f>Результаты!$AD$80</f>
        <v>0</v>
      </c>
      <c r="AB301" s="412">
        <f>Результаты!$AE$80</f>
        <v>0</v>
      </c>
      <c r="AC301" s="412">
        <f>Результаты!$AF$80</f>
        <v>0</v>
      </c>
      <c r="AD301" s="412">
        <f>Результаты!$AG$80</f>
        <v>0</v>
      </c>
      <c r="AE301" s="412">
        <f>Результаты!$AH$80</f>
        <v>0</v>
      </c>
      <c r="AF301" s="412">
        <f>Результаты!$AI$80</f>
        <v>0</v>
      </c>
      <c r="AG301" s="412">
        <f>Результаты!$AJ$80</f>
        <v>0</v>
      </c>
      <c r="AH301" s="412">
        <f>Результаты!$AK$80</f>
        <v>0</v>
      </c>
      <c r="AI301" s="412">
        <f>Результаты!$AL$80</f>
        <v>0</v>
      </c>
      <c r="AJ301" s="412">
        <f>Результаты!$AM$80</f>
        <v>0</v>
      </c>
      <c r="AK301" s="412">
        <f>Результаты!$AN$80</f>
        <v>0</v>
      </c>
      <c r="AL301" s="412">
        <f>Результаты!$AO$80</f>
        <v>0</v>
      </c>
      <c r="AM301" s="412">
        <f>Результаты!$AP$80</f>
        <v>0</v>
      </c>
      <c r="AN301" s="412">
        <f>Результаты!$AQ$80</f>
        <v>0</v>
      </c>
      <c r="AO301" s="412">
        <f>Результаты!$AR$80</f>
        <v>0</v>
      </c>
      <c r="AP301" s="412">
        <f>Результаты!$AS$80</f>
        <v>0</v>
      </c>
      <c r="AQ301" s="412">
        <f>Результаты!$AT$80</f>
        <v>0</v>
      </c>
      <c r="AR301" s="412">
        <f>Результаты!$AU$80</f>
        <v>0</v>
      </c>
      <c r="AS301" s="412">
        <f>Результаты!$AV$80</f>
        <v>0</v>
      </c>
      <c r="AT301" s="412">
        <f>Результаты!$AW$80</f>
        <v>0</v>
      </c>
      <c r="AU301" s="412">
        <f>Результаты!$AX$80</f>
        <v>0</v>
      </c>
      <c r="AV301" s="412">
        <f>Результаты!$AY$80</f>
        <v>0</v>
      </c>
      <c r="AW301" s="412">
        <f>Результаты!$AZ$80</f>
        <v>0</v>
      </c>
      <c r="AX301" s="412">
        <f>Результаты!$BA$80</f>
        <v>0</v>
      </c>
      <c r="AY301" s="412">
        <f>Результаты!$BB$80</f>
        <v>0</v>
      </c>
      <c r="AZ301" s="413">
        <f>Результаты!$BD$80</f>
        <v>5900000</v>
      </c>
      <c r="BA301" s="390"/>
      <c r="BB301" s="390"/>
    </row>
    <row r="302" spans="1:54" ht="13.95" customHeight="1" x14ac:dyDescent="0.3">
      <c r="A302" s="397" t="str">
        <f>Результаты!$A$81</f>
        <v>Инвентарь для проекта</v>
      </c>
      <c r="B302" s="359">
        <f>Результаты!$B$81</f>
        <v>1800000</v>
      </c>
      <c r="C302" s="427" t="str">
        <f ca="1">Результаты!$C$81</f>
        <v>руб.</v>
      </c>
      <c r="D302" s="399">
        <f>Результаты!$G$81</f>
        <v>0</v>
      </c>
      <c r="E302" s="399">
        <f>Результаты!$H$81</f>
        <v>0</v>
      </c>
      <c r="F302" s="399">
        <f>Результаты!$I$81</f>
        <v>0</v>
      </c>
      <c r="G302" s="399">
        <f>Результаты!$J$81</f>
        <v>0</v>
      </c>
      <c r="H302" s="399">
        <f>Результаты!$K$81</f>
        <v>0</v>
      </c>
      <c r="I302" s="399">
        <f>Результаты!$L$81</f>
        <v>1800000</v>
      </c>
      <c r="J302" s="399">
        <f>Результаты!$M$81</f>
        <v>0</v>
      </c>
      <c r="K302" s="399">
        <f>Результаты!$N$81</f>
        <v>0</v>
      </c>
      <c r="L302" s="399">
        <f>Результаты!$O$81</f>
        <v>0</v>
      </c>
      <c r="M302" s="399">
        <f>Результаты!$P$81</f>
        <v>0</v>
      </c>
      <c r="N302" s="399">
        <f>Результаты!$Q$81</f>
        <v>0</v>
      </c>
      <c r="O302" s="399">
        <f>Результаты!$R$81</f>
        <v>0</v>
      </c>
      <c r="P302" s="399">
        <f>Результаты!$S$81</f>
        <v>0</v>
      </c>
      <c r="Q302" s="399">
        <f>Результаты!$T$81</f>
        <v>0</v>
      </c>
      <c r="R302" s="399">
        <f>Результаты!$U$81</f>
        <v>0</v>
      </c>
      <c r="S302" s="399">
        <f>Результаты!$V$81</f>
        <v>0</v>
      </c>
      <c r="T302" s="399">
        <f>Результаты!$W$81</f>
        <v>0</v>
      </c>
      <c r="U302" s="399">
        <f>Результаты!$X$81</f>
        <v>0</v>
      </c>
      <c r="V302" s="399">
        <f>Результаты!$Y$81</f>
        <v>0</v>
      </c>
      <c r="W302" s="399">
        <f>Результаты!$Z$81</f>
        <v>0</v>
      </c>
      <c r="X302" s="399">
        <f>Результаты!$AA$81</f>
        <v>0</v>
      </c>
      <c r="Y302" s="399">
        <f>Результаты!$AB$81</f>
        <v>0</v>
      </c>
      <c r="Z302" s="399">
        <f>Результаты!$AC$81</f>
        <v>0</v>
      </c>
      <c r="AA302" s="399">
        <f>Результаты!$AD$81</f>
        <v>0</v>
      </c>
      <c r="AB302" s="399">
        <f>Результаты!$AE$81</f>
        <v>0</v>
      </c>
      <c r="AC302" s="399">
        <f>Результаты!$AF$81</f>
        <v>0</v>
      </c>
      <c r="AD302" s="399">
        <f>Результаты!$AG$81</f>
        <v>0</v>
      </c>
      <c r="AE302" s="399">
        <f>Результаты!$AH$81</f>
        <v>0</v>
      </c>
      <c r="AF302" s="399">
        <f>Результаты!$AI$81</f>
        <v>0</v>
      </c>
      <c r="AG302" s="399">
        <f>Результаты!$AJ$81</f>
        <v>0</v>
      </c>
      <c r="AH302" s="399">
        <f>Результаты!$AK$81</f>
        <v>0</v>
      </c>
      <c r="AI302" s="399">
        <f>Результаты!$AL$81</f>
        <v>0</v>
      </c>
      <c r="AJ302" s="399">
        <f>Результаты!$AM$81</f>
        <v>0</v>
      </c>
      <c r="AK302" s="399">
        <f>Результаты!$AN$81</f>
        <v>0</v>
      </c>
      <c r="AL302" s="399">
        <f>Результаты!$AO$81</f>
        <v>0</v>
      </c>
      <c r="AM302" s="399">
        <f>Результаты!$AP$81</f>
        <v>0</v>
      </c>
      <c r="AN302" s="399">
        <f>Результаты!$AQ$81</f>
        <v>0</v>
      </c>
      <c r="AO302" s="399">
        <f>Результаты!$AR$81</f>
        <v>0</v>
      </c>
      <c r="AP302" s="399">
        <f>Результаты!$AS$81</f>
        <v>0</v>
      </c>
      <c r="AQ302" s="399">
        <f>Результаты!$AT$81</f>
        <v>0</v>
      </c>
      <c r="AR302" s="399">
        <f>Результаты!$AU$81</f>
        <v>0</v>
      </c>
      <c r="AS302" s="399">
        <f>Результаты!$AV$81</f>
        <v>0</v>
      </c>
      <c r="AT302" s="399">
        <f>Результаты!$AW$81</f>
        <v>0</v>
      </c>
      <c r="AU302" s="399">
        <f>Результаты!$AX$81</f>
        <v>0</v>
      </c>
      <c r="AV302" s="399">
        <f>Результаты!$AY$81</f>
        <v>0</v>
      </c>
      <c r="AW302" s="399">
        <f>Результаты!$AZ$81</f>
        <v>0</v>
      </c>
      <c r="AX302" s="399">
        <f>Результаты!$BA$81</f>
        <v>0</v>
      </c>
      <c r="AY302" s="399">
        <f>Результаты!$BB$81</f>
        <v>0</v>
      </c>
      <c r="AZ302" s="392">
        <f>Результаты!$BD$81</f>
        <v>1800000</v>
      </c>
      <c r="BA302" s="390"/>
      <c r="BB302" s="390"/>
    </row>
    <row r="303" spans="1:54" ht="13.95" customHeight="1" x14ac:dyDescent="0.3">
      <c r="A303" s="397" t="str">
        <f>Результаты!$A$82</f>
        <v>Инженерные сети</v>
      </c>
      <c r="B303" s="359">
        <f>Результаты!$B$82</f>
        <v>4100000</v>
      </c>
      <c r="C303" s="427" t="str">
        <f ca="1">Результаты!$C$82</f>
        <v>руб.</v>
      </c>
      <c r="D303" s="399">
        <f>Результаты!$G$82</f>
        <v>0</v>
      </c>
      <c r="E303" s="399">
        <f>Результаты!$H$82</f>
        <v>1366666.6666666667</v>
      </c>
      <c r="F303" s="399">
        <f>Результаты!$I$82</f>
        <v>1366666.6666666667</v>
      </c>
      <c r="G303" s="399">
        <f>Результаты!$J$82</f>
        <v>1366666.6666666667</v>
      </c>
      <c r="H303" s="399">
        <f>Результаты!$K$82</f>
        <v>0</v>
      </c>
      <c r="I303" s="399">
        <f>Результаты!$L$82</f>
        <v>0</v>
      </c>
      <c r="J303" s="399">
        <f>Результаты!$M$82</f>
        <v>0</v>
      </c>
      <c r="K303" s="399">
        <f>Результаты!$N$82</f>
        <v>0</v>
      </c>
      <c r="L303" s="399">
        <f>Результаты!$O$82</f>
        <v>0</v>
      </c>
      <c r="M303" s="399">
        <f>Результаты!$P$82</f>
        <v>0</v>
      </c>
      <c r="N303" s="399">
        <f>Результаты!$Q$82</f>
        <v>0</v>
      </c>
      <c r="O303" s="399">
        <f>Результаты!$R$82</f>
        <v>0</v>
      </c>
      <c r="P303" s="399">
        <f>Результаты!$S$82</f>
        <v>0</v>
      </c>
      <c r="Q303" s="399">
        <f>Результаты!$T$82</f>
        <v>0</v>
      </c>
      <c r="R303" s="399">
        <f>Результаты!$U$82</f>
        <v>0</v>
      </c>
      <c r="S303" s="399">
        <f>Результаты!$V$82</f>
        <v>0</v>
      </c>
      <c r="T303" s="399">
        <f>Результаты!$W$82</f>
        <v>0</v>
      </c>
      <c r="U303" s="399">
        <f>Результаты!$X$82</f>
        <v>0</v>
      </c>
      <c r="V303" s="399">
        <f>Результаты!$Y$82</f>
        <v>0</v>
      </c>
      <c r="W303" s="399">
        <f>Результаты!$Z$82</f>
        <v>0</v>
      </c>
      <c r="X303" s="399">
        <f>Результаты!$AA$82</f>
        <v>0</v>
      </c>
      <c r="Y303" s="399">
        <f>Результаты!$AB$82</f>
        <v>0</v>
      </c>
      <c r="Z303" s="399">
        <f>Результаты!$AC$82</f>
        <v>0</v>
      </c>
      <c r="AA303" s="399">
        <f>Результаты!$AD$82</f>
        <v>0</v>
      </c>
      <c r="AB303" s="399">
        <f>Результаты!$AE$82</f>
        <v>0</v>
      </c>
      <c r="AC303" s="399">
        <f>Результаты!$AF$82</f>
        <v>0</v>
      </c>
      <c r="AD303" s="399">
        <f>Результаты!$AG$82</f>
        <v>0</v>
      </c>
      <c r="AE303" s="399">
        <f>Результаты!$AH$82</f>
        <v>0</v>
      </c>
      <c r="AF303" s="399">
        <f>Результаты!$AI$82</f>
        <v>0</v>
      </c>
      <c r="AG303" s="399">
        <f>Результаты!$AJ$82</f>
        <v>0</v>
      </c>
      <c r="AH303" s="399">
        <f>Результаты!$AK$82</f>
        <v>0</v>
      </c>
      <c r="AI303" s="399">
        <f>Результаты!$AL$82</f>
        <v>0</v>
      </c>
      <c r="AJ303" s="399">
        <f>Результаты!$AM$82</f>
        <v>0</v>
      </c>
      <c r="AK303" s="399">
        <f>Результаты!$AN$82</f>
        <v>0</v>
      </c>
      <c r="AL303" s="399">
        <f>Результаты!$AO$82</f>
        <v>0</v>
      </c>
      <c r="AM303" s="399">
        <f>Результаты!$AP$82</f>
        <v>0</v>
      </c>
      <c r="AN303" s="399">
        <f>Результаты!$AQ$82</f>
        <v>0</v>
      </c>
      <c r="AO303" s="399">
        <f>Результаты!$AR$82</f>
        <v>0</v>
      </c>
      <c r="AP303" s="399">
        <f>Результаты!$AS$82</f>
        <v>0</v>
      </c>
      <c r="AQ303" s="399">
        <f>Результаты!$AT$82</f>
        <v>0</v>
      </c>
      <c r="AR303" s="399">
        <f>Результаты!$AU$82</f>
        <v>0</v>
      </c>
      <c r="AS303" s="399">
        <f>Результаты!$AV$82</f>
        <v>0</v>
      </c>
      <c r="AT303" s="399">
        <f>Результаты!$AW$82</f>
        <v>0</v>
      </c>
      <c r="AU303" s="399">
        <f>Результаты!$AX$82</f>
        <v>0</v>
      </c>
      <c r="AV303" s="399">
        <f>Результаты!$AY$82</f>
        <v>0</v>
      </c>
      <c r="AW303" s="399">
        <f>Результаты!$AZ$82</f>
        <v>0</v>
      </c>
      <c r="AX303" s="399">
        <f>Результаты!$BA$82</f>
        <v>0</v>
      </c>
      <c r="AY303" s="399">
        <f>Результаты!$BB$82</f>
        <v>0</v>
      </c>
      <c r="AZ303" s="392">
        <f>Результаты!$BD$82</f>
        <v>4100000</v>
      </c>
      <c r="BA303" s="390"/>
      <c r="BB303" s="390"/>
    </row>
    <row r="304" spans="1:54" ht="13.95" customHeight="1" x14ac:dyDescent="0.3">
      <c r="A304" s="409"/>
      <c r="B304" s="409"/>
      <c r="C304" s="409"/>
      <c r="D304" s="409"/>
      <c r="E304" s="409"/>
      <c r="F304" s="409"/>
      <c r="G304" s="409"/>
      <c r="H304" s="409"/>
      <c r="I304" s="409"/>
      <c r="J304" s="409"/>
      <c r="K304" s="409"/>
      <c r="L304" s="409"/>
      <c r="M304" s="409"/>
      <c r="N304" s="409"/>
      <c r="O304" s="409"/>
      <c r="P304" s="409"/>
      <c r="Q304" s="409"/>
      <c r="R304" s="409"/>
      <c r="S304" s="409"/>
      <c r="T304" s="409"/>
      <c r="U304" s="409"/>
      <c r="V304" s="409"/>
      <c r="W304" s="409"/>
      <c r="X304" s="409"/>
      <c r="Y304" s="409"/>
      <c r="Z304" s="409"/>
      <c r="AA304" s="409"/>
      <c r="AB304" s="409"/>
      <c r="AC304" s="409"/>
      <c r="AD304" s="409"/>
      <c r="AE304" s="409"/>
      <c r="AF304" s="409"/>
      <c r="AG304" s="409"/>
      <c r="AH304" s="409"/>
      <c r="AI304" s="409"/>
      <c r="AJ304" s="409"/>
      <c r="AK304" s="409"/>
      <c r="AL304" s="409"/>
      <c r="AM304" s="409"/>
      <c r="AN304" s="409"/>
      <c r="AO304" s="409"/>
      <c r="AP304" s="409"/>
      <c r="AQ304" s="409"/>
      <c r="AR304" s="409"/>
      <c r="AS304" s="409"/>
      <c r="AT304" s="409"/>
      <c r="AU304" s="409"/>
      <c r="AV304" s="409"/>
      <c r="AW304" s="409"/>
      <c r="AX304" s="409"/>
      <c r="AY304" s="409"/>
      <c r="AZ304" s="410"/>
      <c r="BA304" s="390"/>
      <c r="BB304" s="390"/>
    </row>
    <row r="305" spans="1:54" ht="13.95" customHeight="1" x14ac:dyDescent="0.3">
      <c r="A305" s="393" t="str">
        <f ca="1">Результаты!$A$84</f>
        <v>Нематериальные активы</v>
      </c>
      <c r="B305" s="358">
        <f>Результаты!$B$84</f>
        <v>150000</v>
      </c>
      <c r="C305" s="414" t="str">
        <f ca="1">Результаты!$C$84</f>
        <v>руб.</v>
      </c>
      <c r="D305" s="412">
        <f>Результаты!$G$84</f>
        <v>25000</v>
      </c>
      <c r="E305" s="412">
        <f>Результаты!$H$84</f>
        <v>25000</v>
      </c>
      <c r="F305" s="412">
        <f>Результаты!$I$84</f>
        <v>25000</v>
      </c>
      <c r="G305" s="412">
        <f>Результаты!$J$84</f>
        <v>25000</v>
      </c>
      <c r="H305" s="412">
        <f>Результаты!$K$84</f>
        <v>25000</v>
      </c>
      <c r="I305" s="412">
        <f>Результаты!$L$84</f>
        <v>25000</v>
      </c>
      <c r="J305" s="412">
        <f>Результаты!$M$84</f>
        <v>0</v>
      </c>
      <c r="K305" s="412">
        <f>Результаты!$N$84</f>
        <v>0</v>
      </c>
      <c r="L305" s="412">
        <f>Результаты!$O$84</f>
        <v>0</v>
      </c>
      <c r="M305" s="412">
        <f>Результаты!$P$84</f>
        <v>0</v>
      </c>
      <c r="N305" s="412">
        <f>Результаты!$Q$84</f>
        <v>0</v>
      </c>
      <c r="O305" s="412">
        <f>Результаты!$R$84</f>
        <v>0</v>
      </c>
      <c r="P305" s="412">
        <f>Результаты!$S$84</f>
        <v>0</v>
      </c>
      <c r="Q305" s="412">
        <f>Результаты!$T$84</f>
        <v>0</v>
      </c>
      <c r="R305" s="412">
        <f>Результаты!$U$84</f>
        <v>0</v>
      </c>
      <c r="S305" s="412">
        <f>Результаты!$V$84</f>
        <v>0</v>
      </c>
      <c r="T305" s="412">
        <f>Результаты!$W$84</f>
        <v>0</v>
      </c>
      <c r="U305" s="412">
        <f>Результаты!$X$84</f>
        <v>0</v>
      </c>
      <c r="V305" s="412">
        <f>Результаты!$Y$84</f>
        <v>0</v>
      </c>
      <c r="W305" s="412">
        <f>Результаты!$Z$84</f>
        <v>0</v>
      </c>
      <c r="X305" s="412">
        <f>Результаты!$AA$84</f>
        <v>0</v>
      </c>
      <c r="Y305" s="412">
        <f>Результаты!$AB$84</f>
        <v>0</v>
      </c>
      <c r="Z305" s="412">
        <f>Результаты!$AC$84</f>
        <v>0</v>
      </c>
      <c r="AA305" s="412">
        <f>Результаты!$AD$84</f>
        <v>0</v>
      </c>
      <c r="AB305" s="412">
        <f>Результаты!$AE$84</f>
        <v>0</v>
      </c>
      <c r="AC305" s="412">
        <f>Результаты!$AF$84</f>
        <v>0</v>
      </c>
      <c r="AD305" s="412">
        <f>Результаты!$AG$84</f>
        <v>0</v>
      </c>
      <c r="AE305" s="412">
        <f>Результаты!$AH$84</f>
        <v>0</v>
      </c>
      <c r="AF305" s="412">
        <f>Результаты!$AI$84</f>
        <v>0</v>
      </c>
      <c r="AG305" s="412">
        <f>Результаты!$AJ$84</f>
        <v>0</v>
      </c>
      <c r="AH305" s="412">
        <f>Результаты!$AK$84</f>
        <v>0</v>
      </c>
      <c r="AI305" s="412">
        <f>Результаты!$AL$84</f>
        <v>0</v>
      </c>
      <c r="AJ305" s="412">
        <f>Результаты!$AM$84</f>
        <v>0</v>
      </c>
      <c r="AK305" s="412">
        <f>Результаты!$AN$84</f>
        <v>0</v>
      </c>
      <c r="AL305" s="412">
        <f>Результаты!$AO$84</f>
        <v>0</v>
      </c>
      <c r="AM305" s="412">
        <f>Результаты!$AP$84</f>
        <v>0</v>
      </c>
      <c r="AN305" s="412">
        <f>Результаты!$AQ$84</f>
        <v>0</v>
      </c>
      <c r="AO305" s="412">
        <f>Результаты!$AR$84</f>
        <v>0</v>
      </c>
      <c r="AP305" s="412">
        <f>Результаты!$AS$84</f>
        <v>0</v>
      </c>
      <c r="AQ305" s="412">
        <f>Результаты!$AT$84</f>
        <v>0</v>
      </c>
      <c r="AR305" s="412">
        <f>Результаты!$AU$84</f>
        <v>0</v>
      </c>
      <c r="AS305" s="412">
        <f>Результаты!$AV$84</f>
        <v>0</v>
      </c>
      <c r="AT305" s="412">
        <f>Результаты!$AW$84</f>
        <v>0</v>
      </c>
      <c r="AU305" s="412">
        <f>Результаты!$AX$84</f>
        <v>0</v>
      </c>
      <c r="AV305" s="412">
        <f>Результаты!$AY$84</f>
        <v>0</v>
      </c>
      <c r="AW305" s="412">
        <f>Результаты!$AZ$84</f>
        <v>0</v>
      </c>
      <c r="AX305" s="412">
        <f>Результаты!$BA$84</f>
        <v>0</v>
      </c>
      <c r="AY305" s="412">
        <f>Результаты!$BB$84</f>
        <v>0</v>
      </c>
      <c r="AZ305" s="413">
        <f>Результаты!$BD$84</f>
        <v>150000</v>
      </c>
      <c r="BA305" s="390"/>
      <c r="BB305" s="390"/>
    </row>
    <row r="306" spans="1:54" ht="13.95" customHeight="1" x14ac:dyDescent="0.3">
      <c r="A306" s="397" t="str">
        <f>Результаты!$A$85</f>
        <v>Регистрационные действия при открытии проекта</v>
      </c>
      <c r="B306" s="359">
        <f>Результаты!$B$85</f>
        <v>150000</v>
      </c>
      <c r="C306" s="427" t="str">
        <f ca="1">Результаты!$C$85</f>
        <v>руб.</v>
      </c>
      <c r="D306" s="399">
        <f>Результаты!$G$85</f>
        <v>25000</v>
      </c>
      <c r="E306" s="399">
        <f>Результаты!$H$85</f>
        <v>25000</v>
      </c>
      <c r="F306" s="399">
        <f>Результаты!$I$85</f>
        <v>25000</v>
      </c>
      <c r="G306" s="399">
        <f>Результаты!$J$85</f>
        <v>25000</v>
      </c>
      <c r="H306" s="399">
        <f>Результаты!$K$85</f>
        <v>25000</v>
      </c>
      <c r="I306" s="399">
        <f>Результаты!$L$85</f>
        <v>25000</v>
      </c>
      <c r="J306" s="399">
        <f>Результаты!$M$85</f>
        <v>0</v>
      </c>
      <c r="K306" s="399">
        <f>Результаты!$N$85</f>
        <v>0</v>
      </c>
      <c r="L306" s="399">
        <f>Результаты!$O$85</f>
        <v>0</v>
      </c>
      <c r="M306" s="399">
        <f>Результаты!$P$85</f>
        <v>0</v>
      </c>
      <c r="N306" s="399">
        <f>Результаты!$Q$85</f>
        <v>0</v>
      </c>
      <c r="O306" s="399">
        <f>Результаты!$R$85</f>
        <v>0</v>
      </c>
      <c r="P306" s="399">
        <f>Результаты!$S$85</f>
        <v>0</v>
      </c>
      <c r="Q306" s="399">
        <f>Результаты!$T$85</f>
        <v>0</v>
      </c>
      <c r="R306" s="399">
        <f>Результаты!$U$85</f>
        <v>0</v>
      </c>
      <c r="S306" s="399">
        <f>Результаты!$V$85</f>
        <v>0</v>
      </c>
      <c r="T306" s="399">
        <f>Результаты!$W$85</f>
        <v>0</v>
      </c>
      <c r="U306" s="399">
        <f>Результаты!$X$85</f>
        <v>0</v>
      </c>
      <c r="V306" s="399">
        <f>Результаты!$Y$85</f>
        <v>0</v>
      </c>
      <c r="W306" s="399">
        <f>Результаты!$Z$85</f>
        <v>0</v>
      </c>
      <c r="X306" s="399">
        <f>Результаты!$AA$85</f>
        <v>0</v>
      </c>
      <c r="Y306" s="399">
        <f>Результаты!$AB$85</f>
        <v>0</v>
      </c>
      <c r="Z306" s="399">
        <f>Результаты!$AC$85</f>
        <v>0</v>
      </c>
      <c r="AA306" s="399">
        <f>Результаты!$AD$85</f>
        <v>0</v>
      </c>
      <c r="AB306" s="399">
        <f>Результаты!$AE$85</f>
        <v>0</v>
      </c>
      <c r="AC306" s="399">
        <f>Результаты!$AF$85</f>
        <v>0</v>
      </c>
      <c r="AD306" s="399">
        <f>Результаты!$AG$85</f>
        <v>0</v>
      </c>
      <c r="AE306" s="399">
        <f>Результаты!$AH$85</f>
        <v>0</v>
      </c>
      <c r="AF306" s="399">
        <f>Результаты!$AI$85</f>
        <v>0</v>
      </c>
      <c r="AG306" s="399">
        <f>Результаты!$AJ$85</f>
        <v>0</v>
      </c>
      <c r="AH306" s="399">
        <f>Результаты!$AK$85</f>
        <v>0</v>
      </c>
      <c r="AI306" s="399">
        <f>Результаты!$AL$85</f>
        <v>0</v>
      </c>
      <c r="AJ306" s="399">
        <f>Результаты!$AM$85</f>
        <v>0</v>
      </c>
      <c r="AK306" s="399">
        <f>Результаты!$AN$85</f>
        <v>0</v>
      </c>
      <c r="AL306" s="399">
        <f>Результаты!$AO$85</f>
        <v>0</v>
      </c>
      <c r="AM306" s="399">
        <f>Результаты!$AP$85</f>
        <v>0</v>
      </c>
      <c r="AN306" s="399">
        <f>Результаты!$AQ$85</f>
        <v>0</v>
      </c>
      <c r="AO306" s="399">
        <f>Результаты!$AR$85</f>
        <v>0</v>
      </c>
      <c r="AP306" s="399">
        <f>Результаты!$AS$85</f>
        <v>0</v>
      </c>
      <c r="AQ306" s="399">
        <f>Результаты!$AT$85</f>
        <v>0</v>
      </c>
      <c r="AR306" s="399">
        <f>Результаты!$AU$85</f>
        <v>0</v>
      </c>
      <c r="AS306" s="399">
        <f>Результаты!$AV$85</f>
        <v>0</v>
      </c>
      <c r="AT306" s="399">
        <f>Результаты!$AW$85</f>
        <v>0</v>
      </c>
      <c r="AU306" s="399">
        <f>Результаты!$AX$85</f>
        <v>0</v>
      </c>
      <c r="AV306" s="399">
        <f>Результаты!$AY$85</f>
        <v>0</v>
      </c>
      <c r="AW306" s="399">
        <f>Результаты!$AZ$85</f>
        <v>0</v>
      </c>
      <c r="AX306" s="399">
        <f>Результаты!$BA$85</f>
        <v>0</v>
      </c>
      <c r="AY306" s="399">
        <f>Результаты!$BB$85</f>
        <v>0</v>
      </c>
      <c r="AZ306" s="392">
        <f>Результаты!$BD$85</f>
        <v>150000</v>
      </c>
      <c r="BA306" s="390"/>
      <c r="BB306" s="390"/>
    </row>
    <row r="307" spans="1:54" ht="13.95" customHeight="1" x14ac:dyDescent="0.3">
      <c r="A307" s="384"/>
      <c r="B307" s="363"/>
      <c r="C307" s="384"/>
      <c r="D307" s="364"/>
      <c r="E307" s="364"/>
      <c r="F307" s="364"/>
      <c r="G307" s="364"/>
      <c r="H307" s="364"/>
      <c r="I307" s="364"/>
      <c r="J307" s="364"/>
      <c r="K307" s="364"/>
      <c r="L307" s="364"/>
      <c r="M307" s="364"/>
      <c r="N307" s="364"/>
      <c r="O307" s="364"/>
      <c r="P307" s="364"/>
      <c r="Q307" s="364"/>
      <c r="R307" s="364"/>
      <c r="S307" s="364"/>
      <c r="T307" s="364"/>
      <c r="U307" s="364"/>
      <c r="V307" s="364"/>
      <c r="W307" s="364"/>
      <c r="X307" s="364"/>
      <c r="Y307" s="364"/>
      <c r="Z307" s="364"/>
      <c r="AA307" s="364"/>
      <c r="AB307" s="364"/>
      <c r="AC307" s="364"/>
      <c r="AD307" s="364"/>
      <c r="AE307" s="364"/>
      <c r="AF307" s="364"/>
      <c r="AG307" s="364"/>
      <c r="AH307" s="364"/>
      <c r="AI307" s="364"/>
      <c r="AJ307" s="364"/>
      <c r="AK307" s="364"/>
      <c r="AL307" s="364"/>
      <c r="AM307" s="364"/>
      <c r="AN307" s="364"/>
      <c r="AO307" s="364"/>
      <c r="AP307" s="364"/>
      <c r="AQ307" s="364"/>
      <c r="AR307" s="364"/>
      <c r="AS307" s="364"/>
      <c r="AT307" s="364"/>
      <c r="AU307" s="364"/>
      <c r="AV307" s="364"/>
      <c r="AW307" s="364"/>
      <c r="AX307" s="364"/>
      <c r="AY307" s="364"/>
      <c r="AZ307" s="433"/>
      <c r="BA307" s="399"/>
      <c r="BB307" s="399"/>
    </row>
    <row r="308" spans="1:54" ht="13.95" customHeight="1" x14ac:dyDescent="0.3">
      <c r="A308" s="380" t="str">
        <f ca="1">Результаты!$A$87</f>
        <v>Итого</v>
      </c>
      <c r="B308" s="358">
        <f ca="1">Результаты!$B$87</f>
        <v>211849999.99999997</v>
      </c>
      <c r="C308" s="414" t="str">
        <f ca="1">Результаты!$C$87</f>
        <v>руб.</v>
      </c>
      <c r="D308" s="412">
        <f ca="1">Результаты!$G$87</f>
        <v>291667</v>
      </c>
      <c r="E308" s="412">
        <f ca="1">Результаты!$H$87</f>
        <v>1658333.6666666667</v>
      </c>
      <c r="F308" s="412">
        <f ca="1">Результаты!$I$87</f>
        <v>136658332.66666666</v>
      </c>
      <c r="G308" s="412">
        <f ca="1">Результаты!$J$87</f>
        <v>18391666.666666668</v>
      </c>
      <c r="H308" s="412">
        <f ca="1">Результаты!$K$87</f>
        <v>17025000</v>
      </c>
      <c r="I308" s="412">
        <f ca="1">Результаты!$L$87</f>
        <v>17825000</v>
      </c>
      <c r="J308" s="412">
        <f ca="1">Результаты!$M$87</f>
        <v>10000000</v>
      </c>
      <c r="K308" s="412">
        <f ca="1">Результаты!$N$87</f>
        <v>10000000</v>
      </c>
      <c r="L308" s="412">
        <f ca="1">Результаты!$O$87</f>
        <v>0</v>
      </c>
      <c r="M308" s="412">
        <f ca="1">Результаты!$P$87</f>
        <v>0</v>
      </c>
      <c r="N308" s="412">
        <f ca="1">Результаты!$Q$87</f>
        <v>0</v>
      </c>
      <c r="O308" s="412">
        <f ca="1">Результаты!$R$87</f>
        <v>0</v>
      </c>
      <c r="P308" s="412">
        <f ca="1">Результаты!$S$87</f>
        <v>0</v>
      </c>
      <c r="Q308" s="412">
        <f ca="1">Результаты!$T$87</f>
        <v>0</v>
      </c>
      <c r="R308" s="412">
        <f ca="1">Результаты!$U$87</f>
        <v>0</v>
      </c>
      <c r="S308" s="412">
        <f ca="1">Результаты!$V$87</f>
        <v>0</v>
      </c>
      <c r="T308" s="412">
        <f ca="1">Результаты!$W$87</f>
        <v>0</v>
      </c>
      <c r="U308" s="412">
        <f ca="1">Результаты!$X$87</f>
        <v>0</v>
      </c>
      <c r="V308" s="412">
        <f ca="1">Результаты!$Y$87</f>
        <v>0</v>
      </c>
      <c r="W308" s="412">
        <f ca="1">Результаты!$Z$87</f>
        <v>0</v>
      </c>
      <c r="X308" s="412">
        <f ca="1">Результаты!$AA$87</f>
        <v>0</v>
      </c>
      <c r="Y308" s="412">
        <f ca="1">Результаты!$AB$87</f>
        <v>0</v>
      </c>
      <c r="Z308" s="412">
        <f ca="1">Результаты!$AC$87</f>
        <v>0</v>
      </c>
      <c r="AA308" s="412">
        <f ca="1">Результаты!$AD$87</f>
        <v>0</v>
      </c>
      <c r="AB308" s="412">
        <f ca="1">Результаты!$AE$87</f>
        <v>0</v>
      </c>
      <c r="AC308" s="412">
        <f ca="1">Результаты!$AF$87</f>
        <v>0</v>
      </c>
      <c r="AD308" s="412">
        <f ca="1">Результаты!$AG$87</f>
        <v>0</v>
      </c>
      <c r="AE308" s="412">
        <f ca="1">Результаты!$AH$87</f>
        <v>0</v>
      </c>
      <c r="AF308" s="412">
        <f ca="1">Результаты!$AI$87</f>
        <v>0</v>
      </c>
      <c r="AG308" s="412">
        <f ca="1">Результаты!$AJ$87</f>
        <v>0</v>
      </c>
      <c r="AH308" s="412">
        <f ca="1">Результаты!$AK$87</f>
        <v>0</v>
      </c>
      <c r="AI308" s="412">
        <f ca="1">Результаты!$AL$87</f>
        <v>0</v>
      </c>
      <c r="AJ308" s="412">
        <f ca="1">Результаты!$AM$87</f>
        <v>0</v>
      </c>
      <c r="AK308" s="412">
        <f ca="1">Результаты!$AN$87</f>
        <v>0</v>
      </c>
      <c r="AL308" s="412">
        <f ca="1">Результаты!$AO$87</f>
        <v>0</v>
      </c>
      <c r="AM308" s="412">
        <f ca="1">Результаты!$AP$87</f>
        <v>0</v>
      </c>
      <c r="AN308" s="412">
        <f ca="1">Результаты!$AQ$87</f>
        <v>0</v>
      </c>
      <c r="AO308" s="412">
        <f ca="1">Результаты!$AR$87</f>
        <v>0</v>
      </c>
      <c r="AP308" s="412">
        <f ca="1">Результаты!$AS$87</f>
        <v>0</v>
      </c>
      <c r="AQ308" s="412">
        <f ca="1">Результаты!$AT$87</f>
        <v>0</v>
      </c>
      <c r="AR308" s="412">
        <f ca="1">Результаты!$AU$87</f>
        <v>0</v>
      </c>
      <c r="AS308" s="412">
        <f ca="1">Результаты!$AV$87</f>
        <v>0</v>
      </c>
      <c r="AT308" s="412">
        <f ca="1">Результаты!$AW$87</f>
        <v>0</v>
      </c>
      <c r="AU308" s="412">
        <f ca="1">Результаты!$AX$87</f>
        <v>0</v>
      </c>
      <c r="AV308" s="412">
        <f ca="1">Результаты!$AY$87</f>
        <v>0</v>
      </c>
      <c r="AW308" s="412">
        <f ca="1">Результаты!$AZ$87</f>
        <v>0</v>
      </c>
      <c r="AX308" s="412">
        <f ca="1">Результаты!$BA$87</f>
        <v>0</v>
      </c>
      <c r="AY308" s="412">
        <f ca="1">Результаты!$BB$87</f>
        <v>0</v>
      </c>
      <c r="AZ308" s="413">
        <f ca="1">Результаты!$BD$87</f>
        <v>211849999.99999997</v>
      </c>
      <c r="BA308" s="393"/>
      <c r="BB308" s="393"/>
    </row>
    <row r="309" spans="1:54" ht="13.95" customHeight="1" x14ac:dyDescent="0.3">
      <c r="A309" s="428"/>
      <c r="B309" s="366"/>
      <c r="C309" s="428"/>
      <c r="D309" s="367"/>
      <c r="E309" s="367"/>
      <c r="F309" s="367"/>
      <c r="G309" s="367"/>
      <c r="H309" s="367"/>
      <c r="I309" s="367"/>
      <c r="J309" s="367"/>
      <c r="K309" s="367"/>
      <c r="L309" s="367"/>
      <c r="M309" s="367"/>
      <c r="N309" s="367"/>
      <c r="O309" s="367"/>
      <c r="P309" s="367"/>
      <c r="Q309" s="367"/>
      <c r="R309" s="367"/>
      <c r="S309" s="367"/>
      <c r="T309" s="367"/>
      <c r="U309" s="367"/>
      <c r="V309" s="367"/>
      <c r="W309" s="367"/>
      <c r="X309" s="367"/>
      <c r="Y309" s="367"/>
      <c r="Z309" s="367"/>
      <c r="AA309" s="367"/>
      <c r="AB309" s="367"/>
      <c r="AC309" s="367"/>
      <c r="AD309" s="367"/>
      <c r="AE309" s="367"/>
      <c r="AF309" s="367"/>
      <c r="AG309" s="367"/>
      <c r="AH309" s="367"/>
      <c r="AI309" s="367"/>
      <c r="AJ309" s="367"/>
      <c r="AK309" s="367"/>
      <c r="AL309" s="367"/>
      <c r="AM309" s="367"/>
      <c r="AN309" s="367"/>
      <c r="AO309" s="367"/>
      <c r="AP309" s="367"/>
      <c r="AQ309" s="367"/>
      <c r="AR309" s="367"/>
      <c r="AS309" s="367"/>
      <c r="AT309" s="367"/>
      <c r="AU309" s="367"/>
      <c r="AV309" s="367"/>
      <c r="AW309" s="367"/>
      <c r="AX309" s="367"/>
      <c r="AY309" s="367"/>
      <c r="AZ309" s="436"/>
      <c r="BA309" s="399"/>
      <c r="BB309" s="399"/>
    </row>
  </sheetData>
  <pageMargins left="0.39370078740157483" right="0.19685039370078741" top="0.39370078740157483" bottom="0.39370078740157483" header="0.19685039370078741" footer="0.19685039370078741"/>
  <pageSetup paperSize="9" pageOrder="overThenDown" orientation="landscape"/>
  <headerFooter>
    <oddHeader>&amp;LАльт-Инвест&amp;R&amp;D &amp;T</oddHeader>
    <oddFooter>&amp;L&amp;Z&amp;F&amp;RСтр. &amp;P из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4100" r:id="rId3" name="Button 4">
              <controlPr defaultSize="0" print="0" autoFill="0" autoPict="0" macro="[0]!Run_ReportPrint">
                <anchor>
                  <from>
                    <xdr:col>0</xdr:col>
                    <xdr:colOff>1584960</xdr:colOff>
                    <xdr:row>0</xdr:row>
                    <xdr:rowOff>114300</xdr:rowOff>
                  </from>
                  <to>
                    <xdr:col>0</xdr:col>
                    <xdr:colOff>2667000</xdr:colOff>
                    <xdr:row>0</xdr:row>
                    <xdr:rowOff>365760</xdr:rowOff>
                  </to>
                </anchor>
              </controlPr>
            </control>
          </mc:Choice>
        </mc:AlternateContent>
        <mc:AlternateContent xmlns:mc="http://schemas.openxmlformats.org/markup-compatibility/2006">
          <mc:Choice Requires="x14">
            <control shapeId="4101" r:id="rId4" name="Button 5">
              <controlPr defaultSize="0" print="0" autoFill="0" autoPict="0" macro="[0]!Run_ReportExcel">
                <anchor>
                  <from>
                    <xdr:col>0</xdr:col>
                    <xdr:colOff>2834640</xdr:colOff>
                    <xdr:row>0</xdr:row>
                    <xdr:rowOff>114300</xdr:rowOff>
                  </from>
                  <to>
                    <xdr:col>2</xdr:col>
                    <xdr:colOff>762000</xdr:colOff>
                    <xdr:row>0</xdr:row>
                    <xdr:rowOff>365760</xdr:rowOff>
                  </to>
                </anchor>
              </controlPr>
            </control>
          </mc:Choice>
        </mc:AlternateContent>
        <mc:AlternateContent xmlns:mc="http://schemas.openxmlformats.org/markup-compatibility/2006">
          <mc:Choice Requires="x14">
            <control shapeId="4102" r:id="rId5" name="Button 6">
              <controlPr defaultSize="0" print="0" autoFill="0" autoPict="0" macro="[0]!Run_ReportCreate">
                <anchor>
                  <from>
                    <xdr:col>0</xdr:col>
                    <xdr:colOff>137160</xdr:colOff>
                    <xdr:row>0</xdr:row>
                    <xdr:rowOff>114300</xdr:rowOff>
                  </from>
                  <to>
                    <xdr:col>0</xdr:col>
                    <xdr:colOff>1432560</xdr:colOff>
                    <xdr:row>0</xdr:row>
                    <xdr:rowOff>365760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8">
    <outlinePr summaryBelow="0" summaryRight="0"/>
  </sheetPr>
  <dimension ref="A1:D1535"/>
  <sheetViews>
    <sheetView topLeftCell="A1284" workbookViewId="0">
      <selection activeCell="C1306" sqref="C1306"/>
    </sheetView>
  </sheetViews>
  <sheetFormatPr defaultColWidth="8.77734375" defaultRowHeight="13.8" x14ac:dyDescent="0.3"/>
  <cols>
    <col min="1" max="2" width="50.5546875" style="5" customWidth="1"/>
    <col min="3" max="3" width="50.77734375" style="5" customWidth="1"/>
    <col min="4" max="4" width="50.5546875" style="5" customWidth="1"/>
    <col min="5" max="16384" width="8.77734375" style="5"/>
  </cols>
  <sheetData>
    <row r="1" spans="1:4" x14ac:dyDescent="0.3">
      <c r="A1" s="20" t="s">
        <v>946</v>
      </c>
      <c r="B1" s="10">
        <v>1049</v>
      </c>
      <c r="C1" s="10">
        <v>1033</v>
      </c>
      <c r="D1" s="10">
        <v>1104</v>
      </c>
    </row>
    <row r="2" spans="1:4" x14ac:dyDescent="0.3">
      <c r="A2" s="20" t="s">
        <v>110</v>
      </c>
      <c r="B2" s="34" t="s">
        <v>15</v>
      </c>
      <c r="C2" s="34" t="s">
        <v>37</v>
      </c>
      <c r="D2" s="34" t="s">
        <v>3329</v>
      </c>
    </row>
    <row r="3" spans="1:4" x14ac:dyDescent="0.3">
      <c r="A3" s="153" t="s">
        <v>105</v>
      </c>
      <c r="B3" s="153"/>
      <c r="C3" s="153"/>
    </row>
    <row r="4" spans="1:4" x14ac:dyDescent="0.3">
      <c r="A4" s="5" t="str">
        <f t="shared" ref="A4:A67" ca="1" si="0">OFFSET(A4,0,Prj_Language)</f>
        <v>Альт-Инвест</v>
      </c>
      <c r="B4" s="5" t="s">
        <v>50</v>
      </c>
      <c r="C4" s="5" t="s">
        <v>140</v>
      </c>
      <c r="D4" s="5" t="s">
        <v>50</v>
      </c>
    </row>
    <row r="5" spans="1:4" x14ac:dyDescent="0.3">
      <c r="A5" s="5" t="str">
        <f t="shared" ca="1" si="0"/>
        <v xml:space="preserve"> Демо</v>
      </c>
      <c r="B5" s="5" t="s">
        <v>1542</v>
      </c>
      <c r="C5" s="5" t="s">
        <v>1543</v>
      </c>
      <c r="D5" s="5" t="s">
        <v>1543</v>
      </c>
    </row>
    <row r="6" spans="1:4" x14ac:dyDescent="0.3">
      <c r="A6" s="154" t="str">
        <f t="shared" ca="1" si="0"/>
        <v>Русский</v>
      </c>
      <c r="B6" s="5" t="s">
        <v>15</v>
      </c>
      <c r="C6" s="5" t="s">
        <v>145</v>
      </c>
      <c r="D6" s="5" t="s">
        <v>2401</v>
      </c>
    </row>
    <row r="7" spans="1:4" x14ac:dyDescent="0.3">
      <c r="A7" s="5" t="str">
        <f t="shared" ca="1" si="0"/>
        <v>Английский</v>
      </c>
      <c r="B7" s="5" t="s">
        <v>104</v>
      </c>
      <c r="C7" s="5" t="s">
        <v>37</v>
      </c>
      <c r="D7" s="5" t="s">
        <v>2402</v>
      </c>
    </row>
    <row r="8" spans="1:4" x14ac:dyDescent="0.3">
      <c r="A8" s="5" t="str">
        <f t="shared" ca="1" si="0"/>
        <v>Монгольский</v>
      </c>
      <c r="B8" s="5" t="s">
        <v>3327</v>
      </c>
      <c r="C8" s="5" t="s">
        <v>3328</v>
      </c>
      <c r="D8" s="5" t="s">
        <v>3329</v>
      </c>
    </row>
    <row r="9" spans="1:4" x14ac:dyDescent="0.3">
      <c r="A9" s="5">
        <f t="shared" ca="1" si="0"/>
        <v>0</v>
      </c>
    </row>
    <row r="10" spans="1:4" x14ac:dyDescent="0.3">
      <c r="A10" s="5">
        <f t="shared" ca="1" si="0"/>
        <v>0</v>
      </c>
    </row>
    <row r="11" spans="1:4" x14ac:dyDescent="0.3">
      <c r="A11" s="5">
        <f t="shared" ca="1" si="0"/>
        <v>0</v>
      </c>
    </row>
    <row r="12" spans="1:4" x14ac:dyDescent="0.3">
      <c r="A12" s="5">
        <f ca="1">OFFSET(A12,0,Prj_Language)</f>
        <v>0</v>
      </c>
    </row>
    <row r="13" spans="1:4" x14ac:dyDescent="0.3">
      <c r="A13" s="5">
        <f t="shared" ca="1" si="0"/>
        <v>0</v>
      </c>
    </row>
    <row r="14" spans="1:4" x14ac:dyDescent="0.3">
      <c r="A14" s="5" t="str">
        <f t="shared" ca="1" si="0"/>
        <v>ai7 UGuide RU.pdf</v>
      </c>
      <c r="B14" s="5" t="s">
        <v>2334</v>
      </c>
      <c r="C14" s="5" t="s">
        <v>2334</v>
      </c>
      <c r="D14" s="5" t="s">
        <v>2334</v>
      </c>
    </row>
    <row r="15" spans="1:4" x14ac:dyDescent="0.3">
      <c r="A15" s="154" t="str">
        <f t="shared" ca="1" si="0"/>
        <v>Параметры</v>
      </c>
      <c r="B15" s="5" t="s">
        <v>86</v>
      </c>
      <c r="C15" s="5" t="s">
        <v>115</v>
      </c>
      <c r="D15" s="5" t="s">
        <v>2403</v>
      </c>
    </row>
    <row r="16" spans="1:4" x14ac:dyDescent="0.3">
      <c r="A16" s="5" t="str">
        <f t="shared" ca="1" si="0"/>
        <v>Старт</v>
      </c>
      <c r="B16" s="5" t="s">
        <v>87</v>
      </c>
      <c r="C16" s="5" t="s">
        <v>116</v>
      </c>
      <c r="D16" s="5" t="s">
        <v>2404</v>
      </c>
    </row>
    <row r="17" spans="1:4" x14ac:dyDescent="0.3">
      <c r="A17" s="5" t="str">
        <f t="shared" ca="1" si="0"/>
        <v>Проект</v>
      </c>
      <c r="B17" s="5" t="s">
        <v>943</v>
      </c>
      <c r="C17" s="5" t="s">
        <v>117</v>
      </c>
      <c r="D17" s="5" t="s">
        <v>2405</v>
      </c>
    </row>
    <row r="18" spans="1:4" x14ac:dyDescent="0.3">
      <c r="A18" s="5" t="str">
        <f t="shared" ca="1" si="0"/>
        <v>Результаты</v>
      </c>
      <c r="B18" s="5" t="s">
        <v>88</v>
      </c>
      <c r="C18" s="5" t="s">
        <v>118</v>
      </c>
      <c r="D18" s="5" t="s">
        <v>2406</v>
      </c>
    </row>
    <row r="19" spans="1:4" x14ac:dyDescent="0.3">
      <c r="A19" s="5" t="str">
        <f t="shared" ca="1" si="0"/>
        <v>Сценарии</v>
      </c>
      <c r="B19" s="5" t="s">
        <v>89</v>
      </c>
      <c r="C19" s="5" t="s">
        <v>1393</v>
      </c>
      <c r="D19" s="5" t="s">
        <v>2407</v>
      </c>
    </row>
    <row r="20" spans="1:4" x14ac:dyDescent="0.3">
      <c r="A20" s="5" t="str">
        <f t="shared" ca="1" si="0"/>
        <v>Графики</v>
      </c>
      <c r="B20" s="5" t="s">
        <v>90</v>
      </c>
      <c r="C20" s="5" t="s">
        <v>119</v>
      </c>
      <c r="D20" s="5" t="s">
        <v>2408</v>
      </c>
    </row>
    <row r="21" spans="1:4" x14ac:dyDescent="0.3">
      <c r="A21" s="5" t="str">
        <f t="shared" ca="1" si="0"/>
        <v>Отчет</v>
      </c>
      <c r="B21" s="5" t="s">
        <v>91</v>
      </c>
      <c r="C21" s="5" t="s">
        <v>120</v>
      </c>
      <c r="D21" s="5" t="s">
        <v>2409</v>
      </c>
    </row>
    <row r="22" spans="1:4" x14ac:dyDescent="0.3">
      <c r="A22" s="5">
        <f t="shared" ca="1" si="0"/>
        <v>0</v>
      </c>
    </row>
    <row r="23" spans="1:4" x14ac:dyDescent="0.3">
      <c r="A23" s="5">
        <f t="shared" ca="1" si="0"/>
        <v>0</v>
      </c>
    </row>
    <row r="24" spans="1:4" x14ac:dyDescent="0.3">
      <c r="A24" s="5">
        <f t="shared" ca="1" si="0"/>
        <v>0</v>
      </c>
    </row>
    <row r="25" spans="1:4" x14ac:dyDescent="0.3">
      <c r="A25" s="154" t="str">
        <f t="shared" ca="1" si="0"/>
        <v>Изменить</v>
      </c>
      <c r="B25" s="5" t="s">
        <v>121</v>
      </c>
      <c r="C25" s="5" t="s">
        <v>122</v>
      </c>
      <c r="D25" s="5" t="s">
        <v>2410</v>
      </c>
    </row>
    <row r="26" spans="1:4" x14ac:dyDescent="0.3">
      <c r="A26" s="5" t="str">
        <f t="shared" ca="1" si="0"/>
        <v>Настроить</v>
      </c>
      <c r="B26" s="5" t="s">
        <v>876</v>
      </c>
      <c r="C26" s="5" t="s">
        <v>877</v>
      </c>
      <c r="D26" s="5" t="s">
        <v>2411</v>
      </c>
    </row>
    <row r="27" spans="1:4" x14ac:dyDescent="0.3">
      <c r="A27" s="5" t="str">
        <f t="shared" ca="1" si="0"/>
        <v>Пересчитать</v>
      </c>
      <c r="B27" s="5" t="s">
        <v>851</v>
      </c>
      <c r="C27" s="5" t="s">
        <v>878</v>
      </c>
      <c r="D27" s="5" t="s">
        <v>2412</v>
      </c>
    </row>
    <row r="28" spans="1:4" x14ac:dyDescent="0.3">
      <c r="A28" s="5" t="str">
        <f t="shared" ca="1" si="0"/>
        <v>Составить отчет…</v>
      </c>
      <c r="B28" s="5" t="s">
        <v>271</v>
      </c>
      <c r="C28" s="5" t="s">
        <v>373</v>
      </c>
      <c r="D28" s="5" t="s">
        <v>2413</v>
      </c>
    </row>
    <row r="29" spans="1:4" x14ac:dyDescent="0.3">
      <c r="A29" s="5" t="str">
        <f t="shared" ca="1" si="0"/>
        <v>Печать…</v>
      </c>
      <c r="B29" s="5" t="s">
        <v>272</v>
      </c>
      <c r="C29" s="5" t="s">
        <v>374</v>
      </c>
      <c r="D29" s="5" t="s">
        <v>2414</v>
      </c>
    </row>
    <row r="30" spans="1:4" x14ac:dyDescent="0.3">
      <c r="A30" s="5" t="str">
        <f t="shared" ca="1" si="0"/>
        <v>Экспорт в новый файл MS Excel…</v>
      </c>
      <c r="B30" s="5" t="s">
        <v>273</v>
      </c>
      <c r="C30" s="5" t="s">
        <v>458</v>
      </c>
      <c r="D30" s="5" t="s">
        <v>2415</v>
      </c>
    </row>
    <row r="31" spans="1:4" x14ac:dyDescent="0.3">
      <c r="A31" s="5">
        <f t="shared" ca="1" si="0"/>
        <v>0</v>
      </c>
    </row>
    <row r="32" spans="1:4" x14ac:dyDescent="0.3">
      <c r="A32" s="5">
        <f t="shared" ca="1" si="0"/>
        <v>0</v>
      </c>
    </row>
    <row r="33" spans="1:4" x14ac:dyDescent="0.3">
      <c r="A33" s="5">
        <f t="shared" ca="1" si="0"/>
        <v>0</v>
      </c>
    </row>
    <row r="34" spans="1:4" x14ac:dyDescent="0.3">
      <c r="A34" s="5">
        <f t="shared" ca="1" si="0"/>
        <v>0</v>
      </c>
    </row>
    <row r="35" spans="1:4" x14ac:dyDescent="0.3">
      <c r="A35" s="5">
        <f t="shared" ca="1" si="0"/>
        <v>0</v>
      </c>
    </row>
    <row r="36" spans="1:4" x14ac:dyDescent="0.3">
      <c r="A36" s="5">
        <f t="shared" ca="1" si="0"/>
        <v>0</v>
      </c>
    </row>
    <row r="37" spans="1:4" x14ac:dyDescent="0.3">
      <c r="A37" s="5">
        <f t="shared" ca="1" si="0"/>
        <v>0</v>
      </c>
    </row>
    <row r="38" spans="1:4" x14ac:dyDescent="0.3">
      <c r="A38" s="5">
        <f t="shared" ca="1" si="0"/>
        <v>0</v>
      </c>
    </row>
    <row r="39" spans="1:4" x14ac:dyDescent="0.3">
      <c r="A39" s="5">
        <f t="shared" ca="1" si="0"/>
        <v>0</v>
      </c>
    </row>
    <row r="40" spans="1:4" x14ac:dyDescent="0.3">
      <c r="A40" s="5">
        <f t="shared" ca="1" si="0"/>
        <v>0</v>
      </c>
    </row>
    <row r="41" spans="1:4" x14ac:dyDescent="0.3">
      <c r="A41" s="154" t="str">
        <f t="shared" ca="1" si="0"/>
        <v>день</v>
      </c>
      <c r="B41" s="5" t="s">
        <v>795</v>
      </c>
      <c r="C41" s="5" t="s">
        <v>796</v>
      </c>
      <c r="D41" s="5" t="s">
        <v>2416</v>
      </c>
    </row>
    <row r="42" spans="1:4" x14ac:dyDescent="0.3">
      <c r="A42" s="5" t="str">
        <f t="shared" ca="1" si="0"/>
        <v>месяц</v>
      </c>
      <c r="B42" s="5" t="s">
        <v>532</v>
      </c>
      <c r="C42" s="5" t="s">
        <v>535</v>
      </c>
      <c r="D42" s="5" t="s">
        <v>2417</v>
      </c>
    </row>
    <row r="43" spans="1:4" x14ac:dyDescent="0.3">
      <c r="A43" s="5" t="str">
        <f t="shared" ca="1" si="0"/>
        <v>квартал</v>
      </c>
      <c r="B43" s="5" t="s">
        <v>533</v>
      </c>
      <c r="C43" s="5" t="s">
        <v>536</v>
      </c>
      <c r="D43" s="5" t="s">
        <v>2418</v>
      </c>
    </row>
    <row r="44" spans="1:4" x14ac:dyDescent="0.3">
      <c r="A44" s="5" t="str">
        <f t="shared" ca="1" si="0"/>
        <v>год</v>
      </c>
      <c r="B44" s="5" t="s">
        <v>534</v>
      </c>
      <c r="C44" s="5" t="s">
        <v>537</v>
      </c>
      <c r="D44" s="5" t="s">
        <v>2419</v>
      </c>
    </row>
    <row r="45" spans="1:4" x14ac:dyDescent="0.3">
      <c r="A45" s="5" t="str">
        <f t="shared" ca="1" si="0"/>
        <v>дн.</v>
      </c>
      <c r="B45" s="5" t="s">
        <v>164</v>
      </c>
      <c r="C45" s="5" t="s">
        <v>378</v>
      </c>
      <c r="D45" s="5" t="s">
        <v>2420</v>
      </c>
    </row>
    <row r="46" spans="1:4" x14ac:dyDescent="0.3">
      <c r="A46" s="5" t="str">
        <f t="shared" ca="1" si="0"/>
        <v>мес.</v>
      </c>
      <c r="B46" s="5" t="s">
        <v>55</v>
      </c>
      <c r="C46" s="5" t="s">
        <v>375</v>
      </c>
      <c r="D46" s="5" t="s">
        <v>2417</v>
      </c>
    </row>
    <row r="47" spans="1:4" x14ac:dyDescent="0.3">
      <c r="A47" s="5" t="str">
        <f t="shared" ca="1" si="0"/>
        <v>кв.</v>
      </c>
      <c r="B47" s="5" t="s">
        <v>163</v>
      </c>
      <c r="C47" s="5" t="s">
        <v>376</v>
      </c>
      <c r="D47" s="5" t="s">
        <v>2421</v>
      </c>
    </row>
    <row r="48" spans="1:4" x14ac:dyDescent="0.3">
      <c r="A48" s="5" t="str">
        <f t="shared" ca="1" si="0"/>
        <v>лет</v>
      </c>
      <c r="B48" s="5" t="s">
        <v>2</v>
      </c>
      <c r="C48" s="5" t="s">
        <v>377</v>
      </c>
      <c r="D48" s="5" t="s">
        <v>2419</v>
      </c>
    </row>
    <row r="49" spans="1:4" x14ac:dyDescent="0.3">
      <c r="A49" s="5">
        <f t="shared" ca="1" si="0"/>
        <v>0</v>
      </c>
    </row>
    <row r="50" spans="1:4" x14ac:dyDescent="0.3">
      <c r="A50" s="5">
        <f t="shared" ca="1" si="0"/>
        <v>0</v>
      </c>
    </row>
    <row r="51" spans="1:4" x14ac:dyDescent="0.3">
      <c r="A51" s="154" t="str">
        <f t="shared" ca="1" si="0"/>
        <v>Январь</v>
      </c>
      <c r="B51" s="5" t="s">
        <v>124</v>
      </c>
      <c r="C51" s="5" t="s">
        <v>146</v>
      </c>
      <c r="D51" s="5" t="s">
        <v>2422</v>
      </c>
    </row>
    <row r="52" spans="1:4" x14ac:dyDescent="0.3">
      <c r="A52" s="5" t="str">
        <f t="shared" ca="1" si="0"/>
        <v>Февраль</v>
      </c>
      <c r="B52" s="5" t="s">
        <v>125</v>
      </c>
      <c r="C52" s="5" t="s">
        <v>147</v>
      </c>
      <c r="D52" s="5" t="s">
        <v>2423</v>
      </c>
    </row>
    <row r="53" spans="1:4" x14ac:dyDescent="0.3">
      <c r="A53" s="5" t="str">
        <f t="shared" ca="1" si="0"/>
        <v>Март</v>
      </c>
      <c r="B53" s="5" t="s">
        <v>126</v>
      </c>
      <c r="C53" s="5" t="s">
        <v>148</v>
      </c>
      <c r="D53" s="5" t="s">
        <v>2424</v>
      </c>
    </row>
    <row r="54" spans="1:4" x14ac:dyDescent="0.3">
      <c r="A54" s="5" t="str">
        <f t="shared" ca="1" si="0"/>
        <v>Апрель</v>
      </c>
      <c r="B54" s="5" t="s">
        <v>127</v>
      </c>
      <c r="C54" s="5" t="s">
        <v>149</v>
      </c>
      <c r="D54" s="5" t="s">
        <v>2425</v>
      </c>
    </row>
    <row r="55" spans="1:4" x14ac:dyDescent="0.3">
      <c r="A55" s="5" t="str">
        <f t="shared" ca="1" si="0"/>
        <v>Май</v>
      </c>
      <c r="B55" s="5" t="s">
        <v>128</v>
      </c>
      <c r="C55" s="5" t="s">
        <v>150</v>
      </c>
      <c r="D55" s="5" t="s">
        <v>2426</v>
      </c>
    </row>
    <row r="56" spans="1:4" x14ac:dyDescent="0.3">
      <c r="A56" s="5" t="str">
        <f t="shared" ca="1" si="0"/>
        <v>Июнь</v>
      </c>
      <c r="B56" s="5" t="s">
        <v>129</v>
      </c>
      <c r="C56" s="5" t="s">
        <v>151</v>
      </c>
      <c r="D56" s="5" t="s">
        <v>2427</v>
      </c>
    </row>
    <row r="57" spans="1:4" x14ac:dyDescent="0.3">
      <c r="A57" s="5" t="str">
        <f t="shared" ca="1" si="0"/>
        <v>Июль</v>
      </c>
      <c r="B57" s="5" t="s">
        <v>130</v>
      </c>
      <c r="C57" s="5" t="s">
        <v>152</v>
      </c>
      <c r="D57" s="5" t="s">
        <v>2428</v>
      </c>
    </row>
    <row r="58" spans="1:4" x14ac:dyDescent="0.3">
      <c r="A58" s="5" t="str">
        <f t="shared" ca="1" si="0"/>
        <v>Август</v>
      </c>
      <c r="B58" s="5" t="s">
        <v>131</v>
      </c>
      <c r="C58" s="5" t="s">
        <v>153</v>
      </c>
      <c r="D58" s="5" t="s">
        <v>2429</v>
      </c>
    </row>
    <row r="59" spans="1:4" x14ac:dyDescent="0.3">
      <c r="A59" s="5" t="str">
        <f t="shared" ca="1" si="0"/>
        <v>Сентябрь</v>
      </c>
      <c r="B59" s="5" t="s">
        <v>132</v>
      </c>
      <c r="C59" s="5" t="s">
        <v>154</v>
      </c>
      <c r="D59" s="5" t="s">
        <v>2430</v>
      </c>
    </row>
    <row r="60" spans="1:4" x14ac:dyDescent="0.3">
      <c r="A60" s="5" t="str">
        <f t="shared" ca="1" si="0"/>
        <v>Октябрь</v>
      </c>
      <c r="B60" s="5" t="s">
        <v>133</v>
      </c>
      <c r="C60" s="5" t="s">
        <v>155</v>
      </c>
      <c r="D60" s="5" t="s">
        <v>2431</v>
      </c>
    </row>
    <row r="61" spans="1:4" x14ac:dyDescent="0.3">
      <c r="A61" s="5" t="str">
        <f t="shared" ca="1" si="0"/>
        <v>Ноябрь</v>
      </c>
      <c r="B61" s="5" t="s">
        <v>134</v>
      </c>
      <c r="C61" s="5" t="s">
        <v>156</v>
      </c>
      <c r="D61" s="5" t="s">
        <v>2432</v>
      </c>
    </row>
    <row r="62" spans="1:4" x14ac:dyDescent="0.3">
      <c r="A62" s="5" t="str">
        <f t="shared" ca="1" si="0"/>
        <v>Декабрь</v>
      </c>
      <c r="B62" s="5" t="s">
        <v>135</v>
      </c>
      <c r="C62" s="5" t="s">
        <v>157</v>
      </c>
      <c r="D62" s="5" t="s">
        <v>2433</v>
      </c>
    </row>
    <row r="63" spans="1:4" x14ac:dyDescent="0.3">
      <c r="A63" s="5" t="str">
        <f t="shared" ca="1" si="0"/>
        <v>янв</v>
      </c>
      <c r="B63" s="5" t="s">
        <v>167</v>
      </c>
      <c r="C63" s="5" t="s">
        <v>474</v>
      </c>
      <c r="D63" s="5" t="s">
        <v>2434</v>
      </c>
    </row>
    <row r="64" spans="1:4" x14ac:dyDescent="0.3">
      <c r="A64" s="5" t="str">
        <f t="shared" ca="1" si="0"/>
        <v>фев</v>
      </c>
      <c r="B64" s="5" t="s">
        <v>168</v>
      </c>
      <c r="C64" s="5" t="s">
        <v>475</v>
      </c>
      <c r="D64" s="5" t="s">
        <v>2435</v>
      </c>
    </row>
    <row r="65" spans="1:4" x14ac:dyDescent="0.3">
      <c r="A65" s="5" t="str">
        <f t="shared" ca="1" si="0"/>
        <v>мар</v>
      </c>
      <c r="B65" s="5" t="s">
        <v>169</v>
      </c>
      <c r="C65" s="5" t="s">
        <v>476</v>
      </c>
      <c r="D65" s="5" t="s">
        <v>2436</v>
      </c>
    </row>
    <row r="66" spans="1:4" x14ac:dyDescent="0.3">
      <c r="A66" s="5" t="str">
        <f t="shared" ca="1" si="0"/>
        <v>апр</v>
      </c>
      <c r="B66" s="5" t="s">
        <v>170</v>
      </c>
      <c r="C66" s="5" t="s">
        <v>477</v>
      </c>
      <c r="D66" s="5" t="s">
        <v>2437</v>
      </c>
    </row>
    <row r="67" spans="1:4" x14ac:dyDescent="0.3">
      <c r="A67" s="5" t="str">
        <f t="shared" ca="1" si="0"/>
        <v>май</v>
      </c>
      <c r="B67" s="5" t="s">
        <v>171</v>
      </c>
      <c r="C67" s="5" t="s">
        <v>150</v>
      </c>
      <c r="D67" s="5" t="s">
        <v>2438</v>
      </c>
    </row>
    <row r="68" spans="1:4" x14ac:dyDescent="0.3">
      <c r="A68" s="5" t="str">
        <f t="shared" ref="A68:A131" ca="1" si="1">OFFSET(A68,0,Prj_Language)</f>
        <v>июн</v>
      </c>
      <c r="B68" s="5" t="s">
        <v>172</v>
      </c>
      <c r="C68" s="5" t="s">
        <v>478</v>
      </c>
      <c r="D68" s="5" t="s">
        <v>2439</v>
      </c>
    </row>
    <row r="69" spans="1:4" x14ac:dyDescent="0.3">
      <c r="A69" s="5" t="str">
        <f t="shared" ca="1" si="1"/>
        <v>июл</v>
      </c>
      <c r="B69" s="5" t="s">
        <v>173</v>
      </c>
      <c r="C69" s="5" t="s">
        <v>479</v>
      </c>
      <c r="D69" s="5" t="s">
        <v>2440</v>
      </c>
    </row>
    <row r="70" spans="1:4" x14ac:dyDescent="0.3">
      <c r="A70" s="5" t="str">
        <f t="shared" ca="1" si="1"/>
        <v>авг</v>
      </c>
      <c r="B70" s="5" t="s">
        <v>174</v>
      </c>
      <c r="C70" s="5" t="s">
        <v>480</v>
      </c>
      <c r="D70" s="5" t="s">
        <v>2441</v>
      </c>
    </row>
    <row r="71" spans="1:4" x14ac:dyDescent="0.3">
      <c r="A71" s="5" t="str">
        <f t="shared" ca="1" si="1"/>
        <v>сен</v>
      </c>
      <c r="B71" s="5" t="s">
        <v>175</v>
      </c>
      <c r="C71" s="5" t="s">
        <v>481</v>
      </c>
      <c r="D71" s="5" t="s">
        <v>2442</v>
      </c>
    </row>
    <row r="72" spans="1:4" x14ac:dyDescent="0.3">
      <c r="A72" s="5" t="str">
        <f t="shared" ca="1" si="1"/>
        <v>окт</v>
      </c>
      <c r="B72" s="5" t="s">
        <v>176</v>
      </c>
      <c r="C72" s="5" t="s">
        <v>482</v>
      </c>
      <c r="D72" s="5" t="s">
        <v>2443</v>
      </c>
    </row>
    <row r="73" spans="1:4" x14ac:dyDescent="0.3">
      <c r="A73" s="5" t="str">
        <f t="shared" ca="1" si="1"/>
        <v>ноя</v>
      </c>
      <c r="B73" s="5" t="s">
        <v>177</v>
      </c>
      <c r="C73" s="5" t="s">
        <v>483</v>
      </c>
      <c r="D73" s="5" t="s">
        <v>2444</v>
      </c>
    </row>
    <row r="74" spans="1:4" x14ac:dyDescent="0.3">
      <c r="A74" s="5" t="str">
        <f t="shared" ca="1" si="1"/>
        <v>дек</v>
      </c>
      <c r="B74" s="5" t="s">
        <v>178</v>
      </c>
      <c r="C74" s="5" t="s">
        <v>484</v>
      </c>
      <c r="D74" s="5" t="s">
        <v>2445</v>
      </c>
    </row>
    <row r="75" spans="1:4" x14ac:dyDescent="0.3">
      <c r="A75" s="154" t="str">
        <f t="shared" ca="1" si="1"/>
        <v>Австралийские доллары</v>
      </c>
      <c r="B75" s="5" t="s">
        <v>180</v>
      </c>
      <c r="C75" s="5" t="s">
        <v>380</v>
      </c>
      <c r="D75" s="5" t="s">
        <v>2446</v>
      </c>
    </row>
    <row r="76" spans="1:4" x14ac:dyDescent="0.3">
      <c r="A76" s="5" t="str">
        <f t="shared" ca="1" si="1"/>
        <v>Венгерский форинт</v>
      </c>
      <c r="B76" s="5" t="s">
        <v>198</v>
      </c>
      <c r="C76" s="5" t="s">
        <v>381</v>
      </c>
      <c r="D76" s="5" t="s">
        <v>2447</v>
      </c>
    </row>
    <row r="77" spans="1:4" x14ac:dyDescent="0.3">
      <c r="A77" s="5" t="str">
        <f t="shared" ca="1" si="1"/>
        <v>Датские кроны</v>
      </c>
      <c r="B77" s="5" t="s">
        <v>181</v>
      </c>
      <c r="C77" s="5" t="s">
        <v>382</v>
      </c>
      <c r="D77" s="5" t="s">
        <v>2448</v>
      </c>
    </row>
    <row r="78" spans="1:4" x14ac:dyDescent="0.3">
      <c r="A78" s="5" t="str">
        <f t="shared" ca="1" si="1"/>
        <v>Доллары США</v>
      </c>
      <c r="B78" s="5" t="s">
        <v>182</v>
      </c>
      <c r="C78" s="5" t="s">
        <v>383</v>
      </c>
      <c r="D78" s="5" t="s">
        <v>2449</v>
      </c>
    </row>
    <row r="79" spans="1:4" x14ac:dyDescent="0.3">
      <c r="A79" s="5" t="str">
        <f t="shared" ca="1" si="1"/>
        <v>Евро</v>
      </c>
      <c r="B79" s="5" t="s">
        <v>179</v>
      </c>
      <c r="C79" s="5" t="s">
        <v>384</v>
      </c>
      <c r="D79" s="5" t="s">
        <v>2450</v>
      </c>
    </row>
    <row r="80" spans="1:4" x14ac:dyDescent="0.3">
      <c r="A80" s="5" t="str">
        <f t="shared" ca="1" si="1"/>
        <v>Индийские рупии</v>
      </c>
      <c r="B80" s="5" t="s">
        <v>183</v>
      </c>
      <c r="C80" s="5" t="s">
        <v>385</v>
      </c>
      <c r="D80" s="5" t="s">
        <v>2451</v>
      </c>
    </row>
    <row r="81" spans="1:4" x14ac:dyDescent="0.3">
      <c r="A81" s="5" t="str">
        <f t="shared" ca="1" si="1"/>
        <v>Казахские тенге</v>
      </c>
      <c r="B81" s="5" t="s">
        <v>184</v>
      </c>
      <c r="C81" s="5" t="s">
        <v>386</v>
      </c>
      <c r="D81" s="5" t="s">
        <v>2452</v>
      </c>
    </row>
    <row r="82" spans="1:4" x14ac:dyDescent="0.3">
      <c r="A82" s="5" t="str">
        <f t="shared" ca="1" si="1"/>
        <v>Канадские доллары</v>
      </c>
      <c r="B82" s="5" t="s">
        <v>185</v>
      </c>
      <c r="C82" s="5" t="s">
        <v>387</v>
      </c>
      <c r="D82" s="5" t="s">
        <v>2453</v>
      </c>
    </row>
    <row r="83" spans="1:4" x14ac:dyDescent="0.3">
      <c r="A83" s="5" t="str">
        <f t="shared" ca="1" si="1"/>
        <v>Китайские юани</v>
      </c>
      <c r="B83" s="5" t="s">
        <v>186</v>
      </c>
      <c r="C83" s="5" t="s">
        <v>388</v>
      </c>
      <c r="D83" s="5" t="s">
        <v>2454</v>
      </c>
    </row>
    <row r="84" spans="1:4" x14ac:dyDescent="0.3">
      <c r="A84" s="5" t="str">
        <f t="shared" ca="1" si="1"/>
        <v>Молдавские леи</v>
      </c>
      <c r="B84" s="5" t="s">
        <v>187</v>
      </c>
      <c r="C84" s="5" t="s">
        <v>389</v>
      </c>
      <c r="D84" s="5" t="s">
        <v>2455</v>
      </c>
    </row>
    <row r="85" spans="1:4" x14ac:dyDescent="0.3">
      <c r="A85" s="5" t="str">
        <f t="shared" ca="1" si="1"/>
        <v>Норвежские кроны</v>
      </c>
      <c r="B85" s="5" t="s">
        <v>188</v>
      </c>
      <c r="C85" s="5" t="s">
        <v>390</v>
      </c>
      <c r="D85" s="5" t="s">
        <v>2456</v>
      </c>
    </row>
    <row r="86" spans="1:4" x14ac:dyDescent="0.3">
      <c r="A86" s="5" t="str">
        <f t="shared" ca="1" si="1"/>
        <v>Польские злотые</v>
      </c>
      <c r="B86" s="5" t="s">
        <v>189</v>
      </c>
      <c r="C86" s="5" t="s">
        <v>391</v>
      </c>
      <c r="D86" s="5" t="s">
        <v>2457</v>
      </c>
    </row>
    <row r="87" spans="1:4" x14ac:dyDescent="0.3">
      <c r="A87" s="5" t="str">
        <f t="shared" ca="1" si="1"/>
        <v>Российские рубли</v>
      </c>
      <c r="B87" s="5" t="s">
        <v>196</v>
      </c>
      <c r="C87" s="5" t="s">
        <v>392</v>
      </c>
      <c r="D87" s="5" t="s">
        <v>2458</v>
      </c>
    </row>
    <row r="88" spans="1:4" x14ac:dyDescent="0.3">
      <c r="A88" s="5" t="str">
        <f t="shared" ca="1" si="1"/>
        <v>Румынский лей</v>
      </c>
      <c r="B88" s="5" t="s">
        <v>199</v>
      </c>
      <c r="C88" s="5" t="s">
        <v>393</v>
      </c>
      <c r="D88" s="5" t="s">
        <v>2459</v>
      </c>
    </row>
    <row r="89" spans="1:4" x14ac:dyDescent="0.3">
      <c r="A89" s="5" t="str">
        <f t="shared" ca="1" si="1"/>
        <v>Турецкие лиры</v>
      </c>
      <c r="B89" s="5" t="s">
        <v>190</v>
      </c>
      <c r="C89" s="5" t="s">
        <v>394</v>
      </c>
      <c r="D89" s="5" t="s">
        <v>2460</v>
      </c>
    </row>
    <row r="90" spans="1:4" x14ac:dyDescent="0.3">
      <c r="A90" s="5" t="str">
        <f t="shared" ca="1" si="1"/>
        <v>Украинские гривны</v>
      </c>
      <c r="B90" s="5" t="s">
        <v>191</v>
      </c>
      <c r="C90" s="5" t="s">
        <v>395</v>
      </c>
      <c r="D90" s="5" t="s">
        <v>2461</v>
      </c>
    </row>
    <row r="91" spans="1:4" x14ac:dyDescent="0.3">
      <c r="A91" s="5" t="str">
        <f t="shared" ca="1" si="1"/>
        <v>Фунты стерлингов</v>
      </c>
      <c r="B91" s="5" t="s">
        <v>192</v>
      </c>
      <c r="C91" s="5" t="s">
        <v>396</v>
      </c>
      <c r="D91" s="5" t="s">
        <v>2462</v>
      </c>
    </row>
    <row r="92" spans="1:4" x14ac:dyDescent="0.3">
      <c r="A92" s="5" t="str">
        <f t="shared" ca="1" si="1"/>
        <v>Чешские кроны</v>
      </c>
      <c r="B92" s="5" t="s">
        <v>193</v>
      </c>
      <c r="C92" s="5" t="s">
        <v>397</v>
      </c>
      <c r="D92" s="5" t="s">
        <v>2463</v>
      </c>
    </row>
    <row r="93" spans="1:4" x14ac:dyDescent="0.3">
      <c r="A93" s="5" t="str">
        <f t="shared" ca="1" si="1"/>
        <v>Швейцарские франки</v>
      </c>
      <c r="B93" s="5" t="s">
        <v>194</v>
      </c>
      <c r="C93" s="5" t="s">
        <v>398</v>
      </c>
      <c r="D93" s="5" t="s">
        <v>2464</v>
      </c>
    </row>
    <row r="94" spans="1:4" x14ac:dyDescent="0.3">
      <c r="A94" s="5" t="str">
        <f t="shared" ca="1" si="1"/>
        <v>Японские йены</v>
      </c>
      <c r="B94" s="5" t="s">
        <v>195</v>
      </c>
      <c r="C94" s="5" t="s">
        <v>399</v>
      </c>
      <c r="D94" s="5" t="s">
        <v>2465</v>
      </c>
    </row>
    <row r="95" spans="1:4" x14ac:dyDescent="0.3">
      <c r="A95" s="5" t="str">
        <f t="shared" ca="1" si="1"/>
        <v>AUD</v>
      </c>
      <c r="B95" s="5" t="s">
        <v>207</v>
      </c>
      <c r="C95" s="5" t="s">
        <v>207</v>
      </c>
      <c r="D95" s="5" t="s">
        <v>207</v>
      </c>
    </row>
    <row r="96" spans="1:4" x14ac:dyDescent="0.3">
      <c r="A96" s="5" t="str">
        <f t="shared" ca="1" si="1"/>
        <v>HUF</v>
      </c>
      <c r="B96" s="5" t="s">
        <v>208</v>
      </c>
      <c r="C96" s="5" t="s">
        <v>208</v>
      </c>
      <c r="D96" s="5" t="s">
        <v>208</v>
      </c>
    </row>
    <row r="97" spans="1:4" x14ac:dyDescent="0.3">
      <c r="A97" s="5" t="str">
        <f t="shared" ca="1" si="1"/>
        <v>DKK</v>
      </c>
      <c r="B97" s="5" t="s">
        <v>209</v>
      </c>
      <c r="C97" s="5" t="s">
        <v>209</v>
      </c>
      <c r="D97" s="5" t="s">
        <v>209</v>
      </c>
    </row>
    <row r="98" spans="1:4" x14ac:dyDescent="0.3">
      <c r="A98" s="5" t="str">
        <f t="shared" ca="1" si="1"/>
        <v>$</v>
      </c>
      <c r="B98" s="5" t="s">
        <v>16</v>
      </c>
      <c r="C98" s="5" t="s">
        <v>16</v>
      </c>
      <c r="D98" s="5" t="s">
        <v>16</v>
      </c>
    </row>
    <row r="99" spans="1:4" x14ac:dyDescent="0.3">
      <c r="A99" s="5" t="str">
        <f t="shared" ca="1" si="1"/>
        <v>EUR</v>
      </c>
      <c r="B99" s="5" t="s">
        <v>17</v>
      </c>
      <c r="C99" s="5" t="s">
        <v>17</v>
      </c>
      <c r="D99" s="5" t="s">
        <v>17</v>
      </c>
    </row>
    <row r="100" spans="1:4" x14ac:dyDescent="0.3">
      <c r="A100" s="5" t="str">
        <f t="shared" ca="1" si="1"/>
        <v>INR</v>
      </c>
      <c r="B100" s="5" t="s">
        <v>210</v>
      </c>
      <c r="C100" s="5" t="s">
        <v>210</v>
      </c>
      <c r="D100" s="5" t="s">
        <v>210</v>
      </c>
    </row>
    <row r="101" spans="1:4" x14ac:dyDescent="0.3">
      <c r="A101" s="5" t="str">
        <f t="shared" ca="1" si="1"/>
        <v>KZT</v>
      </c>
      <c r="B101" s="5" t="s">
        <v>211</v>
      </c>
      <c r="C101" s="5" t="s">
        <v>211</v>
      </c>
      <c r="D101" s="5" t="s">
        <v>211</v>
      </c>
    </row>
    <row r="102" spans="1:4" x14ac:dyDescent="0.3">
      <c r="A102" s="5" t="str">
        <f t="shared" ca="1" si="1"/>
        <v>CAD</v>
      </c>
      <c r="B102" s="5" t="s">
        <v>212</v>
      </c>
      <c r="C102" s="5" t="s">
        <v>212</v>
      </c>
      <c r="D102" s="5" t="s">
        <v>212</v>
      </c>
    </row>
    <row r="103" spans="1:4" x14ac:dyDescent="0.3">
      <c r="A103" s="5" t="str">
        <f t="shared" ca="1" si="1"/>
        <v>CNY</v>
      </c>
      <c r="B103" s="5" t="s">
        <v>213</v>
      </c>
      <c r="C103" s="5" t="s">
        <v>213</v>
      </c>
      <c r="D103" s="5" t="s">
        <v>213</v>
      </c>
    </row>
    <row r="104" spans="1:4" x14ac:dyDescent="0.3">
      <c r="A104" s="5" t="str">
        <f t="shared" ca="1" si="1"/>
        <v>MDL</v>
      </c>
      <c r="B104" s="5" t="s">
        <v>214</v>
      </c>
      <c r="C104" s="5" t="s">
        <v>214</v>
      </c>
      <c r="D104" s="5" t="s">
        <v>214</v>
      </c>
    </row>
    <row r="105" spans="1:4" x14ac:dyDescent="0.3">
      <c r="A105" s="5" t="str">
        <f t="shared" ca="1" si="1"/>
        <v>NOK</v>
      </c>
      <c r="B105" s="5" t="s">
        <v>215</v>
      </c>
      <c r="C105" s="5" t="s">
        <v>215</v>
      </c>
      <c r="D105" s="5" t="s">
        <v>215</v>
      </c>
    </row>
    <row r="106" spans="1:4" x14ac:dyDescent="0.3">
      <c r="A106" s="5" t="str">
        <f t="shared" ca="1" si="1"/>
        <v>PLN</v>
      </c>
      <c r="B106" s="5" t="s">
        <v>216</v>
      </c>
      <c r="C106" s="5" t="s">
        <v>216</v>
      </c>
      <c r="D106" s="5" t="s">
        <v>216</v>
      </c>
    </row>
    <row r="107" spans="1:4" x14ac:dyDescent="0.3">
      <c r="A107" s="5" t="str">
        <f t="shared" ca="1" si="1"/>
        <v>руб.</v>
      </c>
      <c r="B107" s="5" t="s">
        <v>217</v>
      </c>
      <c r="C107" s="5" t="s">
        <v>408</v>
      </c>
      <c r="D107" s="5" t="s">
        <v>217</v>
      </c>
    </row>
    <row r="108" spans="1:4" x14ac:dyDescent="0.3">
      <c r="A108" s="5" t="str">
        <f t="shared" ca="1" si="1"/>
        <v>RON</v>
      </c>
      <c r="B108" s="5" t="s">
        <v>218</v>
      </c>
      <c r="C108" s="5" t="s">
        <v>218</v>
      </c>
      <c r="D108" s="5" t="s">
        <v>218</v>
      </c>
    </row>
    <row r="109" spans="1:4" x14ac:dyDescent="0.3">
      <c r="A109" s="5" t="str">
        <f t="shared" ca="1" si="1"/>
        <v>TRY</v>
      </c>
      <c r="B109" s="5" t="s">
        <v>219</v>
      </c>
      <c r="C109" s="5" t="s">
        <v>219</v>
      </c>
      <c r="D109" s="5" t="s">
        <v>219</v>
      </c>
    </row>
    <row r="110" spans="1:4" x14ac:dyDescent="0.3">
      <c r="A110" s="5" t="str">
        <f t="shared" ca="1" si="1"/>
        <v>грн.</v>
      </c>
      <c r="B110" s="5" t="s">
        <v>220</v>
      </c>
      <c r="C110" s="5" t="s">
        <v>412</v>
      </c>
      <c r="D110" s="5" t="s">
        <v>220</v>
      </c>
    </row>
    <row r="111" spans="1:4" x14ac:dyDescent="0.3">
      <c r="A111" s="5" t="str">
        <f t="shared" ca="1" si="1"/>
        <v>GBP</v>
      </c>
      <c r="B111" s="5" t="s">
        <v>221</v>
      </c>
      <c r="C111" s="5" t="s">
        <v>221</v>
      </c>
      <c r="D111" s="5" t="s">
        <v>221</v>
      </c>
    </row>
    <row r="112" spans="1:4" x14ac:dyDescent="0.3">
      <c r="A112" s="5" t="str">
        <f t="shared" ca="1" si="1"/>
        <v>CZK</v>
      </c>
      <c r="B112" s="5" t="s">
        <v>222</v>
      </c>
      <c r="C112" s="5" t="s">
        <v>222</v>
      </c>
      <c r="D112" s="5" t="s">
        <v>222</v>
      </c>
    </row>
    <row r="113" spans="1:4" x14ac:dyDescent="0.3">
      <c r="A113" s="5" t="str">
        <f t="shared" ca="1" si="1"/>
        <v>CHF</v>
      </c>
      <c r="B113" s="5" t="s">
        <v>223</v>
      </c>
      <c r="C113" s="5" t="s">
        <v>223</v>
      </c>
      <c r="D113" s="5" t="s">
        <v>223</v>
      </c>
    </row>
    <row r="114" spans="1:4" x14ac:dyDescent="0.3">
      <c r="A114" s="5" t="str">
        <f t="shared" ca="1" si="1"/>
        <v>JPY</v>
      </c>
      <c r="B114" s="5" t="s">
        <v>224</v>
      </c>
      <c r="C114" s="5" t="s">
        <v>224</v>
      </c>
      <c r="D114" s="5" t="s">
        <v>224</v>
      </c>
    </row>
    <row r="115" spans="1:4" x14ac:dyDescent="0.3">
      <c r="A115" s="5" t="str">
        <f t="shared" ca="1" si="1"/>
        <v>тыс. ***</v>
      </c>
      <c r="B115" s="5" t="s">
        <v>225</v>
      </c>
      <c r="C115" s="5" t="s">
        <v>406</v>
      </c>
      <c r="D115" s="5" t="s">
        <v>2466</v>
      </c>
    </row>
    <row r="116" spans="1:4" x14ac:dyDescent="0.3">
      <c r="A116" s="5" t="str">
        <f t="shared" ca="1" si="1"/>
        <v>млн ***</v>
      </c>
      <c r="B116" s="5" t="s">
        <v>3338</v>
      </c>
      <c r="C116" s="5" t="s">
        <v>407</v>
      </c>
      <c r="D116" s="5" t="s">
        <v>2467</v>
      </c>
    </row>
    <row r="117" spans="1:4" x14ac:dyDescent="0.3">
      <c r="A117" s="5" t="str">
        <f t="shared" ca="1" si="1"/>
        <v>Справка</v>
      </c>
      <c r="B117" s="5" t="s">
        <v>2332</v>
      </c>
      <c r="C117" s="5" t="s">
        <v>2333</v>
      </c>
      <c r="D117" s="5" t="s">
        <v>3340</v>
      </c>
    </row>
    <row r="118" spans="1:4" x14ac:dyDescent="0.3">
      <c r="A118" s="5" t="str">
        <f t="shared" ca="1" si="1"/>
        <v>Закрыть</v>
      </c>
      <c r="B118" s="5" t="s">
        <v>250</v>
      </c>
      <c r="C118" s="5" t="s">
        <v>428</v>
      </c>
      <c r="D118" s="5" t="s">
        <v>2468</v>
      </c>
    </row>
    <row r="119" spans="1:4" x14ac:dyDescent="0.3">
      <c r="A119" s="5" t="str">
        <f t="shared" ca="1" si="1"/>
        <v>OK</v>
      </c>
      <c r="B119" s="5" t="s">
        <v>2336</v>
      </c>
      <c r="C119" s="5" t="s">
        <v>2336</v>
      </c>
      <c r="D119" s="5" t="s">
        <v>2336</v>
      </c>
    </row>
    <row r="120" spans="1:4" x14ac:dyDescent="0.3">
      <c r="A120" s="5" t="str">
        <f t="shared" ca="1" si="1"/>
        <v>Отмена</v>
      </c>
      <c r="B120" s="5" t="s">
        <v>101</v>
      </c>
      <c r="C120" s="5" t="s">
        <v>141</v>
      </c>
      <c r="D120" s="5" t="s">
        <v>2469</v>
      </c>
    </row>
    <row r="121" spans="1:4" x14ac:dyDescent="0.3">
      <c r="A121" s="154" t="str">
        <f t="shared" ca="1" si="1"/>
        <v>Внешний вид модели</v>
      </c>
      <c r="B121" s="5" t="s">
        <v>106</v>
      </c>
      <c r="C121" s="5" t="s">
        <v>358</v>
      </c>
      <c r="D121" s="5" t="s">
        <v>2470</v>
      </c>
    </row>
    <row r="122" spans="1:4" x14ac:dyDescent="0.3">
      <c r="A122" s="5" t="str">
        <f t="shared" ca="1" si="1"/>
        <v>Язык интерфейса и отчетных форм</v>
      </c>
      <c r="B122" s="5" t="s">
        <v>107</v>
      </c>
      <c r="C122" s="5" t="s">
        <v>359</v>
      </c>
      <c r="D122" s="5" t="s">
        <v>2471</v>
      </c>
    </row>
    <row r="123" spans="1:4" x14ac:dyDescent="0.3">
      <c r="A123" s="5" t="str">
        <f t="shared" ca="1" si="1"/>
        <v>Цвета, используемые в модели</v>
      </c>
      <c r="B123" s="5" t="s">
        <v>108</v>
      </c>
      <c r="C123" s="5" t="s">
        <v>360</v>
      </c>
      <c r="D123" s="5" t="s">
        <v>2472</v>
      </c>
    </row>
    <row r="124" spans="1:4" x14ac:dyDescent="0.3">
      <c r="A124" s="5" t="str">
        <f t="shared" ca="1" si="1"/>
        <v>Загрузить готовый стиль оформления:</v>
      </c>
      <c r="B124" s="5" t="s">
        <v>112</v>
      </c>
      <c r="C124" s="5" t="s">
        <v>361</v>
      </c>
      <c r="D124" s="5" t="s">
        <v>2473</v>
      </c>
    </row>
    <row r="125" spans="1:4" x14ac:dyDescent="0.3">
      <c r="A125" s="5" t="str">
        <f t="shared" ca="1" si="1"/>
        <v>Цвет заголовков таблиц</v>
      </c>
      <c r="B125" s="5" t="s">
        <v>229</v>
      </c>
      <c r="C125" s="5" t="s">
        <v>362</v>
      </c>
      <c r="D125" s="5" t="s">
        <v>2474</v>
      </c>
    </row>
    <row r="126" spans="1:4" x14ac:dyDescent="0.3">
      <c r="A126" s="5" t="str">
        <f t="shared" ca="1" si="1"/>
        <v>Цвет заголовков таблиц (инвестиционный период)</v>
      </c>
      <c r="B126" s="5" t="s">
        <v>2338</v>
      </c>
      <c r="C126" s="5" t="s">
        <v>2339</v>
      </c>
      <c r="D126" s="5" t="s">
        <v>2475</v>
      </c>
    </row>
    <row r="127" spans="1:4" x14ac:dyDescent="0.3">
      <c r="A127" s="5" t="str">
        <f t="shared" ca="1" si="1"/>
        <v>Цвет редактируемых ячеек (основные)</v>
      </c>
      <c r="B127" s="5" t="s">
        <v>3293</v>
      </c>
      <c r="C127" s="157" t="s">
        <v>3295</v>
      </c>
      <c r="D127" s="5" t="s">
        <v>2476</v>
      </c>
    </row>
    <row r="128" spans="1:4" x14ac:dyDescent="0.3">
      <c r="A128" s="5" t="str">
        <f t="shared" ca="1" si="1"/>
        <v>Цвет редактируемых ячеек (дополнительные)</v>
      </c>
      <c r="B128" s="70" t="s">
        <v>3292</v>
      </c>
      <c r="C128" s="157" t="s">
        <v>3296</v>
      </c>
      <c r="D128" s="158" t="s">
        <v>3341</v>
      </c>
    </row>
    <row r="129" spans="1:4" x14ac:dyDescent="0.3">
      <c r="A129" s="5" t="str">
        <f t="shared" ca="1" si="1"/>
        <v>Защитить модель от изменения…</v>
      </c>
      <c r="B129" s="5" t="s">
        <v>610</v>
      </c>
      <c r="C129" s="5" t="s">
        <v>1286</v>
      </c>
      <c r="D129" s="5" t="s">
        <v>2477</v>
      </c>
    </row>
    <row r="130" spans="1:4" x14ac:dyDescent="0.3">
      <c r="A130" s="5" t="str">
        <f t="shared" ca="1" si="1"/>
        <v>Снять защиту модели…</v>
      </c>
      <c r="B130" s="5" t="s">
        <v>611</v>
      </c>
      <c r="C130" s="5" t="s">
        <v>1287</v>
      </c>
      <c r="D130" s="5" t="s">
        <v>2478</v>
      </c>
    </row>
    <row r="131" spans="1:4" x14ac:dyDescent="0.3">
      <c r="A131" s="5" t="str">
        <f t="shared" ca="1" si="1"/>
        <v>Удалить из проекта макросы и формулы...</v>
      </c>
      <c r="B131" s="5" t="s">
        <v>109</v>
      </c>
      <c r="C131" s="5" t="s">
        <v>363</v>
      </c>
      <c r="D131" s="5" t="s">
        <v>2479</v>
      </c>
    </row>
    <row r="132" spans="1:4" x14ac:dyDescent="0.3">
      <c r="A132" s="5">
        <f t="shared" ref="A132:A195" ca="1" si="2">OFFSET(A132,0,Prj_Language)</f>
        <v>0</v>
      </c>
    </row>
    <row r="133" spans="1:4" x14ac:dyDescent="0.3">
      <c r="A133" s="5">
        <f t="shared" ca="1" si="2"/>
        <v>0</v>
      </c>
    </row>
    <row r="134" spans="1:4" x14ac:dyDescent="0.3">
      <c r="A134" s="5">
        <f t="shared" ca="1" si="2"/>
        <v>0</v>
      </c>
    </row>
    <row r="135" spans="1:4" x14ac:dyDescent="0.3">
      <c r="A135" s="5">
        <f t="shared" ca="1" si="2"/>
        <v>0</v>
      </c>
    </row>
    <row r="136" spans="1:4" x14ac:dyDescent="0.3">
      <c r="A136" s="5">
        <f t="shared" ca="1" si="2"/>
        <v>0</v>
      </c>
    </row>
    <row r="137" spans="1:4" x14ac:dyDescent="0.3">
      <c r="A137" s="5">
        <f t="shared" ca="1" si="2"/>
        <v>0</v>
      </c>
    </row>
    <row r="138" spans="1:4" x14ac:dyDescent="0.3">
      <c r="A138" s="5">
        <f t="shared" ca="1" si="2"/>
        <v>0</v>
      </c>
    </row>
    <row r="139" spans="1:4" x14ac:dyDescent="0.3">
      <c r="A139" s="5">
        <f t="shared" ca="1" si="2"/>
        <v>0</v>
      </c>
    </row>
    <row r="140" spans="1:4" x14ac:dyDescent="0.3">
      <c r="A140" s="5" t="str">
        <f t="shared" ca="1" si="2"/>
        <v>Установить защиту модели</v>
      </c>
      <c r="B140" s="5" t="s">
        <v>607</v>
      </c>
      <c r="C140" s="5" t="s">
        <v>1288</v>
      </c>
      <c r="D140" s="5" t="s">
        <v>2489</v>
      </c>
    </row>
    <row r="141" spans="1:4" x14ac:dyDescent="0.3">
      <c r="A141" s="5" t="str">
        <f t="shared" ca="1" si="2"/>
        <v>Снять защиту модели</v>
      </c>
      <c r="B141" s="5" t="s">
        <v>615</v>
      </c>
      <c r="C141" s="5" t="s">
        <v>1289</v>
      </c>
      <c r="D141" s="5" t="s">
        <v>2478</v>
      </c>
    </row>
    <row r="142" spans="1:4" x14ac:dyDescent="0.3">
      <c r="A142" s="5" t="str">
        <f t="shared" ca="1" si="2"/>
        <v>Пароль:</v>
      </c>
      <c r="B142" s="5" t="s">
        <v>102</v>
      </c>
      <c r="C142" s="5" t="s">
        <v>142</v>
      </c>
      <c r="D142" s="5" t="s">
        <v>2490</v>
      </c>
    </row>
    <row r="143" spans="1:4" x14ac:dyDescent="0.3">
      <c r="A143" s="5" t="str">
        <f t="shared" ca="1" si="2"/>
        <v>Подтверждение пароля:</v>
      </c>
      <c r="B143" s="5" t="s">
        <v>2168</v>
      </c>
      <c r="C143" s="5" t="s">
        <v>2167</v>
      </c>
      <c r="D143" s="5" t="s">
        <v>2491</v>
      </c>
    </row>
    <row r="144" spans="1:4" x14ac:dyDescent="0.3">
      <c r="A144" s="5" t="str">
        <f t="shared" ca="1" si="2"/>
        <v>Показывать вводимый текст</v>
      </c>
      <c r="B144" s="5" t="s">
        <v>103</v>
      </c>
      <c r="C144" s="5" t="s">
        <v>143</v>
      </c>
      <c r="D144" s="5" t="s">
        <v>2492</v>
      </c>
    </row>
    <row r="145" spans="1:4" x14ac:dyDescent="0.3">
      <c r="A145" s="5" t="str">
        <f t="shared" ca="1" si="2"/>
        <v>Не забудьте введенный пароль. Без него разблокировать модель будет невозможно!</v>
      </c>
      <c r="B145" s="5" t="s">
        <v>924</v>
      </c>
      <c r="C145" s="5" t="s">
        <v>144</v>
      </c>
      <c r="D145" s="5" t="s">
        <v>2493</v>
      </c>
    </row>
    <row r="146" spans="1:4" x14ac:dyDescent="0.3">
      <c r="A146" s="5" t="str">
        <f t="shared" ca="1" si="2"/>
        <v>Неправильный пароль.</v>
      </c>
      <c r="B146" s="5" t="s">
        <v>612</v>
      </c>
      <c r="C146" s="5" t="s">
        <v>613</v>
      </c>
      <c r="D146" s="5" t="s">
        <v>2494</v>
      </c>
    </row>
    <row r="147" spans="1:4" x14ac:dyDescent="0.3">
      <c r="A147" s="5" t="str">
        <f t="shared" ca="1" si="2"/>
        <v>Удалить макросы и формулы</v>
      </c>
      <c r="B147" s="5" t="s">
        <v>614</v>
      </c>
      <c r="C147" s="5" t="s">
        <v>922</v>
      </c>
      <c r="D147" s="5" t="s">
        <v>2479</v>
      </c>
    </row>
    <row r="148" spans="1:4" x14ac:dyDescent="0.3">
      <c r="A148" s="5" t="str">
        <f t="shared" ca="1" si="2"/>
        <v>Удалить все формулы</v>
      </c>
      <c r="B148" s="5" t="s">
        <v>123</v>
      </c>
      <c r="C148" s="5" t="s">
        <v>1290</v>
      </c>
      <c r="D148" s="5" t="s">
        <v>2495</v>
      </c>
    </row>
    <row r="149" spans="1:4" x14ac:dyDescent="0.3">
      <c r="A149" s="5" t="str">
        <f t="shared" ca="1" si="2"/>
        <v>Внимание! После нажатия ОК все макросы и кнопки будут удалены из модели. Вам будет предложено сохранить файл под новым именем.</v>
      </c>
      <c r="B149" s="5" t="s">
        <v>923</v>
      </c>
      <c r="C149" s="5" t="s">
        <v>1291</v>
      </c>
      <c r="D149" s="5" t="s">
        <v>2496</v>
      </c>
    </row>
    <row r="150" spans="1:4" x14ac:dyDescent="0.3">
      <c r="A150" s="5" t="str">
        <f t="shared" ca="1" si="2"/>
        <v>Внимание! Последние изменения в файле не сохранены. Мы рекомендуем Вам сначала сохранить рабочий файл, так как после нажатия ОК макросы и кнопки будут удалены.</v>
      </c>
      <c r="B150" s="5" t="s">
        <v>920</v>
      </c>
      <c r="C150" s="5" t="s">
        <v>1292</v>
      </c>
      <c r="D150" s="5" t="s">
        <v>2497</v>
      </c>
    </row>
    <row r="151" spans="1:4" x14ac:dyDescent="0.3">
      <c r="A151" s="5" t="str">
        <f t="shared" ca="1" si="2"/>
        <v>Сохранить проект как</v>
      </c>
      <c r="B151" s="5" t="s">
        <v>919</v>
      </c>
      <c r="C151" s="5" t="s">
        <v>1293</v>
      </c>
      <c r="D151" s="5" t="s">
        <v>2498</v>
      </c>
    </row>
    <row r="152" spans="1:4" x14ac:dyDescent="0.3">
      <c r="A152" s="5" t="str">
        <f t="shared" ca="1" si="2"/>
        <v>Книга Excel (*.xlsx),*.xlsx, Все файлы (*.*),*.*</v>
      </c>
      <c r="B152" s="5" t="s">
        <v>918</v>
      </c>
      <c r="C152" s="5" t="s">
        <v>1294</v>
      </c>
      <c r="D152" s="5" t="s">
        <v>2499</v>
      </c>
    </row>
    <row r="153" spans="1:4" x14ac:dyDescent="0.3">
      <c r="A153" s="5" t="str">
        <f t="shared" ca="1" si="2"/>
        <v>Файл не удалось сохранить, но все запрошенные данные были удалены из модели. Не сохраняйте ее под именем рабочей модели, так как это приведет к потере данных! Просто закройте модель без сохранения.</v>
      </c>
      <c r="B153" s="5" t="s">
        <v>921</v>
      </c>
      <c r="D153" s="5" t="s">
        <v>2500</v>
      </c>
    </row>
    <row r="154" spans="1:4" x14ac:dyDescent="0.3">
      <c r="A154" s="154" t="str">
        <f t="shared" ca="1" si="2"/>
        <v>Дата начала и длительность</v>
      </c>
      <c r="B154" s="5" t="s">
        <v>136</v>
      </c>
      <c r="C154" s="5" t="s">
        <v>158</v>
      </c>
      <c r="D154" s="5" t="s">
        <v>2501</v>
      </c>
    </row>
    <row r="155" spans="1:4" x14ac:dyDescent="0.3">
      <c r="A155" s="5" t="str">
        <f t="shared" ca="1" si="2"/>
        <v>Начало проекта</v>
      </c>
      <c r="B155" s="5" t="s">
        <v>137</v>
      </c>
      <c r="C155" s="5" t="s">
        <v>159</v>
      </c>
      <c r="D155" s="5" t="s">
        <v>2502</v>
      </c>
    </row>
    <row r="156" spans="1:4" x14ac:dyDescent="0.3">
      <c r="A156" s="5" t="str">
        <f ca="1">OFFSET(A156,0,Prj_Language)</f>
        <v>Длительность периода</v>
      </c>
      <c r="B156" s="5" t="s">
        <v>139</v>
      </c>
      <c r="C156" s="5" t="s">
        <v>161</v>
      </c>
      <c r="D156" s="5" t="s">
        <v>2503</v>
      </c>
    </row>
    <row r="157" spans="1:4" x14ac:dyDescent="0.3">
      <c r="A157" s="5" t="str">
        <f t="shared" ca="1" si="2"/>
        <v>Число периодов</v>
      </c>
      <c r="B157" s="5" t="s">
        <v>138</v>
      </c>
      <c r="C157" s="5" t="s">
        <v>160</v>
      </c>
      <c r="D157" s="5" t="s">
        <v>2504</v>
      </c>
    </row>
    <row r="158" spans="1:4" x14ac:dyDescent="0.3">
      <c r="A158" s="5" t="str">
        <f t="shared" ca="1" si="2"/>
        <v>Инвестиционная фаза</v>
      </c>
      <c r="B158" s="5" t="s">
        <v>226</v>
      </c>
      <c r="C158" s="5" t="s">
        <v>413</v>
      </c>
      <c r="D158" s="5" t="s">
        <v>2505</v>
      </c>
    </row>
    <row r="159" spans="1:4" x14ac:dyDescent="0.3">
      <c r="A159" s="5" t="str">
        <f t="shared" ca="1" si="2"/>
        <v>периодов</v>
      </c>
      <c r="B159" s="5" t="s">
        <v>63</v>
      </c>
      <c r="C159" s="5" t="s">
        <v>414</v>
      </c>
      <c r="D159" s="5" t="s">
        <v>2506</v>
      </c>
    </row>
    <row r="160" spans="1:4" x14ac:dyDescent="0.3">
      <c r="A160" s="5" t="str">
        <f t="shared" ca="1" si="2"/>
        <v>Первый период проекта будет иметь неполную длину.</v>
      </c>
      <c r="B160" s="5" t="s">
        <v>162</v>
      </c>
      <c r="C160" s="5" t="s">
        <v>379</v>
      </c>
      <c r="D160" s="5" t="s">
        <v>2507</v>
      </c>
    </row>
    <row r="161" spans="1:4" x14ac:dyDescent="0.3">
      <c r="A161" s="154" t="str">
        <f t="shared" ca="1" si="2"/>
        <v>Валюты и инфляция</v>
      </c>
      <c r="B161" s="5" t="s">
        <v>200</v>
      </c>
      <c r="C161" s="5" t="s">
        <v>401</v>
      </c>
      <c r="D161" s="5" t="s">
        <v>2508</v>
      </c>
    </row>
    <row r="162" spans="1:4" x14ac:dyDescent="0.3">
      <c r="A162" s="5" t="str">
        <f t="shared" ca="1" si="2"/>
        <v>Основная валюта</v>
      </c>
      <c r="B162" s="5" t="s">
        <v>201</v>
      </c>
      <c r="C162" s="5" t="s">
        <v>402</v>
      </c>
      <c r="D162" s="5" t="s">
        <v>2509</v>
      </c>
    </row>
    <row r="163" spans="1:4" x14ac:dyDescent="0.3">
      <c r="A163" s="5" t="str">
        <f t="shared" ca="1" si="2"/>
        <v>Вторая валюта</v>
      </c>
      <c r="B163" s="5" t="s">
        <v>11</v>
      </c>
      <c r="C163" s="5" t="s">
        <v>403</v>
      </c>
      <c r="D163" s="5" t="s">
        <v>2510</v>
      </c>
    </row>
    <row r="164" spans="1:4" x14ac:dyDescent="0.3">
      <c r="A164" s="5" t="str">
        <f t="shared" ca="1" si="2"/>
        <v>Третья валюта</v>
      </c>
      <c r="B164" s="5" t="s">
        <v>12</v>
      </c>
      <c r="C164" s="5" t="s">
        <v>404</v>
      </c>
      <c r="D164" s="5" t="s">
        <v>2511</v>
      </c>
    </row>
    <row r="165" spans="1:4" x14ac:dyDescent="0.3">
      <c r="A165" s="5" t="str">
        <f t="shared" ca="1" si="2"/>
        <v>Валюта отчетности</v>
      </c>
      <c r="B165" s="5" t="s">
        <v>202</v>
      </c>
      <c r="C165" s="5" t="s">
        <v>405</v>
      </c>
      <c r="D165" s="5" t="s">
        <v>2512</v>
      </c>
    </row>
    <row r="166" spans="1:4" x14ac:dyDescent="0.3">
      <c r="A166" s="5" t="str">
        <f t="shared" ca="1" si="2"/>
        <v>Учет инфляции в расчетах</v>
      </c>
      <c r="B166" s="5" t="s">
        <v>203</v>
      </c>
      <c r="C166" s="5" t="s">
        <v>409</v>
      </c>
      <c r="D166" s="5" t="s">
        <v>2513</v>
      </c>
    </row>
    <row r="167" spans="1:4" x14ac:dyDescent="0.3">
      <c r="A167" s="5" t="str">
        <f t="shared" ca="1" si="2"/>
        <v>Не учитывать (постоянные цены)</v>
      </c>
      <c r="B167" s="5" t="s">
        <v>205</v>
      </c>
      <c r="C167" s="5" t="s">
        <v>411</v>
      </c>
      <c r="D167" s="5" t="s">
        <v>2514</v>
      </c>
    </row>
    <row r="168" spans="1:4" x14ac:dyDescent="0.3">
      <c r="A168" s="5" t="str">
        <f t="shared" ca="1" si="2"/>
        <v>Учитывать (цены будут расти с инфляцией)</v>
      </c>
      <c r="B168" s="5" t="s">
        <v>204</v>
      </c>
      <c r="C168" s="5" t="s">
        <v>410</v>
      </c>
      <c r="D168" s="5" t="s">
        <v>2515</v>
      </c>
    </row>
    <row r="169" spans="1:4" x14ac:dyDescent="0.3">
      <c r="A169" s="5" t="str">
        <f t="shared" ca="1" si="2"/>
        <v>не использовать</v>
      </c>
      <c r="B169" s="5" t="s">
        <v>197</v>
      </c>
      <c r="C169" s="5" t="s">
        <v>400</v>
      </c>
      <c r="D169" s="5" t="s">
        <v>2516</v>
      </c>
    </row>
    <row r="170" spans="1:4" x14ac:dyDescent="0.3">
      <c r="A170" s="154" t="str">
        <f t="shared" ca="1" si="2"/>
        <v>Налоги</v>
      </c>
      <c r="B170" s="5" t="s">
        <v>230</v>
      </c>
      <c r="C170" s="5" t="s">
        <v>415</v>
      </c>
      <c r="D170" s="5" t="s">
        <v>2517</v>
      </c>
    </row>
    <row r="171" spans="1:4" x14ac:dyDescent="0.3">
      <c r="A171" s="5" t="str">
        <f t="shared" ca="1" si="2"/>
        <v>Планирование возврата переплаченного НДС</v>
      </c>
      <c r="B171" s="5" t="s">
        <v>231</v>
      </c>
      <c r="C171" s="5" t="s">
        <v>416</v>
      </c>
      <c r="D171" s="5" t="s">
        <v>2518</v>
      </c>
    </row>
    <row r="172" spans="1:4" x14ac:dyDescent="0.3">
      <c r="A172" s="5" t="str">
        <f t="shared" ca="1" si="2"/>
        <v>Зачитывать при будущих расчетах</v>
      </c>
      <c r="B172" s="5" t="s">
        <v>232</v>
      </c>
      <c r="C172" s="5" t="s">
        <v>417</v>
      </c>
      <c r="D172" s="5" t="s">
        <v>2519</v>
      </c>
    </row>
    <row r="173" spans="1:4" x14ac:dyDescent="0.3">
      <c r="A173" s="5" t="str">
        <f t="shared" ca="1" si="2"/>
        <v>Возврат переплаченных сумм из бюджета</v>
      </c>
      <c r="B173" s="5" t="s">
        <v>233</v>
      </c>
      <c r="C173" s="5" t="s">
        <v>418</v>
      </c>
      <c r="D173" s="5" t="s">
        <v>2520</v>
      </c>
    </row>
    <row r="174" spans="1:4" x14ac:dyDescent="0.3">
      <c r="A174" s="5" t="str">
        <f t="shared" ca="1" si="2"/>
        <v>Налог на добавленную стоимость</v>
      </c>
      <c r="B174" s="5" t="s">
        <v>234</v>
      </c>
      <c r="C174" s="5" t="s">
        <v>419</v>
      </c>
      <c r="D174" s="5" t="s">
        <v>2521</v>
      </c>
    </row>
    <row r="175" spans="1:4" x14ac:dyDescent="0.3">
      <c r="A175" s="5" t="str">
        <f t="shared" ca="1" si="2"/>
        <v>Налог на прибыль</v>
      </c>
      <c r="B175" s="5" t="s">
        <v>235</v>
      </c>
      <c r="C175" s="5" t="s">
        <v>420</v>
      </c>
      <c r="D175" s="5" t="s">
        <v>2522</v>
      </c>
    </row>
    <row r="176" spans="1:4" x14ac:dyDescent="0.3">
      <c r="A176" s="5" t="str">
        <f t="shared" ca="1" si="2"/>
        <v>Социальные взносы</v>
      </c>
      <c r="B176" s="5" t="s">
        <v>1452</v>
      </c>
      <c r="C176" s="5" t="s">
        <v>421</v>
      </c>
      <c r="D176" s="5" t="s">
        <v>2523</v>
      </c>
    </row>
    <row r="177" spans="1:4" x14ac:dyDescent="0.3">
      <c r="A177" s="5" t="str">
        <f t="shared" ca="1" si="2"/>
        <v>Налог на имущество</v>
      </c>
      <c r="B177" s="5" t="s">
        <v>236</v>
      </c>
      <c r="C177" s="5" t="s">
        <v>422</v>
      </c>
      <c r="D177" s="5" t="s">
        <v>2524</v>
      </c>
    </row>
    <row r="178" spans="1:4" x14ac:dyDescent="0.3">
      <c r="A178" s="5" t="str">
        <f t="shared" ca="1" si="2"/>
        <v>Налог с оборота (для упрощенной системы)</v>
      </c>
      <c r="B178" s="5" t="s">
        <v>237</v>
      </c>
      <c r="C178" s="5" t="s">
        <v>423</v>
      </c>
      <c r="D178" s="5" t="s">
        <v>2525</v>
      </c>
    </row>
    <row r="179" spans="1:4" x14ac:dyDescent="0.3">
      <c r="A179" s="5" t="str">
        <f t="shared" ca="1" si="2"/>
        <v>Налог с дохода, уменьшенного на расходы (УСН, ЕСХН)</v>
      </c>
      <c r="B179" s="5" t="s">
        <v>240</v>
      </c>
      <c r="C179" s="5" t="s">
        <v>424</v>
      </c>
      <c r="D179" s="5" t="s">
        <v>2526</v>
      </c>
    </row>
    <row r="180" spans="1:4" x14ac:dyDescent="0.3">
      <c r="A180" s="5">
        <f t="shared" ca="1" si="2"/>
        <v>0</v>
      </c>
    </row>
    <row r="181" spans="1:4" x14ac:dyDescent="0.3">
      <c r="A181" s="5" t="str">
        <f t="shared" ca="1" si="2"/>
        <v>Добавление периодов на листе "***" …</v>
      </c>
      <c r="B181" s="5" t="s">
        <v>1559</v>
      </c>
      <c r="C181" s="5" t="s">
        <v>2153</v>
      </c>
      <c r="D181" s="5" t="s">
        <v>2527</v>
      </c>
    </row>
    <row r="182" spans="1:4" x14ac:dyDescent="0.3">
      <c r="A182" s="5" t="str">
        <f t="shared" ca="1" si="2"/>
        <v>Удаление периодов на листе "***" …</v>
      </c>
      <c r="B182" s="5" t="s">
        <v>1560</v>
      </c>
      <c r="C182" s="5" t="s">
        <v>2154</v>
      </c>
      <c r="D182" s="5" t="s">
        <v>2528</v>
      </c>
    </row>
    <row r="183" spans="1:4" x14ac:dyDescent="0.3">
      <c r="A183" s="5" t="str">
        <f ca="1">OFFSET(A183,0,Prj_Language)</f>
        <v>Подождите пожалуйста. Идет пересчет формул…</v>
      </c>
      <c r="B183" s="5" t="s">
        <v>2165</v>
      </c>
      <c r="C183" s="5" t="s">
        <v>2166</v>
      </c>
      <c r="D183" s="5" t="s">
        <v>2529</v>
      </c>
    </row>
    <row r="184" spans="1:4" x14ac:dyDescent="0.3">
      <c r="A184" s="5" t="str">
        <f ca="1">OFFSET(A184,0,Prj_Language)</f>
        <v>Лист "***" не найден.</v>
      </c>
      <c r="B184" s="70" t="s">
        <v>2209</v>
      </c>
      <c r="C184" t="s">
        <v>2226</v>
      </c>
      <c r="D184" s="159" t="s">
        <v>3342</v>
      </c>
    </row>
    <row r="185" spans="1:4" x14ac:dyDescent="0.3">
      <c r="A185" s="5" t="str">
        <f t="shared" ca="1" si="2"/>
        <v>В пробной версии эта возможность недоступна.</v>
      </c>
      <c r="B185" s="5" t="s">
        <v>2170</v>
      </c>
      <c r="C185" s="5" t="s">
        <v>2171</v>
      </c>
      <c r="D185" s="5" t="s">
        <v>2530</v>
      </c>
    </row>
    <row r="186" spans="1:4" x14ac:dyDescent="0.3">
      <c r="A186" s="5" t="str">
        <f t="shared" ca="1" si="2"/>
        <v>Вы используете пробную версию программы.</v>
      </c>
      <c r="B186" s="5" t="s">
        <v>2172</v>
      </c>
      <c r="C186" s="5" t="s">
        <v>2169</v>
      </c>
      <c r="D186" s="5" t="s">
        <v>2531</v>
      </c>
    </row>
    <row r="187" spans="1:4" x14ac:dyDescent="0.3">
      <c r="A187" s="5" t="str">
        <f t="shared" ca="1" si="2"/>
        <v>В демонстрационной версии эта возможность недоступна.</v>
      </c>
      <c r="B187" s="5" t="s">
        <v>1394</v>
      </c>
      <c r="C187" s="5" t="s">
        <v>2155</v>
      </c>
      <c r="D187" s="5" t="s">
        <v>2532</v>
      </c>
    </row>
    <row r="188" spans="1:4" x14ac:dyDescent="0.3">
      <c r="A188" s="5" t="str">
        <f t="shared" ca="1" si="2"/>
        <v>Вы используете демонстрационную версию программы. В ней работают почти все функции и промежуточные расчеты, но значения на листе Результаты не меняются.</v>
      </c>
      <c r="B188" s="5" t="s">
        <v>1395</v>
      </c>
      <c r="C188" s="5" t="s">
        <v>2156</v>
      </c>
      <c r="D188" s="5" t="s">
        <v>2533</v>
      </c>
    </row>
    <row r="189" spans="1:4" x14ac:dyDescent="0.3">
      <c r="A189" s="5" t="str">
        <f t="shared" ca="1" si="2"/>
        <v>Программа не активирована. Изменение параметров проекта невозможно.</v>
      </c>
      <c r="B189" s="5" t="s">
        <v>1045</v>
      </c>
      <c r="C189" s="5" t="s">
        <v>1295</v>
      </c>
      <c r="D189" s="5" t="s">
        <v>2534</v>
      </c>
    </row>
    <row r="190" spans="1:4" x14ac:dyDescent="0.3">
      <c r="A190" s="154" t="str">
        <f t="shared" ca="1" si="2"/>
        <v>Навигатор</v>
      </c>
      <c r="B190" s="5" t="s">
        <v>263</v>
      </c>
      <c r="C190" s="5" t="s">
        <v>443</v>
      </c>
      <c r="D190" s="5" t="s">
        <v>2535</v>
      </c>
    </row>
    <row r="191" spans="1:4" x14ac:dyDescent="0.3">
      <c r="A191" s="5" t="str">
        <f t="shared" ca="1" si="2"/>
        <v>Полный список всех разделов и таблиц:</v>
      </c>
      <c r="B191" s="5" t="s">
        <v>258</v>
      </c>
      <c r="C191" s="5" t="s">
        <v>439</v>
      </c>
      <c r="D191" s="5" t="s">
        <v>2536</v>
      </c>
    </row>
    <row r="192" spans="1:4" x14ac:dyDescent="0.3">
      <c r="A192" s="5" t="str">
        <f t="shared" ca="1" si="2"/>
        <v>Листы модели:</v>
      </c>
      <c r="B192" s="5" t="s">
        <v>259</v>
      </c>
      <c r="C192" s="5" t="s">
        <v>466</v>
      </c>
      <c r="D192" s="5" t="s">
        <v>2537</v>
      </c>
    </row>
    <row r="193" spans="1:4" x14ac:dyDescent="0.3">
      <c r="A193" s="5" t="str">
        <f t="shared" ca="1" si="2"/>
        <v>Версия модели:</v>
      </c>
      <c r="B193" s="5" t="s">
        <v>260</v>
      </c>
      <c r="C193" s="5" t="s">
        <v>440</v>
      </c>
      <c r="D193" s="5" t="s">
        <v>2538</v>
      </c>
    </row>
    <row r="194" spans="1:4" x14ac:dyDescent="0.3">
      <c r="A194" s="5" t="str">
        <f t="shared" ca="1" si="2"/>
        <v>Дата выпуска:</v>
      </c>
      <c r="B194" s="5" t="s">
        <v>261</v>
      </c>
      <c r="C194" s="5" t="s">
        <v>441</v>
      </c>
      <c r="D194" s="5" t="s">
        <v>2539</v>
      </c>
    </row>
    <row r="195" spans="1:4" x14ac:dyDescent="0.3">
      <c r="A195" s="5" t="str">
        <f t="shared" ca="1" si="2"/>
        <v>Номер лицензии:</v>
      </c>
      <c r="B195" s="5" t="s">
        <v>262</v>
      </c>
      <c r="C195" s="5" t="s">
        <v>442</v>
      </c>
      <c r="D195" s="5" t="s">
        <v>2540</v>
      </c>
    </row>
    <row r="196" spans="1:4" x14ac:dyDescent="0.3">
      <c r="A196" s="5">
        <f t="shared" ref="A196:A258" ca="1" si="3">OFFSET(A196,0,Prj_Language)</f>
        <v>0</v>
      </c>
    </row>
    <row r="197" spans="1:4" x14ac:dyDescent="0.3">
      <c r="A197" s="5">
        <f t="shared" ca="1" si="3"/>
        <v>0</v>
      </c>
    </row>
    <row r="198" spans="1:4" x14ac:dyDescent="0.3">
      <c r="A198" s="5">
        <f t="shared" ca="1" si="3"/>
        <v>0</v>
      </c>
    </row>
    <row r="199" spans="1:4" x14ac:dyDescent="0.3">
      <c r="A199" s="5">
        <f t="shared" ca="1" si="3"/>
        <v>0</v>
      </c>
    </row>
    <row r="200" spans="1:4" x14ac:dyDescent="0.3">
      <c r="A200" s="154" t="str">
        <f t="shared" ca="1" si="3"/>
        <v>Печать отчета</v>
      </c>
      <c r="B200" s="5" t="s">
        <v>274</v>
      </c>
      <c r="C200" s="5" t="s">
        <v>448</v>
      </c>
      <c r="D200" s="5" t="s">
        <v>2541</v>
      </c>
    </row>
    <row r="201" spans="1:4" x14ac:dyDescent="0.3">
      <c r="A201" s="5" t="str">
        <f t="shared" ca="1" si="3"/>
        <v>Верхний колонтитул</v>
      </c>
      <c r="B201" s="5" t="s">
        <v>696</v>
      </c>
      <c r="C201" s="5" t="s">
        <v>703</v>
      </c>
      <c r="D201" s="5" t="s">
        <v>2542</v>
      </c>
    </row>
    <row r="202" spans="1:4" x14ac:dyDescent="0.3">
      <c r="A202" s="5" t="str">
        <f t="shared" ca="1" si="3"/>
        <v>Нижний колонтитул</v>
      </c>
      <c r="B202" s="5" t="s">
        <v>697</v>
      </c>
      <c r="C202" s="5" t="s">
        <v>704</v>
      </c>
      <c r="D202" s="5" t="s">
        <v>2543</v>
      </c>
    </row>
    <row r="203" spans="1:4" x14ac:dyDescent="0.3">
      <c r="A203" s="5" t="str">
        <f t="shared" ca="1" si="3"/>
        <v>Слева</v>
      </c>
      <c r="B203" s="5" t="s">
        <v>698</v>
      </c>
      <c r="C203" s="5" t="s">
        <v>705</v>
      </c>
      <c r="D203" s="5" t="s">
        <v>2544</v>
      </c>
    </row>
    <row r="204" spans="1:4" x14ac:dyDescent="0.3">
      <c r="A204" s="5" t="str">
        <f t="shared" ca="1" si="3"/>
        <v>Справа</v>
      </c>
      <c r="B204" s="5" t="s">
        <v>699</v>
      </c>
      <c r="C204" s="5" t="s">
        <v>706</v>
      </c>
      <c r="D204" s="5" t="s">
        <v>2545</v>
      </c>
    </row>
    <row r="205" spans="1:4" x14ac:dyDescent="0.3">
      <c r="A205" s="5" t="str">
        <f t="shared" ca="1" si="3"/>
        <v>Повторять первую колонку на каждой странице</v>
      </c>
      <c r="B205" s="5" t="s">
        <v>275</v>
      </c>
      <c r="C205" s="5" t="s">
        <v>449</v>
      </c>
      <c r="D205" s="5" t="s">
        <v>2546</v>
      </c>
    </row>
    <row r="206" spans="1:4" x14ac:dyDescent="0.3">
      <c r="A206" s="5" t="str">
        <f t="shared" ca="1" si="3"/>
        <v>Просмотр</v>
      </c>
      <c r="B206" s="5" t="s">
        <v>276</v>
      </c>
      <c r="C206" s="5" t="s">
        <v>450</v>
      </c>
      <c r="D206" s="5" t="s">
        <v>2547</v>
      </c>
    </row>
    <row r="207" spans="1:4" x14ac:dyDescent="0.3">
      <c r="A207" s="5" t="str">
        <f t="shared" ca="1" si="3"/>
        <v>&lt;пусто&gt;</v>
      </c>
      <c r="B207" s="5" t="s">
        <v>277</v>
      </c>
      <c r="C207" s="5" t="s">
        <v>451</v>
      </c>
      <c r="D207" s="5" t="s">
        <v>2548</v>
      </c>
    </row>
    <row r="208" spans="1:4" x14ac:dyDescent="0.3">
      <c r="A208" s="5" t="str">
        <f t="shared" ca="1" si="3"/>
        <v>[Дата] [Время]</v>
      </c>
      <c r="B208" s="5" t="s">
        <v>700</v>
      </c>
      <c r="C208" s="5" t="s">
        <v>452</v>
      </c>
      <c r="D208" s="5" t="s">
        <v>2549</v>
      </c>
    </row>
    <row r="209" spans="1:4" x14ac:dyDescent="0.3">
      <c r="A209" s="5" t="str">
        <f t="shared" ca="1" si="3"/>
        <v>[Имя файла]</v>
      </c>
      <c r="B209" s="5" t="s">
        <v>278</v>
      </c>
      <c r="C209" s="5" t="s">
        <v>453</v>
      </c>
      <c r="D209" s="5" t="s">
        <v>2550</v>
      </c>
    </row>
    <row r="210" spans="1:4" x14ac:dyDescent="0.3">
      <c r="A210" s="5" t="str">
        <f t="shared" ca="1" si="3"/>
        <v>Стр. [# стр] из [Число стр.]</v>
      </c>
      <c r="B210" s="5" t="s">
        <v>2159</v>
      </c>
      <c r="C210" s="5" t="s">
        <v>455</v>
      </c>
      <c r="D210" s="5" t="s">
        <v>2551</v>
      </c>
    </row>
    <row r="211" spans="1:4" x14ac:dyDescent="0.3">
      <c r="A211" s="5" t="str">
        <f t="shared" ca="1" si="3"/>
        <v>Стр. &amp;P из &amp;N</v>
      </c>
      <c r="B211" s="5" t="s">
        <v>279</v>
      </c>
      <c r="C211" s="5" t="s">
        <v>454</v>
      </c>
      <c r="D211" s="5" t="s">
        <v>2552</v>
      </c>
    </row>
    <row r="212" spans="1:4" x14ac:dyDescent="0.3">
      <c r="A212" s="154" t="str">
        <f t="shared" ca="1" si="3"/>
        <v>Экспорт отчета в новый файл Excel</v>
      </c>
      <c r="B212" s="5" t="s">
        <v>701</v>
      </c>
      <c r="C212" s="5" t="s">
        <v>457</v>
      </c>
      <c r="D212" s="5" t="s">
        <v>2553</v>
      </c>
    </row>
    <row r="213" spans="1:4" x14ac:dyDescent="0.3">
      <c r="A213" s="5" t="str">
        <f t="shared" ca="1" si="3"/>
        <v>Отчет будет перенесен в новый файл Excel</v>
      </c>
      <c r="B213" s="5" t="s">
        <v>702</v>
      </c>
      <c r="C213" s="5" t="s">
        <v>456</v>
      </c>
      <c r="D213" s="5" t="s">
        <v>2554</v>
      </c>
    </row>
    <row r="214" spans="1:4" x14ac:dyDescent="0.3">
      <c r="A214" s="5" t="str">
        <f t="shared" ca="1" si="3"/>
        <v>Сохранить ссылки на файл проекта</v>
      </c>
      <c r="B214" s="5" t="s">
        <v>280</v>
      </c>
      <c r="C214" s="5" t="s">
        <v>459</v>
      </c>
      <c r="D214" s="5" t="s">
        <v>2555</v>
      </c>
    </row>
    <row r="215" spans="1:4" x14ac:dyDescent="0.3">
      <c r="A215" s="154" t="str">
        <f t="shared" ca="1" si="3"/>
        <v>Добавить данные в отчет</v>
      </c>
      <c r="B215" s="5" t="s">
        <v>281</v>
      </c>
      <c r="C215" s="5" t="s">
        <v>460</v>
      </c>
      <c r="D215" s="5" t="s">
        <v>2556</v>
      </c>
    </row>
    <row r="216" spans="1:4" x14ac:dyDescent="0.3">
      <c r="A216" s="5" t="str">
        <f t="shared" ca="1" si="3"/>
        <v>Выберите разделы и таблицы, которые надо добавить в отчет:</v>
      </c>
      <c r="B216" s="5" t="s">
        <v>287</v>
      </c>
      <c r="C216" s="5" t="s">
        <v>461</v>
      </c>
      <c r="D216" s="5" t="s">
        <v>2557</v>
      </c>
    </row>
    <row r="217" spans="1:4" x14ac:dyDescent="0.3">
      <c r="A217" s="5" t="str">
        <f t="shared" ca="1" si="3"/>
        <v>Добавить</v>
      </c>
      <c r="B217" s="5" t="s">
        <v>252</v>
      </c>
      <c r="C217" s="5" t="s">
        <v>431</v>
      </c>
      <c r="D217" s="5" t="s">
        <v>2558</v>
      </c>
    </row>
    <row r="218" spans="1:4" x14ac:dyDescent="0.3">
      <c r="A218" s="5" t="str">
        <f t="shared" ca="1" si="3"/>
        <v>Очистить лист</v>
      </c>
      <c r="B218" s="5" t="s">
        <v>282</v>
      </c>
      <c r="C218" s="5" t="s">
        <v>462</v>
      </c>
      <c r="D218" s="5" t="s">
        <v>2559</v>
      </c>
    </row>
    <row r="219" spans="1:4" x14ac:dyDescent="0.3">
      <c r="A219" s="5" t="str">
        <f t="shared" ca="1" si="3"/>
        <v>Сжать интервалы данных:</v>
      </c>
      <c r="B219" s="5" t="s">
        <v>283</v>
      </c>
      <c r="C219" s="5" t="s">
        <v>463</v>
      </c>
      <c r="D219" s="5" t="s">
        <v>2560</v>
      </c>
    </row>
    <row r="220" spans="1:4" x14ac:dyDescent="0.3">
      <c r="A220" s="5" t="str">
        <f t="shared" ca="1" si="3"/>
        <v>по кварталам с</v>
      </c>
      <c r="B220" s="5" t="s">
        <v>284</v>
      </c>
      <c r="C220" s="5" t="s">
        <v>465</v>
      </c>
      <c r="D220" s="5" t="s">
        <v>2561</v>
      </c>
    </row>
    <row r="221" spans="1:4" x14ac:dyDescent="0.3">
      <c r="A221" s="5" t="str">
        <f t="shared" ca="1" si="3"/>
        <v>по годам с</v>
      </c>
      <c r="B221" s="5" t="s">
        <v>286</v>
      </c>
      <c r="C221" s="5" t="s">
        <v>464</v>
      </c>
      <c r="D221" s="5" t="s">
        <v>2562</v>
      </c>
    </row>
    <row r="222" spans="1:4" x14ac:dyDescent="0.3">
      <c r="A222" s="5" t="str">
        <f t="shared" ca="1" si="3"/>
        <v>г.</v>
      </c>
      <c r="B222" s="5" t="s">
        <v>285</v>
      </c>
      <c r="C222" s="5" t="s">
        <v>821</v>
      </c>
      <c r="D222" s="5" t="s">
        <v>2563</v>
      </c>
    </row>
    <row r="223" spans="1:4" x14ac:dyDescent="0.3">
      <c r="A223" s="5">
        <f t="shared" ca="1" si="3"/>
        <v>0</v>
      </c>
    </row>
    <row r="224" spans="1:4" x14ac:dyDescent="0.3">
      <c r="A224" s="5">
        <f t="shared" ca="1" si="3"/>
        <v>0</v>
      </c>
    </row>
    <row r="225" spans="1:4" x14ac:dyDescent="0.3">
      <c r="A225" s="5">
        <f t="shared" ca="1" si="3"/>
        <v>0</v>
      </c>
    </row>
    <row r="226" spans="1:4" x14ac:dyDescent="0.3">
      <c r="A226" s="5">
        <f t="shared" ca="1" si="3"/>
        <v>0</v>
      </c>
    </row>
    <row r="227" spans="1:4" x14ac:dyDescent="0.3">
      <c r="A227" s="5">
        <f t="shared" ca="1" si="3"/>
        <v>0</v>
      </c>
    </row>
    <row r="228" spans="1:4" x14ac:dyDescent="0.3">
      <c r="A228" s="5">
        <f t="shared" ca="1" si="3"/>
        <v>0</v>
      </c>
    </row>
    <row r="229" spans="1:4" x14ac:dyDescent="0.3">
      <c r="A229" s="5">
        <f t="shared" ca="1" si="3"/>
        <v>0</v>
      </c>
    </row>
    <row r="230" spans="1:4" x14ac:dyDescent="0.3">
      <c r="A230" s="154" t="str">
        <f t="shared" ca="1" si="3"/>
        <v>Список</v>
      </c>
      <c r="B230" s="5" t="s">
        <v>797</v>
      </c>
      <c r="C230" s="5" t="s">
        <v>798</v>
      </c>
      <c r="D230" s="5" t="s">
        <v>2564</v>
      </c>
    </row>
    <row r="231" spans="1:4" x14ac:dyDescent="0.3">
      <c r="A231" s="5" t="str">
        <f t="shared" ca="1" si="3"/>
        <v>Наименование</v>
      </c>
      <c r="B231" s="5" t="s">
        <v>566</v>
      </c>
      <c r="C231" s="5" t="s">
        <v>429</v>
      </c>
      <c r="D231" s="5" t="s">
        <v>2565</v>
      </c>
    </row>
    <row r="232" spans="1:4" x14ac:dyDescent="0.3">
      <c r="A232" s="5" t="str">
        <f t="shared" ca="1" si="3"/>
        <v>Валюта</v>
      </c>
      <c r="B232" s="5" t="s">
        <v>251</v>
      </c>
      <c r="C232" s="5" t="s">
        <v>430</v>
      </c>
      <c r="D232" s="5" t="s">
        <v>2566</v>
      </c>
    </row>
    <row r="233" spans="1:4" x14ac:dyDescent="0.3">
      <c r="A233" s="5" t="str">
        <f t="shared" ca="1" si="3"/>
        <v>Добавить...</v>
      </c>
      <c r="B233" s="5" t="s">
        <v>248</v>
      </c>
      <c r="C233" s="5" t="s">
        <v>425</v>
      </c>
      <c r="D233" s="5" t="s">
        <v>2558</v>
      </c>
    </row>
    <row r="234" spans="1:4" x14ac:dyDescent="0.3">
      <c r="A234" s="5" t="str">
        <f t="shared" ca="1" si="3"/>
        <v>Разделитель</v>
      </c>
      <c r="B234" s="5" t="s">
        <v>799</v>
      </c>
      <c r="C234" s="5" t="s">
        <v>426</v>
      </c>
      <c r="D234" s="5" t="s">
        <v>2568</v>
      </c>
    </row>
    <row r="235" spans="1:4" x14ac:dyDescent="0.3">
      <c r="A235" s="5" t="str">
        <f t="shared" ca="1" si="3"/>
        <v>Изменить…</v>
      </c>
      <c r="B235" s="70" t="s">
        <v>2213</v>
      </c>
      <c r="C235" s="5" t="s">
        <v>2214</v>
      </c>
      <c r="D235" s="5" t="s">
        <v>2410</v>
      </c>
    </row>
    <row r="236" spans="1:4" x14ac:dyDescent="0.3">
      <c r="A236" s="5" t="str">
        <f t="shared" ca="1" si="3"/>
        <v>Удалить</v>
      </c>
      <c r="B236" s="5" t="s">
        <v>249</v>
      </c>
      <c r="C236" s="5" t="s">
        <v>427</v>
      </c>
      <c r="D236" s="5" t="s">
        <v>2569</v>
      </c>
    </row>
    <row r="237" spans="1:4" x14ac:dyDescent="0.3">
      <c r="A237" s="5" t="str">
        <f ca="1">OFFSET(A237,0,Prj_Language)</f>
        <v>Слишком много пунктов в списке.</v>
      </c>
      <c r="B237" s="5" t="s">
        <v>2227</v>
      </c>
      <c r="C237" s="5" t="s">
        <v>2228</v>
      </c>
      <c r="D237" s="5" t="s">
        <v>3343</v>
      </c>
    </row>
    <row r="238" spans="1:4" x14ac:dyDescent="0.3">
      <c r="A238" s="5" t="str">
        <f t="shared" ca="1" si="3"/>
        <v>В списке нет ни одного пункта!</v>
      </c>
      <c r="B238" s="5" t="s">
        <v>2224</v>
      </c>
      <c r="C238" s="5" t="s">
        <v>2225</v>
      </c>
      <c r="D238" s="5" t="s">
        <v>3344</v>
      </c>
    </row>
    <row r="239" spans="1:4" x14ac:dyDescent="0.3">
      <c r="A239" s="5" t="str">
        <f ca="1">OFFSET(A239,0,Prj_Language)</f>
        <v>Необходимо выбрать пункт для редактирования!</v>
      </c>
      <c r="B239" s="70" t="s">
        <v>2215</v>
      </c>
      <c r="C239" s="5" t="s">
        <v>2216</v>
      </c>
      <c r="D239" s="5" t="s">
        <v>3345</v>
      </c>
    </row>
    <row r="240" spans="1:4" x14ac:dyDescent="0.3">
      <c r="A240" s="5" t="str">
        <f t="shared" ca="1" si="3"/>
        <v>Необходимо выбрать пункты для удаления!</v>
      </c>
      <c r="B240" s="5" t="s">
        <v>2221</v>
      </c>
      <c r="C240" s="5" t="s">
        <v>2222</v>
      </c>
      <c r="D240" s="5" t="s">
        <v>3346</v>
      </c>
    </row>
    <row r="241" spans="1:4" x14ac:dyDescent="0.3">
      <c r="A241" s="5" t="str">
        <f t="shared" ca="1" si="3"/>
        <v>Вы действительно хотите удалить выделенные пункты?</v>
      </c>
      <c r="B241" s="5" t="s">
        <v>257</v>
      </c>
      <c r="C241" s="5" t="s">
        <v>438</v>
      </c>
      <c r="D241" s="5" t="s">
        <v>2570</v>
      </c>
    </row>
    <row r="242" spans="1:4" x14ac:dyDescent="0.3">
      <c r="A242" s="5" t="str">
        <f ca="1">OFFSET(A242,0,Prj_Language)</f>
        <v>Добавить из списка…</v>
      </c>
      <c r="B242" s="5" t="s">
        <v>445</v>
      </c>
      <c r="C242" s="5" t="s">
        <v>444</v>
      </c>
      <c r="D242" s="5" t="s">
        <v>2567</v>
      </c>
    </row>
    <row r="243" spans="1:4" x14ac:dyDescent="0.3">
      <c r="A243" s="5" t="str">
        <f t="shared" ca="1" si="3"/>
        <v>Продукты…</v>
      </c>
      <c r="B243" s="5" t="s">
        <v>905</v>
      </c>
      <c r="C243" s="5" t="s">
        <v>1296</v>
      </c>
      <c r="D243" s="5" t="s">
        <v>2571</v>
      </c>
    </row>
    <row r="244" spans="1:4" x14ac:dyDescent="0.3">
      <c r="A244" s="5" t="str">
        <f t="shared" ca="1" si="3"/>
        <v>Необходимо выбрать материал!</v>
      </c>
      <c r="B244" s="5" t="s">
        <v>906</v>
      </c>
      <c r="C244" s="5" t="s">
        <v>1297</v>
      </c>
      <c r="D244" s="5" t="s">
        <v>2572</v>
      </c>
    </row>
    <row r="245" spans="1:4" x14ac:dyDescent="0.3">
      <c r="A245" s="5" t="str">
        <f t="shared" ca="1" si="3"/>
        <v>Подобрать кредит...</v>
      </c>
      <c r="B245" s="5" t="s">
        <v>594</v>
      </c>
      <c r="C245" s="5" t="s">
        <v>1298</v>
      </c>
      <c r="D245" s="5" t="s">
        <v>2573</v>
      </c>
    </row>
    <row r="246" spans="1:4" x14ac:dyDescent="0.3">
      <c r="A246" s="5" t="str">
        <f t="shared" ca="1" si="3"/>
        <v>Необходимо выбрать кредит для подбора графика!</v>
      </c>
      <c r="B246" s="5" t="s">
        <v>2220</v>
      </c>
      <c r="C246" s="5" t="s">
        <v>1299</v>
      </c>
      <c r="D246" s="5" t="s">
        <v>2574</v>
      </c>
    </row>
    <row r="247" spans="1:4" x14ac:dyDescent="0.3">
      <c r="A247" s="5" t="str">
        <f t="shared" ca="1" si="3"/>
        <v>Подбор кредита... Период № ***</v>
      </c>
      <c r="B247" s="5" t="s">
        <v>1471</v>
      </c>
      <c r="C247" t="s">
        <v>2219</v>
      </c>
      <c r="D247" s="5" t="s">
        <v>2575</v>
      </c>
    </row>
    <row r="248" spans="1:4" x14ac:dyDescent="0.3">
      <c r="A248" s="5" t="str">
        <f t="shared" ca="1" si="3"/>
        <v>Обратите внимание! При заданных параметрах платежей кредит не будет возвращен к концу расчетного периода.</v>
      </c>
      <c r="B248" s="5" t="s">
        <v>1472</v>
      </c>
      <c r="C248" s="5" t="s">
        <v>2157</v>
      </c>
      <c r="D248" s="5" t="s">
        <v>2576</v>
      </c>
    </row>
    <row r="249" spans="1:4" x14ac:dyDescent="0.3">
      <c r="A249" s="5">
        <f t="shared" ca="1" si="3"/>
        <v>0</v>
      </c>
    </row>
    <row r="250" spans="1:4" x14ac:dyDescent="0.3">
      <c r="A250" s="154" t="str">
        <f t="shared" ca="1" si="3"/>
        <v>Добавить</v>
      </c>
      <c r="B250" s="5" t="s">
        <v>252</v>
      </c>
      <c r="C250" s="5" t="s">
        <v>800</v>
      </c>
      <c r="D250" s="5" t="s">
        <v>2558</v>
      </c>
    </row>
    <row r="251" spans="1:4" x14ac:dyDescent="0.3">
      <c r="A251" s="5" t="str">
        <f ca="1">OFFSET(A251,0,Prj_Language)</f>
        <v>Изменить</v>
      </c>
      <c r="B251" s="70" t="s">
        <v>121</v>
      </c>
      <c r="C251" t="s">
        <v>2210</v>
      </c>
      <c r="D251" s="5" t="s">
        <v>2410</v>
      </c>
    </row>
    <row r="252" spans="1:4" x14ac:dyDescent="0.3">
      <c r="A252" s="5" t="str">
        <f t="shared" ca="1" si="3"/>
        <v>Наименование:</v>
      </c>
      <c r="B252" s="5" t="s">
        <v>809</v>
      </c>
      <c r="C252" s="5" t="s">
        <v>432</v>
      </c>
      <c r="D252" s="5" t="s">
        <v>2565</v>
      </c>
    </row>
    <row r="253" spans="1:4" x14ac:dyDescent="0.3">
      <c r="A253" s="5" t="str">
        <f t="shared" ca="1" si="3"/>
        <v>&lt;название&gt;</v>
      </c>
      <c r="B253" s="5" t="s">
        <v>801</v>
      </c>
      <c r="C253" s="5" t="s">
        <v>802</v>
      </c>
      <c r="D253" s="5" t="s">
        <v>2577</v>
      </c>
    </row>
    <row r="254" spans="1:4" x14ac:dyDescent="0.3">
      <c r="A254" s="5" t="str">
        <f t="shared" ca="1" si="3"/>
        <v>Валюта:</v>
      </c>
      <c r="B254" s="5" t="s">
        <v>256</v>
      </c>
      <c r="C254" s="5" t="s">
        <v>437</v>
      </c>
      <c r="D254" s="5" t="s">
        <v>2566</v>
      </c>
    </row>
    <row r="255" spans="1:4" x14ac:dyDescent="0.3">
      <c r="A255" s="5" t="str">
        <f t="shared" ca="1" si="3"/>
        <v>Массовое добавление:</v>
      </c>
      <c r="B255" s="5" t="s">
        <v>253</v>
      </c>
      <c r="C255" s="5" t="s">
        <v>433</v>
      </c>
      <c r="D255" s="5" t="s">
        <v>2578</v>
      </c>
    </row>
    <row r="256" spans="1:4" x14ac:dyDescent="0.3">
      <c r="A256" s="5" t="str">
        <f t="shared" ca="1" si="3"/>
        <v>элементов</v>
      </c>
      <c r="B256" s="5" t="s">
        <v>254</v>
      </c>
      <c r="C256" s="5" t="s">
        <v>434</v>
      </c>
      <c r="D256" s="5" t="s">
        <v>2579</v>
      </c>
    </row>
    <row r="257" spans="1:4" x14ac:dyDescent="0.3">
      <c r="A257" s="5" t="str">
        <f t="shared" ca="1" si="3"/>
        <v>Название единицы измерения:</v>
      </c>
      <c r="B257" s="5" t="s">
        <v>255</v>
      </c>
      <c r="C257" s="5" t="s">
        <v>436</v>
      </c>
      <c r="D257" s="5" t="s">
        <v>2580</v>
      </c>
    </row>
    <row r="258" spans="1:4" x14ac:dyDescent="0.3">
      <c r="A258" s="5" t="str">
        <f t="shared" ca="1" si="3"/>
        <v>ед.</v>
      </c>
      <c r="B258" s="5" t="s">
        <v>521</v>
      </c>
      <c r="C258" s="5" t="s">
        <v>908</v>
      </c>
      <c r="D258" s="5" t="s">
        <v>2581</v>
      </c>
    </row>
    <row r="259" spans="1:4" x14ac:dyDescent="0.3">
      <c r="A259" s="5" t="str">
        <f ca="1">OFFSET(A259,0,Prj_Language)</f>
        <v>Использовать детализацию</v>
      </c>
      <c r="B259" s="5" t="s">
        <v>2211</v>
      </c>
      <c r="C259" s="5" t="s">
        <v>1302</v>
      </c>
      <c r="D259" s="5" t="s">
        <v>3347</v>
      </c>
    </row>
    <row r="260" spans="1:4" x14ac:dyDescent="0.3">
      <c r="A260" s="5" t="str">
        <f ca="1">OFFSET(A260,0,Prj_Language)</f>
        <v>Необходимо указать наименование пункта.</v>
      </c>
      <c r="B260" s="5" t="s">
        <v>803</v>
      </c>
      <c r="C260" s="5" t="s">
        <v>2212</v>
      </c>
      <c r="D260" s="5" t="s">
        <v>3348</v>
      </c>
    </row>
    <row r="261" spans="1:4" x14ac:dyDescent="0.3">
      <c r="A261" s="5" t="str">
        <f t="shared" ref="A261:A323" ca="1" si="4">OFFSET(A261,0,Prj_Language)</f>
        <v>Использовать детализацию "физический объем * цена"</v>
      </c>
      <c r="B261" s="5" t="s">
        <v>804</v>
      </c>
      <c r="C261" s="5" t="s">
        <v>435</v>
      </c>
      <c r="D261" s="5" t="s">
        <v>2584</v>
      </c>
    </row>
    <row r="262" spans="1:4" x14ac:dyDescent="0.3">
      <c r="A262" s="5" t="str">
        <f t="shared" ca="1" si="4"/>
        <v>Использовать детализацию "численность * оклад"</v>
      </c>
      <c r="B262" s="5" t="s">
        <v>805</v>
      </c>
      <c r="C262" s="5" t="s">
        <v>1302</v>
      </c>
      <c r="D262" s="5" t="s">
        <v>2585</v>
      </c>
    </row>
    <row r="263" spans="1:4" x14ac:dyDescent="0.3">
      <c r="A263" s="5" t="str">
        <f ca="1">OFFSET(A263,0,Prj_Language)</f>
        <v>Известна только стоимость объекта и процентные ставки лизинга</v>
      </c>
      <c r="B263" s="5" t="s">
        <v>623</v>
      </c>
      <c r="C263" s="5" t="s">
        <v>1300</v>
      </c>
      <c r="D263" s="5" t="s">
        <v>2582</v>
      </c>
    </row>
    <row r="264" spans="1:4" x14ac:dyDescent="0.3">
      <c r="A264" s="5" t="str">
        <f ca="1">OFFSET(A264,0,Prj_Language)</f>
        <v>Известен плановый график платежей по лизингу</v>
      </c>
      <c r="B264" s="5" t="s">
        <v>531</v>
      </c>
      <c r="C264" s="5" t="s">
        <v>1301</v>
      </c>
      <c r="D264" s="5" t="s">
        <v>2583</v>
      </c>
    </row>
    <row r="265" spans="1:4" x14ac:dyDescent="0.3">
      <c r="A265" s="5" t="str">
        <f t="shared" ca="1" si="4"/>
        <v>Облагаемая база в денежном выражении</v>
      </c>
      <c r="B265" s="5" t="s">
        <v>2268</v>
      </c>
      <c r="C265" s="5" t="s">
        <v>2270</v>
      </c>
      <c r="D265" s="5" t="s">
        <v>3349</v>
      </c>
    </row>
    <row r="266" spans="1:4" x14ac:dyDescent="0.3">
      <c r="A266" s="5" t="str">
        <f t="shared" ca="1" si="4"/>
        <v>Облагаемая база в натуральных единицах</v>
      </c>
      <c r="B266" s="5" t="s">
        <v>2269</v>
      </c>
      <c r="C266" s="5" t="s">
        <v>2271</v>
      </c>
      <c r="D266" s="5" t="s">
        <v>3350</v>
      </c>
    </row>
    <row r="267" spans="1:4" x14ac:dyDescent="0.3">
      <c r="A267" s="5">
        <f t="shared" ca="1" si="4"/>
        <v>0</v>
      </c>
    </row>
    <row r="268" spans="1:4" x14ac:dyDescent="0.3">
      <c r="A268" s="5">
        <f t="shared" ca="1" si="4"/>
        <v>0</v>
      </c>
    </row>
    <row r="269" spans="1:4" x14ac:dyDescent="0.3">
      <c r="A269" s="5" t="str">
        <f t="shared" ca="1" si="4"/>
        <v>Расход материала</v>
      </c>
      <c r="B269" s="5" t="s">
        <v>909</v>
      </c>
      <c r="C269" s="5" t="s">
        <v>1303</v>
      </c>
      <c r="D269" s="5" t="s">
        <v>2586</v>
      </c>
    </row>
    <row r="270" spans="1:4" x14ac:dyDescent="0.3">
      <c r="A270" s="154" t="str">
        <f t="shared" ca="1" si="4"/>
        <v>Автоматический подбор кредита</v>
      </c>
      <c r="B270" s="5" t="s">
        <v>587</v>
      </c>
      <c r="C270" s="5" t="s">
        <v>1304</v>
      </c>
      <c r="D270" s="5" t="s">
        <v>2587</v>
      </c>
    </row>
    <row r="271" spans="1:4" x14ac:dyDescent="0.3">
      <c r="A271" s="5" t="str">
        <f t="shared" ca="1" si="4"/>
        <v>Подобрать график поступления и возврата кредитных средств для плановых периодов в интервале:</v>
      </c>
      <c r="B271" s="5" t="s">
        <v>588</v>
      </c>
      <c r="C271" s="5" t="s">
        <v>1305</v>
      </c>
      <c r="D271" s="5" t="s">
        <v>2588</v>
      </c>
    </row>
    <row r="272" spans="1:4" x14ac:dyDescent="0.3">
      <c r="A272" s="5" t="str">
        <f t="shared" ca="1" si="4"/>
        <v>от</v>
      </c>
      <c r="B272" s="5" t="s">
        <v>589</v>
      </c>
      <c r="C272" s="5" t="s">
        <v>1306</v>
      </c>
      <c r="D272" s="5" t="s">
        <v>2589</v>
      </c>
    </row>
    <row r="273" spans="1:4" x14ac:dyDescent="0.3">
      <c r="A273" s="5" t="str">
        <f t="shared" ca="1" si="4"/>
        <v>до</v>
      </c>
      <c r="B273" s="5" t="s">
        <v>590</v>
      </c>
      <c r="C273" s="5" t="s">
        <v>1307</v>
      </c>
      <c r="D273" s="5" t="s">
        <v>2590</v>
      </c>
    </row>
    <row r="274" spans="1:4" x14ac:dyDescent="0.3">
      <c r="A274" s="5" t="str">
        <f t="shared" ca="1" si="4"/>
        <v>периода</v>
      </c>
      <c r="B274" s="5" t="s">
        <v>591</v>
      </c>
      <c r="C274" s="5" t="s">
        <v>1308</v>
      </c>
      <c r="D274" s="5" t="s">
        <v>2591</v>
      </c>
    </row>
    <row r="275" spans="1:4" x14ac:dyDescent="0.3">
      <c r="A275" s="5" t="str">
        <f t="shared" ca="1" si="4"/>
        <v>Минимальный остаток на счете:</v>
      </c>
      <c r="B275" s="5" t="s">
        <v>592</v>
      </c>
      <c r="C275" s="5" t="s">
        <v>1309</v>
      </c>
      <c r="D275" s="5" t="s">
        <v>2592</v>
      </c>
    </row>
    <row r="276" spans="1:4" x14ac:dyDescent="0.3">
      <c r="A276" s="5" t="str">
        <f t="shared" ca="1" si="4"/>
        <v>При выплатах обеспечивать коэффициент покрытия долга не ниже, чем:</v>
      </c>
      <c r="B276" s="5" t="s">
        <v>593</v>
      </c>
      <c r="C276" s="5" t="s">
        <v>1310</v>
      </c>
      <c r="D276" s="5" t="s">
        <v>2593</v>
      </c>
    </row>
    <row r="277" spans="1:4" x14ac:dyDescent="0.3">
      <c r="A277" s="5">
        <f t="shared" ca="1" si="4"/>
        <v>0</v>
      </c>
    </row>
    <row r="278" spans="1:4" x14ac:dyDescent="0.3">
      <c r="A278" s="5">
        <f t="shared" ca="1" si="4"/>
        <v>0</v>
      </c>
    </row>
    <row r="279" spans="1:4" x14ac:dyDescent="0.3">
      <c r="A279" s="5">
        <f t="shared" ca="1" si="4"/>
        <v>0</v>
      </c>
    </row>
    <row r="280" spans="1:4" x14ac:dyDescent="0.3">
      <c r="A280" s="154" t="str">
        <f t="shared" ca="1" si="4"/>
        <v>Добавить из списка</v>
      </c>
      <c r="B280" s="5" t="s">
        <v>267</v>
      </c>
      <c r="C280" s="5" t="s">
        <v>444</v>
      </c>
      <c r="D280" s="5" t="s">
        <v>2567</v>
      </c>
    </row>
    <row r="281" spans="1:4" x14ac:dyDescent="0.3">
      <c r="A281" s="5" t="str">
        <f t="shared" ca="1" si="4"/>
        <v>Выберите стандартные статьи, которые Вы хотите добавить в проект</v>
      </c>
      <c r="B281" s="5" t="s">
        <v>807</v>
      </c>
      <c r="C281" s="5" t="s">
        <v>446</v>
      </c>
      <c r="D281" s="5" t="s">
        <v>2594</v>
      </c>
    </row>
    <row r="282" spans="1:4" x14ac:dyDescent="0.3">
      <c r="A282" s="5" t="str">
        <f t="shared" ca="1" si="4"/>
        <v>Наименование статьи</v>
      </c>
      <c r="B282" s="5" t="s">
        <v>806</v>
      </c>
      <c r="C282" s="5" t="s">
        <v>429</v>
      </c>
      <c r="D282" s="5" t="s">
        <v>2595</v>
      </c>
    </row>
    <row r="283" spans="1:4" x14ac:dyDescent="0.3">
      <c r="A283" s="5" t="str">
        <f t="shared" ca="1" si="4"/>
        <v>Раздел</v>
      </c>
      <c r="B283" s="5" t="s">
        <v>269</v>
      </c>
      <c r="C283" s="5" t="s">
        <v>447</v>
      </c>
      <c r="D283" s="5" t="s">
        <v>2596</v>
      </c>
    </row>
    <row r="284" spans="1:4" x14ac:dyDescent="0.3">
      <c r="A284" s="5" t="str">
        <f t="shared" ca="1" si="4"/>
        <v>Земельный участок</v>
      </c>
      <c r="B284" s="5" t="s">
        <v>327</v>
      </c>
      <c r="C284" s="5" t="s">
        <v>1311</v>
      </c>
      <c r="D284" s="5" t="s">
        <v>2597</v>
      </c>
    </row>
    <row r="285" spans="1:4" x14ac:dyDescent="0.3">
      <c r="A285" s="5" t="str">
        <f t="shared" ca="1" si="4"/>
        <v>Подготовка территории строительства</v>
      </c>
      <c r="B285" s="5" t="s">
        <v>328</v>
      </c>
      <c r="C285" s="5" t="s">
        <v>1312</v>
      </c>
      <c r="D285" s="5" t="s">
        <v>2598</v>
      </c>
    </row>
    <row r="286" spans="1:4" x14ac:dyDescent="0.3">
      <c r="A286" s="5" t="str">
        <f t="shared" ca="1" si="4"/>
        <v>Проектирование здания</v>
      </c>
      <c r="B286" s="5" t="s">
        <v>329</v>
      </c>
      <c r="C286" s="5" t="s">
        <v>1313</v>
      </c>
      <c r="D286" s="5" t="s">
        <v>2599</v>
      </c>
    </row>
    <row r="287" spans="1:4" x14ac:dyDescent="0.3">
      <c r="A287" s="5" t="str">
        <f t="shared" ca="1" si="4"/>
        <v>Строительство здания</v>
      </c>
      <c r="B287" s="5" t="s">
        <v>330</v>
      </c>
      <c r="C287" s="5" t="s">
        <v>1314</v>
      </c>
      <c r="D287" s="5" t="s">
        <v>2600</v>
      </c>
    </row>
    <row r="288" spans="1:4" x14ac:dyDescent="0.3">
      <c r="A288" s="5" t="str">
        <f t="shared" ca="1" si="4"/>
        <v>Внутренняя отделка здания</v>
      </c>
      <c r="B288" s="5" t="s">
        <v>331</v>
      </c>
      <c r="C288" s="5" t="s">
        <v>1315</v>
      </c>
      <c r="D288" s="5" t="s">
        <v>2601</v>
      </c>
    </row>
    <row r="289" spans="1:4" x14ac:dyDescent="0.3">
      <c r="A289" s="5" t="str">
        <f t="shared" ca="1" si="4"/>
        <v>Коммуникации</v>
      </c>
      <c r="B289" s="5" t="s">
        <v>332</v>
      </c>
      <c r="C289" s="5" t="s">
        <v>1316</v>
      </c>
      <c r="D289" s="5" t="s">
        <v>2602</v>
      </c>
    </row>
    <row r="290" spans="1:4" x14ac:dyDescent="0.3">
      <c r="A290" s="5" t="str">
        <f t="shared" ca="1" si="4"/>
        <v>Благоустройство территории</v>
      </c>
      <c r="B290" s="5" t="s">
        <v>333</v>
      </c>
      <c r="C290" s="5" t="s">
        <v>1317</v>
      </c>
      <c r="D290" s="5" t="s">
        <v>1317</v>
      </c>
    </row>
    <row r="291" spans="1:4" x14ac:dyDescent="0.3">
      <c r="A291" s="5" t="str">
        <f t="shared" ca="1" si="4"/>
        <v>Основное оборудование</v>
      </c>
      <c r="B291" s="5" t="s">
        <v>334</v>
      </c>
      <c r="C291" s="5" t="s">
        <v>1318</v>
      </c>
      <c r="D291" s="5" t="s">
        <v>2603</v>
      </c>
    </row>
    <row r="292" spans="1:4" x14ac:dyDescent="0.3">
      <c r="A292" s="5" t="str">
        <f t="shared" ca="1" si="4"/>
        <v>Вспомогательное оборудование</v>
      </c>
      <c r="B292" s="5" t="s">
        <v>335</v>
      </c>
      <c r="C292" s="5" t="s">
        <v>1319</v>
      </c>
      <c r="D292" s="5" t="s">
        <v>2604</v>
      </c>
    </row>
    <row r="293" spans="1:4" x14ac:dyDescent="0.3">
      <c r="A293" s="5" t="str">
        <f t="shared" ca="1" si="4"/>
        <v>Оборудование склада</v>
      </c>
      <c r="B293" s="5" t="s">
        <v>336</v>
      </c>
      <c r="C293" s="5" t="s">
        <v>1320</v>
      </c>
      <c r="D293" s="5" t="s">
        <v>2605</v>
      </c>
    </row>
    <row r="294" spans="1:4" x14ac:dyDescent="0.3">
      <c r="A294" s="5" t="str">
        <f t="shared" ca="1" si="4"/>
        <v>Транспорт</v>
      </c>
      <c r="B294" s="5" t="s">
        <v>337</v>
      </c>
      <c r="C294" s="5" t="s">
        <v>1321</v>
      </c>
      <c r="D294" s="5" t="s">
        <v>2606</v>
      </c>
    </row>
    <row r="295" spans="1:4" x14ac:dyDescent="0.3">
      <c r="A295" s="5" t="str">
        <f t="shared" ca="1" si="4"/>
        <v>Офисная мебель, компьютеры, оргтехника</v>
      </c>
      <c r="B295" s="5" t="s">
        <v>338</v>
      </c>
      <c r="C295" s="5" t="s">
        <v>1322</v>
      </c>
      <c r="D295" s="5" t="s">
        <v>2607</v>
      </c>
    </row>
    <row r="296" spans="1:4" x14ac:dyDescent="0.3">
      <c r="A296" s="5" t="str">
        <f t="shared" ca="1" si="4"/>
        <v>Получение лицензии</v>
      </c>
      <c r="B296" s="5" t="s">
        <v>339</v>
      </c>
      <c r="C296" s="5" t="s">
        <v>1323</v>
      </c>
      <c r="D296" s="5" t="s">
        <v>2608</v>
      </c>
    </row>
    <row r="297" spans="1:4" x14ac:dyDescent="0.3">
      <c r="A297" s="5" t="str">
        <f t="shared" ca="1" si="4"/>
        <v>Разработка сайта</v>
      </c>
      <c r="B297" s="5" t="s">
        <v>340</v>
      </c>
      <c r="C297" s="5" t="s">
        <v>1324</v>
      </c>
      <c r="D297" s="5" t="s">
        <v>2609</v>
      </c>
    </row>
    <row r="298" spans="1:4" x14ac:dyDescent="0.3">
      <c r="A298" s="5" t="str">
        <f t="shared" ca="1" si="4"/>
        <v>Система бухгалтерского учета</v>
      </c>
      <c r="B298" s="5" t="s">
        <v>341</v>
      </c>
      <c r="C298" s="5" t="s">
        <v>1325</v>
      </c>
      <c r="D298" s="5" t="s">
        <v>2610</v>
      </c>
    </row>
    <row r="299" spans="1:4" x14ac:dyDescent="0.3">
      <c r="A299" s="5" t="str">
        <f t="shared" ca="1" si="4"/>
        <v>Система взаимодействия с клиентами (CRM)</v>
      </c>
      <c r="B299" s="5" t="s">
        <v>342</v>
      </c>
      <c r="C299" s="5" t="s">
        <v>1326</v>
      </c>
      <c r="D299" s="5" t="s">
        <v>2611</v>
      </c>
    </row>
    <row r="300" spans="1:4" x14ac:dyDescent="0.3">
      <c r="A300" s="5" t="str">
        <f t="shared" ca="1" si="4"/>
        <v>Программы для рабочих мест сотрудников</v>
      </c>
      <c r="B300" s="5" t="s">
        <v>343</v>
      </c>
      <c r="C300" s="5" t="s">
        <v>1327</v>
      </c>
      <c r="D300" s="5" t="s">
        <v>2612</v>
      </c>
    </row>
    <row r="301" spans="1:4" x14ac:dyDescent="0.3">
      <c r="A301" s="5" t="str">
        <f t="shared" ca="1" si="4"/>
        <v>Аренда производственного помещения</v>
      </c>
      <c r="B301" s="5" t="s">
        <v>1361</v>
      </c>
      <c r="C301" s="5" t="s">
        <v>1362</v>
      </c>
      <c r="D301" s="5" t="s">
        <v>2613</v>
      </c>
    </row>
    <row r="302" spans="1:4" x14ac:dyDescent="0.3">
      <c r="A302" s="5" t="str">
        <f t="shared" ca="1" si="4"/>
        <v>Коммунальные расходы</v>
      </c>
      <c r="B302" s="5" t="s">
        <v>1363</v>
      </c>
      <c r="C302" s="5" t="s">
        <v>1364</v>
      </c>
      <c r="D302" s="5" t="s">
        <v>2614</v>
      </c>
    </row>
    <row r="303" spans="1:4" x14ac:dyDescent="0.3">
      <c r="A303" s="5" t="str">
        <f t="shared" ca="1" si="4"/>
        <v>Содержание оборудования</v>
      </c>
      <c r="B303" s="5" t="s">
        <v>1365</v>
      </c>
      <c r="C303" s="5" t="s">
        <v>1366</v>
      </c>
      <c r="D303" s="5" t="s">
        <v>2615</v>
      </c>
    </row>
    <row r="304" spans="1:4" x14ac:dyDescent="0.3">
      <c r="A304" s="5" t="str">
        <f t="shared" ca="1" si="4"/>
        <v>Охрана и безопасность</v>
      </c>
      <c r="B304" s="5" t="s">
        <v>1367</v>
      </c>
      <c r="C304" s="5" t="s">
        <v>1368</v>
      </c>
      <c r="D304" s="5" t="s">
        <v>2616</v>
      </c>
    </row>
    <row r="305" spans="1:4" x14ac:dyDescent="0.3">
      <c r="A305" s="5" t="str">
        <f t="shared" ca="1" si="4"/>
        <v>Уборка и содержание территории</v>
      </c>
      <c r="B305" s="5" t="s">
        <v>1369</v>
      </c>
      <c r="C305" s="5" t="s">
        <v>1370</v>
      </c>
      <c r="D305" s="5" t="s">
        <v>2617</v>
      </c>
    </row>
    <row r="306" spans="1:4" x14ac:dyDescent="0.3">
      <c r="A306" s="5" t="str">
        <f t="shared" ca="1" si="4"/>
        <v>Транспортные расходы</v>
      </c>
      <c r="B306" s="5" t="s">
        <v>1371</v>
      </c>
      <c r="C306" s="5" t="s">
        <v>1372</v>
      </c>
      <c r="D306" s="5" t="s">
        <v>2618</v>
      </c>
    </row>
    <row r="307" spans="1:4" x14ac:dyDescent="0.3">
      <c r="A307" s="5" t="str">
        <f t="shared" ca="1" si="4"/>
        <v>Аренда офиса</v>
      </c>
      <c r="B307" s="5" t="s">
        <v>1373</v>
      </c>
      <c r="C307" s="5" t="s">
        <v>1374</v>
      </c>
      <c r="D307" s="5" t="s">
        <v>2619</v>
      </c>
    </row>
    <row r="308" spans="1:4" x14ac:dyDescent="0.3">
      <c r="A308" s="5" t="str">
        <f t="shared" ca="1" si="4"/>
        <v>Офисные расходы</v>
      </c>
      <c r="B308" s="5" t="s">
        <v>1375</v>
      </c>
      <c r="C308" s="5" t="s">
        <v>1376</v>
      </c>
      <c r="D308" s="5" t="s">
        <v>2620</v>
      </c>
    </row>
    <row r="309" spans="1:4" x14ac:dyDescent="0.3">
      <c r="A309" s="5" t="str">
        <f t="shared" ca="1" si="4"/>
        <v>Телекоммуникации</v>
      </c>
      <c r="B309" s="5" t="s">
        <v>1377</v>
      </c>
      <c r="C309" s="5" t="s">
        <v>1378</v>
      </c>
      <c r="D309" s="5" t="s">
        <v>2602</v>
      </c>
    </row>
    <row r="310" spans="1:4" x14ac:dyDescent="0.3">
      <c r="A310" s="5" t="str">
        <f t="shared" ca="1" si="4"/>
        <v>IT расходы</v>
      </c>
      <c r="B310" s="5" t="s">
        <v>1379</v>
      </c>
      <c r="C310" s="5" t="s">
        <v>1380</v>
      </c>
      <c r="D310" s="5" t="s">
        <v>2621</v>
      </c>
    </row>
    <row r="311" spans="1:4" x14ac:dyDescent="0.3">
      <c r="A311" s="5" t="str">
        <f t="shared" ca="1" si="4"/>
        <v>Командировки</v>
      </c>
      <c r="B311" s="5" t="s">
        <v>1381</v>
      </c>
      <c r="C311" s="5" t="s">
        <v>1382</v>
      </c>
      <c r="D311" s="5" t="s">
        <v>2622</v>
      </c>
    </row>
    <row r="312" spans="1:4" x14ac:dyDescent="0.3">
      <c r="A312" s="5" t="str">
        <f t="shared" ca="1" si="4"/>
        <v>Услуги юристов и консультантов</v>
      </c>
      <c r="B312" s="5" t="s">
        <v>1383</v>
      </c>
      <c r="C312" s="5" t="s">
        <v>1384</v>
      </c>
      <c r="D312" s="5" t="s">
        <v>2623</v>
      </c>
    </row>
    <row r="313" spans="1:4" x14ac:dyDescent="0.3">
      <c r="A313" s="5" t="str">
        <f t="shared" ca="1" si="4"/>
        <v>Реклама в прессе и интернете</v>
      </c>
      <c r="B313" s="5" t="s">
        <v>1385</v>
      </c>
      <c r="C313" s="5" t="s">
        <v>1386</v>
      </c>
      <c r="D313" s="5" t="s">
        <v>2624</v>
      </c>
    </row>
    <row r="314" spans="1:4" x14ac:dyDescent="0.3">
      <c r="A314" s="5" t="str">
        <f t="shared" ca="1" si="4"/>
        <v>Рекламные мероприятия</v>
      </c>
      <c r="B314" s="5" t="s">
        <v>1387</v>
      </c>
      <c r="C314" s="5" t="s">
        <v>1388</v>
      </c>
      <c r="D314" s="5" t="s">
        <v>2625</v>
      </c>
    </row>
    <row r="315" spans="1:4" x14ac:dyDescent="0.3">
      <c r="A315" s="5" t="str">
        <f t="shared" ca="1" si="4"/>
        <v>Маркетинговые материалы</v>
      </c>
      <c r="B315" s="5" t="s">
        <v>1389</v>
      </c>
      <c r="C315" s="5" t="s">
        <v>1390</v>
      </c>
      <c r="D315" s="5" t="s">
        <v>2626</v>
      </c>
    </row>
    <row r="316" spans="1:4" x14ac:dyDescent="0.3">
      <c r="A316" s="5" t="str">
        <f t="shared" ca="1" si="4"/>
        <v>Участие в выставках и конференциях</v>
      </c>
      <c r="B316" s="5" t="s">
        <v>1391</v>
      </c>
      <c r="C316" s="5" t="s">
        <v>1392</v>
      </c>
      <c r="D316" s="5" t="s">
        <v>2627</v>
      </c>
    </row>
    <row r="317" spans="1:4" x14ac:dyDescent="0.3">
      <c r="A317" s="5">
        <f t="shared" ca="1" si="4"/>
        <v>0</v>
      </c>
    </row>
    <row r="318" spans="1:4" x14ac:dyDescent="0.3">
      <c r="A318" s="5">
        <f t="shared" ca="1" si="4"/>
        <v>0</v>
      </c>
    </row>
    <row r="319" spans="1:4" x14ac:dyDescent="0.3">
      <c r="A319" s="5">
        <f t="shared" ca="1" si="4"/>
        <v>0</v>
      </c>
    </row>
    <row r="320" spans="1:4" x14ac:dyDescent="0.3">
      <c r="A320" s="154" t="str">
        <f t="shared" ca="1" si="4"/>
        <v>Настройка анализа чувствительности</v>
      </c>
      <c r="B320" s="5" t="s">
        <v>907</v>
      </c>
      <c r="C320" s="5" t="s">
        <v>1328</v>
      </c>
      <c r="D320" s="5" t="s">
        <v>2628</v>
      </c>
    </row>
    <row r="321" spans="1:4" x14ac:dyDescent="0.3">
      <c r="A321" s="5" t="str">
        <f t="shared" ca="1" si="4"/>
        <v>Изменяемый параметр для столбцов:</v>
      </c>
      <c r="B321" s="5" t="s">
        <v>911</v>
      </c>
      <c r="C321" s="5" t="s">
        <v>1329</v>
      </c>
      <c r="D321" s="5" t="s">
        <v>2629</v>
      </c>
    </row>
    <row r="322" spans="1:4" x14ac:dyDescent="0.3">
      <c r="A322" s="5" t="str">
        <f t="shared" ca="1" si="4"/>
        <v>Изменяемый параметр для линий:</v>
      </c>
      <c r="B322" s="5" t="s">
        <v>912</v>
      </c>
      <c r="C322" s="5" t="s">
        <v>1330</v>
      </c>
      <c r="D322" s="5" t="s">
        <v>2630</v>
      </c>
    </row>
    <row r="323" spans="1:4" x14ac:dyDescent="0.3">
      <c r="A323" s="5" t="str">
        <f t="shared" ca="1" si="4"/>
        <v>Параметр, который будет использован как результат:</v>
      </c>
      <c r="B323" s="5" t="s">
        <v>913</v>
      </c>
      <c r="C323" s="5" t="s">
        <v>1331</v>
      </c>
      <c r="D323" s="5" t="s">
        <v>2631</v>
      </c>
    </row>
    <row r="324" spans="1:4" x14ac:dyDescent="0.3">
      <c r="A324" s="5" t="str">
        <f t="shared" ref="A324:A369" ca="1" si="5">OFFSET(A324,0,Prj_Language)</f>
        <v>Использовать несколько линий</v>
      </c>
      <c r="B324" s="5" t="s">
        <v>914</v>
      </c>
      <c r="C324" s="5" t="s">
        <v>1332</v>
      </c>
      <c r="D324" s="5" t="s">
        <v>2632</v>
      </c>
    </row>
    <row r="325" spans="1:4" x14ac:dyDescent="0.3">
      <c r="A325" s="5" t="str">
        <f t="shared" ca="1" si="5"/>
        <v>от</v>
      </c>
      <c r="B325" s="5" t="s">
        <v>589</v>
      </c>
      <c r="C325" s="5" t="s">
        <v>1306</v>
      </c>
      <c r="D325" s="5" t="s">
        <v>2589</v>
      </c>
    </row>
    <row r="326" spans="1:4" x14ac:dyDescent="0.3">
      <c r="A326" s="5" t="str">
        <f t="shared" ca="1" si="5"/>
        <v>с шагом</v>
      </c>
      <c r="B326" s="5" t="s">
        <v>855</v>
      </c>
      <c r="C326" s="5" t="s">
        <v>1333</v>
      </c>
      <c r="D326" s="5" t="s">
        <v>2633</v>
      </c>
    </row>
    <row r="327" spans="1:4" x14ac:dyDescent="0.3">
      <c r="A327" s="5" t="str">
        <f t="shared" ca="1" si="5"/>
        <v>Неправильные настройки изменяемого параметра для столбцов!</v>
      </c>
      <c r="B327" s="5" t="s">
        <v>915</v>
      </c>
      <c r="C327" s="5" t="s">
        <v>1334</v>
      </c>
      <c r="D327" s="5" t="s">
        <v>2634</v>
      </c>
    </row>
    <row r="328" spans="1:4" x14ac:dyDescent="0.3">
      <c r="A328" s="5" t="str">
        <f t="shared" ca="1" si="5"/>
        <v>Неправильные настройки изменяемого параметра для линий!</v>
      </c>
      <c r="B328" s="5" t="s">
        <v>916</v>
      </c>
      <c r="C328" s="5" t="s">
        <v>1335</v>
      </c>
      <c r="D328" s="5" t="s">
        <v>2635</v>
      </c>
    </row>
    <row r="329" spans="1:4" x14ac:dyDescent="0.3">
      <c r="A329" s="5" t="str">
        <f t="shared" ca="1" si="5"/>
        <v>Неправильные настройки результирующего параметра!</v>
      </c>
      <c r="B329" s="5" t="s">
        <v>917</v>
      </c>
      <c r="C329" s="5" t="s">
        <v>1336</v>
      </c>
      <c r="D329" s="5" t="s">
        <v>2636</v>
      </c>
    </row>
    <row r="330" spans="1:4" x14ac:dyDescent="0.3">
      <c r="A330" s="5" t="str">
        <f t="shared" ca="1" si="5"/>
        <v>Анализ чувствительности… Расчет № ***</v>
      </c>
      <c r="B330" s="5" t="s">
        <v>1536</v>
      </c>
      <c r="C330" s="5" t="s">
        <v>2158</v>
      </c>
      <c r="D330" s="5" t="s">
        <v>2637</v>
      </c>
    </row>
    <row r="331" spans="1:4" x14ac:dyDescent="0.3">
      <c r="A331" s="5">
        <f t="shared" ca="1" si="5"/>
        <v>0</v>
      </c>
    </row>
    <row r="332" spans="1:4" x14ac:dyDescent="0.3">
      <c r="A332" s="5">
        <f t="shared" ca="1" si="5"/>
        <v>0</v>
      </c>
    </row>
    <row r="333" spans="1:4" x14ac:dyDescent="0.3">
      <c r="A333" s="5">
        <f t="shared" ca="1" si="5"/>
        <v>0</v>
      </c>
    </row>
    <row r="334" spans="1:4" x14ac:dyDescent="0.3">
      <c r="A334" s="5">
        <f t="shared" ca="1" si="5"/>
        <v>0</v>
      </c>
    </row>
    <row r="335" spans="1:4" x14ac:dyDescent="0.3">
      <c r="A335" s="5">
        <f t="shared" ca="1" si="5"/>
        <v>0</v>
      </c>
    </row>
    <row r="336" spans="1:4" x14ac:dyDescent="0.3">
      <c r="A336" s="5">
        <f t="shared" ca="1" si="5"/>
        <v>0</v>
      </c>
    </row>
    <row r="337" spans="1:4" x14ac:dyDescent="0.3">
      <c r="A337" s="5">
        <f t="shared" ca="1" si="5"/>
        <v>0</v>
      </c>
    </row>
    <row r="338" spans="1:4" x14ac:dyDescent="0.3">
      <c r="A338" s="5">
        <f t="shared" ca="1" si="5"/>
        <v>0</v>
      </c>
    </row>
    <row r="339" spans="1:4" x14ac:dyDescent="0.3">
      <c r="A339" s="5">
        <f t="shared" ca="1" si="5"/>
        <v>0</v>
      </c>
    </row>
    <row r="340" spans="1:4" x14ac:dyDescent="0.3">
      <c r="A340" s="154" t="str">
        <f t="shared" ca="1" si="5"/>
        <v>Настройка сценариев</v>
      </c>
      <c r="B340" s="5" t="s">
        <v>812</v>
      </c>
      <c r="C340" s="5" t="s">
        <v>1337</v>
      </c>
      <c r="D340" s="5" t="s">
        <v>2638</v>
      </c>
    </row>
    <row r="341" spans="1:4" x14ac:dyDescent="0.3">
      <c r="A341" s="5" t="str">
        <f t="shared" ca="1" si="5"/>
        <v>Использовать несколько сценариев</v>
      </c>
      <c r="B341" s="5" t="s">
        <v>813</v>
      </c>
      <c r="C341" s="5" t="s">
        <v>1338</v>
      </c>
      <c r="D341" s="5" t="s">
        <v>2639</v>
      </c>
    </row>
    <row r="342" spans="1:4" x14ac:dyDescent="0.3">
      <c r="A342" s="5" t="str">
        <f t="shared" ca="1" si="5"/>
        <v>Количество сценариев:</v>
      </c>
      <c r="B342" s="5" t="s">
        <v>814</v>
      </c>
      <c r="C342" s="5" t="s">
        <v>1339</v>
      </c>
      <c r="D342" s="5" t="s">
        <v>2640</v>
      </c>
    </row>
    <row r="343" spans="1:4" x14ac:dyDescent="0.3">
      <c r="A343" s="5" t="str">
        <f t="shared" ca="1" si="5"/>
        <v>Параметры, которые устанавливаются для каждого сценария:</v>
      </c>
      <c r="B343" s="5" t="s">
        <v>837</v>
      </c>
      <c r="C343" s="5" t="s">
        <v>1340</v>
      </c>
      <c r="D343" s="5" t="s">
        <v>2641</v>
      </c>
    </row>
    <row r="344" spans="1:4" x14ac:dyDescent="0.3">
      <c r="A344" s="5" t="str">
        <f t="shared" ca="1" si="5"/>
        <v>Добавить...</v>
      </c>
      <c r="B344" s="5" t="s">
        <v>248</v>
      </c>
      <c r="C344" s="5" t="s">
        <v>425</v>
      </c>
      <c r="D344" s="5" t="s">
        <v>2558</v>
      </c>
    </row>
    <row r="345" spans="1:4" x14ac:dyDescent="0.3">
      <c r="A345" s="5" t="str">
        <f t="shared" ca="1" si="5"/>
        <v>Удалить</v>
      </c>
      <c r="B345" s="5" t="s">
        <v>249</v>
      </c>
      <c r="C345" s="5" t="s">
        <v>1341</v>
      </c>
      <c r="D345" s="5" t="s">
        <v>2569</v>
      </c>
    </row>
    <row r="346" spans="1:4" x14ac:dyDescent="0.3">
      <c r="A346" s="5" t="str">
        <f t="shared" ca="1" si="5"/>
        <v>Вариант</v>
      </c>
      <c r="B346" s="5" t="s">
        <v>835</v>
      </c>
      <c r="C346" s="5" t="s">
        <v>836</v>
      </c>
      <c r="D346" s="5" t="s">
        <v>2642</v>
      </c>
    </row>
    <row r="347" spans="1:4" x14ac:dyDescent="0.3">
      <c r="A347" s="5" t="str">
        <f t="shared" ca="1" si="5"/>
        <v>Необходимо выбрать хотя бы один параметр.</v>
      </c>
      <c r="B347" s="5" t="s">
        <v>815</v>
      </c>
      <c r="C347" s="5" t="s">
        <v>1342</v>
      </c>
      <c r="D347" s="5" t="s">
        <v>2643</v>
      </c>
    </row>
    <row r="348" spans="1:4" x14ac:dyDescent="0.3">
      <c r="A348" s="5" t="str">
        <f t="shared" ca="1" si="5"/>
        <v>Все параметры будут удалены?</v>
      </c>
      <c r="B348" s="5" t="s">
        <v>816</v>
      </c>
      <c r="C348" s="5" t="s">
        <v>1343</v>
      </c>
      <c r="D348" s="5" t="s">
        <v>2644</v>
      </c>
    </row>
    <row r="349" spans="1:4" x14ac:dyDescent="0.3">
      <c r="A349" s="5" t="str">
        <f t="shared" ca="1" si="5"/>
        <v>Слишком много параметров.</v>
      </c>
      <c r="B349" s="5" t="s">
        <v>817</v>
      </c>
      <c r="C349" s="5" t="s">
        <v>1344</v>
      </c>
      <c r="D349" s="5" t="s">
        <v>2645</v>
      </c>
    </row>
    <row r="350" spans="1:4" x14ac:dyDescent="0.3">
      <c r="A350" s="5" t="str">
        <f t="shared" ca="1" si="5"/>
        <v>Список параметров пуст.</v>
      </c>
      <c r="B350" s="5" t="s">
        <v>818</v>
      </c>
      <c r="C350" s="5" t="s">
        <v>1345</v>
      </c>
      <c r="D350" s="5" t="s">
        <v>2646</v>
      </c>
    </row>
    <row r="351" spans="1:4" x14ac:dyDescent="0.3">
      <c r="A351" s="5" t="str">
        <f t="shared" ca="1" si="5"/>
        <v>Необходимо выбрать параметры для удаления.</v>
      </c>
      <c r="B351" s="5" t="s">
        <v>819</v>
      </c>
      <c r="C351" s="5" t="s">
        <v>1346</v>
      </c>
      <c r="D351" s="5" t="s">
        <v>2647</v>
      </c>
    </row>
    <row r="352" spans="1:4" x14ac:dyDescent="0.3">
      <c r="A352" s="5" t="str">
        <f t="shared" ca="1" si="5"/>
        <v>Вы действительно хотите удалить выбранные параметры?</v>
      </c>
      <c r="B352" s="5" t="s">
        <v>820</v>
      </c>
      <c r="C352" s="5" t="s">
        <v>1347</v>
      </c>
      <c r="D352" s="5" t="s">
        <v>2648</v>
      </c>
    </row>
    <row r="353" spans="1:4" x14ac:dyDescent="0.3">
      <c r="A353" s="5" t="str">
        <f t="shared" ca="1" si="5"/>
        <v>Неправильная ссылка.</v>
      </c>
      <c r="B353" s="5" t="s">
        <v>829</v>
      </c>
      <c r="C353" s="5" t="s">
        <v>1348</v>
      </c>
      <c r="D353" s="5" t="s">
        <v>2649</v>
      </c>
    </row>
    <row r="354" spans="1:4" x14ac:dyDescent="0.3">
      <c r="A354" s="5" t="str">
        <f t="shared" ca="1" si="5"/>
        <v>Необходимо выбрать одну строку.</v>
      </c>
      <c r="B354" s="5" t="s">
        <v>830</v>
      </c>
      <c r="C354" s="5" t="s">
        <v>1349</v>
      </c>
      <c r="D354" s="5" t="s">
        <v>2650</v>
      </c>
    </row>
    <row r="355" spans="1:4" x14ac:dyDescent="0.3">
      <c r="A355" s="5" t="str">
        <f t="shared" ca="1" si="5"/>
        <v>Параметр не выбран.</v>
      </c>
      <c r="B355" s="5" t="s">
        <v>831</v>
      </c>
      <c r="C355" s="5" t="s">
        <v>1350</v>
      </c>
      <c r="D355" s="5" t="s">
        <v>2651</v>
      </c>
    </row>
    <row r="356" spans="1:4" x14ac:dyDescent="0.3">
      <c r="A356" s="5" t="str">
        <f t="shared" ca="1" si="5"/>
        <v>Необходимо указать название параметра.</v>
      </c>
      <c r="B356" s="5" t="s">
        <v>832</v>
      </c>
      <c r="C356" s="5" t="s">
        <v>1351</v>
      </c>
      <c r="D356" s="5" t="s">
        <v>2652</v>
      </c>
    </row>
    <row r="357" spans="1:4" x14ac:dyDescent="0.3">
      <c r="A357" s="5" t="str">
        <f t="shared" ca="1" si="5"/>
        <v>Выбранный параметр не является константой.</v>
      </c>
      <c r="B357" s="5" t="s">
        <v>833</v>
      </c>
      <c r="C357" s="5" t="s">
        <v>1352</v>
      </c>
      <c r="D357" s="5" t="s">
        <v>2653</v>
      </c>
    </row>
    <row r="358" spans="1:4" x14ac:dyDescent="0.3">
      <c r="A358" s="5" t="str">
        <f t="shared" ca="1" si="5"/>
        <v>Выбранный параметр не является рядом.</v>
      </c>
      <c r="B358" s="5" t="s">
        <v>834</v>
      </c>
      <c r="C358" s="5" t="s">
        <v>1353</v>
      </c>
      <c r="D358" s="5" t="s">
        <v>2654</v>
      </c>
    </row>
    <row r="359" spans="1:4" x14ac:dyDescent="0.3">
      <c r="A359" s="5">
        <f t="shared" ca="1" si="5"/>
        <v>0</v>
      </c>
    </row>
    <row r="360" spans="1:4" x14ac:dyDescent="0.3">
      <c r="A360" s="154" t="str">
        <f t="shared" ca="1" si="5"/>
        <v>Добавить параметр</v>
      </c>
      <c r="B360" s="5" t="s">
        <v>822</v>
      </c>
      <c r="C360" s="5" t="s">
        <v>1354</v>
      </c>
      <c r="D360" s="5" t="s">
        <v>2655</v>
      </c>
    </row>
    <row r="361" spans="1:4" x14ac:dyDescent="0.3">
      <c r="A361" s="5" t="str">
        <f t="shared" ca="1" si="5"/>
        <v>Где находится параметр:</v>
      </c>
      <c r="B361" s="5" t="s">
        <v>823</v>
      </c>
      <c r="C361" s="5" t="s">
        <v>1355</v>
      </c>
      <c r="D361" s="5" t="s">
        <v>2656</v>
      </c>
    </row>
    <row r="362" spans="1:4" x14ac:dyDescent="0.3">
      <c r="A362" s="5" t="str">
        <f t="shared" ca="1" si="5"/>
        <v>Название параметра:</v>
      </c>
      <c r="B362" s="5" t="s">
        <v>824</v>
      </c>
      <c r="C362" s="5" t="s">
        <v>1356</v>
      </c>
      <c r="D362" s="5" t="s">
        <v>2657</v>
      </c>
    </row>
    <row r="363" spans="1:4" x14ac:dyDescent="0.3">
      <c r="A363" s="5" t="str">
        <f t="shared" ca="1" si="5"/>
        <v>Тип параметра:</v>
      </c>
      <c r="B363" s="5" t="s">
        <v>825</v>
      </c>
      <c r="C363" s="5" t="s">
        <v>1357</v>
      </c>
      <c r="D363" s="5" t="s">
        <v>2658</v>
      </c>
    </row>
    <row r="364" spans="1:4" x14ac:dyDescent="0.3">
      <c r="A364" s="5" t="str">
        <f t="shared" ca="1" si="5"/>
        <v>Константа (значение в колонке B)</v>
      </c>
      <c r="B364" s="5" t="s">
        <v>826</v>
      </c>
      <c r="C364" s="5" t="s">
        <v>1358</v>
      </c>
      <c r="D364" s="5" t="s">
        <v>2659</v>
      </c>
    </row>
    <row r="365" spans="1:4" x14ac:dyDescent="0.3">
      <c r="A365" s="5" t="str">
        <f t="shared" ca="1" si="5"/>
        <v>Ряд (значения в колонках периодов)</v>
      </c>
      <c r="B365" s="5" t="s">
        <v>827</v>
      </c>
      <c r="C365" s="5" t="s">
        <v>1359</v>
      </c>
      <c r="D365" s="5" t="s">
        <v>2660</v>
      </c>
    </row>
    <row r="366" spans="1:4" x14ac:dyDescent="0.3">
      <c r="A366" s="5" t="str">
        <f t="shared" ca="1" si="5"/>
        <v>Выбранные Вами данные теперь будут редактироваться на листе Сценарии и для каждого сценария можно будет указать свое значение.</v>
      </c>
      <c r="B366" s="5" t="s">
        <v>828</v>
      </c>
      <c r="C366" s="5" t="s">
        <v>1360</v>
      </c>
      <c r="D366" s="5" t="s">
        <v>2661</v>
      </c>
    </row>
    <row r="367" spans="1:4" x14ac:dyDescent="0.3">
      <c r="A367" s="5">
        <f t="shared" ca="1" si="5"/>
        <v>0</v>
      </c>
    </row>
    <row r="368" spans="1:4" x14ac:dyDescent="0.3">
      <c r="A368" s="5">
        <f t="shared" ca="1" si="5"/>
        <v>0</v>
      </c>
    </row>
    <row r="369" spans="1:4" x14ac:dyDescent="0.3">
      <c r="A369" s="5">
        <f t="shared" ca="1" si="5"/>
        <v>0</v>
      </c>
    </row>
    <row r="370" spans="1:4" x14ac:dyDescent="0.3">
      <c r="A370" s="155" t="s">
        <v>114</v>
      </c>
      <c r="B370" s="155"/>
      <c r="C370" s="155"/>
      <c r="D370" s="155"/>
    </row>
    <row r="371" spans="1:4" x14ac:dyDescent="0.3">
      <c r="A371" s="5" t="str">
        <f t="shared" ref="A371:A443" ca="1" si="6">OFFSET(A371,0,Prj_Language)</f>
        <v>Выключена</v>
      </c>
      <c r="B371" s="5" t="s">
        <v>79</v>
      </c>
      <c r="C371" s="5" t="s">
        <v>473</v>
      </c>
      <c r="D371" s="5" t="s">
        <v>2662</v>
      </c>
    </row>
    <row r="372" spans="1:4" x14ac:dyDescent="0.3">
      <c r="A372" s="5" t="str">
        <f t="shared" ca="1" si="6"/>
        <v>Включена</v>
      </c>
      <c r="B372" s="5" t="s">
        <v>14</v>
      </c>
      <c r="C372" s="5" t="s">
        <v>472</v>
      </c>
      <c r="D372" s="5" t="s">
        <v>2663</v>
      </c>
    </row>
    <row r="373" spans="1:4" ht="14.4" x14ac:dyDescent="0.3">
      <c r="A373" s="5" t="str">
        <f t="shared" ca="1" si="6"/>
        <v>Включена (с паролем)</v>
      </c>
      <c r="B373" s="5" t="s">
        <v>80</v>
      </c>
      <c r="C373" s="5" t="s">
        <v>471</v>
      </c>
      <c r="D373" s="5" t="s">
        <v>2664</v>
      </c>
    </row>
    <row r="374" spans="1:4" x14ac:dyDescent="0.3">
      <c r="A374" s="5" t="str">
        <f t="shared" ca="1" si="6"/>
        <v>Стандартный</v>
      </c>
      <c r="B374" s="5" t="s">
        <v>113</v>
      </c>
      <c r="C374" s="5" t="s">
        <v>364</v>
      </c>
      <c r="D374" s="5" t="s">
        <v>2480</v>
      </c>
    </row>
    <row r="375" spans="1:4" x14ac:dyDescent="0.3">
      <c r="A375" s="5" t="str">
        <f t="shared" ca="1" si="6"/>
        <v>Синие заголовки, зеленые ячейки</v>
      </c>
      <c r="B375" s="5" t="s">
        <v>344</v>
      </c>
      <c r="C375" s="5" t="s">
        <v>365</v>
      </c>
      <c r="D375" s="5" t="s">
        <v>2481</v>
      </c>
    </row>
    <row r="376" spans="1:4" x14ac:dyDescent="0.3">
      <c r="A376" s="5" t="str">
        <f t="shared" ca="1" si="6"/>
        <v>Оттенки серого</v>
      </c>
      <c r="B376" s="5" t="s">
        <v>93</v>
      </c>
      <c r="C376" s="5" t="s">
        <v>366</v>
      </c>
      <c r="D376" s="5" t="s">
        <v>2482</v>
      </c>
    </row>
    <row r="377" spans="1:4" x14ac:dyDescent="0.3">
      <c r="A377" s="5" t="str">
        <f t="shared" ca="1" si="6"/>
        <v>Красные заголовки и розовые ячейки</v>
      </c>
      <c r="B377" s="5" t="s">
        <v>345</v>
      </c>
      <c r="C377" s="5" t="s">
        <v>367</v>
      </c>
      <c r="D377" s="5" t="s">
        <v>2483</v>
      </c>
    </row>
    <row r="378" spans="1:4" x14ac:dyDescent="0.3">
      <c r="A378" s="5" t="str">
        <f t="shared" ca="1" si="6"/>
        <v>Зеленые заголовки, выделить инвестиционную фазу</v>
      </c>
      <c r="B378" s="5" t="s">
        <v>609</v>
      </c>
      <c r="C378" s="5" t="s">
        <v>368</v>
      </c>
      <c r="D378" s="5" t="s">
        <v>2484</v>
      </c>
    </row>
    <row r="379" spans="1:4" x14ac:dyDescent="0.3">
      <c r="A379" s="5" t="str">
        <f t="shared" ca="1" si="6"/>
        <v>Синие заголовки, выделить инвестиционную фазу</v>
      </c>
      <c r="B379" s="5" t="s">
        <v>346</v>
      </c>
      <c r="C379" s="5" t="s">
        <v>369</v>
      </c>
      <c r="D379" s="5" t="s">
        <v>2485</v>
      </c>
    </row>
    <row r="380" spans="1:4" x14ac:dyDescent="0.3">
      <c r="A380" s="5" t="str">
        <f t="shared" ca="1" si="6"/>
        <v>Оттенки серого, выделить инвестиционную фазу</v>
      </c>
      <c r="B380" s="5" t="s">
        <v>347</v>
      </c>
      <c r="C380" s="5" t="s">
        <v>370</v>
      </c>
      <c r="D380" s="5" t="s">
        <v>2486</v>
      </c>
    </row>
    <row r="381" spans="1:4" x14ac:dyDescent="0.3">
      <c r="A381" s="5" t="str">
        <f t="shared" ca="1" si="6"/>
        <v>Красные заголовки, выделить инвестиционную фазу</v>
      </c>
      <c r="B381" s="5" t="s">
        <v>348</v>
      </c>
      <c r="C381" s="5" t="s">
        <v>371</v>
      </c>
      <c r="D381" s="5" t="s">
        <v>2487</v>
      </c>
    </row>
    <row r="382" spans="1:4" x14ac:dyDescent="0.3">
      <c r="A382" s="5" t="str">
        <f t="shared" ca="1" si="6"/>
        <v>Настройки пользователя</v>
      </c>
      <c r="B382" s="5" t="s">
        <v>111</v>
      </c>
      <c r="C382" s="5" t="s">
        <v>372</v>
      </c>
      <c r="D382" s="5" t="s">
        <v>2488</v>
      </c>
    </row>
    <row r="383" spans="1:4" x14ac:dyDescent="0.3">
      <c r="A383" s="5" t="str">
        <f t="shared" ca="1" si="6"/>
        <v>зачитывать при будущих расчетах</v>
      </c>
      <c r="B383" s="5" t="s">
        <v>76</v>
      </c>
      <c r="C383" s="5" t="s">
        <v>485</v>
      </c>
      <c r="D383" s="5" t="s">
        <v>2665</v>
      </c>
    </row>
    <row r="384" spans="1:4" x14ac:dyDescent="0.3">
      <c r="A384" s="5" t="str">
        <f t="shared" ca="1" si="6"/>
        <v>возврат из бюджета</v>
      </c>
      <c r="B384" s="5" t="s">
        <v>241</v>
      </c>
      <c r="C384" s="5" t="s">
        <v>486</v>
      </c>
      <c r="D384" s="5" t="s">
        <v>2666</v>
      </c>
    </row>
    <row r="385" spans="1:4" x14ac:dyDescent="0.3">
      <c r="A385" s="5" t="str">
        <f t="shared" ca="1" si="6"/>
        <v>Название проекта</v>
      </c>
      <c r="B385" s="5" t="s">
        <v>38</v>
      </c>
      <c r="C385" s="5" t="s">
        <v>487</v>
      </c>
      <c r="D385" s="5" t="s">
        <v>2667</v>
      </c>
    </row>
    <row r="386" spans="1:4" x14ac:dyDescent="0.3">
      <c r="A386" s="5" t="str">
        <f t="shared" ca="1" si="6"/>
        <v>Проект без названия</v>
      </c>
      <c r="B386" s="5" t="s">
        <v>39</v>
      </c>
      <c r="C386" s="5" t="s">
        <v>488</v>
      </c>
      <c r="D386" s="5" t="s">
        <v>2668</v>
      </c>
    </row>
    <row r="387" spans="1:4" x14ac:dyDescent="0.3">
      <c r="A387" s="5" t="str">
        <f t="shared" ca="1" si="6"/>
        <v>НАСТРОЙКА ВИДА ТАБЛИЦ</v>
      </c>
      <c r="B387" s="5" t="s">
        <v>29</v>
      </c>
      <c r="C387" s="5" t="s">
        <v>489</v>
      </c>
      <c r="D387" s="5" t="s">
        <v>2669</v>
      </c>
    </row>
    <row r="388" spans="1:4" x14ac:dyDescent="0.3">
      <c r="A388" s="5" t="str">
        <f t="shared" ca="1" si="6"/>
        <v>Язык интерфейса и отчетности</v>
      </c>
      <c r="B388" s="5" t="s">
        <v>13</v>
      </c>
      <c r="C388" s="5" t="s">
        <v>490</v>
      </c>
      <c r="D388" s="5" t="s">
        <v>2670</v>
      </c>
    </row>
    <row r="389" spans="1:4" x14ac:dyDescent="0.3">
      <c r="A389" s="5" t="str">
        <f t="shared" ca="1" si="6"/>
        <v>Защита модели</v>
      </c>
      <c r="B389" s="5" t="s">
        <v>616</v>
      </c>
      <c r="C389" s="5" t="s">
        <v>491</v>
      </c>
      <c r="D389" s="5" t="s">
        <v>2671</v>
      </c>
    </row>
    <row r="390" spans="1:4" x14ac:dyDescent="0.3">
      <c r="A390" s="5" t="str">
        <f t="shared" ca="1" si="6"/>
        <v>Стиль оформления листов</v>
      </c>
      <c r="B390" s="5" t="s">
        <v>36</v>
      </c>
      <c r="C390" s="5" t="s">
        <v>492</v>
      </c>
      <c r="D390" s="5" t="s">
        <v>2672</v>
      </c>
    </row>
    <row r="391" spans="1:4" x14ac:dyDescent="0.3">
      <c r="A391" s="5" t="str">
        <f t="shared" ca="1" si="6"/>
        <v>ДАТА НАЧАЛА И ДЛИТЕЛЬНОСТЬ</v>
      </c>
      <c r="B391" s="5" t="s">
        <v>21</v>
      </c>
      <c r="C391" s="5" t="s">
        <v>493</v>
      </c>
      <c r="D391" s="5" t="s">
        <v>2673</v>
      </c>
    </row>
    <row r="392" spans="1:4" x14ac:dyDescent="0.3">
      <c r="A392" s="5" t="str">
        <f t="shared" ca="1" si="6"/>
        <v>Дата начала проекта</v>
      </c>
      <c r="B392" s="5" t="s">
        <v>7</v>
      </c>
      <c r="C392" s="5" t="s">
        <v>494</v>
      </c>
      <c r="D392" s="5" t="s">
        <v>2502</v>
      </c>
    </row>
    <row r="393" spans="1:4" x14ac:dyDescent="0.3">
      <c r="A393" s="5" t="str">
        <f t="shared" ca="1" si="6"/>
        <v>Горизонт планирования проекта</v>
      </c>
      <c r="B393" s="5" t="s">
        <v>206</v>
      </c>
      <c r="C393" s="5" t="s">
        <v>495</v>
      </c>
      <c r="D393" s="5" t="s">
        <v>2674</v>
      </c>
    </row>
    <row r="394" spans="1:4" x14ac:dyDescent="0.3">
      <c r="A394" s="5" t="str">
        <f t="shared" ca="1" si="6"/>
        <v>Инвестиционная фаза проекта</v>
      </c>
      <c r="B394" s="5" t="s">
        <v>227</v>
      </c>
      <c r="C394" s="5" t="s">
        <v>496</v>
      </c>
      <c r="D394" s="5" t="s">
        <v>2675</v>
      </c>
    </row>
    <row r="395" spans="1:4" x14ac:dyDescent="0.3">
      <c r="A395" s="5" t="str">
        <f t="shared" ca="1" si="6"/>
        <v>Шаг планирования</v>
      </c>
      <c r="B395" s="5" t="s">
        <v>8</v>
      </c>
      <c r="C395" s="5" t="s">
        <v>161</v>
      </c>
      <c r="D395" s="5" t="s">
        <v>2676</v>
      </c>
    </row>
    <row r="396" spans="1:4" x14ac:dyDescent="0.3">
      <c r="A396" s="5" t="str">
        <f t="shared" ca="1" si="6"/>
        <v>Длительность шага планирования</v>
      </c>
      <c r="B396" s="5" t="s">
        <v>9</v>
      </c>
      <c r="C396" s="5" t="s">
        <v>497</v>
      </c>
      <c r="D396" s="5" t="s">
        <v>2677</v>
      </c>
    </row>
    <row r="397" spans="1:4" x14ac:dyDescent="0.3">
      <c r="A397" s="5" t="str">
        <f t="shared" ca="1" si="6"/>
        <v>Год начала проекта</v>
      </c>
      <c r="B397" s="5" t="s">
        <v>18</v>
      </c>
      <c r="C397" s="5" t="s">
        <v>498</v>
      </c>
      <c r="D397" s="5" t="s">
        <v>2678</v>
      </c>
    </row>
    <row r="398" spans="1:4" x14ac:dyDescent="0.3">
      <c r="A398" s="5" t="str">
        <f t="shared" ca="1" si="6"/>
        <v>Месяц начала проекта</v>
      </c>
      <c r="B398" s="5" t="s">
        <v>19</v>
      </c>
      <c r="C398" s="5" t="s">
        <v>499</v>
      </c>
      <c r="D398" s="5" t="s">
        <v>2679</v>
      </c>
    </row>
    <row r="399" spans="1:4" x14ac:dyDescent="0.3">
      <c r="A399" s="5" t="str">
        <f t="shared" ca="1" si="6"/>
        <v>Номер периода</v>
      </c>
      <c r="B399" s="5" t="s">
        <v>24</v>
      </c>
      <c r="C399" s="5" t="s">
        <v>500</v>
      </c>
      <c r="D399" s="5" t="s">
        <v>2680</v>
      </c>
    </row>
    <row r="400" spans="1:4" x14ac:dyDescent="0.3">
      <c r="A400" s="5" t="str">
        <f t="shared" ca="1" si="6"/>
        <v>Дата начала периода</v>
      </c>
      <c r="B400" s="5" t="s">
        <v>20</v>
      </c>
      <c r="C400" s="5" t="s">
        <v>501</v>
      </c>
      <c r="D400" s="5" t="s">
        <v>2681</v>
      </c>
    </row>
    <row r="401" spans="1:4" x14ac:dyDescent="0.3">
      <c r="A401" s="5" t="str">
        <f t="shared" ca="1" si="6"/>
        <v>Дата конца периода</v>
      </c>
      <c r="B401" s="5" t="s">
        <v>166</v>
      </c>
      <c r="C401" s="5" t="s">
        <v>502</v>
      </c>
      <c r="D401" s="5" t="s">
        <v>2539</v>
      </c>
    </row>
    <row r="402" spans="1:4" x14ac:dyDescent="0.3">
      <c r="A402" s="5" t="str">
        <f t="shared" ca="1" si="6"/>
        <v>Год периода</v>
      </c>
      <c r="B402" s="5" t="s">
        <v>22</v>
      </c>
      <c r="C402" s="5" t="s">
        <v>503</v>
      </c>
      <c r="D402" s="5" t="s">
        <v>2682</v>
      </c>
    </row>
    <row r="403" spans="1:4" x14ac:dyDescent="0.3">
      <c r="A403" s="5" t="str">
        <f t="shared" ca="1" si="6"/>
        <v>Месяц начала периода</v>
      </c>
      <c r="B403" s="5" t="s">
        <v>23</v>
      </c>
      <c r="C403" s="5" t="s">
        <v>504</v>
      </c>
      <c r="D403" s="5" t="s">
        <v>2683</v>
      </c>
    </row>
    <row r="404" spans="1:4" x14ac:dyDescent="0.3">
      <c r="A404" s="5" t="str">
        <f t="shared" ca="1" si="6"/>
        <v>Длительность периода в днях</v>
      </c>
      <c r="B404" s="5" t="s">
        <v>25</v>
      </c>
      <c r="C404" s="5" t="s">
        <v>505</v>
      </c>
      <c r="D404" s="5" t="s">
        <v>2684</v>
      </c>
    </row>
    <row r="405" spans="1:4" x14ac:dyDescent="0.3">
      <c r="A405" s="5" t="str">
        <f t="shared" ca="1" si="6"/>
        <v>Длительность периода в месяцах</v>
      </c>
      <c r="B405" s="5" t="s">
        <v>165</v>
      </c>
      <c r="C405" s="5" t="s">
        <v>506</v>
      </c>
      <c r="D405" s="5" t="s">
        <v>2685</v>
      </c>
    </row>
    <row r="406" spans="1:4" x14ac:dyDescent="0.3">
      <c r="A406" s="5" t="str">
        <f t="shared" ca="1" si="6"/>
        <v>Неполный период (1 - да)?</v>
      </c>
      <c r="B406" s="5" t="s">
        <v>27</v>
      </c>
      <c r="C406" s="5" t="s">
        <v>507</v>
      </c>
      <c r="D406" s="5" t="s">
        <v>2686</v>
      </c>
    </row>
    <row r="407" spans="1:4" x14ac:dyDescent="0.3">
      <c r="A407" s="5" t="str">
        <f t="shared" ca="1" si="6"/>
        <v>Коэффициент для учета неполного периода</v>
      </c>
      <c r="B407" s="5" t="s">
        <v>28</v>
      </c>
      <c r="C407" s="5" t="s">
        <v>508</v>
      </c>
      <c r="D407" s="5" t="s">
        <v>2687</v>
      </c>
    </row>
    <row r="408" spans="1:4" x14ac:dyDescent="0.3">
      <c r="A408" s="5" t="str">
        <f t="shared" ca="1" si="6"/>
        <v>Название периода для заголовков таблиц</v>
      </c>
      <c r="B408" s="5" t="s">
        <v>26</v>
      </c>
      <c r="C408" s="5" t="s">
        <v>509</v>
      </c>
      <c r="D408" s="5" t="s">
        <v>2688</v>
      </c>
    </row>
    <row r="409" spans="1:4" x14ac:dyDescent="0.3">
      <c r="A409" s="5" t="str">
        <f t="shared" ca="1" si="6"/>
        <v>ВАЛЮТЫ, КУРСЫ, ИНФЛЯЦИЯ</v>
      </c>
      <c r="B409" s="5" t="s">
        <v>30</v>
      </c>
      <c r="C409" s="5" t="s">
        <v>1621</v>
      </c>
      <c r="D409" s="5" t="s">
        <v>2689</v>
      </c>
    </row>
    <row r="410" spans="1:4" x14ac:dyDescent="0.3">
      <c r="A410" s="5" t="str">
        <f t="shared" ca="1" si="6"/>
        <v>Учет инфляции при планировании цен</v>
      </c>
      <c r="B410" s="5" t="s">
        <v>49</v>
      </c>
      <c r="C410" s="5" t="s">
        <v>1622</v>
      </c>
      <c r="D410" s="5" t="s">
        <v>2690</v>
      </c>
    </row>
    <row r="411" spans="1:4" x14ac:dyDescent="0.3">
      <c r="A411" s="5" t="str">
        <f t="shared" ca="1" si="6"/>
        <v>Основная валюта расчетов</v>
      </c>
      <c r="B411" s="5" t="s">
        <v>10</v>
      </c>
      <c r="C411" s="5" t="s">
        <v>402</v>
      </c>
      <c r="D411" s="5" t="s">
        <v>2691</v>
      </c>
    </row>
    <row r="412" spans="1:4" x14ac:dyDescent="0.3">
      <c r="A412" s="5" t="str">
        <f t="shared" ca="1" si="6"/>
        <v>Темпы роста цен, базовые</v>
      </c>
      <c r="B412" s="5" t="s">
        <v>40</v>
      </c>
      <c r="C412" s="5" t="s">
        <v>1623</v>
      </c>
      <c r="D412" s="5" t="s">
        <v>2692</v>
      </c>
    </row>
    <row r="413" spans="1:4" x14ac:dyDescent="0.3">
      <c r="A413" s="5" t="str">
        <f t="shared" ca="1" si="6"/>
        <v>Детализация; темпы роста цен в отдельных категориях:</v>
      </c>
      <c r="B413" s="5" t="s">
        <v>48</v>
      </c>
      <c r="C413" s="5" t="s">
        <v>1624</v>
      </c>
      <c r="D413" s="5" t="s">
        <v>2693</v>
      </c>
    </row>
    <row r="414" spans="1:4" x14ac:dyDescent="0.3">
      <c r="A414" s="5" t="str">
        <f t="shared" ca="1" si="6"/>
        <v>Продажи</v>
      </c>
      <c r="B414" s="5" t="s">
        <v>41</v>
      </c>
      <c r="C414" s="5" t="s">
        <v>1625</v>
      </c>
      <c r="D414" s="5" t="s">
        <v>2694</v>
      </c>
    </row>
    <row r="415" spans="1:4" x14ac:dyDescent="0.3">
      <c r="A415" s="5" t="str">
        <f t="shared" ca="1" si="6"/>
        <v>Материалы и комплектующие</v>
      </c>
      <c r="B415" s="5" t="s">
        <v>42</v>
      </c>
      <c r="C415" s="5" t="s">
        <v>1626</v>
      </c>
      <c r="D415" s="5" t="s">
        <v>2695</v>
      </c>
    </row>
    <row r="416" spans="1:4" x14ac:dyDescent="0.3">
      <c r="A416" s="5" t="str">
        <f t="shared" ca="1" si="6"/>
        <v>Прочие переменные затраты</v>
      </c>
      <c r="B416" s="5" t="s">
        <v>43</v>
      </c>
      <c r="C416" s="5" t="s">
        <v>1627</v>
      </c>
      <c r="D416" s="5" t="s">
        <v>2696</v>
      </c>
    </row>
    <row r="417" spans="1:4" x14ac:dyDescent="0.3">
      <c r="A417" s="5" t="str">
        <f t="shared" ca="1" si="6"/>
        <v>Постоянные производственные издержки</v>
      </c>
      <c r="B417" s="5" t="s">
        <v>44</v>
      </c>
      <c r="C417" s="5" t="s">
        <v>1628</v>
      </c>
      <c r="D417" s="5" t="s">
        <v>2697</v>
      </c>
    </row>
    <row r="418" spans="1:4" x14ac:dyDescent="0.3">
      <c r="A418" s="5" t="str">
        <f t="shared" ca="1" si="6"/>
        <v>Постоянные административные издержки</v>
      </c>
      <c r="B418" s="5" t="s">
        <v>45</v>
      </c>
      <c r="C418" s="5" t="s">
        <v>1629</v>
      </c>
      <c r="D418" s="5" t="s">
        <v>2698</v>
      </c>
    </row>
    <row r="419" spans="1:4" x14ac:dyDescent="0.3">
      <c r="A419" s="5" t="str">
        <f t="shared" ca="1" si="6"/>
        <v>Постоянные маркетинговые издержки</v>
      </c>
      <c r="B419" s="5" t="s">
        <v>46</v>
      </c>
      <c r="C419" s="5" t="s">
        <v>1630</v>
      </c>
      <c r="D419" s="5" t="s">
        <v>2699</v>
      </c>
    </row>
    <row r="420" spans="1:4" x14ac:dyDescent="0.3">
      <c r="A420" s="5" t="str">
        <f t="shared" ca="1" si="6"/>
        <v>Персонал</v>
      </c>
      <c r="B420" s="5" t="s">
        <v>47</v>
      </c>
      <c r="C420" s="5" t="s">
        <v>1631</v>
      </c>
      <c r="D420" s="5" t="s">
        <v>2700</v>
      </c>
    </row>
    <row r="421" spans="1:4" x14ac:dyDescent="0.3">
      <c r="A421" s="5" t="str">
        <f t="shared" ca="1" si="6"/>
        <v>Валюта отчетности и ее курс к основной валюте</v>
      </c>
      <c r="B421" s="5" t="s">
        <v>770</v>
      </c>
      <c r="C421" s="5" t="s">
        <v>1632</v>
      </c>
      <c r="D421" s="5" t="s">
        <v>2701</v>
      </c>
    </row>
    <row r="422" spans="1:4" x14ac:dyDescent="0.3">
      <c r="A422" s="5" t="str">
        <f t="shared" ca="1" si="6"/>
        <v>Вторая валюта</v>
      </c>
      <c r="B422" s="5" t="s">
        <v>11</v>
      </c>
      <c r="C422" s="5" t="s">
        <v>403</v>
      </c>
      <c r="D422" s="5" t="s">
        <v>2510</v>
      </c>
    </row>
    <row r="423" spans="1:4" x14ac:dyDescent="0.3">
      <c r="A423" s="5" t="str">
        <f t="shared" ca="1" si="6"/>
        <v>Курс к основной валюте</v>
      </c>
      <c r="B423" s="5" t="s">
        <v>470</v>
      </c>
      <c r="C423" s="5" t="s">
        <v>1633</v>
      </c>
      <c r="D423" s="5" t="s">
        <v>2702</v>
      </c>
    </row>
    <row r="424" spans="1:4" x14ac:dyDescent="0.3">
      <c r="A424" s="5" t="str">
        <f t="shared" ca="1" si="6"/>
        <v>Темпы роста курса к основной валюте</v>
      </c>
      <c r="B424" s="5" t="s">
        <v>34</v>
      </c>
      <c r="C424" s="5" t="s">
        <v>1634</v>
      </c>
      <c r="D424" s="5" t="s">
        <v>2703</v>
      </c>
    </row>
    <row r="425" spans="1:4" x14ac:dyDescent="0.3">
      <c r="A425" s="5" t="str">
        <f t="shared" ca="1" si="6"/>
        <v>То же, в пересчете на период, равный шагу проекта</v>
      </c>
      <c r="B425" s="5" t="s">
        <v>32</v>
      </c>
      <c r="C425" s="5" t="s">
        <v>1635</v>
      </c>
      <c r="D425" s="5" t="s">
        <v>2704</v>
      </c>
    </row>
    <row r="426" spans="1:4" x14ac:dyDescent="0.3">
      <c r="A426" s="5" t="str">
        <f t="shared" ca="1" si="6"/>
        <v>Предполагаемый темп годового роста цен</v>
      </c>
      <c r="B426" s="5" t="s">
        <v>31</v>
      </c>
      <c r="C426" s="5" t="s">
        <v>1636</v>
      </c>
      <c r="D426" s="5" t="s">
        <v>2705</v>
      </c>
    </row>
    <row r="427" spans="1:4" x14ac:dyDescent="0.3">
      <c r="A427" s="5" t="str">
        <f t="shared" ca="1" si="6"/>
        <v>Третья валюта</v>
      </c>
      <c r="B427" s="5" t="s">
        <v>12</v>
      </c>
      <c r="C427" s="5" t="s">
        <v>404</v>
      </c>
      <c r="D427" s="5" t="s">
        <v>2511</v>
      </c>
    </row>
    <row r="428" spans="1:4" x14ac:dyDescent="0.3">
      <c r="A428" s="5" t="str">
        <f t="shared" ca="1" si="6"/>
        <v>ПАРАМЕТРЫ НАЛОГОВ</v>
      </c>
      <c r="B428" s="5" t="s">
        <v>51</v>
      </c>
      <c r="C428" s="5" t="s">
        <v>1637</v>
      </c>
      <c r="D428" s="5" t="s">
        <v>2706</v>
      </c>
    </row>
    <row r="429" spans="1:4" x14ac:dyDescent="0.3">
      <c r="A429" s="5" t="str">
        <f t="shared" ca="1" si="6"/>
        <v>НАЛОГ НА ДОБАВЛЕННУЮ СТОИМОСТЬ</v>
      </c>
      <c r="B429" s="5" t="s">
        <v>62</v>
      </c>
      <c r="C429" s="5" t="s">
        <v>1638</v>
      </c>
      <c r="D429" s="5" t="s">
        <v>2707</v>
      </c>
    </row>
    <row r="430" spans="1:4" x14ac:dyDescent="0.3">
      <c r="A430" s="5" t="str">
        <f t="shared" ca="1" si="6"/>
        <v>Стандартная ставка налога</v>
      </c>
      <c r="B430" s="5" t="s">
        <v>61</v>
      </c>
      <c r="C430" s="5" t="s">
        <v>1639</v>
      </c>
      <c r="D430" s="5" t="s">
        <v>2708</v>
      </c>
    </row>
    <row r="431" spans="1:4" x14ac:dyDescent="0.3">
      <c r="A431" s="5" t="str">
        <f t="shared" ca="1" si="6"/>
        <v>Периодичность выплаты налога, месяцев</v>
      </c>
      <c r="B431" s="5" t="s">
        <v>238</v>
      </c>
      <c r="C431" s="5" t="s">
        <v>1640</v>
      </c>
      <c r="D431" s="5" t="s">
        <v>2709</v>
      </c>
    </row>
    <row r="432" spans="1:4" x14ac:dyDescent="0.3">
      <c r="A432" s="5" t="str">
        <f t="shared" ca="1" si="6"/>
        <v>Способ зачета переплаченного НДС:</v>
      </c>
      <c r="B432" s="5" t="s">
        <v>66</v>
      </c>
      <c r="C432" s="5" t="s">
        <v>416</v>
      </c>
      <c r="D432" s="5" t="s">
        <v>2710</v>
      </c>
    </row>
    <row r="433" spans="1:4" x14ac:dyDescent="0.3">
      <c r="A433" s="5" t="str">
        <f t="shared" ca="1" si="6"/>
        <v>прямое возмещение через</v>
      </c>
      <c r="B433" s="5" t="s">
        <v>65</v>
      </c>
      <c r="C433" s="5" t="s">
        <v>1641</v>
      </c>
      <c r="D433" s="5" t="s">
        <v>2711</v>
      </c>
    </row>
    <row r="434" spans="1:4" x14ac:dyDescent="0.3">
      <c r="A434" s="5" t="str">
        <f t="shared" ca="1" si="6"/>
        <v>НАЛОГ НА ПРИБЫЛЬ</v>
      </c>
      <c r="B434" s="5" t="s">
        <v>56</v>
      </c>
      <c r="C434" s="5" t="s">
        <v>1642</v>
      </c>
      <c r="D434" s="5" t="s">
        <v>2522</v>
      </c>
    </row>
    <row r="435" spans="1:4" x14ac:dyDescent="0.3">
      <c r="A435" s="5" t="str">
        <f t="shared" ca="1" si="6"/>
        <v>Ставка налога, федеральная составляющая</v>
      </c>
      <c r="B435" s="5" t="s">
        <v>52</v>
      </c>
      <c r="C435" s="5" t="s">
        <v>1643</v>
      </c>
      <c r="D435" s="5" t="s">
        <v>2712</v>
      </c>
    </row>
    <row r="436" spans="1:4" x14ac:dyDescent="0.3">
      <c r="A436" s="5" t="str">
        <f t="shared" ca="1" si="6"/>
        <v>Ставка налога, местная составляющая</v>
      </c>
      <c r="B436" s="5" t="s">
        <v>53</v>
      </c>
      <c r="C436" s="5" t="s">
        <v>1644</v>
      </c>
      <c r="D436" s="5" t="s">
        <v>2713</v>
      </c>
    </row>
    <row r="437" spans="1:4" x14ac:dyDescent="0.3">
      <c r="A437" s="5" t="str">
        <f t="shared" ca="1" si="6"/>
        <v>Суммарная ставка налога на прибыль</v>
      </c>
      <c r="B437" s="5" t="s">
        <v>54</v>
      </c>
      <c r="C437" s="5" t="s">
        <v>1645</v>
      </c>
      <c r="D437" s="5" t="s">
        <v>2714</v>
      </c>
    </row>
    <row r="438" spans="1:4" x14ac:dyDescent="0.3">
      <c r="A438" s="5" t="str">
        <f t="shared" ca="1" si="6"/>
        <v>Периодичность выплаты налога</v>
      </c>
      <c r="B438" s="5" t="s">
        <v>3326</v>
      </c>
      <c r="C438" s="5" t="s">
        <v>3324</v>
      </c>
      <c r="D438" s="5" t="s">
        <v>3325</v>
      </c>
    </row>
    <row r="439" spans="1:4" x14ac:dyDescent="0.3">
      <c r="A439" s="5" t="str">
        <f t="shared" ca="1" si="6"/>
        <v>СОЦИАЛЬНЫЕ ВЗНОСЫ</v>
      </c>
      <c r="B439" s="5" t="s">
        <v>1214</v>
      </c>
      <c r="C439" s="5" t="s">
        <v>1646</v>
      </c>
      <c r="D439" s="5" t="s">
        <v>2523</v>
      </c>
    </row>
    <row r="440" spans="1:4" x14ac:dyDescent="0.3">
      <c r="A440" s="5" t="str">
        <f t="shared" ca="1" si="6"/>
        <v>Ставка взносов в пенсионный фонд</v>
      </c>
      <c r="B440" s="5" t="s">
        <v>1215</v>
      </c>
      <c r="C440" s="5" t="s">
        <v>1647</v>
      </c>
      <c r="D440" s="5" t="s">
        <v>2715</v>
      </c>
    </row>
    <row r="441" spans="1:4" x14ac:dyDescent="0.3">
      <c r="A441" s="5" t="str">
        <f t="shared" ca="1" si="6"/>
        <v>Ставка взносов на медицинское страхование</v>
      </c>
      <c r="B441" s="5" t="s">
        <v>1216</v>
      </c>
      <c r="C441" s="5" t="s">
        <v>1648</v>
      </c>
      <c r="D441" s="5" t="s">
        <v>2716</v>
      </c>
    </row>
    <row r="442" spans="1:4" ht="14.4" x14ac:dyDescent="0.3">
      <c r="A442" s="5" t="str">
        <f t="shared" ca="1" si="6"/>
        <v>Ставка взносов в фонд социального страхования</v>
      </c>
      <c r="B442" s="5" t="s">
        <v>1217</v>
      </c>
      <c r="C442" s="5" t="s">
        <v>1649</v>
      </c>
      <c r="D442" s="5" t="s">
        <v>2717</v>
      </c>
    </row>
    <row r="443" spans="1:4" x14ac:dyDescent="0.3">
      <c r="A443" s="5" t="str">
        <f t="shared" ca="1" si="6"/>
        <v>Ставка страхования от несчастных случаев</v>
      </c>
      <c r="B443" s="5" t="s">
        <v>64</v>
      </c>
      <c r="C443" s="156" t="s">
        <v>1650</v>
      </c>
      <c r="D443" s="5" t="s">
        <v>2718</v>
      </c>
    </row>
    <row r="444" spans="1:4" x14ac:dyDescent="0.3">
      <c r="A444" s="5" t="str">
        <f t="shared" ref="A444:A509" ca="1" si="7">OFFSET(A444,0,Prj_Language)</f>
        <v>Ставка других социальных взносов</v>
      </c>
      <c r="B444" s="5" t="s">
        <v>1218</v>
      </c>
      <c r="C444" s="156" t="s">
        <v>1651</v>
      </c>
      <c r="D444" s="5" t="s">
        <v>2719</v>
      </c>
    </row>
    <row r="445" spans="1:4" x14ac:dyDescent="0.3">
      <c r="A445" s="5" t="str">
        <f t="shared" ca="1" si="7"/>
        <v>Суммарная ставка социальных взносов</v>
      </c>
      <c r="B445" s="5" t="s">
        <v>1219</v>
      </c>
      <c r="C445" s="5" t="s">
        <v>1652</v>
      </c>
      <c r="D445" s="5" t="s">
        <v>2720</v>
      </c>
    </row>
    <row r="446" spans="1:4" x14ac:dyDescent="0.3">
      <c r="A446" s="5" t="str">
        <f t="shared" ca="1" si="7"/>
        <v>Периодичность выплаты налога</v>
      </c>
      <c r="B446" s="5" t="s">
        <v>3326</v>
      </c>
      <c r="C446" s="5" t="s">
        <v>3324</v>
      </c>
      <c r="D446" s="5" t="s">
        <v>3325</v>
      </c>
    </row>
    <row r="447" spans="1:4" x14ac:dyDescent="0.3">
      <c r="A447" s="5" t="str">
        <f t="shared" ca="1" si="7"/>
        <v>НАЛОГ НА ИМУЩЕСТВО</v>
      </c>
      <c r="B447" s="5" t="s">
        <v>57</v>
      </c>
      <c r="C447" s="5" t="s">
        <v>1653</v>
      </c>
      <c r="D447" s="5" t="s">
        <v>2721</v>
      </c>
    </row>
    <row r="448" spans="1:4" x14ac:dyDescent="0.3">
      <c r="A448" s="5" t="str">
        <f t="shared" ca="1" si="7"/>
        <v>Ставка налога для недвижимости</v>
      </c>
      <c r="B448" s="5" t="s">
        <v>58</v>
      </c>
      <c r="C448" s="5" t="s">
        <v>1654</v>
      </c>
      <c r="D448" s="5" t="s">
        <v>2722</v>
      </c>
    </row>
    <row r="449" spans="1:4" x14ac:dyDescent="0.3">
      <c r="A449" s="5" t="str">
        <f t="shared" ca="1" si="7"/>
        <v>Ставка налога для оборудования</v>
      </c>
      <c r="B449" s="5" t="s">
        <v>59</v>
      </c>
      <c r="C449" s="5" t="s">
        <v>1655</v>
      </c>
      <c r="D449" s="5" t="s">
        <v>2723</v>
      </c>
    </row>
    <row r="450" spans="1:4" x14ac:dyDescent="0.3">
      <c r="A450" s="5" t="str">
        <f t="shared" ca="1" si="7"/>
        <v>Периодичность выплаты налога, месяцев</v>
      </c>
      <c r="B450" s="5" t="s">
        <v>238</v>
      </c>
      <c r="C450" s="5" t="s">
        <v>1640</v>
      </c>
      <c r="D450" s="5" t="s">
        <v>2709</v>
      </c>
    </row>
    <row r="451" spans="1:4" x14ac:dyDescent="0.3">
      <c r="A451" s="5" t="str">
        <f t="shared" ca="1" si="7"/>
        <v>НАЛОГ С ОБОРОТА (УСН)</v>
      </c>
      <c r="B451" s="5" t="s">
        <v>60</v>
      </c>
      <c r="C451" s="5" t="s">
        <v>1656</v>
      </c>
      <c r="D451" s="5" t="s">
        <v>3232</v>
      </c>
    </row>
    <row r="452" spans="1:4" x14ac:dyDescent="0.3">
      <c r="A452" s="5" t="str">
        <f t="shared" ca="1" si="7"/>
        <v>Ставка налога</v>
      </c>
      <c r="B452" s="5" t="s">
        <v>239</v>
      </c>
      <c r="C452" s="5" t="s">
        <v>1657</v>
      </c>
      <c r="D452" s="5" t="s">
        <v>2708</v>
      </c>
    </row>
    <row r="453" spans="1:4" x14ac:dyDescent="0.3">
      <c r="A453" s="5" t="str">
        <f t="shared" ca="1" si="7"/>
        <v>Периодичность выплаты налога, месяцев</v>
      </c>
      <c r="B453" s="5" t="s">
        <v>238</v>
      </c>
      <c r="C453" s="5" t="s">
        <v>1640</v>
      </c>
      <c r="D453" s="5" t="s">
        <v>2709</v>
      </c>
    </row>
    <row r="454" spans="1:4" x14ac:dyDescent="0.3">
      <c r="A454" s="5" t="str">
        <f t="shared" ca="1" si="7"/>
        <v>НАЛОГ С ДОХОДА, УМЕНЬШЕННОГО НА РАСХОДЫ (УСН, ЕСХН)</v>
      </c>
      <c r="B454" s="5" t="s">
        <v>67</v>
      </c>
      <c r="C454" s="5" t="s">
        <v>1658</v>
      </c>
      <c r="D454" s="5" t="s">
        <v>2526</v>
      </c>
    </row>
    <row r="455" spans="1:4" x14ac:dyDescent="0.3">
      <c r="A455" s="5" t="str">
        <f t="shared" ca="1" si="7"/>
        <v>Ставка налога</v>
      </c>
      <c r="B455" s="5" t="s">
        <v>239</v>
      </c>
      <c r="C455" s="5" t="s">
        <v>1657</v>
      </c>
      <c r="D455" s="5" t="s">
        <v>2708</v>
      </c>
    </row>
    <row r="456" spans="1:4" x14ac:dyDescent="0.3">
      <c r="A456" s="5" t="str">
        <f t="shared" ca="1" si="7"/>
        <v>Периодичность выплаты налога, месяцев</v>
      </c>
      <c r="B456" s="5" t="s">
        <v>238</v>
      </c>
      <c r="C456" s="5" t="s">
        <v>1640</v>
      </c>
      <c r="D456" s="5" t="s">
        <v>2709</v>
      </c>
    </row>
    <row r="457" spans="1:4" x14ac:dyDescent="0.3">
      <c r="A457" s="5" t="str">
        <f t="shared" ca="1" si="7"/>
        <v>СТАВКИ ДИСКОНТИРОВАНИЯ</v>
      </c>
      <c r="B457" s="5" t="s">
        <v>68</v>
      </c>
      <c r="C457" s="5" t="s">
        <v>1659</v>
      </c>
      <c r="D457" s="5" t="s">
        <v>2724</v>
      </c>
    </row>
    <row r="458" spans="1:4" x14ac:dyDescent="0.3">
      <c r="A458" s="5" t="str">
        <f t="shared" ca="1" si="7"/>
        <v>Валюта, используемая при расчете эффективности</v>
      </c>
      <c r="B458" s="5" t="s">
        <v>77</v>
      </c>
      <c r="C458" s="5" t="s">
        <v>1660</v>
      </c>
      <c r="D458" s="5" t="s">
        <v>2725</v>
      </c>
    </row>
    <row r="459" spans="1:4" x14ac:dyDescent="0.3">
      <c r="A459" s="5" t="str">
        <f t="shared" ca="1" si="7"/>
        <v>В расчете используются реальные ставки (без инфляции)</v>
      </c>
      <c r="B459" s="5" t="s">
        <v>1168</v>
      </c>
      <c r="C459" s="5" t="s">
        <v>1677</v>
      </c>
      <c r="D459" s="5" t="s">
        <v>2726</v>
      </c>
    </row>
    <row r="460" spans="1:4" x14ac:dyDescent="0.3">
      <c r="A460" s="5" t="str">
        <f t="shared" ca="1" si="7"/>
        <v>Расчет выполняется в номинальных ценах</v>
      </c>
      <c r="B460" s="5" t="s">
        <v>1167</v>
      </c>
      <c r="C460" s="5" t="s">
        <v>1661</v>
      </c>
      <c r="D460" s="5" t="s">
        <v>2727</v>
      </c>
    </row>
    <row r="461" spans="1:4" x14ac:dyDescent="0.3">
      <c r="A461" s="5" t="str">
        <f t="shared" ca="1" si="7"/>
        <v>Ставка для собственного капитала, Re</v>
      </c>
      <c r="B461" s="5" t="s">
        <v>74</v>
      </c>
      <c r="C461" s="5" t="s">
        <v>1662</v>
      </c>
      <c r="D461" s="5" t="s">
        <v>2728</v>
      </c>
    </row>
    <row r="462" spans="1:4" x14ac:dyDescent="0.3">
      <c r="A462" s="5" t="str">
        <f t="shared" ca="1" si="7"/>
        <v>ставка на расчетный период</v>
      </c>
      <c r="B462" s="5" t="s">
        <v>468</v>
      </c>
      <c r="C462" s="5" t="s">
        <v>1663</v>
      </c>
      <c r="D462" s="5" t="s">
        <v>2729</v>
      </c>
    </row>
    <row r="463" spans="1:4" x14ac:dyDescent="0.3">
      <c r="A463" s="5" t="str">
        <f t="shared" ca="1" si="7"/>
        <v>коэффициент дисконта на начало периода</v>
      </c>
      <c r="B463" s="5" t="s">
        <v>1257</v>
      </c>
      <c r="C463" s="5" t="s">
        <v>1664</v>
      </c>
      <c r="D463" s="5" t="s">
        <v>2730</v>
      </c>
    </row>
    <row r="464" spans="1:4" x14ac:dyDescent="0.3">
      <c r="A464" s="5" t="str">
        <f t="shared" ca="1" si="7"/>
        <v>Ставка для заемного капитала, Rd</v>
      </c>
      <c r="B464" s="5" t="s">
        <v>1893</v>
      </c>
      <c r="C464" s="5" t="s">
        <v>1665</v>
      </c>
      <c r="D464" s="5" t="s">
        <v>2731</v>
      </c>
    </row>
    <row r="465" spans="1:4" x14ac:dyDescent="0.3">
      <c r="A465" s="5" t="str">
        <f t="shared" ca="1" si="7"/>
        <v>Расчет средневзвешенной ставки:</v>
      </c>
      <c r="B465" s="5" t="s">
        <v>69</v>
      </c>
      <c r="C465" s="5" t="s">
        <v>1666</v>
      </c>
      <c r="D465" s="5" t="s">
        <v>2732</v>
      </c>
    </row>
    <row r="466" spans="1:4" x14ac:dyDescent="0.3">
      <c r="A466" s="5" t="str">
        <f t="shared" ca="1" si="7"/>
        <v>Ставка налога на прибыль, T</v>
      </c>
      <c r="B466" s="5" t="s">
        <v>73</v>
      </c>
      <c r="C466" s="5" t="s">
        <v>1667</v>
      </c>
      <c r="D466" s="5" t="s">
        <v>2733</v>
      </c>
    </row>
    <row r="467" spans="1:4" x14ac:dyDescent="0.3">
      <c r="A467" s="5" t="str">
        <f t="shared" ca="1" si="7"/>
        <v>Доля заемного капитала в расчете ставки, Wd</v>
      </c>
      <c r="B467" s="5" t="s">
        <v>72</v>
      </c>
      <c r="C467" s="5" t="s">
        <v>1668</v>
      </c>
      <c r="D467" s="5" t="s">
        <v>2734</v>
      </c>
    </row>
    <row r="468" spans="1:4" x14ac:dyDescent="0.3">
      <c r="A468" s="5" t="str">
        <f t="shared" ca="1" si="7"/>
        <v>Доля собственного капитала в расчете ставки, We</v>
      </c>
      <c r="B468" s="5" t="s">
        <v>71</v>
      </c>
      <c r="C468" s="5" t="s">
        <v>1669</v>
      </c>
      <c r="D468" s="5" t="s">
        <v>2735</v>
      </c>
    </row>
    <row r="469" spans="1:4" x14ac:dyDescent="0.3">
      <c r="A469" s="5" t="str">
        <f t="shared" ca="1" si="7"/>
        <v xml:space="preserve">WACC = Re * We + Rd * Wd * (1-T) = </v>
      </c>
      <c r="B469" s="5" t="s">
        <v>70</v>
      </c>
      <c r="C469" s="5" t="s">
        <v>70</v>
      </c>
      <c r="D469" s="5" t="s">
        <v>70</v>
      </c>
    </row>
    <row r="470" spans="1:4" x14ac:dyDescent="0.3">
      <c r="A470" s="5" t="str">
        <f t="shared" ca="1" si="7"/>
        <v>Учитывать рыночную стоимость начальных активов?</v>
      </c>
      <c r="B470" s="5" t="s">
        <v>733</v>
      </c>
      <c r="C470" s="5" t="s">
        <v>1670</v>
      </c>
      <c r="D470" s="5" t="s">
        <v>2736</v>
      </c>
    </row>
    <row r="471" spans="1:4" x14ac:dyDescent="0.3">
      <c r="A471" s="5" t="str">
        <f t="shared" ca="1" si="7"/>
        <v>Учитывать продленную стоимость?</v>
      </c>
      <c r="B471" s="5" t="s">
        <v>734</v>
      </c>
      <c r="C471" s="5" t="s">
        <v>1671</v>
      </c>
      <c r="D471" s="5" t="s">
        <v>2737</v>
      </c>
    </row>
    <row r="472" spans="1:4" x14ac:dyDescent="0.3">
      <c r="A472" s="5" t="str">
        <f t="shared" ca="1" si="7"/>
        <v>Долгосрочные темпы роста в постпрогнозный период</v>
      </c>
      <c r="B472" s="5" t="s">
        <v>75</v>
      </c>
      <c r="C472" s="5" t="s">
        <v>1672</v>
      </c>
      <c r="D472" s="5" t="s">
        <v>2738</v>
      </c>
    </row>
    <row r="473" spans="1:4" x14ac:dyDescent="0.3">
      <c r="A473" s="5" t="str">
        <f t="shared" ca="1" si="7"/>
        <v>в пересчете на шаг планирования</v>
      </c>
      <c r="B473" s="5" t="s">
        <v>1546</v>
      </c>
      <c r="C473" s="5" t="s">
        <v>1663</v>
      </c>
      <c r="D473" s="5" t="s">
        <v>2739</v>
      </c>
    </row>
    <row r="474" spans="1:4" x14ac:dyDescent="0.3">
      <c r="A474" s="5" t="str">
        <f t="shared" ca="1" si="7"/>
        <v>Ставка реинвестирования доходов (для расчета MIRR)</v>
      </c>
      <c r="B474" s="5" t="s">
        <v>78</v>
      </c>
      <c r="C474" s="5" t="s">
        <v>1673</v>
      </c>
      <c r="D474" s="5" t="s">
        <v>2740</v>
      </c>
    </row>
    <row r="475" spans="1:4" x14ac:dyDescent="0.3">
      <c r="A475" s="5" t="str">
        <f t="shared" ca="1" si="7"/>
        <v>коэффициент реинвестирования</v>
      </c>
      <c r="B475" s="5" t="s">
        <v>2183</v>
      </c>
      <c r="C475" s="5" t="s">
        <v>2184</v>
      </c>
      <c r="D475" s="5" t="s">
        <v>2741</v>
      </c>
    </row>
    <row r="476" spans="1:4" x14ac:dyDescent="0.3">
      <c r="A476" s="5" t="str">
        <f t="shared" ca="1" si="7"/>
        <v>Модифицированный денежный поток</v>
      </c>
      <c r="B476" s="5" t="s">
        <v>2186</v>
      </c>
      <c r="C476" s="5" t="s">
        <v>2185</v>
      </c>
      <c r="D476" s="5" t="s">
        <v>2742</v>
      </c>
    </row>
    <row r="477" spans="1:4" x14ac:dyDescent="0.3">
      <c r="A477" s="5" t="str">
        <f t="shared" ca="1" si="7"/>
        <v>Ставка дисконтирования для бюджетной эффективности</v>
      </c>
      <c r="B477" s="5" t="s">
        <v>1567</v>
      </c>
      <c r="C477" s="5" t="s">
        <v>1750</v>
      </c>
      <c r="D477" s="5" t="s">
        <v>2743</v>
      </c>
    </row>
    <row r="478" spans="1:4" x14ac:dyDescent="0.3">
      <c r="A478" s="5" t="str">
        <f t="shared" ca="1" si="7"/>
        <v>Не учитывать</v>
      </c>
      <c r="B478" s="5" t="s">
        <v>469</v>
      </c>
      <c r="C478" s="5" t="s">
        <v>1674</v>
      </c>
      <c r="D478" s="5" t="s">
        <v>2744</v>
      </c>
    </row>
    <row r="479" spans="1:4" x14ac:dyDescent="0.3">
      <c r="A479" s="5" t="str">
        <f t="shared" ca="1" si="7"/>
        <v>Учитывать</v>
      </c>
      <c r="B479" s="5" t="s">
        <v>33</v>
      </c>
      <c r="C479" s="5" t="s">
        <v>1675</v>
      </c>
      <c r="D479" s="5" t="s">
        <v>2745</v>
      </c>
    </row>
    <row r="480" spans="1:4" x14ac:dyDescent="0.3">
      <c r="A480" s="5" t="str">
        <f t="shared" ca="1" si="7"/>
        <v>% в год</v>
      </c>
      <c r="B480" s="5" t="s">
        <v>35</v>
      </c>
      <c r="C480" s="5" t="s">
        <v>1676</v>
      </c>
      <c r="D480" s="5" t="s">
        <v>2746</v>
      </c>
    </row>
    <row r="481" spans="1:4" x14ac:dyDescent="0.3">
      <c r="A481" s="5" t="str">
        <f t="shared" ca="1" si="7"/>
        <v>Начальный баланс</v>
      </c>
      <c r="B481" s="5" t="s">
        <v>1396</v>
      </c>
      <c r="C481" s="5" t="s">
        <v>1678</v>
      </c>
      <c r="D481" s="5" t="s">
        <v>2747</v>
      </c>
    </row>
    <row r="482" spans="1:4" x14ac:dyDescent="0.3">
      <c r="A482" s="154" t="str">
        <f t="shared" ca="1" si="7"/>
        <v>СТАРТОВЫЙ БАЛАНС</v>
      </c>
      <c r="B482" s="5" t="s">
        <v>1251</v>
      </c>
      <c r="C482" s="5" t="s">
        <v>1679</v>
      </c>
      <c r="D482" s="5" t="s">
        <v>2748</v>
      </c>
    </row>
    <row r="483" spans="1:4" x14ac:dyDescent="0.3">
      <c r="A483" s="5" t="str">
        <f t="shared" ca="1" si="7"/>
        <v>Денежные средства</v>
      </c>
      <c r="B483" s="5" t="s">
        <v>1397</v>
      </c>
      <c r="C483" s="5" t="s">
        <v>1680</v>
      </c>
      <c r="D483" s="5" t="s">
        <v>2749</v>
      </c>
    </row>
    <row r="484" spans="1:4" x14ac:dyDescent="0.3">
      <c r="A484" s="5" t="str">
        <f t="shared" ca="1" si="7"/>
        <v>Дебиторская задолженность</v>
      </c>
      <c r="B484" s="5" t="s">
        <v>985</v>
      </c>
      <c r="C484" s="5" t="s">
        <v>1681</v>
      </c>
      <c r="D484" s="5" t="s">
        <v>2750</v>
      </c>
    </row>
    <row r="485" spans="1:4" x14ac:dyDescent="0.3">
      <c r="A485" s="5" t="str">
        <f t="shared" ca="1" si="7"/>
        <v>Авансы уплаченные поставщикам</v>
      </c>
      <c r="B485" s="5" t="s">
        <v>1398</v>
      </c>
      <c r="C485" s="5" t="s">
        <v>1682</v>
      </c>
      <c r="D485" s="5" t="s">
        <v>2751</v>
      </c>
    </row>
    <row r="486" spans="1:4" x14ac:dyDescent="0.3">
      <c r="A486" s="5" t="str">
        <f t="shared" ca="1" si="7"/>
        <v>Готовая продукция на складе</v>
      </c>
      <c r="B486" s="5" t="s">
        <v>1399</v>
      </c>
      <c r="C486" s="5" t="s">
        <v>1683</v>
      </c>
      <c r="D486" s="5" t="s">
        <v>2752</v>
      </c>
    </row>
    <row r="487" spans="1:4" x14ac:dyDescent="0.3">
      <c r="A487" s="5" t="str">
        <f t="shared" ca="1" si="7"/>
        <v>Незавершенное производство</v>
      </c>
      <c r="B487" s="5" t="s">
        <v>1004</v>
      </c>
      <c r="C487" s="5" t="s">
        <v>1684</v>
      </c>
      <c r="D487" s="5" t="s">
        <v>2753</v>
      </c>
    </row>
    <row r="488" spans="1:4" x14ac:dyDescent="0.3">
      <c r="A488" s="5" t="str">
        <f t="shared" ca="1" si="7"/>
        <v>Запасы материалов и комплектующих</v>
      </c>
      <c r="B488" s="5" t="s">
        <v>1018</v>
      </c>
      <c r="C488" s="5" t="s">
        <v>1626</v>
      </c>
      <c r="D488" s="5" t="s">
        <v>2754</v>
      </c>
    </row>
    <row r="489" spans="1:4" x14ac:dyDescent="0.3">
      <c r="A489" s="5" t="str">
        <f t="shared" ca="1" si="7"/>
        <v>НДС на приобретенные товары</v>
      </c>
      <c r="B489" s="5" t="s">
        <v>1400</v>
      </c>
      <c r="C489" s="5" t="s">
        <v>1685</v>
      </c>
      <c r="D489" s="5" t="s">
        <v>2755</v>
      </c>
    </row>
    <row r="490" spans="1:4" x14ac:dyDescent="0.3">
      <c r="A490" s="5" t="str">
        <f t="shared" ca="1" si="7"/>
        <v>Краткосрочные финансовые вложения</v>
      </c>
      <c r="B490" s="5" t="s">
        <v>1282</v>
      </c>
      <c r="C490" s="5" t="s">
        <v>1686</v>
      </c>
      <c r="D490" s="5" t="s">
        <v>2756</v>
      </c>
    </row>
    <row r="491" spans="1:4" x14ac:dyDescent="0.3">
      <c r="A491" s="5" t="str">
        <f t="shared" ca="1" si="7"/>
        <v>Прочие оборотные активы</v>
      </c>
      <c r="B491" s="5" t="s">
        <v>1401</v>
      </c>
      <c r="C491" s="5" t="s">
        <v>1687</v>
      </c>
      <c r="D491" s="5" t="s">
        <v>2757</v>
      </c>
    </row>
    <row r="492" spans="1:4" x14ac:dyDescent="0.3">
      <c r="A492" s="5" t="str">
        <f t="shared" ca="1" si="7"/>
        <v>Суммарные оборотные активы</v>
      </c>
      <c r="B492" s="5" t="s">
        <v>662</v>
      </c>
      <c r="C492" s="5" t="s">
        <v>1688</v>
      </c>
      <c r="D492" s="5" t="s">
        <v>2758</v>
      </c>
    </row>
    <row r="493" spans="1:4" x14ac:dyDescent="0.3">
      <c r="A493" s="5" t="str">
        <f t="shared" ca="1" si="7"/>
        <v>Земельные участки</v>
      </c>
      <c r="B493" s="5" t="s">
        <v>931</v>
      </c>
      <c r="C493" s="5" t="s">
        <v>1689</v>
      </c>
      <c r="D493" s="5" t="s">
        <v>2597</v>
      </c>
    </row>
    <row r="494" spans="1:4" x14ac:dyDescent="0.3">
      <c r="A494" s="5" t="str">
        <f t="shared" ca="1" si="7"/>
        <v>Здания и сооружения</v>
      </c>
      <c r="B494" s="5" t="s">
        <v>244</v>
      </c>
      <c r="C494" s="5" t="s">
        <v>1690</v>
      </c>
      <c r="D494" s="5" t="s">
        <v>2759</v>
      </c>
    </row>
    <row r="495" spans="1:4" x14ac:dyDescent="0.3">
      <c r="A495" s="5" t="str">
        <f t="shared" ca="1" si="7"/>
        <v>Оборудование и прочие активы</v>
      </c>
      <c r="B495" s="5" t="s">
        <v>933</v>
      </c>
      <c r="C495" s="5" t="s">
        <v>1691</v>
      </c>
      <c r="D495" s="5" t="s">
        <v>2760</v>
      </c>
    </row>
    <row r="496" spans="1:4" x14ac:dyDescent="0.3">
      <c r="A496" s="5" t="str">
        <f t="shared" ca="1" si="7"/>
        <v>Нематериальные активы</v>
      </c>
      <c r="B496" s="5" t="s">
        <v>246</v>
      </c>
      <c r="C496" s="5" t="s">
        <v>1692</v>
      </c>
      <c r="D496" s="5" t="s">
        <v>2761</v>
      </c>
    </row>
    <row r="497" spans="1:4" x14ac:dyDescent="0.3">
      <c r="A497" s="5" t="str">
        <f t="shared" ca="1" si="7"/>
        <v>Долгосрочные финансовые вложения</v>
      </c>
      <c r="B497" s="5" t="s">
        <v>934</v>
      </c>
      <c r="C497" s="5" t="s">
        <v>1693</v>
      </c>
      <c r="D497" s="5" t="s">
        <v>2762</v>
      </c>
    </row>
    <row r="498" spans="1:4" x14ac:dyDescent="0.3">
      <c r="A498" s="5" t="str">
        <f t="shared" ca="1" si="7"/>
        <v>Незавершенные капиталовложения</v>
      </c>
      <c r="B498" s="5" t="s">
        <v>1402</v>
      </c>
      <c r="C498" s="5" t="s">
        <v>1694</v>
      </c>
      <c r="D498" s="5" t="s">
        <v>2763</v>
      </c>
    </row>
    <row r="499" spans="1:4" x14ac:dyDescent="0.3">
      <c r="A499" s="5" t="str">
        <f t="shared" ca="1" si="7"/>
        <v>Прочие внеоборотные активы</v>
      </c>
      <c r="B499" s="5" t="s">
        <v>1403</v>
      </c>
      <c r="C499" s="5" t="s">
        <v>1695</v>
      </c>
      <c r="D499" s="5" t="s">
        <v>2764</v>
      </c>
    </row>
    <row r="500" spans="1:4" x14ac:dyDescent="0.3">
      <c r="A500" s="5" t="str">
        <f t="shared" ca="1" si="7"/>
        <v>Суммарные внеоборотные активы</v>
      </c>
      <c r="B500" s="5" t="s">
        <v>663</v>
      </c>
      <c r="C500" s="5" t="s">
        <v>1696</v>
      </c>
      <c r="D500" s="5" t="s">
        <v>2765</v>
      </c>
    </row>
    <row r="501" spans="1:4" x14ac:dyDescent="0.3">
      <c r="A501" s="5" t="str">
        <f t="shared" ca="1" si="7"/>
        <v>ИТОГО АКТИВОВ</v>
      </c>
      <c r="B501" s="5" t="s">
        <v>664</v>
      </c>
      <c r="C501" s="5" t="s">
        <v>1697</v>
      </c>
      <c r="D501" s="5" t="s">
        <v>2766</v>
      </c>
    </row>
    <row r="502" spans="1:4" x14ac:dyDescent="0.3">
      <c r="A502" s="5" t="str">
        <f t="shared" ca="1" si="7"/>
        <v>Кредиторская задолженность перед поставщиками</v>
      </c>
      <c r="B502" s="5" t="s">
        <v>1283</v>
      </c>
      <c r="C502" s="5" t="s">
        <v>1698</v>
      </c>
      <c r="D502" s="5" t="s">
        <v>2767</v>
      </c>
    </row>
    <row r="503" spans="1:4" x14ac:dyDescent="0.3">
      <c r="A503" s="5" t="str">
        <f t="shared" ca="1" si="7"/>
        <v>Кредиторская задолженность за внеоборотные активы</v>
      </c>
      <c r="B503" s="5" t="s">
        <v>1284</v>
      </c>
      <c r="C503" s="5" t="s">
        <v>1699</v>
      </c>
      <c r="D503" s="5" t="s">
        <v>2768</v>
      </c>
    </row>
    <row r="504" spans="1:4" x14ac:dyDescent="0.3">
      <c r="A504" s="5" t="str">
        <f t="shared" ca="1" si="7"/>
        <v>Расчеты с бюджетом</v>
      </c>
      <c r="B504" s="5" t="s">
        <v>1404</v>
      </c>
      <c r="C504" s="5" t="s">
        <v>1700</v>
      </c>
      <c r="D504" s="5" t="s">
        <v>2769</v>
      </c>
    </row>
    <row r="505" spans="1:4" x14ac:dyDescent="0.3">
      <c r="A505" s="5" t="str">
        <f t="shared" ca="1" si="7"/>
        <v>Расчеты с персоналом</v>
      </c>
      <c r="B505" s="5" t="s">
        <v>1405</v>
      </c>
      <c r="C505" s="5" t="s">
        <v>1701</v>
      </c>
      <c r="D505" s="5" t="s">
        <v>2770</v>
      </c>
    </row>
    <row r="506" spans="1:4" x14ac:dyDescent="0.3">
      <c r="A506" s="5" t="str">
        <f t="shared" ca="1" si="7"/>
        <v>Полученные авансы покупателей</v>
      </c>
      <c r="B506" s="5" t="s">
        <v>1406</v>
      </c>
      <c r="C506" s="5" t="s">
        <v>1702</v>
      </c>
      <c r="D506" s="5" t="s">
        <v>2771</v>
      </c>
    </row>
    <row r="507" spans="1:4" x14ac:dyDescent="0.3">
      <c r="A507" s="5" t="str">
        <f t="shared" ca="1" si="7"/>
        <v>Краткосрочные кредиты</v>
      </c>
      <c r="B507" s="5" t="s">
        <v>570</v>
      </c>
      <c r="C507" s="5" t="s">
        <v>1703</v>
      </c>
      <c r="D507" s="5" t="s">
        <v>2772</v>
      </c>
    </row>
    <row r="508" spans="1:4" x14ac:dyDescent="0.3">
      <c r="A508" s="5" t="str">
        <f t="shared" ca="1" si="7"/>
        <v>Прочие краткосрочные обязательства</v>
      </c>
      <c r="B508" s="5" t="s">
        <v>1407</v>
      </c>
      <c r="C508" s="5" t="s">
        <v>1704</v>
      </c>
      <c r="D508" s="5" t="s">
        <v>2773</v>
      </c>
    </row>
    <row r="509" spans="1:4" x14ac:dyDescent="0.3">
      <c r="A509" s="5" t="str">
        <f t="shared" ca="1" si="7"/>
        <v>Суммарные краткосрочные обязательства</v>
      </c>
      <c r="B509" s="5" t="s">
        <v>665</v>
      </c>
      <c r="C509" s="5" t="s">
        <v>1705</v>
      </c>
      <c r="D509" s="5" t="s">
        <v>2774</v>
      </c>
    </row>
    <row r="510" spans="1:4" x14ac:dyDescent="0.3">
      <c r="A510" s="5" t="str">
        <f t="shared" ref="A510:A573" ca="1" si="8">OFFSET(A510,0,Prj_Language)</f>
        <v>Долгосрочные кредиты</v>
      </c>
      <c r="B510" s="5" t="s">
        <v>569</v>
      </c>
      <c r="C510" s="5" t="s">
        <v>1706</v>
      </c>
      <c r="D510" s="5" t="s">
        <v>2775</v>
      </c>
    </row>
    <row r="511" spans="1:4" x14ac:dyDescent="0.3">
      <c r="A511" s="5" t="str">
        <f t="shared" ca="1" si="8"/>
        <v>Прочие долгосрочные обязательства</v>
      </c>
      <c r="B511" s="5" t="s">
        <v>1408</v>
      </c>
      <c r="C511" s="5" t="s">
        <v>1707</v>
      </c>
      <c r="D511" s="5" t="s">
        <v>2776</v>
      </c>
    </row>
    <row r="512" spans="1:4" x14ac:dyDescent="0.3">
      <c r="A512" s="5" t="str">
        <f t="shared" ca="1" si="8"/>
        <v>Суммарные долгосрочные обязательства</v>
      </c>
      <c r="B512" s="5" t="s">
        <v>666</v>
      </c>
      <c r="C512" s="5" t="s">
        <v>1708</v>
      </c>
      <c r="D512" s="5" t="s">
        <v>2777</v>
      </c>
    </row>
    <row r="513" spans="1:4" x14ac:dyDescent="0.3">
      <c r="A513" s="5" t="str">
        <f t="shared" ca="1" si="8"/>
        <v>Акционерный капитал</v>
      </c>
      <c r="B513" s="5" t="s">
        <v>1409</v>
      </c>
      <c r="C513" s="5" t="s">
        <v>1709</v>
      </c>
      <c r="D513" s="5" t="s">
        <v>2778</v>
      </c>
    </row>
    <row r="514" spans="1:4" x14ac:dyDescent="0.3">
      <c r="A514" s="5" t="str">
        <f t="shared" ca="1" si="8"/>
        <v>Нераспределенная прибыль</v>
      </c>
      <c r="B514" s="5" t="s">
        <v>1410</v>
      </c>
      <c r="C514" s="5" t="s">
        <v>1710</v>
      </c>
      <c r="D514" s="5" t="s">
        <v>2779</v>
      </c>
    </row>
    <row r="515" spans="1:4" x14ac:dyDescent="0.3">
      <c r="A515" s="5" t="str">
        <f t="shared" ca="1" si="8"/>
        <v>Прочий собственный капитал</v>
      </c>
      <c r="B515" s="5" t="s">
        <v>1411</v>
      </c>
      <c r="C515" s="5" t="s">
        <v>1711</v>
      </c>
      <c r="D515" s="5" t="s">
        <v>2780</v>
      </c>
    </row>
    <row r="516" spans="1:4" x14ac:dyDescent="0.3">
      <c r="A516" s="5" t="str">
        <f t="shared" ca="1" si="8"/>
        <v>Суммарный собственный капитал</v>
      </c>
      <c r="B516" s="5" t="s">
        <v>667</v>
      </c>
      <c r="C516" s="5" t="s">
        <v>1712</v>
      </c>
      <c r="D516" s="5" t="s">
        <v>2781</v>
      </c>
    </row>
    <row r="517" spans="1:4" x14ac:dyDescent="0.3">
      <c r="A517" s="5" t="str">
        <f t="shared" ca="1" si="8"/>
        <v>ИТОГО ПАССИВОВ</v>
      </c>
      <c r="B517" s="5" t="s">
        <v>668</v>
      </c>
      <c r="C517" s="5" t="s">
        <v>1713</v>
      </c>
      <c r="D517" s="5" t="s">
        <v>2782</v>
      </c>
    </row>
    <row r="518" spans="1:4" x14ac:dyDescent="0.3">
      <c r="A518" s="5" t="str">
        <f t="shared" ca="1" si="8"/>
        <v>Контроль сходимости баланса</v>
      </c>
      <c r="B518" s="5" t="s">
        <v>928</v>
      </c>
      <c r="C518" s="5" t="s">
        <v>1714</v>
      </c>
      <c r="D518" s="5" t="s">
        <v>2783</v>
      </c>
    </row>
    <row r="519" spans="1:4" x14ac:dyDescent="0.3">
      <c r="A519" s="5" t="str">
        <f t="shared" ca="1" si="8"/>
        <v>Стоимость чистых активов стартового баланса</v>
      </c>
      <c r="B519" s="5" t="s">
        <v>1145</v>
      </c>
      <c r="C519" s="5" t="s">
        <v>1715</v>
      </c>
      <c r="D519" s="5" t="s">
        <v>2784</v>
      </c>
    </row>
    <row r="520" spans="1:4" x14ac:dyDescent="0.3">
      <c r="A520" s="5" t="str">
        <f t="shared" ca="1" si="8"/>
        <v>задолженность учредителей по взносам в уставный капитал</v>
      </c>
      <c r="B520" s="5" t="s">
        <v>1250</v>
      </c>
      <c r="C520" s="5" t="s">
        <v>1716</v>
      </c>
      <c r="D520" s="5" t="s">
        <v>2785</v>
      </c>
    </row>
    <row r="521" spans="1:4" x14ac:dyDescent="0.3">
      <c r="A521" s="5" t="str">
        <f t="shared" ca="1" si="8"/>
        <v>Рыночная стоимость (для анализа эффективности)</v>
      </c>
      <c r="B521" s="5" t="s">
        <v>1146</v>
      </c>
      <c r="C521" s="5" t="s">
        <v>1717</v>
      </c>
      <c r="D521" s="5" t="s">
        <v>2786</v>
      </c>
    </row>
    <row r="522" spans="1:4" x14ac:dyDescent="0.3">
      <c r="A522" s="154" t="str">
        <f t="shared" ca="1" si="8"/>
        <v>СУЩЕСТВУЮЩИЕ ОСНОВНЫЕ СРЕДСТВА</v>
      </c>
      <c r="B522" s="5" t="s">
        <v>1252</v>
      </c>
      <c r="C522" s="5" t="s">
        <v>1718</v>
      </c>
      <c r="D522" s="5" t="s">
        <v>2787</v>
      </c>
    </row>
    <row r="523" spans="1:4" x14ac:dyDescent="0.3">
      <c r="A523" s="5" t="str">
        <f t="shared" ca="1" si="8"/>
        <v>Незавершенные капвложения на начало периода</v>
      </c>
      <c r="B523" s="5" t="s">
        <v>940</v>
      </c>
      <c r="C523" s="5" t="s">
        <v>1719</v>
      </c>
      <c r="D523" s="5" t="s">
        <v>2788</v>
      </c>
    </row>
    <row r="524" spans="1:4" x14ac:dyDescent="0.3">
      <c r="A524" s="5" t="str">
        <f t="shared" ca="1" si="8"/>
        <v>График постановки на баланс:</v>
      </c>
      <c r="B524" s="5" t="s">
        <v>932</v>
      </c>
      <c r="C524" s="5" t="s">
        <v>1720</v>
      </c>
      <c r="D524" s="5" t="s">
        <v>2789</v>
      </c>
    </row>
    <row r="525" spans="1:4" x14ac:dyDescent="0.3">
      <c r="A525" s="5" t="str">
        <f t="shared" ca="1" si="8"/>
        <v>Здания и сооружения</v>
      </c>
      <c r="B525" s="5" t="s">
        <v>244</v>
      </c>
      <c r="C525" s="5" t="s">
        <v>1690</v>
      </c>
      <c r="D525" s="5" t="s">
        <v>2759</v>
      </c>
    </row>
    <row r="526" spans="1:4" x14ac:dyDescent="0.3">
      <c r="A526" s="5" t="str">
        <f t="shared" ca="1" si="8"/>
        <v>Оборудование и прочие активы</v>
      </c>
      <c r="B526" s="5" t="s">
        <v>933</v>
      </c>
      <c r="C526" s="5" t="s">
        <v>1691</v>
      </c>
      <c r="D526" s="5" t="s">
        <v>2790</v>
      </c>
    </row>
    <row r="527" spans="1:4" x14ac:dyDescent="0.3">
      <c r="A527" s="5" t="str">
        <f t="shared" ca="1" si="8"/>
        <v>Нематериальные активы</v>
      </c>
      <c r="B527" s="5" t="s">
        <v>246</v>
      </c>
      <c r="C527" s="5" t="s">
        <v>1692</v>
      </c>
      <c r="D527" s="5" t="s">
        <v>2791</v>
      </c>
    </row>
    <row r="528" spans="1:4" x14ac:dyDescent="0.3">
      <c r="A528" s="5" t="str">
        <f t="shared" ca="1" si="8"/>
        <v>Незавершенные капвложения на конец периода</v>
      </c>
      <c r="B528" s="5" t="s">
        <v>941</v>
      </c>
      <c r="C528" s="5" t="s">
        <v>1721</v>
      </c>
      <c r="D528" s="5" t="s">
        <v>2792</v>
      </c>
    </row>
    <row r="529" spans="1:4" x14ac:dyDescent="0.3">
      <c r="A529" s="5" t="str">
        <f t="shared" ca="1" si="8"/>
        <v>Земельные участки</v>
      </c>
      <c r="B529" s="5" t="s">
        <v>931</v>
      </c>
      <c r="C529" s="5" t="s">
        <v>1689</v>
      </c>
      <c r="D529" s="5" t="s">
        <v>2597</v>
      </c>
    </row>
    <row r="530" spans="1:4" x14ac:dyDescent="0.3">
      <c r="A530" s="5" t="str">
        <f t="shared" ca="1" si="8"/>
        <v>балансовая стоимость</v>
      </c>
      <c r="B530" s="5" t="s">
        <v>303</v>
      </c>
      <c r="C530" s="5" t="s">
        <v>1722</v>
      </c>
      <c r="D530" s="5" t="s">
        <v>2793</v>
      </c>
    </row>
    <row r="531" spans="1:4" x14ac:dyDescent="0.3">
      <c r="A531" s="5" t="str">
        <f t="shared" ca="1" si="8"/>
        <v>Здания и сооружения</v>
      </c>
      <c r="B531" s="5" t="s">
        <v>244</v>
      </c>
      <c r="C531" s="5" t="s">
        <v>1690</v>
      </c>
      <c r="D531" s="5" t="s">
        <v>2759</v>
      </c>
    </row>
    <row r="532" spans="1:4" x14ac:dyDescent="0.3">
      <c r="A532" s="5" t="str">
        <f t="shared" ca="1" si="8"/>
        <v>первоначальная стоимость</v>
      </c>
      <c r="B532" s="5" t="s">
        <v>935</v>
      </c>
      <c r="C532" s="5" t="s">
        <v>1723</v>
      </c>
      <c r="D532" s="5" t="s">
        <v>2794</v>
      </c>
    </row>
    <row r="533" spans="1:4" x14ac:dyDescent="0.3">
      <c r="A533" s="5" t="str">
        <f t="shared" ca="1" si="8"/>
        <v>срок амортизации</v>
      </c>
      <c r="B533" s="5" t="s">
        <v>936</v>
      </c>
      <c r="C533" s="5" t="s">
        <v>1724</v>
      </c>
      <c r="D533" s="5" t="s">
        <v>2795</v>
      </c>
    </row>
    <row r="534" spans="1:4" x14ac:dyDescent="0.3">
      <c r="A534" s="5" t="str">
        <f t="shared" ca="1" si="8"/>
        <v>амортизация</v>
      </c>
      <c r="B534" s="5" t="s">
        <v>937</v>
      </c>
      <c r="C534" s="5" t="s">
        <v>1200</v>
      </c>
      <c r="D534" s="5" t="s">
        <v>2796</v>
      </c>
    </row>
    <row r="535" spans="1:4" x14ac:dyDescent="0.3">
      <c r="A535" s="5" t="str">
        <f t="shared" ca="1" si="8"/>
        <v>накопленная амортизация</v>
      </c>
      <c r="B535" s="5" t="s">
        <v>938</v>
      </c>
      <c r="C535" s="5" t="s">
        <v>1725</v>
      </c>
      <c r="D535" s="5" t="s">
        <v>2797</v>
      </c>
    </row>
    <row r="536" spans="1:4" x14ac:dyDescent="0.3">
      <c r="A536" s="5" t="str">
        <f t="shared" ca="1" si="8"/>
        <v>остаточная балансовая стоимость</v>
      </c>
      <c r="B536" s="5" t="s">
        <v>939</v>
      </c>
      <c r="C536" s="5" t="s">
        <v>1726</v>
      </c>
      <c r="D536" s="5" t="s">
        <v>2798</v>
      </c>
    </row>
    <row r="537" spans="1:4" x14ac:dyDescent="0.3">
      <c r="A537" s="5" t="str">
        <f t="shared" ca="1" si="8"/>
        <v>Оборудование и прочие активы</v>
      </c>
      <c r="B537" s="5" t="s">
        <v>933</v>
      </c>
      <c r="C537" s="5" t="s">
        <v>1691</v>
      </c>
      <c r="D537" s="5" t="s">
        <v>2790</v>
      </c>
    </row>
    <row r="538" spans="1:4" x14ac:dyDescent="0.3">
      <c r="A538" s="5" t="str">
        <f t="shared" ca="1" si="8"/>
        <v>первоначальная стоимость</v>
      </c>
      <c r="B538" s="5" t="s">
        <v>935</v>
      </c>
      <c r="C538" s="5" t="s">
        <v>1723</v>
      </c>
      <c r="D538" s="5" t="s">
        <v>2794</v>
      </c>
    </row>
    <row r="539" spans="1:4" x14ac:dyDescent="0.3">
      <c r="A539" s="5" t="str">
        <f t="shared" ca="1" si="8"/>
        <v>срок амортизации</v>
      </c>
      <c r="B539" s="5" t="s">
        <v>936</v>
      </c>
      <c r="C539" s="5" t="s">
        <v>1724</v>
      </c>
      <c r="D539" s="5" t="s">
        <v>2799</v>
      </c>
    </row>
    <row r="540" spans="1:4" x14ac:dyDescent="0.3">
      <c r="A540" s="5" t="str">
        <f t="shared" ca="1" si="8"/>
        <v>амортизация</v>
      </c>
      <c r="B540" s="5" t="s">
        <v>937</v>
      </c>
      <c r="C540" s="5" t="s">
        <v>1200</v>
      </c>
      <c r="D540" s="5" t="s">
        <v>2796</v>
      </c>
    </row>
    <row r="541" spans="1:4" x14ac:dyDescent="0.3">
      <c r="A541" s="5" t="str">
        <f t="shared" ca="1" si="8"/>
        <v>накопленная амортизация</v>
      </c>
      <c r="B541" s="5" t="s">
        <v>938</v>
      </c>
      <c r="C541" s="5" t="s">
        <v>1725</v>
      </c>
      <c r="D541" s="5" t="s">
        <v>2797</v>
      </c>
    </row>
    <row r="542" spans="1:4" x14ac:dyDescent="0.3">
      <c r="A542" s="5" t="str">
        <f t="shared" ca="1" si="8"/>
        <v>остаточная балансовая стоимость</v>
      </c>
      <c r="B542" s="5" t="s">
        <v>939</v>
      </c>
      <c r="C542" s="5" t="s">
        <v>1726</v>
      </c>
      <c r="D542" s="5" t="s">
        <v>2800</v>
      </c>
    </row>
    <row r="543" spans="1:4" x14ac:dyDescent="0.3">
      <c r="A543" s="5" t="str">
        <f t="shared" ca="1" si="8"/>
        <v>Нематериальные активы</v>
      </c>
      <c r="B543" s="5" t="s">
        <v>246</v>
      </c>
      <c r="C543" s="5" t="s">
        <v>1692</v>
      </c>
      <c r="D543" s="5" t="s">
        <v>2791</v>
      </c>
    </row>
    <row r="544" spans="1:4" x14ac:dyDescent="0.3">
      <c r="A544" s="5" t="str">
        <f t="shared" ca="1" si="8"/>
        <v>первоначальная стоимость</v>
      </c>
      <c r="B544" s="5" t="s">
        <v>935</v>
      </c>
      <c r="C544" s="5" t="s">
        <v>1723</v>
      </c>
      <c r="D544" s="5" t="s">
        <v>2794</v>
      </c>
    </row>
    <row r="545" spans="1:4" x14ac:dyDescent="0.3">
      <c r="A545" s="5" t="str">
        <f t="shared" ca="1" si="8"/>
        <v>срок амортизации</v>
      </c>
      <c r="B545" s="5" t="s">
        <v>936</v>
      </c>
      <c r="C545" s="5" t="s">
        <v>1724</v>
      </c>
      <c r="D545" s="5" t="s">
        <v>2801</v>
      </c>
    </row>
    <row r="546" spans="1:4" x14ac:dyDescent="0.3">
      <c r="A546" s="5" t="str">
        <f t="shared" ca="1" si="8"/>
        <v>амортизация</v>
      </c>
      <c r="B546" s="5" t="s">
        <v>937</v>
      </c>
      <c r="C546" s="5" t="s">
        <v>1200</v>
      </c>
      <c r="D546" s="5" t="s">
        <v>2796</v>
      </c>
    </row>
    <row r="547" spans="1:4" x14ac:dyDescent="0.3">
      <c r="A547" s="5" t="str">
        <f t="shared" ca="1" si="8"/>
        <v>накопленная амортизация</v>
      </c>
      <c r="B547" s="5" t="s">
        <v>938</v>
      </c>
      <c r="C547" s="5" t="s">
        <v>1725</v>
      </c>
      <c r="D547" s="5" t="s">
        <v>2797</v>
      </c>
    </row>
    <row r="548" spans="1:4" x14ac:dyDescent="0.3">
      <c r="A548" s="5" t="str">
        <f t="shared" ca="1" si="8"/>
        <v>остаточная балансовая стоимость</v>
      </c>
      <c r="B548" s="5" t="s">
        <v>939</v>
      </c>
      <c r="C548" s="5" t="s">
        <v>1726</v>
      </c>
      <c r="D548" s="5" t="s">
        <v>2798</v>
      </c>
    </row>
    <row r="549" spans="1:4" x14ac:dyDescent="0.3">
      <c r="A549" s="154" t="str">
        <f t="shared" ca="1" si="8"/>
        <v>СУЩЕСТВУЮЩИЕ ФИНАНСОВЫЕ ВЛОЖЕНИЯ</v>
      </c>
      <c r="B549" s="5" t="s">
        <v>1279</v>
      </c>
      <c r="C549" s="5" t="s">
        <v>1727</v>
      </c>
      <c r="D549" s="5" t="s">
        <v>2802</v>
      </c>
    </row>
    <row r="550" spans="1:4" x14ac:dyDescent="0.3">
      <c r="A550" s="5" t="str">
        <f t="shared" ca="1" si="8"/>
        <v>Долгосрочные финансовые вложения</v>
      </c>
      <c r="B550" s="5" t="s">
        <v>934</v>
      </c>
      <c r="C550" s="5" t="s">
        <v>1693</v>
      </c>
      <c r="D550" s="5" t="s">
        <v>2762</v>
      </c>
    </row>
    <row r="551" spans="1:4" x14ac:dyDescent="0.3">
      <c r="A551" s="5" t="str">
        <f t="shared" ca="1" si="8"/>
        <v>балансовая стоимость</v>
      </c>
      <c r="B551" s="5" t="s">
        <v>303</v>
      </c>
      <c r="C551" s="5" t="s">
        <v>1726</v>
      </c>
      <c r="D551" s="5" t="s">
        <v>2793</v>
      </c>
    </row>
    <row r="552" spans="1:4" x14ac:dyDescent="0.3">
      <c r="A552" s="5" t="str">
        <f t="shared" ca="1" si="8"/>
        <v>возврат финансовых вложений</v>
      </c>
      <c r="B552" s="5" t="s">
        <v>1254</v>
      </c>
      <c r="C552" s="5" t="s">
        <v>1728</v>
      </c>
      <c r="D552" s="5" t="s">
        <v>2803</v>
      </c>
    </row>
    <row r="553" spans="1:4" x14ac:dyDescent="0.3">
      <c r="A553" s="5" t="str">
        <f t="shared" ca="1" si="8"/>
        <v>Краткосрочные финансовые вложения</v>
      </c>
      <c r="B553" s="5" t="s">
        <v>1282</v>
      </c>
      <c r="C553" s="5" t="s">
        <v>1686</v>
      </c>
      <c r="D553" s="5" t="s">
        <v>2756</v>
      </c>
    </row>
    <row r="554" spans="1:4" x14ac:dyDescent="0.3">
      <c r="A554" s="5" t="str">
        <f t="shared" ca="1" si="8"/>
        <v>балансовая стоимость</v>
      </c>
      <c r="B554" s="5" t="s">
        <v>303</v>
      </c>
      <c r="C554" s="5" t="s">
        <v>1726</v>
      </c>
      <c r="D554" s="5" t="s">
        <v>2793</v>
      </c>
    </row>
    <row r="555" spans="1:4" x14ac:dyDescent="0.3">
      <c r="A555" s="5" t="str">
        <f t="shared" ca="1" si="8"/>
        <v>возврат финансовых вложений</v>
      </c>
      <c r="B555" s="5" t="s">
        <v>1254</v>
      </c>
      <c r="C555" s="5" t="s">
        <v>1728</v>
      </c>
      <c r="D555" s="5" t="s">
        <v>2803</v>
      </c>
    </row>
    <row r="556" spans="1:4" x14ac:dyDescent="0.3">
      <c r="A556" s="154" t="str">
        <f t="shared" ca="1" si="8"/>
        <v>СУЩЕСТВУЮЩИЕ КРЕДИТЫ</v>
      </c>
      <c r="B556" s="5" t="s">
        <v>1253</v>
      </c>
      <c r="C556" s="5" t="s">
        <v>1729</v>
      </c>
      <c r="D556" s="5" t="s">
        <v>2804</v>
      </c>
    </row>
    <row r="557" spans="1:4" x14ac:dyDescent="0.3">
      <c r="A557" s="5" t="str">
        <f t="shared" ca="1" si="8"/>
        <v>Шаблон долгосрочного кредита</v>
      </c>
      <c r="B557" s="5" t="s">
        <v>584</v>
      </c>
      <c r="C557" s="5" t="s">
        <v>1730</v>
      </c>
      <c r="D557" s="5" t="s">
        <v>2805</v>
      </c>
    </row>
    <row r="558" spans="1:4" x14ac:dyDescent="0.3">
      <c r="A558" s="5" t="str">
        <f t="shared" ca="1" si="8"/>
        <v>задолженность по кредиту на начало планирования</v>
      </c>
      <c r="B558" s="5" t="s">
        <v>1256</v>
      </c>
      <c r="C558" s="5" t="s">
        <v>1731</v>
      </c>
      <c r="D558" s="5" t="s">
        <v>2806</v>
      </c>
    </row>
    <row r="559" spans="1:4" x14ac:dyDescent="0.3">
      <c r="A559" s="5" t="str">
        <f t="shared" ca="1" si="8"/>
        <v>ставка процентов по кредиту</v>
      </c>
      <c r="B559" s="5" t="s">
        <v>571</v>
      </c>
      <c r="C559" s="5" t="s">
        <v>1732</v>
      </c>
      <c r="D559" s="5" t="s">
        <v>2807</v>
      </c>
    </row>
    <row r="560" spans="1:4" x14ac:dyDescent="0.3">
      <c r="A560" s="5" t="str">
        <f t="shared" ca="1" si="8"/>
        <v>погашение кредита</v>
      </c>
      <c r="B560" s="5" t="s">
        <v>575</v>
      </c>
      <c r="C560" s="5" t="s">
        <v>1733</v>
      </c>
      <c r="D560" s="5" t="s">
        <v>2808</v>
      </c>
    </row>
    <row r="561" spans="1:4" x14ac:dyDescent="0.3">
      <c r="A561" s="5" t="str">
        <f t="shared" ca="1" si="8"/>
        <v>задолженность по кредиту</v>
      </c>
      <c r="B561" s="5" t="s">
        <v>578</v>
      </c>
      <c r="C561" s="5" t="s">
        <v>1734</v>
      </c>
      <c r="D561" s="5" t="s">
        <v>2809</v>
      </c>
    </row>
    <row r="562" spans="1:4" x14ac:dyDescent="0.3">
      <c r="A562" s="5" t="str">
        <f t="shared" ca="1" si="8"/>
        <v>начисленные проценты</v>
      </c>
      <c r="B562" s="5" t="s">
        <v>576</v>
      </c>
      <c r="C562" s="5" t="s">
        <v>1735</v>
      </c>
      <c r="D562" s="5" t="s">
        <v>2810</v>
      </c>
    </row>
    <row r="563" spans="1:4" x14ac:dyDescent="0.3">
      <c r="A563" s="5" t="str">
        <f t="shared" ca="1" si="8"/>
        <v>выплаченные проценты</v>
      </c>
      <c r="B563" s="5" t="s">
        <v>577</v>
      </c>
      <c r="C563" s="5" t="s">
        <v>1736</v>
      </c>
      <c r="D563" s="5" t="s">
        <v>2811</v>
      </c>
    </row>
    <row r="564" spans="1:4" x14ac:dyDescent="0.3">
      <c r="A564" s="5" t="str">
        <f t="shared" ca="1" si="8"/>
        <v>Шаблон краткосрочного кредита</v>
      </c>
      <c r="B564" s="5" t="s">
        <v>585</v>
      </c>
      <c r="C564" s="5" t="s">
        <v>1737</v>
      </c>
      <c r="D564" s="5" t="s">
        <v>2812</v>
      </c>
    </row>
    <row r="565" spans="1:4" x14ac:dyDescent="0.3">
      <c r="A565" s="5" t="str">
        <f t="shared" ca="1" si="8"/>
        <v>задолженность по кредиту на начало планирования</v>
      </c>
      <c r="B565" s="5" t="s">
        <v>1256</v>
      </c>
      <c r="C565" s="5" t="s">
        <v>1731</v>
      </c>
      <c r="D565" s="5" t="s">
        <v>2806</v>
      </c>
    </row>
    <row r="566" spans="1:4" x14ac:dyDescent="0.3">
      <c r="A566" s="5" t="str">
        <f t="shared" ca="1" si="8"/>
        <v>ставка процентов по кредиту</v>
      </c>
      <c r="B566" s="5" t="s">
        <v>571</v>
      </c>
      <c r="C566" s="5" t="s">
        <v>1732</v>
      </c>
      <c r="D566" s="5" t="s">
        <v>2807</v>
      </c>
    </row>
    <row r="567" spans="1:4" x14ac:dyDescent="0.3">
      <c r="A567" s="5" t="str">
        <f t="shared" ca="1" si="8"/>
        <v>погашение кредита</v>
      </c>
      <c r="B567" s="5" t="s">
        <v>575</v>
      </c>
      <c r="C567" s="5" t="s">
        <v>1733</v>
      </c>
      <c r="D567" s="5" t="s">
        <v>2808</v>
      </c>
    </row>
    <row r="568" spans="1:4" x14ac:dyDescent="0.3">
      <c r="A568" s="5" t="str">
        <f t="shared" ca="1" si="8"/>
        <v>задолженность по кредиту</v>
      </c>
      <c r="B568" s="5" t="s">
        <v>578</v>
      </c>
      <c r="C568" s="5" t="s">
        <v>1734</v>
      </c>
      <c r="D568" s="5" t="s">
        <v>2809</v>
      </c>
    </row>
    <row r="569" spans="1:4" x14ac:dyDescent="0.3">
      <c r="A569" s="5" t="str">
        <f t="shared" ca="1" si="8"/>
        <v>начисленные проценты</v>
      </c>
      <c r="B569" s="5" t="s">
        <v>576</v>
      </c>
      <c r="C569" s="5" t="s">
        <v>1735</v>
      </c>
      <c r="D569" s="5" t="s">
        <v>2813</v>
      </c>
    </row>
    <row r="570" spans="1:4" x14ac:dyDescent="0.3">
      <c r="A570" s="5" t="str">
        <f t="shared" ca="1" si="8"/>
        <v>выплаченные проценты</v>
      </c>
      <c r="B570" s="5" t="s">
        <v>577</v>
      </c>
      <c r="C570" s="5" t="s">
        <v>1736</v>
      </c>
      <c r="D570" s="5" t="s">
        <v>2811</v>
      </c>
    </row>
    <row r="571" spans="1:4" x14ac:dyDescent="0.3">
      <c r="A571" s="5" t="str">
        <f t="shared" ca="1" si="8"/>
        <v>Долгосрочные кредиты</v>
      </c>
      <c r="B571" s="5" t="s">
        <v>569</v>
      </c>
      <c r="C571" s="5" t="s">
        <v>1706</v>
      </c>
      <c r="D571" s="5" t="s">
        <v>2775</v>
      </c>
    </row>
    <row r="572" spans="1:4" x14ac:dyDescent="0.3">
      <c r="A572" s="5" t="str">
        <f t="shared" ca="1" si="8"/>
        <v>Краткосрочные кредиты</v>
      </c>
      <c r="B572" s="5" t="s">
        <v>570</v>
      </c>
      <c r="C572" s="5" t="s">
        <v>1703</v>
      </c>
      <c r="D572" s="5" t="s">
        <v>2772</v>
      </c>
    </row>
    <row r="573" spans="1:4" x14ac:dyDescent="0.3">
      <c r="A573" s="5" t="str">
        <f t="shared" ca="1" si="8"/>
        <v>Итого: Задолженность на конец периода</v>
      </c>
      <c r="B573" s="5" t="s">
        <v>1043</v>
      </c>
      <c r="C573" s="5" t="s">
        <v>1738</v>
      </c>
      <c r="D573" s="5" t="s">
        <v>2814</v>
      </c>
    </row>
    <row r="574" spans="1:4" x14ac:dyDescent="0.3">
      <c r="A574" s="5" t="str">
        <f t="shared" ref="A574:A639" ca="1" si="9">OFFSET(A574,0,Prj_Language)</f>
        <v>Выплата основного долга</v>
      </c>
      <c r="B574" s="5" t="s">
        <v>1033</v>
      </c>
      <c r="C574" s="5" t="s">
        <v>1739</v>
      </c>
      <c r="D574" s="5" t="s">
        <v>2815</v>
      </c>
    </row>
    <row r="575" spans="1:4" x14ac:dyDescent="0.3">
      <c r="A575" s="5" t="str">
        <f t="shared" ca="1" si="9"/>
        <v>Проценты начисленные</v>
      </c>
      <c r="B575" s="5" t="s">
        <v>1034</v>
      </c>
      <c r="C575" s="5" t="s">
        <v>1740</v>
      </c>
      <c r="D575" s="5" t="s">
        <v>2813</v>
      </c>
    </row>
    <row r="576" spans="1:4" x14ac:dyDescent="0.3">
      <c r="A576" s="5" t="str">
        <f t="shared" ca="1" si="9"/>
        <v>Проценты уплаченные</v>
      </c>
      <c r="B576" s="5" t="s">
        <v>1035</v>
      </c>
      <c r="C576" s="5" t="s">
        <v>1741</v>
      </c>
      <c r="D576" s="5" t="s">
        <v>2811</v>
      </c>
    </row>
    <row r="577" spans="1:4" x14ac:dyDescent="0.3">
      <c r="A577" s="5" t="str">
        <f t="shared" ca="1" si="9"/>
        <v>Долгосрочные кредиты на начало периода</v>
      </c>
      <c r="B577" s="5" t="s">
        <v>1124</v>
      </c>
      <c r="C577" s="5" t="s">
        <v>1742</v>
      </c>
      <c r="D577" s="5" t="s">
        <v>2816</v>
      </c>
    </row>
    <row r="578" spans="1:4" x14ac:dyDescent="0.3">
      <c r="A578" s="5" t="str">
        <f t="shared" ca="1" si="9"/>
        <v>Краткосрочные кредиты на начало периода</v>
      </c>
      <c r="B578" s="5" t="s">
        <v>1125</v>
      </c>
      <c r="C578" s="5" t="s">
        <v>1743</v>
      </c>
      <c r="D578" s="5" t="s">
        <v>2817</v>
      </c>
    </row>
    <row r="579" spans="1:4" x14ac:dyDescent="0.3">
      <c r="A579" s="5" t="str">
        <f t="shared" ca="1" si="9"/>
        <v>Долгосрочные кредиты на конец периода</v>
      </c>
      <c r="B579" s="5" t="s">
        <v>1036</v>
      </c>
      <c r="C579" s="5" t="s">
        <v>1744</v>
      </c>
      <c r="D579" s="5" t="s">
        <v>2818</v>
      </c>
    </row>
    <row r="580" spans="1:4" x14ac:dyDescent="0.3">
      <c r="A580" s="5" t="str">
        <f t="shared" ca="1" si="9"/>
        <v>Краткосрочные кредиты на конец периода</v>
      </c>
      <c r="B580" s="5" t="s">
        <v>1037</v>
      </c>
      <c r="C580" s="5" t="s">
        <v>1745</v>
      </c>
      <c r="D580" s="5" t="s">
        <v>2819</v>
      </c>
    </row>
    <row r="581" spans="1:4" x14ac:dyDescent="0.3">
      <c r="A581" s="5" t="str">
        <f t="shared" ca="1" si="9"/>
        <v>Курсовые разницы</v>
      </c>
      <c r="B581" s="5" t="s">
        <v>1258</v>
      </c>
      <c r="C581" s="5" t="s">
        <v>1746</v>
      </c>
      <c r="D581" s="5" t="s">
        <v>2820</v>
      </c>
    </row>
    <row r="582" spans="1:4" x14ac:dyDescent="0.3">
      <c r="A582" s="5" t="str">
        <f t="shared" ca="1" si="9"/>
        <v>Прочие долгосрочные кредиты</v>
      </c>
      <c r="B582" s="5" t="s">
        <v>1122</v>
      </c>
      <c r="C582" s="5" t="s">
        <v>1747</v>
      </c>
      <c r="D582" s="5" t="s">
        <v>2821</v>
      </c>
    </row>
    <row r="583" spans="1:4" x14ac:dyDescent="0.3">
      <c r="A583" s="5" t="str">
        <f t="shared" ca="1" si="9"/>
        <v>Прочие краткосрочные кредиты</v>
      </c>
      <c r="B583" s="5" t="s">
        <v>1123</v>
      </c>
      <c r="C583" s="5" t="s">
        <v>1748</v>
      </c>
      <c r="D583" s="5" t="s">
        <v>2822</v>
      </c>
    </row>
    <row r="584" spans="1:4" x14ac:dyDescent="0.3">
      <c r="A584" s="5" t="str">
        <f t="shared" ca="1" si="9"/>
        <v>Данные</v>
      </c>
      <c r="B584" s="5" t="s">
        <v>1412</v>
      </c>
      <c r="C584" s="5" t="s">
        <v>117</v>
      </c>
      <c r="D584" s="5" t="s">
        <v>2823</v>
      </c>
    </row>
    <row r="585" spans="1:4" x14ac:dyDescent="0.3">
      <c r="A585" s="154" t="str">
        <f t="shared" ca="1" si="9"/>
        <v>ПРОДАЖИ</v>
      </c>
      <c r="B585" s="5" t="s">
        <v>510</v>
      </c>
      <c r="C585" s="5" t="s">
        <v>1749</v>
      </c>
      <c r="D585" s="5" t="s">
        <v>2694</v>
      </c>
    </row>
    <row r="586" spans="1:4" x14ac:dyDescent="0.3">
      <c r="A586" s="5" t="str">
        <f t="shared" ca="1" si="9"/>
        <v>Шаблон продажи без единиц</v>
      </c>
      <c r="B586" s="5" t="s">
        <v>790</v>
      </c>
      <c r="C586" s="5" t="s">
        <v>1894</v>
      </c>
      <c r="D586" s="5" t="s">
        <v>2824</v>
      </c>
    </row>
    <row r="587" spans="1:4" x14ac:dyDescent="0.3">
      <c r="A587" s="5" t="str">
        <f t="shared" ca="1" si="9"/>
        <v>коэффициент продаж периода</v>
      </c>
      <c r="B587" s="5" t="s">
        <v>3330</v>
      </c>
      <c r="C587" s="5" t="s">
        <v>3331</v>
      </c>
      <c r="D587" s="5" t="s">
        <v>2825</v>
      </c>
    </row>
    <row r="588" spans="1:4" x14ac:dyDescent="0.3">
      <c r="A588" s="5" t="str">
        <f t="shared" ca="1" si="9"/>
        <v>объем продаж за период, без учета инфляции</v>
      </c>
      <c r="B588" s="5" t="s">
        <v>999</v>
      </c>
      <c r="C588" s="5" t="s">
        <v>1896</v>
      </c>
      <c r="D588" s="5" t="s">
        <v>2826</v>
      </c>
    </row>
    <row r="589" spans="1:4" x14ac:dyDescent="0.3">
      <c r="A589" s="5" t="str">
        <f t="shared" ca="1" si="9"/>
        <v>выручка от реализации, без НДС</v>
      </c>
      <c r="B589" s="5" t="s">
        <v>539</v>
      </c>
      <c r="C589" s="5" t="s">
        <v>1897</v>
      </c>
      <c r="D589" s="5" t="s">
        <v>2827</v>
      </c>
    </row>
    <row r="590" spans="1:4" x14ac:dyDescent="0.3">
      <c r="A590" s="5" t="str">
        <f t="shared" ca="1" si="9"/>
        <v>выручка от реализации, с НДС</v>
      </c>
      <c r="B590" s="5" t="s">
        <v>2303</v>
      </c>
      <c r="C590" s="5" t="s">
        <v>2304</v>
      </c>
      <c r="D590" s="5" t="s">
        <v>3351</v>
      </c>
    </row>
    <row r="591" spans="1:4" x14ac:dyDescent="0.3">
      <c r="A591" s="5" t="str">
        <f t="shared" ca="1" si="9"/>
        <v>Выручка от реализации, с НДС</v>
      </c>
      <c r="B591" s="5" t="s">
        <v>2277</v>
      </c>
      <c r="C591" s="5" t="s">
        <v>2305</v>
      </c>
      <c r="D591" s="5" t="s">
        <v>2846</v>
      </c>
    </row>
    <row r="592" spans="1:4" x14ac:dyDescent="0.3">
      <c r="A592" s="5" t="str">
        <f t="shared" ca="1" si="9"/>
        <v>дебиторская задолженность</v>
      </c>
      <c r="B592" s="5" t="s">
        <v>540</v>
      </c>
      <c r="C592" s="5" t="s">
        <v>1898</v>
      </c>
      <c r="D592" s="5" t="s">
        <v>2750</v>
      </c>
    </row>
    <row r="593" spans="1:4" x14ac:dyDescent="0.3">
      <c r="A593" s="5" t="str">
        <f t="shared" ca="1" si="9"/>
        <v>средний период отсрочки платежа</v>
      </c>
      <c r="B593" s="5" t="s">
        <v>545</v>
      </c>
      <c r="C593" s="5" t="s">
        <v>1899</v>
      </c>
      <c r="D593" s="5" t="s">
        <v>2839</v>
      </c>
    </row>
    <row r="594" spans="1:4" x14ac:dyDescent="0.3">
      <c r="A594" s="5" t="str">
        <f t="shared" ca="1" si="9"/>
        <v xml:space="preserve">авансы полученные </v>
      </c>
      <c r="B594" s="5" t="s">
        <v>541</v>
      </c>
      <c r="C594" s="5" t="s">
        <v>1900</v>
      </c>
      <c r="D594" s="5" t="s">
        <v>2828</v>
      </c>
    </row>
    <row r="595" spans="1:4" x14ac:dyDescent="0.3">
      <c r="A595" s="5" t="str">
        <f t="shared" ca="1" si="9"/>
        <v>средний период предоплаты</v>
      </c>
      <c r="B595" s="5" t="s">
        <v>544</v>
      </c>
      <c r="C595" s="5" t="s">
        <v>1901</v>
      </c>
      <c r="D595" s="5" t="s">
        <v>2829</v>
      </c>
    </row>
    <row r="596" spans="1:4" x14ac:dyDescent="0.3">
      <c r="A596" s="5" t="str">
        <f t="shared" ca="1" si="9"/>
        <v>поступление денежных средств, с НДС</v>
      </c>
      <c r="B596" s="5" t="s">
        <v>1266</v>
      </c>
      <c r="C596" s="5" t="s">
        <v>1902</v>
      </c>
      <c r="D596" s="5" t="s">
        <v>2830</v>
      </c>
    </row>
    <row r="597" spans="1:4" x14ac:dyDescent="0.3">
      <c r="A597" s="5" t="str">
        <f t="shared" ca="1" si="9"/>
        <v>темп изменения цен</v>
      </c>
      <c r="B597" s="5" t="s">
        <v>518</v>
      </c>
      <c r="C597" s="5" t="s">
        <v>1903</v>
      </c>
      <c r="D597" s="5" t="s">
        <v>2831</v>
      </c>
    </row>
    <row r="598" spans="1:4" x14ac:dyDescent="0.3">
      <c r="A598" s="5" t="str">
        <f t="shared" ca="1" si="9"/>
        <v>ставка НДС</v>
      </c>
      <c r="B598" s="5" t="s">
        <v>312</v>
      </c>
      <c r="C598" s="5" t="s">
        <v>1904</v>
      </c>
      <c r="D598" s="5" t="s">
        <v>2832</v>
      </c>
    </row>
    <row r="599" spans="1:4" x14ac:dyDescent="0.3">
      <c r="A599" s="5" t="str">
        <f t="shared" ca="1" si="9"/>
        <v>ставка акцизов, в процентах</v>
      </c>
      <c r="B599" s="5" t="s">
        <v>1015</v>
      </c>
      <c r="C599" s="5" t="s">
        <v>1905</v>
      </c>
      <c r="D599" s="5" t="s">
        <v>2840</v>
      </c>
    </row>
    <row r="600" spans="1:4" x14ac:dyDescent="0.3">
      <c r="A600" s="5" t="str">
        <f t="shared" ca="1" si="9"/>
        <v>коэффициент изменения цен к началу проекта</v>
      </c>
      <c r="B600" s="5" t="s">
        <v>998</v>
      </c>
      <c r="C600" s="5" t="s">
        <v>1906</v>
      </c>
      <c r="D600" s="5" t="s">
        <v>2833</v>
      </c>
    </row>
    <row r="601" spans="1:4" x14ac:dyDescent="0.3">
      <c r="A601" s="5" t="str">
        <f t="shared" ca="1" si="9"/>
        <v>акцизы начисленные</v>
      </c>
      <c r="B601" s="5" t="s">
        <v>543</v>
      </c>
      <c r="C601" s="5" t="s">
        <v>1907</v>
      </c>
      <c r="D601" s="5" t="s">
        <v>2834</v>
      </c>
    </row>
    <row r="602" spans="1:4" x14ac:dyDescent="0.3">
      <c r="A602" s="5" t="str">
        <f t="shared" ca="1" si="9"/>
        <v>НДС начисленный</v>
      </c>
      <c r="B602" s="5" t="s">
        <v>520</v>
      </c>
      <c r="C602" s="5" t="s">
        <v>1908</v>
      </c>
      <c r="D602" s="5" t="s">
        <v>2835</v>
      </c>
    </row>
    <row r="603" spans="1:4" x14ac:dyDescent="0.3">
      <c r="A603" s="5" t="str">
        <f t="shared" ca="1" si="9"/>
        <v>НДС полученный с авансов</v>
      </c>
      <c r="B603" s="5" t="s">
        <v>1267</v>
      </c>
      <c r="C603" s="5" t="s">
        <v>1909</v>
      </c>
      <c r="D603" s="5" t="s">
        <v>2843</v>
      </c>
    </row>
    <row r="604" spans="1:4" x14ac:dyDescent="0.3">
      <c r="A604" s="5" t="str">
        <f t="shared" ca="1" si="9"/>
        <v>Шаблон продажи с единицами</v>
      </c>
      <c r="B604" s="5" t="s">
        <v>789</v>
      </c>
      <c r="C604" s="5" t="s">
        <v>1910</v>
      </c>
      <c r="D604" s="5" t="s">
        <v>2836</v>
      </c>
    </row>
    <row r="605" spans="1:4" x14ac:dyDescent="0.3">
      <c r="A605" s="5" t="str">
        <f t="shared" ca="1" si="9"/>
        <v>коэффициент загрузки</v>
      </c>
      <c r="B605" s="5" t="s">
        <v>791</v>
      </c>
      <c r="C605" s="5" t="s">
        <v>1895</v>
      </c>
      <c r="D605" s="5" t="s">
        <v>2825</v>
      </c>
    </row>
    <row r="606" spans="1:4" x14ac:dyDescent="0.3">
      <c r="A606" s="5" t="str">
        <f t="shared" ca="1" si="9"/>
        <v>объем продаж за период</v>
      </c>
      <c r="B606" s="5" t="s">
        <v>538</v>
      </c>
      <c r="C606" s="5" t="s">
        <v>1911</v>
      </c>
      <c r="D606" s="5" t="s">
        <v>2837</v>
      </c>
    </row>
    <row r="607" spans="1:4" x14ac:dyDescent="0.3">
      <c r="A607" s="5" t="str">
        <f t="shared" ca="1" si="9"/>
        <v>цена за единицу (</v>
      </c>
      <c r="B607" s="5" t="s">
        <v>2161</v>
      </c>
      <c r="C607" s="5" t="s">
        <v>2164</v>
      </c>
      <c r="D607" s="5" t="s">
        <v>2838</v>
      </c>
    </row>
    <row r="608" spans="1:4" x14ac:dyDescent="0.3">
      <c r="A608" s="5" t="str">
        <f t="shared" ca="1" si="9"/>
        <v>выручка от реализации, без НДС</v>
      </c>
      <c r="B608" s="5" t="s">
        <v>539</v>
      </c>
      <c r="C608" s="5" t="s">
        <v>1897</v>
      </c>
      <c r="D608" s="5" t="s">
        <v>2827</v>
      </c>
    </row>
    <row r="609" spans="1:4" x14ac:dyDescent="0.3">
      <c r="A609" s="5" t="str">
        <f t="shared" ca="1" si="9"/>
        <v>дебиторская задолженность</v>
      </c>
      <c r="B609" s="5" t="s">
        <v>540</v>
      </c>
      <c r="C609" s="5" t="s">
        <v>1898</v>
      </c>
      <c r="D609" s="5" t="s">
        <v>2750</v>
      </c>
    </row>
    <row r="610" spans="1:4" x14ac:dyDescent="0.3">
      <c r="A610" s="5" t="str">
        <f t="shared" ca="1" si="9"/>
        <v>средний период отсрочки платежа</v>
      </c>
      <c r="B610" s="5" t="s">
        <v>545</v>
      </c>
      <c r="C610" s="5" t="s">
        <v>1899</v>
      </c>
      <c r="D610" s="5" t="s">
        <v>2839</v>
      </c>
    </row>
    <row r="611" spans="1:4" x14ac:dyDescent="0.3">
      <c r="A611" s="5" t="str">
        <f t="shared" ca="1" si="9"/>
        <v xml:space="preserve">авансы полученные </v>
      </c>
      <c r="B611" s="5" t="s">
        <v>541</v>
      </c>
      <c r="C611" s="5" t="s">
        <v>1900</v>
      </c>
      <c r="D611" s="5" t="s">
        <v>2828</v>
      </c>
    </row>
    <row r="612" spans="1:4" x14ac:dyDescent="0.3">
      <c r="A612" s="5" t="str">
        <f t="shared" ca="1" si="9"/>
        <v>средний период предоплаты</v>
      </c>
      <c r="B612" s="5" t="s">
        <v>544</v>
      </c>
      <c r="C612" s="5" t="s">
        <v>1901</v>
      </c>
      <c r="D612" s="5" t="s">
        <v>2829</v>
      </c>
    </row>
    <row r="613" spans="1:4" x14ac:dyDescent="0.3">
      <c r="A613" s="5" t="str">
        <f t="shared" ca="1" si="9"/>
        <v>поступление денежных средств, с НДС</v>
      </c>
      <c r="B613" s="5" t="s">
        <v>1266</v>
      </c>
      <c r="C613" s="5" t="s">
        <v>1902</v>
      </c>
      <c r="D613" s="5" t="s">
        <v>2830</v>
      </c>
    </row>
    <row r="614" spans="1:4" x14ac:dyDescent="0.3">
      <c r="A614" s="5" t="str">
        <f t="shared" ca="1" si="9"/>
        <v>темп изменения цен</v>
      </c>
      <c r="B614" s="5" t="s">
        <v>518</v>
      </c>
      <c r="C614" s="5" t="s">
        <v>1903</v>
      </c>
      <c r="D614" s="5" t="s">
        <v>2831</v>
      </c>
    </row>
    <row r="615" spans="1:4" x14ac:dyDescent="0.3">
      <c r="A615" s="5" t="str">
        <f t="shared" ca="1" si="9"/>
        <v>ставка НДС</v>
      </c>
      <c r="B615" s="5" t="s">
        <v>312</v>
      </c>
      <c r="C615" s="5" t="s">
        <v>1904</v>
      </c>
      <c r="D615" s="5" t="s">
        <v>2832</v>
      </c>
    </row>
    <row r="616" spans="1:4" x14ac:dyDescent="0.3">
      <c r="A616" s="5" t="str">
        <f t="shared" ca="1" si="9"/>
        <v>акцизы, на единицу</v>
      </c>
      <c r="B616" s="5" t="s">
        <v>542</v>
      </c>
      <c r="C616" s="5" t="s">
        <v>1912</v>
      </c>
      <c r="D616" s="5" t="s">
        <v>2840</v>
      </c>
    </row>
    <row r="617" spans="1:4" x14ac:dyDescent="0.3">
      <c r="A617" s="5" t="str">
        <f t="shared" ca="1" si="9"/>
        <v>ставка акцизов, в процентах</v>
      </c>
      <c r="B617" s="5" t="s">
        <v>1015</v>
      </c>
      <c r="C617" s="5" t="s">
        <v>1905</v>
      </c>
      <c r="D617" s="5" t="s">
        <v>2841</v>
      </c>
    </row>
    <row r="618" spans="1:4" x14ac:dyDescent="0.3">
      <c r="A618" s="5" t="str">
        <f t="shared" ca="1" si="9"/>
        <v>коэффициент прироста цен к предыдущему периоду</v>
      </c>
      <c r="B618" s="5" t="s">
        <v>997</v>
      </c>
      <c r="C618" s="5" t="s">
        <v>1906</v>
      </c>
      <c r="D618" s="5" t="s">
        <v>2842</v>
      </c>
    </row>
    <row r="619" spans="1:4" x14ac:dyDescent="0.3">
      <c r="A619" s="5" t="str">
        <f t="shared" ca="1" si="9"/>
        <v>акцизы начисленные</v>
      </c>
      <c r="B619" s="5" t="s">
        <v>543</v>
      </c>
      <c r="C619" s="5" t="s">
        <v>1907</v>
      </c>
      <c r="D619" s="5" t="s">
        <v>2834</v>
      </c>
    </row>
    <row r="620" spans="1:4" x14ac:dyDescent="0.3">
      <c r="A620" s="5" t="str">
        <f t="shared" ca="1" si="9"/>
        <v>НДС начисленный</v>
      </c>
      <c r="B620" s="5" t="s">
        <v>520</v>
      </c>
      <c r="C620" s="5" t="s">
        <v>1908</v>
      </c>
      <c r="D620" s="5" t="s">
        <v>2835</v>
      </c>
    </row>
    <row r="621" spans="1:4" x14ac:dyDescent="0.3">
      <c r="A621" s="5" t="str">
        <f t="shared" ca="1" si="9"/>
        <v>НДС полученный с авансов</v>
      </c>
      <c r="B621" s="5" t="s">
        <v>1267</v>
      </c>
      <c r="C621" s="5" t="s">
        <v>1909</v>
      </c>
      <c r="D621" s="5" t="s">
        <v>2843</v>
      </c>
    </row>
    <row r="622" spans="1:4" x14ac:dyDescent="0.3">
      <c r="A622" s="5" t="str">
        <f t="shared" ca="1" si="9"/>
        <v>Итого:</v>
      </c>
      <c r="B622" s="5" t="s">
        <v>586</v>
      </c>
      <c r="C622" s="5" t="s">
        <v>1913</v>
      </c>
      <c r="D622" s="5" t="s">
        <v>2844</v>
      </c>
    </row>
    <row r="623" spans="1:4" x14ac:dyDescent="0.3">
      <c r="A623" s="5" t="str">
        <f t="shared" ca="1" si="9"/>
        <v>Выручка в отчете о прибылях и убытках, без НДС</v>
      </c>
      <c r="B623" s="5" t="s">
        <v>987</v>
      </c>
      <c r="C623" s="5" t="s">
        <v>1914</v>
      </c>
      <c r="D623" s="5" t="s">
        <v>2845</v>
      </c>
    </row>
    <row r="624" spans="1:4" x14ac:dyDescent="0.3">
      <c r="A624" s="5" t="str">
        <f t="shared" ca="1" si="9"/>
        <v>НДС начисленный</v>
      </c>
      <c r="B624" s="5" t="s">
        <v>520</v>
      </c>
      <c r="C624" s="5" t="s">
        <v>1908</v>
      </c>
      <c r="D624" s="5" t="s">
        <v>2835</v>
      </c>
    </row>
    <row r="625" spans="1:4" x14ac:dyDescent="0.3">
      <c r="A625" s="5" t="str">
        <f t="shared" ca="1" si="9"/>
        <v>Поступления от продаж, с НДС</v>
      </c>
      <c r="B625" s="5" t="s">
        <v>984</v>
      </c>
      <c r="C625" s="5" t="s">
        <v>1915</v>
      </c>
      <c r="D625" s="5" t="s">
        <v>2846</v>
      </c>
    </row>
    <row r="626" spans="1:4" x14ac:dyDescent="0.3">
      <c r="A626" s="5" t="str">
        <f t="shared" ca="1" si="9"/>
        <v>Дебиторская задолженность</v>
      </c>
      <c r="B626" s="5" t="s">
        <v>985</v>
      </c>
      <c r="C626" s="5" t="s">
        <v>1681</v>
      </c>
      <c r="D626" s="5" t="s">
        <v>2750</v>
      </c>
    </row>
    <row r="627" spans="1:4" x14ac:dyDescent="0.3">
      <c r="A627" s="5" t="str">
        <f t="shared" ca="1" si="9"/>
        <v>Авансы полученные</v>
      </c>
      <c r="B627" s="5" t="s">
        <v>986</v>
      </c>
      <c r="C627" s="5" t="s">
        <v>1702</v>
      </c>
      <c r="D627" s="5" t="s">
        <v>2847</v>
      </c>
    </row>
    <row r="628" spans="1:4" x14ac:dyDescent="0.3">
      <c r="A628" s="5" t="str">
        <f t="shared" ca="1" si="9"/>
        <v>НДС полученный с авансов</v>
      </c>
      <c r="B628" s="5" t="s">
        <v>1267</v>
      </c>
      <c r="C628" s="5" t="s">
        <v>1909</v>
      </c>
      <c r="D628" s="5" t="s">
        <v>2843</v>
      </c>
    </row>
    <row r="629" spans="1:4" x14ac:dyDescent="0.3">
      <c r="A629" s="5" t="str">
        <f t="shared" ca="1" si="9"/>
        <v>Акцизы начисленные</v>
      </c>
      <c r="B629" s="5" t="s">
        <v>988</v>
      </c>
      <c r="C629" s="5" t="s">
        <v>1916</v>
      </c>
      <c r="D629" s="5" t="s">
        <v>2834</v>
      </c>
    </row>
    <row r="630" spans="1:4" x14ac:dyDescent="0.3">
      <c r="A630" s="5" t="str">
        <f t="shared" ca="1" si="9"/>
        <v>Курсовые разницы</v>
      </c>
      <c r="B630" s="5" t="s">
        <v>1258</v>
      </c>
      <c r="C630" s="5" t="s">
        <v>1746</v>
      </c>
      <c r="D630" s="5" t="s">
        <v>2848</v>
      </c>
    </row>
    <row r="631" spans="1:4" x14ac:dyDescent="0.3">
      <c r="A631" s="154" t="str">
        <f t="shared" ca="1" si="9"/>
        <v>СЫРЬЕ И МАТЕРИАЛЬНЫЕ ЗАТРАТЫ</v>
      </c>
      <c r="B631" s="5" t="s">
        <v>595</v>
      </c>
      <c r="C631" s="5" t="s">
        <v>1917</v>
      </c>
      <c r="D631" s="5" t="s">
        <v>2849</v>
      </c>
    </row>
    <row r="632" spans="1:4" x14ac:dyDescent="0.3">
      <c r="A632" s="5" t="str">
        <f t="shared" ca="1" si="9"/>
        <v>Шаблон материала без единиц</v>
      </c>
      <c r="B632" s="5" t="s">
        <v>841</v>
      </c>
      <c r="C632" s="5" t="s">
        <v>1918</v>
      </c>
      <c r="D632" s="5" t="s">
        <v>2850</v>
      </c>
    </row>
    <row r="633" spans="1:4" x14ac:dyDescent="0.3">
      <c r="A633" s="5" t="str">
        <f t="shared" ca="1" si="9"/>
        <v>расход за период, без учета инфляции, без НДС</v>
      </c>
      <c r="B633" s="5" t="s">
        <v>1264</v>
      </c>
      <c r="C633" s="5" t="s">
        <v>1919</v>
      </c>
      <c r="D633" s="5" t="s">
        <v>2851</v>
      </c>
    </row>
    <row r="634" spans="1:4" x14ac:dyDescent="0.3">
      <c r="A634" s="5" t="str">
        <f t="shared" ca="1" si="9"/>
        <v>затраты на проданный товар, без НДС</v>
      </c>
      <c r="B634" s="5" t="s">
        <v>1014</v>
      </c>
      <c r="C634" s="5" t="s">
        <v>1920</v>
      </c>
      <c r="D634" s="5" t="s">
        <v>2852</v>
      </c>
    </row>
    <row r="635" spans="1:4" x14ac:dyDescent="0.3">
      <c r="A635" s="5" t="str">
        <f t="shared" ca="1" si="9"/>
        <v>запасы сырья и материалов</v>
      </c>
      <c r="B635" s="5" t="s">
        <v>596</v>
      </c>
      <c r="C635" s="5" t="s">
        <v>1921</v>
      </c>
      <c r="D635" s="5" t="s">
        <v>2853</v>
      </c>
    </row>
    <row r="636" spans="1:4" x14ac:dyDescent="0.3">
      <c r="A636" s="5" t="str">
        <f t="shared" ca="1" si="9"/>
        <v>средняя оборачиваемость запасов</v>
      </c>
      <c r="B636" s="5" t="s">
        <v>2208</v>
      </c>
      <c r="C636" s="5" t="s">
        <v>1922</v>
      </c>
      <c r="D636" s="5" t="s">
        <v>2854</v>
      </c>
    </row>
    <row r="637" spans="1:4" x14ac:dyDescent="0.3">
      <c r="A637" s="5" t="str">
        <f t="shared" ca="1" si="9"/>
        <v>затраты в запасах готовой продукции</v>
      </c>
      <c r="B637" s="5" t="s">
        <v>556</v>
      </c>
      <c r="C637" s="5" t="s">
        <v>1923</v>
      </c>
      <c r="D637" s="5" t="s">
        <v>2855</v>
      </c>
    </row>
    <row r="638" spans="1:4" x14ac:dyDescent="0.3">
      <c r="A638" s="5" t="str">
        <f t="shared" ca="1" si="9"/>
        <v>средняя оборачиваемость готовой продукции</v>
      </c>
      <c r="B638" s="5" t="s">
        <v>2207</v>
      </c>
      <c r="C638" s="5" t="s">
        <v>1924</v>
      </c>
      <c r="D638" s="5" t="s">
        <v>2856</v>
      </c>
    </row>
    <row r="639" spans="1:4" x14ac:dyDescent="0.3">
      <c r="A639" s="5" t="str">
        <f t="shared" ca="1" si="9"/>
        <v>затраты в незавершенном производстве</v>
      </c>
      <c r="B639" s="5" t="s">
        <v>558</v>
      </c>
      <c r="C639" s="5" t="s">
        <v>1925</v>
      </c>
      <c r="D639" s="5" t="s">
        <v>2857</v>
      </c>
    </row>
    <row r="640" spans="1:4" x14ac:dyDescent="0.3">
      <c r="A640" s="5" t="str">
        <f t="shared" ref="A640:A707" ca="1" si="10">OFFSET(A640,0,Prj_Language)</f>
        <v>длительность производственного цикла</v>
      </c>
      <c r="B640" s="5" t="s">
        <v>559</v>
      </c>
      <c r="C640" s="5" t="s">
        <v>1926</v>
      </c>
      <c r="D640" s="5" t="s">
        <v>2858</v>
      </c>
    </row>
    <row r="641" spans="1:4" x14ac:dyDescent="0.3">
      <c r="A641" s="5" t="str">
        <f t="shared" ca="1" si="10"/>
        <v>общий расход за период, без НДС</v>
      </c>
      <c r="B641" s="5" t="s">
        <v>597</v>
      </c>
      <c r="C641" s="5" t="s">
        <v>1927</v>
      </c>
      <c r="D641" s="5" t="s">
        <v>3286</v>
      </c>
    </row>
    <row r="642" spans="1:4" x14ac:dyDescent="0.3">
      <c r="A642" s="5" t="str">
        <f t="shared" ca="1" si="10"/>
        <v>Общий расход за период, без НДС</v>
      </c>
      <c r="B642" s="5" t="s">
        <v>2316</v>
      </c>
      <c r="C642" s="5" t="s">
        <v>2317</v>
      </c>
      <c r="D642" s="5" t="s">
        <v>2859</v>
      </c>
    </row>
    <row r="643" spans="1:4" x14ac:dyDescent="0.3">
      <c r="A643" s="5" t="str">
        <f t="shared" ca="1" si="10"/>
        <v>общий расход за период, с НДС</v>
      </c>
      <c r="B643" s="5" t="s">
        <v>2307</v>
      </c>
      <c r="C643" s="5" t="s">
        <v>2308</v>
      </c>
      <c r="D643" s="5" t="s">
        <v>3352</v>
      </c>
    </row>
    <row r="644" spans="1:4" x14ac:dyDescent="0.3">
      <c r="A644" s="5" t="str">
        <f t="shared" ca="1" si="10"/>
        <v>Общий расход за период, с НДС</v>
      </c>
      <c r="B644" s="5" t="s">
        <v>2310</v>
      </c>
      <c r="C644" s="5" t="s">
        <v>2311</v>
      </c>
      <c r="D644" s="5" t="s">
        <v>3353</v>
      </c>
    </row>
    <row r="645" spans="1:4" x14ac:dyDescent="0.3">
      <c r="A645" s="5" t="str">
        <f t="shared" ca="1" si="10"/>
        <v>кредиторская задолженность</v>
      </c>
      <c r="B645" s="5" t="s">
        <v>302</v>
      </c>
      <c r="C645" s="5" t="s">
        <v>1928</v>
      </c>
      <c r="D645" s="5" t="s">
        <v>2860</v>
      </c>
    </row>
    <row r="646" spans="1:4" x14ac:dyDescent="0.3">
      <c r="A646" s="5" t="str">
        <f t="shared" ca="1" si="10"/>
        <v>период отсрочки платежа</v>
      </c>
      <c r="B646" s="5" t="s">
        <v>598</v>
      </c>
      <c r="C646" s="5" t="s">
        <v>1929</v>
      </c>
      <c r="D646" s="5" t="s">
        <v>2861</v>
      </c>
    </row>
    <row r="647" spans="1:4" x14ac:dyDescent="0.3">
      <c r="A647" s="5" t="str">
        <f t="shared" ca="1" si="10"/>
        <v>авансы уплаченные</v>
      </c>
      <c r="B647" s="5" t="s">
        <v>599</v>
      </c>
      <c r="C647" s="5" t="s">
        <v>1930</v>
      </c>
      <c r="D647" s="5" t="s">
        <v>2862</v>
      </c>
    </row>
    <row r="648" spans="1:4" x14ac:dyDescent="0.3">
      <c r="A648" s="5" t="str">
        <f t="shared" ca="1" si="10"/>
        <v>период предоплаты</v>
      </c>
      <c r="B648" s="5" t="s">
        <v>600</v>
      </c>
      <c r="C648" s="5" t="s">
        <v>1931</v>
      </c>
      <c r="D648" s="5" t="s">
        <v>2863</v>
      </c>
    </row>
    <row r="649" spans="1:4" x14ac:dyDescent="0.3">
      <c r="A649" s="5" t="str">
        <f t="shared" ca="1" si="10"/>
        <v>оплата расходов, c НДС</v>
      </c>
      <c r="B649" s="5" t="s">
        <v>1265</v>
      </c>
      <c r="C649" s="5" t="s">
        <v>1932</v>
      </c>
      <c r="D649" s="5" t="s">
        <v>2864</v>
      </c>
    </row>
    <row r="650" spans="1:4" x14ac:dyDescent="0.3">
      <c r="A650" s="5" t="str">
        <f t="shared" ca="1" si="10"/>
        <v>темп изменения цен</v>
      </c>
      <c r="B650" s="5" t="s">
        <v>518</v>
      </c>
      <c r="C650" s="5" t="s">
        <v>1903</v>
      </c>
      <c r="D650" s="5" t="s">
        <v>2831</v>
      </c>
    </row>
    <row r="651" spans="1:4" x14ac:dyDescent="0.3">
      <c r="A651" s="5" t="str">
        <f t="shared" ca="1" si="10"/>
        <v>ставка НДС</v>
      </c>
      <c r="B651" s="5" t="s">
        <v>312</v>
      </c>
      <c r="C651" s="5" t="s">
        <v>1904</v>
      </c>
      <c r="D651" s="5" t="s">
        <v>2832</v>
      </c>
    </row>
    <row r="652" spans="1:4" x14ac:dyDescent="0.3">
      <c r="A652" s="5" t="str">
        <f t="shared" ca="1" si="10"/>
        <v>ставка импортной пошлины</v>
      </c>
      <c r="B652" s="5" t="s">
        <v>601</v>
      </c>
      <c r="C652" s="5" t="s">
        <v>1933</v>
      </c>
      <c r="D652" s="5" t="s">
        <v>2865</v>
      </c>
    </row>
    <row r="653" spans="1:4" x14ac:dyDescent="0.3">
      <c r="A653" s="5" t="str">
        <f t="shared" ca="1" si="10"/>
        <v>коэффициент изменения цен к началу проекта</v>
      </c>
      <c r="B653" s="5" t="s">
        <v>998</v>
      </c>
      <c r="C653" s="5" t="s">
        <v>1906</v>
      </c>
      <c r="D653" s="5" t="s">
        <v>2866</v>
      </c>
    </row>
    <row r="654" spans="1:4" x14ac:dyDescent="0.3">
      <c r="A654" s="5" t="str">
        <f t="shared" ca="1" si="10"/>
        <v>пошлины начисленные</v>
      </c>
      <c r="B654" s="5" t="s">
        <v>602</v>
      </c>
      <c r="C654" s="5" t="s">
        <v>1934</v>
      </c>
      <c r="D654" s="5" t="s">
        <v>2867</v>
      </c>
    </row>
    <row r="655" spans="1:4" x14ac:dyDescent="0.3">
      <c r="A655" s="5" t="str">
        <f t="shared" ca="1" si="10"/>
        <v>НДС начисленный</v>
      </c>
      <c r="B655" s="5" t="s">
        <v>520</v>
      </c>
      <c r="C655" s="5" t="s">
        <v>1908</v>
      </c>
      <c r="D655" s="5" t="s">
        <v>2868</v>
      </c>
    </row>
    <row r="656" spans="1:4" x14ac:dyDescent="0.3">
      <c r="A656" s="5" t="str">
        <f t="shared" ca="1" si="10"/>
        <v>Шаблон материала с единицами</v>
      </c>
      <c r="B656" s="5" t="s">
        <v>838</v>
      </c>
      <c r="C656" s="5" t="s">
        <v>1935</v>
      </c>
      <c r="D656" s="5" t="s">
        <v>2869</v>
      </c>
    </row>
    <row r="657" spans="1:4" x14ac:dyDescent="0.3">
      <c r="A657" s="5" t="str">
        <f t="shared" ca="1" si="10"/>
        <v>физический расход на проданные товары за период</v>
      </c>
      <c r="B657" s="5" t="s">
        <v>1016</v>
      </c>
      <c r="C657" s="5" t="s">
        <v>1936</v>
      </c>
      <c r="D657" s="5" t="s">
        <v>2870</v>
      </c>
    </row>
    <row r="658" spans="1:4" x14ac:dyDescent="0.3">
      <c r="A658" s="5" t="str">
        <f t="shared" ca="1" si="10"/>
        <v>цена за единицу (</v>
      </c>
      <c r="B658" s="5" t="s">
        <v>2161</v>
      </c>
      <c r="C658" s="5" t="s">
        <v>2164</v>
      </c>
      <c r="D658" s="5" t="s">
        <v>2871</v>
      </c>
    </row>
    <row r="659" spans="1:4" x14ac:dyDescent="0.3">
      <c r="A659" s="5" t="str">
        <f t="shared" ca="1" si="10"/>
        <v>затраты на проданный товар, без НДС</v>
      </c>
      <c r="B659" s="5" t="s">
        <v>1014</v>
      </c>
      <c r="C659" s="5" t="s">
        <v>1920</v>
      </c>
      <c r="D659" s="5" t="s">
        <v>2872</v>
      </c>
    </row>
    <row r="660" spans="1:4" x14ac:dyDescent="0.3">
      <c r="A660" s="5" t="str">
        <f t="shared" ca="1" si="10"/>
        <v>запасы сырья и материалов</v>
      </c>
      <c r="B660" s="5" t="s">
        <v>596</v>
      </c>
      <c r="C660" s="5" t="s">
        <v>1921</v>
      </c>
      <c r="D660" s="5" t="s">
        <v>2853</v>
      </c>
    </row>
    <row r="661" spans="1:4" x14ac:dyDescent="0.3">
      <c r="A661" s="5" t="str">
        <f t="shared" ca="1" si="10"/>
        <v>средняя оборачиваемость запасов</v>
      </c>
      <c r="B661" s="5" t="s">
        <v>2208</v>
      </c>
      <c r="C661" s="5" t="s">
        <v>1922</v>
      </c>
      <c r="D661" s="5" t="s">
        <v>2854</v>
      </c>
    </row>
    <row r="662" spans="1:4" x14ac:dyDescent="0.3">
      <c r="A662" s="5" t="str">
        <f t="shared" ca="1" si="10"/>
        <v>затраты в запасах готовой продукции</v>
      </c>
      <c r="B662" s="5" t="s">
        <v>556</v>
      </c>
      <c r="C662" s="5" t="s">
        <v>1923</v>
      </c>
      <c r="D662" s="5" t="s">
        <v>2873</v>
      </c>
    </row>
    <row r="663" spans="1:4" x14ac:dyDescent="0.3">
      <c r="A663" s="5" t="str">
        <f t="shared" ca="1" si="10"/>
        <v>средняя оборачиваемость готовой продукции</v>
      </c>
      <c r="B663" s="5" t="s">
        <v>2207</v>
      </c>
      <c r="C663" s="5" t="s">
        <v>1924</v>
      </c>
      <c r="D663" s="5" t="s">
        <v>2856</v>
      </c>
    </row>
    <row r="664" spans="1:4" x14ac:dyDescent="0.3">
      <c r="A664" s="5" t="str">
        <f t="shared" ca="1" si="10"/>
        <v>затраты в незавершенном производстве</v>
      </c>
      <c r="B664" s="5" t="s">
        <v>558</v>
      </c>
      <c r="C664" s="5" t="s">
        <v>1925</v>
      </c>
      <c r="D664" s="5" t="s">
        <v>2857</v>
      </c>
    </row>
    <row r="665" spans="1:4" x14ac:dyDescent="0.3">
      <c r="A665" s="5" t="str">
        <f t="shared" ca="1" si="10"/>
        <v>длительность производственного цикла</v>
      </c>
      <c r="B665" s="5" t="s">
        <v>559</v>
      </c>
      <c r="C665" s="5" t="s">
        <v>1926</v>
      </c>
      <c r="D665" s="5" t="s">
        <v>2858</v>
      </c>
    </row>
    <row r="666" spans="1:4" x14ac:dyDescent="0.3">
      <c r="A666" s="5" t="str">
        <f t="shared" ca="1" si="10"/>
        <v>общий расход за период, без НДС</v>
      </c>
      <c r="B666" s="5" t="s">
        <v>597</v>
      </c>
      <c r="C666" s="5" t="s">
        <v>1927</v>
      </c>
      <c r="D666" s="5" t="s">
        <v>2859</v>
      </c>
    </row>
    <row r="667" spans="1:4" x14ac:dyDescent="0.3">
      <c r="A667" s="5" t="str">
        <f t="shared" ca="1" si="10"/>
        <v>кредиторская задолженность</v>
      </c>
      <c r="B667" s="5" t="s">
        <v>302</v>
      </c>
      <c r="C667" s="5" t="s">
        <v>1928</v>
      </c>
      <c r="D667" s="5" t="s">
        <v>2860</v>
      </c>
    </row>
    <row r="668" spans="1:4" x14ac:dyDescent="0.3">
      <c r="A668" s="5" t="str">
        <f t="shared" ca="1" si="10"/>
        <v>период отсрочки платежа</v>
      </c>
      <c r="B668" s="5" t="s">
        <v>598</v>
      </c>
      <c r="C668" s="5" t="s">
        <v>1929</v>
      </c>
      <c r="D668" s="5" t="s">
        <v>2861</v>
      </c>
    </row>
    <row r="669" spans="1:4" x14ac:dyDescent="0.3">
      <c r="A669" s="5" t="str">
        <f t="shared" ca="1" si="10"/>
        <v>авансы уплаченные</v>
      </c>
      <c r="B669" s="5" t="s">
        <v>599</v>
      </c>
      <c r="C669" s="5" t="s">
        <v>1930</v>
      </c>
      <c r="D669" s="5" t="s">
        <v>2874</v>
      </c>
    </row>
    <row r="670" spans="1:4" x14ac:dyDescent="0.3">
      <c r="A670" s="5" t="str">
        <f t="shared" ca="1" si="10"/>
        <v>период предоплаты</v>
      </c>
      <c r="B670" s="5" t="s">
        <v>600</v>
      </c>
      <c r="C670" s="5" t="s">
        <v>1931</v>
      </c>
      <c r="D670" s="5" t="s">
        <v>2863</v>
      </c>
    </row>
    <row r="671" spans="1:4" x14ac:dyDescent="0.3">
      <c r="A671" s="5" t="str">
        <f t="shared" ca="1" si="10"/>
        <v>оплата расходов, c НДС</v>
      </c>
      <c r="B671" s="5" t="s">
        <v>1265</v>
      </c>
      <c r="C671" s="5" t="s">
        <v>1932</v>
      </c>
      <c r="D671" s="5" t="s">
        <v>2864</v>
      </c>
    </row>
    <row r="672" spans="1:4" x14ac:dyDescent="0.3">
      <c r="A672" s="5" t="str">
        <f t="shared" ca="1" si="10"/>
        <v>темп изменения цен</v>
      </c>
      <c r="B672" s="5" t="s">
        <v>518</v>
      </c>
      <c r="C672" s="5" t="s">
        <v>1903</v>
      </c>
      <c r="D672" s="5" t="s">
        <v>2875</v>
      </c>
    </row>
    <row r="673" spans="1:4" x14ac:dyDescent="0.3">
      <c r="A673" s="5" t="str">
        <f t="shared" ca="1" si="10"/>
        <v>ставка НДС</v>
      </c>
      <c r="B673" s="5" t="s">
        <v>312</v>
      </c>
      <c r="C673" s="5" t="s">
        <v>1904</v>
      </c>
      <c r="D673" s="5" t="s">
        <v>2832</v>
      </c>
    </row>
    <row r="674" spans="1:4" x14ac:dyDescent="0.3">
      <c r="A674" s="5" t="str">
        <f t="shared" ca="1" si="10"/>
        <v>ставка импортной пошлины</v>
      </c>
      <c r="B674" s="5" t="s">
        <v>601</v>
      </c>
      <c r="C674" s="5" t="s">
        <v>1933</v>
      </c>
      <c r="D674" s="5" t="s">
        <v>2865</v>
      </c>
    </row>
    <row r="675" spans="1:4" x14ac:dyDescent="0.3">
      <c r="A675" s="5" t="str">
        <f t="shared" ca="1" si="10"/>
        <v>коэффициент прироста цен к предыдущему периоду</v>
      </c>
      <c r="B675" s="5" t="s">
        <v>997</v>
      </c>
      <c r="C675" s="5" t="s">
        <v>1937</v>
      </c>
      <c r="D675" s="5" t="s">
        <v>2876</v>
      </c>
    </row>
    <row r="676" spans="1:4" x14ac:dyDescent="0.3">
      <c r="A676" s="5" t="str">
        <f t="shared" ca="1" si="10"/>
        <v>пошлины начисленные</v>
      </c>
      <c r="B676" s="5" t="s">
        <v>602</v>
      </c>
      <c r="C676" s="5" t="s">
        <v>1934</v>
      </c>
      <c r="D676" s="5" t="s">
        <v>2867</v>
      </c>
    </row>
    <row r="677" spans="1:4" x14ac:dyDescent="0.3">
      <c r="A677" s="5" t="str">
        <f t="shared" ca="1" si="10"/>
        <v>НДС начисленный</v>
      </c>
      <c r="B677" s="5" t="s">
        <v>520</v>
      </c>
      <c r="C677" s="5" t="s">
        <v>1908</v>
      </c>
      <c r="D677" s="5" t="s">
        <v>2868</v>
      </c>
    </row>
    <row r="678" spans="1:4" x14ac:dyDescent="0.3">
      <c r="A678" s="5" t="str">
        <f t="shared" ca="1" si="10"/>
        <v>Итого: Материальные затраты</v>
      </c>
      <c r="B678" s="5" t="s">
        <v>840</v>
      </c>
      <c r="C678" s="5" t="s">
        <v>1938</v>
      </c>
      <c r="D678" s="5" t="s">
        <v>2877</v>
      </c>
    </row>
    <row r="679" spans="1:4" x14ac:dyDescent="0.3">
      <c r="A679" s="5" t="str">
        <f t="shared" ca="1" si="10"/>
        <v>Суммарные затраты в отчете о прибылях и убытках</v>
      </c>
      <c r="B679" s="5" t="s">
        <v>1009</v>
      </c>
      <c r="C679" s="5" t="s">
        <v>1939</v>
      </c>
      <c r="D679" s="5" t="s">
        <v>2878</v>
      </c>
    </row>
    <row r="680" spans="1:4" x14ac:dyDescent="0.3">
      <c r="A680" s="5" t="str">
        <f t="shared" ca="1" si="10"/>
        <v>Суммарные затраты в отчете о прибылях и убытках, с НДС</v>
      </c>
      <c r="B680" s="5" t="s">
        <v>2314</v>
      </c>
      <c r="C680" s="5" t="s">
        <v>2315</v>
      </c>
      <c r="D680" s="5" t="s">
        <v>3354</v>
      </c>
    </row>
    <row r="681" spans="1:4" x14ac:dyDescent="0.3">
      <c r="A681" s="5" t="str">
        <f t="shared" ca="1" si="10"/>
        <v>Оплата материалов и комплектующих, с НДС</v>
      </c>
      <c r="B681" s="5" t="s">
        <v>1003</v>
      </c>
      <c r="C681" s="5" t="s">
        <v>1940</v>
      </c>
      <c r="D681" s="5" t="s">
        <v>2879</v>
      </c>
    </row>
    <row r="682" spans="1:4" x14ac:dyDescent="0.3">
      <c r="A682" s="5" t="str">
        <f t="shared" ca="1" si="10"/>
        <v>Затраты, без НДС</v>
      </c>
      <c r="B682" s="5" t="s">
        <v>2229</v>
      </c>
      <c r="C682" s="5" t="s">
        <v>2230</v>
      </c>
      <c r="D682" s="5" t="s">
        <v>3287</v>
      </c>
    </row>
    <row r="683" spans="1:4" x14ac:dyDescent="0.3">
      <c r="A683" s="5" t="str">
        <f t="shared" ca="1" si="10"/>
        <v>Оплата, c НДС</v>
      </c>
      <c r="B683" s="5" t="s">
        <v>2231</v>
      </c>
      <c r="C683" s="5" t="s">
        <v>2232</v>
      </c>
      <c r="D683" s="5" t="s">
        <v>3288</v>
      </c>
    </row>
    <row r="684" spans="1:4" x14ac:dyDescent="0.3">
      <c r="A684" s="5" t="str">
        <f t="shared" ca="1" si="10"/>
        <v>НДС начисленный</v>
      </c>
      <c r="B684" s="5" t="s">
        <v>520</v>
      </c>
      <c r="C684" s="5" t="s">
        <v>1908</v>
      </c>
      <c r="D684" s="5" t="s">
        <v>2868</v>
      </c>
    </row>
    <row r="685" spans="1:4" x14ac:dyDescent="0.3">
      <c r="A685" s="5" t="str">
        <f t="shared" ca="1" si="10"/>
        <v>Начисленные импортные пошлины</v>
      </c>
      <c r="B685" s="5" t="s">
        <v>1008</v>
      </c>
      <c r="C685" s="5" t="s">
        <v>1941</v>
      </c>
      <c r="D685" s="5" t="s">
        <v>2867</v>
      </c>
    </row>
    <row r="686" spans="1:4" x14ac:dyDescent="0.3">
      <c r="A686" s="5" t="str">
        <f t="shared" ca="1" si="10"/>
        <v>Запасы материалов и комплектующих</v>
      </c>
      <c r="B686" s="5" t="s">
        <v>1018</v>
      </c>
      <c r="C686" s="5" t="s">
        <v>1942</v>
      </c>
      <c r="D686" s="5" t="s">
        <v>2754</v>
      </c>
    </row>
    <row r="687" spans="1:4" x14ac:dyDescent="0.3">
      <c r="A687" s="5" t="str">
        <f t="shared" ca="1" si="10"/>
        <v>Незавершенное производство</v>
      </c>
      <c r="B687" s="5" t="s">
        <v>1004</v>
      </c>
      <c r="C687" s="5" t="s">
        <v>1684</v>
      </c>
      <c r="D687" s="5" t="s">
        <v>2753</v>
      </c>
    </row>
    <row r="688" spans="1:4" x14ac:dyDescent="0.3">
      <c r="A688" s="5" t="str">
        <f t="shared" ca="1" si="10"/>
        <v>Запасы готовой продукции</v>
      </c>
      <c r="B688" s="5" t="s">
        <v>1005</v>
      </c>
      <c r="C688" s="5" t="s">
        <v>1943</v>
      </c>
      <c r="D688" s="5" t="s">
        <v>2880</v>
      </c>
    </row>
    <row r="689" spans="1:4" x14ac:dyDescent="0.3">
      <c r="A689" s="5" t="str">
        <f t="shared" ca="1" si="10"/>
        <v>Кредиторская задолженность</v>
      </c>
      <c r="B689" s="5" t="s">
        <v>1006</v>
      </c>
      <c r="C689" s="5" t="s">
        <v>1681</v>
      </c>
      <c r="D689" s="5" t="s">
        <v>2860</v>
      </c>
    </row>
    <row r="690" spans="1:4" x14ac:dyDescent="0.3">
      <c r="A690" s="5" t="str">
        <f t="shared" ca="1" si="10"/>
        <v>Авансы уплаченные</v>
      </c>
      <c r="B690" s="5" t="s">
        <v>1007</v>
      </c>
      <c r="C690" s="5" t="s">
        <v>1682</v>
      </c>
      <c r="D690" s="5" t="s">
        <v>2862</v>
      </c>
    </row>
    <row r="691" spans="1:4" x14ac:dyDescent="0.3">
      <c r="A691" s="5" t="str">
        <f t="shared" ca="1" si="10"/>
        <v>Курсовые разницы</v>
      </c>
      <c r="B691" s="5" t="s">
        <v>1258</v>
      </c>
      <c r="C691" s="5" t="s">
        <v>1746</v>
      </c>
      <c r="D691" s="5" t="s">
        <v>2848</v>
      </c>
    </row>
    <row r="692" spans="1:4" x14ac:dyDescent="0.3">
      <c r="A692" s="154" t="str">
        <f t="shared" ca="1" si="10"/>
        <v>ПЕРСОНАЛ</v>
      </c>
      <c r="B692" s="5" t="s">
        <v>546</v>
      </c>
      <c r="C692" s="5" t="s">
        <v>1944</v>
      </c>
      <c r="D692" s="5" t="s">
        <v>2881</v>
      </c>
    </row>
    <row r="693" spans="1:4" x14ac:dyDescent="0.3">
      <c r="A693" s="5" t="str">
        <f t="shared" ca="1" si="10"/>
        <v>Шаблон персонала без численности</v>
      </c>
      <c r="B693" s="5" t="s">
        <v>781</v>
      </c>
      <c r="C693" s="5" t="s">
        <v>1945</v>
      </c>
      <c r="D693" s="5" t="s">
        <v>2882</v>
      </c>
    </row>
    <row r="694" spans="1:4" x14ac:dyDescent="0.3">
      <c r="A694" s="5" t="str">
        <f t="shared" ca="1" si="10"/>
        <v>заработная плата сотрудников, в месяц</v>
      </c>
      <c r="B694" s="5" t="s">
        <v>552</v>
      </c>
      <c r="C694" s="5" t="s">
        <v>1946</v>
      </c>
      <c r="D694" s="5" t="s">
        <v>2883</v>
      </c>
    </row>
    <row r="695" spans="1:4" x14ac:dyDescent="0.3">
      <c r="A695" s="5" t="str">
        <f t="shared" ca="1" si="10"/>
        <v>коэффициент расходов</v>
      </c>
      <c r="B695" s="5" t="s">
        <v>1550</v>
      </c>
      <c r="C695" s="5" t="s">
        <v>1947</v>
      </c>
      <c r="D695" s="5" t="s">
        <v>2884</v>
      </c>
    </row>
    <row r="696" spans="1:4" x14ac:dyDescent="0.3">
      <c r="A696" s="5" t="str">
        <f t="shared" ca="1" si="10"/>
        <v>заработная плата</v>
      </c>
      <c r="B696" s="5" t="s">
        <v>550</v>
      </c>
      <c r="C696" s="5" t="s">
        <v>1948</v>
      </c>
      <c r="D696" s="5" t="s">
        <v>2885</v>
      </c>
    </row>
    <row r="697" spans="1:4" x14ac:dyDescent="0.3">
      <c r="A697" s="5" t="str">
        <f t="shared" ca="1" si="10"/>
        <v>социальные взносы</v>
      </c>
      <c r="B697" s="5" t="s">
        <v>1220</v>
      </c>
      <c r="C697" s="5" t="s">
        <v>1949</v>
      </c>
      <c r="D697" s="5" t="s">
        <v>2523</v>
      </c>
    </row>
    <row r="698" spans="1:4" x14ac:dyDescent="0.3">
      <c r="A698" s="5" t="str">
        <f t="shared" ca="1" si="10"/>
        <v>темп изменения цен</v>
      </c>
      <c r="B698" s="5" t="s">
        <v>518</v>
      </c>
      <c r="C698" s="5" t="s">
        <v>1903</v>
      </c>
      <c r="D698" s="5" t="s">
        <v>2886</v>
      </c>
    </row>
    <row r="699" spans="1:4" x14ac:dyDescent="0.3">
      <c r="A699" s="5" t="str">
        <f t="shared" ca="1" si="10"/>
        <v>коэффициент изменения цен</v>
      </c>
      <c r="B699" s="5" t="s">
        <v>519</v>
      </c>
      <c r="C699" s="5" t="s">
        <v>1950</v>
      </c>
      <c r="D699" s="5" t="s">
        <v>2887</v>
      </c>
    </row>
    <row r="700" spans="1:4" x14ac:dyDescent="0.3">
      <c r="A700" s="5" t="str">
        <f t="shared" ca="1" si="10"/>
        <v>Шаблон персонала с численностью</v>
      </c>
      <c r="B700" s="5" t="s">
        <v>782</v>
      </c>
      <c r="C700" s="5" t="s">
        <v>1951</v>
      </c>
      <c r="D700" s="5" t="s">
        <v>2888</v>
      </c>
    </row>
    <row r="701" spans="1:4" x14ac:dyDescent="0.3">
      <c r="A701" s="5" t="str">
        <f t="shared" ca="1" si="10"/>
        <v>численность</v>
      </c>
      <c r="B701" s="5" t="s">
        <v>547</v>
      </c>
      <c r="C701" s="5" t="s">
        <v>1952</v>
      </c>
      <c r="D701" s="5" t="s">
        <v>2889</v>
      </c>
    </row>
    <row r="702" spans="1:4" x14ac:dyDescent="0.3">
      <c r="A702" s="5" t="str">
        <f t="shared" ca="1" si="10"/>
        <v>средний оклад, в месяц</v>
      </c>
      <c r="B702" s="5" t="s">
        <v>549</v>
      </c>
      <c r="C702" s="5" t="s">
        <v>1953</v>
      </c>
      <c r="D702" s="5" t="s">
        <v>2890</v>
      </c>
    </row>
    <row r="703" spans="1:4" x14ac:dyDescent="0.3">
      <c r="A703" s="5" t="str">
        <f t="shared" ca="1" si="10"/>
        <v>заработная плата</v>
      </c>
      <c r="B703" s="5" t="s">
        <v>550</v>
      </c>
      <c r="C703" s="5" t="s">
        <v>1948</v>
      </c>
      <c r="D703" s="5" t="s">
        <v>2885</v>
      </c>
    </row>
    <row r="704" spans="1:4" x14ac:dyDescent="0.3">
      <c r="A704" s="5" t="str">
        <f t="shared" ca="1" si="10"/>
        <v>социальные взносы</v>
      </c>
      <c r="B704" s="5" t="s">
        <v>1220</v>
      </c>
      <c r="C704" s="5" t="s">
        <v>1949</v>
      </c>
      <c r="D704" s="5" t="s">
        <v>2523</v>
      </c>
    </row>
    <row r="705" spans="1:4" x14ac:dyDescent="0.3">
      <c r="A705" s="5" t="str">
        <f t="shared" ca="1" si="10"/>
        <v>темп изменения цен</v>
      </c>
      <c r="B705" s="5" t="s">
        <v>518</v>
      </c>
      <c r="C705" s="5" t="s">
        <v>1903</v>
      </c>
      <c r="D705" s="5" t="s">
        <v>2886</v>
      </c>
    </row>
    <row r="706" spans="1:4" x14ac:dyDescent="0.3">
      <c r="A706" s="5" t="str">
        <f t="shared" ca="1" si="10"/>
        <v>коэффициент изменения цен</v>
      </c>
      <c r="B706" s="5" t="s">
        <v>519</v>
      </c>
      <c r="C706" s="5" t="s">
        <v>1950</v>
      </c>
      <c r="D706" s="5" t="s">
        <v>2887</v>
      </c>
    </row>
    <row r="707" spans="1:4" x14ac:dyDescent="0.3">
      <c r="A707" s="5" t="str">
        <f t="shared" ca="1" si="10"/>
        <v>Производственный персонал</v>
      </c>
      <c r="B707" s="5" t="s">
        <v>553</v>
      </c>
      <c r="C707" s="5" t="s">
        <v>1954</v>
      </c>
      <c r="D707" s="5" t="s">
        <v>2891</v>
      </c>
    </row>
    <row r="708" spans="1:4" x14ac:dyDescent="0.3">
      <c r="A708" s="5" t="str">
        <f ca="1">OFFSET(A708,0,Prj_Language)</f>
        <v>Административный персонал</v>
      </c>
      <c r="B708" s="5" t="s">
        <v>555</v>
      </c>
      <c r="C708" s="5" t="s">
        <v>1956</v>
      </c>
      <c r="D708" s="5" t="s">
        <v>2892</v>
      </c>
    </row>
    <row r="709" spans="1:4" x14ac:dyDescent="0.3">
      <c r="A709" s="5" t="str">
        <f t="shared" ref="A709:A771" ca="1" si="11">OFFSET(A709,0,Prj_Language)</f>
        <v>Коммерческий персонал</v>
      </c>
      <c r="B709" s="5" t="s">
        <v>554</v>
      </c>
      <c r="C709" s="5" t="s">
        <v>1955</v>
      </c>
      <c r="D709" s="5" t="s">
        <v>2893</v>
      </c>
    </row>
    <row r="710" spans="1:4" x14ac:dyDescent="0.3">
      <c r="A710" s="5" t="str">
        <f t="shared" ca="1" si="11"/>
        <v>Затраты на производственный персонал, с соц. взносами</v>
      </c>
      <c r="B710" s="5" t="s">
        <v>1224</v>
      </c>
      <c r="C710" s="5" t="s">
        <v>1957</v>
      </c>
      <c r="D710" s="5" t="s">
        <v>2894</v>
      </c>
    </row>
    <row r="711" spans="1:4" x14ac:dyDescent="0.3">
      <c r="A711" s="5" t="str">
        <f t="shared" ca="1" si="11"/>
        <v>заработная плата</v>
      </c>
      <c r="B711" s="5" t="s">
        <v>550</v>
      </c>
      <c r="C711" s="5" t="s">
        <v>1948</v>
      </c>
      <c r="D711" s="5" t="s">
        <v>2885</v>
      </c>
    </row>
    <row r="712" spans="1:4" x14ac:dyDescent="0.3">
      <c r="A712" s="5" t="str">
        <f t="shared" ca="1" si="11"/>
        <v>социальные взносы</v>
      </c>
      <c r="B712" s="5" t="s">
        <v>1220</v>
      </c>
      <c r="C712" s="5" t="s">
        <v>1949</v>
      </c>
      <c r="D712" s="5" t="s">
        <v>2523</v>
      </c>
    </row>
    <row r="713" spans="1:4" x14ac:dyDescent="0.3">
      <c r="A713" s="5" t="str">
        <f t="shared" ca="1" si="11"/>
        <v>периодичность отгрузки</v>
      </c>
      <c r="B713" s="5" t="s">
        <v>557</v>
      </c>
      <c r="C713" s="5" t="s">
        <v>1924</v>
      </c>
      <c r="D713" s="5" t="s">
        <v>2895</v>
      </c>
    </row>
    <row r="714" spans="1:4" x14ac:dyDescent="0.3">
      <c r="A714" s="5" t="str">
        <f t="shared" ca="1" si="11"/>
        <v>затраты в запасах готовой продукции</v>
      </c>
      <c r="B714" s="5" t="s">
        <v>556</v>
      </c>
      <c r="C714" s="5" t="s">
        <v>1958</v>
      </c>
      <c r="D714" s="5" t="s">
        <v>2896</v>
      </c>
    </row>
    <row r="715" spans="1:4" x14ac:dyDescent="0.3">
      <c r="A715" s="5" t="str">
        <f t="shared" ca="1" si="11"/>
        <v>длительность производственного цикла</v>
      </c>
      <c r="B715" s="5" t="s">
        <v>559</v>
      </c>
      <c r="C715" s="5" t="s">
        <v>1926</v>
      </c>
      <c r="D715" s="5" t="s">
        <v>2858</v>
      </c>
    </row>
    <row r="716" spans="1:4" x14ac:dyDescent="0.3">
      <c r="A716" s="5" t="str">
        <f t="shared" ca="1" si="11"/>
        <v>затраты в незавершенном производстве</v>
      </c>
      <c r="B716" s="5" t="s">
        <v>558</v>
      </c>
      <c r="C716" s="5" t="s">
        <v>1959</v>
      </c>
      <c r="D716" s="5" t="s">
        <v>2857</v>
      </c>
    </row>
    <row r="717" spans="1:4" x14ac:dyDescent="0.3">
      <c r="A717" s="5" t="str">
        <f t="shared" ca="1" si="11"/>
        <v>списано на продажи в отчете о прибылях и убытках</v>
      </c>
      <c r="B717" s="5" t="s">
        <v>1044</v>
      </c>
      <c r="C717" s="5" t="s">
        <v>1960</v>
      </c>
      <c r="D717" s="5" t="s">
        <v>2897</v>
      </c>
    </row>
    <row r="718" spans="1:4" x14ac:dyDescent="0.3">
      <c r="A718" s="5" t="str">
        <f ca="1">OFFSET(A718,0,Prj_Language)</f>
        <v>Затраты на административный персонал, с соц. взносами</v>
      </c>
      <c r="B718" s="5" t="s">
        <v>1225</v>
      </c>
      <c r="C718" s="5" t="s">
        <v>1961</v>
      </c>
      <c r="D718" s="5" t="s">
        <v>2898</v>
      </c>
    </row>
    <row r="719" spans="1:4" x14ac:dyDescent="0.3">
      <c r="A719" s="5" t="str">
        <f t="shared" ca="1" si="11"/>
        <v>заработная плата</v>
      </c>
      <c r="B719" s="5" t="s">
        <v>550</v>
      </c>
      <c r="C719" s="5" t="s">
        <v>1948</v>
      </c>
      <c r="D719" s="5" t="s">
        <v>2885</v>
      </c>
    </row>
    <row r="720" spans="1:4" x14ac:dyDescent="0.3">
      <c r="A720" s="5" t="str">
        <f t="shared" ca="1" si="11"/>
        <v>социальные взносы</v>
      </c>
      <c r="B720" s="5" t="s">
        <v>1220</v>
      </c>
      <c r="C720" s="5" t="s">
        <v>1949</v>
      </c>
      <c r="D720" s="5" t="s">
        <v>2523</v>
      </c>
    </row>
    <row r="721" spans="1:4" x14ac:dyDescent="0.3">
      <c r="A721" s="5" t="str">
        <f t="shared" ca="1" si="11"/>
        <v>периодичность отгрузки</v>
      </c>
      <c r="B721" s="5" t="s">
        <v>557</v>
      </c>
      <c r="C721" s="5" t="s">
        <v>1924</v>
      </c>
      <c r="D721" s="5" t="s">
        <v>2895</v>
      </c>
    </row>
    <row r="722" spans="1:4" x14ac:dyDescent="0.3">
      <c r="A722" s="5" t="str">
        <f t="shared" ca="1" si="11"/>
        <v>затраты в запасах готовой продукции</v>
      </c>
      <c r="B722" s="5" t="s">
        <v>556</v>
      </c>
      <c r="C722" s="5" t="s">
        <v>1958</v>
      </c>
      <c r="D722" s="5" t="s">
        <v>2896</v>
      </c>
    </row>
    <row r="723" spans="1:4" x14ac:dyDescent="0.3">
      <c r="A723" s="5" t="str">
        <f t="shared" ca="1" si="11"/>
        <v>длительность производственного цикла</v>
      </c>
      <c r="B723" s="5" t="s">
        <v>559</v>
      </c>
      <c r="C723" s="5" t="s">
        <v>1926</v>
      </c>
      <c r="D723" s="5" t="s">
        <v>2858</v>
      </c>
    </row>
    <row r="724" spans="1:4" x14ac:dyDescent="0.3">
      <c r="A724" s="5" t="str">
        <f t="shared" ca="1" si="11"/>
        <v>затраты в незавершенном производстве</v>
      </c>
      <c r="B724" s="5" t="s">
        <v>558</v>
      </c>
      <c r="C724" s="5" t="s">
        <v>1959</v>
      </c>
      <c r="D724" s="5" t="s">
        <v>2857</v>
      </c>
    </row>
    <row r="725" spans="1:4" x14ac:dyDescent="0.3">
      <c r="A725" s="5" t="str">
        <f t="shared" ca="1" si="11"/>
        <v>списано на продажи в отчете о прибылях и убытках</v>
      </c>
      <c r="B725" s="5" t="s">
        <v>1044</v>
      </c>
      <c r="C725" s="5" t="s">
        <v>1960</v>
      </c>
      <c r="D725" s="5" t="s">
        <v>2897</v>
      </c>
    </row>
    <row r="726" spans="1:4" x14ac:dyDescent="0.3">
      <c r="A726" s="5" t="str">
        <f ca="1">OFFSET(A726,0,Prj_Language)</f>
        <v>Затраты на коммерческий персонал, с соц. взносами</v>
      </c>
      <c r="B726" s="5" t="s">
        <v>1223</v>
      </c>
      <c r="C726" s="5" t="s">
        <v>1962</v>
      </c>
      <c r="D726" s="5" t="s">
        <v>2899</v>
      </c>
    </row>
    <row r="727" spans="1:4" x14ac:dyDescent="0.3">
      <c r="A727" s="5" t="str">
        <f t="shared" ca="1" si="11"/>
        <v>заработная плата</v>
      </c>
      <c r="B727" s="5" t="s">
        <v>550</v>
      </c>
      <c r="C727" s="5" t="s">
        <v>1948</v>
      </c>
      <c r="D727" s="5" t="s">
        <v>2885</v>
      </c>
    </row>
    <row r="728" spans="1:4" x14ac:dyDescent="0.3">
      <c r="A728" s="5" t="str">
        <f t="shared" ca="1" si="11"/>
        <v>социальные взносы</v>
      </c>
      <c r="B728" s="5" t="s">
        <v>1220</v>
      </c>
      <c r="C728" s="5" t="s">
        <v>1949</v>
      </c>
      <c r="D728" s="5" t="s">
        <v>2523</v>
      </c>
    </row>
    <row r="729" spans="1:4" x14ac:dyDescent="0.3">
      <c r="A729" s="5" t="str">
        <f t="shared" ca="1" si="11"/>
        <v>периодичность отгрузки</v>
      </c>
      <c r="B729" s="5" t="s">
        <v>557</v>
      </c>
      <c r="C729" s="5" t="s">
        <v>1924</v>
      </c>
      <c r="D729" s="5" t="s">
        <v>2895</v>
      </c>
    </row>
    <row r="730" spans="1:4" x14ac:dyDescent="0.3">
      <c r="A730" s="5" t="str">
        <f t="shared" ca="1" si="11"/>
        <v>затраты в запасах готовой продукции</v>
      </c>
      <c r="B730" s="5" t="s">
        <v>556</v>
      </c>
      <c r="C730" s="5" t="s">
        <v>1958</v>
      </c>
      <c r="D730" s="5" t="s">
        <v>2896</v>
      </c>
    </row>
    <row r="731" spans="1:4" x14ac:dyDescent="0.3">
      <c r="A731" s="5" t="str">
        <f t="shared" ca="1" si="11"/>
        <v>длительность производственного цикла</v>
      </c>
      <c r="B731" s="5" t="s">
        <v>559</v>
      </c>
      <c r="C731" s="5" t="s">
        <v>1926</v>
      </c>
      <c r="D731" s="5" t="s">
        <v>2858</v>
      </c>
    </row>
    <row r="732" spans="1:4" x14ac:dyDescent="0.3">
      <c r="A732" s="5" t="str">
        <f t="shared" ca="1" si="11"/>
        <v>затраты в незавершенном производстве</v>
      </c>
      <c r="B732" s="5" t="s">
        <v>558</v>
      </c>
      <c r="C732" s="5" t="s">
        <v>1959</v>
      </c>
      <c r="D732" s="5" t="s">
        <v>2857</v>
      </c>
    </row>
    <row r="733" spans="1:4" x14ac:dyDescent="0.3">
      <c r="A733" s="5" t="str">
        <f t="shared" ca="1" si="11"/>
        <v>списано на продажи в отчете о прибылях и убытках</v>
      </c>
      <c r="B733" s="5" t="s">
        <v>1044</v>
      </c>
      <c r="C733" s="5" t="s">
        <v>1960</v>
      </c>
      <c r="D733" s="5" t="s">
        <v>2897</v>
      </c>
    </row>
    <row r="734" spans="1:4" x14ac:dyDescent="0.3">
      <c r="A734" s="5" t="str">
        <f t="shared" ca="1" si="11"/>
        <v>Итого: затраты на персонал, с соц. взносами</v>
      </c>
      <c r="B734" s="5" t="s">
        <v>1226</v>
      </c>
      <c r="C734" s="5" t="s">
        <v>1963</v>
      </c>
      <c r="D734" s="5" t="s">
        <v>2900</v>
      </c>
    </row>
    <row r="735" spans="1:4" x14ac:dyDescent="0.3">
      <c r="A735" s="5" t="str">
        <f t="shared" ca="1" si="11"/>
        <v>Численность персонала</v>
      </c>
      <c r="B735" s="5" t="s">
        <v>1021</v>
      </c>
      <c r="C735" s="5" t="s">
        <v>1964</v>
      </c>
      <c r="D735" s="5" t="s">
        <v>2901</v>
      </c>
    </row>
    <row r="736" spans="1:4" x14ac:dyDescent="0.3">
      <c r="A736" s="5" t="str">
        <f t="shared" ca="1" si="11"/>
        <v>заработная плата</v>
      </c>
      <c r="B736" s="5" t="s">
        <v>550</v>
      </c>
      <c r="C736" s="5" t="s">
        <v>1948</v>
      </c>
      <c r="D736" s="5" t="s">
        <v>2885</v>
      </c>
    </row>
    <row r="737" spans="1:4" x14ac:dyDescent="0.3">
      <c r="A737" s="5" t="str">
        <f t="shared" ca="1" si="11"/>
        <v>социальные взносы</v>
      </c>
      <c r="B737" s="5" t="s">
        <v>1220</v>
      </c>
      <c r="C737" s="5" t="s">
        <v>1949</v>
      </c>
      <c r="D737" s="5" t="s">
        <v>2523</v>
      </c>
    </row>
    <row r="738" spans="1:4" x14ac:dyDescent="0.3">
      <c r="A738" s="5" t="str">
        <f t="shared" ca="1" si="11"/>
        <v>периодичность выплаты заработной платы</v>
      </c>
      <c r="B738" s="5" t="s">
        <v>562</v>
      </c>
      <c r="C738" s="5" t="s">
        <v>1965</v>
      </c>
      <c r="D738" s="5" t="s">
        <v>2902</v>
      </c>
    </row>
    <row r="739" spans="1:4" x14ac:dyDescent="0.3">
      <c r="A739" s="5" t="str">
        <f t="shared" ca="1" si="11"/>
        <v>задолженность по заработной плате</v>
      </c>
      <c r="B739" s="5" t="s">
        <v>561</v>
      </c>
      <c r="C739" s="5" t="s">
        <v>1966</v>
      </c>
      <c r="D739" s="5" t="s">
        <v>2770</v>
      </c>
    </row>
    <row r="740" spans="1:4" x14ac:dyDescent="0.3">
      <c r="A740" s="5" t="str">
        <f t="shared" ca="1" si="11"/>
        <v>периодичность социальных взносов</v>
      </c>
      <c r="B740" s="5" t="s">
        <v>1222</v>
      </c>
      <c r="C740" s="5" t="s">
        <v>1967</v>
      </c>
      <c r="D740" s="5" t="s">
        <v>2903</v>
      </c>
    </row>
    <row r="741" spans="1:4" x14ac:dyDescent="0.3">
      <c r="A741" s="5" t="str">
        <f t="shared" ca="1" si="11"/>
        <v>задолженность перед внебюджетными фондами</v>
      </c>
      <c r="B741" s="5" t="s">
        <v>563</v>
      </c>
      <c r="C741" s="5" t="s">
        <v>1968</v>
      </c>
      <c r="D741" s="5" t="s">
        <v>2904</v>
      </c>
    </row>
    <row r="742" spans="1:4" x14ac:dyDescent="0.3">
      <c r="A742" s="5" t="str">
        <f t="shared" ca="1" si="11"/>
        <v>оплата расходов на заработную плату</v>
      </c>
      <c r="B742" s="5" t="s">
        <v>564</v>
      </c>
      <c r="C742" s="5" t="s">
        <v>1969</v>
      </c>
      <c r="D742" s="5" t="s">
        <v>2905</v>
      </c>
    </row>
    <row r="743" spans="1:4" x14ac:dyDescent="0.3">
      <c r="A743" s="5" t="str">
        <f t="shared" ca="1" si="11"/>
        <v>оплата социальных взносов</v>
      </c>
      <c r="B743" s="5" t="s">
        <v>1221</v>
      </c>
      <c r="C743" s="5" t="s">
        <v>1970</v>
      </c>
      <c r="D743" s="5" t="s">
        <v>2906</v>
      </c>
    </row>
    <row r="744" spans="1:4" x14ac:dyDescent="0.3">
      <c r="A744" s="154" t="str">
        <f t="shared" ca="1" si="11"/>
        <v>ПОСТОЯННЫЕ ИЗДЕРЖКИ</v>
      </c>
      <c r="B744" s="5" t="s">
        <v>511</v>
      </c>
      <c r="C744" s="5" t="s">
        <v>1971</v>
      </c>
      <c r="D744" s="5" t="s">
        <v>2907</v>
      </c>
    </row>
    <row r="745" spans="1:4" x14ac:dyDescent="0.3">
      <c r="A745" s="5" t="str">
        <f t="shared" ca="1" si="11"/>
        <v>Шаблон издержки без единиц</v>
      </c>
      <c r="B745" s="5" t="s">
        <v>779</v>
      </c>
      <c r="C745" s="5" t="s">
        <v>1972</v>
      </c>
      <c r="D745" s="5" t="s">
        <v>2908</v>
      </c>
    </row>
    <row r="746" spans="1:4" x14ac:dyDescent="0.3">
      <c r="A746" s="5" t="str">
        <f t="shared" ca="1" si="11"/>
        <v>период появления затрат</v>
      </c>
      <c r="B746" s="5" t="s">
        <v>517</v>
      </c>
      <c r="C746" s="5" t="s">
        <v>1973</v>
      </c>
      <c r="D746" s="5" t="s">
        <v>2909</v>
      </c>
    </row>
    <row r="747" spans="1:4" x14ac:dyDescent="0.3">
      <c r="A747" s="5" t="str">
        <f t="shared" ca="1" si="11"/>
        <v>затраты за период</v>
      </c>
      <c r="B747" s="5" t="s">
        <v>1548</v>
      </c>
      <c r="C747" s="5" t="s">
        <v>1974</v>
      </c>
      <c r="D747" s="5" t="s">
        <v>2910</v>
      </c>
    </row>
    <row r="748" spans="1:4" x14ac:dyDescent="0.3">
      <c r="A748" s="5" t="str">
        <f t="shared" ca="1" si="11"/>
        <v>без НДС</v>
      </c>
      <c r="B748" s="5" t="s">
        <v>1549</v>
      </c>
      <c r="C748" s="5" t="s">
        <v>1975</v>
      </c>
      <c r="D748" s="5" t="s">
        <v>2911</v>
      </c>
    </row>
    <row r="749" spans="1:4" x14ac:dyDescent="0.3">
      <c r="A749" s="5" t="str">
        <f t="shared" ca="1" si="11"/>
        <v>темп изменения цен</v>
      </c>
      <c r="B749" s="5" t="s">
        <v>518</v>
      </c>
      <c r="C749" s="5" t="s">
        <v>1903</v>
      </c>
      <c r="D749" s="5" t="s">
        <v>2831</v>
      </c>
    </row>
    <row r="750" spans="1:4" x14ac:dyDescent="0.3">
      <c r="A750" s="5" t="str">
        <f t="shared" ca="1" si="11"/>
        <v>ставка НДС</v>
      </c>
      <c r="B750" s="5" t="s">
        <v>312</v>
      </c>
      <c r="C750" s="5" t="s">
        <v>1904</v>
      </c>
      <c r="D750" s="5" t="s">
        <v>2832</v>
      </c>
    </row>
    <row r="751" spans="1:4" x14ac:dyDescent="0.3">
      <c r="A751" s="5" t="str">
        <f t="shared" ca="1" si="11"/>
        <v>коэффициент изменения цен</v>
      </c>
      <c r="B751" s="5" t="s">
        <v>519</v>
      </c>
      <c r="C751" s="5" t="s">
        <v>1950</v>
      </c>
      <c r="D751" s="5" t="s">
        <v>2912</v>
      </c>
    </row>
    <row r="752" spans="1:4" x14ac:dyDescent="0.3">
      <c r="A752" s="5" t="str">
        <f t="shared" ca="1" si="11"/>
        <v>затраты с учетом инфляции, без НДС</v>
      </c>
      <c r="B752" s="5" t="s">
        <v>2236</v>
      </c>
      <c r="C752" s="5" t="s">
        <v>1976</v>
      </c>
      <c r="D752" s="5" t="s">
        <v>2913</v>
      </c>
    </row>
    <row r="753" spans="1:4" x14ac:dyDescent="0.3">
      <c r="A753" s="5" t="str">
        <f t="shared" ca="1" si="11"/>
        <v>НДС начисленный</v>
      </c>
      <c r="B753" s="5" t="s">
        <v>520</v>
      </c>
      <c r="C753" s="5" t="s">
        <v>1908</v>
      </c>
      <c r="D753" s="5" t="s">
        <v>2868</v>
      </c>
    </row>
    <row r="754" spans="1:4" x14ac:dyDescent="0.3">
      <c r="A754" s="5" t="str">
        <f t="shared" ca="1" si="11"/>
        <v>Шаблон издержки с единицами</v>
      </c>
      <c r="B754" s="5" t="s">
        <v>780</v>
      </c>
      <c r="C754" s="5" t="s">
        <v>1977</v>
      </c>
      <c r="D754" s="5" t="s">
        <v>2914</v>
      </c>
    </row>
    <row r="755" spans="1:4" x14ac:dyDescent="0.3">
      <c r="A755" s="5" t="str">
        <f t="shared" ca="1" si="11"/>
        <v>период появления затрат</v>
      </c>
      <c r="B755" s="5" t="s">
        <v>517</v>
      </c>
      <c r="C755" s="5" t="s">
        <v>1973</v>
      </c>
      <c r="D755" s="5" t="s">
        <v>2915</v>
      </c>
    </row>
    <row r="756" spans="1:4" x14ac:dyDescent="0.3">
      <c r="A756" s="5" t="str">
        <f t="shared" ca="1" si="11"/>
        <v>расход в единицах за период</v>
      </c>
      <c r="B756" s="5" t="s">
        <v>1547</v>
      </c>
      <c r="C756" s="5" t="s">
        <v>1978</v>
      </c>
      <c r="D756" s="5" t="s">
        <v>2916</v>
      </c>
    </row>
    <row r="757" spans="1:4" x14ac:dyDescent="0.3">
      <c r="A757" s="5" t="str">
        <f t="shared" ca="1" si="11"/>
        <v>цена за единицу (</v>
      </c>
      <c r="B757" s="5" t="s">
        <v>2161</v>
      </c>
      <c r="C757" s="5" t="s">
        <v>2164</v>
      </c>
      <c r="D757" s="5" t="s">
        <v>2838</v>
      </c>
    </row>
    <row r="758" spans="1:4" x14ac:dyDescent="0.3">
      <c r="A758" s="5" t="str">
        <f t="shared" ca="1" si="11"/>
        <v>темп изменения цен</v>
      </c>
      <c r="B758" s="5" t="s">
        <v>518</v>
      </c>
      <c r="C758" s="5" t="s">
        <v>1903</v>
      </c>
      <c r="D758" s="5" t="s">
        <v>2831</v>
      </c>
    </row>
    <row r="759" spans="1:4" x14ac:dyDescent="0.3">
      <c r="A759" s="5" t="str">
        <f t="shared" ca="1" si="11"/>
        <v>ставка НДС</v>
      </c>
      <c r="B759" s="5" t="s">
        <v>312</v>
      </c>
      <c r="C759" s="5" t="s">
        <v>1904</v>
      </c>
      <c r="D759" s="5" t="s">
        <v>2832</v>
      </c>
    </row>
    <row r="760" spans="1:4" x14ac:dyDescent="0.3">
      <c r="A760" s="5" t="str">
        <f t="shared" ca="1" si="11"/>
        <v>коэффициент изменения цен</v>
      </c>
      <c r="B760" s="5" t="s">
        <v>519</v>
      </c>
      <c r="C760" s="5" t="s">
        <v>1950</v>
      </c>
      <c r="D760" s="5" t="s">
        <v>2912</v>
      </c>
    </row>
    <row r="761" spans="1:4" x14ac:dyDescent="0.3">
      <c r="A761" s="5" t="str">
        <f t="shared" ca="1" si="11"/>
        <v>НДС начисленный</v>
      </c>
      <c r="B761" s="5" t="s">
        <v>520</v>
      </c>
      <c r="C761" s="5" t="s">
        <v>1908</v>
      </c>
      <c r="D761" s="5" t="s">
        <v>2868</v>
      </c>
    </row>
    <row r="762" spans="1:4" x14ac:dyDescent="0.3">
      <c r="A762" s="5" t="str">
        <f t="shared" ca="1" si="11"/>
        <v>Производственные издержки</v>
      </c>
      <c r="B762" s="5" t="s">
        <v>512</v>
      </c>
      <c r="C762" s="5" t="s">
        <v>1628</v>
      </c>
      <c r="D762" s="5" t="s">
        <v>2917</v>
      </c>
    </row>
    <row r="763" spans="1:4" x14ac:dyDescent="0.3">
      <c r="A763" s="5" t="str">
        <f ca="1">OFFSET(A763,0,Prj_Language)</f>
        <v>Управленческие издержки</v>
      </c>
      <c r="B763" s="5" t="s">
        <v>514</v>
      </c>
      <c r="C763" s="5" t="s">
        <v>1629</v>
      </c>
      <c r="D763" s="5" t="s">
        <v>2918</v>
      </c>
    </row>
    <row r="764" spans="1:4" x14ac:dyDescent="0.3">
      <c r="A764" s="5" t="str">
        <f ca="1">OFFSET(A764,0,Prj_Language)</f>
        <v>Коммерческие издержки</v>
      </c>
      <c r="B764" s="5" t="s">
        <v>513</v>
      </c>
      <c r="C764" s="5" t="s">
        <v>1630</v>
      </c>
      <c r="D764" s="5" t="s">
        <v>2919</v>
      </c>
    </row>
    <row r="765" spans="1:4" x14ac:dyDescent="0.3">
      <c r="A765" s="5" t="str">
        <f t="shared" ca="1" si="11"/>
        <v>Итого: Производственные издержки, с НДС</v>
      </c>
      <c r="B765" s="5" t="s">
        <v>515</v>
      </c>
      <c r="C765" s="5" t="s">
        <v>1979</v>
      </c>
      <c r="D765" s="5" t="s">
        <v>2920</v>
      </c>
    </row>
    <row r="766" spans="1:4" x14ac:dyDescent="0.3">
      <c r="A766" s="5" t="str">
        <f t="shared" ca="1" si="11"/>
        <v>сумма без НДС</v>
      </c>
      <c r="B766" s="5" t="s">
        <v>786</v>
      </c>
      <c r="C766" s="5" t="s">
        <v>1980</v>
      </c>
      <c r="D766" s="5" t="s">
        <v>2921</v>
      </c>
    </row>
    <row r="767" spans="1:4" x14ac:dyDescent="0.3">
      <c r="A767" s="5" t="str">
        <f t="shared" ca="1" si="11"/>
        <v>НДС начисленный</v>
      </c>
      <c r="B767" s="5" t="s">
        <v>520</v>
      </c>
      <c r="C767" s="5" t="s">
        <v>1908</v>
      </c>
      <c r="D767" s="5" t="s">
        <v>2868</v>
      </c>
    </row>
    <row r="768" spans="1:4" x14ac:dyDescent="0.3">
      <c r="A768" s="5" t="str">
        <f t="shared" ca="1" si="11"/>
        <v>затраты в запасах готовой продукции</v>
      </c>
      <c r="B768" s="5" t="s">
        <v>556</v>
      </c>
      <c r="C768" s="5" t="s">
        <v>1958</v>
      </c>
      <c r="D768" s="5" t="s">
        <v>2896</v>
      </c>
    </row>
    <row r="769" spans="1:4" x14ac:dyDescent="0.3">
      <c r="A769" s="5" t="str">
        <f t="shared" ca="1" si="11"/>
        <v>периодичность отгрузки</v>
      </c>
      <c r="B769" s="5" t="s">
        <v>557</v>
      </c>
      <c r="C769" s="5" t="s">
        <v>1924</v>
      </c>
      <c r="D769" s="5" t="s">
        <v>2895</v>
      </c>
    </row>
    <row r="770" spans="1:4" x14ac:dyDescent="0.3">
      <c r="A770" s="5" t="str">
        <f t="shared" ca="1" si="11"/>
        <v>затраты в незавершенном производстве</v>
      </c>
      <c r="B770" s="5" t="s">
        <v>558</v>
      </c>
      <c r="C770" s="5" t="s">
        <v>1926</v>
      </c>
      <c r="D770" s="5" t="s">
        <v>2857</v>
      </c>
    </row>
    <row r="771" spans="1:4" x14ac:dyDescent="0.3">
      <c r="A771" s="5" t="str">
        <f t="shared" ca="1" si="11"/>
        <v>длительность производственного цикла</v>
      </c>
      <c r="B771" s="5" t="s">
        <v>559</v>
      </c>
      <c r="C771" s="5" t="s">
        <v>1959</v>
      </c>
      <c r="D771" s="5" t="s">
        <v>2858</v>
      </c>
    </row>
    <row r="772" spans="1:4" x14ac:dyDescent="0.3">
      <c r="A772" s="5" t="str">
        <f t="shared" ref="A772:A836" ca="1" si="12">OFFSET(A772,0,Prj_Language)</f>
        <v>списано на продажи</v>
      </c>
      <c r="B772" s="5" t="s">
        <v>560</v>
      </c>
      <c r="C772" s="5" t="s">
        <v>1960</v>
      </c>
      <c r="D772" s="5" t="s">
        <v>2922</v>
      </c>
    </row>
    <row r="773" spans="1:4" x14ac:dyDescent="0.3">
      <c r="A773" s="5" t="str">
        <f t="shared" ca="1" si="12"/>
        <v>кредиторская задолженность</v>
      </c>
      <c r="B773" s="5" t="s">
        <v>302</v>
      </c>
      <c r="C773" s="5" t="s">
        <v>1928</v>
      </c>
      <c r="D773" s="5" t="s">
        <v>2923</v>
      </c>
    </row>
    <row r="774" spans="1:4" x14ac:dyDescent="0.3">
      <c r="A774" s="5" t="str">
        <f t="shared" ca="1" si="12"/>
        <v>период отсрочки платежа</v>
      </c>
      <c r="B774" s="5" t="s">
        <v>598</v>
      </c>
      <c r="C774" s="5" t="s">
        <v>1929</v>
      </c>
      <c r="D774" s="5" t="s">
        <v>2924</v>
      </c>
    </row>
    <row r="775" spans="1:4" x14ac:dyDescent="0.3">
      <c r="A775" s="5" t="str">
        <f t="shared" ca="1" si="12"/>
        <v>авансы уплаченные</v>
      </c>
      <c r="B775" s="5" t="s">
        <v>599</v>
      </c>
      <c r="C775" s="5" t="s">
        <v>1930</v>
      </c>
      <c r="D775" s="5" t="s">
        <v>2925</v>
      </c>
    </row>
    <row r="776" spans="1:4" x14ac:dyDescent="0.3">
      <c r="A776" s="5" t="str">
        <f t="shared" ca="1" si="12"/>
        <v>период предоплаты</v>
      </c>
      <c r="B776" s="5" t="s">
        <v>600</v>
      </c>
      <c r="C776" s="5" t="s">
        <v>1981</v>
      </c>
      <c r="D776" s="5" t="s">
        <v>2926</v>
      </c>
    </row>
    <row r="777" spans="1:4" x14ac:dyDescent="0.3">
      <c r="A777" s="5" t="str">
        <f t="shared" ca="1" si="12"/>
        <v>оплата постоянных издержек, с НДС</v>
      </c>
      <c r="B777" s="5" t="s">
        <v>1025</v>
      </c>
      <c r="C777" s="5" t="s">
        <v>1982</v>
      </c>
      <c r="D777" s="5" t="s">
        <v>2927</v>
      </c>
    </row>
    <row r="778" spans="1:4" x14ac:dyDescent="0.3">
      <c r="A778" s="5" t="str">
        <f t="shared" ref="A778:A790" ca="1" si="13">OFFSET(A778,0,Prj_Language)</f>
        <v>Итого: Управленческие издержки, с НДС</v>
      </c>
      <c r="B778" s="5" t="s">
        <v>788</v>
      </c>
      <c r="C778" s="5" t="s">
        <v>1984</v>
      </c>
      <c r="D778" s="5" t="s">
        <v>2928</v>
      </c>
    </row>
    <row r="779" spans="1:4" x14ac:dyDescent="0.3">
      <c r="A779" s="5" t="str">
        <f t="shared" ca="1" si="13"/>
        <v>сумма без НДС</v>
      </c>
      <c r="B779" s="5" t="s">
        <v>786</v>
      </c>
      <c r="C779" s="5" t="s">
        <v>1980</v>
      </c>
      <c r="D779" s="5" t="s">
        <v>2921</v>
      </c>
    </row>
    <row r="780" spans="1:4" x14ac:dyDescent="0.3">
      <c r="A780" s="5" t="str">
        <f t="shared" ca="1" si="13"/>
        <v>НДС начисленный</v>
      </c>
      <c r="B780" s="5" t="s">
        <v>520</v>
      </c>
      <c r="C780" s="5" t="s">
        <v>1908</v>
      </c>
      <c r="D780" s="5" t="s">
        <v>2868</v>
      </c>
    </row>
    <row r="781" spans="1:4" x14ac:dyDescent="0.3">
      <c r="A781" s="5" t="str">
        <f t="shared" ca="1" si="13"/>
        <v>затраты в запасах готовой продукции</v>
      </c>
      <c r="B781" s="5" t="s">
        <v>556</v>
      </c>
      <c r="C781" s="5" t="s">
        <v>1958</v>
      </c>
      <c r="D781" s="5" t="s">
        <v>2896</v>
      </c>
    </row>
    <row r="782" spans="1:4" x14ac:dyDescent="0.3">
      <c r="A782" s="5" t="str">
        <f t="shared" ca="1" si="13"/>
        <v>периодичность отгрузки</v>
      </c>
      <c r="B782" s="5" t="s">
        <v>557</v>
      </c>
      <c r="C782" s="5" t="s">
        <v>1924</v>
      </c>
      <c r="D782" s="5" t="s">
        <v>2895</v>
      </c>
    </row>
    <row r="783" spans="1:4" x14ac:dyDescent="0.3">
      <c r="A783" s="5" t="str">
        <f t="shared" ca="1" si="13"/>
        <v>затраты в незавершенном производстве</v>
      </c>
      <c r="B783" s="5" t="s">
        <v>558</v>
      </c>
      <c r="C783" s="5" t="s">
        <v>1926</v>
      </c>
      <c r="D783" s="5" t="s">
        <v>2857</v>
      </c>
    </row>
    <row r="784" spans="1:4" x14ac:dyDescent="0.3">
      <c r="A784" s="5" t="str">
        <f t="shared" ca="1" si="13"/>
        <v>длительность производственного цикла</v>
      </c>
      <c r="B784" s="5" t="s">
        <v>559</v>
      </c>
      <c r="C784" s="5" t="s">
        <v>1959</v>
      </c>
      <c r="D784" s="5" t="s">
        <v>2858</v>
      </c>
    </row>
    <row r="785" spans="1:4" x14ac:dyDescent="0.3">
      <c r="A785" s="5" t="str">
        <f t="shared" ca="1" si="13"/>
        <v>списано на продажи</v>
      </c>
      <c r="B785" s="5" t="s">
        <v>560</v>
      </c>
      <c r="C785" s="5" t="s">
        <v>1960</v>
      </c>
      <c r="D785" s="5" t="s">
        <v>2922</v>
      </c>
    </row>
    <row r="786" spans="1:4" x14ac:dyDescent="0.3">
      <c r="A786" s="5" t="str">
        <f t="shared" ca="1" si="13"/>
        <v>кредиторская задолженность</v>
      </c>
      <c r="B786" s="5" t="s">
        <v>302</v>
      </c>
      <c r="C786" s="5" t="s">
        <v>1928</v>
      </c>
      <c r="D786" s="5" t="s">
        <v>2923</v>
      </c>
    </row>
    <row r="787" spans="1:4" x14ac:dyDescent="0.3">
      <c r="A787" s="5" t="str">
        <f t="shared" ca="1" si="13"/>
        <v>период отсрочки платежа</v>
      </c>
      <c r="B787" s="5" t="s">
        <v>598</v>
      </c>
      <c r="C787" s="5" t="s">
        <v>1929</v>
      </c>
      <c r="D787" s="5" t="s">
        <v>2924</v>
      </c>
    </row>
    <row r="788" spans="1:4" x14ac:dyDescent="0.3">
      <c r="A788" s="5" t="str">
        <f t="shared" ca="1" si="13"/>
        <v>авансы уплаченные</v>
      </c>
      <c r="B788" s="5" t="s">
        <v>599</v>
      </c>
      <c r="C788" s="5" t="s">
        <v>1930</v>
      </c>
      <c r="D788" s="5" t="s">
        <v>2925</v>
      </c>
    </row>
    <row r="789" spans="1:4" x14ac:dyDescent="0.3">
      <c r="A789" s="5" t="str">
        <f t="shared" ca="1" si="13"/>
        <v>период предоплаты</v>
      </c>
      <c r="B789" s="5" t="s">
        <v>600</v>
      </c>
      <c r="C789" s="5" t="s">
        <v>1981</v>
      </c>
      <c r="D789" s="5" t="s">
        <v>2926</v>
      </c>
    </row>
    <row r="790" spans="1:4" x14ac:dyDescent="0.3">
      <c r="A790" s="5" t="str">
        <f t="shared" ca="1" si="13"/>
        <v>оплата постоянных издержек, с НДС</v>
      </c>
      <c r="B790" s="5" t="s">
        <v>1025</v>
      </c>
      <c r="C790" s="5" t="s">
        <v>1982</v>
      </c>
      <c r="D790" s="5" t="s">
        <v>2927</v>
      </c>
    </row>
    <row r="791" spans="1:4" x14ac:dyDescent="0.3">
      <c r="A791" s="5" t="str">
        <f t="shared" ca="1" si="12"/>
        <v>Итого: Коммерческие издержки, с НДС</v>
      </c>
      <c r="B791" s="5" t="s">
        <v>787</v>
      </c>
      <c r="C791" s="5" t="s">
        <v>1983</v>
      </c>
      <c r="D791" s="5" t="s">
        <v>2929</v>
      </c>
    </row>
    <row r="792" spans="1:4" x14ac:dyDescent="0.3">
      <c r="A792" s="5" t="str">
        <f t="shared" ca="1" si="12"/>
        <v>сумма без НДС</v>
      </c>
      <c r="B792" s="5" t="s">
        <v>786</v>
      </c>
      <c r="C792" s="5" t="s">
        <v>1980</v>
      </c>
      <c r="D792" s="5" t="s">
        <v>2921</v>
      </c>
    </row>
    <row r="793" spans="1:4" x14ac:dyDescent="0.3">
      <c r="A793" s="5" t="str">
        <f t="shared" ca="1" si="12"/>
        <v>НДС начисленный</v>
      </c>
      <c r="B793" s="5" t="s">
        <v>520</v>
      </c>
      <c r="C793" s="5" t="s">
        <v>1908</v>
      </c>
      <c r="D793" s="5" t="s">
        <v>2868</v>
      </c>
    </row>
    <row r="794" spans="1:4" x14ac:dyDescent="0.3">
      <c r="A794" s="5" t="str">
        <f t="shared" ca="1" si="12"/>
        <v>затраты в запасах готовой продукции</v>
      </c>
      <c r="B794" s="5" t="s">
        <v>556</v>
      </c>
      <c r="C794" s="5" t="s">
        <v>1958</v>
      </c>
      <c r="D794" s="5" t="s">
        <v>2896</v>
      </c>
    </row>
    <row r="795" spans="1:4" x14ac:dyDescent="0.3">
      <c r="A795" s="5" t="str">
        <f t="shared" ca="1" si="12"/>
        <v>периодичность отгрузки</v>
      </c>
      <c r="B795" s="5" t="s">
        <v>557</v>
      </c>
      <c r="C795" s="5" t="s">
        <v>1924</v>
      </c>
      <c r="D795" s="5" t="s">
        <v>2895</v>
      </c>
    </row>
    <row r="796" spans="1:4" x14ac:dyDescent="0.3">
      <c r="A796" s="5" t="str">
        <f t="shared" ca="1" si="12"/>
        <v>затраты в незавершенном производстве</v>
      </c>
      <c r="B796" s="5" t="s">
        <v>558</v>
      </c>
      <c r="C796" s="5" t="s">
        <v>1926</v>
      </c>
      <c r="D796" s="5" t="s">
        <v>2857</v>
      </c>
    </row>
    <row r="797" spans="1:4" x14ac:dyDescent="0.3">
      <c r="A797" s="5" t="str">
        <f t="shared" ca="1" si="12"/>
        <v>длительность производственного цикла</v>
      </c>
      <c r="B797" s="5" t="s">
        <v>559</v>
      </c>
      <c r="C797" s="5" t="s">
        <v>1959</v>
      </c>
      <c r="D797" s="5" t="s">
        <v>2858</v>
      </c>
    </row>
    <row r="798" spans="1:4" x14ac:dyDescent="0.3">
      <c r="A798" s="5" t="str">
        <f t="shared" ca="1" si="12"/>
        <v>списано на продажи</v>
      </c>
      <c r="B798" s="5" t="s">
        <v>560</v>
      </c>
      <c r="C798" s="5" t="s">
        <v>1960</v>
      </c>
      <c r="D798" s="5" t="s">
        <v>2922</v>
      </c>
    </row>
    <row r="799" spans="1:4" x14ac:dyDescent="0.3">
      <c r="A799" s="5" t="str">
        <f t="shared" ca="1" si="12"/>
        <v>кредиторская задолженность</v>
      </c>
      <c r="B799" s="5" t="s">
        <v>302</v>
      </c>
      <c r="C799" s="5" t="s">
        <v>1928</v>
      </c>
      <c r="D799" s="5" t="s">
        <v>2923</v>
      </c>
    </row>
    <row r="800" spans="1:4" x14ac:dyDescent="0.3">
      <c r="A800" s="5" t="str">
        <f t="shared" ca="1" si="12"/>
        <v>период отсрочки платежа</v>
      </c>
      <c r="B800" s="5" t="s">
        <v>598</v>
      </c>
      <c r="C800" s="5" t="s">
        <v>1929</v>
      </c>
      <c r="D800" s="5" t="s">
        <v>2924</v>
      </c>
    </row>
    <row r="801" spans="1:4" x14ac:dyDescent="0.3">
      <c r="A801" s="5" t="str">
        <f t="shared" ca="1" si="12"/>
        <v>авансы уплаченные</v>
      </c>
      <c r="B801" s="5" t="s">
        <v>599</v>
      </c>
      <c r="C801" s="5" t="s">
        <v>1930</v>
      </c>
      <c r="D801" s="5" t="s">
        <v>2925</v>
      </c>
    </row>
    <row r="802" spans="1:4" x14ac:dyDescent="0.3">
      <c r="A802" s="5" t="str">
        <f t="shared" ca="1" si="12"/>
        <v>период предоплаты</v>
      </c>
      <c r="B802" s="5" t="s">
        <v>600</v>
      </c>
      <c r="C802" s="5" t="s">
        <v>1981</v>
      </c>
      <c r="D802" s="5" t="s">
        <v>2926</v>
      </c>
    </row>
    <row r="803" spans="1:4" x14ac:dyDescent="0.3">
      <c r="A803" s="5" t="str">
        <f t="shared" ca="1" si="12"/>
        <v>оплата постоянных издержек, с НДС</v>
      </c>
      <c r="B803" s="5" t="s">
        <v>1025</v>
      </c>
      <c r="C803" s="5" t="s">
        <v>1982</v>
      </c>
      <c r="D803" s="5" t="s">
        <v>2927</v>
      </c>
    </row>
    <row r="804" spans="1:4" x14ac:dyDescent="0.3">
      <c r="A804" s="5" t="str">
        <f t="shared" ca="1" si="12"/>
        <v>Всего постоянных издержек, без НДС</v>
      </c>
      <c r="B804" s="5" t="s">
        <v>2330</v>
      </c>
      <c r="C804" s="5" t="s">
        <v>2331</v>
      </c>
      <c r="D804" s="5" t="s">
        <v>3355</v>
      </c>
    </row>
    <row r="805" spans="1:4" x14ac:dyDescent="0.3">
      <c r="A805" s="5" t="str">
        <f t="shared" ca="1" si="12"/>
        <v>Всего постоянных издержек, с НДС</v>
      </c>
      <c r="B805" s="5" t="s">
        <v>516</v>
      </c>
      <c r="C805" s="5" t="s">
        <v>1985</v>
      </c>
      <c r="D805" s="5" t="s">
        <v>2930</v>
      </c>
    </row>
    <row r="806" spans="1:4" x14ac:dyDescent="0.3">
      <c r="A806" s="154" t="str">
        <f t="shared" ca="1" si="12"/>
        <v>ОБОРОТНЫЙ КАПИТАЛ</v>
      </c>
      <c r="B806" s="5" t="s">
        <v>990</v>
      </c>
      <c r="C806" s="5" t="s">
        <v>1986</v>
      </c>
      <c r="D806" s="5" t="s">
        <v>2931</v>
      </c>
    </row>
    <row r="807" spans="1:4" x14ac:dyDescent="0.3">
      <c r="A807" s="5" t="str">
        <f t="shared" ca="1" si="12"/>
        <v>Дебиторская задолженность</v>
      </c>
      <c r="B807" s="5" t="s">
        <v>985</v>
      </c>
      <c r="C807" s="5" t="s">
        <v>1681</v>
      </c>
      <c r="D807" s="5" t="s">
        <v>2750</v>
      </c>
    </row>
    <row r="808" spans="1:4" x14ac:dyDescent="0.3">
      <c r="A808" s="5" t="str">
        <f t="shared" ca="1" si="12"/>
        <v>средний период отсрочки платежа</v>
      </c>
      <c r="B808" s="5" t="s">
        <v>545</v>
      </c>
      <c r="C808" s="5" t="s">
        <v>1987</v>
      </c>
      <c r="D808" s="5" t="s">
        <v>2932</v>
      </c>
    </row>
    <row r="809" spans="1:4" x14ac:dyDescent="0.3">
      <c r="A809" s="5" t="str">
        <f t="shared" ca="1" si="12"/>
        <v>величина из плана продаж</v>
      </c>
      <c r="B809" s="5" t="s">
        <v>1259</v>
      </c>
      <c r="C809" s="5" t="s">
        <v>1988</v>
      </c>
      <c r="D809" s="5" t="s">
        <v>2933</v>
      </c>
    </row>
    <row r="810" spans="1:4" x14ac:dyDescent="0.3">
      <c r="A810" s="5" t="str">
        <f t="shared" ca="1" si="12"/>
        <v>величина из стартового баланса</v>
      </c>
      <c r="B810" s="5" t="s">
        <v>1260</v>
      </c>
      <c r="C810" s="5" t="s">
        <v>1989</v>
      </c>
      <c r="D810" s="5" t="s">
        <v>2934</v>
      </c>
    </row>
    <row r="811" spans="1:4" x14ac:dyDescent="0.3">
      <c r="A811" s="5" t="str">
        <f t="shared" ca="1" si="12"/>
        <v>влияние стартового баланса на денежные средства</v>
      </c>
      <c r="B811" s="5" t="s">
        <v>1261</v>
      </c>
      <c r="C811" s="5" t="s">
        <v>1990</v>
      </c>
      <c r="D811" s="5" t="s">
        <v>2935</v>
      </c>
    </row>
    <row r="812" spans="1:4" x14ac:dyDescent="0.3">
      <c r="A812" s="5" t="str">
        <f t="shared" ca="1" si="12"/>
        <v>Авансы полученные</v>
      </c>
      <c r="B812" s="5" t="s">
        <v>986</v>
      </c>
      <c r="C812" s="5" t="s">
        <v>1702</v>
      </c>
      <c r="D812" s="5" t="s">
        <v>2847</v>
      </c>
    </row>
    <row r="813" spans="1:4" x14ac:dyDescent="0.3">
      <c r="A813" s="5" t="str">
        <f t="shared" ca="1" si="12"/>
        <v>средний период предоплаты</v>
      </c>
      <c r="B813" s="5" t="s">
        <v>544</v>
      </c>
      <c r="C813" s="5" t="s">
        <v>1987</v>
      </c>
      <c r="D813" s="5" t="s">
        <v>2936</v>
      </c>
    </row>
    <row r="814" spans="1:4" x14ac:dyDescent="0.3">
      <c r="A814" s="5" t="str">
        <f t="shared" ca="1" si="12"/>
        <v>величина из плана продаж</v>
      </c>
      <c r="B814" s="5" t="s">
        <v>1259</v>
      </c>
      <c r="C814" s="5" t="s">
        <v>1988</v>
      </c>
      <c r="D814" s="5" t="s">
        <v>2933</v>
      </c>
    </row>
    <row r="815" spans="1:4" x14ac:dyDescent="0.3">
      <c r="A815" s="5" t="str">
        <f t="shared" ca="1" si="12"/>
        <v>величина из стартового баланса</v>
      </c>
      <c r="B815" s="5" t="s">
        <v>1260</v>
      </c>
      <c r="C815" s="5" t="s">
        <v>1989</v>
      </c>
      <c r="D815" s="5" t="s">
        <v>2934</v>
      </c>
    </row>
    <row r="816" spans="1:4" x14ac:dyDescent="0.3">
      <c r="A816" s="5" t="str">
        <f t="shared" ca="1" si="12"/>
        <v>влияние стартового баланса на денежные средства</v>
      </c>
      <c r="B816" s="5" t="s">
        <v>1261</v>
      </c>
      <c r="C816" s="5" t="s">
        <v>1990</v>
      </c>
      <c r="D816" s="5" t="s">
        <v>2935</v>
      </c>
    </row>
    <row r="817" spans="1:4" x14ac:dyDescent="0.3">
      <c r="A817" s="5" t="str">
        <f t="shared" ca="1" si="12"/>
        <v>Запасы материалов и комплектующих</v>
      </c>
      <c r="B817" s="5" t="s">
        <v>1018</v>
      </c>
      <c r="C817" s="5" t="s">
        <v>1626</v>
      </c>
      <c r="D817" s="5" t="s">
        <v>2937</v>
      </c>
    </row>
    <row r="818" spans="1:4" x14ac:dyDescent="0.3">
      <c r="A818" s="5" t="str">
        <f t="shared" ca="1" si="12"/>
        <v>средний период оборачиваемости</v>
      </c>
      <c r="B818" s="5" t="s">
        <v>1017</v>
      </c>
      <c r="C818" s="5" t="s">
        <v>1987</v>
      </c>
      <c r="D818" s="5" t="s">
        <v>2938</v>
      </c>
    </row>
    <row r="819" spans="1:4" x14ac:dyDescent="0.3">
      <c r="A819" s="5" t="str">
        <f t="shared" ca="1" si="12"/>
        <v>величина из плана затрат</v>
      </c>
      <c r="B819" s="5" t="s">
        <v>1262</v>
      </c>
      <c r="C819" s="5" t="s">
        <v>1988</v>
      </c>
      <c r="D819" s="5" t="s">
        <v>2939</v>
      </c>
    </row>
    <row r="820" spans="1:4" x14ac:dyDescent="0.3">
      <c r="A820" s="5" t="str">
        <f t="shared" ca="1" si="12"/>
        <v>величина из стартового баланса</v>
      </c>
      <c r="B820" s="5" t="s">
        <v>1260</v>
      </c>
      <c r="C820" s="5" t="s">
        <v>1989</v>
      </c>
      <c r="D820" s="5" t="s">
        <v>2934</v>
      </c>
    </row>
    <row r="821" spans="1:4" x14ac:dyDescent="0.3">
      <c r="A821" s="5" t="str">
        <f t="shared" ca="1" si="12"/>
        <v>влияние стартового баланса на денежные средства</v>
      </c>
      <c r="B821" s="5" t="s">
        <v>1261</v>
      </c>
      <c r="C821" s="5" t="s">
        <v>1990</v>
      </c>
      <c r="D821" s="5" t="s">
        <v>2935</v>
      </c>
    </row>
    <row r="822" spans="1:4" x14ac:dyDescent="0.3">
      <c r="A822" s="5" t="str">
        <f t="shared" ca="1" si="12"/>
        <v>Незавершенное производство</v>
      </c>
      <c r="B822" s="5" t="s">
        <v>1004</v>
      </c>
      <c r="C822" s="5" t="s">
        <v>1684</v>
      </c>
      <c r="D822" s="5" t="s">
        <v>2753</v>
      </c>
    </row>
    <row r="823" spans="1:4" x14ac:dyDescent="0.3">
      <c r="A823" s="5" t="str">
        <f t="shared" ca="1" si="12"/>
        <v>средний период оборачиваемости</v>
      </c>
      <c r="B823" s="5" t="s">
        <v>1017</v>
      </c>
      <c r="C823" s="5" t="s">
        <v>1987</v>
      </c>
      <c r="D823" s="5" t="s">
        <v>2938</v>
      </c>
    </row>
    <row r="824" spans="1:4" x14ac:dyDescent="0.3">
      <c r="A824" s="5" t="str">
        <f t="shared" ca="1" si="12"/>
        <v>величина из плана затрат</v>
      </c>
      <c r="B824" s="5" t="s">
        <v>1262</v>
      </c>
      <c r="C824" s="5" t="s">
        <v>1988</v>
      </c>
      <c r="D824" s="5" t="s">
        <v>2939</v>
      </c>
    </row>
    <row r="825" spans="1:4" x14ac:dyDescent="0.3">
      <c r="A825" s="5" t="str">
        <f t="shared" ca="1" si="12"/>
        <v>величина из стартового баланса</v>
      </c>
      <c r="B825" s="5" t="s">
        <v>1260</v>
      </c>
      <c r="C825" s="5" t="s">
        <v>1989</v>
      </c>
      <c r="D825" s="5" t="s">
        <v>2934</v>
      </c>
    </row>
    <row r="826" spans="1:4" x14ac:dyDescent="0.3">
      <c r="A826" s="5" t="str">
        <f t="shared" ca="1" si="12"/>
        <v>влияние стартового баланса на денежные средства</v>
      </c>
      <c r="B826" s="5" t="s">
        <v>1261</v>
      </c>
      <c r="C826" s="5" t="s">
        <v>1990</v>
      </c>
      <c r="D826" s="5" t="s">
        <v>2935</v>
      </c>
    </row>
    <row r="827" spans="1:4" x14ac:dyDescent="0.3">
      <c r="A827" s="5" t="str">
        <f t="shared" ca="1" si="12"/>
        <v>Запасы готовой продукции</v>
      </c>
      <c r="B827" s="5" t="s">
        <v>1005</v>
      </c>
      <c r="C827" s="5" t="s">
        <v>1683</v>
      </c>
      <c r="D827" s="5" t="s">
        <v>2880</v>
      </c>
    </row>
    <row r="828" spans="1:4" x14ac:dyDescent="0.3">
      <c r="A828" s="5" t="str">
        <f t="shared" ca="1" si="12"/>
        <v>средний период оборачиваемости</v>
      </c>
      <c r="B828" s="5" t="s">
        <v>1017</v>
      </c>
      <c r="C828" s="5" t="s">
        <v>1987</v>
      </c>
      <c r="D828" s="5" t="s">
        <v>2938</v>
      </c>
    </row>
    <row r="829" spans="1:4" x14ac:dyDescent="0.3">
      <c r="A829" s="5" t="str">
        <f t="shared" ca="1" si="12"/>
        <v>величина из плана затрат</v>
      </c>
      <c r="B829" s="5" t="s">
        <v>1262</v>
      </c>
      <c r="C829" s="5" t="s">
        <v>1988</v>
      </c>
      <c r="D829" s="5" t="s">
        <v>2939</v>
      </c>
    </row>
    <row r="830" spans="1:4" x14ac:dyDescent="0.3">
      <c r="A830" s="5" t="str">
        <f t="shared" ca="1" si="12"/>
        <v>величина из стартового баланса</v>
      </c>
      <c r="B830" s="5" t="s">
        <v>1260</v>
      </c>
      <c r="C830" s="5" t="s">
        <v>1989</v>
      </c>
      <c r="D830" s="5" t="s">
        <v>2934</v>
      </c>
    </row>
    <row r="831" spans="1:4" x14ac:dyDescent="0.3">
      <c r="A831" s="5" t="str">
        <f t="shared" ca="1" si="12"/>
        <v>влияние стартового баланса на денежные средства</v>
      </c>
      <c r="B831" s="5" t="s">
        <v>1261</v>
      </c>
      <c r="C831" s="5" t="s">
        <v>1990</v>
      </c>
      <c r="D831" s="5" t="s">
        <v>2935</v>
      </c>
    </row>
    <row r="832" spans="1:4" x14ac:dyDescent="0.3">
      <c r="A832" s="5" t="str">
        <f t="shared" ca="1" si="12"/>
        <v>Кредиторская задолженность перед поставщиками</v>
      </c>
      <c r="B832" s="5" t="s">
        <v>1283</v>
      </c>
      <c r="C832" s="5" t="s">
        <v>1991</v>
      </c>
      <c r="D832" s="5" t="s">
        <v>2940</v>
      </c>
    </row>
    <row r="833" spans="1:4" x14ac:dyDescent="0.3">
      <c r="A833" s="5" t="str">
        <f t="shared" ca="1" si="12"/>
        <v>средний период отсрочки платежа</v>
      </c>
      <c r="B833" s="5" t="s">
        <v>545</v>
      </c>
      <c r="C833" s="5" t="s">
        <v>1987</v>
      </c>
      <c r="D833" s="5" t="s">
        <v>2941</v>
      </c>
    </row>
    <row r="834" spans="1:4" x14ac:dyDescent="0.3">
      <c r="A834" s="5" t="str">
        <f t="shared" ca="1" si="12"/>
        <v>величина из плана затрат</v>
      </c>
      <c r="B834" s="5" t="s">
        <v>1262</v>
      </c>
      <c r="C834" s="5" t="s">
        <v>1988</v>
      </c>
      <c r="D834" s="5" t="s">
        <v>2939</v>
      </c>
    </row>
    <row r="835" spans="1:4" x14ac:dyDescent="0.3">
      <c r="A835" s="5" t="str">
        <f t="shared" ca="1" si="12"/>
        <v>величина из стартового баланса</v>
      </c>
      <c r="B835" s="5" t="s">
        <v>1260</v>
      </c>
      <c r="C835" s="5" t="s">
        <v>1989</v>
      </c>
      <c r="D835" s="5" t="s">
        <v>2934</v>
      </c>
    </row>
    <row r="836" spans="1:4" x14ac:dyDescent="0.3">
      <c r="A836" s="5" t="str">
        <f t="shared" ca="1" si="12"/>
        <v>влияние стартового баланса на денежные средства</v>
      </c>
      <c r="B836" s="5" t="s">
        <v>1261</v>
      </c>
      <c r="C836" s="5" t="s">
        <v>1990</v>
      </c>
      <c r="D836" s="5" t="s">
        <v>2935</v>
      </c>
    </row>
    <row r="837" spans="1:4" x14ac:dyDescent="0.3">
      <c r="A837" s="5" t="str">
        <f t="shared" ref="A837:A900" ca="1" si="14">OFFSET(A837,0,Prj_Language)</f>
        <v>Авансы уплаченные</v>
      </c>
      <c r="B837" s="5" t="s">
        <v>1007</v>
      </c>
      <c r="C837" s="5" t="s">
        <v>1682</v>
      </c>
      <c r="D837" s="5" t="s">
        <v>2925</v>
      </c>
    </row>
    <row r="838" spans="1:4" x14ac:dyDescent="0.3">
      <c r="A838" s="5" t="str">
        <f t="shared" ca="1" si="14"/>
        <v>средний период предоплаты</v>
      </c>
      <c r="B838" s="5" t="s">
        <v>544</v>
      </c>
      <c r="C838" s="5" t="s">
        <v>1987</v>
      </c>
      <c r="D838" s="5" t="s">
        <v>2942</v>
      </c>
    </row>
    <row r="839" spans="1:4" x14ac:dyDescent="0.3">
      <c r="A839" s="5" t="str">
        <f t="shared" ca="1" si="14"/>
        <v>величина из плана затрат</v>
      </c>
      <c r="B839" s="5" t="s">
        <v>1262</v>
      </c>
      <c r="C839" s="5" t="s">
        <v>1988</v>
      </c>
      <c r="D839" s="5" t="s">
        <v>2939</v>
      </c>
    </row>
    <row r="840" spans="1:4" x14ac:dyDescent="0.3">
      <c r="A840" s="5" t="str">
        <f t="shared" ca="1" si="14"/>
        <v>величина из стартового баланса</v>
      </c>
      <c r="B840" s="5" t="s">
        <v>1260</v>
      </c>
      <c r="C840" s="5" t="s">
        <v>1989</v>
      </c>
      <c r="D840" s="5" t="s">
        <v>2934</v>
      </c>
    </row>
    <row r="841" spans="1:4" x14ac:dyDescent="0.3">
      <c r="A841" s="5" t="str">
        <f t="shared" ca="1" si="14"/>
        <v>влияние стартового баланса на денежные средства</v>
      </c>
      <c r="B841" s="5" t="s">
        <v>1261</v>
      </c>
      <c r="C841" s="5" t="s">
        <v>1990</v>
      </c>
      <c r="D841" s="5" t="s">
        <v>2935</v>
      </c>
    </row>
    <row r="842" spans="1:4" x14ac:dyDescent="0.3">
      <c r="A842" s="5" t="str">
        <f t="shared" ca="1" si="14"/>
        <v>Задолженность по заработной плате</v>
      </c>
      <c r="B842" s="5" t="s">
        <v>1020</v>
      </c>
      <c r="C842" s="5" t="s">
        <v>1701</v>
      </c>
      <c r="D842" s="5" t="s">
        <v>2770</v>
      </c>
    </row>
    <row r="843" spans="1:4" x14ac:dyDescent="0.3">
      <c r="A843" s="5" t="str">
        <f t="shared" ca="1" si="14"/>
        <v>средний период оборачиваемости</v>
      </c>
      <c r="B843" s="5" t="s">
        <v>1017</v>
      </c>
      <c r="C843" s="5" t="s">
        <v>1987</v>
      </c>
      <c r="D843" s="5" t="s">
        <v>2938</v>
      </c>
    </row>
    <row r="844" spans="1:4" x14ac:dyDescent="0.3">
      <c r="A844" s="5" t="str">
        <f t="shared" ca="1" si="14"/>
        <v>величина из плана затрат</v>
      </c>
      <c r="B844" s="5" t="s">
        <v>1262</v>
      </c>
      <c r="C844" s="5" t="s">
        <v>1988</v>
      </c>
      <c r="D844" s="5" t="s">
        <v>2939</v>
      </c>
    </row>
    <row r="845" spans="1:4" x14ac:dyDescent="0.3">
      <c r="A845" s="5" t="str">
        <f t="shared" ca="1" si="14"/>
        <v>величина из стартового баланса</v>
      </c>
      <c r="B845" s="5" t="s">
        <v>1260</v>
      </c>
      <c r="C845" s="5" t="s">
        <v>1989</v>
      </c>
      <c r="D845" s="5" t="s">
        <v>2934</v>
      </c>
    </row>
    <row r="846" spans="1:4" x14ac:dyDescent="0.3">
      <c r="A846" s="5" t="str">
        <f t="shared" ca="1" si="14"/>
        <v>влияние стартового баланса на денежные средства</v>
      </c>
      <c r="B846" s="5" t="s">
        <v>1261</v>
      </c>
      <c r="C846" s="5" t="s">
        <v>1990</v>
      </c>
      <c r="D846" s="5" t="s">
        <v>2935</v>
      </c>
    </row>
    <row r="847" spans="1:4" x14ac:dyDescent="0.3">
      <c r="A847" s="5" t="str">
        <f t="shared" ca="1" si="14"/>
        <v>Задолженность перед бюджетом и внебюджетными фондами</v>
      </c>
      <c r="B847" s="5" t="s">
        <v>1244</v>
      </c>
      <c r="C847" s="5" t="s">
        <v>1992</v>
      </c>
      <c r="D847" s="5" t="s">
        <v>2943</v>
      </c>
    </row>
    <row r="848" spans="1:4" x14ac:dyDescent="0.3">
      <c r="A848" s="5" t="str">
        <f t="shared" ca="1" si="14"/>
        <v>величина из плана продаж и затрат</v>
      </c>
      <c r="B848" s="5" t="s">
        <v>1263</v>
      </c>
      <c r="C848" s="5" t="s">
        <v>1988</v>
      </c>
      <c r="D848" s="5" t="s">
        <v>2944</v>
      </c>
    </row>
    <row r="849" spans="1:4" x14ac:dyDescent="0.3">
      <c r="A849" s="5" t="str">
        <f t="shared" ca="1" si="14"/>
        <v>величина из стартового баланса</v>
      </c>
      <c r="B849" s="5" t="s">
        <v>1260</v>
      </c>
      <c r="C849" s="5" t="s">
        <v>1989</v>
      </c>
      <c r="D849" s="5" t="s">
        <v>2934</v>
      </c>
    </row>
    <row r="850" spans="1:4" x14ac:dyDescent="0.3">
      <c r="A850" s="5" t="str">
        <f t="shared" ca="1" si="14"/>
        <v>влияние стартового баланса на денежные средства</v>
      </c>
      <c r="B850" s="5" t="s">
        <v>1261</v>
      </c>
      <c r="C850" s="5" t="s">
        <v>1990</v>
      </c>
      <c r="D850" s="5" t="s">
        <v>2935</v>
      </c>
    </row>
    <row r="851" spans="1:4" x14ac:dyDescent="0.3">
      <c r="A851" s="5" t="str">
        <f t="shared" ca="1" si="14"/>
        <v>Кредиторская задолженность за внеоборотные активы</v>
      </c>
      <c r="B851" s="5" t="s">
        <v>1284</v>
      </c>
      <c r="C851" s="5" t="s">
        <v>1699</v>
      </c>
      <c r="D851" s="5" t="s">
        <v>2768</v>
      </c>
    </row>
    <row r="852" spans="1:4" x14ac:dyDescent="0.3">
      <c r="A852" s="5" t="str">
        <f t="shared" ca="1" si="14"/>
        <v>величина из плана инвестиций</v>
      </c>
      <c r="B852" s="5" t="s">
        <v>1285</v>
      </c>
      <c r="C852" s="5" t="s">
        <v>1988</v>
      </c>
      <c r="D852" s="5" t="s">
        <v>2945</v>
      </c>
    </row>
    <row r="853" spans="1:4" x14ac:dyDescent="0.3">
      <c r="A853" s="5" t="str">
        <f t="shared" ca="1" si="14"/>
        <v>величина из стартового баланса</v>
      </c>
      <c r="B853" s="5" t="s">
        <v>1260</v>
      </c>
      <c r="C853" s="5" t="s">
        <v>1989</v>
      </c>
      <c r="D853" s="5" t="s">
        <v>2934</v>
      </c>
    </row>
    <row r="854" spans="1:4" x14ac:dyDescent="0.3">
      <c r="A854" s="5" t="str">
        <f t="shared" ca="1" si="14"/>
        <v>влияние стартового баланса на денежные средства</v>
      </c>
      <c r="B854" s="5" t="s">
        <v>1261</v>
      </c>
      <c r="C854" s="5" t="s">
        <v>1990</v>
      </c>
      <c r="D854" s="5" t="s">
        <v>2935</v>
      </c>
    </row>
    <row r="855" spans="1:4" x14ac:dyDescent="0.3">
      <c r="A855" s="5" t="str">
        <f t="shared" ca="1" si="14"/>
        <v>Итого оборотные активы</v>
      </c>
      <c r="B855" s="5" t="s">
        <v>1561</v>
      </c>
      <c r="C855" s="5" t="s">
        <v>1688</v>
      </c>
      <c r="D855" s="5" t="s">
        <v>2946</v>
      </c>
    </row>
    <row r="856" spans="1:4" x14ac:dyDescent="0.3">
      <c r="A856" s="5" t="str">
        <f t="shared" ca="1" si="14"/>
        <v>Итого краткосрочные обязательства</v>
      </c>
      <c r="B856" s="5" t="s">
        <v>1562</v>
      </c>
      <c r="C856" s="5" t="s">
        <v>1705</v>
      </c>
      <c r="D856" s="5" t="s">
        <v>2774</v>
      </c>
    </row>
    <row r="857" spans="1:4" x14ac:dyDescent="0.3">
      <c r="A857" s="5" t="str">
        <f t="shared" ca="1" si="14"/>
        <v>Чистый оборотный капитал</v>
      </c>
      <c r="B857" s="5" t="s">
        <v>1563</v>
      </c>
      <c r="C857" s="5" t="s">
        <v>1993</v>
      </c>
      <c r="D857" s="5" t="s">
        <v>2947</v>
      </c>
    </row>
    <row r="858" spans="1:4" x14ac:dyDescent="0.3">
      <c r="A858" s="5" t="str">
        <f t="shared" ca="1" si="14"/>
        <v>Изменение чистого оборотного капитала</v>
      </c>
      <c r="B858" s="5" t="s">
        <v>1564</v>
      </c>
      <c r="C858" s="5" t="s">
        <v>1994</v>
      </c>
      <c r="D858" s="5" t="s">
        <v>2948</v>
      </c>
    </row>
    <row r="859" spans="1:4" x14ac:dyDescent="0.3">
      <c r="A859" s="154" t="str">
        <f t="shared" ca="1" si="14"/>
        <v>ИНВЕСТИЦИИ В ОСНОВНЫЕ СРЕДСТВА</v>
      </c>
      <c r="B859" s="5" t="s">
        <v>242</v>
      </c>
      <c r="C859" s="5" t="s">
        <v>1995</v>
      </c>
      <c r="D859" s="5" t="s">
        <v>2949</v>
      </c>
    </row>
    <row r="860" spans="1:4" x14ac:dyDescent="0.3">
      <c r="A860" s="5" t="str">
        <f t="shared" ca="1" si="14"/>
        <v>Шаблон земельного участка</v>
      </c>
      <c r="B860" s="5" t="s">
        <v>288</v>
      </c>
      <c r="C860" s="5" t="s">
        <v>1996</v>
      </c>
      <c r="D860" s="5" t="s">
        <v>2950</v>
      </c>
    </row>
    <row r="861" spans="1:4" x14ac:dyDescent="0.3">
      <c r="A861" s="5" t="str">
        <f t="shared" ca="1" si="14"/>
        <v>график оплаты</v>
      </c>
      <c r="B861" s="5" t="s">
        <v>295</v>
      </c>
      <c r="C861" s="5" t="s">
        <v>1997</v>
      </c>
      <c r="D861" s="5" t="s">
        <v>2951</v>
      </c>
    </row>
    <row r="862" spans="1:4" x14ac:dyDescent="0.3">
      <c r="A862" s="5" t="str">
        <f t="shared" ca="1" si="14"/>
        <v>ранее осуществленные инвестиции</v>
      </c>
      <c r="B862" s="5" t="s">
        <v>296</v>
      </c>
      <c r="C862" s="5" t="s">
        <v>1998</v>
      </c>
      <c r="D862" s="5" t="s">
        <v>2952</v>
      </c>
    </row>
    <row r="863" spans="1:4" x14ac:dyDescent="0.3">
      <c r="A863" s="5" t="str">
        <f t="shared" ca="1" si="14"/>
        <v>график ввода в эксплуатацию</v>
      </c>
      <c r="B863" s="5" t="s">
        <v>297</v>
      </c>
      <c r="C863" s="5" t="s">
        <v>1999</v>
      </c>
      <c r="D863" s="5" t="s">
        <v>2953</v>
      </c>
    </row>
    <row r="864" spans="1:4" x14ac:dyDescent="0.3">
      <c r="A864" s="5" t="str">
        <f t="shared" ca="1" si="14"/>
        <v>выручка от продажи актива</v>
      </c>
      <c r="B864" s="5" t="s">
        <v>298</v>
      </c>
      <c r="C864" s="5" t="s">
        <v>2000</v>
      </c>
      <c r="D864" s="5" t="s">
        <v>2954</v>
      </c>
    </row>
    <row r="865" spans="1:4" x14ac:dyDescent="0.3">
      <c r="A865" s="5" t="str">
        <f t="shared" ca="1" si="14"/>
        <v>суммы в осн. валюте: график оплаты</v>
      </c>
      <c r="B865" s="5" t="s">
        <v>299</v>
      </c>
      <c r="C865" s="5" t="s">
        <v>2001</v>
      </c>
      <c r="D865" s="5" t="s">
        <v>2955</v>
      </c>
    </row>
    <row r="866" spans="1:4" x14ac:dyDescent="0.3">
      <c r="A866" s="5" t="str">
        <f t="shared" ca="1" si="14"/>
        <v>ранее осуществленные инвестици</v>
      </c>
      <c r="B866" s="5" t="s">
        <v>300</v>
      </c>
      <c r="C866" s="5" t="s">
        <v>1998</v>
      </c>
      <c r="D866" s="5" t="s">
        <v>2952</v>
      </c>
    </row>
    <row r="867" spans="1:4" x14ac:dyDescent="0.3">
      <c r="A867" s="5" t="str">
        <f t="shared" ca="1" si="14"/>
        <v>график ввода в эксплуатацию</v>
      </c>
      <c r="B867" s="5" t="s">
        <v>297</v>
      </c>
      <c r="C867" s="5" t="s">
        <v>1999</v>
      </c>
      <c r="D867" s="5" t="s">
        <v>2953</v>
      </c>
    </row>
    <row r="868" spans="1:4" x14ac:dyDescent="0.3">
      <c r="A868" s="5" t="str">
        <f t="shared" ca="1" si="14"/>
        <v>незавершенные инвестиции</v>
      </c>
      <c r="B868" s="5" t="s">
        <v>301</v>
      </c>
      <c r="C868" s="5" t="s">
        <v>2002</v>
      </c>
      <c r="D868" s="5" t="s">
        <v>2763</v>
      </c>
    </row>
    <row r="869" spans="1:4" x14ac:dyDescent="0.3">
      <c r="A869" s="5" t="str">
        <f t="shared" ca="1" si="14"/>
        <v>кредиторская задолженность</v>
      </c>
      <c r="B869" s="5" t="s">
        <v>302</v>
      </c>
      <c r="C869" s="5" t="s">
        <v>1928</v>
      </c>
      <c r="D869" s="5" t="s">
        <v>2809</v>
      </c>
    </row>
    <row r="870" spans="1:4" x14ac:dyDescent="0.3">
      <c r="A870" s="5" t="str">
        <f t="shared" ca="1" si="14"/>
        <v>балансовая стоимость</v>
      </c>
      <c r="B870" s="5" t="s">
        <v>303</v>
      </c>
      <c r="C870" s="5" t="s">
        <v>1726</v>
      </c>
      <c r="D870" s="5" t="s">
        <v>2793</v>
      </c>
    </row>
    <row r="871" spans="1:4" x14ac:dyDescent="0.3">
      <c r="A871" s="5" t="str">
        <f t="shared" ca="1" si="14"/>
        <v>прибыль/убыток от продажи актива</v>
      </c>
      <c r="B871" s="5" t="s">
        <v>304</v>
      </c>
      <c r="C871" s="5" t="s">
        <v>2003</v>
      </c>
      <c r="D871" s="5" t="s">
        <v>2956</v>
      </c>
    </row>
    <row r="872" spans="1:4" x14ac:dyDescent="0.3">
      <c r="A872" s="5" t="str">
        <f t="shared" ca="1" si="14"/>
        <v>курсовые разницы</v>
      </c>
      <c r="B872" s="5" t="s">
        <v>1276</v>
      </c>
      <c r="C872" s="5" t="s">
        <v>2004</v>
      </c>
      <c r="D872" s="5" t="s">
        <v>2848</v>
      </c>
    </row>
    <row r="873" spans="1:4" x14ac:dyDescent="0.3">
      <c r="A873" s="5" t="str">
        <f t="shared" ca="1" si="14"/>
        <v>Шаблон здания</v>
      </c>
      <c r="B873" s="5" t="s">
        <v>289</v>
      </c>
      <c r="C873" s="5" t="s">
        <v>2005</v>
      </c>
      <c r="D873" s="5" t="s">
        <v>2957</v>
      </c>
    </row>
    <row r="874" spans="1:4" x14ac:dyDescent="0.3">
      <c r="A874" s="5" t="str">
        <f t="shared" ca="1" si="14"/>
        <v>график оплаты, без НДС</v>
      </c>
      <c r="B874" s="5" t="s">
        <v>305</v>
      </c>
      <c r="C874" s="5" t="s">
        <v>2006</v>
      </c>
      <c r="D874" s="5" t="s">
        <v>2958</v>
      </c>
    </row>
    <row r="875" spans="1:4" x14ac:dyDescent="0.3">
      <c r="A875" s="5" t="str">
        <f t="shared" ca="1" si="14"/>
        <v>ранее осуществленные инвестиции, без НДС</v>
      </c>
      <c r="B875" s="5" t="s">
        <v>306</v>
      </c>
      <c r="C875" s="5" t="s">
        <v>2007</v>
      </c>
      <c r="D875" s="5" t="s">
        <v>2959</v>
      </c>
    </row>
    <row r="876" spans="1:4" x14ac:dyDescent="0.3">
      <c r="A876" s="5" t="str">
        <f t="shared" ca="1" si="14"/>
        <v>график ввода в эксплуатацию, без НДС</v>
      </c>
      <c r="B876" s="5" t="s">
        <v>307</v>
      </c>
      <c r="C876" s="5" t="s">
        <v>2008</v>
      </c>
      <c r="D876" s="5" t="s">
        <v>2960</v>
      </c>
    </row>
    <row r="877" spans="1:4" x14ac:dyDescent="0.3">
      <c r="A877" s="5" t="str">
        <f t="shared" ca="1" si="14"/>
        <v xml:space="preserve">срок полезного использования </v>
      </c>
      <c r="B877" s="5" t="s">
        <v>309</v>
      </c>
      <c r="C877" s="5" t="s">
        <v>1724</v>
      </c>
      <c r="D877" s="5" t="s">
        <v>2961</v>
      </c>
    </row>
    <row r="878" spans="1:4" x14ac:dyDescent="0.3">
      <c r="A878" s="5" t="str">
        <f t="shared" ca="1" si="14"/>
        <v>амортизационная премия для налоговой амортизации</v>
      </c>
      <c r="B878" s="5" t="s">
        <v>321</v>
      </c>
      <c r="C878" s="5" t="s">
        <v>2009</v>
      </c>
      <c r="D878" s="5" t="s">
        <v>2962</v>
      </c>
    </row>
    <row r="879" spans="1:4" x14ac:dyDescent="0.3">
      <c r="A879" s="5" t="str">
        <f t="shared" ca="1" si="14"/>
        <v>ставка НДС</v>
      </c>
      <c r="B879" s="5" t="s">
        <v>312</v>
      </c>
      <c r="C879" s="5" t="s">
        <v>1904</v>
      </c>
      <c r="D879" s="5" t="s">
        <v>2832</v>
      </c>
    </row>
    <row r="880" spans="1:4" x14ac:dyDescent="0.3">
      <c r="A880" s="5" t="str">
        <f t="shared" ca="1" si="14"/>
        <v>выручка от продажи актива, без НДС</v>
      </c>
      <c r="B880" s="5" t="s">
        <v>317</v>
      </c>
      <c r="C880" s="5" t="s">
        <v>2010</v>
      </c>
      <c r="D880" s="5" t="s">
        <v>2963</v>
      </c>
    </row>
    <row r="881" spans="1:4" x14ac:dyDescent="0.3">
      <c r="A881" s="5" t="str">
        <f t="shared" ca="1" si="14"/>
        <v>суммы в осн. валюте: график оплаты, без НДС</v>
      </c>
      <c r="B881" s="5" t="s">
        <v>308</v>
      </c>
      <c r="C881" s="5" t="s">
        <v>2011</v>
      </c>
      <c r="D881" s="5" t="s">
        <v>2964</v>
      </c>
    </row>
    <row r="882" spans="1:4" x14ac:dyDescent="0.3">
      <c r="A882" s="5" t="str">
        <f t="shared" ca="1" si="14"/>
        <v>ранее осуществленные инвестиции, без НДС</v>
      </c>
      <c r="B882" s="5" t="s">
        <v>306</v>
      </c>
      <c r="C882" s="5" t="s">
        <v>2007</v>
      </c>
      <c r="D882" s="5" t="s">
        <v>2959</v>
      </c>
    </row>
    <row r="883" spans="1:4" x14ac:dyDescent="0.3">
      <c r="A883" s="5" t="str">
        <f t="shared" ca="1" si="14"/>
        <v>НДС к ранее осуществленным инвестициям</v>
      </c>
      <c r="B883" s="5" t="s">
        <v>1271</v>
      </c>
      <c r="C883" s="5" t="s">
        <v>2012</v>
      </c>
      <c r="D883" s="5" t="s">
        <v>2965</v>
      </c>
    </row>
    <row r="884" spans="1:4" x14ac:dyDescent="0.3">
      <c r="A884" s="5" t="str">
        <f t="shared" ca="1" si="14"/>
        <v>график ввода в эксплуатацию, без НДС</v>
      </c>
      <c r="B884" s="5" t="s">
        <v>307</v>
      </c>
      <c r="C884" s="5" t="s">
        <v>2008</v>
      </c>
      <c r="D884" s="5" t="s">
        <v>2960</v>
      </c>
    </row>
    <row r="885" spans="1:4" x14ac:dyDescent="0.3">
      <c r="A885" s="5" t="str">
        <f t="shared" ca="1" si="14"/>
        <v>незавершенные инвестиции</v>
      </c>
      <c r="B885" s="5" t="s">
        <v>301</v>
      </c>
      <c r="C885" s="5" t="s">
        <v>2002</v>
      </c>
      <c r="D885" s="5" t="s">
        <v>2763</v>
      </c>
    </row>
    <row r="886" spans="1:4" x14ac:dyDescent="0.3">
      <c r="A886" s="5" t="str">
        <f t="shared" ca="1" si="14"/>
        <v>кредиторская задолженность</v>
      </c>
      <c r="B886" s="5" t="s">
        <v>302</v>
      </c>
      <c r="C886" s="5" t="s">
        <v>1928</v>
      </c>
      <c r="D886" s="5" t="s">
        <v>2809</v>
      </c>
    </row>
    <row r="887" spans="1:4" x14ac:dyDescent="0.3">
      <c r="A887" s="5" t="str">
        <f t="shared" ca="1" si="14"/>
        <v>амортизация (бухгалтерская)</v>
      </c>
      <c r="B887" s="5" t="s">
        <v>310</v>
      </c>
      <c r="C887" s="5" t="s">
        <v>2013</v>
      </c>
      <c r="D887" s="5" t="s">
        <v>2966</v>
      </c>
    </row>
    <row r="888" spans="1:4" x14ac:dyDescent="0.3">
      <c r="A888" s="5" t="str">
        <f t="shared" ca="1" si="14"/>
        <v>балансовая стоимость (бухгалтерская)</v>
      </c>
      <c r="B888" s="5" t="s">
        <v>311</v>
      </c>
      <c r="C888" s="5" t="s">
        <v>2014</v>
      </c>
      <c r="D888" s="5" t="s">
        <v>2967</v>
      </c>
    </row>
    <row r="889" spans="1:4" x14ac:dyDescent="0.3">
      <c r="A889" s="5" t="str">
        <f t="shared" ca="1" si="14"/>
        <v>выплаченный НДС</v>
      </c>
      <c r="B889" s="5" t="s">
        <v>313</v>
      </c>
      <c r="C889" s="5" t="s">
        <v>1685</v>
      </c>
      <c r="D889" s="5" t="s">
        <v>2968</v>
      </c>
    </row>
    <row r="890" spans="1:4" x14ac:dyDescent="0.3">
      <c r="A890" s="5" t="str">
        <f t="shared" ca="1" si="14"/>
        <v>зачтенный НДС</v>
      </c>
      <c r="B890" s="5" t="s">
        <v>314</v>
      </c>
      <c r="C890" s="5" t="s">
        <v>2015</v>
      </c>
      <c r="D890" s="5" t="s">
        <v>2969</v>
      </c>
    </row>
    <row r="891" spans="1:4" x14ac:dyDescent="0.3">
      <c r="A891" s="5" t="str">
        <f t="shared" ca="1" si="14"/>
        <v>амортизация (налоговая)</v>
      </c>
      <c r="B891" s="5" t="s">
        <v>315</v>
      </c>
      <c r="C891" s="5" t="s">
        <v>2016</v>
      </c>
      <c r="D891" s="5" t="s">
        <v>2970</v>
      </c>
    </row>
    <row r="892" spans="1:4" x14ac:dyDescent="0.3">
      <c r="A892" s="5" t="str">
        <f t="shared" ca="1" si="14"/>
        <v>балансовая стоимость (налоговая)</v>
      </c>
      <c r="B892" s="5" t="s">
        <v>316</v>
      </c>
      <c r="C892" s="5" t="s">
        <v>2017</v>
      </c>
      <c r="D892" s="5" t="s">
        <v>2971</v>
      </c>
    </row>
    <row r="893" spans="1:4" x14ac:dyDescent="0.3">
      <c r="A893" s="5" t="str">
        <f t="shared" ca="1" si="14"/>
        <v>прибыль/убыток от продажи актива (бухгалтерская)</v>
      </c>
      <c r="B893" s="5" t="s">
        <v>318</v>
      </c>
      <c r="C893" s="5" t="s">
        <v>2018</v>
      </c>
      <c r="D893" s="5" t="s">
        <v>2972</v>
      </c>
    </row>
    <row r="894" spans="1:4" x14ac:dyDescent="0.3">
      <c r="A894" s="5" t="str">
        <f t="shared" ca="1" si="14"/>
        <v>прибыль/убыток от продажи актива (налоговая)</v>
      </c>
      <c r="B894" s="5" t="s">
        <v>319</v>
      </c>
      <c r="C894" s="5" t="s">
        <v>2019</v>
      </c>
      <c r="D894" s="5" t="s">
        <v>2973</v>
      </c>
    </row>
    <row r="895" spans="1:4" x14ac:dyDescent="0.3">
      <c r="A895" s="5" t="str">
        <f t="shared" ca="1" si="14"/>
        <v>НДС к выручке от продажи актива</v>
      </c>
      <c r="B895" s="5" t="s">
        <v>320</v>
      </c>
      <c r="C895" s="5" t="s">
        <v>2020</v>
      </c>
      <c r="D895" s="5" t="s">
        <v>2974</v>
      </c>
    </row>
    <row r="896" spans="1:4" x14ac:dyDescent="0.3">
      <c r="A896" s="5" t="str">
        <f t="shared" ca="1" si="14"/>
        <v>курсовые разницы</v>
      </c>
      <c r="B896" s="5" t="s">
        <v>1276</v>
      </c>
      <c r="C896" s="5" t="s">
        <v>2004</v>
      </c>
      <c r="D896" s="5" t="s">
        <v>2848</v>
      </c>
    </row>
    <row r="897" spans="1:4" x14ac:dyDescent="0.3">
      <c r="A897" s="5" t="str">
        <f t="shared" ca="1" si="14"/>
        <v>Шаблон оборудования</v>
      </c>
      <c r="B897" s="5" t="s">
        <v>290</v>
      </c>
      <c r="C897" s="5" t="s">
        <v>2021</v>
      </c>
      <c r="D897" s="5" t="s">
        <v>2975</v>
      </c>
    </row>
    <row r="898" spans="1:4" x14ac:dyDescent="0.3">
      <c r="A898" s="5" t="str">
        <f t="shared" ca="1" si="14"/>
        <v>график оплаты, без НДС</v>
      </c>
      <c r="B898" s="5" t="s">
        <v>305</v>
      </c>
      <c r="C898" s="5" t="s">
        <v>2006</v>
      </c>
      <c r="D898" s="5" t="s">
        <v>2958</v>
      </c>
    </row>
    <row r="899" spans="1:4" x14ac:dyDescent="0.3">
      <c r="A899" s="5" t="str">
        <f t="shared" ca="1" si="14"/>
        <v>ранее осуществленные инвестиции, без НДС</v>
      </c>
      <c r="B899" s="5" t="s">
        <v>306</v>
      </c>
      <c r="C899" s="5" t="s">
        <v>2007</v>
      </c>
      <c r="D899" s="5" t="s">
        <v>2959</v>
      </c>
    </row>
    <row r="900" spans="1:4" x14ac:dyDescent="0.3">
      <c r="A900" s="5" t="str">
        <f t="shared" ca="1" si="14"/>
        <v>график ввода в эксплуатацию, без НДС</v>
      </c>
      <c r="B900" s="5" t="s">
        <v>307</v>
      </c>
      <c r="C900" s="5" t="s">
        <v>2008</v>
      </c>
      <c r="D900" s="5" t="s">
        <v>2960</v>
      </c>
    </row>
    <row r="901" spans="1:4" x14ac:dyDescent="0.3">
      <c r="A901" s="5" t="str">
        <f t="shared" ref="A901:A964" ca="1" si="15">OFFSET(A901,0,Prj_Language)</f>
        <v xml:space="preserve">срок полезного использования </v>
      </c>
      <c r="B901" s="5" t="s">
        <v>309</v>
      </c>
      <c r="C901" s="5" t="s">
        <v>1724</v>
      </c>
      <c r="D901" s="5" t="s">
        <v>2961</v>
      </c>
    </row>
    <row r="902" spans="1:4" x14ac:dyDescent="0.3">
      <c r="A902" s="5" t="str">
        <f t="shared" ca="1" si="15"/>
        <v>амортизационная премия для налоговой амортизации</v>
      </c>
      <c r="B902" s="5" t="s">
        <v>321</v>
      </c>
      <c r="C902" s="5" t="s">
        <v>2009</v>
      </c>
      <c r="D902" s="5" t="s">
        <v>2976</v>
      </c>
    </row>
    <row r="903" spans="1:4" x14ac:dyDescent="0.3">
      <c r="A903" s="5" t="str">
        <f t="shared" ca="1" si="15"/>
        <v>импорт оборудования</v>
      </c>
      <c r="B903" s="5" t="s">
        <v>322</v>
      </c>
      <c r="C903" s="5" t="s">
        <v>2022</v>
      </c>
      <c r="D903" s="5" t="s">
        <v>2977</v>
      </c>
    </row>
    <row r="904" spans="1:4" x14ac:dyDescent="0.3">
      <c r="A904" s="5" t="str">
        <f t="shared" ca="1" si="15"/>
        <v>пересечение границы при импорте</v>
      </c>
      <c r="B904" s="5" t="s">
        <v>323</v>
      </c>
      <c r="C904" s="5" t="s">
        <v>2023</v>
      </c>
      <c r="D904" s="5" t="s">
        <v>2978</v>
      </c>
    </row>
    <row r="905" spans="1:4" x14ac:dyDescent="0.3">
      <c r="A905" s="5" t="str">
        <f t="shared" ca="1" si="15"/>
        <v>импортная пошлина</v>
      </c>
      <c r="B905" s="5" t="s">
        <v>324</v>
      </c>
      <c r="C905" s="5" t="s">
        <v>2024</v>
      </c>
      <c r="D905" s="5" t="s">
        <v>2979</v>
      </c>
    </row>
    <row r="906" spans="1:4" x14ac:dyDescent="0.3">
      <c r="A906" s="5" t="str">
        <f t="shared" ca="1" si="15"/>
        <v>ставка НДС</v>
      </c>
      <c r="B906" s="5" t="s">
        <v>312</v>
      </c>
      <c r="C906" s="5" t="s">
        <v>1904</v>
      </c>
      <c r="D906" s="5" t="s">
        <v>2832</v>
      </c>
    </row>
    <row r="907" spans="1:4" x14ac:dyDescent="0.3">
      <c r="A907" s="5" t="str">
        <f t="shared" ca="1" si="15"/>
        <v>выручка от продажи актива, без НДС</v>
      </c>
      <c r="B907" s="5" t="s">
        <v>317</v>
      </c>
      <c r="C907" s="5" t="s">
        <v>2010</v>
      </c>
      <c r="D907" s="5" t="s">
        <v>2963</v>
      </c>
    </row>
    <row r="908" spans="1:4" x14ac:dyDescent="0.3">
      <c r="A908" s="5" t="str">
        <f t="shared" ca="1" si="15"/>
        <v>суммы в осн. валюте: график оплаты, без НДС</v>
      </c>
      <c r="B908" s="5" t="s">
        <v>308</v>
      </c>
      <c r="C908" s="5" t="s">
        <v>2011</v>
      </c>
      <c r="D908" s="5" t="s">
        <v>2964</v>
      </c>
    </row>
    <row r="909" spans="1:4" x14ac:dyDescent="0.3">
      <c r="A909" s="5" t="str">
        <f t="shared" ca="1" si="15"/>
        <v>ранее осуществленные инвестиции, без НДС</v>
      </c>
      <c r="B909" s="5" t="s">
        <v>306</v>
      </c>
      <c r="C909" s="5" t="s">
        <v>2007</v>
      </c>
      <c r="D909" s="5" t="s">
        <v>2959</v>
      </c>
    </row>
    <row r="910" spans="1:4" x14ac:dyDescent="0.3">
      <c r="A910" s="5" t="str">
        <f t="shared" ca="1" si="15"/>
        <v>НДС к ранее осуществленным инвестициям</v>
      </c>
      <c r="B910" s="5" t="s">
        <v>1271</v>
      </c>
      <c r="C910" s="5" t="s">
        <v>2012</v>
      </c>
      <c r="D910" s="5" t="s">
        <v>2965</v>
      </c>
    </row>
    <row r="911" spans="1:4" x14ac:dyDescent="0.3">
      <c r="A911" s="5" t="str">
        <f t="shared" ca="1" si="15"/>
        <v>график ввода в эксплуатацию, без НДС</v>
      </c>
      <c r="B911" s="5" t="s">
        <v>307</v>
      </c>
      <c r="C911" s="5" t="s">
        <v>2008</v>
      </c>
      <c r="D911" s="5" t="s">
        <v>2960</v>
      </c>
    </row>
    <row r="912" spans="1:4" x14ac:dyDescent="0.3">
      <c r="A912" s="5" t="str">
        <f t="shared" ca="1" si="15"/>
        <v>импортная пошлина</v>
      </c>
      <c r="B912" s="5" t="s">
        <v>324</v>
      </c>
      <c r="C912" s="5" t="s">
        <v>2024</v>
      </c>
      <c r="D912" s="5" t="s">
        <v>2979</v>
      </c>
    </row>
    <row r="913" spans="1:4" x14ac:dyDescent="0.3">
      <c r="A913" s="5" t="str">
        <f t="shared" ca="1" si="15"/>
        <v>незавершенные инвестиции</v>
      </c>
      <c r="B913" s="5" t="s">
        <v>301</v>
      </c>
      <c r="C913" s="5" t="s">
        <v>2002</v>
      </c>
      <c r="D913" s="5" t="s">
        <v>2763</v>
      </c>
    </row>
    <row r="914" spans="1:4" x14ac:dyDescent="0.3">
      <c r="A914" s="5" t="str">
        <f t="shared" ca="1" si="15"/>
        <v>кредиторская задолженность</v>
      </c>
      <c r="B914" s="5" t="s">
        <v>302</v>
      </c>
      <c r="C914" s="5" t="s">
        <v>1928</v>
      </c>
      <c r="D914" s="5" t="s">
        <v>2923</v>
      </c>
    </row>
    <row r="915" spans="1:4" x14ac:dyDescent="0.3">
      <c r="A915" s="5" t="str">
        <f t="shared" ca="1" si="15"/>
        <v>амортизация (бухгалтерская)</v>
      </c>
      <c r="B915" s="5" t="s">
        <v>310</v>
      </c>
      <c r="C915" s="5" t="s">
        <v>2013</v>
      </c>
      <c r="D915" s="5" t="s">
        <v>2966</v>
      </c>
    </row>
    <row r="916" spans="1:4" x14ac:dyDescent="0.3">
      <c r="A916" s="5" t="str">
        <f t="shared" ca="1" si="15"/>
        <v>балансовая стоимость (бухгалтерская)</v>
      </c>
      <c r="B916" s="5" t="s">
        <v>311</v>
      </c>
      <c r="C916" s="5" t="s">
        <v>2014</v>
      </c>
      <c r="D916" s="5" t="s">
        <v>2967</v>
      </c>
    </row>
    <row r="917" spans="1:4" x14ac:dyDescent="0.3">
      <c r="A917" s="5" t="str">
        <f t="shared" ca="1" si="15"/>
        <v>выплаченный НДС</v>
      </c>
      <c r="B917" s="5" t="s">
        <v>313</v>
      </c>
      <c r="C917" s="5" t="s">
        <v>1685</v>
      </c>
      <c r="D917" s="5" t="s">
        <v>2968</v>
      </c>
    </row>
    <row r="918" spans="1:4" x14ac:dyDescent="0.3">
      <c r="A918" s="5" t="str">
        <f t="shared" ca="1" si="15"/>
        <v>зачтенный НДС</v>
      </c>
      <c r="B918" s="5" t="s">
        <v>314</v>
      </c>
      <c r="C918" s="5" t="s">
        <v>2015</v>
      </c>
      <c r="D918" s="5" t="s">
        <v>2969</v>
      </c>
    </row>
    <row r="919" spans="1:4" x14ac:dyDescent="0.3">
      <c r="A919" s="5" t="str">
        <f t="shared" ca="1" si="15"/>
        <v>амортизация (налоговая)</v>
      </c>
      <c r="B919" s="5" t="s">
        <v>315</v>
      </c>
      <c r="C919" s="5" t="s">
        <v>2016</v>
      </c>
      <c r="D919" s="5" t="s">
        <v>2970</v>
      </c>
    </row>
    <row r="920" spans="1:4" x14ac:dyDescent="0.3">
      <c r="A920" s="5" t="str">
        <f t="shared" ca="1" si="15"/>
        <v>балансовая стоимость (налоговая)</v>
      </c>
      <c r="B920" s="5" t="s">
        <v>316</v>
      </c>
      <c r="C920" s="5" t="s">
        <v>2017</v>
      </c>
      <c r="D920" s="5" t="s">
        <v>2971</v>
      </c>
    </row>
    <row r="921" spans="1:4" x14ac:dyDescent="0.3">
      <c r="A921" s="5" t="str">
        <f t="shared" ca="1" si="15"/>
        <v>прибыль/убыток от продажи актива (бухгалтерская)</v>
      </c>
      <c r="B921" s="5" t="s">
        <v>318</v>
      </c>
      <c r="C921" s="5" t="s">
        <v>2018</v>
      </c>
      <c r="D921" s="5" t="s">
        <v>2972</v>
      </c>
    </row>
    <row r="922" spans="1:4" x14ac:dyDescent="0.3">
      <c r="A922" s="5" t="str">
        <f t="shared" ca="1" si="15"/>
        <v>прибыль/убыток от продажи актива (налоговая)</v>
      </c>
      <c r="B922" s="5" t="s">
        <v>319</v>
      </c>
      <c r="C922" s="5" t="s">
        <v>2019</v>
      </c>
      <c r="D922" s="5" t="s">
        <v>2973</v>
      </c>
    </row>
    <row r="923" spans="1:4" x14ac:dyDescent="0.3">
      <c r="A923" s="5" t="str">
        <f t="shared" ca="1" si="15"/>
        <v>НДС к выручке от продажи актива</v>
      </c>
      <c r="B923" s="5" t="s">
        <v>320</v>
      </c>
      <c r="C923" s="5" t="s">
        <v>2020</v>
      </c>
      <c r="D923" s="5" t="s">
        <v>2974</v>
      </c>
    </row>
    <row r="924" spans="1:4" x14ac:dyDescent="0.3">
      <c r="A924" s="5" t="str">
        <f t="shared" ca="1" si="15"/>
        <v>курсовые разницы</v>
      </c>
      <c r="B924" s="5" t="s">
        <v>1276</v>
      </c>
      <c r="C924" s="5" t="s">
        <v>2004</v>
      </c>
      <c r="D924" s="5" t="s">
        <v>2848</v>
      </c>
    </row>
    <row r="925" spans="1:4" x14ac:dyDescent="0.3">
      <c r="A925" s="5" t="str">
        <f t="shared" ca="1" si="15"/>
        <v>Шаблон нематериальных активов</v>
      </c>
      <c r="B925" s="5" t="s">
        <v>291</v>
      </c>
      <c r="C925" s="5" t="s">
        <v>2025</v>
      </c>
      <c r="D925" s="5" t="s">
        <v>2980</v>
      </c>
    </row>
    <row r="926" spans="1:4" x14ac:dyDescent="0.3">
      <c r="A926" s="5" t="str">
        <f t="shared" ca="1" si="15"/>
        <v>график оплаты, без НДС</v>
      </c>
      <c r="B926" s="5" t="s">
        <v>305</v>
      </c>
      <c r="C926" s="5" t="s">
        <v>2006</v>
      </c>
      <c r="D926" s="5" t="s">
        <v>2958</v>
      </c>
    </row>
    <row r="927" spans="1:4" x14ac:dyDescent="0.3">
      <c r="A927" s="5" t="str">
        <f t="shared" ca="1" si="15"/>
        <v>ранее осуществленные инвестиции, без НДС</v>
      </c>
      <c r="B927" s="5" t="s">
        <v>306</v>
      </c>
      <c r="C927" s="5" t="s">
        <v>2007</v>
      </c>
      <c r="D927" s="5" t="s">
        <v>2981</v>
      </c>
    </row>
    <row r="928" spans="1:4" x14ac:dyDescent="0.3">
      <c r="A928" s="5" t="str">
        <f t="shared" ca="1" si="15"/>
        <v>график ввода в эксплуатацию, без НДС</v>
      </c>
      <c r="B928" s="5" t="s">
        <v>307</v>
      </c>
      <c r="C928" s="5" t="s">
        <v>2026</v>
      </c>
      <c r="D928" s="5" t="s">
        <v>2960</v>
      </c>
    </row>
    <row r="929" spans="1:4" x14ac:dyDescent="0.3">
      <c r="A929" s="5" t="str">
        <f t="shared" ca="1" si="15"/>
        <v xml:space="preserve">срок полезного использования </v>
      </c>
      <c r="B929" s="5" t="s">
        <v>309</v>
      </c>
      <c r="C929" s="5" t="s">
        <v>1724</v>
      </c>
      <c r="D929" s="5" t="s">
        <v>2961</v>
      </c>
    </row>
    <row r="930" spans="1:4" x14ac:dyDescent="0.3">
      <c r="A930" s="5" t="str">
        <f t="shared" ca="1" si="15"/>
        <v>ставка НДС</v>
      </c>
      <c r="B930" s="5" t="s">
        <v>312</v>
      </c>
      <c r="C930" s="5" t="s">
        <v>1904</v>
      </c>
      <c r="D930" s="5" t="s">
        <v>2832</v>
      </c>
    </row>
    <row r="931" spans="1:4" x14ac:dyDescent="0.3">
      <c r="A931" s="5" t="str">
        <f t="shared" ca="1" si="15"/>
        <v>выручка от продажи актива (без НДС)</v>
      </c>
      <c r="B931" s="5" t="s">
        <v>325</v>
      </c>
      <c r="C931" s="5" t="s">
        <v>2010</v>
      </c>
      <c r="D931" s="5" t="s">
        <v>2963</v>
      </c>
    </row>
    <row r="932" spans="1:4" x14ac:dyDescent="0.3">
      <c r="A932" s="5" t="str">
        <f t="shared" ca="1" si="15"/>
        <v>суммы в осн. валюте: график оплаты, без НДС</v>
      </c>
      <c r="B932" s="5" t="s">
        <v>308</v>
      </c>
      <c r="C932" s="5" t="s">
        <v>2011</v>
      </c>
      <c r="D932" s="5" t="s">
        <v>2964</v>
      </c>
    </row>
    <row r="933" spans="1:4" x14ac:dyDescent="0.3">
      <c r="A933" s="5" t="str">
        <f t="shared" ca="1" si="15"/>
        <v>ранее осуществленные инвестиции, без НДС</v>
      </c>
      <c r="B933" s="5" t="s">
        <v>306</v>
      </c>
      <c r="C933" s="5" t="s">
        <v>2007</v>
      </c>
      <c r="D933" s="5" t="s">
        <v>2959</v>
      </c>
    </row>
    <row r="934" spans="1:4" x14ac:dyDescent="0.3">
      <c r="A934" s="5" t="str">
        <f t="shared" ca="1" si="15"/>
        <v>НДС к ранее осуществленным инвестициям</v>
      </c>
      <c r="B934" s="5" t="s">
        <v>1271</v>
      </c>
      <c r="C934" s="5" t="s">
        <v>2012</v>
      </c>
      <c r="D934" s="5" t="s">
        <v>2965</v>
      </c>
    </row>
    <row r="935" spans="1:4" x14ac:dyDescent="0.3">
      <c r="A935" s="5" t="str">
        <f t="shared" ca="1" si="15"/>
        <v>график ввода в эксплуатацию, без НДС</v>
      </c>
      <c r="B935" s="5" t="s">
        <v>307</v>
      </c>
      <c r="C935" s="5" t="s">
        <v>2026</v>
      </c>
      <c r="D935" s="5" t="s">
        <v>2960</v>
      </c>
    </row>
    <row r="936" spans="1:4" x14ac:dyDescent="0.3">
      <c r="A936" s="5" t="str">
        <f t="shared" ca="1" si="15"/>
        <v>незавершенные инвестиции</v>
      </c>
      <c r="B936" s="5" t="s">
        <v>301</v>
      </c>
      <c r="C936" s="5" t="s">
        <v>2002</v>
      </c>
      <c r="D936" s="5" t="s">
        <v>2763</v>
      </c>
    </row>
    <row r="937" spans="1:4" x14ac:dyDescent="0.3">
      <c r="A937" s="5" t="str">
        <f t="shared" ca="1" si="15"/>
        <v>кредиторская задолженность</v>
      </c>
      <c r="B937" s="5" t="s">
        <v>302</v>
      </c>
      <c r="C937" s="5" t="s">
        <v>1928</v>
      </c>
      <c r="D937" s="5" t="s">
        <v>2923</v>
      </c>
    </row>
    <row r="938" spans="1:4" x14ac:dyDescent="0.3">
      <c r="A938" s="5" t="str">
        <f t="shared" ca="1" si="15"/>
        <v>амортизация (бухгалтерская)</v>
      </c>
      <c r="B938" s="5" t="s">
        <v>310</v>
      </c>
      <c r="C938" s="5" t="s">
        <v>2013</v>
      </c>
      <c r="D938" s="5" t="s">
        <v>2966</v>
      </c>
    </row>
    <row r="939" spans="1:4" x14ac:dyDescent="0.3">
      <c r="A939" s="5" t="str">
        <f t="shared" ca="1" si="15"/>
        <v>балансовая стоимость (бухгалтерская)</v>
      </c>
      <c r="B939" s="5" t="s">
        <v>311</v>
      </c>
      <c r="C939" s="5" t="s">
        <v>2014</v>
      </c>
      <c r="D939" s="5" t="s">
        <v>2967</v>
      </c>
    </row>
    <row r="940" spans="1:4" x14ac:dyDescent="0.3">
      <c r="A940" s="5" t="str">
        <f t="shared" ca="1" si="15"/>
        <v>выплаченный НДС</v>
      </c>
      <c r="B940" s="5" t="s">
        <v>313</v>
      </c>
      <c r="C940" s="5" t="s">
        <v>1685</v>
      </c>
      <c r="D940" s="5" t="s">
        <v>2968</v>
      </c>
    </row>
    <row r="941" spans="1:4" x14ac:dyDescent="0.3">
      <c r="A941" s="5" t="str">
        <f t="shared" ca="1" si="15"/>
        <v>зачтенный НДС</v>
      </c>
      <c r="B941" s="5" t="s">
        <v>314</v>
      </c>
      <c r="C941" s="5" t="s">
        <v>2015</v>
      </c>
      <c r="D941" s="5" t="s">
        <v>2969</v>
      </c>
    </row>
    <row r="942" spans="1:4" x14ac:dyDescent="0.3">
      <c r="A942" s="5" t="str">
        <f t="shared" ca="1" si="15"/>
        <v>прибыль/убыток от продажи актива (бухгалтерская)</v>
      </c>
      <c r="B942" s="5" t="s">
        <v>318</v>
      </c>
      <c r="C942" s="5" t="s">
        <v>2018</v>
      </c>
      <c r="D942" s="5" t="s">
        <v>2972</v>
      </c>
    </row>
    <row r="943" spans="1:4" x14ac:dyDescent="0.3">
      <c r="A943" s="5" t="str">
        <f t="shared" ca="1" si="15"/>
        <v>НДС к выручке от продажи актива</v>
      </c>
      <c r="B943" s="5" t="s">
        <v>320</v>
      </c>
      <c r="C943" s="5" t="s">
        <v>2020</v>
      </c>
      <c r="D943" s="5" t="s">
        <v>2974</v>
      </c>
    </row>
    <row r="944" spans="1:4" x14ac:dyDescent="0.3">
      <c r="A944" s="5" t="str">
        <f t="shared" ca="1" si="15"/>
        <v>курсовые разницы</v>
      </c>
      <c r="B944" s="5" t="s">
        <v>1276</v>
      </c>
      <c r="C944" s="5" t="s">
        <v>2004</v>
      </c>
      <c r="D944" s="5" t="s">
        <v>2848</v>
      </c>
    </row>
    <row r="945" spans="1:4" x14ac:dyDescent="0.3">
      <c r="A945" s="5" t="str">
        <f t="shared" ca="1" si="15"/>
        <v>Земля</v>
      </c>
      <c r="B945" s="5" t="s">
        <v>243</v>
      </c>
      <c r="C945" s="5" t="s">
        <v>1689</v>
      </c>
      <c r="D945" s="5" t="s">
        <v>2597</v>
      </c>
    </row>
    <row r="946" spans="1:4" x14ac:dyDescent="0.3">
      <c r="A946" s="5" t="str">
        <f t="shared" ca="1" si="15"/>
        <v>Здания и сооружения</v>
      </c>
      <c r="B946" s="5" t="s">
        <v>244</v>
      </c>
      <c r="C946" s="5" t="s">
        <v>1690</v>
      </c>
      <c r="D946" s="5" t="s">
        <v>2982</v>
      </c>
    </row>
    <row r="947" spans="1:4" x14ac:dyDescent="0.3">
      <c r="A947" s="5" t="str">
        <f t="shared" ca="1" si="15"/>
        <v>Оборудование</v>
      </c>
      <c r="B947" s="5" t="s">
        <v>245</v>
      </c>
      <c r="C947" s="5" t="s">
        <v>2027</v>
      </c>
      <c r="D947" s="5" t="s">
        <v>2983</v>
      </c>
    </row>
    <row r="948" spans="1:4" x14ac:dyDescent="0.3">
      <c r="A948" s="5" t="str">
        <f t="shared" ca="1" si="15"/>
        <v>Нематериальные активы</v>
      </c>
      <c r="B948" s="5" t="s">
        <v>246</v>
      </c>
      <c r="C948" s="5" t="s">
        <v>1692</v>
      </c>
      <c r="D948" s="5" t="s">
        <v>2791</v>
      </c>
    </row>
    <row r="949" spans="1:4" x14ac:dyDescent="0.3">
      <c r="A949" s="5" t="str">
        <f t="shared" ca="1" si="15"/>
        <v>Итого: Земля</v>
      </c>
      <c r="B949" s="5" t="s">
        <v>247</v>
      </c>
      <c r="C949" s="5" t="s">
        <v>2028</v>
      </c>
      <c r="D949" s="5" t="s">
        <v>2984</v>
      </c>
    </row>
    <row r="950" spans="1:4" x14ac:dyDescent="0.3">
      <c r="A950" s="5" t="str">
        <f t="shared" ca="1" si="15"/>
        <v>незавершенные инвестиции</v>
      </c>
      <c r="B950" s="5" t="s">
        <v>301</v>
      </c>
      <c r="C950" s="5" t="s">
        <v>2002</v>
      </c>
      <c r="D950" s="5" t="s">
        <v>2763</v>
      </c>
    </row>
    <row r="951" spans="1:4" x14ac:dyDescent="0.3">
      <c r="A951" s="5" t="str">
        <f t="shared" ca="1" si="15"/>
        <v>кредиторская задолженность</v>
      </c>
      <c r="B951" s="5" t="s">
        <v>302</v>
      </c>
      <c r="C951" s="5" t="s">
        <v>1928</v>
      </c>
      <c r="D951" s="5" t="s">
        <v>2923</v>
      </c>
    </row>
    <row r="952" spans="1:4" x14ac:dyDescent="0.3">
      <c r="A952" s="5" t="str">
        <f t="shared" ca="1" si="15"/>
        <v>балансовая стоимость</v>
      </c>
      <c r="B952" s="5" t="s">
        <v>303</v>
      </c>
      <c r="C952" s="5" t="s">
        <v>1726</v>
      </c>
      <c r="D952" s="5" t="s">
        <v>2793</v>
      </c>
    </row>
    <row r="953" spans="1:4" x14ac:dyDescent="0.3">
      <c r="A953" s="5" t="str">
        <f t="shared" ca="1" si="15"/>
        <v>выручка от продажи актива</v>
      </c>
      <c r="B953" s="5" t="s">
        <v>298</v>
      </c>
      <c r="C953" s="5" t="s">
        <v>2000</v>
      </c>
      <c r="D953" s="5" t="s">
        <v>2954</v>
      </c>
    </row>
    <row r="954" spans="1:4" x14ac:dyDescent="0.3">
      <c r="A954" s="5" t="str">
        <f t="shared" ca="1" si="15"/>
        <v>прибыль/убыток от продажи актива</v>
      </c>
      <c r="B954" s="5" t="s">
        <v>304</v>
      </c>
      <c r="C954" s="5" t="s">
        <v>2003</v>
      </c>
      <c r="D954" s="5" t="s">
        <v>2956</v>
      </c>
    </row>
    <row r="955" spans="1:4" x14ac:dyDescent="0.3">
      <c r="A955" s="5" t="str">
        <f t="shared" ca="1" si="15"/>
        <v>Итого: Здания и сооружения, с НДС</v>
      </c>
      <c r="B955" s="5" t="s">
        <v>292</v>
      </c>
      <c r="C955" s="5" t="s">
        <v>2029</v>
      </c>
      <c r="D955" s="5" t="s">
        <v>2985</v>
      </c>
    </row>
    <row r="956" spans="1:4" x14ac:dyDescent="0.3">
      <c r="A956" s="5" t="str">
        <f t="shared" ca="1" si="15"/>
        <v>график оплаты (без НДС)</v>
      </c>
      <c r="B956" s="5" t="s">
        <v>624</v>
      </c>
      <c r="C956" s="5" t="s">
        <v>2006</v>
      </c>
      <c r="D956" s="5" t="s">
        <v>2958</v>
      </c>
    </row>
    <row r="957" spans="1:4" x14ac:dyDescent="0.3">
      <c r="A957" s="5" t="str">
        <f t="shared" ca="1" si="15"/>
        <v>незавершенные инвестиции</v>
      </c>
      <c r="B957" s="5" t="s">
        <v>301</v>
      </c>
      <c r="C957" s="5" t="s">
        <v>2002</v>
      </c>
      <c r="D957" s="5" t="s">
        <v>2763</v>
      </c>
    </row>
    <row r="958" spans="1:4" x14ac:dyDescent="0.3">
      <c r="A958" s="5" t="str">
        <f t="shared" ca="1" si="15"/>
        <v>кредиторская задолженность</v>
      </c>
      <c r="B958" s="5" t="s">
        <v>302</v>
      </c>
      <c r="C958" s="5" t="s">
        <v>1928</v>
      </c>
      <c r="D958" s="5" t="s">
        <v>2923</v>
      </c>
    </row>
    <row r="959" spans="1:4" x14ac:dyDescent="0.3">
      <c r="A959" s="5" t="str">
        <f t="shared" ca="1" si="15"/>
        <v>амортизация (бухгалтерская)</v>
      </c>
      <c r="B959" s="5" t="s">
        <v>310</v>
      </c>
      <c r="C959" s="5" t="s">
        <v>2013</v>
      </c>
      <c r="D959" s="5" t="s">
        <v>2966</v>
      </c>
    </row>
    <row r="960" spans="1:4" x14ac:dyDescent="0.3">
      <c r="A960" s="5" t="str">
        <f t="shared" ca="1" si="15"/>
        <v>балансовая стоимость (бухгалтерская)</v>
      </c>
      <c r="B960" s="5" t="s">
        <v>311</v>
      </c>
      <c r="C960" s="5" t="s">
        <v>2014</v>
      </c>
      <c r="D960" s="5" t="s">
        <v>2967</v>
      </c>
    </row>
    <row r="961" spans="1:4" x14ac:dyDescent="0.3">
      <c r="A961" s="5" t="str">
        <f t="shared" ca="1" si="15"/>
        <v>выплаченный НДС</v>
      </c>
      <c r="B961" s="5" t="s">
        <v>313</v>
      </c>
      <c r="C961" s="5" t="s">
        <v>1685</v>
      </c>
      <c r="D961" s="5" t="s">
        <v>2968</v>
      </c>
    </row>
    <row r="962" spans="1:4" x14ac:dyDescent="0.3">
      <c r="A962" s="5" t="str">
        <f t="shared" ca="1" si="15"/>
        <v>зачтенный НДС</v>
      </c>
      <c r="B962" s="5" t="s">
        <v>314</v>
      </c>
      <c r="C962" s="5" t="s">
        <v>2015</v>
      </c>
      <c r="D962" s="5" t="s">
        <v>2969</v>
      </c>
    </row>
    <row r="963" spans="1:4" x14ac:dyDescent="0.3">
      <c r="A963" s="5" t="str">
        <f t="shared" ca="1" si="15"/>
        <v>амортизация (налоговая)</v>
      </c>
      <c r="B963" s="5" t="s">
        <v>315</v>
      </c>
      <c r="C963" s="5" t="s">
        <v>2016</v>
      </c>
      <c r="D963" s="5" t="s">
        <v>2970</v>
      </c>
    </row>
    <row r="964" spans="1:4" x14ac:dyDescent="0.3">
      <c r="A964" s="5" t="str">
        <f t="shared" ca="1" si="15"/>
        <v>балансовая стоимость (налоговая)</v>
      </c>
      <c r="B964" s="5" t="s">
        <v>316</v>
      </c>
      <c r="C964" s="5" t="s">
        <v>2017</v>
      </c>
      <c r="D964" s="5" t="s">
        <v>2971</v>
      </c>
    </row>
    <row r="965" spans="1:4" x14ac:dyDescent="0.3">
      <c r="A965" s="5" t="str">
        <f t="shared" ref="A965:A1028" ca="1" si="16">OFFSET(A965,0,Prj_Language)</f>
        <v>выручка от продажи актива</v>
      </c>
      <c r="B965" s="5" t="s">
        <v>298</v>
      </c>
      <c r="C965" s="5" t="s">
        <v>2000</v>
      </c>
      <c r="D965" s="5" t="s">
        <v>2954</v>
      </c>
    </row>
    <row r="966" spans="1:4" x14ac:dyDescent="0.3">
      <c r="A966" s="5" t="str">
        <f t="shared" ca="1" si="16"/>
        <v>прибыль/убыток от продажи актива (бухгалтерская)</v>
      </c>
      <c r="B966" s="5" t="s">
        <v>318</v>
      </c>
      <c r="C966" s="5" t="s">
        <v>2018</v>
      </c>
      <c r="D966" s="5" t="s">
        <v>2972</v>
      </c>
    </row>
    <row r="967" spans="1:4" x14ac:dyDescent="0.3">
      <c r="A967" s="5" t="str">
        <f t="shared" ca="1" si="16"/>
        <v>прибыль/убыток от продажи актива (налоговая)</v>
      </c>
      <c r="B967" s="5" t="s">
        <v>319</v>
      </c>
      <c r="C967" s="5" t="s">
        <v>2019</v>
      </c>
      <c r="D967" s="5" t="s">
        <v>2973</v>
      </c>
    </row>
    <row r="968" spans="1:4" x14ac:dyDescent="0.3">
      <c r="A968" s="5" t="str">
        <f t="shared" ca="1" si="16"/>
        <v>НДС к выручке от продажи актива</v>
      </c>
      <c r="B968" s="5" t="s">
        <v>320</v>
      </c>
      <c r="C968" s="5" t="s">
        <v>2020</v>
      </c>
      <c r="D968" s="5" t="s">
        <v>2974</v>
      </c>
    </row>
    <row r="969" spans="1:4" x14ac:dyDescent="0.3">
      <c r="A969" s="5" t="str">
        <f t="shared" ca="1" si="16"/>
        <v>Итого: Оборудование, с НДС и пошлинами</v>
      </c>
      <c r="B969" s="5" t="s">
        <v>293</v>
      </c>
      <c r="C969" s="5" t="s">
        <v>2030</v>
      </c>
      <c r="D969" s="5" t="s">
        <v>2986</v>
      </c>
    </row>
    <row r="970" spans="1:4" x14ac:dyDescent="0.3">
      <c r="A970" s="5" t="str">
        <f t="shared" ca="1" si="16"/>
        <v>график оплаты (без НДС)</v>
      </c>
      <c r="B970" s="5" t="s">
        <v>624</v>
      </c>
      <c r="C970" s="5" t="s">
        <v>2006</v>
      </c>
      <c r="D970" s="5" t="s">
        <v>2958</v>
      </c>
    </row>
    <row r="971" spans="1:4" x14ac:dyDescent="0.3">
      <c r="A971" s="5" t="str">
        <f t="shared" ca="1" si="16"/>
        <v>импортная пошлина</v>
      </c>
      <c r="B971" s="5" t="s">
        <v>324</v>
      </c>
      <c r="C971" s="5" t="s">
        <v>2024</v>
      </c>
      <c r="D971" s="5" t="s">
        <v>2979</v>
      </c>
    </row>
    <row r="972" spans="1:4" x14ac:dyDescent="0.3">
      <c r="A972" s="5" t="str">
        <f t="shared" ca="1" si="16"/>
        <v>незавершенные инвестиции</v>
      </c>
      <c r="B972" s="5" t="s">
        <v>301</v>
      </c>
      <c r="C972" s="5" t="s">
        <v>2002</v>
      </c>
      <c r="D972" s="5" t="s">
        <v>2763</v>
      </c>
    </row>
    <row r="973" spans="1:4" x14ac:dyDescent="0.3">
      <c r="A973" s="5" t="str">
        <f t="shared" ca="1" si="16"/>
        <v>кредиторская задолженность</v>
      </c>
      <c r="B973" s="5" t="s">
        <v>302</v>
      </c>
      <c r="C973" s="5" t="s">
        <v>1928</v>
      </c>
      <c r="D973" s="5" t="s">
        <v>2923</v>
      </c>
    </row>
    <row r="974" spans="1:4" x14ac:dyDescent="0.3">
      <c r="A974" s="5" t="str">
        <f t="shared" ca="1" si="16"/>
        <v>амортизация (бухгалтерская)</v>
      </c>
      <c r="B974" s="5" t="s">
        <v>310</v>
      </c>
      <c r="C974" s="5" t="s">
        <v>2013</v>
      </c>
      <c r="D974" s="5" t="s">
        <v>2966</v>
      </c>
    </row>
    <row r="975" spans="1:4" x14ac:dyDescent="0.3">
      <c r="A975" s="5" t="str">
        <f t="shared" ca="1" si="16"/>
        <v>балансовая стоимость (бухгалтерская)</v>
      </c>
      <c r="B975" s="5" t="s">
        <v>311</v>
      </c>
      <c r="C975" s="5" t="s">
        <v>2014</v>
      </c>
      <c r="D975" s="5" t="s">
        <v>2967</v>
      </c>
    </row>
    <row r="976" spans="1:4" x14ac:dyDescent="0.3">
      <c r="A976" s="5" t="str">
        <f t="shared" ca="1" si="16"/>
        <v>выплаченный НДС</v>
      </c>
      <c r="B976" s="5" t="s">
        <v>313</v>
      </c>
      <c r="C976" s="5" t="s">
        <v>1685</v>
      </c>
      <c r="D976" s="5" t="s">
        <v>2968</v>
      </c>
    </row>
    <row r="977" spans="1:4" x14ac:dyDescent="0.3">
      <c r="A977" s="5" t="str">
        <f t="shared" ca="1" si="16"/>
        <v>зачтенный НДС</v>
      </c>
      <c r="B977" s="5" t="s">
        <v>314</v>
      </c>
      <c r="C977" s="5" t="s">
        <v>2015</v>
      </c>
      <c r="D977" s="5" t="s">
        <v>2969</v>
      </c>
    </row>
    <row r="978" spans="1:4" x14ac:dyDescent="0.3">
      <c r="A978" s="5" t="str">
        <f t="shared" ca="1" si="16"/>
        <v>амортизация (налоговая)</v>
      </c>
      <c r="B978" s="5" t="s">
        <v>315</v>
      </c>
      <c r="C978" s="5" t="s">
        <v>2016</v>
      </c>
      <c r="D978" s="5" t="s">
        <v>2970</v>
      </c>
    </row>
    <row r="979" spans="1:4" x14ac:dyDescent="0.3">
      <c r="A979" s="5" t="str">
        <f t="shared" ca="1" si="16"/>
        <v>балансовая стоимость (налоговая)</v>
      </c>
      <c r="B979" s="5" t="s">
        <v>316</v>
      </c>
      <c r="C979" s="5" t="s">
        <v>2017</v>
      </c>
      <c r="D979" s="5" t="s">
        <v>2971</v>
      </c>
    </row>
    <row r="980" spans="1:4" x14ac:dyDescent="0.3">
      <c r="A980" s="5" t="str">
        <f t="shared" ca="1" si="16"/>
        <v>выручка от продажи актива</v>
      </c>
      <c r="B980" s="5" t="s">
        <v>298</v>
      </c>
      <c r="C980" s="5" t="s">
        <v>2000</v>
      </c>
      <c r="D980" s="5" t="s">
        <v>2954</v>
      </c>
    </row>
    <row r="981" spans="1:4" x14ac:dyDescent="0.3">
      <c r="A981" s="5" t="str">
        <f t="shared" ca="1" si="16"/>
        <v>прибыль/убыток от продажи актива (бухгалтерская)</v>
      </c>
      <c r="B981" s="5" t="s">
        <v>318</v>
      </c>
      <c r="C981" s="5" t="s">
        <v>2018</v>
      </c>
      <c r="D981" s="5" t="s">
        <v>2972</v>
      </c>
    </row>
    <row r="982" spans="1:4" x14ac:dyDescent="0.3">
      <c r="A982" s="5" t="str">
        <f t="shared" ca="1" si="16"/>
        <v>прибыль/убыток от продажи актива (налоговая)</v>
      </c>
      <c r="B982" s="5" t="s">
        <v>319</v>
      </c>
      <c r="C982" s="5" t="s">
        <v>2019</v>
      </c>
      <c r="D982" s="5" t="s">
        <v>2973</v>
      </c>
    </row>
    <row r="983" spans="1:4" x14ac:dyDescent="0.3">
      <c r="A983" s="5" t="str">
        <f t="shared" ca="1" si="16"/>
        <v>НДС к выручке от продажи актива</v>
      </c>
      <c r="B983" s="5" t="s">
        <v>320</v>
      </c>
      <c r="C983" s="5" t="s">
        <v>2020</v>
      </c>
      <c r="D983" s="5" t="s">
        <v>2974</v>
      </c>
    </row>
    <row r="984" spans="1:4" x14ac:dyDescent="0.3">
      <c r="A984" s="5" t="str">
        <f t="shared" ca="1" si="16"/>
        <v>Итого: Нематериальные активы, с НДС</v>
      </c>
      <c r="B984" s="5" t="s">
        <v>294</v>
      </c>
      <c r="C984" s="5" t="s">
        <v>2031</v>
      </c>
      <c r="D984" s="5" t="s">
        <v>2987</v>
      </c>
    </row>
    <row r="985" spans="1:4" x14ac:dyDescent="0.3">
      <c r="A985" s="5" t="str">
        <f t="shared" ca="1" si="16"/>
        <v>график оплаты (без НДС)</v>
      </c>
      <c r="B985" s="5" t="s">
        <v>624</v>
      </c>
      <c r="C985" s="5" t="s">
        <v>2006</v>
      </c>
      <c r="D985" s="5" t="s">
        <v>2958</v>
      </c>
    </row>
    <row r="986" spans="1:4" x14ac:dyDescent="0.3">
      <c r="A986" s="5" t="str">
        <f t="shared" ca="1" si="16"/>
        <v>незавершенные инвестиции</v>
      </c>
      <c r="B986" s="5" t="s">
        <v>301</v>
      </c>
      <c r="C986" s="5" t="s">
        <v>2002</v>
      </c>
      <c r="D986" s="5" t="s">
        <v>2763</v>
      </c>
    </row>
    <row r="987" spans="1:4" x14ac:dyDescent="0.3">
      <c r="A987" s="5" t="str">
        <f t="shared" ca="1" si="16"/>
        <v>кредиторская задолженность</v>
      </c>
      <c r="B987" s="5" t="s">
        <v>302</v>
      </c>
      <c r="C987" s="5" t="s">
        <v>1928</v>
      </c>
      <c r="D987" s="5" t="s">
        <v>2923</v>
      </c>
    </row>
    <row r="988" spans="1:4" x14ac:dyDescent="0.3">
      <c r="A988" s="5" t="str">
        <f t="shared" ca="1" si="16"/>
        <v>амортизация (бухгалтерская)</v>
      </c>
      <c r="B988" s="5" t="s">
        <v>310</v>
      </c>
      <c r="C988" s="5" t="s">
        <v>2013</v>
      </c>
      <c r="D988" s="5" t="s">
        <v>2966</v>
      </c>
    </row>
    <row r="989" spans="1:4" x14ac:dyDescent="0.3">
      <c r="A989" s="5" t="str">
        <f t="shared" ca="1" si="16"/>
        <v>балансовая стоимость (бухгалтерская)</v>
      </c>
      <c r="B989" s="5" t="s">
        <v>311</v>
      </c>
      <c r="C989" s="5" t="s">
        <v>2014</v>
      </c>
      <c r="D989" s="5" t="s">
        <v>2967</v>
      </c>
    </row>
    <row r="990" spans="1:4" x14ac:dyDescent="0.3">
      <c r="A990" s="5" t="str">
        <f t="shared" ca="1" si="16"/>
        <v>выплаченный НДС</v>
      </c>
      <c r="B990" s="5" t="s">
        <v>313</v>
      </c>
      <c r="C990" s="5" t="s">
        <v>1685</v>
      </c>
      <c r="D990" s="5" t="s">
        <v>2968</v>
      </c>
    </row>
    <row r="991" spans="1:4" x14ac:dyDescent="0.3">
      <c r="A991" s="5" t="str">
        <f t="shared" ca="1" si="16"/>
        <v>зачтенный НДС</v>
      </c>
      <c r="B991" s="5" t="s">
        <v>314</v>
      </c>
      <c r="C991" s="5" t="s">
        <v>2015</v>
      </c>
      <c r="D991" s="5" t="s">
        <v>2969</v>
      </c>
    </row>
    <row r="992" spans="1:4" x14ac:dyDescent="0.3">
      <c r="A992" s="5" t="str">
        <f t="shared" ca="1" si="16"/>
        <v>выручка от продажи актива</v>
      </c>
      <c r="B992" s="5" t="s">
        <v>298</v>
      </c>
      <c r="C992" s="5" t="s">
        <v>2000</v>
      </c>
      <c r="D992" s="5" t="s">
        <v>2954</v>
      </c>
    </row>
    <row r="993" spans="1:4" x14ac:dyDescent="0.3">
      <c r="A993" s="5" t="str">
        <f t="shared" ca="1" si="16"/>
        <v>прибыль/убыток от продажи актива (бухгалтерская)</v>
      </c>
      <c r="B993" s="5" t="s">
        <v>318</v>
      </c>
      <c r="C993" s="5" t="s">
        <v>2018</v>
      </c>
      <c r="D993" s="5" t="s">
        <v>2972</v>
      </c>
    </row>
    <row r="994" spans="1:4" x14ac:dyDescent="0.3">
      <c r="A994" s="5" t="str">
        <f t="shared" ca="1" si="16"/>
        <v>НДС к выручке от продажи актива</v>
      </c>
      <c r="B994" s="5" t="s">
        <v>320</v>
      </c>
      <c r="C994" s="5" t="s">
        <v>2020</v>
      </c>
      <c r="D994" s="5" t="s">
        <v>2974</v>
      </c>
    </row>
    <row r="995" spans="1:4" x14ac:dyDescent="0.3">
      <c r="A995" s="5" t="str">
        <f t="shared" ca="1" si="16"/>
        <v>Суммарные инвестиции, с НДС и пошлинами</v>
      </c>
      <c r="B995" s="5" t="s">
        <v>326</v>
      </c>
      <c r="C995" s="5" t="s">
        <v>2032</v>
      </c>
      <c r="D995" s="5" t="s">
        <v>2988</v>
      </c>
    </row>
    <row r="996" spans="1:4" x14ac:dyDescent="0.3">
      <c r="A996" s="5" t="str">
        <f t="shared" ca="1" si="16"/>
        <v>в том числе НДС</v>
      </c>
      <c r="B996" s="5" t="s">
        <v>625</v>
      </c>
      <c r="C996" s="5" t="s">
        <v>2033</v>
      </c>
      <c r="D996" s="5" t="s">
        <v>2989</v>
      </c>
    </row>
    <row r="997" spans="1:4" x14ac:dyDescent="0.3">
      <c r="A997" s="5" t="str">
        <f t="shared" ca="1" si="16"/>
        <v>Ранее осуществленные инвестиции, с НДС</v>
      </c>
      <c r="B997" s="5" t="s">
        <v>1268</v>
      </c>
      <c r="C997" s="5" t="s">
        <v>2034</v>
      </c>
      <c r="D997" s="5" t="s">
        <v>2990</v>
      </c>
    </row>
    <row r="998" spans="1:4" x14ac:dyDescent="0.3">
      <c r="A998" s="5" t="str">
        <f t="shared" ca="1" si="16"/>
        <v>в том числе НДС</v>
      </c>
      <c r="B998" s="5" t="s">
        <v>625</v>
      </c>
      <c r="C998" s="5" t="s">
        <v>2033</v>
      </c>
      <c r="D998" s="5" t="s">
        <v>2989</v>
      </c>
    </row>
    <row r="999" spans="1:4" x14ac:dyDescent="0.3">
      <c r="A999" s="5" t="str">
        <f t="shared" ca="1" si="16"/>
        <v>ранее осуществленные инвестиции, без НДС</v>
      </c>
      <c r="B999" s="5" t="s">
        <v>306</v>
      </c>
      <c r="C999" s="5" t="s">
        <v>2007</v>
      </c>
      <c r="D999" s="5" t="s">
        <v>2959</v>
      </c>
    </row>
    <row r="1000" spans="1:4" x14ac:dyDescent="0.3">
      <c r="A1000" s="5" t="str">
        <f t="shared" ca="1" si="16"/>
        <v>Курсовые разницы</v>
      </c>
      <c r="B1000" s="5" t="s">
        <v>1258</v>
      </c>
      <c r="C1000" s="5" t="s">
        <v>1746</v>
      </c>
      <c r="D1000" s="5" t="s">
        <v>2848</v>
      </c>
    </row>
    <row r="1001" spans="1:4" x14ac:dyDescent="0.3">
      <c r="A1001" s="154" t="str">
        <f t="shared" ca="1" si="16"/>
        <v>ФИНАНСОВАЯ АРЕНДА (ЛИЗИНГ)</v>
      </c>
      <c r="B1001" s="5" t="s">
        <v>1169</v>
      </c>
      <c r="C1001" s="5" t="s">
        <v>2035</v>
      </c>
      <c r="D1001" s="5" t="s">
        <v>2991</v>
      </c>
    </row>
    <row r="1002" spans="1:4" x14ac:dyDescent="0.3">
      <c r="A1002" s="5" t="str">
        <f t="shared" ca="1" si="16"/>
        <v>Шаблон без графика платежей</v>
      </c>
      <c r="B1002" s="5" t="s">
        <v>529</v>
      </c>
      <c r="C1002" s="5" t="s">
        <v>2036</v>
      </c>
      <c r="D1002" s="5" t="s">
        <v>2992</v>
      </c>
    </row>
    <row r="1003" spans="1:4" x14ac:dyDescent="0.3">
      <c r="A1003" s="5" t="str">
        <f t="shared" ca="1" si="16"/>
        <v>Стоимость объекта аренды (без НДС)</v>
      </c>
      <c r="B1003" s="5" t="s">
        <v>522</v>
      </c>
      <c r="C1003" s="5" t="s">
        <v>2037</v>
      </c>
      <c r="D1003" s="5" t="s">
        <v>2993</v>
      </c>
    </row>
    <row r="1004" spans="1:4" x14ac:dyDescent="0.3">
      <c r="A1004" s="5" t="str">
        <f t="shared" ca="1" si="16"/>
        <v>Период начала аренды</v>
      </c>
      <c r="B1004" s="5" t="s">
        <v>523</v>
      </c>
      <c r="C1004" s="5" t="s">
        <v>2038</v>
      </c>
      <c r="D1004" s="5" t="s">
        <v>2994</v>
      </c>
    </row>
    <row r="1005" spans="1:4" x14ac:dyDescent="0.3">
      <c r="A1005" s="5" t="str">
        <f t="shared" ca="1" si="16"/>
        <v>Срок аренды</v>
      </c>
      <c r="B1005" s="5" t="s">
        <v>524</v>
      </c>
      <c r="C1005" s="5" t="s">
        <v>2039</v>
      </c>
      <c r="D1005" s="5" t="s">
        <v>2995</v>
      </c>
    </row>
    <row r="1006" spans="1:4" x14ac:dyDescent="0.3">
      <c r="A1006" s="5" t="str">
        <f t="shared" ca="1" si="16"/>
        <v>Ставка доходности лизинговой компании</v>
      </c>
      <c r="B1006" s="5" t="s">
        <v>525</v>
      </c>
      <c r="C1006" s="5" t="s">
        <v>2040</v>
      </c>
      <c r="D1006" s="5" t="s">
        <v>2996</v>
      </c>
    </row>
    <row r="1007" spans="1:4" x14ac:dyDescent="0.3">
      <c r="A1007" s="5" t="str">
        <f t="shared" ca="1" si="16"/>
        <v>Авансовый платеж по аренде</v>
      </c>
      <c r="B1007" s="5" t="s">
        <v>526</v>
      </c>
      <c r="C1007" s="5" t="s">
        <v>2041</v>
      </c>
      <c r="D1007" s="5" t="s">
        <v>2997</v>
      </c>
    </row>
    <row r="1008" spans="1:4" x14ac:dyDescent="0.3">
      <c r="A1008" s="5" t="str">
        <f t="shared" ca="1" si="16"/>
        <v>платеж по аренде в затратах (без НДС)</v>
      </c>
      <c r="B1008" s="5" t="s">
        <v>1172</v>
      </c>
      <c r="C1008" s="5" t="s">
        <v>2042</v>
      </c>
      <c r="D1008" s="5" t="s">
        <v>2998</v>
      </c>
    </row>
    <row r="1009" spans="1:4" x14ac:dyDescent="0.3">
      <c r="A1009" s="5" t="str">
        <f t="shared" ca="1" si="16"/>
        <v>платеж по аренде в оттоках денежных средств (без НДС)</v>
      </c>
      <c r="B1009" s="5" t="s">
        <v>1173</v>
      </c>
      <c r="C1009" s="5" t="s">
        <v>2043</v>
      </c>
      <c r="D1009" s="5" t="s">
        <v>2999</v>
      </c>
    </row>
    <row r="1010" spans="1:4" x14ac:dyDescent="0.3">
      <c r="A1010" s="5" t="str">
        <f t="shared" ca="1" si="16"/>
        <v>стоимость объекта аренды (без НДС)</v>
      </c>
      <c r="B1010" s="5" t="s">
        <v>1174</v>
      </c>
      <c r="C1010" s="5" t="s">
        <v>2044</v>
      </c>
      <c r="D1010" s="5" t="s">
        <v>3000</v>
      </c>
    </row>
    <row r="1011" spans="1:4" x14ac:dyDescent="0.3">
      <c r="A1011" s="5" t="str">
        <f t="shared" ca="1" si="16"/>
        <v>балансовая стоимость объекта аренды</v>
      </c>
      <c r="B1011" s="5" t="s">
        <v>1175</v>
      </c>
      <c r="C1011" s="5" t="s">
        <v>1722</v>
      </c>
      <c r="D1011" s="5" t="s">
        <v>3001</v>
      </c>
    </row>
    <row r="1012" spans="1:4" x14ac:dyDescent="0.3">
      <c r="A1012" s="5" t="str">
        <f t="shared" ca="1" si="16"/>
        <v>амортизация</v>
      </c>
      <c r="B1012" s="5" t="s">
        <v>937</v>
      </c>
      <c r="C1012" s="5" t="s">
        <v>1200</v>
      </c>
      <c r="D1012" s="5" t="s">
        <v>2796</v>
      </c>
    </row>
    <row r="1013" spans="1:4" x14ac:dyDescent="0.3">
      <c r="A1013" s="5" t="str">
        <f t="shared" ca="1" si="16"/>
        <v>количество дней аренды в периоде</v>
      </c>
      <c r="B1013" s="5" t="s">
        <v>1176</v>
      </c>
      <c r="C1013" s="5" t="s">
        <v>2045</v>
      </c>
      <c r="D1013" s="5" t="s">
        <v>3002</v>
      </c>
    </row>
    <row r="1014" spans="1:4" x14ac:dyDescent="0.3">
      <c r="A1014" s="5" t="str">
        <f t="shared" ca="1" si="16"/>
        <v>финансовый расход</v>
      </c>
      <c r="B1014" s="5" t="s">
        <v>1177</v>
      </c>
      <c r="C1014" s="5" t="s">
        <v>2046</v>
      </c>
      <c r="D1014" s="5" t="s">
        <v>3003</v>
      </c>
    </row>
    <row r="1015" spans="1:4" x14ac:dyDescent="0.3">
      <c r="A1015" s="5" t="str">
        <f t="shared" ca="1" si="16"/>
        <v>задолженность по аренде</v>
      </c>
      <c r="B1015" s="5" t="s">
        <v>1178</v>
      </c>
      <c r="C1015" s="5" t="s">
        <v>2047</v>
      </c>
      <c r="D1015" s="5" t="s">
        <v>3004</v>
      </c>
    </row>
    <row r="1016" spans="1:4" x14ac:dyDescent="0.3">
      <c r="A1016" s="5" t="str">
        <f t="shared" ca="1" si="16"/>
        <v>авансы выплаченные</v>
      </c>
      <c r="B1016" s="5" t="s">
        <v>1179</v>
      </c>
      <c r="C1016" s="5" t="s">
        <v>1930</v>
      </c>
      <c r="D1016" s="5" t="s">
        <v>2925</v>
      </c>
    </row>
    <row r="1017" spans="1:4" x14ac:dyDescent="0.3">
      <c r="A1017" s="5" t="str">
        <f t="shared" ca="1" si="16"/>
        <v>ставка НДС</v>
      </c>
      <c r="B1017" s="5" t="s">
        <v>312</v>
      </c>
      <c r="C1017" s="5" t="s">
        <v>1904</v>
      </c>
      <c r="D1017" s="5" t="s">
        <v>3005</v>
      </c>
    </row>
    <row r="1018" spans="1:4" x14ac:dyDescent="0.3">
      <c r="A1018" s="5" t="str">
        <f t="shared" ca="1" si="16"/>
        <v>НДС к платежам в оттоках денежных средств</v>
      </c>
      <c r="B1018" s="5" t="s">
        <v>1170</v>
      </c>
      <c r="C1018" s="5" t="s">
        <v>2048</v>
      </c>
      <c r="D1018" s="5" t="s">
        <v>3006</v>
      </c>
    </row>
    <row r="1019" spans="1:4" x14ac:dyDescent="0.3">
      <c r="A1019" s="5" t="str">
        <f t="shared" ca="1" si="16"/>
        <v>НДС к начисленным платежам</v>
      </c>
      <c r="B1019" s="5" t="s">
        <v>1171</v>
      </c>
      <c r="C1019" s="5" t="s">
        <v>2049</v>
      </c>
      <c r="D1019" s="5" t="s">
        <v>3007</v>
      </c>
    </row>
    <row r="1020" spans="1:4" x14ac:dyDescent="0.3">
      <c r="A1020" s="5" t="str">
        <f t="shared" ca="1" si="16"/>
        <v>Шаблон с графиком платежей</v>
      </c>
      <c r="B1020" s="5" t="s">
        <v>530</v>
      </c>
      <c r="C1020" s="5" t="s">
        <v>2050</v>
      </c>
      <c r="D1020" s="5" t="s">
        <v>3008</v>
      </c>
    </row>
    <row r="1021" spans="1:4" x14ac:dyDescent="0.3">
      <c r="A1021" s="5" t="str">
        <f t="shared" ca="1" si="16"/>
        <v>Стоимость объекта аренды (без НДС)</v>
      </c>
      <c r="B1021" s="5" t="s">
        <v>522</v>
      </c>
      <c r="C1021" s="5" t="s">
        <v>2037</v>
      </c>
      <c r="D1021" s="5" t="s">
        <v>2993</v>
      </c>
    </row>
    <row r="1022" spans="1:4" x14ac:dyDescent="0.3">
      <c r="A1022" s="5" t="str">
        <f t="shared" ca="1" si="16"/>
        <v>Период начала аренды</v>
      </c>
      <c r="B1022" s="5" t="s">
        <v>523</v>
      </c>
      <c r="C1022" s="5" t="s">
        <v>2038</v>
      </c>
      <c r="D1022" s="5" t="s">
        <v>2994</v>
      </c>
    </row>
    <row r="1023" spans="1:4" x14ac:dyDescent="0.3">
      <c r="A1023" s="5" t="str">
        <f t="shared" ca="1" si="16"/>
        <v>Срок аренды</v>
      </c>
      <c r="B1023" s="5" t="s">
        <v>524</v>
      </c>
      <c r="C1023" s="5" t="s">
        <v>2039</v>
      </c>
      <c r="D1023" s="5" t="s">
        <v>2995</v>
      </c>
    </row>
    <row r="1024" spans="1:4" x14ac:dyDescent="0.3">
      <c r="A1024" s="5" t="str">
        <f t="shared" ca="1" si="16"/>
        <v>График арендных платежей (без НДС)</v>
      </c>
      <c r="B1024" s="5" t="s">
        <v>528</v>
      </c>
      <c r="C1024" s="5" t="s">
        <v>2051</v>
      </c>
      <c r="D1024" s="5" t="s">
        <v>3009</v>
      </c>
    </row>
    <row r="1025" spans="1:4" x14ac:dyDescent="0.3">
      <c r="A1025" s="5" t="str">
        <f t="shared" ca="1" si="16"/>
        <v>платеж по аренде в оттоках денежных средств (без НДС)</v>
      </c>
      <c r="B1025" s="5" t="s">
        <v>1173</v>
      </c>
      <c r="C1025" s="5" t="s">
        <v>2043</v>
      </c>
      <c r="D1025" s="5" t="s">
        <v>2999</v>
      </c>
    </row>
    <row r="1026" spans="1:4" x14ac:dyDescent="0.3">
      <c r="A1026" s="5" t="str">
        <f t="shared" ca="1" si="16"/>
        <v>платеж по аренде в затратах (без НДС)</v>
      </c>
      <c r="B1026" s="5" t="s">
        <v>1172</v>
      </c>
      <c r="C1026" s="5" t="s">
        <v>2042</v>
      </c>
      <c r="D1026" s="5" t="s">
        <v>2998</v>
      </c>
    </row>
    <row r="1027" spans="1:4" x14ac:dyDescent="0.3">
      <c r="A1027" s="5" t="str">
        <f t="shared" ca="1" si="16"/>
        <v>стоимость объекта аренды (без НДС)</v>
      </c>
      <c r="B1027" s="5" t="s">
        <v>1174</v>
      </c>
      <c r="C1027" s="5" t="s">
        <v>2044</v>
      </c>
      <c r="D1027" s="5" t="s">
        <v>3000</v>
      </c>
    </row>
    <row r="1028" spans="1:4" x14ac:dyDescent="0.3">
      <c r="A1028" s="5" t="str">
        <f t="shared" ca="1" si="16"/>
        <v>поток для расчета ставки доходности</v>
      </c>
      <c r="B1028" s="5" t="s">
        <v>1181</v>
      </c>
      <c r="C1028" s="5" t="s">
        <v>2052</v>
      </c>
      <c r="D1028" s="5" t="s">
        <v>3010</v>
      </c>
    </row>
    <row r="1029" spans="1:4" x14ac:dyDescent="0.3">
      <c r="A1029" s="5" t="str">
        <f t="shared" ref="A1029:A1111" ca="1" si="17">OFFSET(A1029,0,Prj_Language)</f>
        <v>даты для расчета ставки доходности</v>
      </c>
      <c r="B1029" s="5" t="s">
        <v>1182</v>
      </c>
      <c r="C1029" s="5" t="s">
        <v>2053</v>
      </c>
      <c r="D1029" s="5" t="s">
        <v>3011</v>
      </c>
    </row>
    <row r="1030" spans="1:4" x14ac:dyDescent="0.3">
      <c r="A1030" s="5" t="str">
        <f t="shared" ca="1" si="17"/>
        <v>ставка доходности лизинговой компании</v>
      </c>
      <c r="B1030" s="5" t="s">
        <v>1183</v>
      </c>
      <c r="C1030" s="5" t="s">
        <v>2054</v>
      </c>
      <c r="D1030" s="5" t="s">
        <v>2996</v>
      </c>
    </row>
    <row r="1031" spans="1:4" x14ac:dyDescent="0.3">
      <c r="A1031" s="5" t="str">
        <f t="shared" ca="1" si="17"/>
        <v>балансовая стоимость объекта аренды</v>
      </c>
      <c r="B1031" s="5" t="s">
        <v>1175</v>
      </c>
      <c r="C1031" s="5" t="s">
        <v>1722</v>
      </c>
      <c r="D1031" s="5" t="s">
        <v>3001</v>
      </c>
    </row>
    <row r="1032" spans="1:4" x14ac:dyDescent="0.3">
      <c r="A1032" s="5" t="str">
        <f t="shared" ca="1" si="17"/>
        <v>амортизация</v>
      </c>
      <c r="B1032" s="5" t="s">
        <v>937</v>
      </c>
      <c r="C1032" s="5" t="s">
        <v>1200</v>
      </c>
      <c r="D1032" s="5" t="s">
        <v>2796</v>
      </c>
    </row>
    <row r="1033" spans="1:4" x14ac:dyDescent="0.3">
      <c r="A1033" s="5" t="str">
        <f t="shared" ca="1" si="17"/>
        <v>количество дней аренды в периоде</v>
      </c>
      <c r="B1033" s="5" t="s">
        <v>1176</v>
      </c>
      <c r="C1033" s="5" t="s">
        <v>2045</v>
      </c>
      <c r="D1033" s="5" t="s">
        <v>3002</v>
      </c>
    </row>
    <row r="1034" spans="1:4" x14ac:dyDescent="0.3">
      <c r="A1034" s="5" t="str">
        <f t="shared" ca="1" si="17"/>
        <v>финансовый расход</v>
      </c>
      <c r="B1034" s="5" t="s">
        <v>1177</v>
      </c>
      <c r="C1034" s="5" t="s">
        <v>2046</v>
      </c>
      <c r="D1034" s="5" t="s">
        <v>3003</v>
      </c>
    </row>
    <row r="1035" spans="1:4" x14ac:dyDescent="0.3">
      <c r="A1035" s="5" t="str">
        <f t="shared" ca="1" si="17"/>
        <v>задолженность по аренде</v>
      </c>
      <c r="B1035" s="5" t="s">
        <v>1178</v>
      </c>
      <c r="C1035" s="5" t="s">
        <v>2047</v>
      </c>
      <c r="D1035" s="5" t="s">
        <v>3004</v>
      </c>
    </row>
    <row r="1036" spans="1:4" x14ac:dyDescent="0.3">
      <c r="A1036" s="5" t="str">
        <f t="shared" ca="1" si="17"/>
        <v>авансы выплаченные</v>
      </c>
      <c r="B1036" s="5" t="s">
        <v>1179</v>
      </c>
      <c r="C1036" s="5" t="s">
        <v>1930</v>
      </c>
      <c r="D1036" s="5" t="s">
        <v>2925</v>
      </c>
    </row>
    <row r="1037" spans="1:4" x14ac:dyDescent="0.3">
      <c r="A1037" s="5" t="str">
        <f t="shared" ca="1" si="17"/>
        <v>ставка НДС</v>
      </c>
      <c r="B1037" s="5" t="s">
        <v>312</v>
      </c>
      <c r="C1037" s="5" t="s">
        <v>1904</v>
      </c>
      <c r="D1037" s="5" t="s">
        <v>3005</v>
      </c>
    </row>
    <row r="1038" spans="1:4" x14ac:dyDescent="0.3">
      <c r="A1038" s="5" t="str">
        <f t="shared" ca="1" si="17"/>
        <v>НДС к платежам в оттоках денежных средств</v>
      </c>
      <c r="B1038" s="5" t="s">
        <v>1170</v>
      </c>
      <c r="C1038" s="5" t="s">
        <v>2048</v>
      </c>
      <c r="D1038" s="5" t="s">
        <v>3006</v>
      </c>
    </row>
    <row r="1039" spans="1:4" x14ac:dyDescent="0.3">
      <c r="A1039" s="5" t="str">
        <f t="shared" ca="1" si="17"/>
        <v>НДС к начисленным платежам</v>
      </c>
      <c r="B1039" s="5" t="s">
        <v>1171</v>
      </c>
      <c r="C1039" s="5" t="s">
        <v>2049</v>
      </c>
      <c r="D1039" s="5" t="s">
        <v>3007</v>
      </c>
    </row>
    <row r="1040" spans="1:4" x14ac:dyDescent="0.3">
      <c r="A1040" s="5" t="str">
        <f t="shared" ca="1" si="17"/>
        <v>Итого: Лизинговые платежи, с НДС</v>
      </c>
      <c r="B1040" s="5" t="s">
        <v>1188</v>
      </c>
      <c r="C1040" s="5" t="s">
        <v>2055</v>
      </c>
      <c r="D1040" s="5" t="s">
        <v>3012</v>
      </c>
    </row>
    <row r="1041" spans="1:4" x14ac:dyDescent="0.3">
      <c r="A1041" s="5" t="str">
        <f t="shared" ca="1" si="17"/>
        <v>платеж по аренде в оттоках денежных средств, без НДС</v>
      </c>
      <c r="B1041" s="5" t="s">
        <v>1185</v>
      </c>
      <c r="C1041" s="5" t="s">
        <v>2056</v>
      </c>
      <c r="D1041" s="5" t="s">
        <v>2999</v>
      </c>
    </row>
    <row r="1042" spans="1:4" x14ac:dyDescent="0.3">
      <c r="A1042" s="5" t="str">
        <f t="shared" ca="1" si="17"/>
        <v>НДС к платежам в оттоках денежных средств</v>
      </c>
      <c r="B1042" s="5" t="s">
        <v>1170</v>
      </c>
      <c r="C1042" s="5" t="s">
        <v>2048</v>
      </c>
      <c r="D1042" s="5" t="s">
        <v>3006</v>
      </c>
    </row>
    <row r="1043" spans="1:4" x14ac:dyDescent="0.3">
      <c r="A1043" s="5" t="str">
        <f t="shared" ca="1" si="17"/>
        <v>платеж по аренде начисленный, без НДС</v>
      </c>
      <c r="B1043" s="5" t="s">
        <v>1186</v>
      </c>
      <c r="C1043" s="5" t="s">
        <v>2042</v>
      </c>
      <c r="D1043" s="5" t="s">
        <v>3013</v>
      </c>
    </row>
    <row r="1044" spans="1:4" x14ac:dyDescent="0.3">
      <c r="A1044" s="5" t="str">
        <f t="shared" ca="1" si="17"/>
        <v>НДС к начисленным платежам</v>
      </c>
      <c r="B1044" s="5" t="s">
        <v>1171</v>
      </c>
      <c r="C1044" s="5" t="s">
        <v>2049</v>
      </c>
      <c r="D1044" s="5" t="s">
        <v>3007</v>
      </c>
    </row>
    <row r="1045" spans="1:4" x14ac:dyDescent="0.3">
      <c r="A1045" s="5" t="str">
        <f t="shared" ca="1" si="17"/>
        <v>балансовая стоимость объекта аренды</v>
      </c>
      <c r="B1045" s="5" t="s">
        <v>1175</v>
      </c>
      <c r="C1045" s="5" t="s">
        <v>1722</v>
      </c>
      <c r="D1045" s="5" t="s">
        <v>3014</v>
      </c>
    </row>
    <row r="1046" spans="1:4" x14ac:dyDescent="0.3">
      <c r="A1046" s="5" t="str">
        <f t="shared" ca="1" si="17"/>
        <v>амортизация объекта аренды</v>
      </c>
      <c r="B1046" s="5" t="s">
        <v>1187</v>
      </c>
      <c r="C1046" s="5" t="s">
        <v>1200</v>
      </c>
      <c r="D1046" s="5" t="s">
        <v>3015</v>
      </c>
    </row>
    <row r="1047" spans="1:4" x14ac:dyDescent="0.3">
      <c r="A1047" s="5" t="str">
        <f t="shared" ca="1" si="17"/>
        <v>финансовый расход</v>
      </c>
      <c r="B1047" s="5" t="s">
        <v>1177</v>
      </c>
      <c r="C1047" s="5" t="s">
        <v>2046</v>
      </c>
      <c r="D1047" s="5" t="s">
        <v>3003</v>
      </c>
    </row>
    <row r="1048" spans="1:4" x14ac:dyDescent="0.3">
      <c r="A1048" s="5" t="str">
        <f t="shared" ca="1" si="17"/>
        <v>задолженность по аренде</v>
      </c>
      <c r="B1048" s="5" t="s">
        <v>1178</v>
      </c>
      <c r="C1048" s="5" t="s">
        <v>2047</v>
      </c>
      <c r="D1048" s="5" t="s">
        <v>3004</v>
      </c>
    </row>
    <row r="1049" spans="1:4" x14ac:dyDescent="0.3">
      <c r="A1049" s="5" t="str">
        <f t="shared" ca="1" si="17"/>
        <v>авансы выплаченные</v>
      </c>
      <c r="B1049" s="5" t="s">
        <v>1179</v>
      </c>
      <c r="C1049" s="5" t="s">
        <v>1930</v>
      </c>
      <c r="D1049" s="5" t="s">
        <v>2925</v>
      </c>
    </row>
    <row r="1050" spans="1:4" x14ac:dyDescent="0.3">
      <c r="A1050" s="154" t="str">
        <f t="shared" ca="1" si="17"/>
        <v>ФИНАНСОВЫЕ ВЛОЖЕНИЯ</v>
      </c>
      <c r="B1050" s="5" t="s">
        <v>264</v>
      </c>
      <c r="C1050" s="5" t="s">
        <v>2057</v>
      </c>
      <c r="D1050" s="5" t="s">
        <v>3016</v>
      </c>
    </row>
    <row r="1051" spans="1:4" x14ac:dyDescent="0.3">
      <c r="A1051" s="5" t="str">
        <f t="shared" ca="1" si="17"/>
        <v>Шаблон долгосрочных вложений</v>
      </c>
      <c r="B1051" s="5" t="s">
        <v>349</v>
      </c>
      <c r="C1051" s="5" t="s">
        <v>2058</v>
      </c>
      <c r="D1051" s="5" t="s">
        <v>3017</v>
      </c>
    </row>
    <row r="1052" spans="1:4" x14ac:dyDescent="0.3">
      <c r="A1052" s="5" t="str">
        <f t="shared" ca="1" si="17"/>
        <v>увеличение финансовых вложений</v>
      </c>
      <c r="B1052" s="5" t="s">
        <v>351</v>
      </c>
      <c r="C1052" s="5" t="s">
        <v>2059</v>
      </c>
      <c r="D1052" s="5" t="s">
        <v>3018</v>
      </c>
    </row>
    <row r="1053" spans="1:4" x14ac:dyDescent="0.3">
      <c r="A1053" s="5" t="str">
        <f t="shared" ca="1" si="17"/>
        <v>снижение финансовых вложений (возврат)</v>
      </c>
      <c r="B1053" s="5" t="s">
        <v>352</v>
      </c>
      <c r="C1053" s="5" t="s">
        <v>2000</v>
      </c>
      <c r="D1053" s="5" t="s">
        <v>3019</v>
      </c>
    </row>
    <row r="1054" spans="1:4" x14ac:dyDescent="0.3">
      <c r="A1054" s="5" t="str">
        <f t="shared" ca="1" si="17"/>
        <v xml:space="preserve">доход </v>
      </c>
      <c r="B1054" s="5" t="s">
        <v>353</v>
      </c>
      <c r="C1054" s="5" t="s">
        <v>992</v>
      </c>
      <c r="D1054" s="5" t="s">
        <v>3020</v>
      </c>
    </row>
    <row r="1055" spans="1:4" x14ac:dyDescent="0.3">
      <c r="A1055" s="5" t="str">
        <f t="shared" ca="1" si="17"/>
        <v>финансовые вложения на конец периода</v>
      </c>
      <c r="B1055" s="5" t="s">
        <v>354</v>
      </c>
      <c r="C1055" s="5" t="s">
        <v>2060</v>
      </c>
      <c r="D1055" s="5" t="s">
        <v>3021</v>
      </c>
    </row>
    <row r="1056" spans="1:4" x14ac:dyDescent="0.3">
      <c r="A1056" s="5" t="str">
        <f t="shared" ca="1" si="17"/>
        <v>финансовые вложения на начало периода</v>
      </c>
      <c r="B1056" s="5" t="s">
        <v>355</v>
      </c>
      <c r="C1056" s="5" t="s">
        <v>2061</v>
      </c>
      <c r="D1056" s="5" t="s">
        <v>3022</v>
      </c>
    </row>
    <row r="1057" spans="1:4" x14ac:dyDescent="0.3">
      <c r="A1057" s="5" t="str">
        <f t="shared" ca="1" si="17"/>
        <v>Шаблон краткосрочных вложений</v>
      </c>
      <c r="B1057" s="5" t="s">
        <v>350</v>
      </c>
      <c r="C1057" s="5" t="s">
        <v>2062</v>
      </c>
      <c r="D1057" s="5" t="s">
        <v>3023</v>
      </c>
    </row>
    <row r="1058" spans="1:4" x14ac:dyDescent="0.3">
      <c r="A1058" s="5" t="str">
        <f t="shared" ca="1" si="17"/>
        <v>увеличение финансовых вложений</v>
      </c>
      <c r="B1058" s="5" t="s">
        <v>351</v>
      </c>
      <c r="C1058" s="5" t="s">
        <v>2059</v>
      </c>
      <c r="D1058" s="5" t="s">
        <v>3018</v>
      </c>
    </row>
    <row r="1059" spans="1:4" x14ac:dyDescent="0.3">
      <c r="A1059" s="5" t="str">
        <f t="shared" ca="1" si="17"/>
        <v>снижение финансовых вложений (возврат)</v>
      </c>
      <c r="B1059" s="5" t="s">
        <v>352</v>
      </c>
      <c r="C1059" s="5" t="s">
        <v>2000</v>
      </c>
      <c r="D1059" s="5" t="s">
        <v>3019</v>
      </c>
    </row>
    <row r="1060" spans="1:4" x14ac:dyDescent="0.3">
      <c r="A1060" s="5" t="str">
        <f t="shared" ca="1" si="17"/>
        <v xml:space="preserve">доход </v>
      </c>
      <c r="B1060" s="5" t="s">
        <v>353</v>
      </c>
      <c r="C1060" s="5" t="s">
        <v>992</v>
      </c>
      <c r="D1060" s="5" t="s">
        <v>3020</v>
      </c>
    </row>
    <row r="1061" spans="1:4" x14ac:dyDescent="0.3">
      <c r="A1061" s="5" t="str">
        <f t="shared" ca="1" si="17"/>
        <v>финансовые вложения на конец периода</v>
      </c>
      <c r="B1061" s="5" t="s">
        <v>354</v>
      </c>
      <c r="C1061" s="5" t="s">
        <v>2060</v>
      </c>
      <c r="D1061" s="5" t="s">
        <v>3021</v>
      </c>
    </row>
    <row r="1062" spans="1:4" x14ac:dyDescent="0.3">
      <c r="A1062" s="5" t="str">
        <f t="shared" ca="1" si="17"/>
        <v>финансовые вложения на начало периода</v>
      </c>
      <c r="B1062" s="5" t="s">
        <v>355</v>
      </c>
      <c r="C1062" s="5" t="s">
        <v>2061</v>
      </c>
      <c r="D1062" s="5" t="s">
        <v>3022</v>
      </c>
    </row>
    <row r="1063" spans="1:4" x14ac:dyDescent="0.3">
      <c r="A1063" s="5" t="str">
        <f t="shared" ca="1" si="17"/>
        <v>Долгосрочные вложения</v>
      </c>
      <c r="B1063" s="5" t="s">
        <v>265</v>
      </c>
      <c r="C1063" s="5" t="s">
        <v>2063</v>
      </c>
      <c r="D1063" s="5" t="s">
        <v>3024</v>
      </c>
    </row>
    <row r="1064" spans="1:4" x14ac:dyDescent="0.3">
      <c r="A1064" s="5" t="str">
        <f t="shared" ca="1" si="17"/>
        <v>Краткосрочные вложения</v>
      </c>
      <c r="B1064" s="5" t="s">
        <v>266</v>
      </c>
      <c r="C1064" s="5" t="s">
        <v>2064</v>
      </c>
      <c r="D1064" s="5" t="s">
        <v>3025</v>
      </c>
    </row>
    <row r="1065" spans="1:4" x14ac:dyDescent="0.3">
      <c r="A1065" s="5" t="str">
        <f t="shared" ca="1" si="17"/>
        <v>Итого: Долгосрочные вложения на конец периода</v>
      </c>
      <c r="B1065" s="5" t="s">
        <v>956</v>
      </c>
      <c r="C1065" s="5" t="s">
        <v>2065</v>
      </c>
      <c r="D1065" s="5" t="s">
        <v>3026</v>
      </c>
    </row>
    <row r="1066" spans="1:4" x14ac:dyDescent="0.3">
      <c r="A1066" s="5" t="str">
        <f t="shared" ca="1" si="17"/>
        <v>увеличение финансовых вложений</v>
      </c>
      <c r="B1066" s="5" t="s">
        <v>351</v>
      </c>
      <c r="C1066" s="5" t="s">
        <v>2059</v>
      </c>
      <c r="D1066" s="5" t="s">
        <v>3018</v>
      </c>
    </row>
    <row r="1067" spans="1:4" x14ac:dyDescent="0.3">
      <c r="A1067" s="5" t="str">
        <f t="shared" ca="1" si="17"/>
        <v>снижение финансовых вложений (возврат)</v>
      </c>
      <c r="B1067" s="5" t="s">
        <v>352</v>
      </c>
      <c r="C1067" s="5" t="s">
        <v>2000</v>
      </c>
      <c r="D1067" s="5" t="s">
        <v>3019</v>
      </c>
    </row>
    <row r="1068" spans="1:4" x14ac:dyDescent="0.3">
      <c r="A1068" s="5" t="str">
        <f t="shared" ca="1" si="17"/>
        <v xml:space="preserve">доход </v>
      </c>
      <c r="B1068" s="5" t="s">
        <v>353</v>
      </c>
      <c r="C1068" s="5" t="s">
        <v>992</v>
      </c>
      <c r="D1068" s="5" t="s">
        <v>3020</v>
      </c>
    </row>
    <row r="1069" spans="1:4" x14ac:dyDescent="0.3">
      <c r="A1069" s="5" t="str">
        <f t="shared" ca="1" si="17"/>
        <v>финансовые вложения на конец периода</v>
      </c>
      <c r="B1069" s="5" t="s">
        <v>354</v>
      </c>
      <c r="C1069" s="5" t="s">
        <v>2060</v>
      </c>
      <c r="D1069" s="5" t="s">
        <v>3021</v>
      </c>
    </row>
    <row r="1070" spans="1:4" x14ac:dyDescent="0.3">
      <c r="A1070" s="5" t="str">
        <f t="shared" ca="1" si="17"/>
        <v>на конец периода (без учета изменения курса)</v>
      </c>
      <c r="B1070" s="5" t="s">
        <v>357</v>
      </c>
      <c r="C1070" s="5" t="s">
        <v>2066</v>
      </c>
      <c r="D1070" s="5" t="s">
        <v>3027</v>
      </c>
    </row>
    <row r="1071" spans="1:4" x14ac:dyDescent="0.3">
      <c r="A1071" s="5" t="str">
        <f t="shared" ca="1" si="17"/>
        <v>на начало периода (без учета изменения курса)</v>
      </c>
      <c r="B1071" s="5" t="s">
        <v>356</v>
      </c>
      <c r="C1071" s="5" t="s">
        <v>2067</v>
      </c>
      <c r="D1071" s="5" t="s">
        <v>3028</v>
      </c>
    </row>
    <row r="1072" spans="1:4" x14ac:dyDescent="0.3">
      <c r="A1072" s="5" t="str">
        <f t="shared" ca="1" si="17"/>
        <v>прибыль (убыток) от курсовой разницы</v>
      </c>
      <c r="B1072" s="5" t="s">
        <v>955</v>
      </c>
      <c r="C1072" s="5" t="s">
        <v>2004</v>
      </c>
      <c r="D1072" s="5" t="s">
        <v>3029</v>
      </c>
    </row>
    <row r="1073" spans="1:4" x14ac:dyDescent="0.3">
      <c r="A1073" s="5" t="str">
        <f t="shared" ca="1" si="17"/>
        <v>Итого: Краткосрочные вложения на конец периода</v>
      </c>
      <c r="B1073" s="5" t="s">
        <v>957</v>
      </c>
      <c r="C1073" s="5" t="s">
        <v>2068</v>
      </c>
      <c r="D1073" s="5" t="s">
        <v>3030</v>
      </c>
    </row>
    <row r="1074" spans="1:4" x14ac:dyDescent="0.3">
      <c r="A1074" s="5" t="str">
        <f t="shared" ca="1" si="17"/>
        <v>увеличение финансовых вложений</v>
      </c>
      <c r="B1074" s="5" t="s">
        <v>351</v>
      </c>
      <c r="C1074" s="5" t="s">
        <v>2059</v>
      </c>
      <c r="D1074" s="5" t="s">
        <v>3018</v>
      </c>
    </row>
    <row r="1075" spans="1:4" x14ac:dyDescent="0.3">
      <c r="A1075" s="5" t="str">
        <f t="shared" ca="1" si="17"/>
        <v>снижение финансовых вложений (возврат)</v>
      </c>
      <c r="B1075" s="5" t="s">
        <v>352</v>
      </c>
      <c r="C1075" s="5" t="s">
        <v>2000</v>
      </c>
      <c r="D1075" s="5" t="s">
        <v>3019</v>
      </c>
    </row>
    <row r="1076" spans="1:4" x14ac:dyDescent="0.3">
      <c r="A1076" s="5" t="str">
        <f t="shared" ca="1" si="17"/>
        <v xml:space="preserve">доход </v>
      </c>
      <c r="B1076" s="5" t="s">
        <v>353</v>
      </c>
      <c r="C1076" s="5" t="s">
        <v>992</v>
      </c>
      <c r="D1076" s="5" t="s">
        <v>3020</v>
      </c>
    </row>
    <row r="1077" spans="1:4" x14ac:dyDescent="0.3">
      <c r="A1077" s="5" t="str">
        <f t="shared" ca="1" si="17"/>
        <v>финансовые вложения на конец периода</v>
      </c>
      <c r="B1077" s="5" t="s">
        <v>354</v>
      </c>
      <c r="C1077" s="5" t="s">
        <v>2060</v>
      </c>
      <c r="D1077" s="5" t="s">
        <v>3021</v>
      </c>
    </row>
    <row r="1078" spans="1:4" x14ac:dyDescent="0.3">
      <c r="A1078" s="5" t="str">
        <f t="shared" ca="1" si="17"/>
        <v>на конец периода (без учета изменения курса)</v>
      </c>
      <c r="B1078" s="5" t="s">
        <v>357</v>
      </c>
      <c r="C1078" s="5" t="s">
        <v>2066</v>
      </c>
      <c r="D1078" s="5" t="s">
        <v>3027</v>
      </c>
    </row>
    <row r="1079" spans="1:4" x14ac:dyDescent="0.3">
      <c r="A1079" s="5" t="str">
        <f t="shared" ca="1" si="17"/>
        <v>на начало периода (без учета изменения курса)</v>
      </c>
      <c r="B1079" s="5" t="s">
        <v>356</v>
      </c>
      <c r="C1079" s="5" t="s">
        <v>2067</v>
      </c>
      <c r="D1079" s="5" t="s">
        <v>3028</v>
      </c>
    </row>
    <row r="1080" spans="1:4" x14ac:dyDescent="0.3">
      <c r="A1080" s="5" t="str">
        <f t="shared" ca="1" si="17"/>
        <v>прибыль (убыток) от курсовой разницы</v>
      </c>
      <c r="B1080" s="5" t="s">
        <v>955</v>
      </c>
      <c r="C1080" s="5" t="s">
        <v>2004</v>
      </c>
      <c r="D1080" s="5" t="s">
        <v>3029</v>
      </c>
    </row>
    <row r="1081" spans="1:4" x14ac:dyDescent="0.3">
      <c r="A1081" s="154" t="str">
        <f t="shared" ca="1" si="17"/>
        <v>ПРОЧИЕ ДОХОДЫ И РАСХОДЫ</v>
      </c>
      <c r="B1081" s="5" t="s">
        <v>1437</v>
      </c>
      <c r="C1081" s="5" t="s">
        <v>2069</v>
      </c>
      <c r="D1081" s="5" t="s">
        <v>3031</v>
      </c>
    </row>
    <row r="1082" spans="1:4" x14ac:dyDescent="0.3">
      <c r="A1082" s="5" t="str">
        <f t="shared" ca="1" si="17"/>
        <v>Шаблон прочих доходов</v>
      </c>
      <c r="B1082" s="5" t="s">
        <v>1438</v>
      </c>
      <c r="C1082" s="5" t="s">
        <v>2070</v>
      </c>
      <c r="D1082" s="5" t="s">
        <v>3032</v>
      </c>
    </row>
    <row r="1083" spans="1:4" x14ac:dyDescent="0.3">
      <c r="A1083" s="5" t="str">
        <f t="shared" ca="1" si="17"/>
        <v>прочие доходы (без НДС)</v>
      </c>
      <c r="B1083" s="5" t="s">
        <v>1441</v>
      </c>
      <c r="C1083" s="5" t="s">
        <v>2071</v>
      </c>
      <c r="D1083" s="5" t="s">
        <v>3033</v>
      </c>
    </row>
    <row r="1084" spans="1:4" x14ac:dyDescent="0.3">
      <c r="A1084" s="5" t="str">
        <f t="shared" ca="1" si="17"/>
        <v>ставка НДС</v>
      </c>
      <c r="B1084" s="5" t="s">
        <v>312</v>
      </c>
      <c r="C1084" s="5" t="s">
        <v>1904</v>
      </c>
      <c r="D1084" s="5" t="s">
        <v>3005</v>
      </c>
    </row>
    <row r="1085" spans="1:4" x14ac:dyDescent="0.3">
      <c r="A1085" s="5" t="str">
        <f t="shared" ca="1" si="17"/>
        <v>НДС</v>
      </c>
      <c r="B1085" s="5" t="s">
        <v>1440</v>
      </c>
      <c r="C1085" s="5" t="s">
        <v>2033</v>
      </c>
      <c r="D1085" s="5" t="s">
        <v>3034</v>
      </c>
    </row>
    <row r="1086" spans="1:4" x14ac:dyDescent="0.3">
      <c r="A1086" s="5" t="str">
        <f t="shared" ca="1" si="17"/>
        <v>Шаблон прочих расходов</v>
      </c>
      <c r="B1086" s="5" t="s">
        <v>1439</v>
      </c>
      <c r="C1086" s="5" t="s">
        <v>2072</v>
      </c>
      <c r="D1086" s="5" t="s">
        <v>3035</v>
      </c>
    </row>
    <row r="1087" spans="1:4" x14ac:dyDescent="0.3">
      <c r="A1087" s="5" t="str">
        <f t="shared" ca="1" si="17"/>
        <v>прочие расходы (без НДС)</v>
      </c>
      <c r="B1087" s="5" t="s">
        <v>1447</v>
      </c>
      <c r="C1087" s="5" t="s">
        <v>2073</v>
      </c>
      <c r="D1087" s="5" t="s">
        <v>3036</v>
      </c>
    </row>
    <row r="1088" spans="1:4" x14ac:dyDescent="0.3">
      <c r="A1088" s="5" t="str">
        <f t="shared" ca="1" si="17"/>
        <v>ставка НДС</v>
      </c>
      <c r="B1088" s="5" t="s">
        <v>312</v>
      </c>
      <c r="C1088" s="5" t="s">
        <v>1904</v>
      </c>
      <c r="D1088" s="5" t="s">
        <v>3005</v>
      </c>
    </row>
    <row r="1089" spans="1:4" x14ac:dyDescent="0.3">
      <c r="A1089" s="5" t="str">
        <f t="shared" ca="1" si="17"/>
        <v>НДС</v>
      </c>
      <c r="B1089" s="5" t="s">
        <v>1440</v>
      </c>
      <c r="C1089" s="5" t="s">
        <v>2033</v>
      </c>
      <c r="D1089" s="5" t="s">
        <v>3034</v>
      </c>
    </row>
    <row r="1090" spans="1:4" x14ac:dyDescent="0.3">
      <c r="A1090" s="5" t="str">
        <f t="shared" ca="1" si="17"/>
        <v>Прочие доходы</v>
      </c>
      <c r="B1090" s="5" t="s">
        <v>726</v>
      </c>
      <c r="C1090" s="5" t="s">
        <v>1765</v>
      </c>
      <c r="D1090" s="5" t="s">
        <v>3037</v>
      </c>
    </row>
    <row r="1091" spans="1:4" x14ac:dyDescent="0.3">
      <c r="A1091" s="5" t="str">
        <f t="shared" ca="1" si="17"/>
        <v>Прочие расходы</v>
      </c>
      <c r="B1091" s="5" t="s">
        <v>727</v>
      </c>
      <c r="C1091" s="5" t="s">
        <v>1766</v>
      </c>
      <c r="D1091" s="5" t="s">
        <v>3038</v>
      </c>
    </row>
    <row r="1092" spans="1:4" x14ac:dyDescent="0.3">
      <c r="A1092" s="5" t="str">
        <f t="shared" ca="1" si="17"/>
        <v>Итого: прочие доходы (с НДС)</v>
      </c>
      <c r="B1092" s="5" t="s">
        <v>1445</v>
      </c>
      <c r="C1092" s="5" t="s">
        <v>2074</v>
      </c>
      <c r="D1092" s="5" t="s">
        <v>3039</v>
      </c>
    </row>
    <row r="1093" spans="1:4" x14ac:dyDescent="0.3">
      <c r="A1093" s="5" t="str">
        <f t="shared" ca="1" si="17"/>
        <v>прочие доходы (без НДС)</v>
      </c>
      <c r="B1093" s="5" t="s">
        <v>1441</v>
      </c>
      <c r="C1093" s="5" t="s">
        <v>2075</v>
      </c>
      <c r="D1093" s="5" t="s">
        <v>3040</v>
      </c>
    </row>
    <row r="1094" spans="1:4" x14ac:dyDescent="0.3">
      <c r="A1094" s="5" t="str">
        <f t="shared" ca="1" si="17"/>
        <v>НДС</v>
      </c>
      <c r="B1094" s="5" t="s">
        <v>1440</v>
      </c>
      <c r="C1094" s="5" t="s">
        <v>2033</v>
      </c>
      <c r="D1094" s="5" t="s">
        <v>3034</v>
      </c>
    </row>
    <row r="1095" spans="1:4" x14ac:dyDescent="0.3">
      <c r="A1095" s="5" t="str">
        <f t="shared" ca="1" si="17"/>
        <v>Итого: прочие расходы (с НДС)</v>
      </c>
      <c r="B1095" s="5" t="s">
        <v>1446</v>
      </c>
      <c r="C1095" s="5" t="s">
        <v>2076</v>
      </c>
      <c r="D1095" s="5" t="s">
        <v>3041</v>
      </c>
    </row>
    <row r="1096" spans="1:4" x14ac:dyDescent="0.3">
      <c r="A1096" s="5" t="str">
        <f t="shared" ca="1" si="17"/>
        <v>прочие расходы (без НДС)</v>
      </c>
      <c r="B1096" s="5" t="s">
        <v>1447</v>
      </c>
      <c r="C1096" s="5" t="s">
        <v>2077</v>
      </c>
      <c r="D1096" s="5" t="s">
        <v>3042</v>
      </c>
    </row>
    <row r="1097" spans="1:4" x14ac:dyDescent="0.3">
      <c r="A1097" s="5" t="str">
        <f t="shared" ca="1" si="17"/>
        <v>НДС</v>
      </c>
      <c r="B1097" s="5" t="s">
        <v>1440</v>
      </c>
      <c r="C1097" s="5" t="s">
        <v>2033</v>
      </c>
      <c r="D1097" s="5" t="s">
        <v>3034</v>
      </c>
    </row>
    <row r="1098" spans="1:4" x14ac:dyDescent="0.3">
      <c r="A1098" s="154" t="str">
        <f t="shared" ca="1" si="17"/>
        <v>СОБСТВЕННЫЙ КАПИТАЛ</v>
      </c>
      <c r="B1098" s="5" t="s">
        <v>565</v>
      </c>
      <c r="C1098" s="5" t="s">
        <v>2078</v>
      </c>
      <c r="D1098" s="5" t="s">
        <v>3043</v>
      </c>
    </row>
    <row r="1099" spans="1:4" x14ac:dyDescent="0.3">
      <c r="A1099" s="5" t="str">
        <f t="shared" ca="1" si="17"/>
        <v>Шаблон</v>
      </c>
      <c r="B1099" s="5" t="s">
        <v>718</v>
      </c>
      <c r="C1099" s="5" t="s">
        <v>2079</v>
      </c>
      <c r="D1099" s="5" t="s">
        <v>3044</v>
      </c>
    </row>
    <row r="1100" spans="1:4" x14ac:dyDescent="0.3">
      <c r="A1100" s="5" t="str">
        <f t="shared" ca="1" si="17"/>
        <v>вложение собственных средств</v>
      </c>
      <c r="B1100" s="5" t="s">
        <v>567</v>
      </c>
      <c r="C1100" s="5" t="s">
        <v>2080</v>
      </c>
      <c r="D1100" s="5" t="s">
        <v>3045</v>
      </c>
    </row>
    <row r="1101" spans="1:4" x14ac:dyDescent="0.3">
      <c r="A1101" s="5" t="str">
        <f t="shared" ca="1" si="17"/>
        <v>Итого: Вложение собственных средств</v>
      </c>
      <c r="B1101" s="5" t="s">
        <v>568</v>
      </c>
      <c r="C1101" s="5" t="s">
        <v>2081</v>
      </c>
      <c r="D1101" s="5" t="s">
        <v>3046</v>
      </c>
    </row>
    <row r="1102" spans="1:4" x14ac:dyDescent="0.3">
      <c r="A1102" s="5" t="str">
        <f t="shared" ca="1" si="17"/>
        <v>Акционерный капитал (с учетом начального баланса)</v>
      </c>
      <c r="B1102" s="5" t="s">
        <v>773</v>
      </c>
      <c r="C1102" s="5" t="s">
        <v>2082</v>
      </c>
      <c r="D1102" s="5" t="s">
        <v>3047</v>
      </c>
    </row>
    <row r="1103" spans="1:4" x14ac:dyDescent="0.3">
      <c r="A1103" s="5" t="str">
        <f t="shared" ca="1" si="17"/>
        <v>Выплата дивидендов</v>
      </c>
      <c r="B1103" s="5" t="s">
        <v>1426</v>
      </c>
      <c r="C1103" s="5" t="s">
        <v>1769</v>
      </c>
      <c r="D1103" s="5" t="s">
        <v>3048</v>
      </c>
    </row>
    <row r="1104" spans="1:4" x14ac:dyDescent="0.3">
      <c r="A1104" s="154" t="str">
        <f t="shared" ca="1" si="17"/>
        <v>ПОЛУЧЕННЫЕ КРЕДИТЫ И ЗАЙМЫ</v>
      </c>
      <c r="B1104" t="s">
        <v>2354</v>
      </c>
      <c r="C1104" t="s">
        <v>2355</v>
      </c>
      <c r="D1104" s="5" t="s">
        <v>3049</v>
      </c>
    </row>
    <row r="1105" spans="1:4" x14ac:dyDescent="0.3">
      <c r="A1105" s="5" t="str">
        <f t="shared" ca="1" si="17"/>
        <v>Шаблон долгосрочного кредита</v>
      </c>
      <c r="B1105" s="5" t="s">
        <v>584</v>
      </c>
      <c r="C1105" s="5" t="s">
        <v>1730</v>
      </c>
      <c r="D1105" s="5" t="s">
        <v>2775</v>
      </c>
    </row>
    <row r="1106" spans="1:4" x14ac:dyDescent="0.3">
      <c r="A1106" s="5" t="str">
        <f t="shared" ca="1" si="17"/>
        <v>ставка процентов по кредиту</v>
      </c>
      <c r="B1106" s="5" t="s">
        <v>571</v>
      </c>
      <c r="C1106" s="5" t="s">
        <v>1732</v>
      </c>
      <c r="D1106" s="5" t="s">
        <v>2807</v>
      </c>
    </row>
    <row r="1107" spans="1:4" x14ac:dyDescent="0.3">
      <c r="A1107" s="5" t="str">
        <f t="shared" ca="1" si="17"/>
        <v>отсрочка выплаты процентов</v>
      </c>
      <c r="B1107" s="5" t="s">
        <v>572</v>
      </c>
      <c r="C1107" s="5" t="s">
        <v>2083</v>
      </c>
      <c r="D1107" s="5" t="s">
        <v>3050</v>
      </c>
    </row>
    <row r="1108" spans="1:4" x14ac:dyDescent="0.3">
      <c r="A1108" s="5" t="str">
        <f t="shared" ca="1" si="17"/>
        <v>капитализация невыплаченных процентов</v>
      </c>
      <c r="B1108" s="5" t="s">
        <v>573</v>
      </c>
      <c r="C1108" s="5" t="s">
        <v>2084</v>
      </c>
      <c r="D1108" s="5" t="s">
        <v>3051</v>
      </c>
    </row>
    <row r="1109" spans="1:4" x14ac:dyDescent="0.3">
      <c r="A1109" s="5" t="str">
        <f t="shared" ca="1" si="17"/>
        <v>срок кредитования</v>
      </c>
      <c r="B1109" s="5" t="s">
        <v>2197</v>
      </c>
      <c r="C1109" s="5" t="s">
        <v>2198</v>
      </c>
      <c r="D1109" s="5" t="s">
        <v>3052</v>
      </c>
    </row>
    <row r="1110" spans="1:4" x14ac:dyDescent="0.3">
      <c r="A1110" s="5" t="str">
        <f t="shared" ca="1" si="17"/>
        <v>поступление денег от кредита</v>
      </c>
      <c r="B1110" s="5" t="s">
        <v>574</v>
      </c>
      <c r="C1110" s="5" t="s">
        <v>2085</v>
      </c>
      <c r="D1110" s="5" t="s">
        <v>3053</v>
      </c>
    </row>
    <row r="1111" spans="1:4" x14ac:dyDescent="0.3">
      <c r="A1111" s="5" t="str">
        <f t="shared" ca="1" si="17"/>
        <v>погашение кредита</v>
      </c>
      <c r="B1111" s="5" t="s">
        <v>575</v>
      </c>
      <c r="C1111" s="5" t="s">
        <v>1733</v>
      </c>
      <c r="D1111" s="5" t="s">
        <v>3054</v>
      </c>
    </row>
    <row r="1112" spans="1:4" x14ac:dyDescent="0.3">
      <c r="A1112" s="5" t="str">
        <f t="shared" ref="A1112:A1181" ca="1" si="18">OFFSET(A1112,0,Prj_Language)</f>
        <v>задолженность по кредиту</v>
      </c>
      <c r="B1112" s="5" t="s">
        <v>578</v>
      </c>
      <c r="C1112" s="5" t="s">
        <v>1734</v>
      </c>
      <c r="D1112" s="5" t="s">
        <v>3055</v>
      </c>
    </row>
    <row r="1113" spans="1:4" x14ac:dyDescent="0.3">
      <c r="A1113" s="5" t="str">
        <f t="shared" ca="1" si="18"/>
        <v>начисленные проценты</v>
      </c>
      <c r="B1113" s="5" t="s">
        <v>576</v>
      </c>
      <c r="C1113" s="5" t="s">
        <v>1735</v>
      </c>
      <c r="D1113" s="5" t="s">
        <v>2810</v>
      </c>
    </row>
    <row r="1114" spans="1:4" x14ac:dyDescent="0.3">
      <c r="A1114" s="5" t="str">
        <f t="shared" ca="1" si="18"/>
        <v>выплаченные проценты</v>
      </c>
      <c r="B1114" s="5" t="s">
        <v>577</v>
      </c>
      <c r="C1114" s="5" t="s">
        <v>1736</v>
      </c>
      <c r="D1114" s="5" t="s">
        <v>2811</v>
      </c>
    </row>
    <row r="1115" spans="1:4" x14ac:dyDescent="0.3">
      <c r="A1115" s="5" t="str">
        <f t="shared" ca="1" si="18"/>
        <v>полученные проценты</v>
      </c>
      <c r="B1115" s="5" t="s">
        <v>3332</v>
      </c>
      <c r="C1115" t="s">
        <v>3334</v>
      </c>
      <c r="D1115" t="s">
        <v>3334</v>
      </c>
    </row>
    <row r="1116" spans="1:4" x14ac:dyDescent="0.3">
      <c r="A1116" s="5" t="str">
        <f t="shared" ca="1" si="18"/>
        <v>Проценты полученные</v>
      </c>
      <c r="B1116" s="5" t="s">
        <v>3333</v>
      </c>
      <c r="C1116" t="s">
        <v>3335</v>
      </c>
      <c r="D1116" t="s">
        <v>3335</v>
      </c>
    </row>
    <row r="1117" spans="1:4" x14ac:dyDescent="0.3">
      <c r="A1117" s="5" t="str">
        <f t="shared" ca="1" si="18"/>
        <v>период начала кредитования</v>
      </c>
      <c r="B1117" s="5" t="s">
        <v>579</v>
      </c>
      <c r="C1117" s="5" t="s">
        <v>2086</v>
      </c>
      <c r="D1117" s="5" t="s">
        <v>3056</v>
      </c>
    </row>
    <row r="1118" spans="1:4" x14ac:dyDescent="0.3">
      <c r="A1118" s="5" t="str">
        <f t="shared" ca="1" si="18"/>
        <v>отнесение процентов на стоимость основных средств</v>
      </c>
      <c r="B1118" s="5" t="s">
        <v>580</v>
      </c>
      <c r="C1118" s="5" t="s">
        <v>2087</v>
      </c>
      <c r="D1118" s="5" t="s">
        <v>3057</v>
      </c>
    </row>
    <row r="1119" spans="1:4" x14ac:dyDescent="0.3">
      <c r="A1119" s="5" t="str">
        <f t="shared" ca="1" si="18"/>
        <v>незавершенные инвестиции</v>
      </c>
      <c r="B1119" s="5" t="s">
        <v>301</v>
      </c>
      <c r="C1119" s="5" t="s">
        <v>2002</v>
      </c>
      <c r="D1119" s="5" t="s">
        <v>2763</v>
      </c>
    </row>
    <row r="1120" spans="1:4" x14ac:dyDescent="0.3">
      <c r="A1120" s="5" t="str">
        <f t="shared" ca="1" si="18"/>
        <v>проценты в стоимости основных средств</v>
      </c>
      <c r="B1120" s="5" t="s">
        <v>1551</v>
      </c>
      <c r="C1120" s="5" t="s">
        <v>2088</v>
      </c>
      <c r="D1120" s="5" t="s">
        <v>3058</v>
      </c>
    </row>
    <row r="1121" spans="1:4" x14ac:dyDescent="0.3">
      <c r="A1121" s="5" t="str">
        <f t="shared" ca="1" si="18"/>
        <v>период ввода основных средств</v>
      </c>
      <c r="B1121" s="5" t="s">
        <v>581</v>
      </c>
      <c r="C1121" s="5" t="s">
        <v>2089</v>
      </c>
      <c r="D1121" s="5" t="s">
        <v>3059</v>
      </c>
    </row>
    <row r="1122" spans="1:4" x14ac:dyDescent="0.3">
      <c r="A1122" s="5" t="str">
        <f t="shared" ca="1" si="18"/>
        <v>срок амортизации основных средств</v>
      </c>
      <c r="B1122" s="5" t="s">
        <v>582</v>
      </c>
      <c r="C1122" s="5" t="s">
        <v>1724</v>
      </c>
      <c r="D1122" s="5" t="s">
        <v>3060</v>
      </c>
    </row>
    <row r="1123" spans="1:4" x14ac:dyDescent="0.3">
      <c r="A1123" s="5" t="str">
        <f t="shared" ca="1" si="18"/>
        <v>списание процентов на затраты</v>
      </c>
      <c r="B1123" s="5" t="s">
        <v>583</v>
      </c>
      <c r="C1123" s="5" t="s">
        <v>2090</v>
      </c>
      <c r="D1123" s="5" t="s">
        <v>3381</v>
      </c>
    </row>
    <row r="1124" spans="1:4" x14ac:dyDescent="0.3">
      <c r="A1124" s="5" t="str">
        <f t="shared" ca="1" si="18"/>
        <v>балансовая стоимость</v>
      </c>
      <c r="B1124" s="5" t="s">
        <v>303</v>
      </c>
      <c r="C1124" s="5" t="s">
        <v>1726</v>
      </c>
      <c r="D1124" s="5" t="s">
        <v>3061</v>
      </c>
    </row>
    <row r="1125" spans="1:4" x14ac:dyDescent="0.3">
      <c r="A1125" s="5" t="str">
        <f t="shared" ca="1" si="18"/>
        <v>Шаблон краткосрочного кредита</v>
      </c>
      <c r="B1125" s="5" t="s">
        <v>585</v>
      </c>
      <c r="C1125" s="5" t="s">
        <v>1730</v>
      </c>
      <c r="D1125" s="5" t="s">
        <v>3062</v>
      </c>
    </row>
    <row r="1126" spans="1:4" x14ac:dyDescent="0.3">
      <c r="A1126" s="5" t="str">
        <f t="shared" ca="1" si="18"/>
        <v>ставка процентов по кредиту</v>
      </c>
      <c r="B1126" s="5" t="s">
        <v>571</v>
      </c>
      <c r="C1126" s="5" t="s">
        <v>1732</v>
      </c>
      <c r="D1126" s="5" t="s">
        <v>2807</v>
      </c>
    </row>
    <row r="1127" spans="1:4" x14ac:dyDescent="0.3">
      <c r="A1127" s="5" t="str">
        <f t="shared" ca="1" si="18"/>
        <v>отсрочка выплаты процентов</v>
      </c>
      <c r="B1127" s="5" t="s">
        <v>572</v>
      </c>
      <c r="C1127" s="5" t="s">
        <v>2083</v>
      </c>
      <c r="D1127" s="5" t="s">
        <v>3050</v>
      </c>
    </row>
    <row r="1128" spans="1:4" x14ac:dyDescent="0.3">
      <c r="A1128" s="5" t="str">
        <f t="shared" ca="1" si="18"/>
        <v>капитализация невыплаченных процентов</v>
      </c>
      <c r="B1128" s="5" t="s">
        <v>573</v>
      </c>
      <c r="C1128" s="5" t="s">
        <v>2084</v>
      </c>
      <c r="D1128" s="5" t="s">
        <v>3051</v>
      </c>
    </row>
    <row r="1129" spans="1:4" x14ac:dyDescent="0.3">
      <c r="A1129" s="5" t="str">
        <f t="shared" ca="1" si="18"/>
        <v>поступление денег от кредита</v>
      </c>
      <c r="B1129" s="5" t="s">
        <v>574</v>
      </c>
      <c r="C1129" s="5" t="s">
        <v>2085</v>
      </c>
      <c r="D1129" s="5" t="s">
        <v>3053</v>
      </c>
    </row>
    <row r="1130" spans="1:4" x14ac:dyDescent="0.3">
      <c r="A1130" s="5" t="str">
        <f t="shared" ca="1" si="18"/>
        <v>погашение кредита</v>
      </c>
      <c r="B1130" s="5" t="s">
        <v>575</v>
      </c>
      <c r="C1130" s="5" t="s">
        <v>1733</v>
      </c>
      <c r="D1130" s="5" t="s">
        <v>3054</v>
      </c>
    </row>
    <row r="1131" spans="1:4" x14ac:dyDescent="0.3">
      <c r="A1131" s="5" t="str">
        <f t="shared" ca="1" si="18"/>
        <v>задолженность по кредиту</v>
      </c>
      <c r="B1131" s="5" t="s">
        <v>578</v>
      </c>
      <c r="C1131" s="5" t="s">
        <v>1734</v>
      </c>
      <c r="D1131" s="5" t="s">
        <v>3055</v>
      </c>
    </row>
    <row r="1132" spans="1:4" x14ac:dyDescent="0.3">
      <c r="A1132" s="5" t="str">
        <f t="shared" ca="1" si="18"/>
        <v>начисленные проценты</v>
      </c>
      <c r="B1132" s="5" t="s">
        <v>576</v>
      </c>
      <c r="C1132" s="5" t="s">
        <v>1735</v>
      </c>
      <c r="D1132" s="5" t="s">
        <v>2810</v>
      </c>
    </row>
    <row r="1133" spans="1:4" x14ac:dyDescent="0.3">
      <c r="A1133" s="5" t="str">
        <f t="shared" ca="1" si="18"/>
        <v>выплаченные проценты</v>
      </c>
      <c r="B1133" s="5" t="s">
        <v>577</v>
      </c>
      <c r="C1133" s="5" t="s">
        <v>1736</v>
      </c>
      <c r="D1133" s="5" t="s">
        <v>2811</v>
      </c>
    </row>
    <row r="1134" spans="1:4" x14ac:dyDescent="0.3">
      <c r="A1134" s="5" t="str">
        <f t="shared" ca="1" si="18"/>
        <v>период начала кредитования</v>
      </c>
      <c r="B1134" s="5" t="s">
        <v>579</v>
      </c>
      <c r="C1134" s="5" t="s">
        <v>2086</v>
      </c>
      <c r="D1134" s="5" t="s">
        <v>3056</v>
      </c>
    </row>
    <row r="1135" spans="1:4" x14ac:dyDescent="0.3">
      <c r="A1135" s="5" t="str">
        <f t="shared" ca="1" si="18"/>
        <v>Долгосрочные кредиты</v>
      </c>
      <c r="B1135" s="5" t="s">
        <v>569</v>
      </c>
      <c r="C1135" s="5" t="s">
        <v>1706</v>
      </c>
      <c r="D1135" s="5" t="s">
        <v>2775</v>
      </c>
    </row>
    <row r="1136" spans="1:4" x14ac:dyDescent="0.3">
      <c r="A1136" s="5" t="str">
        <f t="shared" ca="1" si="18"/>
        <v>Краткосрочные кредиты</v>
      </c>
      <c r="B1136" s="5" t="s">
        <v>570</v>
      </c>
      <c r="C1136" s="5" t="s">
        <v>1703</v>
      </c>
      <c r="D1136" s="5" t="s">
        <v>2772</v>
      </c>
    </row>
    <row r="1137" spans="1:4" x14ac:dyDescent="0.3">
      <c r="A1137" s="5" t="str">
        <f t="shared" ca="1" si="18"/>
        <v>Итого: Задолженность на конец периода</v>
      </c>
      <c r="B1137" s="5" t="s">
        <v>1043</v>
      </c>
      <c r="C1137" s="5" t="s">
        <v>2091</v>
      </c>
      <c r="D1137" s="5" t="s">
        <v>3063</v>
      </c>
    </row>
    <row r="1138" spans="1:4" x14ac:dyDescent="0.3">
      <c r="A1138" s="5" t="str">
        <f t="shared" ca="1" si="18"/>
        <v>Поступления кредитов</v>
      </c>
      <c r="B1138" s="5" t="s">
        <v>732</v>
      </c>
      <c r="C1138" s="5" t="s">
        <v>2092</v>
      </c>
      <c r="D1138" s="5" t="s">
        <v>3064</v>
      </c>
    </row>
    <row r="1139" spans="1:4" x14ac:dyDescent="0.3">
      <c r="A1139" s="5" t="str">
        <f t="shared" ca="1" si="18"/>
        <v>Выплата основного долга</v>
      </c>
      <c r="B1139" s="5" t="s">
        <v>1033</v>
      </c>
      <c r="C1139" s="5" t="s">
        <v>1739</v>
      </c>
      <c r="D1139" s="5" t="s">
        <v>3065</v>
      </c>
    </row>
    <row r="1140" spans="1:4" x14ac:dyDescent="0.3">
      <c r="A1140" s="5" t="str">
        <f t="shared" ca="1" si="18"/>
        <v>Проценты начисленные</v>
      </c>
      <c r="B1140" s="5" t="s">
        <v>1034</v>
      </c>
      <c r="C1140" s="5" t="s">
        <v>1740</v>
      </c>
      <c r="D1140" s="5" t="s">
        <v>2810</v>
      </c>
    </row>
    <row r="1141" spans="1:4" x14ac:dyDescent="0.3">
      <c r="A1141" s="5" t="str">
        <f t="shared" ca="1" si="18"/>
        <v>Проценты уплаченные</v>
      </c>
      <c r="B1141" s="5" t="s">
        <v>1035</v>
      </c>
      <c r="C1141" s="5" t="s">
        <v>1741</v>
      </c>
      <c r="D1141" s="5" t="s">
        <v>2811</v>
      </c>
    </row>
    <row r="1142" spans="1:4" x14ac:dyDescent="0.3">
      <c r="A1142" s="5" t="str">
        <f t="shared" ca="1" si="18"/>
        <v>Долгосрочные кредиты на конец периода</v>
      </c>
      <c r="B1142" s="5" t="s">
        <v>1036</v>
      </c>
      <c r="C1142" s="5" t="s">
        <v>1744</v>
      </c>
      <c r="D1142" s="5" t="s">
        <v>3066</v>
      </c>
    </row>
    <row r="1143" spans="1:4" x14ac:dyDescent="0.3">
      <c r="A1143" s="5" t="str">
        <f t="shared" ca="1" si="18"/>
        <v>Краткосрочные кредиты на конец периода</v>
      </c>
      <c r="B1143" s="5" t="s">
        <v>1037</v>
      </c>
      <c r="C1143" s="5" t="s">
        <v>1745</v>
      </c>
      <c r="D1143" s="5" t="s">
        <v>3067</v>
      </c>
    </row>
    <row r="1144" spans="1:4" x14ac:dyDescent="0.3">
      <c r="A1144" s="5" t="str">
        <f t="shared" ca="1" si="18"/>
        <v>Отнесение процентов на стоимость основных средств</v>
      </c>
      <c r="B1144" s="5" t="s">
        <v>1555</v>
      </c>
      <c r="C1144" s="5" t="s">
        <v>2093</v>
      </c>
      <c r="D1144" s="5" t="s">
        <v>3057</v>
      </c>
    </row>
    <row r="1145" spans="1:4" x14ac:dyDescent="0.3">
      <c r="A1145" s="5" t="str">
        <f t="shared" ca="1" si="18"/>
        <v>Незавершенные инвестиции</v>
      </c>
      <c r="B1145" s="5" t="s">
        <v>1556</v>
      </c>
      <c r="C1145" s="5" t="s">
        <v>1694</v>
      </c>
      <c r="D1145" s="5" t="s">
        <v>2763</v>
      </c>
    </row>
    <row r="1146" spans="1:4" x14ac:dyDescent="0.3">
      <c r="A1146" s="5" t="str">
        <f t="shared" ca="1" si="18"/>
        <v>Балансовая стоимость процентов в основных средствах</v>
      </c>
      <c r="B1146" s="5" t="s">
        <v>1552</v>
      </c>
      <c r="C1146" s="5" t="s">
        <v>2094</v>
      </c>
      <c r="D1146" s="5" t="s">
        <v>3068</v>
      </c>
    </row>
    <row r="1147" spans="1:4" x14ac:dyDescent="0.3">
      <c r="A1147" s="5" t="str">
        <f t="shared" ca="1" si="18"/>
        <v>Амортизация процентов в основных средствах</v>
      </c>
      <c r="B1147" s="5" t="s">
        <v>1041</v>
      </c>
      <c r="C1147" s="5" t="s">
        <v>2095</v>
      </c>
      <c r="D1147" s="5" t="s">
        <v>3069</v>
      </c>
    </row>
    <row r="1148" spans="1:4" x14ac:dyDescent="0.3">
      <c r="A1148" s="5" t="str">
        <f t="shared" ca="1" si="18"/>
        <v>Курсовые разницы</v>
      </c>
      <c r="B1148" s="5" t="s">
        <v>1258</v>
      </c>
      <c r="C1148" s="5" t="s">
        <v>1746</v>
      </c>
      <c r="D1148" s="5" t="s">
        <v>2848</v>
      </c>
    </row>
    <row r="1149" spans="1:4" x14ac:dyDescent="0.3">
      <c r="A1149" s="5" t="str">
        <f t="shared" ca="1" si="18"/>
        <v>Справочно: Остаток денег на счете</v>
      </c>
      <c r="B1149" s="5" t="s">
        <v>1206</v>
      </c>
      <c r="C1149" s="5" t="s">
        <v>1793</v>
      </c>
      <c r="D1149" s="5" t="s">
        <v>3070</v>
      </c>
    </row>
    <row r="1150" spans="1:4" x14ac:dyDescent="0.3">
      <c r="A1150" s="5" t="str">
        <f t="shared" ca="1" si="18"/>
        <v>Справочно: Суммарный денежный поток за период</v>
      </c>
      <c r="B1150" s="5" t="s">
        <v>3389</v>
      </c>
      <c r="C1150" s="5" t="s">
        <v>1791</v>
      </c>
      <c r="D1150" s="5" t="s">
        <v>1791</v>
      </c>
    </row>
    <row r="1151" spans="1:4" x14ac:dyDescent="0.3">
      <c r="A1151" s="5" t="str">
        <f t="shared" ca="1" si="18"/>
        <v>Справочно: Денежные потоки от инвестиционной деятельности</v>
      </c>
      <c r="B1151" s="5" t="s">
        <v>3390</v>
      </c>
      <c r="C1151" s="5" t="s">
        <v>1785</v>
      </c>
      <c r="D1151" s="5" t="s">
        <v>1785</v>
      </c>
    </row>
    <row r="1152" spans="1:4" x14ac:dyDescent="0.3">
      <c r="A1152" s="5" t="str">
        <f t="shared" ca="1" si="18"/>
        <v>Справочно: Денежные потоки от операционной деятельности</v>
      </c>
      <c r="B1152" s="5" t="s">
        <v>3391</v>
      </c>
      <c r="C1152" s="5" t="s">
        <v>1778</v>
      </c>
      <c r="D1152" s="5" t="s">
        <v>1778</v>
      </c>
    </row>
    <row r="1153" spans="1:4" x14ac:dyDescent="0.3">
      <c r="A1153" s="5" t="str">
        <f t="shared" ca="1" si="18"/>
        <v>Покрытие выплаты долга, DSCR</v>
      </c>
      <c r="B1153" s="5" t="s">
        <v>671</v>
      </c>
      <c r="C1153" s="5" t="s">
        <v>1799</v>
      </c>
      <c r="D1153" s="5" t="s">
        <v>3071</v>
      </c>
    </row>
    <row r="1154" spans="1:4" x14ac:dyDescent="0.3">
      <c r="A1154" s="154" t="str">
        <f t="shared" ca="1" si="18"/>
        <v>НАЛОГОВЫЕ ПЛАТЕЖИ</v>
      </c>
      <c r="B1154" s="5" t="s">
        <v>771</v>
      </c>
      <c r="C1154" s="5" t="s">
        <v>1845</v>
      </c>
      <c r="D1154" s="5" t="s">
        <v>3072</v>
      </c>
    </row>
    <row r="1155" spans="1:4" x14ac:dyDescent="0.3">
      <c r="A1155" s="5" t="str">
        <f t="shared" ca="1" si="18"/>
        <v>Акцизы на проданные товары</v>
      </c>
      <c r="B1155" s="5" t="s">
        <v>1002</v>
      </c>
      <c r="C1155" s="5" t="s">
        <v>2096</v>
      </c>
      <c r="D1155" s="5" t="s">
        <v>3073</v>
      </c>
    </row>
    <row r="1156" spans="1:4" x14ac:dyDescent="0.3">
      <c r="A1156" s="5" t="str">
        <f t="shared" ca="1" si="18"/>
        <v>Импортная пошлина на сырье и материалы</v>
      </c>
      <c r="B1156" s="5" t="s">
        <v>1236</v>
      </c>
      <c r="C1156" s="5" t="s">
        <v>2097</v>
      </c>
      <c r="D1156" s="5" t="s">
        <v>3074</v>
      </c>
    </row>
    <row r="1157" spans="1:4" x14ac:dyDescent="0.3">
      <c r="A1157" s="5" t="str">
        <f t="shared" ca="1" si="18"/>
        <v>Импортная пошлина на оборудование</v>
      </c>
      <c r="B1157" s="5" t="s">
        <v>1207</v>
      </c>
      <c r="C1157" s="5" t="s">
        <v>2098</v>
      </c>
      <c r="D1157" s="5" t="s">
        <v>3075</v>
      </c>
    </row>
    <row r="1158" spans="1:4" x14ac:dyDescent="0.3">
      <c r="A1158" s="5" t="str">
        <f t="shared" ca="1" si="18"/>
        <v>Начисленный НДС</v>
      </c>
      <c r="B1158" s="5" t="s">
        <v>1211</v>
      </c>
      <c r="C1158" s="5" t="s">
        <v>1908</v>
      </c>
      <c r="D1158" s="5" t="s">
        <v>2835</v>
      </c>
    </row>
    <row r="1159" spans="1:4" x14ac:dyDescent="0.3">
      <c r="A1159" s="5" t="str">
        <f t="shared" ca="1" si="18"/>
        <v>задолженность по налогу</v>
      </c>
      <c r="B1159" s="5" t="s">
        <v>1238</v>
      </c>
      <c r="C1159" s="5" t="s">
        <v>2099</v>
      </c>
      <c r="D1159" s="5" t="s">
        <v>3076</v>
      </c>
    </row>
    <row r="1160" spans="1:4" x14ac:dyDescent="0.3">
      <c r="A1160" s="5" t="str">
        <f t="shared" ca="1" si="18"/>
        <v>уплаченный НДС</v>
      </c>
      <c r="B1160" s="5" t="s">
        <v>1237</v>
      </c>
      <c r="C1160" s="5" t="s">
        <v>1685</v>
      </c>
      <c r="D1160" s="5" t="s">
        <v>2968</v>
      </c>
    </row>
    <row r="1161" spans="1:4" x14ac:dyDescent="0.3">
      <c r="A1161" s="5" t="str">
        <f t="shared" ca="1" si="18"/>
        <v>НДС полученный с доходами от продаж</v>
      </c>
      <c r="B1161" s="5" t="s">
        <v>1157</v>
      </c>
      <c r="C1161" s="5" t="s">
        <v>2100</v>
      </c>
      <c r="D1161" s="5" t="s">
        <v>3077</v>
      </c>
    </row>
    <row r="1162" spans="1:4" x14ac:dyDescent="0.3">
      <c r="A1162" s="5" t="str">
        <f t="shared" ca="1" si="18"/>
        <v>НДС полученный при продаже основных средств</v>
      </c>
      <c r="B1162" s="5" t="s">
        <v>1156</v>
      </c>
      <c r="C1162" s="5" t="s">
        <v>2101</v>
      </c>
      <c r="D1162" s="5" t="s">
        <v>3078</v>
      </c>
    </row>
    <row r="1163" spans="1:4" x14ac:dyDescent="0.3">
      <c r="A1163" s="5" t="str">
        <f t="shared" ca="1" si="18"/>
        <v>НДС уплаченный на сырье и материалы</v>
      </c>
      <c r="B1163" s="5" t="s">
        <v>1000</v>
      </c>
      <c r="C1163" s="5" t="s">
        <v>2102</v>
      </c>
      <c r="D1163" s="5" t="s">
        <v>3079</v>
      </c>
    </row>
    <row r="1164" spans="1:4" x14ac:dyDescent="0.3">
      <c r="A1164" s="5" t="str">
        <f t="shared" ca="1" si="18"/>
        <v>НДС уплаченный с постоянными издержками</v>
      </c>
      <c r="B1164" s="5" t="s">
        <v>1024</v>
      </c>
      <c r="C1164" s="5" t="s">
        <v>2103</v>
      </c>
      <c r="D1164" s="5" t="s">
        <v>3080</v>
      </c>
    </row>
    <row r="1165" spans="1:4" x14ac:dyDescent="0.3">
      <c r="A1165" s="5" t="str">
        <f t="shared" ca="1" si="18"/>
        <v>НДС уплаченный по финансовой аренде</v>
      </c>
      <c r="B1165" s="5" t="s">
        <v>1234</v>
      </c>
      <c r="C1165" s="5" t="s">
        <v>2104</v>
      </c>
      <c r="D1165" s="5" t="s">
        <v>3081</v>
      </c>
    </row>
    <row r="1166" spans="1:4" x14ac:dyDescent="0.3">
      <c r="A1166" s="5" t="str">
        <f t="shared" ca="1" si="18"/>
        <v>НДС уплаченный по инвестициям</v>
      </c>
      <c r="B1166" s="5" t="s">
        <v>1208</v>
      </c>
      <c r="C1166" s="5" t="s">
        <v>2105</v>
      </c>
      <c r="D1166" s="5" t="s">
        <v>3082</v>
      </c>
    </row>
    <row r="1167" spans="1:4" x14ac:dyDescent="0.3">
      <c r="A1167" s="5" t="str">
        <f t="shared" ca="1" si="18"/>
        <v>НДС зачтенный по финансовой аренде</v>
      </c>
      <c r="B1167" s="5" t="s">
        <v>1235</v>
      </c>
      <c r="C1167" s="5" t="s">
        <v>2106</v>
      </c>
      <c r="D1167" s="5" t="s">
        <v>3083</v>
      </c>
    </row>
    <row r="1168" spans="1:4" x14ac:dyDescent="0.3">
      <c r="A1168" s="5" t="str">
        <f t="shared" ca="1" si="18"/>
        <v>НДС зачтенный по инвестициям</v>
      </c>
      <c r="B1168" s="5" t="s">
        <v>1209</v>
      </c>
      <c r="C1168" s="5" t="s">
        <v>2107</v>
      </c>
      <c r="D1168" s="5" t="s">
        <v>3084</v>
      </c>
    </row>
    <row r="1169" spans="1:4" x14ac:dyDescent="0.3">
      <c r="A1169" s="5" t="str">
        <f t="shared" ca="1" si="18"/>
        <v>Зачет НДС из активов стартового баланса</v>
      </c>
      <c r="B1169" s="5" t="s">
        <v>1274</v>
      </c>
      <c r="C1169" s="5" t="s">
        <v>2108</v>
      </c>
      <c r="D1169" s="5" t="s">
        <v>3085</v>
      </c>
    </row>
    <row r="1170" spans="1:4" x14ac:dyDescent="0.3">
      <c r="A1170" s="5" t="str">
        <f t="shared" ca="1" si="18"/>
        <v>Итого, баланс расчетов по НДС</v>
      </c>
      <c r="B1170" s="5" t="s">
        <v>1001</v>
      </c>
      <c r="C1170" s="5" t="s">
        <v>2109</v>
      </c>
      <c r="D1170" s="5" t="s">
        <v>3086</v>
      </c>
    </row>
    <row r="1171" spans="1:4" x14ac:dyDescent="0.3">
      <c r="A1171" s="5" t="str">
        <f t="shared" ca="1" si="18"/>
        <v>НДС как актив по инвестициям</v>
      </c>
      <c r="B1171" s="5" t="s">
        <v>1212</v>
      </c>
      <c r="C1171" s="5" t="s">
        <v>2110</v>
      </c>
      <c r="D1171" s="5" t="s">
        <v>3087</v>
      </c>
    </row>
    <row r="1172" spans="1:4" x14ac:dyDescent="0.3">
      <c r="A1172" s="5" t="str">
        <f t="shared" ca="1" si="18"/>
        <v>Отложенный возврат НДС</v>
      </c>
      <c r="B1172" s="5" t="s">
        <v>1210</v>
      </c>
      <c r="C1172" s="5" t="s">
        <v>2111</v>
      </c>
      <c r="D1172" s="5" t="s">
        <v>3088</v>
      </c>
    </row>
    <row r="1173" spans="1:4" x14ac:dyDescent="0.3">
      <c r="A1173" s="5" t="str">
        <f t="shared" ca="1" si="18"/>
        <v>Начисленный налог на имущество</v>
      </c>
      <c r="B1173" s="5" t="s">
        <v>1160</v>
      </c>
      <c r="C1173" s="5" t="s">
        <v>2112</v>
      </c>
      <c r="D1173" s="5" t="s">
        <v>3089</v>
      </c>
    </row>
    <row r="1174" spans="1:4" x14ac:dyDescent="0.3">
      <c r="A1174" s="5" t="str">
        <f t="shared" ca="1" si="18"/>
        <v>задолженность по налогу</v>
      </c>
      <c r="B1174" s="5" t="s">
        <v>1238</v>
      </c>
      <c r="C1174" s="5" t="s">
        <v>2113</v>
      </c>
      <c r="D1174" s="5" t="s">
        <v>3076</v>
      </c>
    </row>
    <row r="1175" spans="1:4" x14ac:dyDescent="0.3">
      <c r="A1175" s="5" t="str">
        <f t="shared" ca="1" si="18"/>
        <v>уплаченный налог на имущество</v>
      </c>
      <c r="B1175" s="5" t="s">
        <v>1241</v>
      </c>
      <c r="C1175" s="5" t="s">
        <v>2114</v>
      </c>
      <c r="D1175" s="5" t="s">
        <v>3090</v>
      </c>
    </row>
    <row r="1176" spans="1:4" x14ac:dyDescent="0.3">
      <c r="A1176" s="5" t="str">
        <f t="shared" ca="1" si="18"/>
        <v>Средняя стоимость зданий и сооружений</v>
      </c>
      <c r="B1176" s="5" t="s">
        <v>1158</v>
      </c>
      <c r="C1176" s="5" t="s">
        <v>2115</v>
      </c>
      <c r="D1176" s="5" t="s">
        <v>3091</v>
      </c>
    </row>
    <row r="1177" spans="1:4" x14ac:dyDescent="0.3">
      <c r="A1177" s="5" t="str">
        <f t="shared" ca="1" si="18"/>
        <v>в том числе, не облагаемых налогом</v>
      </c>
      <c r="B1177" s="5" t="s">
        <v>1538</v>
      </c>
      <c r="C1177" s="5" t="s">
        <v>2116</v>
      </c>
      <c r="D1177" s="5" t="s">
        <v>3092</v>
      </c>
    </row>
    <row r="1178" spans="1:4" x14ac:dyDescent="0.3">
      <c r="A1178" s="5" t="str">
        <f t="shared" ca="1" si="18"/>
        <v>Средняя стоимость оборудования</v>
      </c>
      <c r="B1178" s="5" t="s">
        <v>1159</v>
      </c>
      <c r="C1178" s="5" t="s">
        <v>2117</v>
      </c>
      <c r="D1178" s="5" t="s">
        <v>3093</v>
      </c>
    </row>
    <row r="1179" spans="1:4" x14ac:dyDescent="0.3">
      <c r="A1179" s="5" t="str">
        <f t="shared" ca="1" si="18"/>
        <v>в том числе, не облагаемого налогом</v>
      </c>
      <c r="B1179" s="5" t="s">
        <v>1539</v>
      </c>
      <c r="C1179" s="5" t="s">
        <v>2116</v>
      </c>
      <c r="D1179" s="5" t="s">
        <v>3092</v>
      </c>
    </row>
    <row r="1180" spans="1:4" x14ac:dyDescent="0.3">
      <c r="A1180" s="5" t="str">
        <f t="shared" ca="1" si="18"/>
        <v>Начисленные социальные взносы</v>
      </c>
      <c r="B1180" s="5" t="s">
        <v>1213</v>
      </c>
      <c r="C1180" s="5" t="s">
        <v>2118</v>
      </c>
      <c r="D1180" s="5" t="s">
        <v>3094</v>
      </c>
    </row>
    <row r="1181" spans="1:4" x14ac:dyDescent="0.3">
      <c r="A1181" s="5" t="str">
        <f t="shared" ca="1" si="18"/>
        <v>задолженность по взносам</v>
      </c>
      <c r="B1181" s="5" t="s">
        <v>1242</v>
      </c>
      <c r="C1181" s="5" t="s">
        <v>2119</v>
      </c>
      <c r="D1181" s="5" t="s">
        <v>3095</v>
      </c>
    </row>
    <row r="1182" spans="1:4" x14ac:dyDescent="0.3">
      <c r="A1182" s="5" t="str">
        <f t="shared" ref="A1182:A1252" ca="1" si="19">OFFSET(A1182,0,Prj_Language)</f>
        <v>уплаченные социальные взносы</v>
      </c>
      <c r="B1182" s="5" t="s">
        <v>1243</v>
      </c>
      <c r="C1182" s="5" t="s">
        <v>2120</v>
      </c>
      <c r="D1182" s="5" t="s">
        <v>3096</v>
      </c>
    </row>
    <row r="1183" spans="1:4" x14ac:dyDescent="0.3">
      <c r="A1183" s="5" t="str">
        <f t="shared" ca="1" si="19"/>
        <v>Начисленный налог на прибыль</v>
      </c>
      <c r="B1183" s="5" t="s">
        <v>1227</v>
      </c>
      <c r="C1183" s="5" t="s">
        <v>2121</v>
      </c>
      <c r="D1183" s="5" t="s">
        <v>3097</v>
      </c>
    </row>
    <row r="1184" spans="1:4" x14ac:dyDescent="0.3">
      <c r="A1184" s="5" t="str">
        <f t="shared" ca="1" si="19"/>
        <v>задолженность по налогу</v>
      </c>
      <c r="B1184" s="5" t="s">
        <v>1238</v>
      </c>
      <c r="C1184" s="5" t="s">
        <v>2122</v>
      </c>
      <c r="D1184" s="5" t="s">
        <v>3076</v>
      </c>
    </row>
    <row r="1185" spans="1:4" x14ac:dyDescent="0.3">
      <c r="A1185" s="5" t="str">
        <f t="shared" ca="1" si="19"/>
        <v>уплаченный налог на прибыль</v>
      </c>
      <c r="B1185" s="5" t="s">
        <v>1245</v>
      </c>
      <c r="C1185" s="5" t="s">
        <v>2123</v>
      </c>
      <c r="D1185" s="5" t="s">
        <v>3098</v>
      </c>
    </row>
    <row r="1186" spans="1:4" x14ac:dyDescent="0.3">
      <c r="A1186" s="5" t="str">
        <f t="shared" ca="1" si="19"/>
        <v>Прибыль до налогообложения</v>
      </c>
      <c r="B1186" s="5" t="s">
        <v>652</v>
      </c>
      <c r="C1186" s="5" t="s">
        <v>1767</v>
      </c>
      <c r="D1186" s="5" t="s">
        <v>3099</v>
      </c>
    </row>
    <row r="1187" spans="1:4" x14ac:dyDescent="0.3">
      <c r="A1187" s="5" t="str">
        <f t="shared" ca="1" si="19"/>
        <v>Доходы, не облагаемые налогом</v>
      </c>
      <c r="B1187" s="5" t="s">
        <v>1228</v>
      </c>
      <c r="C1187" s="5" t="s">
        <v>2124</v>
      </c>
      <c r="D1187" s="5" t="s">
        <v>3100</v>
      </c>
    </row>
    <row r="1188" spans="1:4" x14ac:dyDescent="0.3">
      <c r="A1188" s="5" t="str">
        <f t="shared" ca="1" si="19"/>
        <v>Убытки текущего года</v>
      </c>
      <c r="B1188" s="5" t="s">
        <v>3386</v>
      </c>
      <c r="C1188" t="s">
        <v>3392</v>
      </c>
      <c r="D1188" t="s">
        <v>3392</v>
      </c>
    </row>
    <row r="1189" spans="1:4" x14ac:dyDescent="0.3">
      <c r="A1189" s="5" t="str">
        <f t="shared" ca="1" si="19"/>
        <v>Списание убытков текущего года</v>
      </c>
      <c r="B1189" s="5" t="s">
        <v>3382</v>
      </c>
      <c r="C1189" t="s">
        <v>3393</v>
      </c>
      <c r="D1189" t="s">
        <v>3393</v>
      </c>
    </row>
    <row r="1190" spans="1:4" x14ac:dyDescent="0.3">
      <c r="A1190" s="5" t="str">
        <f t="shared" ca="1" si="19"/>
        <v>нарастающим итогом</v>
      </c>
      <c r="B1190" s="5" t="s">
        <v>3387</v>
      </c>
      <c r="C1190" t="s">
        <v>3394</v>
      </c>
      <c r="D1190" t="s">
        <v>3394</v>
      </c>
    </row>
    <row r="1191" spans="1:4" x14ac:dyDescent="0.3">
      <c r="A1191" s="5" t="str">
        <f t="shared" ca="1" si="19"/>
        <v>Не списанные убытки текущего года</v>
      </c>
      <c r="B1191" s="5" t="s">
        <v>3388</v>
      </c>
      <c r="C1191" t="s">
        <v>3395</v>
      </c>
      <c r="D1191" t="s">
        <v>3395</v>
      </c>
    </row>
    <row r="1192" spans="1:4" x14ac:dyDescent="0.3">
      <c r="A1192" s="5" t="str">
        <f t="shared" ca="1" si="19"/>
        <v>Убытки предыдущих лет</v>
      </c>
      <c r="B1192" s="5" t="s">
        <v>3383</v>
      </c>
      <c r="C1192" t="s">
        <v>3396</v>
      </c>
      <c r="D1192" t="s">
        <v>3396</v>
      </c>
    </row>
    <row r="1193" spans="1:4" x14ac:dyDescent="0.3">
      <c r="A1193" s="5" t="str">
        <f t="shared" ca="1" si="19"/>
        <v>Максимальный размер списания убытков (% от прибыли)</v>
      </c>
      <c r="B1193" s="5" t="s">
        <v>3384</v>
      </c>
      <c r="C1193" t="s">
        <v>3397</v>
      </c>
      <c r="D1193" t="s">
        <v>3397</v>
      </c>
    </row>
    <row r="1194" spans="1:4" x14ac:dyDescent="0.3">
      <c r="A1194" s="5" t="str">
        <f t="shared" ca="1" si="19"/>
        <v>Списание убытков предыдущих лет</v>
      </c>
      <c r="B1194" s="5" t="s">
        <v>3385</v>
      </c>
      <c r="C1194" t="s">
        <v>3398</v>
      </c>
      <c r="D1194" t="s">
        <v>3398</v>
      </c>
    </row>
    <row r="1195" spans="1:4" x14ac:dyDescent="0.3">
      <c r="A1195" s="5" t="str">
        <f t="shared" ca="1" si="19"/>
        <v>Убытки предыдущих периодов</v>
      </c>
      <c r="B1195" s="5" t="s">
        <v>1229</v>
      </c>
      <c r="C1195" s="5" t="s">
        <v>2125</v>
      </c>
      <c r="D1195" s="5" t="s">
        <v>3101</v>
      </c>
    </row>
    <row r="1196" spans="1:4" x14ac:dyDescent="0.3">
      <c r="A1196" s="5" t="str">
        <f t="shared" ca="1" si="19"/>
        <v>Списание убытков предыдущих периодов</v>
      </c>
      <c r="B1196" s="5" t="s">
        <v>1230</v>
      </c>
      <c r="C1196" s="5" t="s">
        <v>2126</v>
      </c>
      <c r="D1196" s="5" t="s">
        <v>3102</v>
      </c>
    </row>
    <row r="1197" spans="1:4" x14ac:dyDescent="0.3">
      <c r="A1197" s="5" t="str">
        <f t="shared" ca="1" si="19"/>
        <v>Прибыль для налогообложения</v>
      </c>
      <c r="B1197" s="5" t="s">
        <v>1231</v>
      </c>
      <c r="C1197" s="5" t="s">
        <v>2127</v>
      </c>
      <c r="D1197" s="5" t="s">
        <v>3103</v>
      </c>
    </row>
    <row r="1198" spans="1:4" x14ac:dyDescent="0.3">
      <c r="A1198" s="5" t="str">
        <f t="shared" ca="1" si="19"/>
        <v>Начисленный налог с оборота (УСН)</v>
      </c>
      <c r="B1198" s="5" t="s">
        <v>1232</v>
      </c>
      <c r="C1198" s="5" t="s">
        <v>2128</v>
      </c>
      <c r="D1198" s="5" t="s">
        <v>3104</v>
      </c>
    </row>
    <row r="1199" spans="1:4" x14ac:dyDescent="0.3">
      <c r="A1199" s="5" t="str">
        <f t="shared" ca="1" si="19"/>
        <v>задолженность по налогу</v>
      </c>
      <c r="B1199" s="5" t="s">
        <v>1238</v>
      </c>
      <c r="C1199" s="5" t="s">
        <v>2129</v>
      </c>
      <c r="D1199" s="5" t="s">
        <v>3076</v>
      </c>
    </row>
    <row r="1200" spans="1:4" x14ac:dyDescent="0.3">
      <c r="A1200" s="5" t="str">
        <f t="shared" ca="1" si="19"/>
        <v>уплаченный налог с оборота</v>
      </c>
      <c r="B1200" s="5" t="s">
        <v>1246</v>
      </c>
      <c r="C1200" s="5" t="s">
        <v>2130</v>
      </c>
      <c r="D1200" s="5" t="s">
        <v>3105</v>
      </c>
    </row>
    <row r="1201" spans="1:4" x14ac:dyDescent="0.3">
      <c r="A1201" s="5" t="str">
        <f t="shared" ca="1" si="19"/>
        <v>Облагаемая база</v>
      </c>
      <c r="B1201" s="5" t="s">
        <v>1233</v>
      </c>
      <c r="C1201" s="5" t="s">
        <v>2131</v>
      </c>
      <c r="D1201" s="5" t="s">
        <v>3106</v>
      </c>
    </row>
    <row r="1202" spans="1:4" x14ac:dyDescent="0.3">
      <c r="A1202" s="5" t="str">
        <f t="shared" ca="1" si="19"/>
        <v>Начисленный налог с дохода минус расходы (УСН)</v>
      </c>
      <c r="B1202" s="5" t="s">
        <v>1540</v>
      </c>
      <c r="C1202" s="5" t="s">
        <v>2132</v>
      </c>
      <c r="D1202" s="5" t="s">
        <v>3107</v>
      </c>
    </row>
    <row r="1203" spans="1:4" x14ac:dyDescent="0.3">
      <c r="A1203" s="5" t="str">
        <f t="shared" ca="1" si="19"/>
        <v>задолженность по налогу</v>
      </c>
      <c r="B1203" s="5" t="s">
        <v>1238</v>
      </c>
      <c r="C1203" s="5" t="s">
        <v>2113</v>
      </c>
      <c r="D1203" s="5" t="s">
        <v>3076</v>
      </c>
    </row>
    <row r="1204" spans="1:4" x14ac:dyDescent="0.3">
      <c r="A1204" s="5" t="str">
        <f t="shared" ca="1" si="19"/>
        <v>уплаченный налог с дохода, уменьшенного на расходы</v>
      </c>
      <c r="B1204" s="5" t="s">
        <v>1247</v>
      </c>
      <c r="C1204" s="5" t="s">
        <v>2133</v>
      </c>
      <c r="D1204" s="5" t="s">
        <v>3108</v>
      </c>
    </row>
    <row r="1205" spans="1:4" x14ac:dyDescent="0.3">
      <c r="A1205" s="5" t="str">
        <f t="shared" ca="1" si="19"/>
        <v>Облагаемая база до списания убытков</v>
      </c>
      <c r="B1205" s="5" t="s">
        <v>1248</v>
      </c>
      <c r="C1205" s="5" t="s">
        <v>2134</v>
      </c>
      <c r="D1205" s="5" t="s">
        <v>3109</v>
      </c>
    </row>
    <row r="1206" spans="1:4" x14ac:dyDescent="0.3">
      <c r="A1206" s="5" t="str">
        <f t="shared" ca="1" si="19"/>
        <v>Убытки предыдущих периодов</v>
      </c>
      <c r="B1206" s="5" t="s">
        <v>1229</v>
      </c>
      <c r="C1206" s="5" t="s">
        <v>2125</v>
      </c>
      <c r="D1206" s="5" t="s">
        <v>3101</v>
      </c>
    </row>
    <row r="1207" spans="1:4" x14ac:dyDescent="0.3">
      <c r="A1207" s="5" t="str">
        <f t="shared" ca="1" si="19"/>
        <v>Списание убытков предыдущих периодов</v>
      </c>
      <c r="B1207" s="5" t="s">
        <v>1230</v>
      </c>
      <c r="C1207" s="5" t="s">
        <v>2135</v>
      </c>
      <c r="D1207" s="5" t="s">
        <v>3102</v>
      </c>
    </row>
    <row r="1208" spans="1:4" x14ac:dyDescent="0.3">
      <c r="A1208" s="5" t="str">
        <f t="shared" ca="1" si="19"/>
        <v>Облагаемая база</v>
      </c>
      <c r="B1208" s="5" t="s">
        <v>1233</v>
      </c>
      <c r="C1208" s="5" t="s">
        <v>2127</v>
      </c>
      <c r="D1208" s="5" t="s">
        <v>3110</v>
      </c>
    </row>
    <row r="1209" spans="1:4" x14ac:dyDescent="0.3">
      <c r="A1209" s="5" t="str">
        <f t="shared" ca="1" si="19"/>
        <v>Минимальный налог (% от доходов)</v>
      </c>
      <c r="B1209" s="5" t="s">
        <v>1249</v>
      </c>
      <c r="C1209" s="5" t="s">
        <v>2136</v>
      </c>
      <c r="D1209" s="5" t="s">
        <v>3111</v>
      </c>
    </row>
    <row r="1210" spans="1:4" x14ac:dyDescent="0.3">
      <c r="A1210" s="5" t="str">
        <f t="shared" ca="1" si="19"/>
        <v>Начисленные налоговые платежи</v>
      </c>
      <c r="B1210" s="5" t="s">
        <v>1239</v>
      </c>
      <c r="C1210" s="5" t="s">
        <v>2137</v>
      </c>
      <c r="D1210" s="5" t="s">
        <v>2526</v>
      </c>
    </row>
    <row r="1211" spans="1:4" x14ac:dyDescent="0.3">
      <c r="A1211" s="5" t="str">
        <f t="shared" ca="1" si="19"/>
        <v>Уплаченные налоговые платежи</v>
      </c>
      <c r="B1211" s="5" t="s">
        <v>1240</v>
      </c>
      <c r="C1211" s="5" t="s">
        <v>2138</v>
      </c>
      <c r="D1211" s="5" t="s">
        <v>3108</v>
      </c>
    </row>
    <row r="1212" spans="1:4" x14ac:dyDescent="0.3">
      <c r="A1212" s="5" t="str">
        <f t="shared" ca="1" si="19"/>
        <v>Задолженность перед бюджетом и фондами</v>
      </c>
      <c r="B1212" s="5" t="s">
        <v>2139</v>
      </c>
      <c r="C1212" s="5" t="s">
        <v>1700</v>
      </c>
      <c r="D1212" s="5" t="s">
        <v>3112</v>
      </c>
    </row>
    <row r="1213" spans="1:4" x14ac:dyDescent="0.3">
      <c r="A1213" s="5" t="str">
        <f t="shared" ca="1" si="19"/>
        <v>Результаты</v>
      </c>
      <c r="B1213" s="5" t="s">
        <v>88</v>
      </c>
      <c r="C1213" s="5" t="s">
        <v>118</v>
      </c>
      <c r="D1213" s="5" t="s">
        <v>2406</v>
      </c>
    </row>
    <row r="1214" spans="1:4" x14ac:dyDescent="0.3">
      <c r="A1214" s="154" t="str">
        <f t="shared" ca="1" si="19"/>
        <v>ОТЧЕТ О ПРИБЫЛЯХ И УБЫТКАХ</v>
      </c>
      <c r="B1214" s="5" t="s">
        <v>645</v>
      </c>
      <c r="C1214" s="5" t="s">
        <v>1751</v>
      </c>
      <c r="D1214" s="5" t="s">
        <v>3113</v>
      </c>
    </row>
    <row r="1215" spans="1:4" x14ac:dyDescent="0.3">
      <c r="A1215" s="5" t="str">
        <f t="shared" ca="1" si="19"/>
        <v>Выручка</v>
      </c>
      <c r="B1215" s="5" t="s">
        <v>646</v>
      </c>
      <c r="C1215" s="5" t="s">
        <v>1752</v>
      </c>
      <c r="D1215" s="5" t="s">
        <v>3020</v>
      </c>
    </row>
    <row r="1216" spans="1:4" x14ac:dyDescent="0.3">
      <c r="A1216" s="5" t="str">
        <f t="shared" ca="1" si="19"/>
        <v>Себестоимость:</v>
      </c>
      <c r="B1216" s="5" t="s">
        <v>647</v>
      </c>
      <c r="C1216" s="5" t="s">
        <v>1753</v>
      </c>
      <c r="D1216" s="5" t="s">
        <v>3114</v>
      </c>
    </row>
    <row r="1217" spans="1:4" x14ac:dyDescent="0.3">
      <c r="A1217" s="5" t="str">
        <f t="shared" ca="1" si="19"/>
        <v>сырье и материалы</v>
      </c>
      <c r="B1217" s="5" t="s">
        <v>719</v>
      </c>
      <c r="C1217" s="5" t="s">
        <v>1754</v>
      </c>
      <c r="D1217" s="5" t="s">
        <v>3115</v>
      </c>
    </row>
    <row r="1218" spans="1:4" x14ac:dyDescent="0.3">
      <c r="A1218" s="5" t="str">
        <f t="shared" ca="1" si="19"/>
        <v>производственный персонал</v>
      </c>
      <c r="B1218" s="5" t="s">
        <v>1022</v>
      </c>
      <c r="C1218" s="5" t="s">
        <v>1755</v>
      </c>
      <c r="D1218" s="5" t="s">
        <v>3116</v>
      </c>
    </row>
    <row r="1219" spans="1:4" x14ac:dyDescent="0.3">
      <c r="A1219" s="5" t="str">
        <f t="shared" ca="1" si="19"/>
        <v>производственные расходы</v>
      </c>
      <c r="B1219" s="5" t="s">
        <v>3300</v>
      </c>
      <c r="C1219" s="5" t="s">
        <v>3301</v>
      </c>
      <c r="D1219" s="5" t="s">
        <v>3117</v>
      </c>
    </row>
    <row r="1220" spans="1:4" x14ac:dyDescent="0.3">
      <c r="A1220" s="5" t="str">
        <f t="shared" ca="1" si="19"/>
        <v>Суммарная себестоимость</v>
      </c>
      <c r="B1220" s="5" t="s">
        <v>648</v>
      </c>
      <c r="C1220" s="5" t="s">
        <v>1756</v>
      </c>
      <c r="D1220" s="5" t="s">
        <v>3118</v>
      </c>
    </row>
    <row r="1221" spans="1:4" x14ac:dyDescent="0.3">
      <c r="A1221" s="5" t="str">
        <f t="shared" ca="1" si="19"/>
        <v>Валовая прибыль</v>
      </c>
      <c r="B1221" s="5" t="s">
        <v>649</v>
      </c>
      <c r="C1221" s="5" t="s">
        <v>1757</v>
      </c>
      <c r="D1221" s="5" t="s">
        <v>3119</v>
      </c>
    </row>
    <row r="1222" spans="1:4" x14ac:dyDescent="0.3">
      <c r="A1222" s="5" t="str">
        <f t="shared" ca="1" si="19"/>
        <v>Административный и коммерческий персонал</v>
      </c>
      <c r="B1222" s="5" t="s">
        <v>1023</v>
      </c>
      <c r="C1222" s="5" t="s">
        <v>1758</v>
      </c>
      <c r="D1222" s="5" t="s">
        <v>3120</v>
      </c>
    </row>
    <row r="1223" spans="1:4" x14ac:dyDescent="0.3">
      <c r="A1223" s="5" t="str">
        <f t="shared" ca="1" si="19"/>
        <v>Административные расходы</v>
      </c>
      <c r="B1223" s="5" t="s">
        <v>720</v>
      </c>
      <c r="C1223" s="5" t="s">
        <v>1629</v>
      </c>
      <c r="D1223" s="5" t="s">
        <v>2918</v>
      </c>
    </row>
    <row r="1224" spans="1:4" x14ac:dyDescent="0.3">
      <c r="A1224" s="5" t="str">
        <f t="shared" ca="1" si="19"/>
        <v>Коммерческие расходы</v>
      </c>
      <c r="B1224" s="5" t="s">
        <v>721</v>
      </c>
      <c r="C1224" s="5" t="s">
        <v>1630</v>
      </c>
      <c r="D1224" s="5" t="s">
        <v>3121</v>
      </c>
    </row>
    <row r="1225" spans="1:4" x14ac:dyDescent="0.3">
      <c r="A1225" s="5" t="str">
        <f t="shared" ca="1" si="19"/>
        <v>Налоги и сборы</v>
      </c>
      <c r="B1225" s="5" t="s">
        <v>722</v>
      </c>
      <c r="C1225" s="5" t="s">
        <v>1759</v>
      </c>
      <c r="D1225" s="5" t="s">
        <v>3122</v>
      </c>
    </row>
    <row r="1226" spans="1:4" x14ac:dyDescent="0.3">
      <c r="A1226" s="5" t="str">
        <f t="shared" ca="1" si="19"/>
        <v>EBITDA</v>
      </c>
      <c r="B1226" s="5" t="s">
        <v>650</v>
      </c>
      <c r="C1226" s="5" t="s">
        <v>650</v>
      </c>
      <c r="D1226" s="5" t="s">
        <v>3123</v>
      </c>
    </row>
    <row r="1227" spans="1:4" x14ac:dyDescent="0.3">
      <c r="A1227" s="5" t="str">
        <f t="shared" ca="1" si="19"/>
        <v>Лизинговые платежи</v>
      </c>
      <c r="B1227" s="5" t="s">
        <v>723</v>
      </c>
      <c r="C1227" s="5" t="s">
        <v>1760</v>
      </c>
      <c r="D1227" s="5" t="s">
        <v>3124</v>
      </c>
    </row>
    <row r="1228" spans="1:4" x14ac:dyDescent="0.3">
      <c r="A1228" s="5" t="str">
        <f t="shared" ca="1" si="19"/>
        <v>Амортизация</v>
      </c>
      <c r="B1228" s="5" t="s">
        <v>724</v>
      </c>
      <c r="C1228" s="5" t="s">
        <v>1761</v>
      </c>
      <c r="D1228" s="5" t="s">
        <v>2796</v>
      </c>
    </row>
    <row r="1229" spans="1:4" x14ac:dyDescent="0.3">
      <c r="A1229" s="5" t="str">
        <f t="shared" ca="1" si="19"/>
        <v>Проценты к уплате</v>
      </c>
      <c r="B1229" s="5" t="s">
        <v>958</v>
      </c>
      <c r="C1229" s="5" t="s">
        <v>1762</v>
      </c>
      <c r="D1229" s="5" t="s">
        <v>3125</v>
      </c>
    </row>
    <row r="1230" spans="1:4" x14ac:dyDescent="0.3">
      <c r="A1230" s="5" t="str">
        <f t="shared" ca="1" si="19"/>
        <v>Прибыль (убыток) от операционной деятельности</v>
      </c>
      <c r="B1230" s="5" t="s">
        <v>651</v>
      </c>
      <c r="C1230" s="5" t="s">
        <v>1763</v>
      </c>
      <c r="D1230" s="5" t="s">
        <v>3126</v>
      </c>
    </row>
    <row r="1231" spans="1:4" x14ac:dyDescent="0.3">
      <c r="A1231" s="5" t="str">
        <f t="shared" ca="1" si="19"/>
        <v>Доходы от реализации внеоборотных активов</v>
      </c>
      <c r="B1231" s="5" t="s">
        <v>725</v>
      </c>
      <c r="C1231" s="5" t="s">
        <v>1764</v>
      </c>
      <c r="D1231" s="5" t="s">
        <v>3127</v>
      </c>
    </row>
    <row r="1232" spans="1:4" x14ac:dyDescent="0.3">
      <c r="A1232" s="5" t="str">
        <f t="shared" ca="1" si="19"/>
        <v>Курсовые разницы</v>
      </c>
      <c r="B1232" s="5" t="s">
        <v>1258</v>
      </c>
      <c r="C1232" s="5" t="s">
        <v>1746</v>
      </c>
      <c r="D1232" s="5" t="s">
        <v>2848</v>
      </c>
    </row>
    <row r="1233" spans="1:4" x14ac:dyDescent="0.3">
      <c r="A1233" s="5" t="str">
        <f t="shared" ca="1" si="19"/>
        <v>Прочие доходы</v>
      </c>
      <c r="B1233" s="5" t="s">
        <v>726</v>
      </c>
      <c r="C1233" s="5" t="s">
        <v>1765</v>
      </c>
      <c r="D1233" s="5" t="s">
        <v>3037</v>
      </c>
    </row>
    <row r="1234" spans="1:4" x14ac:dyDescent="0.3">
      <c r="A1234" s="5" t="str">
        <f t="shared" ca="1" si="19"/>
        <v>Прочие расходы</v>
      </c>
      <c r="B1234" s="5" t="s">
        <v>727</v>
      </c>
      <c r="C1234" s="5" t="s">
        <v>1766</v>
      </c>
      <c r="D1234" s="5" t="s">
        <v>3128</v>
      </c>
    </row>
    <row r="1235" spans="1:4" x14ac:dyDescent="0.3">
      <c r="A1235" s="5" t="str">
        <f t="shared" ca="1" si="19"/>
        <v>Прибыль до налогообложения</v>
      </c>
      <c r="B1235" s="5" t="s">
        <v>652</v>
      </c>
      <c r="C1235" s="5" t="s">
        <v>1767</v>
      </c>
      <c r="D1235" s="5" t="s">
        <v>3129</v>
      </c>
    </row>
    <row r="1236" spans="1:4" x14ac:dyDescent="0.3">
      <c r="A1236" s="5" t="str">
        <f t="shared" ca="1" si="19"/>
        <v>Налог на прибыль</v>
      </c>
      <c r="B1236" s="5" t="s">
        <v>235</v>
      </c>
      <c r="C1236" s="5" t="s">
        <v>420</v>
      </c>
      <c r="D1236" s="5" t="s">
        <v>2522</v>
      </c>
    </row>
    <row r="1237" spans="1:4" x14ac:dyDescent="0.3">
      <c r="A1237" s="5" t="str">
        <f t="shared" ca="1" si="19"/>
        <v>Чистая прибыль (убыток)</v>
      </c>
      <c r="B1237" s="5" t="s">
        <v>653</v>
      </c>
      <c r="C1237" s="5" t="s">
        <v>1768</v>
      </c>
      <c r="D1237" s="5" t="s">
        <v>3130</v>
      </c>
    </row>
    <row r="1238" spans="1:4" x14ac:dyDescent="0.3">
      <c r="A1238" s="5" t="str">
        <f t="shared" ca="1" si="19"/>
        <v>Выплаченные дивиденды</v>
      </c>
      <c r="B1238" s="5" t="s">
        <v>728</v>
      </c>
      <c r="C1238" s="5" t="s">
        <v>1769</v>
      </c>
      <c r="D1238" s="5" t="s">
        <v>3131</v>
      </c>
    </row>
    <row r="1239" spans="1:4" x14ac:dyDescent="0.3">
      <c r="A1239" s="5" t="str">
        <f t="shared" ca="1" si="19"/>
        <v>Нераспределенная чистая прибыль за период</v>
      </c>
      <c r="B1239" s="5" t="s">
        <v>2160</v>
      </c>
      <c r="C1239" s="5" t="s">
        <v>1770</v>
      </c>
      <c r="D1239" s="5" t="s">
        <v>3132</v>
      </c>
    </row>
    <row r="1240" spans="1:4" x14ac:dyDescent="0.3">
      <c r="A1240" s="154" t="str">
        <f t="shared" ca="1" si="19"/>
        <v>ОТЧЕТ О ДВИЖЕНИИ ДЕНЕЖНЫХ СРЕДСТВ</v>
      </c>
      <c r="B1240" s="5" t="s">
        <v>654</v>
      </c>
      <c r="C1240" s="5" t="s">
        <v>1771</v>
      </c>
      <c r="D1240" s="5" t="s">
        <v>3133</v>
      </c>
    </row>
    <row r="1241" spans="1:4" x14ac:dyDescent="0.3">
      <c r="A1241" s="5" t="str">
        <f t="shared" ca="1" si="19"/>
        <v>Поступления от продаж</v>
      </c>
      <c r="B1241" s="5" t="s">
        <v>1414</v>
      </c>
      <c r="C1241" s="5" t="s">
        <v>1772</v>
      </c>
      <c r="D1241" s="5" t="s">
        <v>3134</v>
      </c>
    </row>
    <row r="1242" spans="1:4" x14ac:dyDescent="0.3">
      <c r="A1242" s="5" t="str">
        <f t="shared" ca="1" si="19"/>
        <v>Оплата материалов и операционных расходов</v>
      </c>
      <c r="B1242" s="5" t="s">
        <v>3297</v>
      </c>
      <c r="C1242" s="5" t="s">
        <v>3298</v>
      </c>
      <c r="D1242" s="5" t="s">
        <v>3299</v>
      </c>
    </row>
    <row r="1243" spans="1:4" x14ac:dyDescent="0.3">
      <c r="A1243" s="5" t="str">
        <f t="shared" ca="1" si="19"/>
        <v>Заработная плата</v>
      </c>
      <c r="B1243" s="5" t="s">
        <v>1415</v>
      </c>
      <c r="C1243" s="5" t="s">
        <v>1773</v>
      </c>
      <c r="D1243" s="5" t="s">
        <v>3135</v>
      </c>
    </row>
    <row r="1244" spans="1:4" x14ac:dyDescent="0.3">
      <c r="A1244" s="5" t="str">
        <f t="shared" ca="1" si="19"/>
        <v>Постоянные издержки</v>
      </c>
      <c r="B1244" s="5" t="s">
        <v>1416</v>
      </c>
      <c r="C1244" s="5" t="s">
        <v>1774</v>
      </c>
      <c r="D1244" s="5" t="s">
        <v>3136</v>
      </c>
    </row>
    <row r="1245" spans="1:4" x14ac:dyDescent="0.3">
      <c r="A1245" s="5" t="str">
        <f t="shared" ca="1" si="19"/>
        <v>Налоги</v>
      </c>
      <c r="B1245" s="5" t="s">
        <v>230</v>
      </c>
      <c r="C1245" s="5" t="s">
        <v>415</v>
      </c>
      <c r="D1245" s="5" t="s">
        <v>2517</v>
      </c>
    </row>
    <row r="1246" spans="1:4" x14ac:dyDescent="0.3">
      <c r="A1246" s="5" t="str">
        <f t="shared" ca="1" si="19"/>
        <v>Выплата процентов по кредитам</v>
      </c>
      <c r="B1246" s="5" t="s">
        <v>1417</v>
      </c>
      <c r="C1246" s="5" t="s">
        <v>1741</v>
      </c>
      <c r="D1246" s="5" t="s">
        <v>3137</v>
      </c>
    </row>
    <row r="1247" spans="1:4" x14ac:dyDescent="0.3">
      <c r="A1247" s="5" t="str">
        <f t="shared" ca="1" si="19"/>
        <v>Лизинговые платежи</v>
      </c>
      <c r="B1247" s="5" t="s">
        <v>723</v>
      </c>
      <c r="C1247" s="5" t="s">
        <v>1775</v>
      </c>
      <c r="D1247" s="5" t="s">
        <v>3124</v>
      </c>
    </row>
    <row r="1248" spans="1:4" x14ac:dyDescent="0.3">
      <c r="A1248" s="5" t="str">
        <f t="shared" ca="1" si="19"/>
        <v>Прочие поступления</v>
      </c>
      <c r="B1248" s="5" t="s">
        <v>1418</v>
      </c>
      <c r="C1248" s="5" t="s">
        <v>1776</v>
      </c>
      <c r="D1248" s="5" t="s">
        <v>3037</v>
      </c>
    </row>
    <row r="1249" spans="1:4" x14ac:dyDescent="0.3">
      <c r="A1249" s="5" t="str">
        <f t="shared" ca="1" si="19"/>
        <v>Прочие затраты</v>
      </c>
      <c r="B1249" s="5" t="s">
        <v>1419</v>
      </c>
      <c r="C1249" s="5" t="s">
        <v>1777</v>
      </c>
      <c r="D1249" s="5" t="s">
        <v>3128</v>
      </c>
    </row>
    <row r="1250" spans="1:4" x14ac:dyDescent="0.3">
      <c r="A1250" s="5" t="str">
        <f t="shared" ca="1" si="19"/>
        <v>Денежные потоки от операционной деятельности</v>
      </c>
      <c r="B1250" s="5" t="s">
        <v>655</v>
      </c>
      <c r="C1250" s="5" t="s">
        <v>1778</v>
      </c>
      <c r="D1250" s="5" t="s">
        <v>3138</v>
      </c>
    </row>
    <row r="1251" spans="1:4" x14ac:dyDescent="0.3">
      <c r="A1251" s="5" t="str">
        <f t="shared" ca="1" si="19"/>
        <v>Инвестиции в земельные участки</v>
      </c>
      <c r="B1251" s="5" t="s">
        <v>1420</v>
      </c>
      <c r="C1251" s="5" t="s">
        <v>1779</v>
      </c>
      <c r="D1251" s="5" t="s">
        <v>3139</v>
      </c>
    </row>
    <row r="1252" spans="1:4" x14ac:dyDescent="0.3">
      <c r="A1252" s="5" t="str">
        <f t="shared" ca="1" si="19"/>
        <v>Инвестиции в здания и сооружения</v>
      </c>
      <c r="B1252" s="5" t="s">
        <v>1421</v>
      </c>
      <c r="C1252" s="5" t="s">
        <v>1780</v>
      </c>
      <c r="D1252" s="5" t="s">
        <v>3140</v>
      </c>
    </row>
    <row r="1253" spans="1:4" x14ac:dyDescent="0.3">
      <c r="A1253" s="5" t="str">
        <f t="shared" ref="A1253:A1316" ca="1" si="20">OFFSET(A1253,0,Prj_Language)</f>
        <v>Инвестиции в оборудование и прочие активы</v>
      </c>
      <c r="B1253" s="5" t="s">
        <v>1422</v>
      </c>
      <c r="C1253" s="5" t="s">
        <v>1781</v>
      </c>
      <c r="D1253" s="5" t="s">
        <v>3141</v>
      </c>
    </row>
    <row r="1254" spans="1:4" x14ac:dyDescent="0.3">
      <c r="A1254" s="5" t="str">
        <f t="shared" ca="1" si="20"/>
        <v>Инвестиции в нематериальные активы</v>
      </c>
      <c r="B1254" s="5" t="s">
        <v>1423</v>
      </c>
      <c r="C1254" s="5" t="s">
        <v>1782</v>
      </c>
      <c r="D1254" s="5" t="s">
        <v>3142</v>
      </c>
    </row>
    <row r="1255" spans="1:4" x14ac:dyDescent="0.3">
      <c r="A1255" s="5" t="str">
        <f t="shared" ca="1" si="20"/>
        <v>Инвестиции в финансовые активы</v>
      </c>
      <c r="B1255" s="5" t="s">
        <v>1424</v>
      </c>
      <c r="C1255" s="5" t="s">
        <v>1783</v>
      </c>
      <c r="D1255" s="5" t="s">
        <v>3143</v>
      </c>
    </row>
    <row r="1256" spans="1:4" x14ac:dyDescent="0.3">
      <c r="A1256" s="5" t="str">
        <f t="shared" ca="1" si="20"/>
        <v>Выручка от реализации активов</v>
      </c>
      <c r="B1256" s="5" t="s">
        <v>1425</v>
      </c>
      <c r="C1256" s="5" t="s">
        <v>1784</v>
      </c>
      <c r="D1256" s="5" t="s">
        <v>2954</v>
      </c>
    </row>
    <row r="1257" spans="1:4" x14ac:dyDescent="0.3">
      <c r="A1257" s="5" t="str">
        <f t="shared" ca="1" si="20"/>
        <v>Денежные потоки от инвестиционной деятельности</v>
      </c>
      <c r="B1257" s="5" t="s">
        <v>656</v>
      </c>
      <c r="C1257" s="5" t="s">
        <v>1785</v>
      </c>
      <c r="D1257" s="5" t="s">
        <v>3144</v>
      </c>
    </row>
    <row r="1258" spans="1:4" x14ac:dyDescent="0.3">
      <c r="A1258" s="5" t="str">
        <f t="shared" ca="1" si="20"/>
        <v>Поступления собственного капитала</v>
      </c>
      <c r="B1258" s="5" t="s">
        <v>738</v>
      </c>
      <c r="C1258" s="5" t="s">
        <v>1786</v>
      </c>
      <c r="D1258" s="5" t="s">
        <v>3145</v>
      </c>
    </row>
    <row r="1259" spans="1:4" x14ac:dyDescent="0.3">
      <c r="A1259" s="5" t="str">
        <f t="shared" ca="1" si="20"/>
        <v>Поступления кредитов</v>
      </c>
      <c r="B1259" s="5" t="s">
        <v>732</v>
      </c>
      <c r="C1259" s="5" t="s">
        <v>1787</v>
      </c>
      <c r="D1259" s="5" t="s">
        <v>3146</v>
      </c>
    </row>
    <row r="1260" spans="1:4" x14ac:dyDescent="0.3">
      <c r="A1260" s="5" t="str">
        <f t="shared" ca="1" si="20"/>
        <v>Возврат кредитов</v>
      </c>
      <c r="B1260" s="5" t="s">
        <v>1413</v>
      </c>
      <c r="C1260" s="5" t="s">
        <v>1788</v>
      </c>
      <c r="D1260" s="5" t="s">
        <v>3147</v>
      </c>
    </row>
    <row r="1261" spans="1:4" x14ac:dyDescent="0.3">
      <c r="A1261" s="5" t="str">
        <f t="shared" ca="1" si="20"/>
        <v>Выплата дивидендов</v>
      </c>
      <c r="B1261" s="5" t="s">
        <v>1426</v>
      </c>
      <c r="C1261" s="5" t="s">
        <v>1789</v>
      </c>
      <c r="D1261" s="5" t="s">
        <v>3148</v>
      </c>
    </row>
    <row r="1262" spans="1:4" x14ac:dyDescent="0.3">
      <c r="A1262" s="5" t="str">
        <f t="shared" ca="1" si="20"/>
        <v>Денежные потоки от финансовой деятельности</v>
      </c>
      <c r="B1262" s="5" t="s">
        <v>657</v>
      </c>
      <c r="C1262" s="5" t="s">
        <v>1790</v>
      </c>
      <c r="D1262" s="5" t="s">
        <v>3149</v>
      </c>
    </row>
    <row r="1263" spans="1:4" x14ac:dyDescent="0.3">
      <c r="A1263" s="5" t="str">
        <f t="shared" ca="1" si="20"/>
        <v>Суммарный денежный поток за период</v>
      </c>
      <c r="B1263" s="5" t="s">
        <v>658</v>
      </c>
      <c r="C1263" s="5" t="s">
        <v>1791</v>
      </c>
      <c r="D1263" s="5" t="s">
        <v>3150</v>
      </c>
    </row>
    <row r="1264" spans="1:4" x14ac:dyDescent="0.3">
      <c r="A1264" s="5" t="str">
        <f t="shared" ca="1" si="20"/>
        <v>Денежные средства на начало периода</v>
      </c>
      <c r="B1264" s="5" t="s">
        <v>659</v>
      </c>
      <c r="C1264" s="5" t="s">
        <v>1792</v>
      </c>
      <c r="D1264" s="5" t="s">
        <v>3151</v>
      </c>
    </row>
    <row r="1265" spans="1:4" x14ac:dyDescent="0.3">
      <c r="A1265" s="5" t="str">
        <f t="shared" ca="1" si="20"/>
        <v>Денежные средства на конец периода</v>
      </c>
      <c r="B1265" s="5" t="s">
        <v>660</v>
      </c>
      <c r="C1265" s="5" t="s">
        <v>1793</v>
      </c>
      <c r="D1265" s="5" t="s">
        <v>3152</v>
      </c>
    </row>
    <row r="1266" spans="1:4" x14ac:dyDescent="0.3">
      <c r="A1266" s="154" t="str">
        <f t="shared" ca="1" si="20"/>
        <v>БАЛАНС</v>
      </c>
      <c r="B1266" s="5" t="s">
        <v>661</v>
      </c>
      <c r="C1266" s="5" t="s">
        <v>1794</v>
      </c>
      <c r="D1266" s="5" t="s">
        <v>661</v>
      </c>
    </row>
    <row r="1267" spans="1:4" x14ac:dyDescent="0.3">
      <c r="A1267" s="5" t="str">
        <f t="shared" ca="1" si="20"/>
        <v>Денежные средства</v>
      </c>
      <c r="B1267" s="5" t="s">
        <v>1397</v>
      </c>
      <c r="C1267" s="5" t="s">
        <v>1680</v>
      </c>
      <c r="D1267" s="5" t="s">
        <v>2749</v>
      </c>
    </row>
    <row r="1268" spans="1:4" x14ac:dyDescent="0.3">
      <c r="A1268" s="5" t="str">
        <f t="shared" ca="1" si="20"/>
        <v>Дебиторская задолженность</v>
      </c>
      <c r="B1268" s="5" t="s">
        <v>985</v>
      </c>
      <c r="C1268" s="5" t="s">
        <v>1681</v>
      </c>
      <c r="D1268" s="5" t="s">
        <v>2750</v>
      </c>
    </row>
    <row r="1269" spans="1:4" x14ac:dyDescent="0.3">
      <c r="A1269" s="5" t="str">
        <f t="shared" ca="1" si="20"/>
        <v>Авансы уплаченные поставщикам</v>
      </c>
      <c r="B1269" s="5" t="s">
        <v>1398</v>
      </c>
      <c r="C1269" s="5" t="s">
        <v>1682</v>
      </c>
      <c r="D1269" s="5" t="s">
        <v>2751</v>
      </c>
    </row>
    <row r="1270" spans="1:4" x14ac:dyDescent="0.3">
      <c r="A1270" s="5" t="str">
        <f t="shared" ca="1" si="20"/>
        <v>Готовая продукция на складе</v>
      </c>
      <c r="B1270" s="5" t="s">
        <v>1399</v>
      </c>
      <c r="C1270" s="5" t="s">
        <v>1683</v>
      </c>
      <c r="D1270" s="5" t="s">
        <v>3153</v>
      </c>
    </row>
    <row r="1271" spans="1:4" x14ac:dyDescent="0.3">
      <c r="A1271" s="5" t="str">
        <f t="shared" ca="1" si="20"/>
        <v>Незавершенное производство</v>
      </c>
      <c r="B1271" s="5" t="s">
        <v>1004</v>
      </c>
      <c r="C1271" s="5" t="s">
        <v>1684</v>
      </c>
      <c r="D1271" s="5" t="s">
        <v>2753</v>
      </c>
    </row>
    <row r="1272" spans="1:4" x14ac:dyDescent="0.3">
      <c r="A1272" s="5" t="str">
        <f t="shared" ca="1" si="20"/>
        <v>Запасы материалов и комплектующих</v>
      </c>
      <c r="B1272" s="5" t="s">
        <v>1018</v>
      </c>
      <c r="C1272" s="5" t="s">
        <v>1626</v>
      </c>
      <c r="D1272" s="5" t="s">
        <v>2754</v>
      </c>
    </row>
    <row r="1273" spans="1:4" x14ac:dyDescent="0.3">
      <c r="A1273" s="5" t="str">
        <f t="shared" ca="1" si="20"/>
        <v>НДС на приобретенные товары</v>
      </c>
      <c r="B1273" s="5" t="s">
        <v>1400</v>
      </c>
      <c r="C1273" s="5" t="s">
        <v>1685</v>
      </c>
      <c r="D1273" s="5" t="s">
        <v>2755</v>
      </c>
    </row>
    <row r="1274" spans="1:4" x14ac:dyDescent="0.3">
      <c r="A1274" s="5" t="str">
        <f t="shared" ca="1" si="20"/>
        <v>Краткосрочные финансовые вложения</v>
      </c>
      <c r="B1274" s="5" t="s">
        <v>1282</v>
      </c>
      <c r="C1274" s="5" t="s">
        <v>1686</v>
      </c>
      <c r="D1274" s="5" t="s">
        <v>2756</v>
      </c>
    </row>
    <row r="1275" spans="1:4" x14ac:dyDescent="0.3">
      <c r="A1275" s="5" t="str">
        <f t="shared" ca="1" si="20"/>
        <v>Прочие оборотные активы</v>
      </c>
      <c r="B1275" s="5" t="s">
        <v>1401</v>
      </c>
      <c r="C1275" s="5" t="s">
        <v>1687</v>
      </c>
      <c r="D1275" s="5" t="s">
        <v>2757</v>
      </c>
    </row>
    <row r="1276" spans="1:4" x14ac:dyDescent="0.3">
      <c r="A1276" s="5" t="str">
        <f t="shared" ca="1" si="20"/>
        <v>Суммарные оборотные активы</v>
      </c>
      <c r="B1276" s="5" t="s">
        <v>662</v>
      </c>
      <c r="C1276" s="5" t="s">
        <v>1688</v>
      </c>
      <c r="D1276" s="5" t="s">
        <v>2758</v>
      </c>
    </row>
    <row r="1277" spans="1:4" x14ac:dyDescent="0.3">
      <c r="A1277" s="5" t="str">
        <f t="shared" ca="1" si="20"/>
        <v>Земельные участки</v>
      </c>
      <c r="B1277" s="5" t="s">
        <v>931</v>
      </c>
      <c r="C1277" s="5" t="s">
        <v>1689</v>
      </c>
      <c r="D1277" s="5" t="s">
        <v>2597</v>
      </c>
    </row>
    <row r="1278" spans="1:4" x14ac:dyDescent="0.3">
      <c r="A1278" s="5" t="str">
        <f t="shared" ca="1" si="20"/>
        <v>Здания и сооружения</v>
      </c>
      <c r="B1278" s="5" t="s">
        <v>244</v>
      </c>
      <c r="C1278" s="5" t="s">
        <v>1690</v>
      </c>
      <c r="D1278" s="5" t="s">
        <v>2759</v>
      </c>
    </row>
    <row r="1279" spans="1:4" x14ac:dyDescent="0.3">
      <c r="A1279" s="5" t="str">
        <f t="shared" ca="1" si="20"/>
        <v>Оборудование и прочие активы</v>
      </c>
      <c r="B1279" s="5" t="s">
        <v>933</v>
      </c>
      <c r="C1279" s="5" t="s">
        <v>1691</v>
      </c>
      <c r="D1279" s="5" t="s">
        <v>2760</v>
      </c>
    </row>
    <row r="1280" spans="1:4" x14ac:dyDescent="0.3">
      <c r="A1280" s="5" t="str">
        <f t="shared" ca="1" si="20"/>
        <v>Нематериальные активы</v>
      </c>
      <c r="B1280" s="5" t="s">
        <v>246</v>
      </c>
      <c r="C1280" s="5" t="s">
        <v>1692</v>
      </c>
      <c r="D1280" s="5" t="s">
        <v>2761</v>
      </c>
    </row>
    <row r="1281" spans="1:4" x14ac:dyDescent="0.3">
      <c r="A1281" s="5" t="str">
        <f t="shared" ca="1" si="20"/>
        <v>Долгосрочные финансовые вложения</v>
      </c>
      <c r="B1281" s="5" t="s">
        <v>934</v>
      </c>
      <c r="C1281" s="5" t="s">
        <v>1693</v>
      </c>
      <c r="D1281" s="5" t="s">
        <v>2762</v>
      </c>
    </row>
    <row r="1282" spans="1:4" x14ac:dyDescent="0.3">
      <c r="A1282" s="5" t="str">
        <f t="shared" ca="1" si="20"/>
        <v>Незавершенные капиталовложения</v>
      </c>
      <c r="B1282" s="5" t="s">
        <v>1402</v>
      </c>
      <c r="C1282" s="5" t="s">
        <v>1694</v>
      </c>
      <c r="D1282" s="5" t="s">
        <v>2763</v>
      </c>
    </row>
    <row r="1283" spans="1:4" x14ac:dyDescent="0.3">
      <c r="A1283" s="5" t="str">
        <f t="shared" ca="1" si="20"/>
        <v>Прочие внеоборотные активы</v>
      </c>
      <c r="B1283" s="5" t="s">
        <v>1403</v>
      </c>
      <c r="C1283" s="5" t="s">
        <v>1695</v>
      </c>
      <c r="D1283" s="5" t="s">
        <v>2764</v>
      </c>
    </row>
    <row r="1284" spans="1:4" x14ac:dyDescent="0.3">
      <c r="A1284" s="5" t="str">
        <f t="shared" ca="1" si="20"/>
        <v>Суммарные внеоборотные активы</v>
      </c>
      <c r="B1284" s="5" t="s">
        <v>663</v>
      </c>
      <c r="C1284" s="5" t="s">
        <v>1696</v>
      </c>
      <c r="D1284" s="5" t="s">
        <v>2765</v>
      </c>
    </row>
    <row r="1285" spans="1:4" x14ac:dyDescent="0.3">
      <c r="A1285" s="5" t="str">
        <f t="shared" ca="1" si="20"/>
        <v>ИТОГО АКТИВОВ</v>
      </c>
      <c r="B1285" s="5" t="s">
        <v>664</v>
      </c>
      <c r="C1285" s="5" t="s">
        <v>1697</v>
      </c>
      <c r="D1285" s="5" t="s">
        <v>2766</v>
      </c>
    </row>
    <row r="1286" spans="1:4" x14ac:dyDescent="0.3">
      <c r="A1286" s="5" t="str">
        <f t="shared" ca="1" si="20"/>
        <v>Кредиторская задолженность перед поставщиками</v>
      </c>
      <c r="B1286" s="5" t="s">
        <v>1283</v>
      </c>
      <c r="C1286" s="5" t="s">
        <v>1698</v>
      </c>
      <c r="D1286" s="5" t="s">
        <v>2767</v>
      </c>
    </row>
    <row r="1287" spans="1:4" x14ac:dyDescent="0.3">
      <c r="A1287" s="5" t="str">
        <f t="shared" ca="1" si="20"/>
        <v>Кредиторская задолженность за внеоборотные активы</v>
      </c>
      <c r="B1287" s="5" t="s">
        <v>1284</v>
      </c>
      <c r="C1287" s="5" t="s">
        <v>1699</v>
      </c>
      <c r="D1287" s="5" t="s">
        <v>2768</v>
      </c>
    </row>
    <row r="1288" spans="1:4" x14ac:dyDescent="0.3">
      <c r="A1288" s="5" t="str">
        <f t="shared" ca="1" si="20"/>
        <v>Расчеты с бюджетом и внебюджетными фондами</v>
      </c>
      <c r="B1288" s="5" t="s">
        <v>1427</v>
      </c>
      <c r="C1288" s="5" t="s">
        <v>1700</v>
      </c>
      <c r="D1288" s="5" t="s">
        <v>3154</v>
      </c>
    </row>
    <row r="1289" spans="1:4" x14ac:dyDescent="0.3">
      <c r="A1289" s="5" t="str">
        <f t="shared" ca="1" si="20"/>
        <v>Расчеты с персоналом</v>
      </c>
      <c r="B1289" s="5" t="s">
        <v>1405</v>
      </c>
      <c r="C1289" s="5" t="s">
        <v>1701</v>
      </c>
      <c r="D1289" s="5" t="s">
        <v>2770</v>
      </c>
    </row>
    <row r="1290" spans="1:4" x14ac:dyDescent="0.3">
      <c r="A1290" s="5" t="str">
        <f t="shared" ca="1" si="20"/>
        <v>Полученные авансы покупателей</v>
      </c>
      <c r="B1290" s="5" t="s">
        <v>1406</v>
      </c>
      <c r="C1290" s="5" t="s">
        <v>1702</v>
      </c>
      <c r="D1290" s="5" t="s">
        <v>2771</v>
      </c>
    </row>
    <row r="1291" spans="1:4" x14ac:dyDescent="0.3">
      <c r="A1291" s="5" t="str">
        <f t="shared" ca="1" si="20"/>
        <v>Краткосрочные кредиты</v>
      </c>
      <c r="B1291" s="5" t="s">
        <v>570</v>
      </c>
      <c r="C1291" s="5" t="s">
        <v>1703</v>
      </c>
      <c r="D1291" s="5" t="s">
        <v>2772</v>
      </c>
    </row>
    <row r="1292" spans="1:4" x14ac:dyDescent="0.3">
      <c r="A1292" s="5" t="str">
        <f t="shared" ca="1" si="20"/>
        <v>Прочие краткосрочные обязательства</v>
      </c>
      <c r="B1292" s="5" t="s">
        <v>1407</v>
      </c>
      <c r="C1292" s="5" t="s">
        <v>1704</v>
      </c>
      <c r="D1292" s="5" t="s">
        <v>2773</v>
      </c>
    </row>
    <row r="1293" spans="1:4" x14ac:dyDescent="0.3">
      <c r="A1293" s="5" t="str">
        <f t="shared" ca="1" si="20"/>
        <v>Суммарные краткосрочные обязательства</v>
      </c>
      <c r="B1293" s="5" t="s">
        <v>665</v>
      </c>
      <c r="C1293" s="5" t="s">
        <v>1705</v>
      </c>
      <c r="D1293" s="5" t="s">
        <v>2774</v>
      </c>
    </row>
    <row r="1294" spans="1:4" x14ac:dyDescent="0.3">
      <c r="A1294" s="5" t="str">
        <f t="shared" ca="1" si="20"/>
        <v>Долгосрочные кредиты</v>
      </c>
      <c r="B1294" s="5" t="s">
        <v>569</v>
      </c>
      <c r="C1294" s="5" t="s">
        <v>1706</v>
      </c>
      <c r="D1294" s="5" t="s">
        <v>2775</v>
      </c>
    </row>
    <row r="1295" spans="1:4" x14ac:dyDescent="0.3">
      <c r="A1295" s="5" t="str">
        <f t="shared" ca="1" si="20"/>
        <v>Обязательства по финансовой аренде</v>
      </c>
      <c r="B1295" s="5" t="s">
        <v>1428</v>
      </c>
      <c r="C1295" s="5" t="s">
        <v>1795</v>
      </c>
      <c r="D1295" s="5" t="s">
        <v>3155</v>
      </c>
    </row>
    <row r="1296" spans="1:4" x14ac:dyDescent="0.3">
      <c r="A1296" s="5" t="str">
        <f t="shared" ca="1" si="20"/>
        <v>Прочие долгосрочные обязательства</v>
      </c>
      <c r="B1296" s="5" t="s">
        <v>1408</v>
      </c>
      <c r="C1296" s="5" t="s">
        <v>1707</v>
      </c>
      <c r="D1296" s="5" t="s">
        <v>2776</v>
      </c>
    </row>
    <row r="1297" spans="1:4" x14ac:dyDescent="0.3">
      <c r="A1297" s="5" t="str">
        <f t="shared" ca="1" si="20"/>
        <v>Суммарные долгосрочные обязательства</v>
      </c>
      <c r="B1297" s="5" t="s">
        <v>666</v>
      </c>
      <c r="C1297" s="5" t="s">
        <v>1708</v>
      </c>
      <c r="D1297" s="5" t="s">
        <v>2777</v>
      </c>
    </row>
    <row r="1298" spans="1:4" x14ac:dyDescent="0.3">
      <c r="A1298" s="5" t="str">
        <f t="shared" ca="1" si="20"/>
        <v>Акционерный капитал</v>
      </c>
      <c r="B1298" s="5" t="s">
        <v>1409</v>
      </c>
      <c r="C1298" s="5" t="s">
        <v>1709</v>
      </c>
      <c r="D1298" s="5" t="s">
        <v>3156</v>
      </c>
    </row>
    <row r="1299" spans="1:4" x14ac:dyDescent="0.3">
      <c r="A1299" s="5" t="str">
        <f t="shared" ca="1" si="20"/>
        <v>Нераспределенная прибыль</v>
      </c>
      <c r="B1299" s="5" t="s">
        <v>1410</v>
      </c>
      <c r="C1299" s="5" t="s">
        <v>1710</v>
      </c>
      <c r="D1299" s="5" t="s">
        <v>3157</v>
      </c>
    </row>
    <row r="1300" spans="1:4" x14ac:dyDescent="0.3">
      <c r="A1300" s="5" t="str">
        <f t="shared" ca="1" si="20"/>
        <v>Прочий собственный капитал</v>
      </c>
      <c r="B1300" s="5" t="s">
        <v>1411</v>
      </c>
      <c r="C1300" s="5" t="s">
        <v>1711</v>
      </c>
      <c r="D1300" s="5" t="s">
        <v>3158</v>
      </c>
    </row>
    <row r="1301" spans="1:4" x14ac:dyDescent="0.3">
      <c r="A1301" s="5" t="str">
        <f t="shared" ca="1" si="20"/>
        <v>Суммарный собственный капитал</v>
      </c>
      <c r="B1301" s="5" t="s">
        <v>667</v>
      </c>
      <c r="C1301" s="5" t="s">
        <v>1712</v>
      </c>
      <c r="D1301" s="5" t="s">
        <v>2781</v>
      </c>
    </row>
    <row r="1302" spans="1:4" x14ac:dyDescent="0.3">
      <c r="A1302" s="5" t="str">
        <f t="shared" ca="1" si="20"/>
        <v>ИТОГО ПАССИВОВ</v>
      </c>
      <c r="B1302" s="5" t="s">
        <v>668</v>
      </c>
      <c r="C1302" s="5" t="s">
        <v>1713</v>
      </c>
      <c r="D1302" s="5" t="s">
        <v>2782</v>
      </c>
    </row>
    <row r="1303" spans="1:4" x14ac:dyDescent="0.3">
      <c r="A1303" s="5" t="str">
        <f t="shared" ca="1" si="20"/>
        <v>Контроль сходимости баланса</v>
      </c>
      <c r="B1303" s="5" t="s">
        <v>928</v>
      </c>
      <c r="C1303" s="5" t="s">
        <v>1714</v>
      </c>
      <c r="D1303" s="5" t="s">
        <v>2783</v>
      </c>
    </row>
    <row r="1304" spans="1:4" x14ac:dyDescent="0.3">
      <c r="A1304" s="154" t="str">
        <f t="shared" ca="1" si="20"/>
        <v>ПОКАЗАТЕЛИ ДОЛГА</v>
      </c>
      <c r="B1304" s="5" t="s">
        <v>669</v>
      </c>
      <c r="C1304" s="5" t="s">
        <v>1796</v>
      </c>
      <c r="D1304" s="5" t="s">
        <v>3159</v>
      </c>
    </row>
    <row r="1305" spans="1:4" x14ac:dyDescent="0.3">
      <c r="A1305" s="5" t="str">
        <f t="shared" ca="1" si="20"/>
        <v>EBITDA (в годовом выражении)</v>
      </c>
      <c r="B1305" s="5" t="s">
        <v>2182</v>
      </c>
      <c r="C1305" s="5" t="s">
        <v>2181</v>
      </c>
      <c r="D1305" s="5" t="s">
        <v>3160</v>
      </c>
    </row>
    <row r="1306" spans="1:4" x14ac:dyDescent="0.3">
      <c r="A1306" s="5" t="str">
        <f t="shared" ca="1" si="20"/>
        <v>Суммарная задолженность, TD</v>
      </c>
      <c r="B1306" s="5" t="s">
        <v>1429</v>
      </c>
      <c r="C1306" s="5" t="s">
        <v>1797</v>
      </c>
      <c r="D1306" s="5" t="s">
        <v>3161</v>
      </c>
    </row>
    <row r="1307" spans="1:4" x14ac:dyDescent="0.3">
      <c r="A1307" s="5" t="str">
        <f t="shared" ca="1" si="20"/>
        <v>TD / EBITDA</v>
      </c>
      <c r="B1307" s="5" t="s">
        <v>670</v>
      </c>
      <c r="C1307" s="5" t="s">
        <v>670</v>
      </c>
      <c r="D1307" s="5" t="s">
        <v>3162</v>
      </c>
    </row>
    <row r="1308" spans="1:4" x14ac:dyDescent="0.3">
      <c r="A1308" s="5" t="str">
        <f t="shared" ca="1" si="20"/>
        <v>Денежный поток, доступный для погашения долга</v>
      </c>
      <c r="B1308" s="5" t="s">
        <v>1430</v>
      </c>
      <c r="C1308" s="5" t="s">
        <v>1798</v>
      </c>
      <c r="D1308" s="5" t="s">
        <v>3163</v>
      </c>
    </row>
    <row r="1309" spans="1:4" x14ac:dyDescent="0.3">
      <c r="A1309" s="5" t="str">
        <f t="shared" ca="1" si="20"/>
        <v>Выплаты процентов</v>
      </c>
      <c r="B1309" s="5" t="s">
        <v>1431</v>
      </c>
      <c r="C1309" s="5" t="s">
        <v>1741</v>
      </c>
      <c r="D1309" s="5" t="s">
        <v>3137</v>
      </c>
    </row>
    <row r="1310" spans="1:4" x14ac:dyDescent="0.3">
      <c r="A1310" s="5" t="str">
        <f t="shared" ca="1" si="20"/>
        <v>Выплаты основной суммы долга</v>
      </c>
      <c r="B1310" s="5" t="s">
        <v>1432</v>
      </c>
      <c r="C1310" s="5" t="s">
        <v>1788</v>
      </c>
      <c r="D1310" s="5" t="s">
        <v>3164</v>
      </c>
    </row>
    <row r="1311" spans="1:4" x14ac:dyDescent="0.3">
      <c r="A1311" s="5" t="str">
        <f t="shared" ca="1" si="20"/>
        <v>Покрытие выплаты долга, DSCR</v>
      </c>
      <c r="B1311" s="5" t="s">
        <v>671</v>
      </c>
      <c r="C1311" s="5" t="s">
        <v>1799</v>
      </c>
      <c r="D1311" s="5" t="s">
        <v>3165</v>
      </c>
    </row>
    <row r="1312" spans="1:4" x14ac:dyDescent="0.3">
      <c r="A1312" s="5" t="str">
        <f t="shared" ca="1" si="20"/>
        <v>Отношение Долг / Собственный капитал</v>
      </c>
      <c r="B1312" s="5" t="s">
        <v>672</v>
      </c>
      <c r="C1312" s="5" t="s">
        <v>1800</v>
      </c>
      <c r="D1312" s="5" t="s">
        <v>3166</v>
      </c>
    </row>
    <row r="1313" spans="1:4" x14ac:dyDescent="0.3">
      <c r="A1313" s="5" t="str">
        <f t="shared" ca="1" si="20"/>
        <v>Суммарные привлеченные кредиты</v>
      </c>
      <c r="B1313" s="5" t="s">
        <v>1433</v>
      </c>
      <c r="C1313" s="5" t="s">
        <v>1801</v>
      </c>
      <c r="D1313" s="5" t="s">
        <v>3167</v>
      </c>
    </row>
    <row r="1314" spans="1:4" x14ac:dyDescent="0.3">
      <c r="A1314" s="5" t="str">
        <f t="shared" ca="1" si="20"/>
        <v>Суммарный вклад собственного капитала</v>
      </c>
      <c r="B1314" s="5" t="s">
        <v>1434</v>
      </c>
      <c r="C1314" s="5" t="s">
        <v>1802</v>
      </c>
      <c r="D1314" s="5" t="s">
        <v>3168</v>
      </c>
    </row>
    <row r="1315" spans="1:4" x14ac:dyDescent="0.3">
      <c r="A1315" s="5" t="str">
        <f t="shared" ca="1" si="20"/>
        <v>Доля кредитов в источниках финансирования</v>
      </c>
      <c r="B1315" s="5" t="s">
        <v>673</v>
      </c>
      <c r="C1315" s="5" t="s">
        <v>1803</v>
      </c>
      <c r="D1315" s="5" t="s">
        <v>3169</v>
      </c>
    </row>
    <row r="1316" spans="1:4" x14ac:dyDescent="0.3">
      <c r="A1316" s="154" t="str">
        <f t="shared" ca="1" si="20"/>
        <v>РЕНТАБЕЛЬНОСТЬ И ОБОРАЧИВАЕМОСТЬ</v>
      </c>
      <c r="B1316" s="5" t="s">
        <v>674</v>
      </c>
      <c r="C1316" s="5" t="s">
        <v>1804</v>
      </c>
      <c r="D1316" s="5" t="s">
        <v>3170</v>
      </c>
    </row>
    <row r="1317" spans="1:4" x14ac:dyDescent="0.3">
      <c r="A1317" s="5" t="str">
        <f t="shared" ref="A1317:A1393" ca="1" si="21">OFFSET(A1317,0,Prj_Language)</f>
        <v>Структура затрат:</v>
      </c>
      <c r="B1317" s="5" t="s">
        <v>1155</v>
      </c>
      <c r="C1317" s="5" t="s">
        <v>1805</v>
      </c>
      <c r="D1317" s="5" t="s">
        <v>3171</v>
      </c>
    </row>
    <row r="1318" spans="1:4" x14ac:dyDescent="0.3">
      <c r="A1318" s="5" t="str">
        <f t="shared" ca="1" si="21"/>
        <v>Выручка</v>
      </c>
      <c r="B1318" s="5" t="s">
        <v>646</v>
      </c>
      <c r="C1318" s="5" t="s">
        <v>1806</v>
      </c>
      <c r="D1318" s="5" t="s">
        <v>3020</v>
      </c>
    </row>
    <row r="1319" spans="1:4" x14ac:dyDescent="0.3">
      <c r="A1319" s="5" t="str">
        <f t="shared" ca="1" si="21"/>
        <v>Сырье и материалы</v>
      </c>
      <c r="B1319" s="5" t="s">
        <v>1150</v>
      </c>
      <c r="C1319" s="5" t="s">
        <v>1626</v>
      </c>
      <c r="D1319" s="5" t="s">
        <v>3115</v>
      </c>
    </row>
    <row r="1320" spans="1:4" x14ac:dyDescent="0.3">
      <c r="A1320" s="5" t="str">
        <f t="shared" ca="1" si="21"/>
        <v>Операционные расходы</v>
      </c>
      <c r="B1320" s="5" t="s">
        <v>1151</v>
      </c>
      <c r="C1320" s="5" t="s">
        <v>1774</v>
      </c>
      <c r="D1320" s="5" t="s">
        <v>3172</v>
      </c>
    </row>
    <row r="1321" spans="1:4" x14ac:dyDescent="0.3">
      <c r="A1321" s="5" t="str">
        <f t="shared" ca="1" si="21"/>
        <v>Расходы на персонал</v>
      </c>
      <c r="B1321" s="5" t="s">
        <v>1152</v>
      </c>
      <c r="C1321" s="5" t="s">
        <v>1631</v>
      </c>
      <c r="D1321" s="5" t="s">
        <v>3173</v>
      </c>
    </row>
    <row r="1322" spans="1:4" x14ac:dyDescent="0.3">
      <c r="A1322" s="5" t="str">
        <f t="shared" ca="1" si="21"/>
        <v>Амортизация, лизинг и проценты</v>
      </c>
      <c r="B1322" s="5" t="s">
        <v>1153</v>
      </c>
      <c r="C1322" s="5" t="s">
        <v>1761</v>
      </c>
      <c r="D1322" s="5" t="s">
        <v>3174</v>
      </c>
    </row>
    <row r="1323" spans="1:4" x14ac:dyDescent="0.3">
      <c r="A1323" s="5" t="str">
        <f t="shared" ca="1" si="21"/>
        <v>Прочие расходы</v>
      </c>
      <c r="B1323" s="5" t="s">
        <v>727</v>
      </c>
      <c r="C1323" s="5" t="s">
        <v>1807</v>
      </c>
      <c r="D1323" s="5" t="s">
        <v>3128</v>
      </c>
    </row>
    <row r="1324" spans="1:4" x14ac:dyDescent="0.3">
      <c r="A1324" s="5" t="str">
        <f t="shared" ca="1" si="21"/>
        <v>Налоги</v>
      </c>
      <c r="B1324" s="5" t="s">
        <v>230</v>
      </c>
      <c r="C1324" s="5" t="s">
        <v>415</v>
      </c>
      <c r="D1324" s="5" t="s">
        <v>2517</v>
      </c>
    </row>
    <row r="1325" spans="1:4" x14ac:dyDescent="0.3">
      <c r="A1325" s="5" t="str">
        <f t="shared" ca="1" si="21"/>
        <v>Все операционные затраты</v>
      </c>
      <c r="B1325" s="5" t="s">
        <v>1565</v>
      </c>
      <c r="C1325" s="5" t="s">
        <v>1819</v>
      </c>
      <c r="D1325" s="5" t="s">
        <v>3175</v>
      </c>
    </row>
    <row r="1326" spans="1:4" x14ac:dyDescent="0.3">
      <c r="A1326" s="5" t="str">
        <f t="shared" ca="1" si="21"/>
        <v>Рентабельность продаж по чистой прибыли, NPM</v>
      </c>
      <c r="B1326" s="5" t="s">
        <v>675</v>
      </c>
      <c r="C1326" s="5" t="s">
        <v>1808</v>
      </c>
      <c r="D1326" s="5" t="s">
        <v>3176</v>
      </c>
    </row>
    <row r="1327" spans="1:4" x14ac:dyDescent="0.3">
      <c r="A1327" s="5" t="str">
        <f t="shared" ca="1" si="21"/>
        <v>Рентабельность продаж по EBITDA</v>
      </c>
      <c r="B1327" s="5" t="s">
        <v>676</v>
      </c>
      <c r="C1327" s="5" t="s">
        <v>1809</v>
      </c>
      <c r="D1327" s="5" t="s">
        <v>3177</v>
      </c>
    </row>
    <row r="1328" spans="1:4" x14ac:dyDescent="0.3">
      <c r="A1328" s="5" t="str">
        <f t="shared" ca="1" si="21"/>
        <v>Доля постоянных затрат</v>
      </c>
      <c r="B1328" s="5" t="s">
        <v>2174</v>
      </c>
      <c r="C1328" s="5" t="s">
        <v>2173</v>
      </c>
      <c r="D1328" s="5" t="s">
        <v>3178</v>
      </c>
    </row>
    <row r="1329" spans="1:4" x14ac:dyDescent="0.3">
      <c r="A1329" s="5" t="str">
        <f t="shared" ca="1" si="21"/>
        <v>Точка безубыточности</v>
      </c>
      <c r="B1329" s="5" t="s">
        <v>2177</v>
      </c>
      <c r="C1329" s="5" t="s">
        <v>2175</v>
      </c>
      <c r="D1329" s="5" t="s">
        <v>3179</v>
      </c>
    </row>
    <row r="1330" spans="1:4" x14ac:dyDescent="0.3">
      <c r="A1330" s="5" t="str">
        <f t="shared" ca="1" si="21"/>
        <v>"Запас прочности"</v>
      </c>
      <c r="B1330" s="5" t="s">
        <v>2178</v>
      </c>
      <c r="C1330" s="5" t="s">
        <v>2176</v>
      </c>
      <c r="D1330" s="5" t="s">
        <v>3180</v>
      </c>
    </row>
    <row r="1331" spans="1:4" x14ac:dyDescent="0.3">
      <c r="A1331" s="5" t="str">
        <f t="shared" ca="1" si="21"/>
        <v>Рентабельность собственного капитала, ROE</v>
      </c>
      <c r="B1331" s="5" t="s">
        <v>677</v>
      </c>
      <c r="C1331" s="5" t="s">
        <v>1810</v>
      </c>
      <c r="D1331" s="5" t="s">
        <v>3181</v>
      </c>
    </row>
    <row r="1332" spans="1:4" x14ac:dyDescent="0.3">
      <c r="A1332" s="5" t="str">
        <f t="shared" ca="1" si="21"/>
        <v>Рентабельность инвестированного капитала, ROIC</v>
      </c>
      <c r="B1332" s="5" t="s">
        <v>678</v>
      </c>
      <c r="C1332" s="5" t="s">
        <v>1811</v>
      </c>
      <c r="D1332" s="5" t="s">
        <v>3182</v>
      </c>
    </row>
    <row r="1333" spans="1:4" x14ac:dyDescent="0.3">
      <c r="A1333" s="5" t="str">
        <f t="shared" ca="1" si="21"/>
        <v>Рентабельность суммарных активов, ROTA</v>
      </c>
      <c r="B1333" s="5" t="s">
        <v>679</v>
      </c>
      <c r="C1333" s="5" t="s">
        <v>1812</v>
      </c>
      <c r="D1333" s="5" t="s">
        <v>3183</v>
      </c>
    </row>
    <row r="1334" spans="1:4" x14ac:dyDescent="0.3">
      <c r="A1334" s="5" t="str">
        <f t="shared" ca="1" si="21"/>
        <v>Рентабельность внеоборотных активов, ROFA</v>
      </c>
      <c r="B1334" s="5" t="s">
        <v>680</v>
      </c>
      <c r="C1334" s="5" t="s">
        <v>1813</v>
      </c>
      <c r="D1334" s="5" t="s">
        <v>3184</v>
      </c>
    </row>
    <row r="1335" spans="1:4" x14ac:dyDescent="0.3">
      <c r="A1335" s="5" t="str">
        <f t="shared" ca="1" si="21"/>
        <v>Коэффициент текущей ликвидности</v>
      </c>
      <c r="B1335" s="5" t="s">
        <v>2179</v>
      </c>
      <c r="C1335" s="5" t="s">
        <v>2180</v>
      </c>
      <c r="D1335" s="5" t="s">
        <v>3185</v>
      </c>
    </row>
    <row r="1336" spans="1:4" x14ac:dyDescent="0.3">
      <c r="A1336" s="5" t="str">
        <f t="shared" ca="1" si="21"/>
        <v>Период сбора дебиторской задолженности</v>
      </c>
      <c r="B1336" s="5" t="s">
        <v>681</v>
      </c>
      <c r="C1336" s="5" t="s">
        <v>1814</v>
      </c>
      <c r="D1336" s="5" t="s">
        <v>3186</v>
      </c>
    </row>
    <row r="1337" spans="1:4" x14ac:dyDescent="0.3">
      <c r="A1337" s="5" t="str">
        <f t="shared" ca="1" si="21"/>
        <v>Период хранения запасов продукции</v>
      </c>
      <c r="B1337" s="5" t="s">
        <v>682</v>
      </c>
      <c r="C1337" s="5" t="s">
        <v>1815</v>
      </c>
      <c r="D1337" s="5" t="s">
        <v>3187</v>
      </c>
    </row>
    <row r="1338" spans="1:4" x14ac:dyDescent="0.3">
      <c r="A1338" s="5" t="str">
        <f t="shared" ca="1" si="21"/>
        <v>Период хранения сырья и материалов</v>
      </c>
      <c r="B1338" s="5" t="s">
        <v>683</v>
      </c>
      <c r="C1338" s="5" t="s">
        <v>1816</v>
      </c>
      <c r="D1338" s="5" t="s">
        <v>3188</v>
      </c>
    </row>
    <row r="1339" spans="1:4" x14ac:dyDescent="0.3">
      <c r="A1339" s="5" t="str">
        <f t="shared" ca="1" si="21"/>
        <v>Оборачиваемость внеоборотных активов</v>
      </c>
      <c r="B1339" s="5" t="s">
        <v>684</v>
      </c>
      <c r="C1339" s="5" t="s">
        <v>1817</v>
      </c>
      <c r="D1339" s="5" t="s">
        <v>3189</v>
      </c>
    </row>
    <row r="1340" spans="1:4" x14ac:dyDescent="0.3">
      <c r="A1340" s="5" t="str">
        <f t="shared" ca="1" si="21"/>
        <v>Оборачиваемость суммарных активов</v>
      </c>
      <c r="B1340" s="5" t="s">
        <v>1154</v>
      </c>
      <c r="C1340" s="5" t="s">
        <v>1818</v>
      </c>
      <c r="D1340" s="5" t="s">
        <v>3190</v>
      </c>
    </row>
    <row r="1341" spans="1:4" x14ac:dyDescent="0.3">
      <c r="A1341" s="154" t="str">
        <f t="shared" ca="1" si="21"/>
        <v>ЭФФЕКТИВНОСТЬ ДЛЯ ПРОЕКТА (FCFF)</v>
      </c>
      <c r="B1341" s="5" t="s">
        <v>1161</v>
      </c>
      <c r="C1341" s="5" t="s">
        <v>1820</v>
      </c>
      <c r="D1341" s="5" t="s">
        <v>3191</v>
      </c>
    </row>
    <row r="1342" spans="1:4" x14ac:dyDescent="0.3">
      <c r="A1342" s="5" t="str">
        <f t="shared" ca="1" si="21"/>
        <v>Ставка дисконтирования</v>
      </c>
      <c r="B1342" s="5" t="s">
        <v>686</v>
      </c>
      <c r="C1342" s="5" t="s">
        <v>1821</v>
      </c>
      <c r="D1342" s="5" t="s">
        <v>3192</v>
      </c>
    </row>
    <row r="1343" spans="1:4" x14ac:dyDescent="0.3">
      <c r="A1343" s="5" t="str">
        <f t="shared" ca="1" si="21"/>
        <v>ставка на расчетный период</v>
      </c>
      <c r="B1343" s="5" t="s">
        <v>468</v>
      </c>
      <c r="C1343" s="5" t="s">
        <v>1822</v>
      </c>
      <c r="D1343" s="5" t="s">
        <v>3193</v>
      </c>
    </row>
    <row r="1344" spans="1:4" x14ac:dyDescent="0.3">
      <c r="A1344" s="5" t="str">
        <f t="shared" ca="1" si="21"/>
        <v>коэффициент дисконта на начало периода</v>
      </c>
      <c r="B1344" s="5" t="s">
        <v>1257</v>
      </c>
      <c r="C1344" s="5" t="s">
        <v>1823</v>
      </c>
      <c r="D1344" s="5" t="s">
        <v>3194</v>
      </c>
    </row>
    <row r="1345" spans="1:4" x14ac:dyDescent="0.3">
      <c r="A1345" s="5" t="str">
        <f t="shared" ca="1" si="21"/>
        <v>Свободный денежный поток компании, FCFF</v>
      </c>
      <c r="B1345" s="5" t="s">
        <v>688</v>
      </c>
      <c r="C1345" s="5" t="s">
        <v>1824</v>
      </c>
      <c r="D1345" s="5" t="s">
        <v>3195</v>
      </c>
    </row>
    <row r="1346" spans="1:4" x14ac:dyDescent="0.3">
      <c r="A1346" s="5" t="str">
        <f t="shared" ca="1" si="21"/>
        <v>Денежные потоки от операционной деятельности</v>
      </c>
      <c r="B1346" s="5" t="s">
        <v>655</v>
      </c>
      <c r="C1346" s="5" t="s">
        <v>1778</v>
      </c>
      <c r="D1346" s="5" t="s">
        <v>3138</v>
      </c>
    </row>
    <row r="1347" spans="1:4" x14ac:dyDescent="0.3">
      <c r="A1347" s="5" t="str">
        <f t="shared" ca="1" si="21"/>
        <v>Скорректированные проценты по кредитам, * (1 - налог)</v>
      </c>
      <c r="B1347" s="5" t="s">
        <v>687</v>
      </c>
      <c r="C1347" s="5" t="s">
        <v>1825</v>
      </c>
      <c r="D1347" s="5" t="s">
        <v>3196</v>
      </c>
    </row>
    <row r="1348" spans="1:4" x14ac:dyDescent="0.3">
      <c r="A1348" s="5" t="str">
        <f t="shared" ca="1" si="21"/>
        <v>Денежные потоки от инвестиционной деятельности</v>
      </c>
      <c r="B1348" s="5" t="s">
        <v>656</v>
      </c>
      <c r="C1348" s="5" t="s">
        <v>1785</v>
      </c>
      <c r="D1348" s="5" t="s">
        <v>3144</v>
      </c>
    </row>
    <row r="1349" spans="1:4" x14ac:dyDescent="0.3">
      <c r="A1349" s="5" t="str">
        <f t="shared" ca="1" si="21"/>
        <v>Стоимость активов начального баланса</v>
      </c>
      <c r="B1349" s="5" t="s">
        <v>1544</v>
      </c>
      <c r="C1349" s="5" t="s">
        <v>1829</v>
      </c>
      <c r="D1349" s="5" t="s">
        <v>3197</v>
      </c>
    </row>
    <row r="1350" spans="1:4" x14ac:dyDescent="0.3">
      <c r="A1350" s="5" t="str">
        <f t="shared" ca="1" si="21"/>
        <v>Продленная стоимость проекта</v>
      </c>
      <c r="B1350" s="5" t="s">
        <v>1545</v>
      </c>
      <c r="C1350" s="5" t="s">
        <v>1830</v>
      </c>
      <c r="D1350" s="5" t="s">
        <v>3198</v>
      </c>
    </row>
    <row r="1351" spans="1:4" x14ac:dyDescent="0.3">
      <c r="A1351" s="5" t="str">
        <f t="shared" ca="1" si="21"/>
        <v>Денежный поток для расчета эффективности</v>
      </c>
      <c r="B1351" s="5" t="s">
        <v>1566</v>
      </c>
      <c r="C1351" s="5" t="s">
        <v>1838</v>
      </c>
      <c r="D1351" s="5" t="s">
        <v>3199</v>
      </c>
    </row>
    <row r="1352" spans="1:4" x14ac:dyDescent="0.3">
      <c r="A1352" s="5" t="str">
        <f t="shared" ca="1" si="21"/>
        <v>Дисконтированный денежный поток</v>
      </c>
      <c r="B1352" s="5" t="s">
        <v>689</v>
      </c>
      <c r="C1352" s="5" t="s">
        <v>1826</v>
      </c>
      <c r="D1352" s="5" t="s">
        <v>3200</v>
      </c>
    </row>
    <row r="1353" spans="1:4" x14ac:dyDescent="0.3">
      <c r="A1353" s="5" t="str">
        <f t="shared" ca="1" si="21"/>
        <v>Дисконтированный поток нарастающим итогом</v>
      </c>
      <c r="B1353" s="5" t="s">
        <v>690</v>
      </c>
      <c r="C1353" s="5" t="s">
        <v>1827</v>
      </c>
      <c r="D1353" s="5" t="s">
        <v>3201</v>
      </c>
    </row>
    <row r="1354" spans="1:4" x14ac:dyDescent="0.3">
      <c r="A1354" s="5" t="str">
        <f t="shared" ca="1" si="21"/>
        <v>Чистая приведенная стоимость потоков проекта</v>
      </c>
      <c r="B1354" s="5" t="s">
        <v>1141</v>
      </c>
      <c r="C1354" s="5" t="s">
        <v>1828</v>
      </c>
      <c r="D1354" s="5" t="s">
        <v>3202</v>
      </c>
    </row>
    <row r="1355" spans="1:4" x14ac:dyDescent="0.3">
      <c r="A1355" s="5" t="str">
        <f t="shared" ca="1" si="21"/>
        <v>Учет активов начального баланса</v>
      </c>
      <c r="B1355" s="5" t="s">
        <v>1142</v>
      </c>
      <c r="C1355" s="5" t="s">
        <v>1829</v>
      </c>
      <c r="D1355" s="5" t="s">
        <v>3203</v>
      </c>
    </row>
    <row r="1356" spans="1:4" x14ac:dyDescent="0.3">
      <c r="A1356" s="5" t="str">
        <f t="shared" ca="1" si="21"/>
        <v>Учет продленной стоимости</v>
      </c>
      <c r="B1356" s="5" t="s">
        <v>1143</v>
      </c>
      <c r="C1356" s="5" t="s">
        <v>1830</v>
      </c>
      <c r="D1356" s="5" t="s">
        <v>3198</v>
      </c>
    </row>
    <row r="1357" spans="1:4" x14ac:dyDescent="0.3">
      <c r="A1357" s="5" t="str">
        <f t="shared" ca="1" si="21"/>
        <v>NOPLAT</v>
      </c>
      <c r="B1357" s="5" t="s">
        <v>1148</v>
      </c>
      <c r="C1357" s="5" t="s">
        <v>1148</v>
      </c>
      <c r="D1357" s="5" t="s">
        <v>3204</v>
      </c>
    </row>
    <row r="1358" spans="1:4" x14ac:dyDescent="0.3">
      <c r="A1358" s="5" t="str">
        <f t="shared" ca="1" si="21"/>
        <v>Продленная стоимость, на конец проекта</v>
      </c>
      <c r="B1358" s="5" t="s">
        <v>1147</v>
      </c>
      <c r="C1358" s="5" t="s">
        <v>1831</v>
      </c>
      <c r="D1358" s="5" t="s">
        <v>3205</v>
      </c>
    </row>
    <row r="1359" spans="1:4" x14ac:dyDescent="0.3">
      <c r="A1359" s="5" t="str">
        <f t="shared" ca="1" si="21"/>
        <v>Чистая приведенная стоимость, NPV</v>
      </c>
      <c r="B1359" s="5" t="s">
        <v>691</v>
      </c>
      <c r="C1359" s="5" t="s">
        <v>1832</v>
      </c>
      <c r="D1359" s="5" t="s">
        <v>3206</v>
      </c>
    </row>
    <row r="1360" spans="1:4" x14ac:dyDescent="0.3">
      <c r="A1360" s="5" t="str">
        <f t="shared" ca="1" si="21"/>
        <v>Внутренняя норма рентабельности, IRR</v>
      </c>
      <c r="B1360" s="5" t="s">
        <v>692</v>
      </c>
      <c r="C1360" s="5" t="s">
        <v>1833</v>
      </c>
      <c r="D1360" s="5" t="s">
        <v>3207</v>
      </c>
    </row>
    <row r="1361" spans="1:4" x14ac:dyDescent="0.3">
      <c r="A1361" s="5" t="str">
        <f t="shared" ca="1" si="21"/>
        <v>(с учетом инфляции, номинальная)</v>
      </c>
      <c r="B1361" s="5" t="s">
        <v>1600</v>
      </c>
      <c r="C1361" s="5" t="s">
        <v>1839</v>
      </c>
      <c r="D1361" s="5" t="s">
        <v>3208</v>
      </c>
    </row>
    <row r="1362" spans="1:4" x14ac:dyDescent="0.3">
      <c r="A1362" s="5" t="str">
        <f t="shared" ca="1" si="21"/>
        <v>(без учета инфляции, реальная)</v>
      </c>
      <c r="B1362" s="5" t="s">
        <v>1601</v>
      </c>
      <c r="C1362" s="5" t="s">
        <v>1840</v>
      </c>
      <c r="D1362" s="5" t="s">
        <v>3209</v>
      </c>
    </row>
    <row r="1363" spans="1:4" x14ac:dyDescent="0.3">
      <c r="A1363" s="5" t="str">
        <f t="shared" ca="1" si="21"/>
        <v>Модифицированная IRR, MIRR</v>
      </c>
      <c r="B1363" s="5" t="s">
        <v>694</v>
      </c>
      <c r="C1363" s="5" t="s">
        <v>1834</v>
      </c>
      <c r="D1363" s="5" t="s">
        <v>3210</v>
      </c>
    </row>
    <row r="1364" spans="1:4" x14ac:dyDescent="0.3">
      <c r="A1364" s="5" t="str">
        <f t="shared" ca="1" si="21"/>
        <v>Дисконтированный срок окупаемости, PBP</v>
      </c>
      <c r="B1364" s="5" t="s">
        <v>693</v>
      </c>
      <c r="C1364" s="5" t="s">
        <v>1835</v>
      </c>
      <c r="D1364" s="5" t="s">
        <v>3211</v>
      </c>
    </row>
    <row r="1365" spans="1:4" x14ac:dyDescent="0.3">
      <c r="A1365" s="5" t="str">
        <f t="shared" ca="1" si="21"/>
        <v>Флаг периода окупаемости</v>
      </c>
      <c r="B1365" s="5" t="s">
        <v>2205</v>
      </c>
      <c r="C1365" s="5" t="s">
        <v>2206</v>
      </c>
      <c r="D1365" s="5" t="s">
        <v>3212</v>
      </c>
    </row>
    <row r="1366" spans="1:4" x14ac:dyDescent="0.3">
      <c r="A1366" s="5" t="str">
        <f t="shared" ca="1" si="21"/>
        <v>Расчет окупаемости в месяцах</v>
      </c>
      <c r="B1366" s="5" t="s">
        <v>1149</v>
      </c>
      <c r="C1366" s="5" t="s">
        <v>1837</v>
      </c>
      <c r="D1366" s="5" t="s">
        <v>3213</v>
      </c>
    </row>
    <row r="1367" spans="1:4" x14ac:dyDescent="0.3">
      <c r="A1367" s="5" t="str">
        <f t="shared" ca="1" si="21"/>
        <v>Простой срок окупаемости</v>
      </c>
      <c r="B1367" s="5" t="s">
        <v>2201</v>
      </c>
      <c r="C1367" s="5" t="s">
        <v>2202</v>
      </c>
      <c r="D1367" s="5" t="s">
        <v>3214</v>
      </c>
    </row>
    <row r="1368" spans="1:4" x14ac:dyDescent="0.3">
      <c r="A1368" s="5" t="str">
        <f t="shared" ca="1" si="21"/>
        <v>Недисконтированный поток нарастающим итогом</v>
      </c>
      <c r="B1368" s="5" t="s">
        <v>2203</v>
      </c>
      <c r="C1368" s="5" t="s">
        <v>2204</v>
      </c>
      <c r="D1368" s="5" t="s">
        <v>3215</v>
      </c>
    </row>
    <row r="1369" spans="1:4" x14ac:dyDescent="0.3">
      <c r="A1369" s="5" t="str">
        <f t="shared" ca="1" si="21"/>
        <v>Норма доходности дисконтированных затрат (PI)</v>
      </c>
      <c r="B1369" s="5" t="s">
        <v>2187</v>
      </c>
      <c r="C1369" s="5" t="s">
        <v>2188</v>
      </c>
      <c r="D1369" s="5" t="s">
        <v>3216</v>
      </c>
    </row>
    <row r="1370" spans="1:4" x14ac:dyDescent="0.3">
      <c r="A1370" s="5" t="str">
        <f t="shared" ca="1" si="21"/>
        <v>притоки</v>
      </c>
      <c r="B1370" s="5" t="s">
        <v>2193</v>
      </c>
      <c r="C1370" s="5" t="s">
        <v>2189</v>
      </c>
      <c r="D1370" s="5" t="s">
        <v>3217</v>
      </c>
    </row>
    <row r="1371" spans="1:4" x14ac:dyDescent="0.3">
      <c r="A1371" s="5" t="str">
        <f t="shared" ca="1" si="21"/>
        <v>дисконтированные притоки</v>
      </c>
      <c r="B1371" s="5" t="s">
        <v>2194</v>
      </c>
      <c r="C1371" s="5" t="s">
        <v>2190</v>
      </c>
      <c r="D1371" s="5" t="s">
        <v>3218</v>
      </c>
    </row>
    <row r="1372" spans="1:4" x14ac:dyDescent="0.3">
      <c r="A1372" s="5" t="str">
        <f t="shared" ca="1" si="21"/>
        <v>оттоки</v>
      </c>
      <c r="B1372" s="5" t="s">
        <v>2195</v>
      </c>
      <c r="C1372" s="5" t="s">
        <v>2191</v>
      </c>
      <c r="D1372" s="5" t="s">
        <v>3219</v>
      </c>
    </row>
    <row r="1373" spans="1:4" x14ac:dyDescent="0.3">
      <c r="A1373" s="5" t="str">
        <f t="shared" ca="1" si="21"/>
        <v>дисконтированные оттоки</v>
      </c>
      <c r="B1373" s="5" t="s">
        <v>2196</v>
      </c>
      <c r="C1373" s="5" t="s">
        <v>2192</v>
      </c>
      <c r="D1373" s="5" t="s">
        <v>3220</v>
      </c>
    </row>
    <row r="1374" spans="1:4" x14ac:dyDescent="0.3">
      <c r="A1374" s="154" t="str">
        <f t="shared" ca="1" si="21"/>
        <v>ЭФФЕКТИВНОСТЬ ДЛЯ АКЦИОНЕРОВ (FCFE)</v>
      </c>
      <c r="B1374" s="5" t="s">
        <v>1162</v>
      </c>
      <c r="C1374" s="5" t="s">
        <v>1841</v>
      </c>
      <c r="D1374" s="5" t="s">
        <v>3221</v>
      </c>
    </row>
    <row r="1375" spans="1:4" x14ac:dyDescent="0.3">
      <c r="A1375" s="5" t="str">
        <f t="shared" ca="1" si="21"/>
        <v>Ставка дисконтирования</v>
      </c>
      <c r="B1375" s="5" t="s">
        <v>686</v>
      </c>
      <c r="C1375" s="5" t="s">
        <v>1821</v>
      </c>
      <c r="D1375" s="5" t="s">
        <v>3192</v>
      </c>
    </row>
    <row r="1376" spans="1:4" x14ac:dyDescent="0.3">
      <c r="A1376" s="5" t="str">
        <f t="shared" ca="1" si="21"/>
        <v>ставка на расчетный период</v>
      </c>
      <c r="B1376" s="5" t="s">
        <v>468</v>
      </c>
      <c r="C1376" s="5" t="s">
        <v>1822</v>
      </c>
      <c r="D1376" s="5" t="s">
        <v>3193</v>
      </c>
    </row>
    <row r="1377" spans="1:4" x14ac:dyDescent="0.3">
      <c r="A1377" s="5" t="str">
        <f t="shared" ca="1" si="21"/>
        <v>коэффициент дисконта на начало периода</v>
      </c>
      <c r="B1377" s="5" t="s">
        <v>1257</v>
      </c>
      <c r="C1377" s="5" t="s">
        <v>1823</v>
      </c>
      <c r="D1377" s="5" t="s">
        <v>3194</v>
      </c>
    </row>
    <row r="1378" spans="1:4" x14ac:dyDescent="0.3">
      <c r="A1378" s="5" t="str">
        <f t="shared" ca="1" si="21"/>
        <v>Свободный денежный поток акционеров, FCFE</v>
      </c>
      <c r="B1378" s="5" t="s">
        <v>1163</v>
      </c>
      <c r="C1378" s="5" t="s">
        <v>1842</v>
      </c>
      <c r="D1378" s="5" t="s">
        <v>3222</v>
      </c>
    </row>
    <row r="1379" spans="1:4" x14ac:dyDescent="0.3">
      <c r="A1379" s="5" t="str">
        <f t="shared" ca="1" si="21"/>
        <v>Денежные потоки от операционной деятельности</v>
      </c>
      <c r="B1379" s="5" t="s">
        <v>655</v>
      </c>
      <c r="C1379" s="5" t="s">
        <v>1778</v>
      </c>
      <c r="D1379" s="5" t="s">
        <v>3138</v>
      </c>
    </row>
    <row r="1380" spans="1:4" x14ac:dyDescent="0.3">
      <c r="A1380" s="5" t="str">
        <f t="shared" ca="1" si="21"/>
        <v>Денежные потоки от инвестиционной деятельности</v>
      </c>
      <c r="B1380" s="5" t="s">
        <v>656</v>
      </c>
      <c r="C1380" s="5" t="s">
        <v>1785</v>
      </c>
      <c r="D1380" s="5" t="s">
        <v>3144</v>
      </c>
    </row>
    <row r="1381" spans="1:4" x14ac:dyDescent="0.3">
      <c r="A1381" s="5" t="str">
        <f t="shared" ca="1" si="21"/>
        <v>Поступления кредитов</v>
      </c>
      <c r="B1381" s="5" t="s">
        <v>732</v>
      </c>
      <c r="C1381" s="156" t="s">
        <v>1787</v>
      </c>
      <c r="D1381" s="5" t="s">
        <v>3146</v>
      </c>
    </row>
    <row r="1382" spans="1:4" x14ac:dyDescent="0.3">
      <c r="A1382" s="5" t="str">
        <f t="shared" ca="1" si="21"/>
        <v>Возврат кредитов</v>
      </c>
      <c r="B1382" s="5" t="s">
        <v>1413</v>
      </c>
      <c r="C1382" s="156" t="s">
        <v>1788</v>
      </c>
      <c r="D1382" s="5" t="s">
        <v>2808</v>
      </c>
    </row>
    <row r="1383" spans="1:4" x14ac:dyDescent="0.3">
      <c r="A1383" s="5" t="str">
        <f t="shared" ca="1" si="21"/>
        <v>Дисконтированный денежный поток</v>
      </c>
      <c r="B1383" s="5" t="s">
        <v>689</v>
      </c>
      <c r="C1383" s="5" t="s">
        <v>1826</v>
      </c>
      <c r="D1383" s="5" t="s">
        <v>3223</v>
      </c>
    </row>
    <row r="1384" spans="1:4" x14ac:dyDescent="0.3">
      <c r="A1384" s="5" t="str">
        <f t="shared" ca="1" si="21"/>
        <v>Дисконтированный поток нарастающим итогом</v>
      </c>
      <c r="B1384" s="5" t="s">
        <v>690</v>
      </c>
      <c r="C1384" s="5" t="s">
        <v>1827</v>
      </c>
      <c r="D1384" s="5" t="s">
        <v>3224</v>
      </c>
    </row>
    <row r="1385" spans="1:4" x14ac:dyDescent="0.3">
      <c r="A1385" s="5" t="str">
        <f t="shared" ca="1" si="21"/>
        <v>Чистая приведенная стоимость потоков проекта</v>
      </c>
      <c r="B1385" s="5" t="s">
        <v>1141</v>
      </c>
      <c r="C1385" s="5" t="s">
        <v>1828</v>
      </c>
      <c r="D1385" s="5" t="s">
        <v>3202</v>
      </c>
    </row>
    <row r="1386" spans="1:4" x14ac:dyDescent="0.3">
      <c r="A1386" s="5" t="str">
        <f t="shared" ca="1" si="21"/>
        <v>Учет активов начального баланса</v>
      </c>
      <c r="B1386" s="5" t="s">
        <v>1142</v>
      </c>
      <c r="C1386" s="5" t="s">
        <v>1829</v>
      </c>
      <c r="D1386" s="5" t="s">
        <v>3203</v>
      </c>
    </row>
    <row r="1387" spans="1:4" x14ac:dyDescent="0.3">
      <c r="A1387" s="5" t="str">
        <f t="shared" ca="1" si="21"/>
        <v>Учет продленной стоимости</v>
      </c>
      <c r="B1387" s="5" t="s">
        <v>1143</v>
      </c>
      <c r="C1387" s="5" t="s">
        <v>1830</v>
      </c>
      <c r="D1387" s="5" t="s">
        <v>3198</v>
      </c>
    </row>
    <row r="1388" spans="1:4" x14ac:dyDescent="0.3">
      <c r="A1388" s="5" t="str">
        <f t="shared" ca="1" si="21"/>
        <v>NOPLAT</v>
      </c>
      <c r="B1388" s="5" t="s">
        <v>1148</v>
      </c>
      <c r="C1388" s="5" t="s">
        <v>1148</v>
      </c>
      <c r="D1388" s="5" t="s">
        <v>3204</v>
      </c>
    </row>
    <row r="1389" spans="1:4" x14ac:dyDescent="0.3">
      <c r="A1389" s="5" t="str">
        <f t="shared" ca="1" si="21"/>
        <v>Продленная стоимость, на конец проекта</v>
      </c>
      <c r="B1389" s="5" t="s">
        <v>1147</v>
      </c>
      <c r="C1389" s="5" t="s">
        <v>1831</v>
      </c>
      <c r="D1389" s="5" t="s">
        <v>3205</v>
      </c>
    </row>
    <row r="1390" spans="1:4" x14ac:dyDescent="0.3">
      <c r="A1390" s="5" t="str">
        <f t="shared" ca="1" si="21"/>
        <v>Чистая приведенная стоимость, NPV</v>
      </c>
      <c r="B1390" s="5" t="s">
        <v>691</v>
      </c>
      <c r="C1390" s="5" t="s">
        <v>1832</v>
      </c>
      <c r="D1390" s="5" t="s">
        <v>3206</v>
      </c>
    </row>
    <row r="1391" spans="1:4" x14ac:dyDescent="0.3">
      <c r="A1391" s="5" t="str">
        <f t="shared" ca="1" si="21"/>
        <v>Внутренняя норма рентабельности, IRR</v>
      </c>
      <c r="B1391" s="5" t="s">
        <v>692</v>
      </c>
      <c r="C1391" s="5" t="s">
        <v>1833</v>
      </c>
      <c r="D1391" s="5" t="s">
        <v>3207</v>
      </c>
    </row>
    <row r="1392" spans="1:4" x14ac:dyDescent="0.3">
      <c r="A1392" s="5" t="str">
        <f t="shared" ca="1" si="21"/>
        <v>Модифицированная IRR, MIRR</v>
      </c>
      <c r="B1392" s="5" t="s">
        <v>694</v>
      </c>
      <c r="C1392" s="5" t="s">
        <v>1834</v>
      </c>
      <c r="D1392" s="5" t="s">
        <v>3210</v>
      </c>
    </row>
    <row r="1393" spans="1:4" x14ac:dyDescent="0.3">
      <c r="A1393" s="5" t="str">
        <f t="shared" ca="1" si="21"/>
        <v>Дисконтированный срок окупаемости, PBP</v>
      </c>
      <c r="B1393" s="5" t="s">
        <v>693</v>
      </c>
      <c r="C1393" s="5" t="s">
        <v>1835</v>
      </c>
      <c r="D1393" s="5" t="s">
        <v>3211</v>
      </c>
    </row>
    <row r="1394" spans="1:4" x14ac:dyDescent="0.3">
      <c r="A1394" s="5" t="str">
        <f t="shared" ref="A1394:A1470" ca="1" si="22">OFFSET(A1394,0,Prj_Language)</f>
        <v>Флаг периода окупаемости (число целых лет)</v>
      </c>
      <c r="B1394" s="5" t="s">
        <v>1144</v>
      </c>
      <c r="C1394" s="5" t="s">
        <v>1836</v>
      </c>
      <c r="D1394" s="5" t="s">
        <v>3225</v>
      </c>
    </row>
    <row r="1395" spans="1:4" x14ac:dyDescent="0.3">
      <c r="A1395" s="5" t="str">
        <f t="shared" ca="1" si="22"/>
        <v>Расчет окупаемости в месяцах</v>
      </c>
      <c r="B1395" s="5" t="s">
        <v>1149</v>
      </c>
      <c r="C1395" s="5" t="s">
        <v>1837</v>
      </c>
      <c r="D1395" s="5" t="s">
        <v>3213</v>
      </c>
    </row>
    <row r="1396" spans="1:4" x14ac:dyDescent="0.3">
      <c r="A1396" s="154" t="str">
        <f t="shared" ca="1" si="22"/>
        <v>ЭФФЕКТИВНОСТЬ ДЛЯ БАНКА (CFADS)</v>
      </c>
      <c r="B1396" s="5" t="s">
        <v>1164</v>
      </c>
      <c r="C1396" s="5" t="s">
        <v>1843</v>
      </c>
      <c r="D1396" s="5" t="s">
        <v>3226</v>
      </c>
    </row>
    <row r="1397" spans="1:4" x14ac:dyDescent="0.3">
      <c r="A1397" s="5" t="str">
        <f t="shared" ca="1" si="22"/>
        <v>Ставка дисконтирования</v>
      </c>
      <c r="B1397" s="5" t="s">
        <v>686</v>
      </c>
      <c r="C1397" s="5" t="s">
        <v>1821</v>
      </c>
      <c r="D1397" s="5" t="s">
        <v>3192</v>
      </c>
    </row>
    <row r="1398" spans="1:4" x14ac:dyDescent="0.3">
      <c r="A1398" s="5" t="str">
        <f t="shared" ca="1" si="22"/>
        <v>ставка на расчетный период</v>
      </c>
      <c r="B1398" s="5" t="s">
        <v>468</v>
      </c>
      <c r="C1398" s="5" t="s">
        <v>1822</v>
      </c>
      <c r="D1398" s="5" t="s">
        <v>3193</v>
      </c>
    </row>
    <row r="1399" spans="1:4" x14ac:dyDescent="0.3">
      <c r="A1399" s="5" t="str">
        <f t="shared" ca="1" si="22"/>
        <v>коэффициент дисконта на начало периода</v>
      </c>
      <c r="B1399" s="5" t="s">
        <v>1257</v>
      </c>
      <c r="C1399" s="5" t="s">
        <v>1823</v>
      </c>
      <c r="D1399" s="5" t="s">
        <v>3194</v>
      </c>
    </row>
    <row r="1400" spans="1:4" x14ac:dyDescent="0.3">
      <c r="A1400" s="5" t="str">
        <f t="shared" ca="1" si="22"/>
        <v>Денежный поток, доступный для погашения долга (CFADS)</v>
      </c>
      <c r="B1400" s="5" t="s">
        <v>1165</v>
      </c>
      <c r="C1400" s="5" t="s">
        <v>1844</v>
      </c>
      <c r="D1400" s="5" t="s">
        <v>3227</v>
      </c>
    </row>
    <row r="1401" spans="1:4" x14ac:dyDescent="0.3">
      <c r="A1401" s="5" t="str">
        <f t="shared" ca="1" si="22"/>
        <v>Денежные потоки от операционной деятельности</v>
      </c>
      <c r="B1401" s="5" t="s">
        <v>655</v>
      </c>
      <c r="C1401" s="5" t="s">
        <v>1778</v>
      </c>
      <c r="D1401" s="5" t="s">
        <v>3138</v>
      </c>
    </row>
    <row r="1402" spans="1:4" x14ac:dyDescent="0.3">
      <c r="A1402" s="5" t="str">
        <f t="shared" ca="1" si="22"/>
        <v>Проценты по кредитам</v>
      </c>
      <c r="B1402" s="5" t="s">
        <v>3407</v>
      </c>
      <c r="C1402" s="5" t="s">
        <v>1741</v>
      </c>
      <c r="D1402" s="5" t="s">
        <v>3406</v>
      </c>
    </row>
    <row r="1403" spans="1:4" x14ac:dyDescent="0.3">
      <c r="A1403" s="5" t="str">
        <f t="shared" ca="1" si="22"/>
        <v>Денежные потоки от инвестиционной деятельности</v>
      </c>
      <c r="B1403" s="5" t="s">
        <v>656</v>
      </c>
      <c r="C1403" s="5" t="s">
        <v>1785</v>
      </c>
      <c r="D1403" s="5" t="s">
        <v>3144</v>
      </c>
    </row>
    <row r="1404" spans="1:4" x14ac:dyDescent="0.3">
      <c r="A1404" s="5" t="str">
        <f t="shared" ca="1" si="22"/>
        <v>Поступления собственного капитала</v>
      </c>
      <c r="B1404" s="5" t="s">
        <v>738</v>
      </c>
      <c r="C1404" s="5" t="s">
        <v>1786</v>
      </c>
      <c r="D1404" s="5" t="s">
        <v>3228</v>
      </c>
    </row>
    <row r="1405" spans="1:4" x14ac:dyDescent="0.3">
      <c r="A1405" s="5" t="str">
        <f t="shared" ca="1" si="22"/>
        <v>Дисконтированный денежный поток</v>
      </c>
      <c r="B1405" s="5" t="s">
        <v>689</v>
      </c>
      <c r="C1405" s="5" t="s">
        <v>1826</v>
      </c>
      <c r="D1405" s="5" t="s">
        <v>3223</v>
      </c>
    </row>
    <row r="1406" spans="1:4" x14ac:dyDescent="0.3">
      <c r="A1406" s="5" t="str">
        <f t="shared" ca="1" si="22"/>
        <v>Дисконтированный поток нарастающим итогом</v>
      </c>
      <c r="B1406" s="5" t="s">
        <v>690</v>
      </c>
      <c r="C1406" s="5" t="s">
        <v>1827</v>
      </c>
      <c r="D1406" s="5" t="s">
        <v>3224</v>
      </c>
    </row>
    <row r="1407" spans="1:4" x14ac:dyDescent="0.3">
      <c r="A1407" s="5" t="str">
        <f t="shared" ca="1" si="22"/>
        <v>Чистая приведенная стоимость, NPV</v>
      </c>
      <c r="B1407" s="5" t="s">
        <v>691</v>
      </c>
      <c r="C1407" s="5" t="s">
        <v>1832</v>
      </c>
      <c r="D1407" s="5" t="s">
        <v>3206</v>
      </c>
    </row>
    <row r="1408" spans="1:4" x14ac:dyDescent="0.3">
      <c r="A1408" s="5" t="str">
        <f t="shared" ca="1" si="22"/>
        <v>Внутренняя норма рентабельности, IRR</v>
      </c>
      <c r="B1408" s="5" t="s">
        <v>692</v>
      </c>
      <c r="C1408" s="5" t="s">
        <v>1833</v>
      </c>
      <c r="D1408" s="5" t="s">
        <v>3207</v>
      </c>
    </row>
    <row r="1409" spans="1:4" x14ac:dyDescent="0.3">
      <c r="A1409" s="5" t="str">
        <f t="shared" ca="1" si="22"/>
        <v>Модифицированная IRR, MIRR</v>
      </c>
      <c r="B1409" s="5" t="s">
        <v>694</v>
      </c>
      <c r="C1409" s="5" t="s">
        <v>1834</v>
      </c>
      <c r="D1409" s="5" t="s">
        <v>3210</v>
      </c>
    </row>
    <row r="1410" spans="1:4" x14ac:dyDescent="0.3">
      <c r="A1410" s="5" t="str">
        <f t="shared" ca="1" si="22"/>
        <v>Дисконтированный срок окупаемости, PBP</v>
      </c>
      <c r="B1410" s="5" t="s">
        <v>693</v>
      </c>
      <c r="C1410" s="5" t="s">
        <v>1835</v>
      </c>
      <c r="D1410" s="5" t="s">
        <v>3211</v>
      </c>
    </row>
    <row r="1411" spans="1:4" x14ac:dyDescent="0.3">
      <c r="A1411" s="5" t="str">
        <f t="shared" ca="1" si="22"/>
        <v>Флаг периода окупаемости (число целых периодов)</v>
      </c>
      <c r="B1411" s="5" t="s">
        <v>1166</v>
      </c>
      <c r="C1411" s="5" t="s">
        <v>1836</v>
      </c>
      <c r="D1411" s="5" t="s">
        <v>3225</v>
      </c>
    </row>
    <row r="1412" spans="1:4" x14ac:dyDescent="0.3">
      <c r="A1412" s="5" t="str">
        <f t="shared" ca="1" si="22"/>
        <v>Расчет окупаемости в месяцах</v>
      </c>
      <c r="B1412" s="5" t="s">
        <v>1149</v>
      </c>
      <c r="C1412" s="5" t="s">
        <v>1837</v>
      </c>
      <c r="D1412" s="5" t="s">
        <v>3213</v>
      </c>
    </row>
    <row r="1413" spans="1:4" x14ac:dyDescent="0.3">
      <c r="A1413" s="154" t="str">
        <f t="shared" ca="1" si="22"/>
        <v>БЮДЖЕТНАЯ ЭФФЕКТИВНОСТЬ</v>
      </c>
      <c r="B1413" s="5" t="s">
        <v>983</v>
      </c>
      <c r="C1413" s="5" t="s">
        <v>1845</v>
      </c>
      <c r="D1413" s="5" t="s">
        <v>3229</v>
      </c>
    </row>
    <row r="1414" spans="1:4" x14ac:dyDescent="0.3">
      <c r="A1414" s="5" t="str">
        <f t="shared" ca="1" si="22"/>
        <v>Поступление налогов в бюджет</v>
      </c>
      <c r="B1414" s="5" t="s">
        <v>1568</v>
      </c>
      <c r="C1414" s="5" t="s">
        <v>1850</v>
      </c>
      <c r="D1414" s="5" t="s">
        <v>3230</v>
      </c>
    </row>
    <row r="1415" spans="1:4" x14ac:dyDescent="0.3">
      <c r="A1415" s="5" t="str">
        <f t="shared" ca="1" si="22"/>
        <v>Налог на добавленную стоимость</v>
      </c>
      <c r="B1415" s="5" t="s">
        <v>234</v>
      </c>
      <c r="C1415" s="5" t="s">
        <v>1846</v>
      </c>
      <c r="D1415" s="5" t="s">
        <v>3034</v>
      </c>
    </row>
    <row r="1416" spans="1:4" x14ac:dyDescent="0.3">
      <c r="A1416" s="5" t="str">
        <f t="shared" ca="1" si="22"/>
        <v>Налог на прибыль</v>
      </c>
      <c r="B1416" s="5" t="s">
        <v>235</v>
      </c>
      <c r="C1416" s="5" t="s">
        <v>420</v>
      </c>
      <c r="D1416" s="5" t="s">
        <v>2522</v>
      </c>
    </row>
    <row r="1417" spans="1:4" x14ac:dyDescent="0.3">
      <c r="A1417" s="5" t="str">
        <f t="shared" ca="1" si="22"/>
        <v>Налог на имущество</v>
      </c>
      <c r="B1417" s="5" t="s">
        <v>236</v>
      </c>
      <c r="C1417" s="5" t="s">
        <v>422</v>
      </c>
      <c r="D1417" s="5" t="s">
        <v>3231</v>
      </c>
    </row>
    <row r="1418" spans="1:4" x14ac:dyDescent="0.3">
      <c r="A1418" s="5" t="str">
        <f t="shared" ca="1" si="22"/>
        <v>Социальные взносы</v>
      </c>
      <c r="B1418" s="5" t="s">
        <v>1452</v>
      </c>
      <c r="C1418" s="5" t="s">
        <v>1847</v>
      </c>
      <c r="D1418" s="5" t="s">
        <v>2523</v>
      </c>
    </row>
    <row r="1419" spans="1:4" x14ac:dyDescent="0.3">
      <c r="A1419" s="5" t="str">
        <f t="shared" ca="1" si="22"/>
        <v>Налог с оборота</v>
      </c>
      <c r="B1419" s="5" t="s">
        <v>767</v>
      </c>
      <c r="C1419" s="5" t="s">
        <v>423</v>
      </c>
      <c r="D1419" s="5" t="s">
        <v>3232</v>
      </c>
    </row>
    <row r="1420" spans="1:4" x14ac:dyDescent="0.3">
      <c r="A1420" s="5" t="str">
        <f t="shared" ca="1" si="22"/>
        <v>Налог с дохода, уменьшенного на расходы</v>
      </c>
      <c r="B1420" s="5" t="s">
        <v>768</v>
      </c>
      <c r="C1420" s="5" t="s">
        <v>1848</v>
      </c>
      <c r="D1420" s="5" t="s">
        <v>3107</v>
      </c>
    </row>
    <row r="1421" spans="1:4" x14ac:dyDescent="0.3">
      <c r="A1421" s="5" t="str">
        <f t="shared" ca="1" si="22"/>
        <v>Суммарные налоговые и социальные выплаты</v>
      </c>
      <c r="B1421" s="5" t="s">
        <v>769</v>
      </c>
      <c r="C1421" s="5" t="s">
        <v>1849</v>
      </c>
      <c r="D1421" s="5" t="s">
        <v>3233</v>
      </c>
    </row>
    <row r="1422" spans="1:4" x14ac:dyDescent="0.3">
      <c r="A1422" s="5" t="str">
        <f t="shared" ca="1" si="22"/>
        <v>Бюджетное финансирование</v>
      </c>
      <c r="B1422" s="10" t="s">
        <v>1572</v>
      </c>
      <c r="C1422" s="5" t="s">
        <v>1889</v>
      </c>
      <c r="D1422" s="5" t="s">
        <v>3234</v>
      </c>
    </row>
    <row r="1423" spans="1:4" x14ac:dyDescent="0.3">
      <c r="A1423" s="5" t="str">
        <f t="shared" ca="1" si="22"/>
        <v>Поступление бюджетного финансирования в проект</v>
      </c>
      <c r="B1423" s="10" t="s">
        <v>1569</v>
      </c>
      <c r="C1423" s="5" t="s">
        <v>1890</v>
      </c>
      <c r="D1423" s="5" t="s">
        <v>3235</v>
      </c>
    </row>
    <row r="1424" spans="1:4" x14ac:dyDescent="0.3">
      <c r="A1424" s="5" t="str">
        <f t="shared" ca="1" si="22"/>
        <v>Возврат бюджетного финансирования</v>
      </c>
      <c r="B1424" s="10" t="s">
        <v>1570</v>
      </c>
      <c r="C1424" s="5" t="s">
        <v>1891</v>
      </c>
      <c r="D1424" s="5" t="s">
        <v>3236</v>
      </c>
    </row>
    <row r="1425" spans="1:4" x14ac:dyDescent="0.3">
      <c r="A1425" s="5" t="str">
        <f t="shared" ca="1" si="22"/>
        <v>Платежи за использование бюджетного финансирования</v>
      </c>
      <c r="B1425" s="10" t="s">
        <v>1571</v>
      </c>
      <c r="C1425" s="5" t="s">
        <v>1892</v>
      </c>
      <c r="D1425" s="5" t="s">
        <v>3237</v>
      </c>
    </row>
    <row r="1426" spans="1:4" x14ac:dyDescent="0.3">
      <c r="A1426" s="154" t="str">
        <f t="shared" ca="1" si="22"/>
        <v>График: Продажи</v>
      </c>
      <c r="B1426" s="5" t="s">
        <v>1575</v>
      </c>
      <c r="C1426" s="5" t="s">
        <v>1851</v>
      </c>
      <c r="D1426" s="5" t="s">
        <v>3238</v>
      </c>
    </row>
    <row r="1427" spans="1:4" x14ac:dyDescent="0.3">
      <c r="A1427" s="5" t="str">
        <f t="shared" ca="1" si="22"/>
        <v>График: EBITDA</v>
      </c>
      <c r="B1427" s="5" t="s">
        <v>872</v>
      </c>
      <c r="C1427" s="5" t="s">
        <v>1852</v>
      </c>
      <c r="D1427" s="5" t="s">
        <v>3239</v>
      </c>
    </row>
    <row r="1428" spans="1:4" x14ac:dyDescent="0.3">
      <c r="A1428" s="5" t="str">
        <f t="shared" ca="1" si="22"/>
        <v>График: Инвестиционные денежные потоки</v>
      </c>
      <c r="B1428" s="5" t="s">
        <v>1140</v>
      </c>
      <c r="C1428" s="5" t="s">
        <v>1853</v>
      </c>
      <c r="D1428" s="5" t="s">
        <v>3240</v>
      </c>
    </row>
    <row r="1429" spans="1:4" x14ac:dyDescent="0.3">
      <c r="A1429" s="5" t="str">
        <f t="shared" ca="1" si="22"/>
        <v>График: Денежные средства на конец периода</v>
      </c>
      <c r="B1429" s="5" t="s">
        <v>1139</v>
      </c>
      <c r="C1429" s="5" t="s">
        <v>1854</v>
      </c>
      <c r="D1429" s="5" t="s">
        <v>3241</v>
      </c>
    </row>
    <row r="1430" spans="1:4" x14ac:dyDescent="0.3">
      <c r="A1430" s="5" t="str">
        <f t="shared" ca="1" si="22"/>
        <v>График: Задолженность по кредитам</v>
      </c>
      <c r="B1430" s="5" t="s">
        <v>1131</v>
      </c>
      <c r="C1430" s="5" t="s">
        <v>1855</v>
      </c>
      <c r="D1430" s="5" t="s">
        <v>3242</v>
      </c>
    </row>
    <row r="1431" spans="1:4" x14ac:dyDescent="0.3">
      <c r="A1431" s="5" t="str">
        <f t="shared" ca="1" si="22"/>
        <v>График окупаемости (FCFF)</v>
      </c>
      <c r="B1431" s="5" t="s">
        <v>1135</v>
      </c>
      <c r="C1431" s="5" t="s">
        <v>1856</v>
      </c>
      <c r="D1431" s="5" t="s">
        <v>3243</v>
      </c>
    </row>
    <row r="1432" spans="1:4" x14ac:dyDescent="0.3">
      <c r="A1432" s="5" t="str">
        <f t="shared" ca="1" si="22"/>
        <v>График окупаемости (FCFE)</v>
      </c>
      <c r="B1432" s="5" t="s">
        <v>1136</v>
      </c>
      <c r="C1432" s="5" t="s">
        <v>1857</v>
      </c>
      <c r="D1432" s="5" t="s">
        <v>3244</v>
      </c>
    </row>
    <row r="1433" spans="1:4" x14ac:dyDescent="0.3">
      <c r="A1433" s="5" t="str">
        <f t="shared" ca="1" si="22"/>
        <v>График окупаемости (CFADS)</v>
      </c>
      <c r="B1433" s="5" t="s">
        <v>1137</v>
      </c>
      <c r="C1433" s="5" t="s">
        <v>1858</v>
      </c>
      <c r="D1433" s="5" t="s">
        <v>3245</v>
      </c>
    </row>
    <row r="1434" spans="1:4" x14ac:dyDescent="0.3">
      <c r="A1434" s="154" t="str">
        <f t="shared" ca="1" si="22"/>
        <v>ГРАФИК ЧУВСТВИТЕЛЬНОСТИ</v>
      </c>
      <c r="B1434" s="5" t="s">
        <v>852</v>
      </c>
      <c r="C1434" s="5" t="s">
        <v>1859</v>
      </c>
      <c r="D1434" s="5" t="s">
        <v>3246</v>
      </c>
    </row>
    <row r="1435" spans="1:4" x14ac:dyDescent="0.3">
      <c r="A1435" s="5" t="str">
        <f t="shared" ca="1" si="22"/>
        <v>Столбцы:</v>
      </c>
      <c r="B1435" s="5" t="s">
        <v>853</v>
      </c>
      <c r="C1435" s="5" t="s">
        <v>1860</v>
      </c>
      <c r="D1435" s="5" t="s">
        <v>3247</v>
      </c>
    </row>
    <row r="1436" spans="1:4" x14ac:dyDescent="0.3">
      <c r="A1436" s="5" t="str">
        <f t="shared" ca="1" si="22"/>
        <v>Линии:</v>
      </c>
      <c r="B1436" s="5" t="s">
        <v>1576</v>
      </c>
      <c r="C1436" s="5" t="s">
        <v>1861</v>
      </c>
      <c r="D1436" s="5" t="s">
        <v>3248</v>
      </c>
    </row>
    <row r="1437" spans="1:4" x14ac:dyDescent="0.3">
      <c r="A1437" s="5" t="str">
        <f t="shared" ca="1" si="22"/>
        <v>от</v>
      </c>
      <c r="B1437" s="5" t="s">
        <v>589</v>
      </c>
      <c r="C1437" s="5" t="s">
        <v>1306</v>
      </c>
      <c r="D1437" s="5" t="s">
        <v>3249</v>
      </c>
    </row>
    <row r="1438" spans="1:4" x14ac:dyDescent="0.3">
      <c r="A1438" s="5" t="str">
        <f t="shared" ca="1" si="22"/>
        <v>с шагом</v>
      </c>
      <c r="B1438" s="5" t="s">
        <v>855</v>
      </c>
      <c r="C1438" s="5" t="s">
        <v>1333</v>
      </c>
      <c r="D1438" s="5" t="s">
        <v>3250</v>
      </c>
    </row>
    <row r="1439" spans="1:4" x14ac:dyDescent="0.3">
      <c r="A1439" s="5" t="str">
        <f t="shared" ca="1" si="22"/>
        <v>Результат:</v>
      </c>
      <c r="B1439" s="5" t="s">
        <v>856</v>
      </c>
      <c r="C1439" s="5" t="s">
        <v>1862</v>
      </c>
      <c r="D1439" s="5" t="s">
        <v>2406</v>
      </c>
    </row>
    <row r="1440" spans="1:4" x14ac:dyDescent="0.3">
      <c r="A1440" s="5" t="str">
        <f t="shared" ca="1" si="22"/>
        <v>Таблица данных</v>
      </c>
      <c r="B1440" s="5" t="s">
        <v>857</v>
      </c>
      <c r="C1440" s="5" t="s">
        <v>1863</v>
      </c>
      <c r="D1440" s="5" t="s">
        <v>3251</v>
      </c>
    </row>
    <row r="1441" spans="1:4" x14ac:dyDescent="0.3">
      <c r="A1441" s="5" t="str">
        <f t="shared" ca="1" si="22"/>
        <v>Настройки анализа чувствительности</v>
      </c>
      <c r="B1441" s="5" t="s">
        <v>858</v>
      </c>
      <c r="C1441" s="5" t="s">
        <v>1864</v>
      </c>
      <c r="D1441" s="5" t="s">
        <v>3252</v>
      </c>
    </row>
    <row r="1442" spans="1:4" x14ac:dyDescent="0.3">
      <c r="A1442" s="5" t="str">
        <f t="shared" ca="1" si="22"/>
        <v>Исходные параметры:</v>
      </c>
      <c r="B1442" s="5" t="s">
        <v>859</v>
      </c>
      <c r="C1442" s="5" t="s">
        <v>1865</v>
      </c>
      <c r="D1442" s="5" t="s">
        <v>3253</v>
      </c>
    </row>
    <row r="1443" spans="1:4" x14ac:dyDescent="0.3">
      <c r="A1443" s="5" t="str">
        <f t="shared" ca="1" si="22"/>
        <v>Результаты анализа:</v>
      </c>
      <c r="B1443" s="5" t="s">
        <v>868</v>
      </c>
      <c r="C1443" s="5" t="s">
        <v>1866</v>
      </c>
      <c r="D1443" s="5" t="s">
        <v>3254</v>
      </c>
    </row>
    <row r="1444" spans="1:4" x14ac:dyDescent="0.3">
      <c r="A1444" s="5" t="str">
        <f t="shared" ca="1" si="22"/>
        <v>Название параметра</v>
      </c>
      <c r="B1444" s="5" t="s">
        <v>860</v>
      </c>
      <c r="C1444" s="5" t="s">
        <v>1867</v>
      </c>
      <c r="D1444" s="5" t="s">
        <v>2657</v>
      </c>
    </row>
    <row r="1445" spans="1:4" x14ac:dyDescent="0.3">
      <c r="A1445" s="5" t="str">
        <f t="shared" ca="1" si="22"/>
        <v>Имя области</v>
      </c>
      <c r="B1445" s="5" t="s">
        <v>861</v>
      </c>
      <c r="C1445" s="5" t="s">
        <v>1868</v>
      </c>
      <c r="D1445" s="5" t="s">
        <v>3255</v>
      </c>
    </row>
    <row r="1446" spans="1:4" x14ac:dyDescent="0.3">
      <c r="A1446" s="5" t="str">
        <f t="shared" ca="1" si="22"/>
        <v>Проценты?</v>
      </c>
      <c r="B1446" s="5" t="s">
        <v>862</v>
      </c>
      <c r="C1446" s="5" t="s">
        <v>1869</v>
      </c>
      <c r="D1446" s="5" t="s">
        <v>3256</v>
      </c>
    </row>
    <row r="1447" spans="1:4" x14ac:dyDescent="0.3">
      <c r="A1447" s="5" t="str">
        <f t="shared" ca="1" si="22"/>
        <v>Объем продаж</v>
      </c>
      <c r="B1447" s="5" t="s">
        <v>854</v>
      </c>
      <c r="C1447" s="5" t="s">
        <v>1625</v>
      </c>
      <c r="D1447" s="5" t="s">
        <v>3257</v>
      </c>
    </row>
    <row r="1448" spans="1:4" x14ac:dyDescent="0.3">
      <c r="A1448" s="5" t="str">
        <f t="shared" ca="1" si="22"/>
        <v>Цены продаж</v>
      </c>
      <c r="B1448" s="5" t="s">
        <v>863</v>
      </c>
      <c r="C1448" s="5" t="s">
        <v>1870</v>
      </c>
      <c r="D1448" s="5" t="s">
        <v>3258</v>
      </c>
    </row>
    <row r="1449" spans="1:4" x14ac:dyDescent="0.3">
      <c r="A1449" s="5" t="str">
        <f t="shared" ca="1" si="22"/>
        <v>Затраты на сырье и материалы</v>
      </c>
      <c r="B1449" s="5" t="s">
        <v>1592</v>
      </c>
      <c r="C1449" s="5" t="s">
        <v>1872</v>
      </c>
      <c r="D1449" s="5" t="s">
        <v>3259</v>
      </c>
    </row>
    <row r="1450" spans="1:4" x14ac:dyDescent="0.3">
      <c r="A1450" s="5" t="str">
        <f t="shared" ca="1" si="22"/>
        <v>Затраты на оплату труда</v>
      </c>
      <c r="B1450" s="5" t="s">
        <v>1594</v>
      </c>
      <c r="C1450" s="5" t="s">
        <v>1631</v>
      </c>
      <c r="D1450" s="5" t="s">
        <v>3173</v>
      </c>
    </row>
    <row r="1451" spans="1:4" x14ac:dyDescent="0.3">
      <c r="A1451" s="5" t="str">
        <f t="shared" ca="1" si="22"/>
        <v>Производственные издержки</v>
      </c>
      <c r="B1451" s="5" t="s">
        <v>512</v>
      </c>
      <c r="C1451" s="5" t="s">
        <v>1628</v>
      </c>
      <c r="D1451" s="5" t="s">
        <v>2917</v>
      </c>
    </row>
    <row r="1452" spans="1:4" x14ac:dyDescent="0.3">
      <c r="A1452" s="5" t="str">
        <f t="shared" ca="1" si="22"/>
        <v>Коммерческие издержки</v>
      </c>
      <c r="B1452" s="5" t="s">
        <v>513</v>
      </c>
      <c r="C1452" s="5" t="s">
        <v>1630</v>
      </c>
      <c r="D1452" s="5" t="s">
        <v>2919</v>
      </c>
    </row>
    <row r="1453" spans="1:4" x14ac:dyDescent="0.3">
      <c r="A1453" s="5" t="str">
        <f t="shared" ca="1" si="22"/>
        <v>Управленческие издержки</v>
      </c>
      <c r="B1453" s="5" t="s">
        <v>514</v>
      </c>
      <c r="C1453" s="5" t="s">
        <v>1629</v>
      </c>
      <c r="D1453" s="5" t="s">
        <v>2918</v>
      </c>
    </row>
    <row r="1454" spans="1:4" x14ac:dyDescent="0.3">
      <c r="A1454" s="5" t="str">
        <f t="shared" ca="1" si="22"/>
        <v>Операционные расходы - всего</v>
      </c>
      <c r="B1454" s="5" t="s">
        <v>3339</v>
      </c>
      <c r="C1454" s="5" t="s">
        <v>1873</v>
      </c>
      <c r="D1454" s="5" t="s">
        <v>3260</v>
      </c>
    </row>
    <row r="1455" spans="1:4" x14ac:dyDescent="0.3">
      <c r="A1455" s="5" t="str">
        <f t="shared" ca="1" si="22"/>
        <v>Инвестиции в основные средства</v>
      </c>
      <c r="B1455" s="5" t="s">
        <v>865</v>
      </c>
      <c r="C1455" s="5" t="s">
        <v>1871</v>
      </c>
      <c r="D1455" s="5" t="s">
        <v>2949</v>
      </c>
    </row>
    <row r="1456" spans="1:4" x14ac:dyDescent="0.3">
      <c r="A1456" s="5" t="str">
        <f t="shared" ca="1" si="22"/>
        <v>Ставка дисконтирования</v>
      </c>
      <c r="B1456" s="5" t="s">
        <v>686</v>
      </c>
      <c r="C1456" s="5" t="s">
        <v>1821</v>
      </c>
      <c r="D1456" s="5" t="s">
        <v>3192</v>
      </c>
    </row>
    <row r="1457" spans="1:4" x14ac:dyDescent="0.3">
      <c r="A1457" s="5" t="str">
        <f t="shared" ca="1" si="22"/>
        <v>Суммарная прибыль</v>
      </c>
      <c r="B1457" s="5" t="s">
        <v>869</v>
      </c>
      <c r="C1457" s="5" t="s">
        <v>1874</v>
      </c>
      <c r="D1457" s="5" t="s">
        <v>3119</v>
      </c>
    </row>
    <row r="1458" spans="1:4" x14ac:dyDescent="0.3">
      <c r="A1458" s="5" t="str">
        <f t="shared" ca="1" si="22"/>
        <v>NPV проекта</v>
      </c>
      <c r="B1458" s="5" t="s">
        <v>1573</v>
      </c>
      <c r="C1458" s="5" t="s">
        <v>1875</v>
      </c>
      <c r="D1458" s="5" t="s">
        <v>3261</v>
      </c>
    </row>
    <row r="1459" spans="1:4" x14ac:dyDescent="0.3">
      <c r="A1459" s="5" t="str">
        <f t="shared" ca="1" si="22"/>
        <v>IRR проекта</v>
      </c>
      <c r="B1459" s="5" t="s">
        <v>1574</v>
      </c>
      <c r="C1459" s="5" t="s">
        <v>1876</v>
      </c>
      <c r="D1459" s="5" t="s">
        <v>3262</v>
      </c>
    </row>
    <row r="1460" spans="1:4" x14ac:dyDescent="0.3">
      <c r="A1460" s="5" t="str">
        <f t="shared" ca="1" si="22"/>
        <v>PBP проекта</v>
      </c>
      <c r="B1460" s="5" t="s">
        <v>1578</v>
      </c>
      <c r="C1460" s="5" t="s">
        <v>1877</v>
      </c>
      <c r="D1460" s="5" t="s">
        <v>3263</v>
      </c>
    </row>
    <row r="1461" spans="1:4" x14ac:dyDescent="0.3">
      <c r="A1461" s="5" t="str">
        <f t="shared" ca="1" si="22"/>
        <v>NPV для собственников</v>
      </c>
      <c r="B1461" s="5" t="s">
        <v>1581</v>
      </c>
      <c r="C1461" s="5" t="s">
        <v>1878</v>
      </c>
      <c r="D1461" s="5" t="s">
        <v>3264</v>
      </c>
    </row>
    <row r="1462" spans="1:4" x14ac:dyDescent="0.3">
      <c r="A1462" s="5" t="str">
        <f t="shared" ca="1" si="22"/>
        <v>IRR для собственников</v>
      </c>
      <c r="B1462" s="5" t="s">
        <v>1582</v>
      </c>
      <c r="C1462" s="5" t="s">
        <v>1879</v>
      </c>
      <c r="D1462" s="5" t="s">
        <v>3265</v>
      </c>
    </row>
    <row r="1463" spans="1:4" x14ac:dyDescent="0.3">
      <c r="A1463" s="5" t="str">
        <f t="shared" ca="1" si="22"/>
        <v>PBP для собственников</v>
      </c>
      <c r="B1463" s="5" t="s">
        <v>1583</v>
      </c>
      <c r="C1463" s="5" t="s">
        <v>1880</v>
      </c>
      <c r="D1463" s="5" t="s">
        <v>3266</v>
      </c>
    </row>
    <row r="1464" spans="1:4" x14ac:dyDescent="0.3">
      <c r="A1464" s="5" t="str">
        <f t="shared" ca="1" si="22"/>
        <v>NPV для банка</v>
      </c>
      <c r="B1464" s="5" t="s">
        <v>1584</v>
      </c>
      <c r="C1464" s="5" t="s">
        <v>1881</v>
      </c>
      <c r="D1464" s="5" t="s">
        <v>3267</v>
      </c>
    </row>
    <row r="1465" spans="1:4" x14ac:dyDescent="0.3">
      <c r="A1465" s="5" t="str">
        <f t="shared" ca="1" si="22"/>
        <v>IRR для банка</v>
      </c>
      <c r="B1465" s="5" t="s">
        <v>1585</v>
      </c>
      <c r="C1465" s="5" t="s">
        <v>1882</v>
      </c>
      <c r="D1465" s="5" t="s">
        <v>3268</v>
      </c>
    </row>
    <row r="1466" spans="1:4" x14ac:dyDescent="0.3">
      <c r="A1466" s="5" t="str">
        <f t="shared" ca="1" si="22"/>
        <v>PBP для банка</v>
      </c>
      <c r="B1466" s="5" t="s">
        <v>1586</v>
      </c>
      <c r="C1466" s="5" t="s">
        <v>1883</v>
      </c>
      <c r="D1466" s="5" t="s">
        <v>3269</v>
      </c>
    </row>
    <row r="1467" spans="1:4" x14ac:dyDescent="0.3">
      <c r="A1467" s="5" t="str">
        <f t="shared" ca="1" si="22"/>
        <v>Сценарии</v>
      </c>
      <c r="B1467" s="5" t="s">
        <v>89</v>
      </c>
      <c r="C1467" s="5" t="s">
        <v>1393</v>
      </c>
      <c r="D1467" s="5" t="s">
        <v>2407</v>
      </c>
    </row>
    <row r="1468" spans="1:4" x14ac:dyDescent="0.3">
      <c r="A1468" s="154" t="str">
        <f t="shared" ca="1" si="22"/>
        <v>СЦЕНАРИИ ПРОЕКТА</v>
      </c>
      <c r="B1468" s="5" t="s">
        <v>639</v>
      </c>
      <c r="C1468" s="5" t="s">
        <v>1884</v>
      </c>
      <c r="D1468" s="5" t="s">
        <v>3270</v>
      </c>
    </row>
    <row r="1469" spans="1:4" x14ac:dyDescent="0.3">
      <c r="A1469" s="5" t="str">
        <f t="shared" ca="1" si="22"/>
        <v>Сейчас модель не использует сценарии</v>
      </c>
      <c r="B1469" s="5" t="s">
        <v>810</v>
      </c>
      <c r="C1469" s="5" t="s">
        <v>1885</v>
      </c>
      <c r="D1469" s="5" t="s">
        <v>3271</v>
      </c>
    </row>
    <row r="1470" spans="1:4" x14ac:dyDescent="0.3">
      <c r="A1470" s="5" t="str">
        <f t="shared" ca="1" si="22"/>
        <v>Текущий сценарий</v>
      </c>
      <c r="B1470" s="5" t="s">
        <v>640</v>
      </c>
      <c r="C1470" s="5" t="s">
        <v>1886</v>
      </c>
      <c r="D1470" s="5" t="s">
        <v>3272</v>
      </c>
    </row>
    <row r="1471" spans="1:4" x14ac:dyDescent="0.3">
      <c r="A1471" s="5" t="str">
        <f t="shared" ref="A1471:A1534" ca="1" si="23">OFFSET(A1471,0,Prj_Language)</f>
        <v>Данные для каждого из сценариев</v>
      </c>
      <c r="B1471" s="5" t="s">
        <v>910</v>
      </c>
      <c r="C1471" s="5" t="s">
        <v>1887</v>
      </c>
      <c r="D1471" s="5" t="s">
        <v>3273</v>
      </c>
    </row>
    <row r="1472" spans="1:4" x14ac:dyDescent="0.3">
      <c r="A1472" s="5" t="str">
        <f t="shared" ca="1" si="23"/>
        <v>начисленный налог</v>
      </c>
      <c r="B1472" s="5" t="s">
        <v>1606</v>
      </c>
      <c r="C1472" s="5" t="s">
        <v>1888</v>
      </c>
      <c r="D1472" s="5" t="s">
        <v>3274</v>
      </c>
    </row>
    <row r="1473" spans="1:4" x14ac:dyDescent="0.3">
      <c r="A1473" s="5" t="str">
        <f t="shared" ca="1" si="23"/>
        <v>ИТОГО</v>
      </c>
      <c r="B1473" s="5" t="s">
        <v>0</v>
      </c>
      <c r="C1473" s="5" t="s">
        <v>712</v>
      </c>
      <c r="D1473" s="5" t="s">
        <v>3275</v>
      </c>
    </row>
    <row r="1474" spans="1:4" x14ac:dyDescent="0.3">
      <c r="A1474" s="5" t="str">
        <f t="shared" ca="1" si="23"/>
        <v>дней</v>
      </c>
      <c r="B1474" s="5" t="s">
        <v>527</v>
      </c>
      <c r="C1474" s="5" t="s">
        <v>2140</v>
      </c>
      <c r="D1474" s="5" t="s">
        <v>2416</v>
      </c>
    </row>
    <row r="1475" spans="1:4" x14ac:dyDescent="0.3">
      <c r="A1475" s="5" t="str">
        <f t="shared" ca="1" si="23"/>
        <v>Да</v>
      </c>
      <c r="B1475" s="5" t="s">
        <v>2141</v>
      </c>
      <c r="C1475" s="5" t="s">
        <v>2143</v>
      </c>
      <c r="D1475" s="5" t="s">
        <v>3276</v>
      </c>
    </row>
    <row r="1476" spans="1:4" x14ac:dyDescent="0.3">
      <c r="A1476" s="5" t="str">
        <f t="shared" ca="1" si="23"/>
        <v>Нет</v>
      </c>
      <c r="B1476" s="5" t="s">
        <v>2142</v>
      </c>
      <c r="C1476" s="5" t="s">
        <v>2144</v>
      </c>
      <c r="D1476" s="5" t="s">
        <v>3277</v>
      </c>
    </row>
    <row r="1477" spans="1:4" x14ac:dyDescent="0.3">
      <c r="A1477" s="5" t="str">
        <f t="shared" ca="1" si="23"/>
        <v>раз</v>
      </c>
      <c r="B1477" s="5" t="s">
        <v>685</v>
      </c>
      <c r="C1477" s="5" t="s">
        <v>2145</v>
      </c>
      <c r="D1477" s="5" t="s">
        <v>3278</v>
      </c>
    </row>
    <row r="1478" spans="1:4" x14ac:dyDescent="0.3">
      <c r="A1478" s="5" t="str">
        <f t="shared" ca="1" si="23"/>
        <v>раз в год</v>
      </c>
      <c r="B1478" s="5" t="s">
        <v>766</v>
      </c>
      <c r="C1478" s="5" t="s">
        <v>2146</v>
      </c>
      <c r="D1478" s="5" t="s">
        <v>3279</v>
      </c>
    </row>
    <row r="1479" spans="1:4" x14ac:dyDescent="0.3">
      <c r="A1479" s="5" t="str">
        <f t="shared" ca="1" si="23"/>
        <v>за период</v>
      </c>
      <c r="B1479" s="5" t="s">
        <v>551</v>
      </c>
      <c r="C1479" s="5" t="s">
        <v>2147</v>
      </c>
      <c r="D1479" s="5" t="s">
        <v>3280</v>
      </c>
    </row>
    <row r="1480" spans="1:4" x14ac:dyDescent="0.3">
      <c r="A1480" s="5" t="str">
        <f t="shared" ca="1" si="23"/>
        <v>период</v>
      </c>
      <c r="B1480" s="5" t="s">
        <v>3</v>
      </c>
      <c r="C1480" s="5" t="s">
        <v>1308</v>
      </c>
      <c r="D1480" s="5" t="s">
        <v>3281</v>
      </c>
    </row>
    <row r="1481" spans="1:4" x14ac:dyDescent="0.3">
      <c r="A1481" s="5" t="str">
        <f t="shared" ca="1" si="23"/>
        <v>Импорт</v>
      </c>
      <c r="B1481" s="5" t="s">
        <v>2148</v>
      </c>
      <c r="C1481" s="5" t="s">
        <v>2150</v>
      </c>
      <c r="D1481" s="5" t="s">
        <v>3282</v>
      </c>
    </row>
    <row r="1482" spans="1:4" x14ac:dyDescent="0.3">
      <c r="A1482" s="5" t="str">
        <f t="shared" ca="1" si="23"/>
        <v>Не импорт</v>
      </c>
      <c r="B1482" s="5" t="s">
        <v>2149</v>
      </c>
      <c r="C1482" s="5" t="s">
        <v>2151</v>
      </c>
      <c r="D1482" s="5" t="s">
        <v>3283</v>
      </c>
    </row>
    <row r="1483" spans="1:4" x14ac:dyDescent="0.3">
      <c r="A1483" s="5" t="str">
        <f t="shared" ca="1" si="23"/>
        <v>человек</v>
      </c>
      <c r="B1483" s="5" t="s">
        <v>548</v>
      </c>
      <c r="C1483" s="5" t="s">
        <v>2152</v>
      </c>
      <c r="D1483" s="5" t="s">
        <v>3284</v>
      </c>
    </row>
    <row r="1484" spans="1:4" x14ac:dyDescent="0.3">
      <c r="A1484" s="5" t="str">
        <f t="shared" ca="1" si="23"/>
        <v>периодов</v>
      </c>
      <c r="B1484" s="5" t="s">
        <v>63</v>
      </c>
      <c r="C1484" s="5" t="s">
        <v>414</v>
      </c>
      <c r="D1484" s="5" t="s">
        <v>3281</v>
      </c>
    </row>
    <row r="1485" spans="1:4" x14ac:dyDescent="0.3">
      <c r="A1485" s="5" t="str">
        <f t="shared" ca="1" si="23"/>
        <v>), без НДС</v>
      </c>
      <c r="B1485" s="5" t="s">
        <v>2162</v>
      </c>
      <c r="C1485" s="5" t="s">
        <v>2163</v>
      </c>
      <c r="D1485" s="5" t="s">
        <v>3285</v>
      </c>
    </row>
    <row r="1486" spans="1:4" x14ac:dyDescent="0.3">
      <c r="A1486" s="5" t="str">
        <f t="shared" ca="1" si="23"/>
        <v>индексировать в начале года</v>
      </c>
      <c r="B1486" s="10" t="s">
        <v>2233</v>
      </c>
      <c r="C1486" t="s">
        <v>2234</v>
      </c>
      <c r="D1486" s="5" t="s">
        <v>3356</v>
      </c>
    </row>
    <row r="1487" spans="1:4" x14ac:dyDescent="0.3">
      <c r="A1487" s="5" t="str">
        <f t="shared" ca="1" si="23"/>
        <v>Шаблон прочих налогов</v>
      </c>
      <c r="B1487" s="5" t="s">
        <v>2237</v>
      </c>
      <c r="C1487" s="5" t="s">
        <v>2238</v>
      </c>
      <c r="D1487" s="5" t="s">
        <v>3357</v>
      </c>
    </row>
    <row r="1488" spans="1:4" x14ac:dyDescent="0.3">
      <c r="A1488" s="5" t="str">
        <f t="shared" ca="1" si="23"/>
        <v>Прочие налоги</v>
      </c>
      <c r="B1488" s="5" t="s">
        <v>2239</v>
      </c>
      <c r="C1488" s="5" t="s">
        <v>2240</v>
      </c>
      <c r="D1488" s="5" t="s">
        <v>3358</v>
      </c>
    </row>
    <row r="1489" spans="1:4" x14ac:dyDescent="0.3">
      <c r="A1489" s="5" t="str">
        <f t="shared" ca="1" si="23"/>
        <v>Начисленный налог</v>
      </c>
      <c r="B1489" s="5" t="s">
        <v>2241</v>
      </c>
      <c r="C1489" s="5" t="s">
        <v>2137</v>
      </c>
      <c r="D1489" s="5" t="s">
        <v>2526</v>
      </c>
    </row>
    <row r="1490" spans="1:4" x14ac:dyDescent="0.3">
      <c r="A1490" s="5" t="str">
        <f t="shared" ca="1" si="23"/>
        <v>уплаченный налог</v>
      </c>
      <c r="B1490" s="5" t="s">
        <v>2242</v>
      </c>
      <c r="C1490" s="5" t="s">
        <v>2133</v>
      </c>
      <c r="D1490" s="5" t="s">
        <v>3108</v>
      </c>
    </row>
    <row r="1491" spans="1:4" x14ac:dyDescent="0.3">
      <c r="A1491" s="5" t="str">
        <f t="shared" ca="1" si="23"/>
        <v>Итого: прочие налоги</v>
      </c>
      <c r="B1491" s="5" t="s">
        <v>2243</v>
      </c>
      <c r="C1491" s="5" t="s">
        <v>2244</v>
      </c>
      <c r="D1491" s="5" t="s">
        <v>3359</v>
      </c>
    </row>
    <row r="1492" spans="1:4" x14ac:dyDescent="0.3">
      <c r="A1492" s="5" t="str">
        <f t="shared" ca="1" si="23"/>
        <v>начисленные налоги</v>
      </c>
      <c r="B1492" s="5" t="s">
        <v>2245</v>
      </c>
      <c r="C1492" s="5" t="s">
        <v>2248</v>
      </c>
      <c r="D1492" s="5" t="s">
        <v>3360</v>
      </c>
    </row>
    <row r="1493" spans="1:4" x14ac:dyDescent="0.3">
      <c r="A1493" s="5" t="str">
        <f t="shared" ca="1" si="23"/>
        <v>уплаченные налоги</v>
      </c>
      <c r="B1493" s="5" t="s">
        <v>2246</v>
      </c>
      <c r="C1493" s="5" t="s">
        <v>2247</v>
      </c>
      <c r="D1493" s="5" t="s">
        <v>3361</v>
      </c>
    </row>
    <row r="1494" spans="1:4" x14ac:dyDescent="0.3">
      <c r="A1494" s="5" t="str">
        <f t="shared" ca="1" si="23"/>
        <v>задолженность по налогам</v>
      </c>
      <c r="B1494" s="5" t="s">
        <v>2249</v>
      </c>
      <c r="C1494" s="5" t="s">
        <v>2250</v>
      </c>
      <c r="D1494" s="5" t="s">
        <v>3362</v>
      </c>
    </row>
    <row r="1495" spans="1:4" x14ac:dyDescent="0.3">
      <c r="A1495" s="5" t="str">
        <f t="shared" ca="1" si="23"/>
        <v>Коэффициент покрытия за весь срок кредита (LLCR)</v>
      </c>
      <c r="B1495" s="5" t="s">
        <v>2258</v>
      </c>
      <c r="C1495" s="5" t="s">
        <v>2257</v>
      </c>
      <c r="D1495" s="5" t="s">
        <v>3363</v>
      </c>
    </row>
    <row r="1496" spans="1:4" x14ac:dyDescent="0.3">
      <c r="A1496" s="5" t="str">
        <f t="shared" ca="1" si="23"/>
        <v>Приведенная стоимость будущих денежных потоков (NPV CFADS)</v>
      </c>
      <c r="B1496" s="5" t="s">
        <v>2264</v>
      </c>
      <c r="C1496" s="5" t="s">
        <v>2263</v>
      </c>
      <c r="D1496" s="5" t="s">
        <v>3364</v>
      </c>
    </row>
    <row r="1497" spans="1:4" x14ac:dyDescent="0.3">
      <c r="A1497" s="5" t="str">
        <f t="shared" ca="1" si="23"/>
        <v>множитель для дисконтирования</v>
      </c>
      <c r="B1497" s="5" t="s">
        <v>2265</v>
      </c>
      <c r="C1497" s="5" t="s">
        <v>2266</v>
      </c>
      <c r="D1497" s="5" t="s">
        <v>3365</v>
      </c>
    </row>
    <row r="1498" spans="1:4" x14ac:dyDescent="0.3">
      <c r="A1498" s="5" t="str">
        <f t="shared" ca="1" si="23"/>
        <v>ОПЕРАЦИОННЫЕ РАСХОДЫ</v>
      </c>
      <c r="B1498" s="5" t="s">
        <v>2267</v>
      </c>
      <c r="C1498" s="5" t="s">
        <v>1971</v>
      </c>
      <c r="D1498" s="5" t="s">
        <v>3172</v>
      </c>
    </row>
    <row r="1499" spans="1:4" x14ac:dyDescent="0.3">
      <c r="A1499" s="5" t="str">
        <f t="shared" ca="1" si="23"/>
        <v>ОТЧЕТ - ДОХОДЫ (без НДС)</v>
      </c>
      <c r="B1499" s="5" t="s">
        <v>2298</v>
      </c>
      <c r="C1499" t="s">
        <v>2300</v>
      </c>
      <c r="D1499" s="5" t="s">
        <v>3366</v>
      </c>
    </row>
    <row r="1500" spans="1:4" x14ac:dyDescent="0.3">
      <c r="A1500" s="5" t="str">
        <f t="shared" ca="1" si="23"/>
        <v>ОТЧЕТ - ЗАТРАТЫ НА МАТЕРИАЛЫ ПО ПРОДУКТАМ (без НДС)</v>
      </c>
      <c r="B1500" s="5" t="s">
        <v>3399</v>
      </c>
      <c r="C1500" t="s">
        <v>3400</v>
      </c>
      <c r="D1500" t="s">
        <v>3400</v>
      </c>
    </row>
    <row r="1501" spans="1:4" x14ac:dyDescent="0.3">
      <c r="A1501" s="5" t="str">
        <f t="shared" ca="1" si="23"/>
        <v>ОТЧЕТ – ЗАТРАТЫ (без НДС)</v>
      </c>
      <c r="B1501" t="s">
        <v>2299</v>
      </c>
      <c r="C1501" t="s">
        <v>2301</v>
      </c>
      <c r="D1501" s="5" t="s">
        <v>3367</v>
      </c>
    </row>
    <row r="1502" spans="1:4" x14ac:dyDescent="0.3">
      <c r="A1502" s="5" t="str">
        <f t="shared" ca="1" si="23"/>
        <v>Итого</v>
      </c>
      <c r="B1502" t="s">
        <v>2274</v>
      </c>
      <c r="C1502" t="s">
        <v>1849</v>
      </c>
      <c r="D1502" s="5" t="s">
        <v>3368</v>
      </c>
    </row>
    <row r="1503" spans="1:4" x14ac:dyDescent="0.3">
      <c r="A1503" s="5" t="str">
        <f t="shared" ca="1" si="23"/>
        <v>ОТЧЕТ – ИНВЕСТИЦИИ (с НДС)</v>
      </c>
      <c r="B1503" t="s">
        <v>3336</v>
      </c>
      <c r="C1503" s="5" t="s">
        <v>3337</v>
      </c>
      <c r="D1503" s="5" t="s">
        <v>3369</v>
      </c>
    </row>
    <row r="1504" spans="1:4" x14ac:dyDescent="0.3">
      <c r="A1504" s="5" t="str">
        <f t="shared" ca="1" si="23"/>
        <v>Выручка от реализации</v>
      </c>
      <c r="B1504" s="5" t="s">
        <v>2302</v>
      </c>
      <c r="C1504" s="5" t="s">
        <v>1752</v>
      </c>
      <c r="D1504" s="5" t="s">
        <v>3370</v>
      </c>
    </row>
    <row r="1505" spans="1:4" x14ac:dyDescent="0.3">
      <c r="A1505" s="5" t="str">
        <f t="shared" ca="1" si="23"/>
        <v>Сырье и материальные затраты</v>
      </c>
      <c r="B1505" s="5" t="s">
        <v>2282</v>
      </c>
      <c r="C1505" s="5" t="s">
        <v>1626</v>
      </c>
      <c r="D1505" s="5" t="s">
        <v>3259</v>
      </c>
    </row>
    <row r="1506" spans="1:4" x14ac:dyDescent="0.3">
      <c r="A1506" s="5" t="str">
        <f t="shared" ca="1" si="23"/>
        <v>Персонал</v>
      </c>
      <c r="B1506" s="5" t="s">
        <v>47</v>
      </c>
      <c r="C1506" s="5" t="s">
        <v>2283</v>
      </c>
      <c r="D1506" s="5" t="s">
        <v>2700</v>
      </c>
    </row>
    <row r="1507" spans="1:4" x14ac:dyDescent="0.3">
      <c r="A1507" s="5" t="str">
        <f t="shared" ca="1" si="23"/>
        <v>Операционные расходы</v>
      </c>
      <c r="B1507" s="5" t="s">
        <v>1151</v>
      </c>
      <c r="C1507" s="5" t="s">
        <v>1774</v>
      </c>
      <c r="D1507" s="5" t="s">
        <v>3172</v>
      </c>
    </row>
    <row r="1508" spans="1:4" x14ac:dyDescent="0.3">
      <c r="A1508" s="5" t="str">
        <f t="shared" ca="1" si="23"/>
        <v>Амортизация</v>
      </c>
      <c r="B1508" s="5" t="s">
        <v>724</v>
      </c>
      <c r="C1508" s="5" t="s">
        <v>1761</v>
      </c>
      <c r="D1508" s="5" t="s">
        <v>2796</v>
      </c>
    </row>
    <row r="1509" spans="1:4" x14ac:dyDescent="0.3">
      <c r="A1509" s="5" t="str">
        <f t="shared" ca="1" si="23"/>
        <v>график оплаты, c НДС</v>
      </c>
      <c r="B1509" s="5" t="s">
        <v>2289</v>
      </c>
      <c r="C1509" s="5" t="s">
        <v>2290</v>
      </c>
      <c r="D1509" s="5" t="s">
        <v>3371</v>
      </c>
    </row>
    <row r="1510" spans="1:4" x14ac:dyDescent="0.3">
      <c r="A1510" s="5" t="str">
        <f t="shared" ca="1" si="23"/>
        <v>Прочие доходы</v>
      </c>
      <c r="B1510" s="5" t="s">
        <v>726</v>
      </c>
      <c r="C1510" s="5" t="s">
        <v>1765</v>
      </c>
      <c r="D1510" s="5" t="s">
        <v>3037</v>
      </c>
    </row>
    <row r="1511" spans="1:4" x14ac:dyDescent="0.3">
      <c r="A1511" s="5" t="str">
        <f t="shared" ca="1" si="23"/>
        <v>НДС к кредиторской задолженности</v>
      </c>
      <c r="B1511" s="5" t="s">
        <v>2291</v>
      </c>
      <c r="C1511" s="5" t="s">
        <v>2292</v>
      </c>
      <c r="D1511" s="5" t="s">
        <v>3372</v>
      </c>
    </row>
    <row r="1512" spans="1:4" x14ac:dyDescent="0.3">
      <c r="A1512" s="5" t="str">
        <f t="shared" ca="1" si="23"/>
        <v>Суммарные затраты, с НДС</v>
      </c>
      <c r="B1512" s="5" t="s">
        <v>2278</v>
      </c>
      <c r="C1512" s="5" t="s">
        <v>2279</v>
      </c>
      <c r="D1512" s="5" t="s">
        <v>3373</v>
      </c>
    </row>
    <row r="1513" spans="1:4" x14ac:dyDescent="0.3">
      <c r="A1513" s="5" t="str">
        <f t="shared" ca="1" si="23"/>
        <v>затраты на персонал, с соц. взносами</v>
      </c>
      <c r="B1513" s="5" t="s">
        <v>2323</v>
      </c>
      <c r="C1513" s="5" t="s">
        <v>2322</v>
      </c>
      <c r="D1513" s="5" t="s">
        <v>2900</v>
      </c>
    </row>
    <row r="1514" spans="1:4" x14ac:dyDescent="0.3">
      <c r="A1514" s="5" t="str">
        <f t="shared" ca="1" si="23"/>
        <v>Налог на доходы физических лиц</v>
      </c>
      <c r="B1514" s="5" t="s">
        <v>2356</v>
      </c>
      <c r="C1514" s="5" t="s">
        <v>2357</v>
      </c>
      <c r="D1514" s="5" t="s">
        <v>3374</v>
      </c>
    </row>
    <row r="1515" spans="1:4" x14ac:dyDescent="0.3">
      <c r="A1515" s="5" t="str">
        <f t="shared" ca="1" si="23"/>
        <v>Доли налоговых поступлений в бюджеты разных уровней</v>
      </c>
      <c r="B1515" s="5" t="s">
        <v>2359</v>
      </c>
      <c r="C1515" s="5" t="s">
        <v>2360</v>
      </c>
      <c r="D1515" s="5" t="s">
        <v>3375</v>
      </c>
    </row>
    <row r="1516" spans="1:4" x14ac:dyDescent="0.3">
      <c r="A1516" s="5" t="str">
        <f t="shared" ca="1" si="23"/>
        <v>федеральный</v>
      </c>
      <c r="B1516" t="s">
        <v>2361</v>
      </c>
      <c r="C1516" t="s">
        <v>2362</v>
      </c>
      <c r="D1516" s="5" t="s">
        <v>3376</v>
      </c>
    </row>
    <row r="1517" spans="1:4" x14ac:dyDescent="0.3">
      <c r="A1517" s="5" t="str">
        <f t="shared" ca="1" si="23"/>
        <v>территории</v>
      </c>
      <c r="B1517" t="s">
        <v>2363</v>
      </c>
      <c r="C1517" t="s">
        <v>2364</v>
      </c>
      <c r="D1517" s="5" t="s">
        <v>3377</v>
      </c>
    </row>
    <row r="1518" spans="1:4" x14ac:dyDescent="0.3">
      <c r="A1518" s="5" t="str">
        <f t="shared" ca="1" si="23"/>
        <v>Федеральный бюджет</v>
      </c>
      <c r="B1518" t="s">
        <v>2365</v>
      </c>
      <c r="C1518" t="s">
        <v>2366</v>
      </c>
      <c r="D1518" s="5" t="s">
        <v>3378</v>
      </c>
    </row>
    <row r="1519" spans="1:4" x14ac:dyDescent="0.3">
      <c r="A1519" s="5" t="str">
        <f t="shared" ca="1" si="23"/>
        <v>Территориальный бюджет</v>
      </c>
      <c r="B1519" t="s">
        <v>2367</v>
      </c>
      <c r="C1519" t="s">
        <v>2368</v>
      </c>
      <c r="D1519" s="5" t="s">
        <v>3379</v>
      </c>
    </row>
    <row r="1520" spans="1:4" x14ac:dyDescent="0.3">
      <c r="A1520" s="5" t="str">
        <f t="shared" ca="1" si="23"/>
        <v>Общая бюджетная эффективность</v>
      </c>
      <c r="B1520" s="5" t="s">
        <v>2370</v>
      </c>
      <c r="C1520" s="5" t="s">
        <v>2369</v>
      </c>
      <c r="D1520" s="5" t="s">
        <v>3380</v>
      </c>
    </row>
    <row r="1521" spans="1:4" x14ac:dyDescent="0.3">
      <c r="A1521" s="5" t="str">
        <f t="shared" ca="1" si="23"/>
        <v>затраты для расчета среднего периода оборота</v>
      </c>
      <c r="B1521" s="5" t="s">
        <v>3289</v>
      </c>
      <c r="C1521" s="5" t="s">
        <v>3290</v>
      </c>
      <c r="D1521" s="5" t="s">
        <v>3291</v>
      </c>
    </row>
    <row r="1522" spans="1:4" x14ac:dyDescent="0.3">
      <c r="A1522" s="5" t="str">
        <f t="shared" ca="1" si="23"/>
        <v>ПРЕДОСТАВЛЕННЫЕ ЗАЙМЫ</v>
      </c>
      <c r="B1522" t="s">
        <v>3302</v>
      </c>
      <c r="C1522" t="s">
        <v>3303</v>
      </c>
      <c r="D1522" t="s">
        <v>3303</v>
      </c>
    </row>
    <row r="1523" spans="1:4" x14ac:dyDescent="0.3">
      <c r="A1523" s="5" t="str">
        <f t="shared" ca="1" si="23"/>
        <v>Шаблон долгосрочного займа</v>
      </c>
      <c r="B1523" t="s">
        <v>3304</v>
      </c>
      <c r="C1523" t="s">
        <v>3305</v>
      </c>
      <c r="D1523" s="5" t="s">
        <v>2775</v>
      </c>
    </row>
    <row r="1524" spans="1:4" x14ac:dyDescent="0.3">
      <c r="A1524" s="5" t="str">
        <f t="shared" ca="1" si="23"/>
        <v>Шаблон краткосрочного займа</v>
      </c>
      <c r="B1524" t="s">
        <v>3306</v>
      </c>
      <c r="C1524" t="s">
        <v>3307</v>
      </c>
      <c r="D1524" s="5" t="s">
        <v>3062</v>
      </c>
    </row>
    <row r="1525" spans="1:4" x14ac:dyDescent="0.3">
      <c r="A1525" s="5" t="str">
        <f t="shared" ca="1" si="23"/>
        <v>ставка процентов по займу</v>
      </c>
      <c r="B1525" t="s">
        <v>3308</v>
      </c>
      <c r="C1525" t="s">
        <v>1732</v>
      </c>
      <c r="D1525" s="5" t="s">
        <v>2807</v>
      </c>
    </row>
    <row r="1526" spans="1:4" x14ac:dyDescent="0.3">
      <c r="A1526" s="5" t="str">
        <f t="shared" ca="1" si="23"/>
        <v>выдача займа</v>
      </c>
      <c r="B1526" t="s">
        <v>3309</v>
      </c>
      <c r="C1526" t="s">
        <v>3310</v>
      </c>
      <c r="D1526" t="s">
        <v>3310</v>
      </c>
    </row>
    <row r="1527" spans="1:4" x14ac:dyDescent="0.3">
      <c r="A1527" s="5" t="str">
        <f t="shared" ca="1" si="23"/>
        <v>возврат займа</v>
      </c>
      <c r="B1527" t="s">
        <v>3311</v>
      </c>
      <c r="C1527" t="s">
        <v>1733</v>
      </c>
      <c r="D1527" t="s">
        <v>1733</v>
      </c>
    </row>
    <row r="1528" spans="1:4" x14ac:dyDescent="0.3">
      <c r="A1528" s="5" t="str">
        <f t="shared" ca="1" si="23"/>
        <v>задолженность по займу</v>
      </c>
      <c r="B1528" t="s">
        <v>3312</v>
      </c>
      <c r="C1528" t="s">
        <v>1734</v>
      </c>
      <c r="D1528" s="5" t="s">
        <v>3055</v>
      </c>
    </row>
    <row r="1529" spans="1:4" x14ac:dyDescent="0.3">
      <c r="A1529" s="5" t="str">
        <f t="shared" ca="1" si="23"/>
        <v>начисленные проценты</v>
      </c>
      <c r="B1529" t="s">
        <v>576</v>
      </c>
      <c r="C1529" t="s">
        <v>1740</v>
      </c>
      <c r="D1529" s="5" t="s">
        <v>2810</v>
      </c>
    </row>
    <row r="1530" spans="1:4" x14ac:dyDescent="0.3">
      <c r="A1530" s="5" t="str">
        <f t="shared" ca="1" si="23"/>
        <v>Долгосрочные займы</v>
      </c>
      <c r="B1530" t="s">
        <v>3313</v>
      </c>
      <c r="C1530" t="s">
        <v>1706</v>
      </c>
      <c r="D1530" s="5" t="s">
        <v>2775</v>
      </c>
    </row>
    <row r="1531" spans="1:4" x14ac:dyDescent="0.3">
      <c r="A1531" s="5" t="str">
        <f t="shared" ca="1" si="23"/>
        <v>Краткосрочные займы</v>
      </c>
      <c r="B1531" t="s">
        <v>3314</v>
      </c>
      <c r="C1531" t="s">
        <v>1703</v>
      </c>
      <c r="D1531" s="5" t="s">
        <v>2772</v>
      </c>
    </row>
    <row r="1532" spans="1:4" x14ac:dyDescent="0.3">
      <c r="A1532" s="5" t="str">
        <f t="shared" ca="1" si="23"/>
        <v>Выдача займа</v>
      </c>
      <c r="B1532" t="s">
        <v>3315</v>
      </c>
      <c r="C1532" t="s">
        <v>3316</v>
      </c>
      <c r="D1532" t="s">
        <v>3316</v>
      </c>
    </row>
    <row r="1533" spans="1:4" x14ac:dyDescent="0.3">
      <c r="A1533" s="5" t="str">
        <f t="shared" ca="1" si="23"/>
        <v>Возврат займа</v>
      </c>
      <c r="B1533" t="s">
        <v>3317</v>
      </c>
      <c r="C1533" t="s">
        <v>3318</v>
      </c>
      <c r="D1533" t="s">
        <v>3318</v>
      </c>
    </row>
    <row r="1534" spans="1:4" x14ac:dyDescent="0.3">
      <c r="A1534" s="5" t="str">
        <f t="shared" ca="1" si="23"/>
        <v>Долгосрочные займы на конец периода</v>
      </c>
      <c r="B1534" t="s">
        <v>3319</v>
      </c>
      <c r="C1534" t="s">
        <v>1744</v>
      </c>
      <c r="D1534" s="5" t="s">
        <v>3066</v>
      </c>
    </row>
    <row r="1535" spans="1:4" x14ac:dyDescent="0.3">
      <c r="A1535" s="5" t="str">
        <f t="shared" ref="A1535" ca="1" si="24">OFFSET(A1535,0,Prj_Language)</f>
        <v>Краткосрочные займы на конец периода</v>
      </c>
      <c r="B1535" t="s">
        <v>3320</v>
      </c>
      <c r="C1535" t="s">
        <v>1745</v>
      </c>
      <c r="D1535" s="5" t="s">
        <v>3067</v>
      </c>
    </row>
  </sheetData>
  <dataConsolidate/>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9">
    <outlinePr summaryBelow="0" summaryRight="0"/>
  </sheetPr>
  <dimension ref="A2:O122"/>
  <sheetViews>
    <sheetView workbookViewId="0">
      <selection activeCell="A5" sqref="A5"/>
    </sheetView>
  </sheetViews>
  <sheetFormatPr defaultColWidth="8.77734375" defaultRowHeight="13.8" x14ac:dyDescent="0.3"/>
  <cols>
    <col min="1" max="1" width="50.5546875" style="5" customWidth="1"/>
    <col min="2" max="6" width="12.5546875" style="5" customWidth="1"/>
    <col min="7" max="16384" width="8.77734375" style="5"/>
  </cols>
  <sheetData>
    <row r="2" spans="1:2" x14ac:dyDescent="0.3">
      <c r="A2" s="34" t="s">
        <v>97</v>
      </c>
    </row>
    <row r="4" spans="1:2" x14ac:dyDescent="0.3">
      <c r="A4" s="5" t="s">
        <v>100</v>
      </c>
      <c r="B4" s="34" t="e">
        <f>"Альт-Инвест" &amp; IF(Opt_Bld_Summ," Сумм", "")</f>
        <v>#NAME?</v>
      </c>
    </row>
    <row r="5" spans="1:2" x14ac:dyDescent="0.3">
      <c r="A5" s="5" t="s">
        <v>98</v>
      </c>
      <c r="B5" s="32">
        <v>1</v>
      </c>
    </row>
    <row r="6" spans="1:2" x14ac:dyDescent="0.3">
      <c r="A6" s="5" t="s">
        <v>99</v>
      </c>
      <c r="B6" s="32">
        <v>1</v>
      </c>
    </row>
    <row r="7" spans="1:2" x14ac:dyDescent="0.3">
      <c r="A7" s="5" t="s">
        <v>2223</v>
      </c>
      <c r="B7" s="32">
        <v>1</v>
      </c>
    </row>
    <row r="8" spans="1:2" x14ac:dyDescent="0.3">
      <c r="A8" s="5" t="s">
        <v>467</v>
      </c>
      <c r="B8" s="148" t="s">
        <v>3405</v>
      </c>
    </row>
    <row r="10" spans="1:2" x14ac:dyDescent="0.3">
      <c r="A10" s="34" t="s">
        <v>85</v>
      </c>
    </row>
    <row r="12" spans="1:2" x14ac:dyDescent="0.3">
      <c r="A12" s="5" t="s">
        <v>81</v>
      </c>
      <c r="B12" s="32">
        <v>1</v>
      </c>
    </row>
    <row r="13" spans="1:2" x14ac:dyDescent="0.3">
      <c r="A13" s="5" t="s">
        <v>82</v>
      </c>
      <c r="B13" s="113">
        <v>42975</v>
      </c>
    </row>
    <row r="14" spans="1:2" x14ac:dyDescent="0.3">
      <c r="A14" s="5" t="s">
        <v>84</v>
      </c>
      <c r="B14" s="32">
        <v>1</v>
      </c>
    </row>
    <row r="15" spans="1:2" x14ac:dyDescent="0.3">
      <c r="A15" s="5" t="s">
        <v>83</v>
      </c>
      <c r="B15" s="32"/>
    </row>
    <row r="16" spans="1:2" x14ac:dyDescent="0.3">
      <c r="A16" s="5" t="s">
        <v>96</v>
      </c>
      <c r="B16" s="32"/>
    </row>
    <row r="17" spans="1:6" x14ac:dyDescent="0.3">
      <c r="A17" s="5" t="s">
        <v>270</v>
      </c>
      <c r="B17" s="32">
        <v>204</v>
      </c>
    </row>
    <row r="18" spans="1:6" x14ac:dyDescent="0.3">
      <c r="A18" s="5" t="s">
        <v>793</v>
      </c>
      <c r="B18" s="7" t="s">
        <v>710</v>
      </c>
    </row>
    <row r="20" spans="1:6" x14ac:dyDescent="0.3">
      <c r="A20" s="75" t="s">
        <v>904</v>
      </c>
      <c r="B20" s="36" t="s">
        <v>879</v>
      </c>
      <c r="C20" s="36" t="s">
        <v>1019</v>
      </c>
    </row>
    <row r="21" spans="1:6" x14ac:dyDescent="0.3">
      <c r="A21" s="7" t="s">
        <v>86</v>
      </c>
      <c r="B21" s="32">
        <v>4</v>
      </c>
      <c r="C21" s="32">
        <v>1</v>
      </c>
    </row>
    <row r="22" spans="1:6" x14ac:dyDescent="0.3">
      <c r="A22" s="7" t="s">
        <v>87</v>
      </c>
      <c r="B22" s="32">
        <v>4</v>
      </c>
      <c r="C22" s="32">
        <v>1</v>
      </c>
    </row>
    <row r="23" spans="1:6" x14ac:dyDescent="0.3">
      <c r="A23" s="7" t="s">
        <v>943</v>
      </c>
      <c r="B23" s="32">
        <v>4</v>
      </c>
      <c r="C23" s="32">
        <v>1</v>
      </c>
    </row>
    <row r="24" spans="1:6" x14ac:dyDescent="0.3">
      <c r="A24" s="7" t="s">
        <v>88</v>
      </c>
      <c r="B24" s="32">
        <v>4</v>
      </c>
      <c r="C24" s="32">
        <v>1</v>
      </c>
    </row>
    <row r="25" spans="1:6" x14ac:dyDescent="0.3">
      <c r="A25" s="7" t="s">
        <v>89</v>
      </c>
      <c r="B25" s="32">
        <v>4</v>
      </c>
      <c r="C25" s="32">
        <v>1</v>
      </c>
    </row>
    <row r="26" spans="1:6" x14ac:dyDescent="0.3">
      <c r="A26" s="7" t="s">
        <v>90</v>
      </c>
      <c r="B26" s="32">
        <v>2</v>
      </c>
      <c r="C26" s="32">
        <v>0</v>
      </c>
    </row>
    <row r="27" spans="1:6" x14ac:dyDescent="0.3">
      <c r="A27" s="7" t="s">
        <v>91</v>
      </c>
      <c r="B27" s="32">
        <v>0</v>
      </c>
      <c r="C27" s="32">
        <v>0</v>
      </c>
    </row>
    <row r="29" spans="1:6" x14ac:dyDescent="0.3">
      <c r="A29" s="75" t="s">
        <v>92</v>
      </c>
      <c r="B29" s="36" t="s">
        <v>95</v>
      </c>
      <c r="C29" s="36" t="s">
        <v>228</v>
      </c>
      <c r="D29" s="36" t="s">
        <v>3294</v>
      </c>
      <c r="E29" s="36" t="s">
        <v>2340</v>
      </c>
      <c r="F29" s="36" t="s">
        <v>811</v>
      </c>
    </row>
    <row r="30" spans="1:6" x14ac:dyDescent="0.3">
      <c r="A30" s="5" t="str">
        <f ca="1">Language!A374</f>
        <v>Стандартный</v>
      </c>
      <c r="B30" s="114"/>
      <c r="C30" s="114"/>
      <c r="D30" s="7"/>
      <c r="E30" s="146"/>
      <c r="F30" s="115"/>
    </row>
    <row r="31" spans="1:6" x14ac:dyDescent="0.3">
      <c r="A31" s="5" t="str">
        <f ca="1">Language!A375</f>
        <v>Синие заголовки, зеленые ячейки</v>
      </c>
      <c r="B31" s="116"/>
      <c r="C31" s="116"/>
      <c r="D31" s="114"/>
      <c r="E31" s="121"/>
      <c r="F31" s="115"/>
    </row>
    <row r="32" spans="1:6" x14ac:dyDescent="0.3">
      <c r="A32" s="5" t="str">
        <f ca="1">Language!A376</f>
        <v>Оттенки серого</v>
      </c>
      <c r="B32" s="117"/>
      <c r="C32" s="117"/>
      <c r="D32" s="118"/>
      <c r="E32" s="122"/>
      <c r="F32" s="115"/>
    </row>
    <row r="33" spans="1:6" x14ac:dyDescent="0.3">
      <c r="A33" s="5" t="str">
        <f ca="1">Language!A377</f>
        <v>Красные заголовки и розовые ячейки</v>
      </c>
      <c r="B33" s="119"/>
      <c r="C33" s="119"/>
      <c r="D33" s="120"/>
      <c r="E33" s="147"/>
      <c r="F33" s="115"/>
    </row>
    <row r="34" spans="1:6" x14ac:dyDescent="0.3">
      <c r="A34" s="5" t="str">
        <f ca="1">Language!A378</f>
        <v>Зеленые заголовки, выделить инвестиционную фазу</v>
      </c>
      <c r="B34" s="114"/>
      <c r="C34" s="121"/>
      <c r="D34" s="7"/>
      <c r="E34" s="146"/>
      <c r="F34" s="115"/>
    </row>
    <row r="35" spans="1:6" x14ac:dyDescent="0.3">
      <c r="A35" s="5" t="str">
        <f ca="1">Language!A379</f>
        <v>Синие заголовки, выделить инвестиционную фазу</v>
      </c>
      <c r="B35" s="116"/>
      <c r="C35" s="7"/>
      <c r="D35" s="118"/>
      <c r="E35" s="122"/>
      <c r="F35" s="115"/>
    </row>
    <row r="36" spans="1:6" x14ac:dyDescent="0.3">
      <c r="A36" s="5" t="str">
        <f ca="1">Language!A380</f>
        <v>Оттенки серого, выделить инвестиционную фазу</v>
      </c>
      <c r="B36" s="260"/>
      <c r="C36" s="122"/>
      <c r="D36" s="118"/>
      <c r="E36" s="122"/>
      <c r="F36" s="115"/>
    </row>
    <row r="37" spans="1:6" x14ac:dyDescent="0.3">
      <c r="A37" s="5" t="str">
        <f ca="1">Language!A381</f>
        <v>Красные заголовки, выделить инвестиционную фазу</v>
      </c>
      <c r="B37" s="119"/>
      <c r="C37" s="123"/>
      <c r="D37" s="120"/>
      <c r="E37" s="147"/>
      <c r="F37" s="115"/>
    </row>
    <row r="38" spans="1:6" x14ac:dyDescent="0.3">
      <c r="A38" s="5" t="str">
        <f ca="1">Language!A382</f>
        <v>Настройки пользователя</v>
      </c>
      <c r="B38" s="319"/>
      <c r="C38" s="320"/>
      <c r="D38" s="118"/>
      <c r="E38" s="122"/>
      <c r="F38" s="115"/>
    </row>
    <row r="40" spans="1:6" x14ac:dyDescent="0.3">
      <c r="A40" s="34" t="s">
        <v>94</v>
      </c>
      <c r="B40" s="321" t="s">
        <v>850</v>
      </c>
      <c r="C40" s="322" t="s">
        <v>850</v>
      </c>
      <c r="D40" s="118" t="s">
        <v>850</v>
      </c>
      <c r="E40" s="122" t="s">
        <v>850</v>
      </c>
      <c r="F40" s="119" t="s">
        <v>850</v>
      </c>
    </row>
    <row r="42" spans="1:6" x14ac:dyDescent="0.3">
      <c r="A42" s="75" t="s">
        <v>267</v>
      </c>
      <c r="B42" s="36" t="s">
        <v>268</v>
      </c>
      <c r="C42" s="36" t="s">
        <v>269</v>
      </c>
    </row>
    <row r="43" spans="1:6" x14ac:dyDescent="0.3">
      <c r="A43" s="7" t="str">
        <f ca="1">Language!A$284</f>
        <v>Земельный участок</v>
      </c>
      <c r="B43" s="32" t="s">
        <v>794</v>
      </c>
      <c r="C43" s="32">
        <v>1</v>
      </c>
    </row>
    <row r="44" spans="1:6" x14ac:dyDescent="0.3">
      <c r="A44" s="7" t="str">
        <f ca="1">Language!A$285</f>
        <v>Подготовка территории строительства</v>
      </c>
      <c r="B44" s="32" t="s">
        <v>794</v>
      </c>
      <c r="C44" s="32">
        <v>2</v>
      </c>
    </row>
    <row r="45" spans="1:6" x14ac:dyDescent="0.3">
      <c r="A45" s="7" t="str">
        <f ca="1">Language!A$286</f>
        <v>Проектирование здания</v>
      </c>
      <c r="B45" s="32" t="s">
        <v>794</v>
      </c>
      <c r="C45" s="32">
        <v>2</v>
      </c>
    </row>
    <row r="46" spans="1:6" x14ac:dyDescent="0.3">
      <c r="A46" s="7" t="str">
        <f ca="1">Language!A$287</f>
        <v>Строительство здания</v>
      </c>
      <c r="B46" s="32" t="s">
        <v>794</v>
      </c>
      <c r="C46" s="32">
        <v>2</v>
      </c>
    </row>
    <row r="47" spans="1:6" x14ac:dyDescent="0.3">
      <c r="A47" s="7" t="str">
        <f ca="1">Language!A$288</f>
        <v>Внутренняя отделка здания</v>
      </c>
      <c r="B47" s="32" t="s">
        <v>794</v>
      </c>
      <c r="C47" s="32">
        <v>2</v>
      </c>
    </row>
    <row r="48" spans="1:6" x14ac:dyDescent="0.3">
      <c r="A48" s="7" t="str">
        <f ca="1">Language!A$289</f>
        <v>Коммуникации</v>
      </c>
      <c r="B48" s="32" t="s">
        <v>794</v>
      </c>
      <c r="C48" s="32">
        <v>2</v>
      </c>
    </row>
    <row r="49" spans="1:3" x14ac:dyDescent="0.3">
      <c r="A49" s="7" t="str">
        <f ca="1">Language!A$290</f>
        <v>Благоустройство территории</v>
      </c>
      <c r="B49" s="32" t="s">
        <v>794</v>
      </c>
      <c r="C49" s="32">
        <v>2</v>
      </c>
    </row>
    <row r="50" spans="1:3" x14ac:dyDescent="0.3">
      <c r="A50" s="7" t="str">
        <f ca="1">Language!A$291</f>
        <v>Основное оборудование</v>
      </c>
      <c r="B50" s="32" t="s">
        <v>794</v>
      </c>
      <c r="C50" s="32">
        <v>3</v>
      </c>
    </row>
    <row r="51" spans="1:3" x14ac:dyDescent="0.3">
      <c r="A51" s="7" t="str">
        <f ca="1">Language!A$292</f>
        <v>Вспомогательное оборудование</v>
      </c>
      <c r="B51" s="32" t="s">
        <v>794</v>
      </c>
      <c r="C51" s="32">
        <v>3</v>
      </c>
    </row>
    <row r="52" spans="1:3" x14ac:dyDescent="0.3">
      <c r="A52" s="7" t="str">
        <f ca="1">Language!A$293</f>
        <v>Оборудование склада</v>
      </c>
      <c r="B52" s="32" t="s">
        <v>794</v>
      </c>
      <c r="C52" s="32">
        <v>3</v>
      </c>
    </row>
    <row r="53" spans="1:3" x14ac:dyDescent="0.3">
      <c r="A53" s="7" t="str">
        <f ca="1">Language!A$294</f>
        <v>Транспорт</v>
      </c>
      <c r="B53" s="32" t="s">
        <v>794</v>
      </c>
      <c r="C53" s="32">
        <v>3</v>
      </c>
    </row>
    <row r="54" spans="1:3" x14ac:dyDescent="0.3">
      <c r="A54" s="7" t="str">
        <f ca="1">Language!A$295</f>
        <v>Офисная мебель, компьютеры, оргтехника</v>
      </c>
      <c r="B54" s="32" t="s">
        <v>794</v>
      </c>
      <c r="C54" s="32">
        <v>3</v>
      </c>
    </row>
    <row r="55" spans="1:3" x14ac:dyDescent="0.3">
      <c r="A55" s="7" t="str">
        <f ca="1">Language!A$296</f>
        <v>Получение лицензии</v>
      </c>
      <c r="B55" s="32" t="s">
        <v>794</v>
      </c>
      <c r="C55" s="32">
        <v>4</v>
      </c>
    </row>
    <row r="56" spans="1:3" x14ac:dyDescent="0.3">
      <c r="A56" s="7" t="str">
        <f ca="1">Language!A$297</f>
        <v>Разработка сайта</v>
      </c>
      <c r="B56" s="32" t="s">
        <v>794</v>
      </c>
      <c r="C56" s="32">
        <v>4</v>
      </c>
    </row>
    <row r="57" spans="1:3" x14ac:dyDescent="0.3">
      <c r="A57" s="7" t="str">
        <f ca="1">Language!A$298</f>
        <v>Система бухгалтерского учета</v>
      </c>
      <c r="B57" s="32" t="s">
        <v>794</v>
      </c>
      <c r="C57" s="32">
        <v>4</v>
      </c>
    </row>
    <row r="58" spans="1:3" x14ac:dyDescent="0.3">
      <c r="A58" s="7" t="str">
        <f ca="1">Language!A$299</f>
        <v>Система взаимодействия с клиентами (CRM)</v>
      </c>
      <c r="B58" s="32" t="s">
        <v>794</v>
      </c>
      <c r="C58" s="32">
        <v>4</v>
      </c>
    </row>
    <row r="59" spans="1:3" x14ac:dyDescent="0.3">
      <c r="A59" s="7" t="str">
        <f ca="1">Language!A$300</f>
        <v>Программы для рабочих мест сотрудников</v>
      </c>
      <c r="B59" s="32" t="s">
        <v>794</v>
      </c>
      <c r="C59" s="32">
        <v>4</v>
      </c>
    </row>
    <row r="60" spans="1:3" x14ac:dyDescent="0.3">
      <c r="A60" s="7" t="str">
        <f ca="1">Language!A$301</f>
        <v>Аренда производственного помещения</v>
      </c>
      <c r="B60" s="32" t="s">
        <v>808</v>
      </c>
      <c r="C60" s="32">
        <v>1</v>
      </c>
    </row>
    <row r="61" spans="1:3" x14ac:dyDescent="0.3">
      <c r="A61" s="7" t="str">
        <f ca="1">Language!A$302</f>
        <v>Коммунальные расходы</v>
      </c>
      <c r="B61" s="32" t="s">
        <v>808</v>
      </c>
      <c r="C61" s="32">
        <v>1</v>
      </c>
    </row>
    <row r="62" spans="1:3" x14ac:dyDescent="0.3">
      <c r="A62" s="7" t="str">
        <f ca="1">Language!A$303</f>
        <v>Содержание оборудования</v>
      </c>
      <c r="B62" s="32" t="s">
        <v>808</v>
      </c>
      <c r="C62" s="32">
        <v>1</v>
      </c>
    </row>
    <row r="63" spans="1:3" x14ac:dyDescent="0.3">
      <c r="A63" s="7" t="str">
        <f ca="1">Language!A$304</f>
        <v>Охрана и безопасность</v>
      </c>
      <c r="B63" s="32" t="s">
        <v>808</v>
      </c>
      <c r="C63" s="32">
        <v>1</v>
      </c>
    </row>
    <row r="64" spans="1:3" x14ac:dyDescent="0.3">
      <c r="A64" s="7" t="str">
        <f ca="1">Language!A$305</f>
        <v>Уборка и содержание территории</v>
      </c>
      <c r="B64" s="32" t="s">
        <v>808</v>
      </c>
      <c r="C64" s="32">
        <v>1</v>
      </c>
    </row>
    <row r="65" spans="1:3" x14ac:dyDescent="0.3">
      <c r="A65" s="7" t="str">
        <f ca="1">Language!A$306</f>
        <v>Транспортные расходы</v>
      </c>
      <c r="B65" s="32" t="s">
        <v>808</v>
      </c>
      <c r="C65" s="32">
        <v>1</v>
      </c>
    </row>
    <row r="66" spans="1:3" x14ac:dyDescent="0.3">
      <c r="A66" s="7" t="str">
        <f ca="1">Language!A$307</f>
        <v>Аренда офиса</v>
      </c>
      <c r="B66" s="32" t="s">
        <v>808</v>
      </c>
      <c r="C66" s="32">
        <v>2</v>
      </c>
    </row>
    <row r="67" spans="1:3" x14ac:dyDescent="0.3">
      <c r="A67" s="7" t="str">
        <f ca="1">Language!A$308</f>
        <v>Офисные расходы</v>
      </c>
      <c r="B67" s="32" t="s">
        <v>808</v>
      </c>
      <c r="C67" s="32">
        <v>2</v>
      </c>
    </row>
    <row r="68" spans="1:3" x14ac:dyDescent="0.3">
      <c r="A68" s="7" t="str">
        <f ca="1">Language!A$309</f>
        <v>Телекоммуникации</v>
      </c>
      <c r="B68" s="32" t="s">
        <v>808</v>
      </c>
      <c r="C68" s="32">
        <v>2</v>
      </c>
    </row>
    <row r="69" spans="1:3" x14ac:dyDescent="0.3">
      <c r="A69" s="7" t="str">
        <f ca="1">Language!A$310</f>
        <v>IT расходы</v>
      </c>
      <c r="B69" s="32" t="s">
        <v>808</v>
      </c>
      <c r="C69" s="32">
        <v>2</v>
      </c>
    </row>
    <row r="70" spans="1:3" x14ac:dyDescent="0.3">
      <c r="A70" s="7" t="str">
        <f ca="1">Language!A$311</f>
        <v>Командировки</v>
      </c>
      <c r="B70" s="32" t="s">
        <v>808</v>
      </c>
      <c r="C70" s="32">
        <v>2</v>
      </c>
    </row>
    <row r="71" spans="1:3" x14ac:dyDescent="0.3">
      <c r="A71" s="7" t="str">
        <f ca="1">Language!A$312</f>
        <v>Услуги юристов и консультантов</v>
      </c>
      <c r="B71" s="32" t="s">
        <v>808</v>
      </c>
      <c r="C71" s="32">
        <v>2</v>
      </c>
    </row>
    <row r="72" spans="1:3" x14ac:dyDescent="0.3">
      <c r="A72" s="7" t="str">
        <f ca="1">Language!A$313</f>
        <v>Реклама в прессе и интернете</v>
      </c>
      <c r="B72" s="32" t="s">
        <v>808</v>
      </c>
      <c r="C72" s="32">
        <v>3</v>
      </c>
    </row>
    <row r="73" spans="1:3" x14ac:dyDescent="0.3">
      <c r="A73" s="7" t="str">
        <f ca="1">Language!A$314</f>
        <v>Рекламные мероприятия</v>
      </c>
      <c r="B73" s="32" t="s">
        <v>808</v>
      </c>
      <c r="C73" s="32">
        <v>3</v>
      </c>
    </row>
    <row r="74" spans="1:3" x14ac:dyDescent="0.3">
      <c r="A74" s="7" t="str">
        <f ca="1">Language!A$315</f>
        <v>Маркетинговые материалы</v>
      </c>
      <c r="B74" s="32" t="s">
        <v>808</v>
      </c>
      <c r="C74" s="32">
        <v>3</v>
      </c>
    </row>
    <row r="75" spans="1:3" x14ac:dyDescent="0.3">
      <c r="A75" s="7" t="str">
        <f ca="1">Language!A$316</f>
        <v>Участие в выставках и конференциях</v>
      </c>
      <c r="B75" s="32" t="s">
        <v>808</v>
      </c>
      <c r="C75" s="32">
        <v>3</v>
      </c>
    </row>
    <row r="122" spans="15:15" x14ac:dyDescent="0.3">
      <c r="O122" s="317" t="s">
        <v>3418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Build_Distr">
                <anchor moveWithCells="1">
                  <from>
                    <xdr:col>3</xdr:col>
                    <xdr:colOff>15240</xdr:colOff>
                    <xdr:row>4</xdr:row>
                    <xdr:rowOff>0</xdr:rowOff>
                  </from>
                  <to>
                    <xdr:col>4</xdr:col>
                    <xdr:colOff>15240</xdr:colOff>
                    <xdr:row>5</xdr:row>
                    <xdr:rowOff>137160</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9</vt:i4>
      </vt:variant>
      <vt:variant>
        <vt:lpstr>Именованные диапазоны</vt:lpstr>
      </vt:variant>
      <vt:variant>
        <vt:i4>75</vt:i4>
      </vt:variant>
    </vt:vector>
  </HeadingPairs>
  <TitlesOfParts>
    <vt:vector size="84" baseType="lpstr">
      <vt:lpstr>Параметры</vt:lpstr>
      <vt:lpstr>Старт</vt:lpstr>
      <vt:lpstr>Проект</vt:lpstr>
      <vt:lpstr>Результаты</vt:lpstr>
      <vt:lpstr>Графики</vt:lpstr>
      <vt:lpstr>Сценарии</vt:lpstr>
      <vt:lpstr>Отчет</vt:lpstr>
      <vt:lpstr>Language</vt:lpstr>
      <vt:lpstr>Options</vt:lpstr>
      <vt:lpstr>CurName1</vt:lpstr>
      <vt:lpstr>CurName2</vt:lpstr>
      <vt:lpstr>CurName3</vt:lpstr>
      <vt:lpstr>Opt_BuildDate</vt:lpstr>
      <vt:lpstr>Opt_ChartSheet</vt:lpstr>
      <vt:lpstr>Opt_Colors</vt:lpstr>
      <vt:lpstr>Opt_DataSheet</vt:lpstr>
      <vt:lpstr>Opt_Defaults</vt:lpstr>
      <vt:lpstr>Opt_DlgPrint</vt:lpstr>
      <vt:lpstr>Opt_IsBuilt</vt:lpstr>
      <vt:lpstr>Opt_IsDemo</vt:lpstr>
      <vt:lpstr>Opt_IsSumm</vt:lpstr>
      <vt:lpstr>Opt_MainSheet</vt:lpstr>
      <vt:lpstr>Opt_ReportSheet</vt:lpstr>
      <vt:lpstr>Opt_ResultSheet</vt:lpstr>
      <vt:lpstr>Opt_ScenSheet</vt:lpstr>
      <vt:lpstr>Opt_Sheets</vt:lpstr>
      <vt:lpstr>Opt_StartSheet</vt:lpstr>
      <vt:lpstr>Opt_Themes</vt:lpstr>
      <vt:lpstr>Opt_UniqueID</vt:lpstr>
      <vt:lpstr>Opt_Version</vt:lpstr>
      <vt:lpstr>Prj_Cur1</vt:lpstr>
      <vt:lpstr>Prj_Cur2</vt:lpstr>
      <vt:lpstr>Prj_Cur3</vt:lpstr>
      <vt:lpstr>Prj_CurReport</vt:lpstr>
      <vt:lpstr>Prj_Inflation</vt:lpstr>
      <vt:lpstr>Prj_Invest</vt:lpstr>
      <vt:lpstr>Prj_Language</vt:lpstr>
      <vt:lpstr>Prj_Len</vt:lpstr>
      <vt:lpstr>Prj_Name</vt:lpstr>
      <vt:lpstr>Prj_Period</vt:lpstr>
      <vt:lpstr>Prj_Protect</vt:lpstr>
      <vt:lpstr>Prj_StartDate</vt:lpstr>
      <vt:lpstr>Prj_StartMonth</vt:lpstr>
      <vt:lpstr>Prj_StartYear</vt:lpstr>
      <vt:lpstr>Prj_Step</vt:lpstr>
      <vt:lpstr>Prj_Style</vt:lpstr>
      <vt:lpstr>Prj_Tax1</vt:lpstr>
      <vt:lpstr>Prj_Tax2</vt:lpstr>
      <vt:lpstr>Prj_Tax3</vt:lpstr>
      <vt:lpstr>Prj_Tax4</vt:lpstr>
      <vt:lpstr>Prj_Tax5</vt:lpstr>
      <vt:lpstr>Prj_Tax6</vt:lpstr>
      <vt:lpstr>Prj_VAT</vt:lpstr>
      <vt:lpstr>Sens_Discount</vt:lpstr>
      <vt:lpstr>Sens_Exp1</vt:lpstr>
      <vt:lpstr>Sens_Exp2</vt:lpstr>
      <vt:lpstr>Sens_Exp3</vt:lpstr>
      <vt:lpstr>Sens_Exp4</vt:lpstr>
      <vt:lpstr>Sens_Invest</vt:lpstr>
      <vt:lpstr>Sens_IRR1</vt:lpstr>
      <vt:lpstr>Sens_IRR2</vt:lpstr>
      <vt:lpstr>Sens_IRR3</vt:lpstr>
      <vt:lpstr>Графики!Sens_Item</vt:lpstr>
      <vt:lpstr>Графики!Sens_ItemFrom</vt:lpstr>
      <vt:lpstr>Графики!Sens_ItemStep</vt:lpstr>
      <vt:lpstr>Графики!Sens_Line</vt:lpstr>
      <vt:lpstr>Sens_Mat</vt:lpstr>
      <vt:lpstr>Sens_NPV1</vt:lpstr>
      <vt:lpstr>Sens_NPV2</vt:lpstr>
      <vt:lpstr>Sens_NPV3</vt:lpstr>
      <vt:lpstr>Графики!Sens_Param</vt:lpstr>
      <vt:lpstr>Графики!Sens_ParamFrom</vt:lpstr>
      <vt:lpstr>Графики!Sens_Params</vt:lpstr>
      <vt:lpstr>Графики!Sens_ParamStep</vt:lpstr>
      <vt:lpstr>Sens_PBP1</vt:lpstr>
      <vt:lpstr>Sens_PBP2</vt:lpstr>
      <vt:lpstr>Sens_PBP3</vt:lpstr>
      <vt:lpstr>Sens_Price</vt:lpstr>
      <vt:lpstr>Sens_Profit</vt:lpstr>
      <vt:lpstr>Графики!Sens_Result</vt:lpstr>
      <vt:lpstr>Графики!Sens_Results</vt:lpstr>
      <vt:lpstr>Sens_Sales</vt:lpstr>
      <vt:lpstr>Sens_Staff</vt:lpstr>
      <vt:lpstr>Графики!Sens_Table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Alt-Invest</dc:creator>
  <cp:lastModifiedBy>Admin</cp:lastModifiedBy>
  <cp:lastPrinted>2015-01-30T11:45:42Z</cp:lastPrinted>
  <dcterms:created xsi:type="dcterms:W3CDTF">2013-06-17T12:41:45Z</dcterms:created>
  <dcterms:modified xsi:type="dcterms:W3CDTF">2025-09-09T17:58:37Z</dcterms:modified>
</cp:coreProperties>
</file>